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<sst xmlns="http://schemas.openxmlformats.org/spreadsheetml/2006/main" count="74845" uniqueCount="47054">
  <si>
    <t>names</t>
  </si>
  <si>
    <t>sentences</t>
  </si>
  <si>
    <t>translation</t>
  </si>
  <si>
    <t>v_QOlSCBRmfWY</t>
  </si>
  <si>
    <t>A young woman is seen standing in a room and leads into her dancing.</t>
  </si>
  <si>
    <t>The girl dances around the room while the camera captures her movements.</t>
  </si>
  <si>
    <t>She continues dancing around the room and ends by laying on the floor.</t>
  </si>
  <si>
    <t>v_ehGHCYKzyZ8</t>
  </si>
  <si>
    <t>The video starts with a title logo sequence.</t>
  </si>
  <si>
    <t>A man and woman are in a living room demonstrating exercises.</t>
  </si>
  <si>
    <t>The woman lays on the ground.</t>
  </si>
  <si>
    <t>The man starts pointing to different areas of the woman's body as she does an exercise.</t>
  </si>
  <si>
    <t>The woman begins to do small sit ups.</t>
  </si>
  <si>
    <t>The woman ends with a final title logo sequence.</t>
  </si>
  <si>
    <t>v_nwznKOuZM7w</t>
  </si>
  <si>
    <t>Two people are seen moving around a kitchen quickly performing various tasks and sitting down.</t>
  </si>
  <si>
    <t>They then wax down a ski in the kitchen while continuing to move around.</t>
  </si>
  <si>
    <t>v_ogQozSI5V8U</t>
  </si>
  <si>
    <t>We see a hallway with a wooden floor.</t>
  </si>
  <si>
    <t>A dog in socks walks slowly out onto the floor as a lady films him.</t>
  </si>
  <si>
    <t>The dog turns around and goes back to the other room.</t>
  </si>
  <si>
    <t>v_nHE7u40plD0</t>
  </si>
  <si>
    <t>A woman and a man are sitting on the sidewalk playing music.</t>
  </si>
  <si>
    <t>People stand next to them and watch them play.</t>
  </si>
  <si>
    <t>A little boy holding a yellow ball walks by.</t>
  </si>
  <si>
    <t>A man poses for a picture in front of them.</t>
  </si>
  <si>
    <t>v_69IsHpmRyfk</t>
  </si>
  <si>
    <t>A young girl is seen sitting in a chair with a person standing next to her.</t>
  </si>
  <si>
    <t>The person next to her then piercing one ear followed by the other.</t>
  </si>
  <si>
    <t>The person rubs lotion on the piercings afterwards.</t>
  </si>
  <si>
    <t>v_D18b2IZpxk0</t>
  </si>
  <si>
    <t>A woman is shown riding a camel past pyramids in Egypt.</t>
  </si>
  <si>
    <t>The camel walks as the woman leans forward.</t>
  </si>
  <si>
    <t>And hand covers the lens as the harness is shown.</t>
  </si>
  <si>
    <t>v_pizl41xmw7k</t>
  </si>
  <si>
    <t>A child mops the floor of a hallway in a house.</t>
  </si>
  <si>
    <t>The child sets the mop down and plays with her family member.</t>
  </si>
  <si>
    <t>The child walks into the bedroom area and continues to mop the floor.</t>
  </si>
  <si>
    <t>v_oP77DgsbhKQ</t>
  </si>
  <si>
    <t>A man is seen kneeling down on the floor speaking to the camera.</t>
  </si>
  <si>
    <t>The man mixes up various ingredients and begins laying plaster on the floor.</t>
  </si>
  <si>
    <t>He measures the floor and tiles and cuts out a piece of tile to lay on the floor.</t>
  </si>
  <si>
    <t>He continues laying tiles on the floor while looking back to speak to the camera.</t>
  </si>
  <si>
    <t>v_fzp5ooc727c</t>
  </si>
  <si>
    <t>Two lines of young men are walking side by side down a road.</t>
  </si>
  <si>
    <t>Then one man stands in a field holding a wooden object and begins twisting it.</t>
  </si>
  <si>
    <t>He then bends down and grabs a ball.</t>
  </si>
  <si>
    <t>After,the ball is placed on the ground and he picks it up and hits it as if he's playing baseball.</t>
  </si>
  <si>
    <t>The ball is thrown back and he its it again.</t>
  </si>
  <si>
    <t>Shortly after, a field of men are shown and they begin playing a game against one another.</t>
  </si>
  <si>
    <t>There was a penalty and one players attempts to hit the ball into the goal from the side.</t>
  </si>
  <si>
    <t>After,everyone is pictured lying down on the ground as if they are dead but one person begins to sit up but gets hit in the head by the ball and lays back down.</t>
  </si>
  <si>
    <t>Lastly,the screen flashes to a black screen and the words The End are shown.</t>
  </si>
  <si>
    <t>v_fN2DiOswmOA</t>
  </si>
  <si>
    <t>The screen shows the title of preparing a Chilean Hulte salad dish.</t>
  </si>
  <si>
    <t>A person is mixing salad ingredients in a large bowl.</t>
  </si>
  <si>
    <t>There is information shown about Dr.</t>
  </si>
  <si>
    <t>Rachel Collin's trip to Chile.</t>
  </si>
  <si>
    <t>There are several people standing under a canopy at a food market.</t>
  </si>
  <si>
    <t>Two customers make a purchase and give money to the seller and give the camera a thumbs up.</t>
  </si>
  <si>
    <t>The chef is showing hulte placed on a kitchen counter.</t>
  </si>
  <si>
    <t>The chef is slicing the hulte in circular bite size pieces.</t>
  </si>
  <si>
    <t>A woman eats the cut pieces of hulte.</t>
  </si>
  <si>
    <t>The chef chops some cilantro on the kitchen counter.</t>
  </si>
  <si>
    <t>Then the chef places the ingredients in a salad bowl.</t>
  </si>
  <si>
    <t>The finished product is shown on screen, followed by a group of people sitting together and enjoying the salad.</t>
  </si>
  <si>
    <t>The end credits are displayed on the screen.</t>
  </si>
  <si>
    <t>v_t0ajvfx6dgA</t>
  </si>
  <si>
    <t>A man in a suit is sitting behind a desk.</t>
  </si>
  <si>
    <t>People are playing lacrosse on a field of grass.</t>
  </si>
  <si>
    <t>A person in a yellow uniform is standing in front of a net blocking balls.</t>
  </si>
  <si>
    <t>v_IoiDAHNryTk</t>
  </si>
  <si>
    <t>A girl is seen climbing across a set of monkey bars followed by her waving to the camera.</t>
  </si>
  <si>
    <t>She climbs her way back on the bars and jumps down mid way through.</t>
  </si>
  <si>
    <t>v__yWADgOFxP0</t>
  </si>
  <si>
    <t>A camera pans over a snowy area and leads into a man standing on a snowboard and riding down a mountain.</t>
  </si>
  <si>
    <t>The man zooms in on himself riding down the hill and ends with him turning off the camera.</t>
  </si>
  <si>
    <t>v_AGgJVF3nT6I</t>
  </si>
  <si>
    <t>A playroom is seen followed by a young boy sliding down a slide and climbing back up again.</t>
  </si>
  <si>
    <t>He slides down again, this time landing on his back, and continues to slide down several more times.</t>
  </si>
  <si>
    <t>v_XD3yFrJHiv8</t>
  </si>
  <si>
    <t>A man and woman are sitting on red couches with sports jerseys hanging on the wall and a blue screen on the wall behind them in the middle of them.</t>
  </si>
  <si>
    <t>The woman picks up a clipboard next to her and smooths out the papers that are on top of it while smiling, crosses her legs and sits back.</t>
  </si>
  <si>
    <t>The man is talking this whole time while the woman gets comfortable on her couch and the woman briefly talks.</t>
  </si>
  <si>
    <t>Various clips begin to play and it briefly shows parts of a city, then most of it is of men outdoors and playing soccer on sand in a middle of city, and occasionally blue words pop up on the screen when certain plays in the game are made.</t>
  </si>
  <si>
    <t>When the clips end the man and woman on the couch begin talking and she puts her clipboard down.</t>
  </si>
  <si>
    <t>v_lZKrd84QElk</t>
  </si>
  <si>
    <t>The former president is seen walking in a large field next to a woman and surrounded by a large crowd.</t>
  </si>
  <si>
    <t>The man gives a speech while people cheering and he shakes hands with others.</t>
  </si>
  <si>
    <t>The man then shares a beer with other people around him.</t>
  </si>
  <si>
    <t>v_6lYTHj9vImo</t>
  </si>
  <si>
    <t>Four kids are outside in the beach playing in the sand,two boys on the left and two girls on the right.</t>
  </si>
  <si>
    <t>The girls have about six sand castles and a large circle surrounding it filled with water.</t>
  </si>
  <si>
    <t>They then take off running to the beach to grab more water as the boy comes and looks at their work.</t>
  </si>
  <si>
    <t>Once they are done,both of the girls take off running to the water but then stop midway to come back and get their floats.</t>
  </si>
  <si>
    <t>v_E3QtX6r9QX0</t>
  </si>
  <si>
    <t>A large pile of leaves are seen being blown around with shots of a blower being shown.</t>
  </si>
  <si>
    <t>the leaves continue to be shown blowing around as well as a machine sitting off in the distance.</t>
  </si>
  <si>
    <t>v_iYxj8a1TPYk</t>
  </si>
  <si>
    <t>A basketball player is seen dribbling a ball in various shots for the camera and leads into the player making baskets over and over again.</t>
  </si>
  <si>
    <t>The man is then seen speaking to the camera and transitions into him scoring several more baskets.</t>
  </si>
  <si>
    <t>v_cp52LdlmlUk</t>
  </si>
  <si>
    <t>People are standing in a room working out.</t>
  </si>
  <si>
    <t>They are stepping up and down on small stepping stools.</t>
  </si>
  <si>
    <t>They continue working out in the room.</t>
  </si>
  <si>
    <t>v_bpg2PC2neQM</t>
  </si>
  <si>
    <t>A black and white video is being played of people playing lacrosse on a field.</t>
  </si>
  <si>
    <t>It then turns back to color and splits into multiple frames and speeds.</t>
  </si>
  <si>
    <t>The video includes numerous clips of players in lacrosse games, hitting the ball toward opposing goals.</t>
  </si>
  <si>
    <t>v_RgzbNJPchqc</t>
  </si>
  <si>
    <t>A man is playing the bagpipes in front of people.</t>
  </si>
  <si>
    <t>The people on the couch in front of him start laughing.</t>
  </si>
  <si>
    <t>v__zHSfEhEqkU</t>
  </si>
  <si>
    <t>A man is seen padding a canoe along the water while the camera captures him from several angles.</t>
  </si>
  <si>
    <t>The man continues riding around followed by performing several ways to turn the canoe around.</t>
  </si>
  <si>
    <t>v_EsVxUf4Ae2c</t>
  </si>
  <si>
    <t>A man is standing on ice with his pole standing straight up beside him.</t>
  </si>
  <si>
    <t>The man grabs his fishing pole and starts fishing in the hole in the ice.</t>
  </si>
  <si>
    <t>The man appears to have caught something and kneels down to pull his fishing line by hand.</t>
  </si>
  <si>
    <t>The man pulls a fish out of the water and poses with it.</t>
  </si>
  <si>
    <t>The man unhooks the hook from the fish's mouth.</t>
  </si>
  <si>
    <t>The man kisses the fish and releases it back into the hole.</t>
  </si>
  <si>
    <t>v_---9CpRcKoU</t>
  </si>
  <si>
    <t>A man was sitting inside a room.</t>
  </si>
  <si>
    <t>He is holding a bowl of noodles and broth.</t>
  </si>
  <si>
    <t>He is drinking the broth from a bowl.</t>
  </si>
  <si>
    <t>v_epqnpUCVLK8</t>
  </si>
  <si>
    <t>A little boy is laying on an exercise ball.</t>
  </si>
  <si>
    <t>The boy falls of and gets back on the ball before he falls off again.</t>
  </si>
  <si>
    <t>He tries to sit on the ball but the ball rolls away.</t>
  </si>
  <si>
    <t>He retrieves it and continues to sit on and fall off the ball.</t>
  </si>
  <si>
    <t>v_GFE2wAi9fjo</t>
  </si>
  <si>
    <t>A woman puts a pair of shoes on while sitting in an office chair.</t>
  </si>
  <si>
    <t>The woman buckles her shoes.</t>
  </si>
  <si>
    <t>v_W19-fYOO9sg</t>
  </si>
  <si>
    <t>A close up of a bike wheel is seen that leads into a person's hands pushing on the tire.</t>
  </si>
  <si>
    <t>The person uses a tool along the tire to help move it along.</t>
  </si>
  <si>
    <t>The person finally pushes the tire along it's sides.</t>
  </si>
  <si>
    <t>v_ztD4lVJATws</t>
  </si>
  <si>
    <t>A woman is seen kneeling on the floor and pulling onto a piece of exercise equipment.</t>
  </si>
  <si>
    <t>The woman begins turning her body with the equipment while speaking to the camera.</t>
  </si>
  <si>
    <t>She continues pulling onto the lever while looking back to the camera.</t>
  </si>
  <si>
    <t>v_V_Nj_BhesEY</t>
  </si>
  <si>
    <t>Three people stand by the corner of a building.</t>
  </si>
  <si>
    <t>One of the persons, a young boy, takes a bow.</t>
  </si>
  <si>
    <t>A crowd of people watch him.</t>
  </si>
  <si>
    <t>He proceeds to perform various karate moves, such as bowing, cartwheels and flips.</t>
  </si>
  <si>
    <t>v_p9iE8iemCMs</t>
  </si>
  <si>
    <t>A person is holding a flute.</t>
  </si>
  <si>
    <t>The person shows a fingering for the second octave of the note.</t>
  </si>
  <si>
    <t>The person shows the fingering on the third octave.</t>
  </si>
  <si>
    <t>The woman talks directly to the camera.</t>
  </si>
  <si>
    <t>v_bNwrAuu0qiQ</t>
  </si>
  <si>
    <t>An intro leads into several pictures of a tennis player and leaders into video footage of the player playing matches.</t>
  </si>
  <si>
    <t>The tennis player is shown in several shots of games performing incredible stunts and clenching his fists to celebrate in the end.</t>
  </si>
  <si>
    <t>v_37pwbUp8t1I</t>
  </si>
  <si>
    <t>Hiphop dancers perform in front of a crowd.</t>
  </si>
  <si>
    <t>They are all doing the same basic dance and having pictures taken of them.</t>
  </si>
  <si>
    <t>v_TmI9MxCDBMw</t>
  </si>
  <si>
    <t>A murky river is shown next to a row of trees.</t>
  </si>
  <si>
    <t>A bunch of people on intertubes go by slowly.</t>
  </si>
  <si>
    <t>Then we see rapid waters as the tubers go over small falls.</t>
  </si>
  <si>
    <t>v_4x7HYKV8zkY</t>
  </si>
  <si>
    <t>Three girls are on the beach talking.</t>
  </si>
  <si>
    <t>They do several flips on the beach.</t>
  </si>
  <si>
    <t>They lift one of the girls up for a stunt.</t>
  </si>
  <si>
    <t>v__Af_9cK5x4E</t>
  </si>
  <si>
    <t>The camera pans above lush and green terrain over what looks like a mountain range.</t>
  </si>
  <si>
    <t>A man is shown covered in sweat and then jumping across various hills performing stunts on a dirt bike.</t>
  </si>
  <si>
    <t>He rotates and flips and performs all sorts of acrobatics.</t>
  </si>
  <si>
    <t>He is highly skilled and jumping over everything.</t>
  </si>
  <si>
    <t>The video then shows multiple men on dirt bikes jumping in various different places and shows the action from a variety of angles.</t>
  </si>
  <si>
    <t>The men continue performing their stuns in various other landscapes.</t>
  </si>
  <si>
    <t>v_y5j9TqTy9Xw</t>
  </si>
  <si>
    <t>A woman is walking along a track.</t>
  </si>
  <si>
    <t>She takes off at a fast run.</t>
  </si>
  <si>
    <t>She jumps over a bar and onto a mat.</t>
  </si>
  <si>
    <t>v_Kp7pUEKrb8Q</t>
  </si>
  <si>
    <t>A person is slicing limes on a board.</t>
  </si>
  <si>
    <t>They put the limes and sugar into a blender.</t>
  </si>
  <si>
    <t>They strain the juice and pour it into a jar.</t>
  </si>
  <si>
    <t>They put a straw and a lime wedge on the rim of the glass.</t>
  </si>
  <si>
    <t>v_5lre5zbUV1Q</t>
  </si>
  <si>
    <t>A child scrubs out the kitchen sink using a brush.</t>
  </si>
  <si>
    <t>The boy turns on the sink faucet.</t>
  </si>
  <si>
    <t>The child uses the faucet nozzle to rinse out the sink.</t>
  </si>
  <si>
    <t>The boy returns the sink nozzle to the faucet and turns off the water.</t>
  </si>
  <si>
    <t>v_D0dyvNTI7yU</t>
  </si>
  <si>
    <t>A man in a bare studio showcases a series of martial arts moves by himself in front of a camera.</t>
  </si>
  <si>
    <t>A man appears in a white t-shirt and black pants, barefoot and begins to showcase martial arts moves.</t>
  </si>
  <si>
    <t>The man begins using moves that exhibit floor work and light tumbles along with a headstand.</t>
  </si>
  <si>
    <t>The man progresses into controlled somersaults and side to side work along with high kicks.</t>
  </si>
  <si>
    <t>v_huFuRGoZt9I</t>
  </si>
  <si>
    <t>A dealer is shown laying out cards on a table while other people's hands are shown on the side.</t>
  </si>
  <si>
    <t>The person then lays out cards while another person lays out their chips.</t>
  </si>
  <si>
    <t>v_CmEQjszPDrg</t>
  </si>
  <si>
    <t>Several people are outside with running equipment and numbers pinned to them jogging at a slow pace at what seams to be a Marathon or a 5k.</t>
  </si>
  <si>
    <t>A lady dressed in all black however,seems to be the focal point throughout the video and she is walking at an extremely slow pace for the whole time.</t>
  </si>
  <si>
    <t>After the crowd is shown and more people are seen running through the city or even participating in a wheel chair as the people on the side cheer them on.</t>
  </si>
  <si>
    <t>v_RULNhPrXnfA</t>
  </si>
  <si>
    <t>A man is shown standing in front of a blue background as many harmonicas are shown and he starts playing them.</t>
  </si>
  <si>
    <t>He is then shown speaking into the camera and going into detail with regards to the products features.</t>
  </si>
  <si>
    <t>He shows off how many he has in his coat and continues talking.</t>
  </si>
  <si>
    <t>He is then shown playing another harmonica as he gives instruction on it.</t>
  </si>
  <si>
    <t>He speaks some more and shows his harmonica again as the video goes to an end title screen that reads Howcast original".</t>
  </si>
  <si>
    <t>v_Zd22n1caVgM</t>
  </si>
  <si>
    <t>A boy wearing white shorts is standing in a room.</t>
  </si>
  <si>
    <t>He puts something in his mouth.</t>
  </si>
  <si>
    <t>He kicks his legs up to the side.</t>
  </si>
  <si>
    <t>The kneels down onto the ground.</t>
  </si>
  <si>
    <t>v_ZKP5J7OKEvI</t>
  </si>
  <si>
    <t>A small group of people are seen sitting on the side and lead into two people dancing together.</t>
  </si>
  <si>
    <t>The people continue dancing along the floor and end by clapping with the band.</t>
  </si>
  <si>
    <t>v_44BfVJnhBgc</t>
  </si>
  <si>
    <t>A runner tests a prosthetic leg in a long distance run.</t>
  </si>
  <si>
    <t>He runs inside then runs outside.</t>
  </si>
  <si>
    <t>v_VFOjLDa5VtA</t>
  </si>
  <si>
    <t>A small group of people are seen wandering around a tennis court hitting a ball over the net.</t>
  </si>
  <si>
    <t>The people hit the ball back and fourth while others watch on the side.</t>
  </si>
  <si>
    <t>They continue to play the game as well as others.</t>
  </si>
  <si>
    <t>v_KKrHX-pywBQ</t>
  </si>
  <si>
    <t>A young man wearing a white shirt and helmet and black pants is holding a skateboard in his hands as he walks.</t>
  </si>
  <si>
    <t>He puts the skateboard down and begins skating on an asphalt road.</t>
  </si>
  <si>
    <t>He flips the skateboard several times and goes on circles.</t>
  </si>
  <si>
    <t>Two people walk past him as he continues to skateboard.</t>
  </si>
  <si>
    <t>The man begins to speed up on his skateboard as he goes down the road.</t>
  </si>
  <si>
    <t>He also skates past a lake on a long and winding road.</t>
  </si>
  <si>
    <t>He skates past a field and mountains that are filled with greenery.</t>
  </si>
  <si>
    <t>He tries various stunts and tricks on his skateboard.</t>
  </si>
  <si>
    <t>He continues to skateboard through the roads.</t>
  </si>
  <si>
    <t>He falls off the skateboard on the side of the road, but gets right back on it and skates away.</t>
  </si>
  <si>
    <t>v_HxJnPUqF9i8</t>
  </si>
  <si>
    <t>Athletes throw a javelin during a competition.</t>
  </si>
  <si>
    <t>A man practices his throwing stance walking and doing half throws without javeline.</t>
  </si>
  <si>
    <t>A man practices his throwing stance walking and doing half throws holding a javeline.</t>
  </si>
  <si>
    <t>The man swings a hammer.</t>
  </si>
  <si>
    <t>The man throws a weighted ball.</t>
  </si>
  <si>
    <t>Athletes train in a gym doing throwing motions on weighted cable machines.</t>
  </si>
  <si>
    <t>v_FKl0077EUoY</t>
  </si>
  <si>
    <t>We see a person sharpen a knife on a sanding disc.</t>
  </si>
  <si>
    <t>The person touches it and turns it off.</t>
  </si>
  <si>
    <t>The person turns it on and then off off.</t>
  </si>
  <si>
    <t>We see the man talking to the camera.</t>
  </si>
  <si>
    <t>v_lfuNoeRYWz4</t>
  </si>
  <si>
    <t>Text is shown from the centers for disease control regarding proper handwashing.</t>
  </si>
  <si>
    <t>A woman is shown soaping her hands while water is running in a sink.</t>
  </si>
  <si>
    <t>She reaches for a towel and then turns the faucet one with one hand.</t>
  </si>
  <si>
    <t>She soaps her hands, then rinses with the water before grabbing another towel to turn off the faucet, and discarding the towel.</t>
  </si>
  <si>
    <t>v_x4iCAIPRDVQ</t>
  </si>
  <si>
    <t>People exercise on fitness machines while people sits on front and watch.</t>
  </si>
  <si>
    <t>A man pass on front holding a jacket and stand next a TV.</t>
  </si>
  <si>
    <t>A group of woman walk on front people exercising.</t>
  </si>
  <si>
    <t>v_NwfS7eZiMLg</t>
  </si>
  <si>
    <t>A man is playing the bagpipes at the bottom of the stairs in the living room of a house, wearing a button up and dress pants, along with socks.</t>
  </si>
  <si>
    <t>He begins to tap his foot along with the beat of his tune, He starts to tap his left foot in a back and forth rhythm with his right foot.</t>
  </si>
  <si>
    <t>He finishes, and smiles at the camera.</t>
  </si>
  <si>
    <t>v_aJbl1eVBzk0</t>
  </si>
  <si>
    <t>People are working in a bike shop fixing a bike.</t>
  </si>
  <si>
    <t>They put the wheels back onto the bike.</t>
  </si>
  <si>
    <t>The put the seat on the bike.</t>
  </si>
  <si>
    <t>The bike is put together on the floor.</t>
  </si>
  <si>
    <t>v_UYHgieL5IKM</t>
  </si>
  <si>
    <t>A man is giving advice on outdoor activities, specifically mushrooming and closeup is shown and the man talks about it.</t>
  </si>
  <si>
    <t>The man cuts one open and then cuts it in half.</t>
  </si>
  <si>
    <t>Another man talks about the experience.</t>
  </si>
  <si>
    <t>v_PgZ2e0H1ZVE</t>
  </si>
  <si>
    <t>A young man wearing a hat is seen speaking to the camera and holding up a chart.</t>
  </si>
  <si>
    <t>He continues speaking and begins playing a harmonica.</t>
  </si>
  <si>
    <t>He holds up the sign more while continuing to play and speak to the camera.</t>
  </si>
  <si>
    <t>v_h8J08sJ2no0</t>
  </si>
  <si>
    <t>A person walks on the roof of a climbing equipment, then he goes down the wall and reach the floor and walk forward.</t>
  </si>
  <si>
    <t>The man stand with the hands on the border on the equipment and descend down the walk with the hands, then he walk on hands sideward.</t>
  </si>
  <si>
    <t>v_g0XO-rWHmzs</t>
  </si>
  <si>
    <t>A woman is seen holding two dogs on a leash and proceeds to unhook them and let them go.</t>
  </si>
  <si>
    <t>One down then does his business into a bag tied to him and runs off behind bikes.</t>
  </si>
  <si>
    <t>v_WGpz-hV-Ejw</t>
  </si>
  <si>
    <t>A young girl is standing on a court with a jump rope.</t>
  </si>
  <si>
    <t>She begins jumping in front of a table of judges.</t>
  </si>
  <si>
    <t>She hops, spins, and flips with the rope.</t>
  </si>
  <si>
    <t>v_i2u80Y3BMYs</t>
  </si>
  <si>
    <t>Two men in work out clothes are standing up against the wall and they begin to talk about working out.</t>
  </si>
  <si>
    <t>One man is then shown and he bends down and shows the proper way to lift the bar with weight on it.</t>
  </si>
  <si>
    <t>A replay is then shown and the boy bends from the knees and then flips his wrist and brings it over his shoulder as he goes down into a squatting position.</t>
  </si>
  <si>
    <t>v_WvxwmaDFGqk</t>
  </si>
  <si>
    <t>A man is seen kneeling in a gym.</t>
  </si>
  <si>
    <t>He leans forward several times.</t>
  </si>
  <si>
    <t>He is performing slow stretching moves.</t>
  </si>
  <si>
    <t>v_xmag8UI8iws</t>
  </si>
  <si>
    <t>A person is using a leaf blower to blow leaves into a pile.</t>
  </si>
  <si>
    <t>The leaves blow up onto a hedge.</t>
  </si>
  <si>
    <t>They walk in front of a tree.</t>
  </si>
  <si>
    <t>v_N9LTq3gYmsI</t>
  </si>
  <si>
    <t>A group of people are sitting down at the top of a snow slide in a tube.</t>
  </si>
  <si>
    <t>The person holding the camera starts his journey and he is off down the slopes of snow.</t>
  </si>
  <si>
    <t>As he reaches the bottom,several black mats are placed in front of him to help slow him down.</t>
  </si>
  <si>
    <t>v_GqWH2IYPw6U</t>
  </si>
  <si>
    <t>Various shots of a city are shown followed by a girl playing violin and many other watching.</t>
  </si>
  <si>
    <t>Another girl steps in and joins her by singing and several others join in to sing as well.</t>
  </si>
  <si>
    <t>A mime walks in with fireworks while the group still sings and many around are seen laughing and smiling.</t>
  </si>
  <si>
    <t>v_MlbM7Mew0Ys</t>
  </si>
  <si>
    <t>Two men exercise inside a gym, then a man jumps rope crossing his arms and also the moving the rope on front.</t>
  </si>
  <si>
    <t>The man moves the rope with his right hand, then he moves both hands while skipping.</t>
  </si>
  <si>
    <t>Then, the man jumps crossing the arms, after he jumps normal for long time.</t>
  </si>
  <si>
    <t>Next, the a young man jumps rope raising the feet high, then he cross his the arms jumping.</t>
  </si>
  <si>
    <t>After, the young man moves the rope with the right hand, then he moves it with both hands and also moves the rope on front.</t>
  </si>
  <si>
    <t>After, the young man jumps alternate crossing the arms, skipping and moving the rope on front.</t>
  </si>
  <si>
    <t>v_hJiaSHwOkcs</t>
  </si>
  <si>
    <t>A man is sitting on top of a horse.</t>
  </si>
  <si>
    <t>He begins getting chased around the arena by a man pushing a wheelbarrow.</t>
  </si>
  <si>
    <t>The horse runs from bull in the pen.</t>
  </si>
  <si>
    <t>v_TEaugXCX1m4</t>
  </si>
  <si>
    <t>A lighthouse is shown on the beach before we see a man running with a surf board.</t>
  </si>
  <si>
    <t>The man rides a wave, then through it.</t>
  </si>
  <si>
    <t>He completes several stunts before walking onto the beach with the board under his arm.</t>
  </si>
  <si>
    <t>v_9rW35YTKYq8</t>
  </si>
  <si>
    <t>A man is shown flipping a violin in his hands, playing a popular song on his violin.</t>
  </si>
  <si>
    <t>The camera shows the violinist from various angles playing the popular song and not breaking concentration.</t>
  </si>
  <si>
    <t>The camera pans all around the player and shows him playing the complete song.</t>
  </si>
  <si>
    <t>v_hoisfXCLJDQ</t>
  </si>
  <si>
    <t>A camera zooms in on a person riding in a tube.</t>
  </si>
  <si>
    <t>More people are seen riding in tubes behind the man.</t>
  </si>
  <si>
    <t>The people continue to ride around the area down the river.</t>
  </si>
  <si>
    <t>v_mnqSG5o84NE</t>
  </si>
  <si>
    <t>A man train a boy kick box while two men watch sitting in the room.</t>
  </si>
  <si>
    <t>Then, the man stands and kick the boy who kick back then kneels.</t>
  </si>
  <si>
    <t>After, the man trains another child while showing movements.</t>
  </si>
  <si>
    <t>After, the man stands to practice kicks, then the man lye down and and hug the child who continues practicing kick box.</t>
  </si>
  <si>
    <t>v_IWuiVS3-Z7k</t>
  </si>
  <si>
    <t>People are shown walking along a beach.</t>
  </si>
  <si>
    <t>Several people in paintball gear are running through an obstacle course.</t>
  </si>
  <si>
    <t>The people shoot at each other, hiding behind the obstacles.</t>
  </si>
  <si>
    <t>The winner dances and runs across the field.</t>
  </si>
  <si>
    <t>v_nvsK9ggeics</t>
  </si>
  <si>
    <t>A young child is seen sitting behind a drum set playing the drums.</t>
  </si>
  <si>
    <t>The boy continues playing the instrument while the camera zooms in on him playing.</t>
  </si>
  <si>
    <t>v_rAuz_Pf3lp8</t>
  </si>
  <si>
    <t>A family has a picnic, and goes tubing on inflatable rafts in a narrow body of water surrounded by trees, on a rainy day.</t>
  </si>
  <si>
    <t>A family of people sit at an outdoor wooden picnic table, eating, waiving at the camera.</t>
  </si>
  <si>
    <t>The family watch the weather outdoors as it begins to rain and a little girl runs out into the rain and dances in it.</t>
  </si>
  <si>
    <t>The family then appears, floating, talking and smiling on inflatable tubes on a narrow body of water.</t>
  </si>
  <si>
    <t>The event ends and the family leaves an area bordered by a wooden fence.</t>
  </si>
  <si>
    <t>v_pxb95-aSDYo</t>
  </si>
  <si>
    <t>A man plays guitar and harmonica at the same time.</t>
  </si>
  <si>
    <t>Then, the man sings while playing the guitar.</t>
  </si>
  <si>
    <t>After, the man continues playing both the guitar and the harmonica, then sing.</t>
  </si>
  <si>
    <t>Next, the man plays the harmonica and the guitar together.</t>
  </si>
  <si>
    <t>v_48xSiJdaH2g</t>
  </si>
  <si>
    <t>The video is about Wallwik and wallpaper removal system.</t>
  </si>
  <si>
    <t>It shows a woman removing wallpaper off the wall in a convenient and easy manner.</t>
  </si>
  <si>
    <t>She is using a a scouring tool to scratch off the wallpaper from the wall.</t>
  </si>
  <si>
    <t>Then she uses a soap solution and dips the sheet in the solution.</t>
  </si>
  <si>
    <t>There's a man hanging the wet sheets on the wall.</t>
  </si>
  <si>
    <t>A woman uses a sprayer on the moist sheets and sprays it on.</t>
  </si>
  <si>
    <t>Then a man and woman begin peeling off the old wallpaper off of the wall.</t>
  </si>
  <si>
    <t>The video shows instructions on how to use the Wallwik products.</t>
  </si>
  <si>
    <t>v_y7WO-8cQfO0</t>
  </si>
  <si>
    <t>The video begins with a title sequence.</t>
  </si>
  <si>
    <t>A young man is shown in a gym performing tricks with a jump rope as music plays in the background.</t>
  </si>
  <si>
    <t>He then lays down and begins doing tricks on the floor.</t>
  </si>
  <si>
    <t>The young man gets up again and does more tricks while standing.</t>
  </si>
  <si>
    <t>At one point, his friends assist with the jump rope tricks.</t>
  </si>
  <si>
    <t>The video ends with credits showing the young man's name, along with the names of those who assisted him.</t>
  </si>
  <si>
    <t>v_74EoyLUbtgI</t>
  </si>
  <si>
    <t>A lady is seen putting wax on a mans shoes.</t>
  </si>
  <si>
    <t>We see the cloth hanging on the wall.</t>
  </si>
  <si>
    <t>We see the footprints on the platform.</t>
  </si>
  <si>
    <t>The woman rubs the mans shoes with a cloth.</t>
  </si>
  <si>
    <t>We see the cloth on the wall, then the lines of cloth near the shoes shine sign.</t>
  </si>
  <si>
    <t>A man is standing on a platform.</t>
  </si>
  <si>
    <t>We see the holographic man on the wall with the paper.</t>
  </si>
  <si>
    <t>v_D9rHZpZoeRA</t>
  </si>
  <si>
    <t>A black two door Audi A3 is shown and then the camera zooms in on the tires.</t>
  </si>
  <si>
    <t>A finger then touches the emergency light and the lights on the car begin to flash.</t>
  </si>
  <si>
    <t>Next,the truck is opened,and the person removes the spare tire and the jack.</t>
  </si>
  <si>
    <t>He then lifts the car and continues to loosen the bolts on the wheel of the car.</t>
  </si>
  <si>
    <t>Once loose,the wheel is removed and the spare is put on and the same actions are performed in reverse.</t>
  </si>
  <si>
    <t>v_kqVIHq94kgs</t>
  </si>
  <si>
    <t>A woman mixes items together in a bowl.</t>
  </si>
  <si>
    <t>She rubs that onto a wooden table.</t>
  </si>
  <si>
    <t>She laughs and puts her hands in the air.</t>
  </si>
  <si>
    <t>v_WY9zvUkK_4Y</t>
  </si>
  <si>
    <t>Two girls stand between a girl in a hair salon stool and begin brushing her and parting her hair.</t>
  </si>
  <si>
    <t>One woman braids her hair continuously to eventually create a french braid.</t>
  </si>
  <si>
    <t>Both women stand talking to the camera while presenting the braid just made.</t>
  </si>
  <si>
    <t>v_N-6-MdxRg50</t>
  </si>
  <si>
    <t>We see a colorful opening scene.</t>
  </si>
  <si>
    <t>Kids in colorful clothes walk on a stage and get in place.</t>
  </si>
  <si>
    <t>The kids perform zumba on a stage.</t>
  </si>
  <si>
    <t>The girl second from left goes the wrong direction and almost runs into another girl.</t>
  </si>
  <si>
    <t>We see an an ending screen.</t>
  </si>
  <si>
    <t>v_uFMDSiHu7g4</t>
  </si>
  <si>
    <t>A man wearing a striped shirt dances with a girl in a brown blouse at a street festival.</t>
  </si>
  <si>
    <t>Other couple join in and dance in a street festival while performers play on a stage.</t>
  </si>
  <si>
    <t>Onlookers pass by while the group continues to dance.</t>
  </si>
  <si>
    <t>v_Pu92wJ-7UTQ</t>
  </si>
  <si>
    <t>The man is strumming one drum.</t>
  </si>
  <si>
    <t>The man strum the other drum while moving his leg.</t>
  </si>
  <si>
    <t>The man play two drums at the same time.</t>
  </si>
  <si>
    <t>v_dsVvnFkGAn0</t>
  </si>
  <si>
    <t>The woman is sitting by the fireplace holding a violin.</t>
  </si>
  <si>
    <t>The woman placed the violin between her neck and shoulder and began strumming the violin with the stick.</t>
  </si>
  <si>
    <t>The lady put the violin on her lap and talked.</t>
  </si>
  <si>
    <t>v_JgHQCKz_DRc</t>
  </si>
  <si>
    <t>A man sits in a chair as he is getting his hair cut.</t>
  </si>
  <si>
    <t>A man in a black shirt moves a light around.</t>
  </si>
  <si>
    <t>People scramble behind the hair stylist.</t>
  </si>
  <si>
    <t>A hair stylist continuously combs and cuts the man's hair.</t>
  </si>
  <si>
    <t>The hair stylists rubs some pomade on the man's hair.</t>
  </si>
  <si>
    <t>The man is seen posing.</t>
  </si>
  <si>
    <t>v_DEmArEKL8gc</t>
  </si>
  <si>
    <t>A teenage female cheer leading squad walks around on a mat and get in formation.</t>
  </si>
  <si>
    <t>The routine begins in a manikin challenge and they all begin to do a flip.</t>
  </si>
  <si>
    <t>After,they do a several straddle jumps and begin thrown up in stands.</t>
  </si>
  <si>
    <t>Once the stunts are done,half of the team begins doing cart wheels and they all meet back in the middle to do stunts in the air.</t>
  </si>
  <si>
    <t>More stunts are done and the girls finish by landing in a split,they then get up and hug each other in the middle of the mat.</t>
  </si>
  <si>
    <t>v_8ikOQRbeQL8</t>
  </si>
  <si>
    <t>A woman wearing a hood and glasses is talking.</t>
  </si>
  <si>
    <t>She is holding a baton and twirling it in her hands.</t>
  </si>
  <si>
    <t>v_zzz_3yWpTXo</t>
  </si>
  <si>
    <t>A woman is seen standing behind a sink and washing dishes while speaking to the camera.</t>
  </si>
  <si>
    <t>The woman continues washing silverware while looking over to the camera and smiling.</t>
  </si>
  <si>
    <t>v_iMiKGoQ7RjE</t>
  </si>
  <si>
    <t>A man in a black hat is hitting a ball on the grass with a club.</t>
  </si>
  <si>
    <t>He continues to talk to the camera.</t>
  </si>
  <si>
    <t>He holds up a small trophy.</t>
  </si>
  <si>
    <t>v_Vjsd6Ec6eKA</t>
  </si>
  <si>
    <t>A group of people are on a field.</t>
  </si>
  <si>
    <t>They attach a camera to one of the player's heads.</t>
  </si>
  <si>
    <t>They lift each other over their heads in cheerleading stunts that can be seen from the camera's view.</t>
  </si>
  <si>
    <t>They smile and laugh as they continue to perform stunts.</t>
  </si>
  <si>
    <t>v_XnUi1SG9jxA</t>
  </si>
  <si>
    <t>A large group of people are seen standing around when several clips are shown of a man attempting to jump over a bar.</t>
  </si>
  <si>
    <t>The man completes the jump after a couple tries and is shown again in slow motion.</t>
  </si>
  <si>
    <t>The man attempts jumping higher several more times and ends up knocking the bar down each time.</t>
  </si>
  <si>
    <t>v_FeKEqUxiReA</t>
  </si>
  <si>
    <t>A woman is laughing as she jumps rope inside a gym.</t>
  </si>
  <si>
    <t>She continues jumping for a long period of time, speeding up and changing positions as men with cameras record her.</t>
  </si>
  <si>
    <t>v_BB2vrBWgXkU</t>
  </si>
  <si>
    <t>A woman wearing a leopard print shirt and a denim jacket is doing a tutorial on fake nails and how to use them.</t>
  </si>
  <si>
    <t>She is holding a packet of the fake nails in her hand as she explains the process.</t>
  </si>
  <si>
    <t>Then she demonstrates how to place the fake nails on top of her nails.</t>
  </si>
  <si>
    <t>Then she takes a nail file and files the ends of the nails to smooth it.</t>
  </si>
  <si>
    <t>She then uses some glue to glue the nails over her nails.</t>
  </si>
  <si>
    <t>Then she clips off the excess to shorten the nails, followed by filing the nails.</t>
  </si>
  <si>
    <t>She also uses some lime green nail polish and paints the nails to finish off the process and make them shiny.</t>
  </si>
  <si>
    <t>v_S6t9Lq1xKJk</t>
  </si>
  <si>
    <t>A cook is standing in front of a large stove.</t>
  </si>
  <si>
    <t>It is covered in ingredients and pans on burners.</t>
  </si>
  <si>
    <t>The man creates a giant omelette, finally flipping it onto a plate and handing it to a patron.</t>
  </si>
  <si>
    <t>v_0_xap_BBDrw</t>
  </si>
  <si>
    <t>An old man with gray hair, wearing red shirt and black pants is dribbling the ball in an indoor court, he dribbled the ball side by side, between his legs.</t>
  </si>
  <si>
    <t>He shoot the ball into the ring, then start dribbling again to side to side and between his legs, and shoot the ball into the ring.</t>
  </si>
  <si>
    <t>v_CQvmcZSfyhI</t>
  </si>
  <si>
    <t>A group of cheerleaders come from the side stage and begin smiling and waving to the crowd before settling into their formation.</t>
  </si>
  <si>
    <t>The routine begins and they start doing hurkies,throwing each other in the air and holding each other up.</t>
  </si>
  <si>
    <t>Doing the middle of the routine,half of the girls sit in the back behind the rest of the cheerleaders as they do a part of the routine.</t>
  </si>
  <si>
    <t>The routine ends and they all run across the stage with spirit fingers before leaving the stage.</t>
  </si>
  <si>
    <t>v_QdmUojrWdmE</t>
  </si>
  <si>
    <t>Music plays as surfers ride the waves.</t>
  </si>
  <si>
    <t>A few men are shown preparing to surf, prepping their board and getting dressed.</t>
  </si>
  <si>
    <t>A helicopter rides over the shoreline where the surfers are riding.</t>
  </si>
  <si>
    <t>A couple laughs together on the beach in a tent awaiting more surfing.</t>
  </si>
  <si>
    <t>A man is then shown prepping his board with surf wax.</t>
  </si>
  <si>
    <t>The crowd watches others riding waves.</t>
  </si>
  <si>
    <t>The crowd cheers multiples surfing runs on.</t>
  </si>
  <si>
    <t>Kelly Slater is featured on a successful run, followed by more clips riding the waves.</t>
  </si>
  <si>
    <t>Kelly Slater is paused mid wave to wrap up the story line.</t>
  </si>
  <si>
    <t>Music and producer credits are then shown.</t>
  </si>
  <si>
    <t>v_L2oaUDyzWPA</t>
  </si>
  <si>
    <t>We see a golden title on a black screen.</t>
  </si>
  <si>
    <t>A man is playing a harmonica as arrows point to numbers above him.</t>
  </si>
  <si>
    <t>We see another title screen and more arrows on numbers.</t>
  </si>
  <si>
    <t>The title screen returns and the man plays with the arrows above him again.</t>
  </si>
  <si>
    <t>The fourth title screen and the man plays with arrows above.</t>
  </si>
  <si>
    <t>The name shows up and the video ends.</t>
  </si>
  <si>
    <t>v_bdC2YPVHGZM</t>
  </si>
  <si>
    <t>A man puts on a helmet with a camera mounted on it.</t>
  </si>
  <si>
    <t>The man participates in a lacrosse match with the camera recording in first person perspective.</t>
  </si>
  <si>
    <t>The man makes a successful shot on goal and high fives a teammate.</t>
  </si>
  <si>
    <t>The two teams shake hands after the game.</t>
  </si>
  <si>
    <t>The man walks towards a group of people dressed in black.</t>
  </si>
  <si>
    <t>v_fny1HWXezlE</t>
  </si>
  <si>
    <t>A small child is seen climbing on a camel as well as a woman in front of him.</t>
  </si>
  <si>
    <t>A man stands the camel up on it's legs and walks around the area.</t>
  </si>
  <si>
    <t>The man continues to walk around with the camels while the camera pans to their movements.</t>
  </si>
  <si>
    <t>v_pYb8jzB5vs0</t>
  </si>
  <si>
    <t>An intro leads into a man in women sitting beside a pool and talking.</t>
  </si>
  <si>
    <t>The people are then shown underwater wearing scuba gear and teaching one another hand signals while the man speaks to the camera above the surface.</t>
  </si>
  <si>
    <t>v_kNkYgYnJTXk</t>
  </si>
  <si>
    <t>A person is seen in various shots riding around in a canoe and smiling off into the distance.</t>
  </si>
  <si>
    <t>Another person is seen sitting in a canoe and demonstrates how to properly turn around.</t>
  </si>
  <si>
    <t>The man continues moving along the water moving his paddle around while the camera captures his movements.</t>
  </si>
  <si>
    <t>v_cMeKc9mp9wI</t>
  </si>
  <si>
    <t>A group of men are riding around on horses while carry large sticks and holding them into the air.</t>
  </si>
  <si>
    <t>One man comes close to the camera man and near the crowd for a few moments.</t>
  </si>
  <si>
    <t>The man on horses go back to the stable to await their return, and eventually go back out into the ring.</t>
  </si>
  <si>
    <t>v_qbGml8XLhz8</t>
  </si>
  <si>
    <t>A man steps to the side on a lawn and begins moving his arms and legs around.</t>
  </si>
  <si>
    <t>He slowly moves his arms in various motions while stepping from side to side.</t>
  </si>
  <si>
    <t>He moves his legs up and his arms continuously following until he finishes the performance.</t>
  </si>
  <si>
    <t>v_90LkAH4tZC4</t>
  </si>
  <si>
    <t>The person in black shirt is playing drums.</t>
  </si>
  <si>
    <t>The camera zoomed in to the drums as the person continue to play.</t>
  </si>
  <si>
    <t>The camera shifted to the view looking down the drums.</t>
  </si>
  <si>
    <t>v_F9HKxxoNNSQ</t>
  </si>
  <si>
    <t>A person throw a disc with a stick, the disc arrives to a triangle on the floor where two people stand.</t>
  </si>
  <si>
    <t>Then, another disk slides on the floor to stop inside the triangle.</t>
  </si>
  <si>
    <t>After, the person throw another disc that stops inside the triangle.</t>
  </si>
  <si>
    <t>The rules oh the shuffleboard game is displayed in a board.</t>
  </si>
  <si>
    <t>v_L0jbYqV9Zaw</t>
  </si>
  <si>
    <t>Paintballs are flying at men in front of a tent.</t>
  </si>
  <si>
    <t>The men back into the tent.</t>
  </si>
  <si>
    <t>People are getting ready for the paintball competition.</t>
  </si>
  <si>
    <t>Paintballs come out of a man's mouth.</t>
  </si>
  <si>
    <t>The sun is setting.</t>
  </si>
  <si>
    <t>v_thgW2RT30qQ</t>
  </si>
  <si>
    <t>An intro leads into several clips of a person lifting heavy weights over their shoulders as well as their arms all around.</t>
  </si>
  <si>
    <t>More shots are show of athletes performing impressive stunts while looking off into the distance and people measuring their throws.</t>
  </si>
  <si>
    <t>v_NSdBL6HqlWk</t>
  </si>
  <si>
    <t>A man is playing cymbals under a bright light on a stage.</t>
  </si>
  <si>
    <t>He is joined by a woman on a bass drum.</t>
  </si>
  <si>
    <t>Then they are joined by other drummers, and a man on a huge set in the background.</t>
  </si>
  <si>
    <t>Lights flash as they perform in unison.</t>
  </si>
  <si>
    <t>v_AdFg_21LRg4</t>
  </si>
  <si>
    <t>A montage of bullfighting is being shown.</t>
  </si>
  <si>
    <t>The matador is being hit by the bull, while other matadors try to distract the bull.</t>
  </si>
  <si>
    <t>v_h4m7bYDVLAc</t>
  </si>
  <si>
    <t>A woman blindfolded in a yard and swinging away at a pinata being moved around.</t>
  </si>
  <si>
    <t>Several people around her are watches and can't help but laugh.</t>
  </si>
  <si>
    <t>The woman is laughing as well and finally hits the pinata for the children to grab.</t>
  </si>
  <si>
    <t>v_by4dS4tgkY0</t>
  </si>
  <si>
    <t>A man is talking to the camera from a parking lot.</t>
  </si>
  <si>
    <t>He runs down the street while continuing to talk.</t>
  </si>
  <si>
    <t>He runs onto several city streets, not stopping.</t>
  </si>
  <si>
    <t>v_shLUZZS9oYc</t>
  </si>
  <si>
    <t>A man is standing outside by the sidewalk cutting down a set of hedges.</t>
  </si>
  <si>
    <t>As he finishes the side,he moves to the front of the plant and continues cutting the plant down.</t>
  </si>
  <si>
    <t>Once a small portion is shown,he looks at the plant and then cuts off the item in his hand.</t>
  </si>
  <si>
    <t>v_QLJAQBUisuQ</t>
  </si>
  <si>
    <t>A man is talking to the camera.</t>
  </si>
  <si>
    <t>An Olympic field is shown with many people walking around on it.</t>
  </si>
  <si>
    <t>The man runs down a strip of track and jumps into a pile of sand.</t>
  </si>
  <si>
    <t>He has a flag wrapped around him and waves at the audience.</t>
  </si>
  <si>
    <t>v_vt81bZ6_GcQ</t>
  </si>
  <si>
    <t>People are in a pool playing water polo.</t>
  </si>
  <si>
    <t>A man in a white shirt walks along side the pool.</t>
  </si>
  <si>
    <t>A woman holding a dog is standing on a dock.</t>
  </si>
  <si>
    <t>v_KE2tDW9x9d8</t>
  </si>
  <si>
    <t>A girl is seen talking to the camera with her hand on her hip and leads into her holding up various ingredients.</t>
  </si>
  <si>
    <t>She then mixes the ingredients together on a slice of bread and creates a sandwich while pouring chips out onto the side.</t>
  </si>
  <si>
    <t>She then presents the plate while speaking to the camera and holding up various liquids.</t>
  </si>
  <si>
    <t>v_qxlVkDpdyOA</t>
  </si>
  <si>
    <t>We see two men walking and jumping on jump-stilts.</t>
  </si>
  <si>
    <t>One man jumps down the road, the the other as a man photographs them.</t>
  </si>
  <si>
    <t>A man on a bike rides past the men.</t>
  </si>
  <si>
    <t>Four bikes ride past the men.</t>
  </si>
  <si>
    <t>v_QQNW2ha8WIs</t>
  </si>
  <si>
    <t>A boy jumps on a trampoline while catching a stuffed doll on his shoulders in the air.</t>
  </si>
  <si>
    <t>The boy falls back and lands on his back on the trampoline.</t>
  </si>
  <si>
    <t>The boy jumps and catches the doll and slams it between his legs on the trampoline.</t>
  </si>
  <si>
    <t>The boy misses trying to catch the doll and falls on the trampoline.</t>
  </si>
  <si>
    <t>v_p1JSdZmztGk</t>
  </si>
  <si>
    <t>Two people are seen speaking to one another while standing on the docks as well as speak to the camera.</t>
  </si>
  <si>
    <t>The people enjoy themselves around the are by getting their hair cut, eating food, and the man preparing a boat.</t>
  </si>
  <si>
    <t>Several shots are shown of a kitchen as well as people riding on the boat and still continue to speak to the camera.</t>
  </si>
  <si>
    <t>v_x3z3dVUxmJ0</t>
  </si>
  <si>
    <t>The name of the business is shown.</t>
  </si>
  <si>
    <t>A person is braiding a client's hair.</t>
  </si>
  <si>
    <t>A person is running scissor through a braid.</t>
  </si>
  <si>
    <t>A person is applying rods to braids.</t>
  </si>
  <si>
    <t>A person is putting braids with rods into water.</t>
  </si>
  <si>
    <t>A client with reading glasses is talking.</t>
  </si>
  <si>
    <t>A client is leaving after braids are done.</t>
  </si>
  <si>
    <t>The credits of the video are shown.</t>
  </si>
  <si>
    <t>v_HhbTyPnFVIg</t>
  </si>
  <si>
    <t>A woman stand with athletic jacket in a grass covered and forested yard.</t>
  </si>
  <si>
    <t>The woman enters an open workshop area.</t>
  </si>
  <si>
    <t>Logs are stacked upright on a chopping block.</t>
  </si>
  <si>
    <t>The woman uses an an ax to split the logs in half.</t>
  </si>
  <si>
    <t>v_qCnHgcP3tM8</t>
  </si>
  <si>
    <t>Cars are driving down the highway fairly quickly.</t>
  </si>
  <si>
    <t>They stop, a man gets out and helps two women get out.</t>
  </si>
  <si>
    <t>They go into a bar and throw a ball into a girls drink starting a beer pong war.</t>
  </si>
  <si>
    <t>He wakes up in his dorm and then click on his ipad to start a beer pong championship.</t>
  </si>
  <si>
    <t>v_EwMAJPldfKs</t>
  </si>
  <si>
    <t>A young lady with a grey jacket on is standing in front of a sink lathering her hands.</t>
  </si>
  <si>
    <t>She then turns the water on and begins to rinse her hands and flex her fingers to make sure all of the soap is off.</t>
  </si>
  <si>
    <t>After that is done,she grabs a white towel,dries her hands and wipes her mouth.</t>
  </si>
  <si>
    <t>v_ikZwamRM5mo</t>
  </si>
  <si>
    <t>Several percussionists stand on a field.</t>
  </si>
  <si>
    <t>They march in place on the field.</t>
  </si>
  <si>
    <t>They are drumming in sync.</t>
  </si>
  <si>
    <t>A woman walks by with a video camera.</t>
  </si>
  <si>
    <t>v_QeVVKZhoFCg</t>
  </si>
  <si>
    <t>A girl with several facial piercings his seen rubbing lotion all over her face and powdering her cheeks and face.</t>
  </si>
  <si>
    <t>She then puts eyeliner on followed by mascara and lip liner.</t>
  </si>
  <si>
    <t>She colors in her eyebrows and puts on fake eye lashes, then rubbing some of the black off and more mascara on.</t>
  </si>
  <si>
    <t>She puts a bit of blush in her cheeks and then smiles and waves to the camera.</t>
  </si>
  <si>
    <t>v_Lo0EQXmaeXM</t>
  </si>
  <si>
    <t>The man looks at the camera and then goes back to looking somewhere else and talking.</t>
  </si>
  <si>
    <t>then the cups they're both holding that has a blue liquid in it is then put into their mouths and they both gargle until they have lots of bubbles formed in their mouths.</t>
  </si>
  <si>
    <t>v_TBeZXLchito</t>
  </si>
  <si>
    <t>People skateboard in a competition on the road while bending and holding his arms back.</t>
  </si>
  <si>
    <t>Then, a skateboarder opens his arms and signal others to advance.</t>
  </si>
  <si>
    <t>Then, the skateboarders pass on front spectators watching on side the road.</t>
  </si>
  <si>
    <t>People take picture to the skateboarders.</t>
  </si>
  <si>
    <t>A skateboarder fells on the road.</t>
  </si>
  <si>
    <t>People continues skateboarding in the road.</t>
  </si>
  <si>
    <t>v_SHS8pNOsZDU</t>
  </si>
  <si>
    <t>A group rides horses playing a game of polo on a field.</t>
  </si>
  <si>
    <t>The group fight over the ball and ride in a tight formation.</t>
  </si>
  <si>
    <t>A member on the team breaks away and rides toward the goal on his horse.</t>
  </si>
  <si>
    <t>v_yo3s6V19YtQ</t>
  </si>
  <si>
    <t>A young man is rappelling up the side of a cliff.</t>
  </si>
  <si>
    <t>Another man watches and helps from below.</t>
  </si>
  <si>
    <t>The man continues climbing until he reaches the top.</t>
  </si>
  <si>
    <t>v_tgdLeBX7aXk</t>
  </si>
  <si>
    <t>People are playing cricket together outside.</t>
  </si>
  <si>
    <t>A group of people hold up a trophy.</t>
  </si>
  <si>
    <t>People are walking around outside playing cricket.</t>
  </si>
  <si>
    <t>v_wBhtt9x74TA</t>
  </si>
  <si>
    <t>A woman is standing by a toilet in a bikini.</t>
  </si>
  <si>
    <t>A man is rubbing sunscreen onto her legs.</t>
  </si>
  <si>
    <t>She begins to rub her leg.</t>
  </si>
  <si>
    <t>v_f-aGlEjgZoE</t>
  </si>
  <si>
    <t>A woman is seen speaking to the camera while holding up various objects.</t>
  </si>
  <si>
    <t>The puts tape on he eye and begins putting eyeliner above her eye.</t>
  </si>
  <si>
    <t>She continues putting the makeup on while speaking to the camera and takes off the tape in the end.</t>
  </si>
  <si>
    <t>v_HfowLX1u38Y</t>
  </si>
  <si>
    <t>man wearing a purple shirt is holding a gas pipe.</t>
  </si>
  <si>
    <t>the man is using the pipe to light up the woodfire.</t>
  </si>
  <si>
    <t>man is standing outside a house lighting up a woodfire.</t>
  </si>
  <si>
    <t>v_UhB739uudDo</t>
  </si>
  <si>
    <t>A man is seen standing in a field with a dog while holding onto toys.</t>
  </si>
  <si>
    <t>The man then begins throwing the toys while the dog chases after them.</t>
  </si>
  <si>
    <t>The men continues to do tricks with the dog and end with a picture.</t>
  </si>
  <si>
    <t>v_WBkqGBFsdgI</t>
  </si>
  <si>
    <t>An older blonde newswoman is reading a story.</t>
  </si>
  <si>
    <t>Various pictures are shown of shuffleboard history.</t>
  </si>
  <si>
    <t>An older man is interviewed for the camera.</t>
  </si>
  <si>
    <t>Various clips of people playing shuffleboard are shown.</t>
  </si>
  <si>
    <t>The older blonde reporter ends the news story.</t>
  </si>
  <si>
    <t>v_JH31FxBZ5Xw</t>
  </si>
  <si>
    <t>Several shots of wrestlers are shown.</t>
  </si>
  <si>
    <t>They all are doing flips off the corner.</t>
  </si>
  <si>
    <t>The land on their opponent.</t>
  </si>
  <si>
    <t>They knock them down to the floor.</t>
  </si>
  <si>
    <t>v_TgDzZIop_uw</t>
  </si>
  <si>
    <t>An unseen person demonstrates how to remove and install a tire valve on a tire using a special tool.</t>
  </si>
  <si>
    <t>A pair of hands is seen yielding a metal tool over a yellow walled tire lying on a flat surface.</t>
  </si>
  <si>
    <t>The hand uses the metal curved tool to pluck the old tire valve out of its hole.</t>
  </si>
  <si>
    <t>The hand then uses a metal, black, tool to insert a new valve into the tire.</t>
  </si>
  <si>
    <t>v_PwMDJapSo70</t>
  </si>
  <si>
    <t>A person's hands are seen moving around a cat and trimming it's claws while the cat lays still and looks around.</t>
  </si>
  <si>
    <t>The person then files the nails of the cat and zooms in on the cat's belly in the end.</t>
  </si>
  <si>
    <t>v_MKmrqcoCZ-M</t>
  </si>
  <si>
    <t>A man is sitting on a black mat in a gym.</t>
  </si>
  <si>
    <t>He lays back and does crunches on the mat.</t>
  </si>
  <si>
    <t>He sits up and continues talking.</t>
  </si>
  <si>
    <t>v_kH8YpzoflKg</t>
  </si>
  <si>
    <t>A camera pans around a shirtless man sitting in the snow followed by the man snowboarding and men riding up a hill.</t>
  </si>
  <si>
    <t>Several shots are shown of people riding down the snowy hill and doing tricks in front of the camera.</t>
  </si>
  <si>
    <t>v_GffGGAwbcHo</t>
  </si>
  <si>
    <t>A caveman is seen walking a purple rock.</t>
  </si>
  <si>
    <t>He runs into a big dog and the dog eats the caveman.</t>
  </si>
  <si>
    <t>A God walks a poodle.</t>
  </si>
  <si>
    <t>A cowboy walks his dog and is shot outside a saloon.</t>
  </si>
  <si>
    <t>Chaplin is seen walking his dog.</t>
  </si>
  <si>
    <t>A hippie dog lies down on the floor and seems to be hallucinating.</t>
  </si>
  <si>
    <t>Dogs and spacecraft are seen exploring space.</t>
  </si>
  <si>
    <t>v_E3h0UHRsSQk</t>
  </si>
  <si>
    <t>A man wearing a black clothes is sharpening the knife on a stone.</t>
  </si>
  <si>
    <t>The man beside him on blue long sleeves drawing something on the table with his finger.</t>
  </si>
  <si>
    <t>The man turn the knife to sharpen the other side and then wipe it with paper towel.</t>
  </si>
  <si>
    <t>The man in navy blue shirt point to the knife while the man sharpening the knife tries to sharpen it one hand.</t>
  </si>
  <si>
    <t>He continues sharpening the knife, turn it again to further sharpen the other side and wipe it again with paper towel.</t>
  </si>
  <si>
    <t>Throws the old and dirty paper towel and reach the roll of paper towel and clean the knife.</t>
  </si>
  <si>
    <t>v_-ibmoYKRxQk</t>
  </si>
  <si>
    <t>A camera pans around a snowy area and transitions into several people in tubes down a hill.</t>
  </si>
  <si>
    <t>The people laugh while riding down the hill when one person falls off and the camera pans around the people.</t>
  </si>
  <si>
    <t>The camera shows one more shot of the people all riding down the long hill together.</t>
  </si>
  <si>
    <t>v_x2FfKHiN_3s</t>
  </si>
  <si>
    <t>A man is sitting on a frozen lake, fishing through a hole and surrounded by fishing gear.</t>
  </si>
  <si>
    <t>He walks away from his stuff, and a fish pulls his pole into the water, disappearing with it.</t>
  </si>
  <si>
    <t>He stands angrily with his hands on his hips, then gets another pole to try to get it back.</t>
  </si>
  <si>
    <t>v_UYFDYX4i2EY</t>
  </si>
  <si>
    <t>A man is standing on a stage performing different moves.</t>
  </si>
  <si>
    <t>He walks off the stage and someone else walks onto the stage.</t>
  </si>
  <si>
    <t>v_LNlGgtg70uQ</t>
  </si>
  <si>
    <t>This woman is showing her viewers how to make a Chambord Royale.</t>
  </si>
  <si>
    <t>First she fills her shaker up halfway with ice and then she adds vodka and Chambord and she puts one ounce of both of them and then she adds a little bit of pineapple juice and cranberry juice.</t>
  </si>
  <si>
    <t>Next she shakes everything up and strains the drink into the cocktail cup.</t>
  </si>
  <si>
    <t>v_59mz2Nd8GM0</t>
  </si>
  <si>
    <t>This perosn is shown making a sandwich that includes lunch meat, swiss cheese, and mayonnaise.</t>
  </si>
  <si>
    <t>He then mixes an egg and milk together and puts the sandwich into the mix.</t>
  </si>
  <si>
    <t>He puts the sandwich into a skillet that's on the stove for a little bit, and then he puts the sandwich on a white square shaped plate, which I'm guessing he ate.</t>
  </si>
  <si>
    <t>v_DU2hdNIS2WI</t>
  </si>
  <si>
    <t>A very large, muscular man is shown in a gym with a weight bar as piano music plays in the background.</t>
  </si>
  <si>
    <t>The video begins with the weight on the floor and the man getting ready to lift it.</t>
  </si>
  <si>
    <t>He lifts the weight and first brings it parallel to his shoulders.</t>
  </si>
  <si>
    <t>He then lifts it completely over his head with his arms extended.</t>
  </si>
  <si>
    <t>After leaving his arms up for several seconds, he allows the weight to fall on the ground.</t>
  </si>
  <si>
    <t>v_MSjSXzk2k50</t>
  </si>
  <si>
    <t>An intro leads into a woman pulling out a bucket and piecing together a mop.</t>
  </si>
  <si>
    <t>The camera pans around the bucket and the woman continues using the mop inside the bucket and moving around the object.</t>
  </si>
  <si>
    <t>v_HHDMFrN7vFs</t>
  </si>
  <si>
    <t>A man in a red shirt is sitting at an exercise bike.</t>
  </si>
  <si>
    <t>He is moving his legs on the pedals.</t>
  </si>
  <si>
    <t>There are other bikes next to him.</t>
  </si>
  <si>
    <t>v_DCYz8p4zH6o</t>
  </si>
  <si>
    <t>A man is seen kneeling on the floor swinging his arms back and fourth.</t>
  </si>
  <si>
    <t>Text moves across his face as he swings his arms.</t>
  </si>
  <si>
    <t>The man continues to swing his arms and ends with credits rolling.</t>
  </si>
  <si>
    <t>v_MiTIi_QYt2k</t>
  </si>
  <si>
    <t>A close up of a wooden bench is seen followed by a person mixing ingredients together.</t>
  </si>
  <si>
    <t>A person is then seen holding a rag and wiping down the bench.</t>
  </si>
  <si>
    <t>More ingredients are mixed afterwards that leads into more wiping down with the rag.</t>
  </si>
  <si>
    <t>v_56m7PcBuUFc</t>
  </si>
  <si>
    <t>A girl is pushing two little boys on a backyard swing.</t>
  </si>
  <si>
    <t>She smiles at the camera as she pushes the boys back and forth.</t>
  </si>
  <si>
    <t>v_u35hesPTsNE</t>
  </si>
  <si>
    <t>A band is seen sitting on the stage with one man playing the drums and a woman interviewing him.</t>
  </si>
  <si>
    <t>The man continues playing as the women speaks to the crowd and sings while they play.</t>
  </si>
  <si>
    <t>v_eAOBdYKju70</t>
  </si>
  <si>
    <t>Various shots are shown of horse saddles and various people riding these saddles on horses.</t>
  </si>
  <si>
    <t>A girl wraps the rope around her saddle while others practice on placed saddles.</t>
  </si>
  <si>
    <t>People ride around the saddles and show various caddie and how to ride them.</t>
  </si>
  <si>
    <t>A tourist is being interviewed on riding experience but she watched other riding and felt confident.</t>
  </si>
  <si>
    <t>A man speakers on his experience and various shots of the horses and wildlife are shown.</t>
  </si>
  <si>
    <t>v_szW1c2SGdew</t>
  </si>
  <si>
    <t>A man swings his leg in the air creating letters and we see an opening screen.</t>
  </si>
  <si>
    <t>two men are in two different rooms performing Capoeira moves.</t>
  </si>
  <si>
    <t>A man does a handstand move.</t>
  </si>
  <si>
    <t>The man does a handstand and pauses.</t>
  </si>
  <si>
    <t>We see the website on a black screen.</t>
  </si>
  <si>
    <t>We see four screens with images of men doing Capoeira.</t>
  </si>
  <si>
    <t>v_5kIl4TspdR0</t>
  </si>
  <si>
    <t>Someone is brushing their teeth with an electric toothbrush.</t>
  </si>
  <si>
    <t>They wear braces so they make sure to scrub all around very well.</t>
  </si>
  <si>
    <t>You can see the tongue moving around never really being comfortable inside of the mouth.</t>
  </si>
  <si>
    <t>The man continues to brush, toothpaste spewing down his lips a bit .</t>
  </si>
  <si>
    <t>v_eMB9L-LDK1E</t>
  </si>
  <si>
    <t>A person sprays a sink and wipes it with a towel.</t>
  </si>
  <si>
    <t>They spray a bath tub and wipe it with a towel.</t>
  </si>
  <si>
    <t>They spray a toilet and wipe it with a toilet.</t>
  </si>
  <si>
    <t>v_UUjXw1xjprU</t>
  </si>
  <si>
    <t>There are several people gathered in a skating park with skateboards.</t>
  </si>
  <si>
    <t>There a young man wearing a red hat talking about a skateboarding event at Red Bull skate Arcade.</t>
  </si>
  <si>
    <t>Several spectators are gathered in the arcade along with a panel of judges.</t>
  </si>
  <si>
    <t>Some of the participants are beating the heat by splashing water on themselves.</t>
  </si>
  <si>
    <t>The participants begin their stunts on the skateboards as they go over ramps and steep slopes.</t>
  </si>
  <si>
    <t>Several participants are showing off their stunts as spectators cheer and clap for them.</t>
  </si>
  <si>
    <t>They show off their scary yet impressive stunts as the climb up walls and steep ramps without falling.</t>
  </si>
  <si>
    <t>The crowds cheer for them and applaud them.</t>
  </si>
  <si>
    <t>The winners are awarded certificates and prizes for winning.</t>
  </si>
  <si>
    <t>v_QooDDNWaQjU</t>
  </si>
  <si>
    <t>A person throws a Frisbee for her dog for a dog to retrieve during an event on a sporting field.</t>
  </si>
  <si>
    <t>The dog catches the Frisbee and brings it back to the trainer.</t>
  </si>
  <si>
    <t>v_mvQxhjjVWOk</t>
  </si>
  <si>
    <t>There is a woman representing Jamaica participating on a long jump event.</t>
  </si>
  <si>
    <t>There is another woman doing long jump from another country.</t>
  </si>
  <si>
    <t>Several other contestant are participating in the same long jump competition.</t>
  </si>
  <si>
    <t>There are spectators watching them as they compete against each other.</t>
  </si>
  <si>
    <t>The contestant from Istanbul makes very long jump in the sand pit.</t>
  </si>
  <si>
    <t>The contestants continue competing in the sporting event.</t>
  </si>
  <si>
    <t>v_sRYDJ379UYc</t>
  </si>
  <si>
    <t>A man is seen sitting on a piece of exercise equipment with a trainer standing in front of him.</t>
  </si>
  <si>
    <t>The man then moves back and fourth on the machine while the other man helps.</t>
  </si>
  <si>
    <t>He is shown again in another clips moving and the trainer helping.</t>
  </si>
  <si>
    <t>v_w50et2-vEOQ</t>
  </si>
  <si>
    <t>We see the title and introductions screens.</t>
  </si>
  <si>
    <t>We see a boat with a man on it.</t>
  </si>
  <si>
    <t>We see people and the interior of the boat.</t>
  </si>
  <si>
    <t>The man wakeboards around a lake.</t>
  </si>
  <si>
    <t>We see the boat with people in it.</t>
  </si>
  <si>
    <t>The man pulls out the ladder and climbs on the boat then we see a boat take off, and in a show room.</t>
  </si>
  <si>
    <t>The man falls off the wakeboard 2 times.</t>
  </si>
  <si>
    <t>We see the ending title screen.</t>
  </si>
  <si>
    <t>v_WMoofjkumOs</t>
  </si>
  <si>
    <t>In the beginning the man is shown tricking the bull.</t>
  </si>
  <si>
    <t>Many other men have been shown tricking bulls in front of large crowds.</t>
  </si>
  <si>
    <t>v_TF591ByrGYk</t>
  </si>
  <si>
    <t>A young male gymnast is is an arena standing on a mat preparing to do his routine.</t>
  </si>
  <si>
    <t>The boy then approached the bars and does a series of swings and hand stand in the air.</t>
  </si>
  <si>
    <t>While he's performing,he adds several flips and rolls into his performance before finally jumping off of the bars.</t>
  </si>
  <si>
    <t>v_95pMelnv2dQ</t>
  </si>
  <si>
    <t>Men play badminton in the sand.</t>
  </si>
  <si>
    <t>A man on the left serves the birdie both men on the right miss it.</t>
  </si>
  <si>
    <t>the man on the right serves and the man on the left hits it back but it hits the net.</t>
  </si>
  <si>
    <t>A man stands on the left watching.</t>
  </si>
  <si>
    <t>v_y_HCdBEJbNE</t>
  </si>
  <si>
    <t>A man puts plaster on a base.</t>
  </si>
  <si>
    <t>The man walks over and rubs it on the ceiling.</t>
  </si>
  <si>
    <t>We see the stilts the man is walking on.</t>
  </si>
  <si>
    <t>The camera becomes wobbly and blurry.</t>
  </si>
  <si>
    <t>The man bends down to grab more plaster.</t>
  </si>
  <si>
    <t>The man smiles and the video ends.</t>
  </si>
  <si>
    <t>v_RWjCwIOuzrc</t>
  </si>
  <si>
    <t>There is a man nodding in the first frame.</t>
  </si>
  <si>
    <t>The video movies to the man putting up the wall paper by first measuring it out, lining up the pattern and putting it up on the wall.</t>
  </si>
  <si>
    <t>He then unscrews a light switch and pulls it out just a little, making some slits in the fabric or paper, then putting the light switch back over the new wall paper.</t>
  </si>
  <si>
    <t>The camera shows wall paper in a finished room, going over different rooms with different wall papers.</t>
  </si>
  <si>
    <t>The man is later seen measuring and marking the wall, rolling out more wall paper and putting it up on the wall.</t>
  </si>
  <si>
    <t>Then it shows two tables that look like they have also been wall papered.</t>
  </si>
  <si>
    <t>v__4licRHiRRs</t>
  </si>
  <si>
    <t>A text intro leads into a picture of a dog and the same dog running along the yard.</t>
  </si>
  <si>
    <t>The dog is seen in several clips chasing after a frisbee.</t>
  </si>
  <si>
    <t>A man throws the frisbee to the dog in the yard who continues chasing after him.</t>
  </si>
  <si>
    <t>v_c2-6_i1yV5E</t>
  </si>
  <si>
    <t>Individuals run with a elongated stick and use it to elevated their bodies over a heighten hurdle.</t>
  </si>
  <si>
    <t>A guy touches the back of the individual as he lifts his body.</t>
  </si>
  <si>
    <t>The guy seems like he falls backs while trying to lift his body because the clip is reversed.</t>
  </si>
  <si>
    <t>v_gDNgiybMA1s</t>
  </si>
  <si>
    <t>A camera pans up to a person standing in a kitchen and then dancing on the floor.</t>
  </si>
  <si>
    <t>The man continues to dance around while looking to the camera and singing.</t>
  </si>
  <si>
    <t>v_O4P07fipvIA</t>
  </si>
  <si>
    <t>A large group of cheerleaders are seen running into an arena cheering and beginning performing a routine with one another.</t>
  </si>
  <si>
    <t>The girls continue cheering around the stage while lifting one another up and performing tricks and pans to the audience in the end.</t>
  </si>
  <si>
    <t>v_hru57dsi0N0</t>
  </si>
  <si>
    <t>A woman is seated in a chair in a dining room.</t>
  </si>
  <si>
    <t>She shows off her bare feet and their shape.</t>
  </si>
  <si>
    <t>She then puts on and tries to lace her shoes around the swollen feet.</t>
  </si>
  <si>
    <t>v_XHMrvd3sKzE</t>
  </si>
  <si>
    <t>Two kids are climbing a rock wall.</t>
  </si>
  <si>
    <t>The adults are guiding the lines.</t>
  </si>
  <si>
    <t>The kids continue to climb.</t>
  </si>
  <si>
    <t>The one on the right will make it to the top first.</t>
  </si>
  <si>
    <t>The one on the left did not make it to the top, both hop back down the wall.</t>
  </si>
  <si>
    <t>v_mAWuiYWXmb8</t>
  </si>
  <si>
    <t>A woman and a man exercise sitting on a cardio machine.</t>
  </si>
  <si>
    <t>A woman works out sitting on a cardio machine.</t>
  </si>
  <si>
    <t>A man sits next a woman performing cardio workouts.</t>
  </si>
  <si>
    <t>v_l8NepxsCh34</t>
  </si>
  <si>
    <t>A girl is playing hopscotch on a sidewalk.</t>
  </si>
  <si>
    <t>She gets to the end and turns around to go back.</t>
  </si>
  <si>
    <t>Another girl throws a puck onto the sidewalk and starts to play hopscotch.</t>
  </si>
  <si>
    <t>v_UZ9D6DhrmDI</t>
  </si>
  <si>
    <t>A person solves a cube puzzle flipping the pieces around.</t>
  </si>
  <si>
    <t>The person solves the puzzle and show a chronometer.</t>
  </si>
  <si>
    <t>v_s9Wop4PMZaw</t>
  </si>
  <si>
    <t>Two young children are seen riding on a camel past a group of people and a man leading them along.</t>
  </si>
  <si>
    <t>The man continues to lead the camel around with the children on top and ends with them climbing down and others walking up.</t>
  </si>
  <si>
    <t>v_2N129Bw1jiQ</t>
  </si>
  <si>
    <t>Young children are seen jumping on a mat back and fourth while two older women watch them on the side.</t>
  </si>
  <si>
    <t>The boy then takes a big leap and the girl stands in front of him.</t>
  </si>
  <si>
    <t>v_ffyPN2-EDg4</t>
  </si>
  <si>
    <t>A man walks up to a snow scoop.</t>
  </si>
  <si>
    <t>The man shovels the snow on a roof while the cameraman talks.</t>
  </si>
  <si>
    <t>The man stops scooping the snow.</t>
  </si>
  <si>
    <t>v_aTrEYoCRL2k</t>
  </si>
  <si>
    <t>A man sitting in a leaf blower starts the machine and blows a large pile of leafs into the brush nearby.</t>
  </si>
  <si>
    <t>We we see the vehicle back and and go back and forth blowing the leaves.</t>
  </si>
  <si>
    <t>The cameraman stops the vehicle and gets out.</t>
  </si>
  <si>
    <t>We see the full vehicle from the front and see the field.</t>
  </si>
  <si>
    <t>v_sRgBK2_nb0I</t>
  </si>
  <si>
    <t>We see a man raise his arms and prepare to mount the pommel horse.</t>
  </si>
  <si>
    <t>The man mounts the pommel horse.</t>
  </si>
  <si>
    <t>The man does a handstand and throws his open legs over the pommel.</t>
  </si>
  <si>
    <t>The man spins around on the pommel horse.</t>
  </si>
  <si>
    <t>The man does a handstand and dismounts.</t>
  </si>
  <si>
    <t>The man raises his arms and walks away.</t>
  </si>
  <si>
    <t>The man shakes another man's hand.</t>
  </si>
  <si>
    <t>v_jnnHUCs-t3o</t>
  </si>
  <si>
    <t>Several people are playing in a public swimming pool.</t>
  </si>
  <si>
    <t>They swim in the water, playing a game with a ball.</t>
  </si>
  <si>
    <t>They hit the ball back and forth, trying to keep it from each other.</t>
  </si>
  <si>
    <t>v_m22TDwfa8go</t>
  </si>
  <si>
    <t>A woman is seen talking to the camera and presenting various liquids to the camera.</t>
  </si>
  <si>
    <t>She ready's the tip of a glass and dips the glass into sugar on a plate.</t>
  </si>
  <si>
    <t>She pours various liquids into a mixer and shakes the mixture all together.</t>
  </si>
  <si>
    <t>She pours the drink out into the glass while still speaking to the camera.</t>
  </si>
  <si>
    <t>v_Vcv9P-4Tty0</t>
  </si>
  <si>
    <t>A group of people are seen standing on a sandy field with one throwing a soccer ball to another.</t>
  </si>
  <si>
    <t>The other person scores a goal and other players jump on him and congratulate him.</t>
  </si>
  <si>
    <t>The same goal is shown several more times from different angles.</t>
  </si>
  <si>
    <t>v_3NSikmqK3Ys</t>
  </si>
  <si>
    <t>man is standing in front of a motorbike and puts a toilet lid in the black leathe seat.</t>
  </si>
  <si>
    <t>the man is driving the motorbike thorugh the street and a dog is running next to him.</t>
  </si>
  <si>
    <t>the man opens the motorbike trunk and close it.</t>
  </si>
  <si>
    <t>v_EU-IdUKbLSg</t>
  </si>
  <si>
    <t>A large group of people are seen swimming around a pool while a coach yells on the sides.</t>
  </si>
  <si>
    <t>Shots of people playing are shown when one hits the other.</t>
  </si>
  <si>
    <t>The coaches yell to one another while people still play the game.</t>
  </si>
  <si>
    <t>v_ciXArKhjAv8</t>
  </si>
  <si>
    <t>A little boy is standing eating ice cream.</t>
  </si>
  <si>
    <t>There is a dog on the floor behind him.</t>
  </si>
  <si>
    <t>He laughs and turns around.</t>
  </si>
  <si>
    <t>v_K-r_Tj7uFGw</t>
  </si>
  <si>
    <t>A girl is sitting on a large chair with two girls beside her and a man tattooing her foot.</t>
  </si>
  <si>
    <t>Another man steps into frame and the girls continue talking to each other while the artist.</t>
  </si>
  <si>
    <t>v_TOfBNYOlv8c</t>
  </si>
  <si>
    <t>A woman behind a bar is showing how to make a mixed drink.</t>
  </si>
  <si>
    <t>A series of shots appear with a person pouring alcohol into a martini glass and then the screen fades into the video title screen showing a website name, the name of the drink they are making and the person who will be making it.</t>
  </si>
  <si>
    <t>A website address is shown at the bottom of the screen.</t>
  </si>
  <si>
    <t>A girl standing behind the bar explains what ingredients she is using for the drink, the amounts she is using, and mixes them all together in a glass and presents the drink.</t>
  </si>
  <si>
    <t>The camera zooms in on the drink and fades to black to end the video.</t>
  </si>
  <si>
    <t>v_hlwSgE7Epwo</t>
  </si>
  <si>
    <t>A woman standing outside near a tennis court talking about things.</t>
  </si>
  <si>
    <t>A girl in all black with a baton practicing her moves and dances inside of the studio.</t>
  </si>
  <si>
    <t>Her coach does an interview while sitting down with her hands held together.</t>
  </si>
  <si>
    <t>The girl continues to practice by herself in the studio.</t>
  </si>
  <si>
    <t>v_O-zE1-Yw3w0</t>
  </si>
  <si>
    <t>A young girl introduces the video and explains what she will be doing to wood.</t>
  </si>
  <si>
    <t>She places a piece of bubblewrap and makes sure it covers around about half of the wood.</t>
  </si>
  <si>
    <t>She then covers the rest of the wood and walks across it like a plank.</t>
  </si>
  <si>
    <t>v_VgQ6a7oVx7g</t>
  </si>
  <si>
    <t>People are performing gymnastic stunts in front of an audience.</t>
  </si>
  <si>
    <t>A guy locks his arms around bars above his head.</t>
  </si>
  <si>
    <t>The guy swings his body while holding on to the bars.</t>
  </si>
  <si>
    <t>The guy flips off the bars and lands on his feet, claps, and begins to leave.</t>
  </si>
  <si>
    <t>A man approaches the guy clapping.</t>
  </si>
  <si>
    <t>v_21krmbuT21s</t>
  </si>
  <si>
    <t>Two gymasts are performing in front of a crowd.</t>
  </si>
  <si>
    <t>One is spinning constantly on a beam.</t>
  </si>
  <si>
    <t>The man in red mounts and begins to spin, performing several tricks.</t>
  </si>
  <si>
    <t>The man dismounts, and puts one victorious arm up into the air.</t>
  </si>
  <si>
    <t>v_STwMeZMg_aA</t>
  </si>
  <si>
    <t>A boy pulls a string of a home fitness machine while talking.</t>
  </si>
  <si>
    <t>Then, the boy falls down the floor.</t>
  </si>
  <si>
    <t>v_EmlmKZ6Gi3Y</t>
  </si>
  <si>
    <t>There's a large team of participants getting ready to do engage in a water tubing activity.</t>
  </si>
  <si>
    <t>They walk down a hilly terrain to the river.</t>
  </si>
  <si>
    <t>They get onto their tubes and begin going down the rapids.</t>
  </si>
  <si>
    <t>The participants seem very calm and happy as they wave to the camera.</t>
  </si>
  <si>
    <t>They all begin their journey down the rapids as the water starts getting more turbulent.</t>
  </si>
  <si>
    <t>They continue going along the with water current as they flow steadily through the water.</t>
  </si>
  <si>
    <t>Then they all arrive at banks of the river where the water is calm and steady flowing.</t>
  </si>
  <si>
    <t>v_hQXWnoipdFE</t>
  </si>
  <si>
    <t>The video is represented by North Face and Cliff Bar where they show mountain climbers at Yosemite National Park.</t>
  </si>
  <si>
    <t>There are several people talking about the fascination of mountain climbing.</t>
  </si>
  <si>
    <t>There are pictures of people wearing bandanas shown sitting on the mountain tops.</t>
  </si>
  <si>
    <t>There's a man who is mountain climbing on a steep slope.</t>
  </si>
  <si>
    <t>Another man takes a leap from the top of mountain in an attempt to bungee jump from that height.</t>
  </si>
  <si>
    <t>v_pHZogKGkc9o</t>
  </si>
  <si>
    <t>A group of young boys are inside a basketball court.</t>
  </si>
  <si>
    <t>They play a game while the coach cheers them on and instructs them.</t>
  </si>
  <si>
    <t>Some of the boys watch from the sidelines, waiting for their turn.</t>
  </si>
  <si>
    <t>v_9V7cMp_w1_0</t>
  </si>
  <si>
    <t>Winter scenes with vehicles and heavy snow are shown.</t>
  </si>
  <si>
    <t>Scenes from the interior of an airport are shown, with people walking around or waiting.</t>
  </si>
  <si>
    <t>A woman talks to the camera.</t>
  </si>
  <si>
    <t>A man cleans snow off a car.</t>
  </si>
  <si>
    <t>More scenes from a winter storm are shown.</t>
  </si>
  <si>
    <t>Scenes of people cleaning snow off their vehicles are shown.</t>
  </si>
  <si>
    <t>A different woman talks to the camera.</t>
  </si>
  <si>
    <t>A car drives away from the camera.</t>
  </si>
  <si>
    <t>Two people talk to the camera.</t>
  </si>
  <si>
    <t>A truck drives away from the camera.</t>
  </si>
  <si>
    <t>v_NOxiMgQMeuk</t>
  </si>
  <si>
    <t>A woman is shown with a paintbrush and a piece of canvas.</t>
  </si>
  <si>
    <t>She uses green paint to fill in a drawing of a plant.</t>
  </si>
  <si>
    <t>She goes around in circles, painting the image.</t>
  </si>
  <si>
    <t>v_6tveUnZe7WA</t>
  </si>
  <si>
    <t>A white male is dressed outside in a Scotland uniform standing outside in the middle of a cemetery.</t>
  </si>
  <si>
    <t>As he is standing,he plays the bag pipes with the American Flag hanging down from them.</t>
  </si>
  <si>
    <t>When he is finished,he begins to look to his right,shakes his head,catches his breath and keeps playing.</t>
  </si>
  <si>
    <t>v_jzDXtd0__DM</t>
  </si>
  <si>
    <t>A close up of a sign is seen followed by a young couple looking to the camera.</t>
  </si>
  <si>
    <t>Other people are seen standing on the side and watching the other two.</t>
  </si>
  <si>
    <t>The coupe hold on and then jump off the side while the others stand and watch.</t>
  </si>
  <si>
    <t>v_i5jZVSzLbYQ</t>
  </si>
  <si>
    <t>A person is seen performing various flips and tricks in front of audience and leads into a young boy standing in the middle.</t>
  </si>
  <si>
    <t>The boy and man then battle against one another doing several tricks and ends with the an holding the boy's arm.</t>
  </si>
  <si>
    <t>He then claps to the boy and several people on the side clap.</t>
  </si>
  <si>
    <t>v_vX8L1RcZ4cc</t>
  </si>
  <si>
    <t>A little boy doing karate is yelling commands.</t>
  </si>
  <si>
    <t>He starts to do some of his karate moves, moving all around the court.</t>
  </si>
  <si>
    <t>He is a blue belt being judged for his skills.</t>
  </si>
  <si>
    <t>He bows gracefully before walking off and the judges throw up their flags.</t>
  </si>
  <si>
    <t>v_3TbZ7uSYUe8</t>
  </si>
  <si>
    <t>A group of men are standing on a diving board and they take terms jumping off of the diving board.</t>
  </si>
  <si>
    <t>As the last person jumps off the board,a group of men are shown walking across the pool.</t>
  </si>
  <si>
    <t>v_FhbsTTHT2Zs</t>
  </si>
  <si>
    <t>A woman with blonde hair,a purple jacket and black gloves on is standing near a stable talking.</t>
  </si>
  <si>
    <t>As she continues talking,her saddle is shown and she begins talking about the specifics of it.</t>
  </si>
  <si>
    <t>The lady then puts it on the horse and begins rubbing certain parts of it to make sure it is secure.</t>
  </si>
  <si>
    <t>v_xld0M1MXNiE</t>
  </si>
  <si>
    <t>A close up of a globe is shown with a person pointing a hookah at it.</t>
  </si>
  <si>
    <t>The man is then seen looking closely to the camera.</t>
  </si>
  <si>
    <t>He finally blows smoke rings out of his mouth.</t>
  </si>
  <si>
    <t>v_0SmA1cGocz4</t>
  </si>
  <si>
    <t>The word curling appears on the screen numerous times.</t>
  </si>
  <si>
    <t>A woman is shown having her hair dried, brushed, and curled by a specialist.</t>
  </si>
  <si>
    <t>He places her hair is rollers, then takes them down and styles it.</t>
  </si>
  <si>
    <t>Then she poses with her new hair style.</t>
  </si>
  <si>
    <t>v_py4ekPd5G_k</t>
  </si>
  <si>
    <t>Several shots of a building are shown as well as a lake surrounded by trees.</t>
  </si>
  <si>
    <t>Many people are seen riding canoes and a person's feet and legs are shown.</t>
  </si>
  <si>
    <t>The people ride down the river while the camera pans in more landscapes and trees.</t>
  </si>
  <si>
    <t>v_5IkU9svJFRI</t>
  </si>
  <si>
    <t>We see a boy squatting in the dirt.</t>
  </si>
  <si>
    <t>We then see the title screen.</t>
  </si>
  <si>
    <t>The little boy attempts to make a campfire using a flint.</t>
  </si>
  <si>
    <t>Small flames start and grow.</t>
  </si>
  <si>
    <t>The boy stands up next to his fire.</t>
  </si>
  <si>
    <t>We see 2 title cards about starting fires for survival and the website is show before the end screens.</t>
  </si>
  <si>
    <t>v_3YiGMRp-7B4</t>
  </si>
  <si>
    <t>A group of people are standing in a parking lot.</t>
  </si>
  <si>
    <t>The people move in several martial arts techniques.</t>
  </si>
  <si>
    <t>They kick and punch back and forth.</t>
  </si>
  <si>
    <t>v_kfW5sm39ZYE</t>
  </si>
  <si>
    <t>We see a flat tire on a car.</t>
  </si>
  <si>
    <t>the owner takes out the spare tire and tools.</t>
  </si>
  <si>
    <t>The person jacks up the car.</t>
  </si>
  <si>
    <t>The person puts their hand under the raised tire.</t>
  </si>
  <si>
    <t>The man takes off the bad tire.</t>
  </si>
  <si>
    <t>The man shows a screw in his tire.</t>
  </si>
  <si>
    <t>The man puts the spare tire on.</t>
  </si>
  <si>
    <t>The man lowers the car on the spare.</t>
  </si>
  <si>
    <t>v_WGzUnE043iA</t>
  </si>
  <si>
    <t>A man in a canoe talks and paddles in a lake surrounded by large rocks, trees, foliage, stray kayaks, and other people in canoes.</t>
  </si>
  <si>
    <t>The man begins at a profile view holding a paddle while sitting in a canoe and talking to a camera occasionally pointing to a nearby shore with the paddle.</t>
  </si>
  <si>
    <t>The man then uses the paddle in the water to push the canoe off deeper into the water.</t>
  </si>
  <si>
    <t>The man begins to paddle freely in the water, passing along the way, a group of people on a canoe and several stray canoes and kayaks in the water, before facing the camera again in a close up and talking.</t>
  </si>
  <si>
    <t>v_aDDq5ofaFHI</t>
  </si>
  <si>
    <t>White words appear on the screen and say "THE AMERICAN DREAM" and a man wearing a helmet jumps onto the dirt hill path and continues to walk down, grabs his skateboard and begins skating on the road at the end of the hill of a very scenic area.</t>
  </si>
  <si>
    <t>The man is now skating in a road in a residential area where he passes many homes with cars parked on the roads.</t>
  </si>
  <si>
    <t>The man continues to skate through residential areas, water edges along parks, harbors, cities and etcetera.</t>
  </si>
  <si>
    <t>The man ends with a walk along a rocky beach and carrying his skateboard on his right shoulder.</t>
  </si>
  <si>
    <t>v_Jo3R272P8eM</t>
  </si>
  <si>
    <t>A woman is holding a microphone standing outside a room.</t>
  </si>
  <si>
    <t>People are playing wall ball in the room.</t>
  </si>
  <si>
    <t>The woman is holding a piece of paper.</t>
  </si>
  <si>
    <t>v_SCGQIhvDcIo</t>
  </si>
  <si>
    <t>The "LLumar" logo appears on screen.</t>
  </si>
  <si>
    <t>A young girl with a pool cue walks to a pool table, the camera focuses on her low cut top.</t>
  </si>
  <si>
    <t>Several women play pool at the table in revealing clothing.</t>
  </si>
  <si>
    <t>The "LLumar" logo reappears on screen.</t>
  </si>
  <si>
    <t>v_hsJJbTqSQR4</t>
  </si>
  <si>
    <t>A young girl is seen standing on a tennis court holding a racket.</t>
  </si>
  <si>
    <t>The woman begins swinging the racket while another boy stands beside her.</t>
  </si>
  <si>
    <t>The woman continues swinging and walks back to the boy.</t>
  </si>
  <si>
    <t>v_w-6Oo3bgms4</t>
  </si>
  <si>
    <t>Several men are playing soccer in a gym.</t>
  </si>
  <si>
    <t>There are some spectators in the background.</t>
  </si>
  <si>
    <t>Another group of men are playing soccer.</t>
  </si>
  <si>
    <t>There are spectators in the background.</t>
  </si>
  <si>
    <t>Various scenes of soccer matches are shown with spectators.</t>
  </si>
  <si>
    <t>v_Y8WY_c3onSY</t>
  </si>
  <si>
    <t>A couple girls are seen riding down a long slide in the middle of a park.</t>
  </si>
  <si>
    <t>More children ride down the slide while a mother helps the kids at the top.</t>
  </si>
  <si>
    <t>v_u3B3M17akWU</t>
  </si>
  <si>
    <t>A woman is seen sitting down holding an ice cream while looking at the camera.</t>
  </si>
  <si>
    <t>She continues to eat the ice cream as the camera pans around her and watching her eat.</t>
  </si>
  <si>
    <t>v_-G8N5FxjZbw</t>
  </si>
  <si>
    <t>A man is seen playing a set of bagpipes while people behind him push around bicycles.</t>
  </si>
  <si>
    <t>He is seen playing again while more people walk in and out of frame with children and dogs.</t>
  </si>
  <si>
    <t>Some people stop to hear him play and he stops to look to the camera.</t>
  </si>
  <si>
    <t>v_gXKGS1N3zuM</t>
  </si>
  <si>
    <t>A belly dancer dressed in red and black is demonstrating how to hip circles and shimmy.</t>
  </si>
  <si>
    <t>She is standing with her feet hip width apart.</t>
  </si>
  <si>
    <t>Then she shows how to do the foot work as she moves her hips in circles.</t>
  </si>
  <si>
    <t>She simultaneously moves her hips and as she moves sideways.</t>
  </si>
  <si>
    <t>Then she extends her hands and up on one side as she continues to move along sideways.</t>
  </si>
  <si>
    <t>She repeats the steps going back and forth as she twirls her hips.</t>
  </si>
  <si>
    <t>v_SQncxXAlBFE</t>
  </si>
  <si>
    <t>A woman body builder slowly lifts a giant barbell of weights up into the air.</t>
  </si>
  <si>
    <t>She lifts it to her chest, Then over her head before freezing in place.</t>
  </si>
  <si>
    <t>v_qHU7T2LBToI</t>
  </si>
  <si>
    <t>A cheerleading team performs on a blue mat.</t>
  </si>
  <si>
    <t>They dance and tumble during their routine.</t>
  </si>
  <si>
    <t>v_MBouLt-hXDU</t>
  </si>
  <si>
    <t>Cake chemistry explaining how to do a at home experiment, They give all the ingredients needed and begin to explain what they will be doing.</t>
  </si>
  <si>
    <t>The start to give step by step instructions on how to mix the ingredients together.</t>
  </si>
  <si>
    <t>They give very detailed information about what to do before putting them in the oven.</t>
  </si>
  <si>
    <t>Once, they come out of the oven they explain the difference between all of the cakes and the different ingredients they did not put in each to see why the results were different.</t>
  </si>
  <si>
    <t>v_rbDbXXqaZaM</t>
  </si>
  <si>
    <t>A man drives a mowing machine to cut the grass of a backyard.</t>
  </si>
  <si>
    <t>The man pass on front the home to continues mowing the other parts of the yard.</t>
  </si>
  <si>
    <t>v_iyGve9RCjV4</t>
  </si>
  <si>
    <t>Two people are seen performing various martial arts with one another while a large group of people watch on the sides.</t>
  </si>
  <si>
    <t>More people stand in the middle and perform with one another and ends with people moving around and grabbing one another.</t>
  </si>
  <si>
    <t>v_fynO9wmckLA</t>
  </si>
  <si>
    <t>Two young men are standing indoors, talking to the camera.</t>
  </si>
  <si>
    <t>They demonstrate how they run on a track, and do a long jump into sand.</t>
  </si>
  <si>
    <t>v_pmPEfkb8roQ</t>
  </si>
  <si>
    <t>A fence in front of a house is shown.</t>
  </si>
  <si>
    <t>A man wearing white starts painting the fence.</t>
  </si>
  <si>
    <t>v_0MtST08F2Xc</t>
  </si>
  <si>
    <t>A person in blue pants is raking some fallen leaves from the ground.</t>
  </si>
  <si>
    <t>There is a black dog and a white dog jumping around the person raking the leaves.</t>
  </si>
  <si>
    <t>The white dog is trying to bite off the rake.</t>
  </si>
  <si>
    <t>Both the dogs are playing around the man raking the leaves, trying to bite the rake.</t>
  </si>
  <si>
    <t>The person is moving the rake in circles as the dogs are jumping around him.</t>
  </si>
  <si>
    <t>v_AEH6JEd_03c</t>
  </si>
  <si>
    <t>A butterfly is flying on the screen with words on slides.</t>
  </si>
  <si>
    <t>A person is mixing ingredients in a bowl.</t>
  </si>
  <si>
    <t>They spoon the dough onto a cookie sheet.</t>
  </si>
  <si>
    <t>Bakes cookies are shown stacked up on a plate.</t>
  </si>
  <si>
    <t>v_P6lwZ6gKvUw</t>
  </si>
  <si>
    <t>A person is seen sitting in a chair and leads into her peeling a potato with a knife.</t>
  </si>
  <si>
    <t>The person then finishes peeling the potatoes and putting it down.</t>
  </si>
  <si>
    <t>v_JV4ss42WZG8</t>
  </si>
  <si>
    <t>A person is seen cutting up various fruits while also seen speaking to the camera.</t>
  </si>
  <si>
    <t>The person mixes various ingredients into a container of water.</t>
  </si>
  <si>
    <t>The person spins around the container in the end.</t>
  </si>
  <si>
    <t>v_vw64k9rIi_g</t>
  </si>
  <si>
    <t>A person's hand washes a grey cat in a white tub of water.</t>
  </si>
  <si>
    <t>A grey cat is sitting in a white tub of clear water, drenched in water.</t>
  </si>
  <si>
    <t>A hand with a tattoo appears and wipes the cat's back with a red cloth.</t>
  </si>
  <si>
    <t>The hand then wipes the cat's neck and the back of its head with the red cloth.</t>
  </si>
  <si>
    <t>The hand, finally, lets the red cloth fall into the water as the hand holds itself up to the cat's nose.</t>
  </si>
  <si>
    <t>v_heLlfK--Bx0</t>
  </si>
  <si>
    <t>A girl is standing with her back turned on a court.</t>
  </si>
  <si>
    <t>She turns, accidentally dropping a rope.</t>
  </si>
  <si>
    <t>She then performs, spinning and jumping with the rope.</t>
  </si>
  <si>
    <t>v_BvACPvbUq1k</t>
  </si>
  <si>
    <t>A person is seen shoveling up some snow with the camera laid on his head.</t>
  </si>
  <si>
    <t>He shows several shots of him shoveling up the snow, a close up of his face, and panning around the area.</t>
  </si>
  <si>
    <t>v_Gpocjp7hSzU</t>
  </si>
  <si>
    <t>A chef shows all the ingredients to do pasta.</t>
  </si>
  <si>
    <t>Then, the chef puts the pasta in hot water, then pours oil in a pan.</t>
  </si>
  <si>
    <t>Next, the chef adds to the pan the garlic, tomatoes, basil, salt, pepper and the cooked pasta and mix.</t>
  </si>
  <si>
    <t>After, the chef adds the parmesan cheese on top the pasta and serves in a dish.</t>
  </si>
  <si>
    <t>The chef put cheese and two green leaves on top the pasta in the dish.</t>
  </si>
  <si>
    <t>v__TeU8A-CGbU</t>
  </si>
  <si>
    <t>A person install a carpet using a machine.</t>
  </si>
  <si>
    <t>The person cuts a piece of stained carpet.</t>
  </si>
  <si>
    <t>Then, the person replace with a new piece and bush.</t>
  </si>
  <si>
    <t>v_cByxAZfw_hM</t>
  </si>
  <si>
    <t>man is running in a race track and make a long jump while people in stands is watching him an clapping.</t>
  </si>
  <si>
    <t>people on side of the racetrack is sitting on a side.</t>
  </si>
  <si>
    <t>v_TGVWaA_xTGE</t>
  </si>
  <si>
    <t>A woman is seen sitting behind a set of bongo drums and playing along while speaking to the camera.</t>
  </si>
  <si>
    <t>The woman continues hitting the drums while speaking to the camera and singing along.</t>
  </si>
  <si>
    <t>v_vvdmMyyAtN0</t>
  </si>
  <si>
    <t>A woman is lying on a bed with her hair spread.</t>
  </si>
  <si>
    <t>There are several images of her from behind with very long hair.</t>
  </si>
  <si>
    <t>We then see numerous images of her with her hair cut off to shoulder length.</t>
  </si>
  <si>
    <t>v_VJyNbaAz6Xs</t>
  </si>
  <si>
    <t>A man in a red coat is outside on a snowboard.</t>
  </si>
  <si>
    <t>He starts going down a course and doing some really cool tricks while moving.</t>
  </si>
  <si>
    <t>Some men are rubbing down their boards and another gets on the field and starts doing some flips and stuff in mid air.</t>
  </si>
  <si>
    <t>These are all pretty experienced people on the boards, they are even boarding through water and having a good time.</t>
  </si>
  <si>
    <t>v_lroya8XhuPs</t>
  </si>
  <si>
    <t>woman is standing talking to the camera holding a microphone and interviewing voleyball players.</t>
  </si>
  <si>
    <t>men are standing in a sandy field being interviewed.</t>
  </si>
  <si>
    <t>men are in sandy field showing he girl how to play beach soccer.</t>
  </si>
  <si>
    <t>woman is sin front of the net talking to the camera.</t>
  </si>
  <si>
    <t>v_dWPlarw_xg8</t>
  </si>
  <si>
    <t>A man gets pumped up to do a long jump then does it.</t>
  </si>
  <si>
    <t>Others go next and try to get the crowd pumped up for their respective long jumps.</t>
  </si>
  <si>
    <t>v_q-RNYziOHjE</t>
  </si>
  <si>
    <t>A black female is talking to the screen with long blonde curly hair and a black sweater.</t>
  </si>
  <si>
    <t>A blow dryer is shown and the lady then begins drying a girl's hair.</t>
  </si>
  <si>
    <t>The girls hair is then shown extremely curly and the young lady has trouble drying her hair.</t>
  </si>
  <si>
    <t>The Red by Kiss blow dryer is shown again and the lady continues drying the young lady's hair.</t>
  </si>
  <si>
    <t>v_Cjq9wf9XnX0</t>
  </si>
  <si>
    <t>man is putting the lifts on a pole.</t>
  </si>
  <si>
    <t>man is standing in middle of a room in a gym lifting weight.</t>
  </si>
  <si>
    <t>a lot of different lifts are stacked in the gym.</t>
  </si>
  <si>
    <t>v_ffWMjZCysO0</t>
  </si>
  <si>
    <t>A person is seen running along the road wearing equipment and speaking to the camera.</t>
  </si>
  <si>
    <t>The man runs around using strings as well as speaking to the camera.</t>
  </si>
  <si>
    <t>The man continues speaking while more shots are shown of him running.</t>
  </si>
  <si>
    <t>v_NttjvRpSdsI</t>
  </si>
  <si>
    <t>People are sitting in stands watching people.</t>
  </si>
  <si>
    <t>The people are in robes.</t>
  </si>
  <si>
    <t>They are doing karate moves on the floor.</t>
  </si>
  <si>
    <t>v_XCXcwMyrqYM</t>
  </si>
  <si>
    <t>A man talks about a bow he is using in front of an open field.</t>
  </si>
  <si>
    <t>The man shows how to use the bow by hitting a target in the field.</t>
  </si>
  <si>
    <t>Several vehicles drive down a road behind the field.</t>
  </si>
  <si>
    <t>Cows graze behind the road.</t>
  </si>
  <si>
    <t>The man hits his last target and walks away.</t>
  </si>
  <si>
    <t>v_JnYteBN2LDI</t>
  </si>
  <si>
    <t>A male bartender stands behind a bar in front of drinks and mixing cups.</t>
  </si>
  <si>
    <t>The man picks up a steel sup and pours its contents of ice into a glass he holds in opposite hand.</t>
  </si>
  <si>
    <t>The man then picks up a small steel shot glass and fills it with liquir.</t>
  </si>
  <si>
    <t>The man then pours the liquir into from the shot glass into the glass cup with ice.</t>
  </si>
  <si>
    <t>The man picks up another glass with red juice inside and pours it into the glass with ice before setting back down.</t>
  </si>
  <si>
    <t>The man pours the cup with all the liquids into a mixing cup then uses it to cap and shake the mixer.</t>
  </si>
  <si>
    <t>The man stops shaking and sepperates the two cups, setting them back on the counter.</t>
  </si>
  <si>
    <t>The man grabs a third empty glass and moves it to the opposite side of the counter.</t>
  </si>
  <si>
    <t>The man picks up the mixer and pours its contents into the empty glass before setting it back down.</t>
  </si>
  <si>
    <t>The man then adds a staw and miniature umbrella into the drink for decoration before holding up the glass.</t>
  </si>
  <si>
    <t>v_NsYBZUTzgDw</t>
  </si>
  <si>
    <t>A woman lifts up a cat from the table and sits down with it in her lap.</t>
  </si>
  <si>
    <t>The woman uses trimming scissors to cut the cats claws.</t>
  </si>
  <si>
    <t>v_43j1BAyP6Q0</t>
  </si>
  <si>
    <t>An unseen person navigates several Amazon dot com pages on exercise equipment.</t>
  </si>
  <si>
    <t>An Amazon page showing an exercise machine alone is shown, followed by another image of a Amazon page showing a woman using an exercise machine along with a price and information about the equipment.</t>
  </si>
  <si>
    <t>Another page showing a eliptical trainer is shown in which an active computer mouse is navigating the review for the item at which point another model elliptical trainer on another page is shown.</t>
  </si>
  <si>
    <t>v_HeHQxObROwQ</t>
  </si>
  <si>
    <t>A woman is spreading shaving cream on another woman's legs.</t>
  </si>
  <si>
    <t>She puts her hands under water and begins to shave the woman's legs for her.</t>
  </si>
  <si>
    <t>She starts from bottom to top of the leg and continues that motion.</t>
  </si>
  <si>
    <t>The video is very unsteady, but the woman continues to shave her friends leg.</t>
  </si>
  <si>
    <t>v_tjuYS-6UC_M</t>
  </si>
  <si>
    <t>A pinata hangs from a tree, as a group of girls stand in front of it.</t>
  </si>
  <si>
    <t>One has a stick and is blindfolded.</t>
  </si>
  <si>
    <t>She hits the pinata, then walks away.</t>
  </si>
  <si>
    <t>v_MGF7I9aCPPM</t>
  </si>
  <si>
    <t>A woman in a pink shirt is riding a cycle bike.</t>
  </si>
  <si>
    <t>She is then doing push ups on the ground.</t>
  </si>
  <si>
    <t>She does sit ups on the ground.</t>
  </si>
  <si>
    <t>v_NnEUVHhtLZs</t>
  </si>
  <si>
    <t>a man is seated, talking to a talk show host.</t>
  </si>
  <si>
    <t>They are animated as they speak to one another.</t>
  </si>
  <si>
    <t>They continue talking, then the host presents the man with a gift.</t>
  </si>
  <si>
    <t>v_zCI36lTmBqY</t>
  </si>
  <si>
    <t>A man is sitting inside on a chair inhaling from a pipe that looked like it was an oboe.</t>
  </si>
  <si>
    <t>He takes the hose out of his mouth and start to exhale forming O's in the air.</t>
  </si>
  <si>
    <t>He starts to blow his smoke in a container and makes some really cool circles i have never seen anything like it.</t>
  </si>
  <si>
    <t>It's pretty cool how he is forming the o's, just relaxing and enjoy simple fun.</t>
  </si>
  <si>
    <t>v_LmWcpkqUurg</t>
  </si>
  <si>
    <t>A man stands at the front of his minivan and shows it.</t>
  </si>
  <si>
    <t>The man leans on the tailgate of his van and shows storage cargo features inside.</t>
  </si>
  <si>
    <t>The man assembles together poles.</t>
  </si>
  <si>
    <t>The man sits in the drivers seat of the van and places the rod frame into a socket and twists it around.</t>
  </si>
  <si>
    <t>The man adjusts the rod and reaches under the van to remove a spare tire.</t>
  </si>
  <si>
    <t>The man removes the spare tire from its enclosure.</t>
  </si>
  <si>
    <t>The man works on installing the new tire.</t>
  </si>
  <si>
    <t>v_Si4_ER4lUME</t>
  </si>
  <si>
    <t>A young woman is seen sitting in a kayak looking to the camera.</t>
  </si>
  <si>
    <t>The girl then begins moving the paddle back and fourth.</t>
  </si>
  <si>
    <t>She pauses her paddling to laugh off into the distance.</t>
  </si>
  <si>
    <t>v_t8_XO-nWaYg</t>
  </si>
  <si>
    <t>There are two teenage boys playing and solving the Rubic's cube.</t>
  </si>
  <si>
    <t>Another small boy comes in there and takes a look at the camera.</t>
  </si>
  <si>
    <t>The teenagers are competing against each other to solve the cube.</t>
  </si>
  <si>
    <t>They both finish almost at the same time and solve the Rubic's cube.</t>
  </si>
  <si>
    <t>They proudly show off their skills in the camera.</t>
  </si>
  <si>
    <t>v_EhxFw5Eb1VE</t>
  </si>
  <si>
    <t>The male athlete is standing by the two poles, raised his arms up, then jumped on the poles with his arms, while under him, a man pull out a red beam.</t>
  </si>
  <si>
    <t>The athlete perform his exhibition on the poles, he stand on his arms while his feet and legs are extended straight up in the air, he turns around, swirl, jumped and twist around then jumped on the mat, standing straight.</t>
  </si>
  <si>
    <t>v_1BfYAuxv6Wk</t>
  </si>
  <si>
    <t>Maria is demonstrating how to make a Nyquil cocktail drink.</t>
  </si>
  <si>
    <t>She shows the ingredients required for the drink.</t>
  </si>
  <si>
    <t>She points to vodka, jagermeister and food coloring.</t>
  </si>
  <si>
    <t>She then takes a shaker and pours and vodka and the jagermeister.</t>
  </si>
  <si>
    <t>Then adds some ice in it and shakes it.</t>
  </si>
  <si>
    <t>She uses a strainer to strain the drink into a cocktail glass and places the glass on the table.</t>
  </si>
  <si>
    <t>v_ueDoskgg2yw</t>
  </si>
  <si>
    <t>There are some men shaving with Gillette shaving gel.</t>
  </si>
  <si>
    <t>There's a model whose face is completely lathered with shaving gel and he is using a blue razor to shave his face.</t>
  </si>
  <si>
    <t>Another male model also has his entire face lathered with shaving gel.</t>
  </si>
  <si>
    <t>He is also shaving his face with a blue razor.</t>
  </si>
  <si>
    <t>He shaves his cheeks and mustache area.</t>
  </si>
  <si>
    <t>He pumps out a small amount gel on his hands.</t>
  </si>
  <si>
    <t>Then shows the difference between regular foam cream and gel shaving cream and continues having.</t>
  </si>
  <si>
    <t>He then poses with a lady model who touches his face to feel his smooth skin.</t>
  </si>
  <si>
    <t>The entire Gillette shaving set is shown.</t>
  </si>
  <si>
    <t>v_sgwg1C3i-Vw</t>
  </si>
  <si>
    <t>An introduction for a canoe sporting brand appears on the screen.</t>
  </si>
  <si>
    <t>Several people are shown preparing to get their canoes into the water on a snowy day.</t>
  </si>
  <si>
    <t>Several other people get off of a bus and head toward the water.</t>
  </si>
  <si>
    <t>People are then shown doing several canoe an skiing training exercises.</t>
  </si>
  <si>
    <t>Then, in the water, people are shown canoeing and having fun.</t>
  </si>
  <si>
    <t>The video ends with the canoesport website displayed.</t>
  </si>
  <si>
    <t>v_v4KygkYPdp0</t>
  </si>
  <si>
    <t>The credits of the clip are shown.</t>
  </si>
  <si>
    <t>A person rests his hands on the top of drums.</t>
  </si>
  <si>
    <t>The person is playing the drums.</t>
  </si>
  <si>
    <t>The person claps their hands.</t>
  </si>
  <si>
    <t>The person puts his fingers together.</t>
  </si>
  <si>
    <t>v_2dFLbFsFyuY</t>
  </si>
  <si>
    <t>A woman holds a yellow ball behind her neck.</t>
  </si>
  <si>
    <t>She turns around and launches the ball onto a field.</t>
  </si>
  <si>
    <t>People run to measure the distance.</t>
  </si>
  <si>
    <t>A man in a red shirt holds a ball behind his neck.</t>
  </si>
  <si>
    <t>He turns around and launches the ball on the field.</t>
  </si>
  <si>
    <t>People run to measure the distance of it.</t>
  </si>
  <si>
    <t>Another woman holds a ball behind her neck.</t>
  </si>
  <si>
    <t>She also turns around and launches the ball onto the field.</t>
  </si>
  <si>
    <t>People then run over to measure the distance.</t>
  </si>
  <si>
    <t>She waves at the crowd.</t>
  </si>
  <si>
    <t>She then throws the ball again.</t>
  </si>
  <si>
    <t>The results then flash on the screen.</t>
  </si>
  <si>
    <t>v_zDPsJ3ECaTI</t>
  </si>
  <si>
    <t>An intro starts and begins showing a group of people.</t>
  </si>
  <si>
    <t>Various people perform a dance routine together with an instructor performing front and center.</t>
  </si>
  <si>
    <t>The routine continues with the people and instructor moving around with their arms and legs doing various movements to music.</t>
  </si>
  <si>
    <t>v_t3zAh4NBVko</t>
  </si>
  <si>
    <t>A boy and a girl are sitting behind a table.</t>
  </si>
  <si>
    <t>They begin to arm wrestle on the table.</t>
  </si>
  <si>
    <t>The man wins and smiles.</t>
  </si>
  <si>
    <t>v_mn1ozn0j7D8</t>
  </si>
  <si>
    <t>We see a couple opening title screens.</t>
  </si>
  <si>
    <t>A man is shaving with a straight razor.</t>
  </si>
  <si>
    <t>We see the man behind him and the men hug and talk.</t>
  </si>
  <si>
    <t>The man returns to shaving his face.</t>
  </si>
  <si>
    <t>We see the man in the rear again.</t>
  </si>
  <si>
    <t>The shaving man talks and we see the ending title screens.</t>
  </si>
  <si>
    <t>v_oG4zf8dAQKw</t>
  </si>
  <si>
    <t>A close up of products are shown followed by a woman open the package in front of a mirror.</t>
  </si>
  <si>
    <t>The woman puts the package into her mouth, swishes it around, then spits it out.</t>
  </si>
  <si>
    <t>v_OBbHkBVDX8Y</t>
  </si>
  <si>
    <t>A man is seen standing on stage holding an instruments in his hands.</t>
  </si>
  <si>
    <t>He then picks up the instrument and begins playing on stage.</t>
  </si>
  <si>
    <t>The man continues to play and ends looking away.</t>
  </si>
  <si>
    <t>v_jlqC3lFqxhQ</t>
  </si>
  <si>
    <t>The video begins with a backdrop of a snowy area and introduces the names of the people in the video and that it's the "Wisp Snowboard Trip 2014.</t>
  </si>
  <si>
    <t>The video then goes into numerous various different segments of a bunch of different people snowboarding while doing tricks either in the daytime or nighttime and at various different locations.</t>
  </si>
  <si>
    <t>The outro goes to gray and then fade to black.</t>
  </si>
  <si>
    <t>v_ZJCbT3300OA</t>
  </si>
  <si>
    <t>A large intertube is shown on the screen.</t>
  </si>
  <si>
    <t>A bunch of sledders get on the tubes.</t>
  </si>
  <si>
    <t>They ride them down a steep hill together.</t>
  </si>
  <si>
    <t>v_QxsELAtsSWE</t>
  </si>
  <si>
    <t>A female news anchor introduces a story.</t>
  </si>
  <si>
    <t>A female news reporter speaks to a fitness instructor inside a gym, where cyclists are riding fitness bikes.</t>
  </si>
  <si>
    <t>Exercises such as yoga and bicycling are demonstrated by those in the gym.</t>
  </si>
  <si>
    <t>The female news reporter continues talking to the fitness instructor.</t>
  </si>
  <si>
    <t>She speaks to the anchor back in the studio.</t>
  </si>
  <si>
    <t>v_eL0LrJio1XE</t>
  </si>
  <si>
    <t>A bike stands on a bumpy unpaved road.</t>
  </si>
  <si>
    <t>People rides bikes very fast in the road and giving high jumps when passing the bumpy part of the road.</t>
  </si>
  <si>
    <t>The shadows of a biker cast on the bumpy road.</t>
  </si>
  <si>
    <t>v_iM-HdlplAhw</t>
  </si>
  <si>
    <t>A child is seen handing onto a set of monkey bars while children running around.</t>
  </si>
  <si>
    <t>The girl then begins climbing across the set of monkey bars.</t>
  </si>
  <si>
    <t>She climbs all the way to the end and jumps off the side.</t>
  </si>
  <si>
    <t>v_CNH37tJNzFE</t>
  </si>
  <si>
    <t>A close up of a gear shaft is seen following by someone opening a trunk and pulling a tire out.</t>
  </si>
  <si>
    <t>The person puts a jack under the car and begins unscrewing the tire and taking it off.</t>
  </si>
  <si>
    <t>The person puts a new tire on and screws it in place while taking off the jack and putting the hubcap back on.</t>
  </si>
  <si>
    <t>v_DLJqhYP-C0k</t>
  </si>
  <si>
    <t>The opening credits are shown for a video about bowling.</t>
  </si>
  <si>
    <t>The video then shows several bowlers doing bowling tricks at a bowling alley.</t>
  </si>
  <si>
    <t>A credit comes onto the screen introducing the grad finale trick.</t>
  </si>
  <si>
    <t>A man throws the ball and simultaneously throws himself down the alley as well.</t>
  </si>
  <si>
    <t>The closing credits then com onto the screen to end the video.</t>
  </si>
  <si>
    <t>v_nMTyJxJIZUs</t>
  </si>
  <si>
    <t>A small child paints another individual's fingernails.</t>
  </si>
  <si>
    <t>The other individual examines the nails.</t>
  </si>
  <si>
    <t>v_rt1kYX3slRI</t>
  </si>
  <si>
    <t>A man mounts a beam in front of a crowd.</t>
  </si>
  <si>
    <t>The gymnast begins to drop, lift, hold, and spin in circles on the high beams for the crowd.</t>
  </si>
  <si>
    <t>He dismounts gracefully, raising his arms to the crowd before walking away.</t>
  </si>
  <si>
    <t>v_Cy56IkwsQVs</t>
  </si>
  <si>
    <t>Several young people, talk and laugh while standing around a table covered in beer cans and blue plastic cups.</t>
  </si>
  <si>
    <t>A young man stands around a table in a room talking to two two women and some more men, occasionally laughing and smiling.</t>
  </si>
  <si>
    <t>A small white balls is thrown across the table as the people attempt to throw the balls in the blue cups from across the table.</t>
  </si>
  <si>
    <t>In the final moments of the clip a ball flies across the table and the men react in a triumphant way throwing their arms in the air in celebration.</t>
  </si>
  <si>
    <t>v_Sw7iRtHxMSs</t>
  </si>
  <si>
    <t>A group of young men poses and goofs around in front of a table full of red cups.</t>
  </si>
  <si>
    <t>A young man in black puts two shot glasses down on the table.</t>
  </si>
  <si>
    <t>Another group of young men sit in chairs outside.</t>
  </si>
  <si>
    <t>A young man in grey bounces a ball on the table and in to one of the cups and celebrates with the young man next to him.</t>
  </si>
  <si>
    <t>A young man in black bounces a ball toward the cups but misses.</t>
  </si>
  <si>
    <t>Another man holds his hand up next to the cups.</t>
  </si>
  <si>
    <t>The two men that bounced the balls at the cups clink the shot glasses together and then drink the shot.</t>
  </si>
  <si>
    <t>A young man in black pats the back of the young man in grey.</t>
  </si>
  <si>
    <t>The young man in grey drinks from one of the red cups on the table while the young man in black pretends to punch him.</t>
  </si>
  <si>
    <t>Another young man rearranges the remaining cups on the table.</t>
  </si>
  <si>
    <t>The young man in grey and the young man in black fist bump.</t>
  </si>
  <si>
    <t>v_3gsF785TAmg</t>
  </si>
  <si>
    <t>A game of volleyball is being played between blue and yellow team.</t>
  </si>
  <si>
    <t>The yellow team servies the ball and it is hit continually back and forth until the yellow team scores a point.</t>
  </si>
  <si>
    <t>A player on the yellow team falls and the players on each team assist her.</t>
  </si>
  <si>
    <t>They take her shoe and sock off and massage her leg.</t>
  </si>
  <si>
    <t>Two people proceed to pick her up with the help of a third and take her off the court and lay her down to the side to continue care.</t>
  </si>
  <si>
    <t>v_awv0jtZpeoo</t>
  </si>
  <si>
    <t>A man in a red shirt is working out an an exercise machine.</t>
  </si>
  <si>
    <t>A woman in a purple shirt walks behind him.</t>
  </si>
  <si>
    <t>Two people are talking to each other behind him.</t>
  </si>
  <si>
    <t>v_0QyHaXliXKs</t>
  </si>
  <si>
    <t>A large group of people are seen holding up flags and walking in a circle while many others watch on the sides.</t>
  </si>
  <si>
    <t>Two people are then seen walking up to the circle and lead into a wrestling match between the two.</t>
  </si>
  <si>
    <t>One man bows to the other and the winner walks away from the stage.</t>
  </si>
  <si>
    <t>v_ak8MVjE2p3Y</t>
  </si>
  <si>
    <t>There's a man sitting on a busy city street wearing a turban and smoking a cigarette.</t>
  </si>
  <si>
    <t>There are several people walking past him.</t>
  </si>
  <si>
    <t>He continues to smoke the cigarette as he inhales and exhales the smoke.</t>
  </si>
  <si>
    <t>There is a lot of traffic on the street as well as many people walking on the street.</t>
  </si>
  <si>
    <t>v_CvhSPJ0sBCk</t>
  </si>
  <si>
    <t>Two people are shown parasailing together across ocean water.</t>
  </si>
  <si>
    <t>They move their sails around as they go.</t>
  </si>
  <si>
    <t>v_iDz8nKDpumY</t>
  </si>
  <si>
    <t>Two people are seen riding on skis behind a boat with one person having a child on their shoulders.</t>
  </si>
  <si>
    <t>The people all hang onto one another while the young child climbs on top of them and falls off in the end.</t>
  </si>
  <si>
    <t>v_OH5UXwa3F7E</t>
  </si>
  <si>
    <t>We see an opening screen and a man runs and does a high jump at fifteen feet.</t>
  </si>
  <si>
    <t>We see a man jump the high jump on a track at various height with lots of cut scenes.</t>
  </si>
  <si>
    <t>We see seventeen and a still of the man.</t>
  </si>
  <si>
    <t>We see fifteen nine scroll across the screen.</t>
  </si>
  <si>
    <t>We see a series of still of the man and sixteen six.</t>
  </si>
  <si>
    <t>Seventeen two scrolls across the screen.</t>
  </si>
  <si>
    <t>We see seventeen nine scroll across the screen.</t>
  </si>
  <si>
    <t>We then see the ending credits.</t>
  </si>
  <si>
    <t>v_iGuOr5KwLQ0</t>
  </si>
  <si>
    <t>A man in a toga skates on rollerblades in a parking lot.</t>
  </si>
  <si>
    <t>A person holding a camera is standing to the side watching the man on rollerblades.</t>
  </si>
  <si>
    <t>v_dvzwVrZkDiI</t>
  </si>
  <si>
    <t>A small child is seen looking up at the camera holding a coffee cup.</t>
  </si>
  <si>
    <t>The girl takes a drink out of the cup and puts it back down.</t>
  </si>
  <si>
    <t>She continues drinking out of the container and looks up to the camera.</t>
  </si>
  <si>
    <t>v_ITyNMYw_pxc</t>
  </si>
  <si>
    <t>Two men are seen standing before a game of darts and begin throwing darts onto the board.</t>
  </si>
  <si>
    <t>The men look back and laugh with one another while still playing.</t>
  </si>
  <si>
    <t>The continue to play with others around them and end by shaking hands with another.</t>
  </si>
  <si>
    <t>v_lVXgy-JU14Q</t>
  </si>
  <si>
    <t>The woman in black uniform threw the javelin ball.</t>
  </si>
  <si>
    <t>The small woman with yellow shirt and black sleeves threw the ball.</t>
  </si>
  <si>
    <t>The woman in white shirt and black pants stretched for a bit then threw the ball.</t>
  </si>
  <si>
    <t>The athletes one by one threw the javelin ball while on the sides are people who measures how far the it was thrown.</t>
  </si>
  <si>
    <t>v_my4UPLGI6w4</t>
  </si>
  <si>
    <t>There's a man coming out of his garage with an electrical leaf blower.</t>
  </si>
  <si>
    <t>He begins blowing the leaves off of his yard for fall cleanup.</t>
  </si>
  <si>
    <t>He walks around his yard with the blower as he cleans the leaves.</t>
  </si>
  <si>
    <t>v_NRdxsuSCJyM</t>
  </si>
  <si>
    <t>A scuba diver holds onto a rock as he throws a peace sign in the air.</t>
  </si>
  <si>
    <t>The man lets go of the rock and puts up two peace signs in the air.</t>
  </si>
  <si>
    <t>The man fixes his snorkel and goggles.</t>
  </si>
  <si>
    <t>v_kMsWDe0V1Xg</t>
  </si>
  <si>
    <t>Blue lights light up a stage.</t>
  </si>
  <si>
    <t>A man's silhouette is visible and we see the arena in blue light.</t>
  </si>
  <si>
    <t>The man on stage plays lit in a red light.</t>
  </si>
  <si>
    <t>We see the arena in blue and the sax player in red.</t>
  </si>
  <si>
    <t>We see another member of the band.</t>
  </si>
  <si>
    <t>We see the man on the saxophone playing close and far.</t>
  </si>
  <si>
    <t>We see the whole arena and the man playing close.</t>
  </si>
  <si>
    <t>We pan from the man out to the audience.</t>
  </si>
  <si>
    <t>v_x4DuEusRR7Q</t>
  </si>
  <si>
    <t>A person is seen swimming the depths of a pool floor.</t>
  </si>
  <si>
    <t>The man comes up before the camera, his face showing.</t>
  </si>
  <si>
    <t>He then swims slowly back toward the surface.</t>
  </si>
  <si>
    <t>v_Ufm19cvrxGs</t>
  </si>
  <si>
    <t>A set of instruction is seen with diagrams.</t>
  </si>
  <si>
    <t>A man uses a tool to repair individual links of a bike chain.</t>
  </si>
  <si>
    <t>The bike chain is fastened back together on the bike gears using a specialized tool.</t>
  </si>
  <si>
    <t>The person inspects the newly replaced chain by hand.</t>
  </si>
  <si>
    <t>The person points to different areas on the bike gearing with the bike on the rack after the job is complete.</t>
  </si>
  <si>
    <t>v_uz4Tb2RG1tY</t>
  </si>
  <si>
    <t>A chef is seen speaking to the camera holding up a knife as well as a sharpener.</t>
  </si>
  <si>
    <t>The man then sharpens the knife on a board on the table as well as on the sharpener.</t>
  </si>
  <si>
    <t>v_M_LSDRzVN38</t>
  </si>
  <si>
    <t>A blindfolded young woman swings a stick around wildly as a man holds a piñata high above her head on a string at a birthday party.</t>
  </si>
  <si>
    <t>Then woman swings a few more times as the man brings the piñata up and down with the attached string and as she does this knocks a piece of the piñata off and a few kids gather round her to see if any candy fell out.</t>
  </si>
  <si>
    <t>The woman feels for the piñata a few times with the stick, but does not swing as kids continue to look up in amazement.</t>
  </si>
  <si>
    <t>v_dFSGN8U8EnA</t>
  </si>
  <si>
    <t>Various shots are shown of women putting lotion on themselves on a beach while the camera pans around from several sides.</t>
  </si>
  <si>
    <t>More shots are shown of women in various angles rubbing lotion all over their bodies and looking off into the distance seductively.</t>
  </si>
  <si>
    <t>v_1fF1OQtpctg</t>
  </si>
  <si>
    <t>A cheer-leading team begins to hold up posters as their mascot runs behind them.</t>
  </si>
  <si>
    <t>They then begin to do a routine and some of the girls run with streamers as the rest of them hold up the girls for their stunt.</t>
  </si>
  <si>
    <t>The stunt is finished and the retreat back to their original position and begin doing cartwheels and other tricks and stunts along with their mascot.</t>
  </si>
  <si>
    <t>As the routine continues,more stunts are performed and the Tiger mascot continues to cheer with the girls.</t>
  </si>
  <si>
    <t>v_SnBTp7iV2kE</t>
  </si>
  <si>
    <t>A boy and a man take turns playing billiards while a crowd watches.</t>
  </si>
  <si>
    <t>The man wipes his face with a towel.</t>
  </si>
  <si>
    <t>The boy wins and the crowd cheers.</t>
  </si>
  <si>
    <t>Several men pick up the boy in celebration.</t>
  </si>
  <si>
    <t>The winning shot is replayed in slow motion.</t>
  </si>
  <si>
    <t>v_OqajYZVt1Wc</t>
  </si>
  <si>
    <t>A women is seen holding a thread of string in her hands and begins knitting the string with her hands.</t>
  </si>
  <si>
    <t>She continues threading the string with her hands and ends by holding the thread up to show.</t>
  </si>
  <si>
    <t>v_xlTKV-3QSW8</t>
  </si>
  <si>
    <t>A man sitting in a raft in water talks to the camera.</t>
  </si>
  <si>
    <t>The man demonstrates techniques while talking to the camera.</t>
  </si>
  <si>
    <t>The man rafts downstream while paddling.</t>
  </si>
  <si>
    <t>v_62h9hnNTKWM</t>
  </si>
  <si>
    <t>Alexandra Raisman from Massachusetts is seen wearing purple leotards, getting ready to do gymnastics on the horse bar.</t>
  </si>
  <si>
    <t>She jumps right onto the horse bar and does some front and back flips.</t>
  </si>
  <si>
    <t>Then she does some back hand springs on the horse bar.</t>
  </si>
  <si>
    <t>she swiftly jumps on the horse bar while maintaining complete control over body and balance.</t>
  </si>
  <si>
    <t>She does a final back flip and a front flip and then, gets off the horse bar.</t>
  </si>
  <si>
    <t>The spectators cheer for her as she walks away.</t>
  </si>
  <si>
    <t>v_bQ3yPbCICRg</t>
  </si>
  <si>
    <t>A man is seen bending over a bang in the middle of drummers.</t>
  </si>
  <si>
    <t>The people hit the drums continuously while the camera pans around.</t>
  </si>
  <si>
    <t>The men drum while the camera pans around them.</t>
  </si>
  <si>
    <t>v_4innF37ifyY</t>
  </si>
  <si>
    <t>A news man is speaking in front of a group of people.</t>
  </si>
  <si>
    <t>A man is shown on a diving board high atop a cliff.</t>
  </si>
  <si>
    <t>He dives, jumping into the shallow waters below.</t>
  </si>
  <si>
    <t>v_4fEY6zIq8bQ</t>
  </si>
  <si>
    <t>The man is plastering the wall.</t>
  </si>
  <si>
    <t>The man bend over then continue to plaster the wall.</t>
  </si>
  <si>
    <t>The man cover the wall with pink plaster until the whole wall is covered.</t>
  </si>
  <si>
    <t>v_Launtf-qjDM</t>
  </si>
  <si>
    <t>A man with a orange shirt and blue gloves is shown operating a fire torch machine.</t>
  </si>
  <si>
    <t>Two more people are shown and and a close up is pictured.</t>
  </si>
  <si>
    <t>Lastly,the camera pans out on a man standing up torching away at a machine.</t>
  </si>
  <si>
    <t>v_bY0bGFJ-k1U</t>
  </si>
  <si>
    <t>A close up of a hand is seen that pans out to a man putting gloves on.</t>
  </si>
  <si>
    <t>The man then assembles a torch and begins burning a piece of metal in front of him.</t>
  </si>
  <si>
    <t>The man continues to work and hammer objects as well as sand it on the side.</t>
  </si>
  <si>
    <t>v_eW5W8dVB_I4</t>
  </si>
  <si>
    <t>Two men are standing on the side of the court holding basketball.</t>
  </si>
  <si>
    <t>The men are giving interview, talking to the camera, while one man is talking the other man is listening, then vice versa.</t>
  </si>
  <si>
    <t>The man went to the basket dribble to the ball, the men ran to the basket and shot the ball.</t>
  </si>
  <si>
    <t>v_G5mKcPzVMG4</t>
  </si>
  <si>
    <t>A man in gray shirt and cap is sitting next to a boat motor, while behind him is a woman riding a surfboard, and holding a harness attached to the boat.</t>
  </si>
  <si>
    <t>As the woman moving the dolphins started to swim with her, the dolphins' fins are visible as they swim up and down.</t>
  </si>
  <si>
    <t>v_ITGlho0dw-k</t>
  </si>
  <si>
    <t>We see an opening title screen.</t>
  </si>
  <si>
    <t>We see a lady putting sunscreen on in a bathroom and on the beach.</t>
  </si>
  <si>
    <t>We see a title screen and see the lady buy her sunscreen and another title screen.</t>
  </si>
  <si>
    <t>The lady throws a way a bottle and looks on her phone before going to the bathroom and putting sunscreen on.</t>
  </si>
  <si>
    <t>We see a title screen and the lady applies sunscreen and a friend puts some on her back.</t>
  </si>
  <si>
    <t>The lady puts on sunscreen on the beach and her friend run on the beach.</t>
  </si>
  <si>
    <t>We see a title screen and the ending screen.</t>
  </si>
  <si>
    <t>v_YizcSEo0bTo</t>
  </si>
  <si>
    <t>A group of kids are inside a building.</t>
  </si>
  <si>
    <t>They are all riding bumper cars around a track.</t>
  </si>
  <si>
    <t>They bump and slam into each other.</t>
  </si>
  <si>
    <t>v_44r5SAczrOg</t>
  </si>
  <si>
    <t>A person is solving a cube puzzle spinning the pieces to match the colors.</t>
  </si>
  <si>
    <t>When, the person match all the color, points the table and puts the cube puzzle on it.</t>
  </si>
  <si>
    <t>v_KpOSIph2hHw</t>
  </si>
  <si>
    <t>We see a GoPro opening screen.</t>
  </si>
  <si>
    <t>We see a lady walking with a raft into a river.</t>
  </si>
  <si>
    <t>We see people riding rafts in the river.</t>
  </si>
  <si>
    <t>We see a mans's legs and the lady rides past.</t>
  </si>
  <si>
    <t>We see the lady handing a beverage in a can to the cameraman.</t>
  </si>
  <si>
    <t>The cameraman goes under a branch that is across the water.</t>
  </si>
  <si>
    <t>We then see the GoPro ending scene.</t>
  </si>
  <si>
    <t>v_fHEUdQY1cdc</t>
  </si>
  <si>
    <t>Several people are seen running down the road around a bull with some holding sticks in their hands.</t>
  </si>
  <si>
    <t>The people crowd around the bull waving sticks and follow the bull around as he gets angry.</t>
  </si>
  <si>
    <t>Another bull is shown and the two fight while the people stand and cheer on the sides.</t>
  </si>
  <si>
    <t>v_8i2lkdpB2w0</t>
  </si>
  <si>
    <t>People are sitting in row boats in the water.</t>
  </si>
  <si>
    <t>A man is standing up in a red row boat.</t>
  </si>
  <si>
    <t>A boat flips over and the camera goes into the water.</t>
  </si>
  <si>
    <t>Two people standing on a dock lift their boat out of the water.</t>
  </si>
  <si>
    <t>v_QlCA9f1WD84</t>
  </si>
  <si>
    <t>A painter applies plaster to a wall using a wide flat edge tool.</t>
  </si>
  <si>
    <t>The man moves electrical wire handing on the while to plaster around it.</t>
  </si>
  <si>
    <t>Other rooms of the house are seen in different stages of completeness.</t>
  </si>
  <si>
    <t>v_2yjRePOzYq4</t>
  </si>
  <si>
    <t>A man skips on a truck signed with white lines, when he arrives to the third line jumps high and lands in the sandbox.</t>
  </si>
  <si>
    <t>The playback of a man performing long jump is show several times.</t>
  </si>
  <si>
    <t>v_3l7quTy4c2s</t>
  </si>
  <si>
    <t>A cheerleader girl stands in the grass.</t>
  </si>
  <si>
    <t>A young man wearing baseball hat greats her with a pie tin and jokes with her.</t>
  </si>
  <si>
    <t>The man pushes a pie tin in the girls face as a joke getting her very messy.</t>
  </si>
  <si>
    <t>A girl in gymnastics class does tumbling down a red mat with team looking on.</t>
  </si>
  <si>
    <t>A woman cheerleader boxes with a mascot during a football game.</t>
  </si>
  <si>
    <t>The mascot engulfs the girl and pulls her into his uniform.</t>
  </si>
  <si>
    <t>A cheer leading group comes together in a circle holding hands and flip team members when one falls to the ground.</t>
  </si>
  <si>
    <t>A group of cheerleaders in black to back flips on a track of football field.</t>
  </si>
  <si>
    <t>A group of girls hoist up[ a teammate to do a human pyramid.</t>
  </si>
  <si>
    <t>The teammate falls to the ground and lands on top of others.</t>
  </si>
  <si>
    <t>A man in Hawaiian shirt sets up a trampoline during a basketball competition.</t>
  </si>
  <si>
    <t>A group of cheerleaders hold up a woman together in front of the trampoline.</t>
  </si>
  <si>
    <t>The man comes back running and jumps on the trampoline but knocks the girl over while performing his stunt.</t>
  </si>
  <si>
    <t>A group of cheerleaders in red do somersaults on the field when one falls down.</t>
  </si>
  <si>
    <t>A cheerleader girl in black does a back hand spring and falls to the ground.</t>
  </si>
  <si>
    <t>A group of cheerleaders dance together with pom poms.</t>
  </si>
  <si>
    <t>Another group of cheerleaders in the background lift up teammates when one falls over.</t>
  </si>
  <si>
    <t>A group of cheerleaders in blue lift up teammates in competition when one falls to the ground.</t>
  </si>
  <si>
    <t>A girl in white shirt talks to the camera.</t>
  </si>
  <si>
    <t>the girl does a summersault but falls to the ground.</t>
  </si>
  <si>
    <t>A girl in green shirt with friends does a high kick on a field but falls to the ground.</t>
  </si>
  <si>
    <t>A cheerleader falls to the ground while dancing with group.</t>
  </si>
  <si>
    <t>A cheerleader is lifted up into the hands of team when she falls to the ground.</t>
  </si>
  <si>
    <t>A group of cheerleaders in yellow lift temmate in a pyramid but drop her.</t>
  </si>
  <si>
    <t>A group of women jump from a trampoline and do slam dunks during basketball competition.</t>
  </si>
  <si>
    <t>One girl misses the trampoline and runs into the mat.</t>
  </si>
  <si>
    <t>Men from the basketball team rush over to check on her.</t>
  </si>
  <si>
    <t>v_UF2v4emX7rc</t>
  </si>
  <si>
    <t>A group of men in masks are gathered around targets.</t>
  </si>
  <si>
    <t>They are holding paint guns as they run across the field.</t>
  </si>
  <si>
    <t>They hide behind obstacles, shooting at each other.</t>
  </si>
  <si>
    <t>v_nKnsvy7-wAI</t>
  </si>
  <si>
    <t>A man is seen running down the street holding a box and speaking to another.</t>
  </si>
  <si>
    <t>The man then plays a game with a small girl and bows after each game.</t>
  </si>
  <si>
    <t>The two continue to play with the man laughing at the camera and him giving her a kiss in the end.</t>
  </si>
  <si>
    <t>v_8vcO5DRxP6c</t>
  </si>
  <si>
    <t>A man picks up a ball and puts it behind his neck and throws it onto the field.</t>
  </si>
  <si>
    <t>Another man in a blue shirt picks up a ball and puts it behind his ear and throws it onto the field.</t>
  </si>
  <si>
    <t>People measure the distance on the field.</t>
  </si>
  <si>
    <t>The man puts on a white t shirt and puts his arms in the air.</t>
  </si>
  <si>
    <t>Another man launches a ball onto the field.</t>
  </si>
  <si>
    <t>v_YZJghuPmff8</t>
  </si>
  <si>
    <t>A woman holds the back section of a girls hair while she gets ready to style it.</t>
  </si>
  <si>
    <t>The woman uses a single pick comb to separate strands of hair.</t>
  </si>
  <si>
    <t>The woman clips back sections of hair.</t>
  </si>
  <si>
    <t>The woman pulls on strands of hairs to get them straightened out.</t>
  </si>
  <si>
    <t>The woman braids them the strands of hair together.</t>
  </si>
  <si>
    <t>v_ol4ScGsyhbI</t>
  </si>
  <si>
    <t>An image is shown of a man posing with trophies and flexing his biceps.</t>
  </si>
  <si>
    <t>The images cut to videos, as he wins multiple arm wrestling matches and trophies.</t>
  </si>
  <si>
    <t>In the final scenes, a vast audience talks as they watch him win yet again.</t>
  </si>
  <si>
    <t>v_wZ-teiWX4mg</t>
  </si>
  <si>
    <t>man is standing in an ice rink practicing hockey.</t>
  </si>
  <si>
    <t>man is putting hockey uniform.</t>
  </si>
  <si>
    <t>v_i1llwxnI_Vo</t>
  </si>
  <si>
    <t>There are several people gathered on the street where live music is playing.</t>
  </si>
  <si>
    <t>There are couples dancing together to the music doing the Salsa style of dance.</t>
  </si>
  <si>
    <t>There are many restaurants and stores in that town square where people are gathered to see the couples dance.</t>
  </si>
  <si>
    <t>Some of the bystanders are video taping the dancers.</t>
  </si>
  <si>
    <t>The couples continue to dance till the music ends.</t>
  </si>
  <si>
    <t>One guy kisses his girlfriend on the cheek after the dance is over.</t>
  </si>
  <si>
    <t>v_8eDJXDetgGE</t>
  </si>
  <si>
    <t>A man is seen holding a stick up and leads into clips of men playing field hockey.</t>
  </si>
  <si>
    <t>Men are seen running up and down a field chasing after a ball and scoring a goal.</t>
  </si>
  <si>
    <t>Several clips are shown of people playing this game as well as celebrating with team mates.</t>
  </si>
  <si>
    <t>v_W3fKTlm1BPs</t>
  </si>
  <si>
    <t>An intro leads into a camera following around a lacrosse match and pausing to show off players movements.</t>
  </si>
  <si>
    <t>The game continues on as the people play and run around chasing a ball.</t>
  </si>
  <si>
    <t>v_j-qAgWm_Ylw</t>
  </si>
  <si>
    <t>The man in stripes shirt ran to the narrow path and hopped and jumped on the sandy ground.</t>
  </si>
  <si>
    <t>The men are jumped one by one on the sandy ground while a man and woman are holding a rake and smoothen the ground.</t>
  </si>
  <si>
    <t>Two people are holding a tape measure and measure the jump.</t>
  </si>
  <si>
    <t>v_grroBKRxAMY</t>
  </si>
  <si>
    <t>Words are shown on the screen.</t>
  </si>
  <si>
    <t>A man is talking while standing outside in front of a hill.</t>
  </si>
  <si>
    <t>The man is holding a shovel standing in front of a small tree.</t>
  </si>
  <si>
    <t>The man continues talking and then shovels out some weeds and dirt around the tree.</t>
  </si>
  <si>
    <t>He picks up rocks from around the tree.</t>
  </si>
  <si>
    <t>There is a white bucket in front of him of bark that he puts around the tree.</t>
  </si>
  <si>
    <t>v_v_UmAH95xls</t>
  </si>
  <si>
    <t>Two girls are sitting on the porch of a house while shaving their legs.</t>
  </si>
  <si>
    <t>A boy walks out and looks before walking away.</t>
  </si>
  <si>
    <t>The girls continue soaping up and shaving.</t>
  </si>
  <si>
    <t>v_aA6Bchzww4Y</t>
  </si>
  <si>
    <t>A man uses a mallet to chip ice off of a car while it is snowing outside and a man videos him from behind.</t>
  </si>
  <si>
    <t>A man in a black winter coat and gloves uses a mallet to chip ice off of an ice covered car in the snow.</t>
  </si>
  <si>
    <t>The man then takes his car keys and tries to open the trunk which is frozen and requires tugging to open.</t>
  </si>
  <si>
    <t>The man continues to slam at the ice on the car with the mallet as the ice chips off in chunks.</t>
  </si>
  <si>
    <t>The man tries to open his trunk again, this time the opening is easier and the man climbs into the trunk of the car to the front of the car to open the drivers door from the inside drivers seat.</t>
  </si>
  <si>
    <t>v_nrC41oAR-F0</t>
  </si>
  <si>
    <t>A large mat is seen with a bar on top and two people watching on the sides.</t>
  </si>
  <si>
    <t>A man is then seen running in from the side.</t>
  </si>
  <si>
    <t>The man jumps over the beam and stands up on the mat.</t>
  </si>
  <si>
    <t>v_o9gsbkp135s</t>
  </si>
  <si>
    <t>A person is shown outside brushing snow off of a car with lights on.</t>
  </si>
  <si>
    <t>The man walks around the car pushing more of the snow off and shutting the door.</t>
  </si>
  <si>
    <t>v_5MjAgMF_FzA</t>
  </si>
  <si>
    <t>A black screen with a white title appears.</t>
  </si>
  <si>
    <t>A cook is in front of a professional stove putting seasoning into a metal pan and warming a pan over a gas lit blue flame.</t>
  </si>
  <si>
    <t>The cook now scoops a large portion of mixed egg from a large metal pot into the small metal pan.</t>
  </si>
  <si>
    <t>He begins to whisk the egg mixture with two wooden sticks, holding the pan over the burner.</t>
  </si>
  <si>
    <t>When the egg is almost fully cooked, the man begins to shape the egg inside of the pan with the wooden sticks in the shape of an omelet.</t>
  </si>
  <si>
    <t>He rolls the omelet back and forth in the pan.</t>
  </si>
  <si>
    <t>End black screen and a blue word.</t>
  </si>
  <si>
    <t>v_feio1hW6Dy0</t>
  </si>
  <si>
    <t>A close up of ballet shoes are shown followed by a woman putting them on and moving around in a bedroom.</t>
  </si>
  <si>
    <t>She moves her arms and feet in the point shoes and whips her hair all around the room.</t>
  </si>
  <si>
    <t>v_3VzXH3o88mw</t>
  </si>
  <si>
    <t>A person is seen mixing various ingredients into a blender as well as rolling rough up into a ball and speaking to the camera.</t>
  </si>
  <si>
    <t>The man speaks to other chefs and instructs them on how to roll a ball of rough.</t>
  </si>
  <si>
    <t>He then puts the dough in a machine to make spaghetti and then puts them in a plate to present.</t>
  </si>
  <si>
    <t>v_HNBiW2Nq318</t>
  </si>
  <si>
    <t>A person is seen bending forward on a gymnastics beam while moving his hands up to keep balance.</t>
  </si>
  <si>
    <t>The man then attempts a flip but lands on his stomach and falls off, walking away in pain and his jump shown again in slow motion.</t>
  </si>
  <si>
    <t>v_USoYnMSrWv0</t>
  </si>
  <si>
    <t>Four people play Foosball at a Foosball table.</t>
  </si>
  <si>
    <t>One of the girls playing pulls an arm out of place on the table.</t>
  </si>
  <si>
    <t>The same girl reaches across the table to control an arm on the other side.</t>
  </si>
  <si>
    <t>The girl on the other side tries to stop her.</t>
  </si>
  <si>
    <t>A fifth person sits in a chair watching.</t>
  </si>
  <si>
    <t>v_JKFxKhCQPUs</t>
  </si>
  <si>
    <t>A male gymnast wearing a blue leotard is doing gymnastics on a horse bar.</t>
  </si>
  <si>
    <t>He is performing in an indoor stadium full of spectators.</t>
  </si>
  <si>
    <t>He continues to excel in doing his moves steadily on the horse bar.</t>
  </si>
  <si>
    <t>After he's done, he gets off the bar and one of the coaches hugs him as the crowd cheers for him.</t>
  </si>
  <si>
    <t>v__ekWWP0dQZM</t>
  </si>
  <si>
    <t>A ballerina is shown in class warming up her feet and walking away crying.</t>
  </si>
  <si>
    <t>Various actors talk to the camera about filming a movie about ballet and the moves they learned.</t>
  </si>
  <si>
    <t>The ballerinas are moving around the set while the camera is rolling.</t>
  </si>
  <si>
    <t>The actors continue talking about tricks and what they learned.</t>
  </si>
  <si>
    <t>A man plays the violin while the final scene is filmed and everyone is dancing.</t>
  </si>
  <si>
    <t>v_X5Bxa0OvdwI</t>
  </si>
  <si>
    <t>Various items are shown on a floor and leads into a woman holding up the products and speaking to the camera.</t>
  </si>
  <si>
    <t>She holds up her shoe and lights a match over the polish.</t>
  </si>
  <si>
    <t>She then takes a rag and runs over the boot with the polish in small circles.</t>
  </si>
  <si>
    <t>v_kdRcWkrZRZo</t>
  </si>
  <si>
    <t>A still picture of an individual's back is shown.</t>
  </si>
  <si>
    <t>Some sort of item is shown in close up.</t>
  </si>
  <si>
    <t>A man and a woman talk to the camera in a newscast setting.</t>
  </si>
  <si>
    <t>Scenes of summer beach goers are shown in a news report context.</t>
  </si>
  <si>
    <t>A man is shown walking near a boat with dogs.</t>
  </si>
  <si>
    <t>The man is shown near a grill.</t>
  </si>
  <si>
    <t>A quick cut of a the item from before is shown up close.</t>
  </si>
  <si>
    <t>The man is interviewed while seated, with a quick cut of him walking.</t>
  </si>
  <si>
    <t>The man removes his shirt.</t>
  </si>
  <si>
    <t>More close up scenes of the item are shown.</t>
  </si>
  <si>
    <t>Still images and video of skin damage are shown.</t>
  </si>
  <si>
    <t>The man talks in an indoor environment.</t>
  </si>
  <si>
    <t>Another still image of the item is shown.</t>
  </si>
  <si>
    <t>The man is interviewed seated again.</t>
  </si>
  <si>
    <t>A still screen of text is shown.</t>
  </si>
  <si>
    <t>A different man talks to the camera while a logo is shown beside him.</t>
  </si>
  <si>
    <t>A webpage about the first man is shown.</t>
  </si>
  <si>
    <t>v_1VmqefkNV_8</t>
  </si>
  <si>
    <t>A man is dancing on a stage in a yellow shirt.</t>
  </si>
  <si>
    <t>People in the audience watching him are dancing with him.</t>
  </si>
  <si>
    <t>A man walks in front of the crowd.</t>
  </si>
  <si>
    <t>v_MlGh0geYhSg</t>
  </si>
  <si>
    <t>A horse kicks a man in a red shirt.</t>
  </si>
  <si>
    <t>A girl in a grey shirt gets thrown off a horse.</t>
  </si>
  <si>
    <t>A man riding a horse gets bucked off.</t>
  </si>
  <si>
    <t>A horse tips over backward with a a person on it.</t>
  </si>
  <si>
    <t>A man is riding on a horse and flies off.</t>
  </si>
  <si>
    <t>A white horse misses a jump and the person falls off.</t>
  </si>
  <si>
    <t>A man gets hit by a rope while chasing a calf.</t>
  </si>
  <si>
    <t>A horse gets his head stuck in a garbage can.</t>
  </si>
  <si>
    <t>v_chLoV5zQxVA</t>
  </si>
  <si>
    <t>The words "How to Fly a Kite With No Wind" appear on a black screen.</t>
  </si>
  <si>
    <t>Man wearing a yellow t-shirt appears in a large suburban field.</t>
  </si>
  <si>
    <t>The man puts together a rainbow colored kite with long yellow tails.</t>
  </si>
  <si>
    <t>The man drives a small green mowing tractor while holding the kite's string as it flies above.</t>
  </si>
  <si>
    <t>A young lady speaks on screen and then drives the tractor while holding the flying kite.</t>
  </si>
  <si>
    <t>v_eZ_qerXno64</t>
  </si>
  <si>
    <t>A little girl is shown playing table tennis, hitting the ball extremely quickly back and forth over the net.</t>
  </si>
  <si>
    <t>Some of the balls fly past her, but she continues hitting new balls without pausing.</t>
  </si>
  <si>
    <t>v_ZT63nK4lexg</t>
  </si>
  <si>
    <t>A man walks over and chalks his hands.</t>
  </si>
  <si>
    <t>The man walks the bars, stretches and stands there.</t>
  </si>
  <si>
    <t>The man mounts the bars and begins to spin.</t>
  </si>
  <si>
    <t>The man flips and dismounts.</t>
  </si>
  <si>
    <t>The man walks away from the bars.</t>
  </si>
  <si>
    <t>v_ioHDdIBu2go</t>
  </si>
  <si>
    <t>A woman talks, then she holds the tube of a vacuum and points the nozzle.</t>
  </si>
  <si>
    <t>The woman vacuum dirt on a carpet, then she extends the tube while explaining.</t>
  </si>
  <si>
    <t>Then, the woman puts a small nozzle and vacuum a couch, then she explains how to remove the dust container.</t>
  </si>
  <si>
    <t>The woman continues explaining next to the vacuum.</t>
  </si>
  <si>
    <t>v_mqUJEX9qk8E</t>
  </si>
  <si>
    <t>two men are riding horses in a dusty field in mountains.</t>
  </si>
  <si>
    <t>men and a woman wearing Kufiyyas on their heads are standing on dessert next to horses.</t>
  </si>
  <si>
    <t>dessert with mountains in the distance is shown and the men are standing next to a kids ride the horses adn are going in the desert.</t>
  </si>
  <si>
    <t>v_eGW0rygfcrg</t>
  </si>
  <si>
    <t>A man and a woman are standing in a bar.</t>
  </si>
  <si>
    <t>We see the man and a woman ballroom dancing.</t>
  </si>
  <si>
    <t>The lady kicks her leg out behind and in front of her.</t>
  </si>
  <si>
    <t>We zoom in on the legs of the dancers.</t>
  </si>
  <si>
    <t>The camera goes blurry and the scene ends.</t>
  </si>
  <si>
    <t>v_kkLRLb8TGwI</t>
  </si>
  <si>
    <t>A bunch of females are shown playing a water polo match in an indoor pool.</t>
  </si>
  <si>
    <t>it appears to be a tournament as they are highly competitive and going all out.</t>
  </si>
  <si>
    <t>Various shots of the action are shown in normal motion and in slow motion.</t>
  </si>
  <si>
    <t>The match appears to be getting very tense as both teams are trying their best to score and both goalies put up great defense.</t>
  </si>
  <si>
    <t>A young girl who played in the match is then shown with her entire family as they take a picture.</t>
  </si>
  <si>
    <t>v_MsBqlgdzeag</t>
  </si>
  <si>
    <t>A man approaches a trunk standing by some dirt.</t>
  </si>
  <si>
    <t>He grabs an ax sitting on the dirt.</t>
  </si>
  <si>
    <t>He takes the ax and cuts the trunk in half.</t>
  </si>
  <si>
    <t>The trunk falls and he picks up one of the halves.</t>
  </si>
  <si>
    <t>He takes the ax to the trunk and cuts it in half.</t>
  </si>
  <si>
    <t>He stands the other trunk and cuts it in half.</t>
  </si>
  <si>
    <t>v_mb1LoOTM_NI</t>
  </si>
  <si>
    <t>Two men are standing at the table in arm wrestling position.</t>
  </si>
  <si>
    <t>A woman is positioning the men, holding their hands.</t>
  </si>
  <si>
    <t>One man without glasses is bending on the side to with his weight.</t>
  </si>
  <si>
    <t>The man with glass put down the other man's hand and won.</t>
  </si>
  <si>
    <t>v_HVfr9FnEj-Q</t>
  </si>
  <si>
    <t>Ladies are standing in a workout room.</t>
  </si>
  <si>
    <t>The ladies are belly dancing.</t>
  </si>
  <si>
    <t>The ladies dip down and toss their hair backwards.</t>
  </si>
  <si>
    <t>They swing their dipped bodies.</t>
  </si>
  <si>
    <t>The ladies dip and bend backwards.</t>
  </si>
  <si>
    <t>The ladies throw their hair back and forth.</t>
  </si>
  <si>
    <t>2:43 A man is in the room in the back and bends down.</t>
  </si>
  <si>
    <t>The ladies finish dancing and take a bow.</t>
  </si>
  <si>
    <t>v_yN3e-giBxns</t>
  </si>
  <si>
    <t>It's a nighttime outside at a horse ranch and a lot of people are standing around.</t>
  </si>
  <si>
    <t>Suddenly a horse with a man riding on him quickly starts running and there's a calf roped to the horse who is running in front of them.</t>
  </si>
  <si>
    <t>The man lassos the calf, jumps off the horse, throws the calf on its side and quickly ties it up.</t>
  </si>
  <si>
    <t>The man gets up, walks back to his horse, jumps back on and the horse slowly begins to walk as the calf is trying to stand up.</t>
  </si>
  <si>
    <t>v_uE_8WuNO7cA</t>
  </si>
  <si>
    <t>We see an opening screen with a moon.</t>
  </si>
  <si>
    <t>A lady appears holding a pumpkin.</t>
  </si>
  <si>
    <t>We see the lady in the lower left hand of the screen talking.</t>
  </si>
  <si>
    <t>We see a person open and clean a pumpkin.</t>
  </si>
  <si>
    <t>We see the person carve a drawing on a pumpkin.</t>
  </si>
  <si>
    <t>We see a person draw on the pumpkin with a black marker.</t>
  </si>
  <si>
    <t>We see the finished jack o lantern with a candle in it.</t>
  </si>
  <si>
    <t>v_IoOkg-_S4cY</t>
  </si>
  <si>
    <t>A gymnastic girl is performing balance beam.</t>
  </si>
  <si>
    <t>The girl is getting ready to get on the beam from a jump pad.</t>
  </si>
  <si>
    <t>The girl performs flawlessly on the beam.</t>
  </si>
  <si>
    <t>The girl lands on floor perfectly with a big smile.</t>
  </si>
  <si>
    <t>v_UGd9cVzHQOU</t>
  </si>
  <si>
    <t>A man is seen using a machine across a long stretch of leaves while moving up and down the lawn.</t>
  </si>
  <si>
    <t>He continues pushing the leaves around the area and moving up and down the lawn.</t>
  </si>
  <si>
    <t>v_YdenUU3g0XY</t>
  </si>
  <si>
    <t>A man introduces the topic of the video, which is how to do a smash shot in Badminton.</t>
  </si>
  <si>
    <t>He slowly demonstrates the necessary approach and form of the shot.</t>
  </si>
  <si>
    <t>We then see a player perform the shot multiple times as another person sets him up.</t>
  </si>
  <si>
    <t>v_E4ItlgO16LI</t>
  </si>
  <si>
    <t>A male gymnast in a blue outfit applies chalk dust to his hands.</t>
  </si>
  <si>
    <t>An infographic appears, showing his name to be Danell Leyva from the USA.</t>
  </si>
  <si>
    <t>He steps up to a parallel bars and waves.</t>
  </si>
  <si>
    <t>He performs his routine, executing many flips and handstands.</t>
  </si>
  <si>
    <t>He dismounts badly, falling over and landing on his back beside the mat.</t>
  </si>
  <si>
    <t>He steps back onto the mat and briefly raises his arms.</t>
  </si>
  <si>
    <t>v_BsceC-igcTY</t>
  </si>
  <si>
    <t>Hockey players walk out onto the ice, greeting each other.</t>
  </si>
  <si>
    <t>They play the game, trying to get the puck past their opponents into the goal.</t>
  </si>
  <si>
    <t>They roll around on the ice slowly.</t>
  </si>
  <si>
    <t>v_V1NtrnPz3sA</t>
  </si>
  <si>
    <t>An athletic woman is stretching with a ball and swinging her legs back and fourth.</t>
  </si>
  <si>
    <t>She throws the ball and again prepares for another throw.</t>
  </si>
  <si>
    <t>She spins around throwing the ball yet again with a third throw followed shortly after.</t>
  </si>
  <si>
    <t>She performs one last throw and spins herself around once again.</t>
  </si>
  <si>
    <t>v_2kx--bbqXHg</t>
  </si>
  <si>
    <t>Cotton balls are being set on fire and put out in various ways.</t>
  </si>
  <si>
    <t>An ax is used to put out the fire.</t>
  </si>
  <si>
    <t>A piece of wood is used to put out the fire.</t>
  </si>
  <si>
    <t>v_lHy_OZ8GygM</t>
  </si>
  <si>
    <t>A woman wash the head of a man and cuts his hair, then the woman stands next two man an touch the head of the young man.</t>
  </si>
  <si>
    <t>The woman cuts the hair of a young man using first a machine, and then a comb and scissors.</t>
  </si>
  <si>
    <t>Then, the woman dry the hair with a dryer and brush the head.</t>
  </si>
  <si>
    <t>After, the woman takes cream on her hands and comb the head of the man with her fingers to gives form to the hair.</t>
  </si>
  <si>
    <t>Next, the woman explains the hairstyle.</t>
  </si>
  <si>
    <t>v_LvRP3c5n3P8</t>
  </si>
  <si>
    <t>People walk in the hallways of a hospital, then a doctor reviews the injured leg of a man leaving green sparkles on the leg and a machine.</t>
  </si>
  <si>
    <t>Then, the man makes a call and leaves green sparkles on the phone that it is passes to the hand of a nurse that grabs the phone.</t>
  </si>
  <si>
    <t>After the nurse enters to visit a a sick man as well two doctors who carry green sparkles on their hands that leaves on the sick man.</t>
  </si>
  <si>
    <t>A person wash hand, use hand sanitizes and cleans an stethoscope to get rid off microbes.</t>
  </si>
  <si>
    <t>v_VM-ldOw7e4Y</t>
  </si>
  <si>
    <t>An athlete prepares to perform long jump in a stadium full of people, then a white male runs and jumps high to land in the sand.</t>
  </si>
  <si>
    <t>Also, three black males runs fast and jump high to perform long jump.</t>
  </si>
  <si>
    <t>Also, a white male perform long jump, as well two black men do long jumps.</t>
  </si>
  <si>
    <t>A score board shows and score, while a person stands walk away, and takes off his sweet sweater.</t>
  </si>
  <si>
    <t>A black male jumps high happy a runs celebrating his triumph.</t>
  </si>
  <si>
    <t>v_8HxMXHc8Nr0</t>
  </si>
  <si>
    <t>A screen appears with instructions how to attach an InStep bike trailer.</t>
  </si>
  <si>
    <t>A man is showing how to attach an InStep bike trailer on the back wheel of a bike.</t>
  </si>
  <si>
    <t>Then, the man continues to explain the process sitting in dining room.</t>
  </si>
  <si>
    <t>Two toddlers are sitting in a bike trailer, while the man attach the safety belts.</t>
  </si>
  <si>
    <t>v_ZN7C8n_6uH8</t>
  </si>
  <si>
    <t>A black and white filter pans over a soccer match going on in an indoor field.</t>
  </si>
  <si>
    <t>Color is then shown as more people play soccer back and fourth shown in several shots.</t>
  </si>
  <si>
    <t>v_8SCg3toperM</t>
  </si>
  <si>
    <t>A large group of people are seen running around a field playing lacrosse while others watch.</t>
  </si>
  <si>
    <t>The game continues on as people still watch them on the sides.</t>
  </si>
  <si>
    <t>They stop various times to speak to one another and continue playing the game.</t>
  </si>
  <si>
    <t>v_KSP62q7tM68</t>
  </si>
  <si>
    <t>A person is seen riding waves on the water as well as people partying at a house.</t>
  </si>
  <si>
    <t>A Dj is shown playing music as well as people dancing around and surfers surfing.</t>
  </si>
  <si>
    <t>More shots are shown of people surfing and having fun at the house.</t>
  </si>
  <si>
    <t>v_n3wYcW4mnrs</t>
  </si>
  <si>
    <t>We see an opening screen on white.</t>
  </si>
  <si>
    <t>We then see people on tube playing in a river.</t>
  </si>
  <si>
    <t>A boy in sunglasses floats past the camera.</t>
  </si>
  <si>
    <t>A boy throws a peace sign to the camera.</t>
  </si>
  <si>
    <t>People go over a waterfall in their rafts.</t>
  </si>
  <si>
    <t>We see a bunch of people jump into the water.</t>
  </si>
  <si>
    <t>v_f_mbX87xabo</t>
  </si>
  <si>
    <t>A child plays a chrome flute inside of home.</t>
  </si>
  <si>
    <t>The girl finishes the song and lowers the flute.</t>
  </si>
  <si>
    <t>v_0j9TxzwRr6E</t>
  </si>
  <si>
    <t>Two men plays foosball in an arena with two referees standing near by watching the fame.</t>
  </si>
  <si>
    <t>We see the bleacher an spectators.</t>
  </si>
  <si>
    <t>A point is scored and see people clapping and a replay and a title screen.</t>
  </si>
  <si>
    <t>The man in gray backs up and wipes sweat.</t>
  </si>
  <si>
    <t>We see the man in black speaking with the people behind him before the men return to the game.</t>
  </si>
  <si>
    <t>v_etfSrbmOvUE</t>
  </si>
  <si>
    <t>Two people climb a rock climbing wall at night in front of a narrow pool of water surrounding by a crowd of onlookers.</t>
  </si>
  <si>
    <t>The two people climb slowly up the wall, when over midway up, the person on the left falls from the wall and into the water below.</t>
  </si>
  <si>
    <t>Another race up the wall begins in which the person on the right falls off and the person on the left climbs to the top of the wall and then jumps off the wall into the water.</t>
  </si>
  <si>
    <t>In the same setting, but now during the daytime, a lone person wearing skis catapults through the air past the rock climbing wall and lands in the water below.</t>
  </si>
  <si>
    <t>v_twGoVVPO08Q</t>
  </si>
  <si>
    <t>An audience watching pans out into a large track and athletes running into a pit.</t>
  </si>
  <si>
    <t>Several people are shown running down the track while the audience claps and people speak to the camera.</t>
  </si>
  <si>
    <t>v_PQ-qpoPeqM0</t>
  </si>
  <si>
    <t>A young man pulls a wheel out and shows the proper structure of a wheel.</t>
  </si>
  <si>
    <t>He checks the current pressure for the tire and begins pumping air into the tire.</t>
  </si>
  <si>
    <t>He shows the difference between good tread and bad tread as well as when to know when to replace your tires.</t>
  </si>
  <si>
    <t>v_GVmGXTEm46s</t>
  </si>
  <si>
    <t>A close up of a sink is shown followed by a person rubbing it down with a rag from various angles.</t>
  </si>
  <si>
    <t>The sink is shown again by itself followed by water dripping down.</t>
  </si>
  <si>
    <t>v_Qx4YLntwZ5s</t>
  </si>
  <si>
    <t>We see a lady taking in a room and touching her hair.</t>
  </si>
  <si>
    <t>There is a title screen.</t>
  </si>
  <si>
    <t>The lady shows us the products and tools she uses on her hair.</t>
  </si>
  <si>
    <t>We see the lady doing her hair.</t>
  </si>
  <si>
    <t>The lady sections her hair and adds product.</t>
  </si>
  <si>
    <t>The lady twists her hair around her finger.</t>
  </si>
  <si>
    <t>The lady begin blow drys her hair.</t>
  </si>
  <si>
    <t>We see images of the ladies finished hair.</t>
  </si>
  <si>
    <t>v_D84XQFQ4tsU</t>
  </si>
  <si>
    <t>A body of water is shown.</t>
  </si>
  <si>
    <t>A person takes a lid off of a pot.</t>
  </si>
  <si>
    <t>They show a camp site with a tent.</t>
  </si>
  <si>
    <t>They put a cloth into the bucket.</t>
  </si>
  <si>
    <t>v_hJn5L1nrkL4</t>
  </si>
  <si>
    <t>There are two men playing table tennis in an indoor stadium.</t>
  </si>
  <si>
    <t>One of the players is wearing blue and the other player is in a red shirt.</t>
  </si>
  <si>
    <t>There is a person dressed in a black shirt seated near the players.</t>
  </si>
  <si>
    <t>There are several spectators seated in the stadium.</t>
  </si>
  <si>
    <t>They continue playing a rally for some time.</t>
  </si>
  <si>
    <t>The player in the red shirt misses the ball and gives his opponent a winning point.</t>
  </si>
  <si>
    <t>The player in blue cheers loudly after his winning point and breaks into a dance.</t>
  </si>
  <si>
    <t>He continues dancing and goes towards his opponent to mock him.</t>
  </si>
  <si>
    <t>He then goes back to the table tennis table.</t>
  </si>
  <si>
    <t>The man dressed on black shows the score.</t>
  </si>
  <si>
    <t>v_JTGS1YulUQw</t>
  </si>
  <si>
    <t>A close up of booklets are shown with a person flipping them open and reading.</t>
  </si>
  <si>
    <t>The woman marks a name down and peels it off to put on a sock.</t>
  </si>
  <si>
    <t>The woman then lays an iron over the name and peels off the paper to show how to properly label a gift.</t>
  </si>
  <si>
    <t>v_cEHyZzBsWnw</t>
  </si>
  <si>
    <t>A female weightlifter lifts a barbell with her legs.</t>
  </si>
  <si>
    <t>She gets it to her stomach, then pulls.</t>
  </si>
  <si>
    <t>She goes up and down, working her abdominals.</t>
  </si>
  <si>
    <t>v_uG2sRzp5Bk4</t>
  </si>
  <si>
    <t>Information about Blackjack site iis provided.</t>
  </si>
  <si>
    <t>There are two people shown playing in a casino.</t>
  </si>
  <si>
    <t>A representative from Blackjack is showing a casino gambling game.</t>
  </si>
  <si>
    <t>He lays playing cards on the table against tokens.</t>
  </si>
  <si>
    <t>There are several tokens stacked up on the table.</t>
  </si>
  <si>
    <t>He is explaining how to play the gambling game to maximize one's money.</t>
  </si>
  <si>
    <t>He puts more cards on the table and takes a hand to earn more tokens.</t>
  </si>
  <si>
    <t>Information on how to download the app is provided on the screen.</t>
  </si>
  <si>
    <t>v_abjQ1EyqJuw</t>
  </si>
  <si>
    <t>As the camera walks, it was showing the well maintained hedges, at the center of two hedges is a narrow path leading to a wider field surrounded by more hedges.</t>
  </si>
  <si>
    <t>On one side of the hedge is a man in black shirt, he is standing on a ladder, he is trimming the hedges.</t>
  </si>
  <si>
    <t>Near the man is an empty bench, on the side are more well trimmed hedges.</t>
  </si>
  <si>
    <t>v_GjjRDUirW7g</t>
  </si>
  <si>
    <t>A man is seen speaking to the camera while holding a box up to show an instrument inside.</t>
  </si>
  <si>
    <t>The man pulls out the harmonica and continues to show it off to the camera.</t>
  </si>
  <si>
    <t>The man plays the harmonica and pauses to hold it up to the screen as well as a picture.</t>
  </si>
  <si>
    <t>v_RIaNmXzBQnE</t>
  </si>
  <si>
    <t>There is a woman eating ice cream from a tub and talking to the camera man.</t>
  </si>
  <si>
    <t>And he tries to look into the tub, but she pulls it away.</t>
  </si>
  <si>
    <t>The camera person sits down to continue talking to the woman.</t>
  </si>
  <si>
    <t>She gets up and he follows her through the house as she walks into the kitchen.</t>
  </si>
  <si>
    <t>She puts the rest of the ice cream in the freezer and rinses the spoon.</t>
  </si>
  <si>
    <t>v_ZNUkzdw2EeI</t>
  </si>
  <si>
    <t>An athletic man is seen stepping up to a circle and throwing a discuss off into the distance.</t>
  </si>
  <si>
    <t>He then runs excitedly while cameras follow him and shown other athletes spinning the disk.</t>
  </si>
  <si>
    <t>More shots are shown of people celebrating and the athlete runs into the stands.</t>
  </si>
  <si>
    <t>v_oEd7WT4mVSE</t>
  </si>
  <si>
    <t>A woman is sitting at a table using a hookah while another woman makes silly faces and gestures behind her.</t>
  </si>
  <si>
    <t>They speak animatedly with the person behind the camera.</t>
  </si>
  <si>
    <t>There is a close up of the items on the table in front of them.</t>
  </si>
  <si>
    <t>The woman with the camera turns it to face herself before aiming it back toward the other women.</t>
  </si>
  <si>
    <t>One of the women coughs as a cloud of smoke hits her in the face.</t>
  </si>
  <si>
    <t>v_Lmne5ZF0McI</t>
  </si>
  <si>
    <t>man is jumping wearing stilts on a sidewalk.</t>
  </si>
  <si>
    <t>a calm green grassy field is behind the man wearinf stilts.</t>
  </si>
  <si>
    <t>man is wearing white sweater and stilts and is in a green grassy park.</t>
  </si>
  <si>
    <t>v_yinXvETACC4</t>
  </si>
  <si>
    <t>A host is seen speaking to the camera and leads into a trainer speaking with others exercising behind her.</t>
  </si>
  <si>
    <t>More shots of people exercising on bikes are shown and ends with the trainer walking through and talking.</t>
  </si>
  <si>
    <t>v_r82RY124wVY</t>
  </si>
  <si>
    <t>A woman is standing on a tennis court talking.</t>
  </si>
  <si>
    <t>She begins to play tennis on the court.</t>
  </si>
  <si>
    <t>She serves a tennis ball across the court several times.</t>
  </si>
  <si>
    <t>v_9eqfQyr3J7k</t>
  </si>
  <si>
    <t>Several people are outside in a ski resort sitting on the tubes.</t>
  </si>
  <si>
    <t>After,the three individuals in the front,are pulled down the slope and they begin to slide down.</t>
  </si>
  <si>
    <t>Once they are off,the man who pushed him down walks away and more people begin to go down.</t>
  </si>
  <si>
    <t>v_GQVqSLs2Ulg</t>
  </si>
  <si>
    <t>A man is seen holding a glass while speaking to the camera when another man walks in and begins painting the wall.</t>
  </si>
  <si>
    <t>The man continues to paint up and down the wall while the camera captures him and the other man walks away.</t>
  </si>
  <si>
    <t>v_FXN6qiDsClw</t>
  </si>
  <si>
    <t>An animation demonstrating the arc length of a welding type tool emitting heat.</t>
  </si>
  <si>
    <t>A demonstration of the tool emitting heat in real time.</t>
  </si>
  <si>
    <t>A graph illustrating the Long Arc of the tool documenting Voltage and Amperage.</t>
  </si>
  <si>
    <t>The tool is shown in real time emitting heat with a photo of a welded material.</t>
  </si>
  <si>
    <t>A graph illustrates Short Arc with the Voltage and Amperage documented.</t>
  </si>
  <si>
    <t>A man in a blue coat and orange gloves uses the arc tool.</t>
  </si>
  <si>
    <t>v_K2l7ops-tno</t>
  </si>
  <si>
    <t>A man is placing tiles on the floor.</t>
  </si>
  <si>
    <t>A woman appears, removing tiles from a box and talking about them.</t>
  </si>
  <si>
    <t>The woman kneels onto the ground, cutting and applying tiles.</t>
  </si>
  <si>
    <t>A man rolls a pressure roller over the finished floor before the woman returns, speaking about the finished product.</t>
  </si>
  <si>
    <t>v_mB90PudOrnU</t>
  </si>
  <si>
    <t>A girl is giving a small dog a bath.</t>
  </si>
  <si>
    <t>She has an orange bottle in her hand.</t>
  </si>
  <si>
    <t>v_g7IZWqeyM20</t>
  </si>
  <si>
    <t>A white intro screen appears with a red,white and black art swirl on the left side red and black words on the right that say "England Squash&amp;Racketball" and the website in black at the bottom.</t>
  </si>
  <si>
    <t>A man appears with a racket and he's talking to the camera as he hits a racketball then various small clips play afterwards that include him hitting the racketball as well as various other people playing, too.</t>
  </si>
  <si>
    <t>The outro screen appears and it's exactly like the white intro screen.</t>
  </si>
  <si>
    <t>v_T49ZxNX1DFM</t>
  </si>
  <si>
    <t>There are people throwing balls to each other in the pool.</t>
  </si>
  <si>
    <t>there are people swimming to the other side of the pool.</t>
  </si>
  <si>
    <t>v_jUPbimyUndA</t>
  </si>
  <si>
    <t>woman is walking wearing a bikini and eating a chocolate is snowy day.</t>
  </si>
  <si>
    <t>people are in sidewalk watching the girl walks.</t>
  </si>
  <si>
    <t>woman is in a restaurant wearing a bikini and two aiter are watching her.</t>
  </si>
  <si>
    <t>woman walks in a airport eating a restaurant.</t>
  </si>
  <si>
    <t>v_7lv1VOxIng4</t>
  </si>
  <si>
    <t>A little girl is putting makeup on her face.</t>
  </si>
  <si>
    <t>She puts lipstick on her lips.</t>
  </si>
  <si>
    <t>She puts mascara on her eyelashes.</t>
  </si>
  <si>
    <t>She sprays body spray on her shirt.</t>
  </si>
  <si>
    <t>She puts eye shadow on her eyes.</t>
  </si>
  <si>
    <t>v_iE3I2ICIvHE</t>
  </si>
  <si>
    <t>A gymnast is seen standing ready before a beam and then jumping on to perform a routine.</t>
  </si>
  <si>
    <t>The girl then performs several flips and tricks on the beam, ending with her jumping off the side with her legs together and holding her arms up.</t>
  </si>
  <si>
    <t>v_-AjZCBMb4qU</t>
  </si>
  <si>
    <t>A girl is seating in front of a table, playing an accordian.</t>
  </si>
  <si>
    <t>She stares at the camera as she plays the keyboard and pulls the accordian in and out.</t>
  </si>
  <si>
    <t>v_RisNywzGXt8</t>
  </si>
  <si>
    <t>A lady pulls and fixes her outfit.</t>
  </si>
  <si>
    <t>The lady messes with her hair.</t>
  </si>
  <si>
    <t>The lady tries on shoes while standing and sitting.</t>
  </si>
  <si>
    <t>v_IT9uvR9yjxI</t>
  </si>
  <si>
    <t>An intro is shown of maps and a house close up.</t>
  </si>
  <si>
    <t>Afterwards a close up of a roof is shown as well as logos.</t>
  </si>
  <si>
    <t>More pictures are shown of trucks parked as well as logos.</t>
  </si>
  <si>
    <t>v_YRRcCaxIoR4</t>
  </si>
  <si>
    <t>Pole Vault Greats is on the screen.</t>
  </si>
  <si>
    <t>There are several scenes of men and women pole vaulting.</t>
  </si>
  <si>
    <t>v_F4eF_nO2UFs</t>
  </si>
  <si>
    <t>Tools sit on a table and we see a person unpack a bike and assemble it.</t>
  </si>
  <si>
    <t>We see the man put a tire on the bike.</t>
  </si>
  <si>
    <t>A person tightens the holds on the handlebars.</t>
  </si>
  <si>
    <t>The man puts grease on the paddles and installs them before airing the tires.</t>
  </si>
  <si>
    <t>We then see the finished bike.</t>
  </si>
  <si>
    <t>The ending title screen is shown.</t>
  </si>
  <si>
    <t>v_DG9-yffcXS4</t>
  </si>
  <si>
    <t>A man is seen pulling shades off of a window and removing the bars around the sides.</t>
  </si>
  <si>
    <t>Another man assists him by putting newer bars into the window as well as cutting the boards so they fit.</t>
  </si>
  <si>
    <t>In the end the camera pans around the new roof showing off it's great results.</t>
  </si>
  <si>
    <t>v_ux4iT6vQQb0</t>
  </si>
  <si>
    <t>People run motocross on a bumpy road in the wood.</t>
  </si>
  <si>
    <t>A person climbs a bump with a motorcycle.</t>
  </si>
  <si>
    <t>Also people rides motorcycles on an unpaved flat surface.</t>
  </si>
  <si>
    <t>v_OtcJMIJTTx4</t>
  </si>
  <si>
    <t>A little girl stands on a diving board.</t>
  </si>
  <si>
    <t>Then the little girl jumps, flip and dives in the swimming pool.</t>
  </si>
  <si>
    <t>People are in the swimming pool.</t>
  </si>
  <si>
    <t>v_WltsIClflnA</t>
  </si>
  <si>
    <t>kid is swinging on a playground.</t>
  </si>
  <si>
    <t>woman runs to the swings and sits.</t>
  </si>
  <si>
    <t>woman stands and foot up.</t>
  </si>
  <si>
    <t>v_EOSvdsejPQQ</t>
  </si>
  <si>
    <t>A man is sitting on the stairs playing a harmonica.</t>
  </si>
  <si>
    <t>He stands up and continues playing it.</t>
  </si>
  <si>
    <t>Words come up on the screen.</t>
  </si>
  <si>
    <t>v_JBTiD2-FcR0</t>
  </si>
  <si>
    <t>A closeup of a bag of cement mix is shown.</t>
  </si>
  <si>
    <t>One man adds water into a container while another watches.</t>
  </si>
  <si>
    <t>The first man pours the cement mix into the container.</t>
  </si>
  <si>
    <t>The second man uses a mixer on the container.</t>
  </si>
  <si>
    <t>one of the men applies the mixture to a wall.</t>
  </si>
  <si>
    <t>v_Tovbyt_ZiIc</t>
  </si>
  <si>
    <t>Opening credits show the description of the video.</t>
  </si>
  <si>
    <t>A woman waves her hand and acknowledges her hair and face as she continues to talk.</t>
  </si>
  <si>
    <t>The woman has her hair down and starts styling her hair.</t>
  </si>
  <si>
    <t>She completes styling her hair and continues to talk.</t>
  </si>
  <si>
    <t>v_gV6W0rAHyZg</t>
  </si>
  <si>
    <t>There's a man in a white shirt standing in an open field doing a tutorial for Expert Village on how to play lacrosse.</t>
  </si>
  <si>
    <t>He is holding a lacrosse stick in his hands as he explains the techniques of the game.</t>
  </si>
  <si>
    <t>He makes hand gestures to demonstrate the correct method of holding the lacrosse stick for effective playing technique.</t>
  </si>
  <si>
    <t>v_bX8QXK9mjKA</t>
  </si>
  <si>
    <t>A large group of people are at a carnival playing in their own bumper cars and a few of them bump into one another and come to a stop.</t>
  </si>
  <si>
    <t>They laugh and begin to pull their bumper cars away from one another.</t>
  </si>
  <si>
    <t>The people start driving around again where they all continue to either bump into one another or just drive around.</t>
  </si>
  <si>
    <t>Eventually all the bumper cars come to a complete stop and the ride is over.</t>
  </si>
  <si>
    <t>v_BFICeyu5oMM</t>
  </si>
  <si>
    <t>Ingredients are sitting on a wooden block.</t>
  </si>
  <si>
    <t>A person starts mixing the ingredients together.</t>
  </si>
  <si>
    <t>Words come onto the screen at the end.</t>
  </si>
  <si>
    <t>v_rF1n8L571vM</t>
  </si>
  <si>
    <t>A logo with engine pistons is seen and a disclaimer is shown.</t>
  </si>
  <si>
    <t>Two women in gym exercise pants ride on stationary bikes in a gym together.</t>
  </si>
  <si>
    <t>v_i9g2MGNUVQI</t>
  </si>
  <si>
    <t>A woman is seen speaking to the camera and leads into the news interviewing a man.</t>
  </si>
  <si>
    <t>Several shots are then shown of two bulls fighting other while others watch and speak to the camera.</t>
  </si>
  <si>
    <t>v_f4s1ngeK5P4</t>
  </si>
  <si>
    <t>A person is seen wearing slippers and holding a stick in their hands.</t>
  </si>
  <si>
    <t>The person then begins walking around a room pushing the ball around with the stick.</t>
  </si>
  <si>
    <t>The person continues hitting the ball while walking around the room.</t>
  </si>
  <si>
    <t>v_Uofnmkfohkc</t>
  </si>
  <si>
    <t>A young child is seen riding a skateboard down a road following a group of older boys.</t>
  </si>
  <si>
    <t>Several shots of him riding around are shown as well as him failing and riding more.</t>
  </si>
  <si>
    <t>He fist bumps the camera man and more shots are shown of him riding around.</t>
  </si>
  <si>
    <t>v_F2Igw6lvqwk</t>
  </si>
  <si>
    <t>A girl is sitting at the bottom of the stairs while trying to put her shoes on.</t>
  </si>
  <si>
    <t>She looks off in the distance in a disgusted manor, at the same time appearing quite distracted.</t>
  </si>
  <si>
    <t>She finishes by tying up her shoe laces and laughing to herself and the person filming her.</t>
  </si>
  <si>
    <t>v_BhxKjirVF4Y</t>
  </si>
  <si>
    <t>A woman dressed in gym clothes is doing a tutorial on spinning in a gym.</t>
  </si>
  <si>
    <t>She is demonstrating the dumbbells that she will be using.</t>
  </si>
  <si>
    <t>She then demonstrates the exercise bike and continues to bike along with some other women at the gym.</t>
  </si>
  <si>
    <t>She explains how to do some rigorous exercise on the bike.</t>
  </si>
  <si>
    <t>there are several other women who are also biking on the exercise bike with her.</t>
  </si>
  <si>
    <t>v_cmM0li5O1t0</t>
  </si>
  <si>
    <t>We see a little girl water skiing.</t>
  </si>
  <si>
    <t>We see a man holding a child water skiing.</t>
  </si>
  <si>
    <t>The man lets go, and grabs her jacket again.</t>
  </si>
  <si>
    <t>The man points to the skis.</t>
  </si>
  <si>
    <t>The man lefts go and grabs the jacket again.</t>
  </si>
  <si>
    <t>v_yVK-GMdc9UA</t>
  </si>
  <si>
    <t>A man is smiling at the camera.</t>
  </si>
  <si>
    <t>He is ironing clothes on an ironing board.</t>
  </si>
  <si>
    <t>He flips the clothes over and irons the other side.</t>
  </si>
  <si>
    <t>v_gU81ZXdYh7o</t>
  </si>
  <si>
    <t>A boy in an orange shirt is standing in a room.</t>
  </si>
  <si>
    <t>He starts punching a punching bag.</t>
  </si>
  <si>
    <t>The punching bag moves in the air.</t>
  </si>
  <si>
    <t>v_irnvsfchQX8</t>
  </si>
  <si>
    <t>A boy paddles a boat.</t>
  </si>
  <si>
    <t>v_BwwjQZDn3NE</t>
  </si>
  <si>
    <t>A man is seen outside dancing to himself while wiping a rag on the car.</t>
  </si>
  <si>
    <t>The weather is pouring rain and the man continues to dance around the car holding a rag.</t>
  </si>
  <si>
    <t>The man moves to the front of the car followed by taking his shirt off and waving to the camera.</t>
  </si>
  <si>
    <t>v_XKvzx2cD9KY</t>
  </si>
  <si>
    <t>There is a large crowd shown clapping and two hosts speaking in the beginning.</t>
  </si>
  <si>
    <t>A line of men are then shown wearing sumo wrestling outfits.</t>
  </si>
  <si>
    <t>Two people get inside of the ring and begin fighting.</t>
  </si>
  <si>
    <t>The two people grab each other's necks and try to knock their opponent down to the ground.</t>
  </si>
  <si>
    <t>v_2wUKu5UIHmI</t>
  </si>
  <si>
    <t>The camera captures a close up of an older woman putting makeup on and smacking her lips to the camera.</t>
  </si>
  <si>
    <t>She then puts mascara on as well as more lipstick and nods her head back and fourth smiling.</t>
  </si>
  <si>
    <t>v_hmT9H0IjiGs</t>
  </si>
  <si>
    <t>A man wearing a white hat is demonstrating how to make a Caribbean drink.</t>
  </si>
  <si>
    <t>He shows a bowl filled with citrus fruits.</t>
  </si>
  <si>
    <t>He takes a lemon juicer and some lemons and limes and oranges.</t>
  </si>
  <si>
    <t>He then juices the oranges and lemon on the juicer.</t>
  </si>
  <si>
    <t>He then empties the juice a large cocktail bowl.</t>
  </si>
  <si>
    <t>He adds rum to the juice along with some vanilla extract.</t>
  </si>
  <si>
    <t>He also mixes in sugar and rum and whisks the drink.</t>
  </si>
  <si>
    <t>He finally adds a bowl full of water and stirs it well.</t>
  </si>
  <si>
    <t>He pours the beverage in cocktail glasses and places it on the kitchen counter.</t>
  </si>
  <si>
    <t>v_f14r3tC-Y4E</t>
  </si>
  <si>
    <t>A large boat is shown sailing through ocean water.</t>
  </si>
  <si>
    <t>A man in scuba gear climbs over the side.</t>
  </si>
  <si>
    <t>He works on pulling a large bag into the boat, trying not to capsize.</t>
  </si>
  <si>
    <t>v_KwhqAV_0o40</t>
  </si>
  <si>
    <t>A man dressed in snow gear is standing on a frozen body of water and bending over as he looks into a fish hole that his fishing pole is in.</t>
  </si>
  <si>
    <t>The man pulls on his fishing pole, goes on his knees, and continues to slowly pull the fishing pole up and the camera man who had already put the camera down bends down and grabs the fish and places it onto the ice.</t>
  </si>
  <si>
    <t>The man picks the camera up and angles the camera towards the fish on the ice and the man who was fishing is smiling, unhooks the fish then holds it up in the air.</t>
  </si>
  <si>
    <t>v_hRoHfDR4-e0</t>
  </si>
  <si>
    <t>People handles bulls in a rodeo ring, a man is throw to the air by a bull.</t>
  </si>
  <si>
    <t>People are throw by bulls to the ground while jumping and kicking with the back legs while people watch the rodeo.</t>
  </si>
  <si>
    <t>Several people riding bulls are throw to the ground while other people distract the bulls that jumps and kicks.</t>
  </si>
  <si>
    <t>v_1wqSUOGmpBs</t>
  </si>
  <si>
    <t>Two very large sumos are in an elevated circle doing leg warm ups and squatting while another man in the middle dressed in Japanese garb referees.</t>
  </si>
  <si>
    <t>The referee lets them know when to start and the sumos wrestle while the referee walks around the ring and monitors them.</t>
  </si>
  <si>
    <t>Finally one of the men is able to push another man out of the ring,they stop wrestling, the loser walks to his end and they bow to one another and both leave the ring.</t>
  </si>
  <si>
    <t>v_TtQPtLPTqBA</t>
  </si>
  <si>
    <t>A girl is pouring something into a sink.</t>
  </si>
  <si>
    <t>She walks away and wipes her hands on a towel.</t>
  </si>
  <si>
    <t>She pours the bowl into a bucket on the ground.</t>
  </si>
  <si>
    <t>She starts wiping the floor with a towel.</t>
  </si>
  <si>
    <t>She moves the bucket up to the front of the classroom and dumps it out.</t>
  </si>
  <si>
    <t>v_C8IEqXTBod0</t>
  </si>
  <si>
    <t>We see the title screen for the video.</t>
  </si>
  <si>
    <t>We change to a woman putting on her cold weather clothes.</t>
  </si>
  <si>
    <t>She grabs a shovel and walks away.</t>
  </si>
  <si>
    <t>We see the lady sitting and laying on a chair and reading.</t>
  </si>
  <si>
    <t>The lady is outside shoveling the snow and talking.</t>
  </si>
  <si>
    <t>We see articles online about shoveling.</t>
  </si>
  <si>
    <t>The lady is jumping and warming up.</t>
  </si>
  <si>
    <t>We see a snowy city and then people shoveling snow.</t>
  </si>
  <si>
    <t>v_0JpULUYPDX0</t>
  </si>
  <si>
    <t>A person is seen standing on a court holding a tennis racket.</t>
  </si>
  <si>
    <t>The man then demonstrates several moves with the tennis racket and hitting the ball to another.</t>
  </si>
  <si>
    <t>The two continuously hit the ball back and fourth to one another.</t>
  </si>
  <si>
    <t>v_kWPvAxLzGw8</t>
  </si>
  <si>
    <t>A woman is sitting down wearing green sunglasses.</t>
  </si>
  <si>
    <t>She is talking on the cell phone.</t>
  </si>
  <si>
    <t>She is riding in a car.</t>
  </si>
  <si>
    <t>She is laying on a chair getting her foot tattooed.</t>
  </si>
  <si>
    <t>She is showing her foot tattoo.</t>
  </si>
  <si>
    <t>She is sitting outside talking again.</t>
  </si>
  <si>
    <t>v_Yp9DBq34bFQ</t>
  </si>
  <si>
    <t>A woman is seen squeezing lotion out of a bottle onto her skin and rubbing it into her arms.</t>
  </si>
  <si>
    <t>More pictures are shown on the screen of people and lotions as well as steps on how to use it properly.</t>
  </si>
  <si>
    <t>v_p9yq0kAqGU4</t>
  </si>
  <si>
    <t>Men pull a rope in a game of tug of war.</t>
  </si>
  <si>
    <t>A lady bends down to take a photo and a lady walks and films the even.</t>
  </si>
  <si>
    <t>We see a tower in the field.</t>
  </si>
  <si>
    <t>The men let go of the rope, one man falls and claps.</t>
  </si>
  <si>
    <t>A man smiles and gives a thumbs up to the camera.</t>
  </si>
  <si>
    <t>v_zlOErVVHKEk</t>
  </si>
  <si>
    <t>People are playing a game in a field.</t>
  </si>
  <si>
    <t>The man with the mallet and the man with the red hat run back and forth.</t>
  </si>
  <si>
    <t>A man with a blue shirt runs toward home plate.</t>
  </si>
  <si>
    <t>The man with the mallet is shown getting hit in slow motion.</t>
  </si>
  <si>
    <t>A woman is up to bat and is shown running after getting a hit.</t>
  </si>
  <si>
    <t>v_FPbPkjLAEzs</t>
  </si>
  <si>
    <t>A man is parasailing on the ocean.</t>
  </si>
  <si>
    <t>Other people also begin sailing in the water, some falling over.</t>
  </si>
  <si>
    <t>v_xC9s-_MNO_Q</t>
  </si>
  <si>
    <t>We see a man decorating a Christmas tree.</t>
  </si>
  <si>
    <t>The man adds a string of lights.</t>
  </si>
  <si>
    <t>A little girl ads bulbs to the tree.</t>
  </si>
  <si>
    <t>The man turns the lights on.</t>
  </si>
  <si>
    <t>The man and the girl add bulbs to the tree.</t>
  </si>
  <si>
    <t>The lady goes up and own the stairs.</t>
  </si>
  <si>
    <t>The lady adds ornaments to the tree.</t>
  </si>
  <si>
    <t>The man stands on a ladder and adds ornaments.</t>
  </si>
  <si>
    <t>The lady turns off the lights and the family looks at the tree together.</t>
  </si>
  <si>
    <t>The man and woman kiss each other.</t>
  </si>
  <si>
    <t>v_scapZQe6_Iw</t>
  </si>
  <si>
    <t>Two men are standing on a field behind a row of houses.</t>
  </si>
  <si>
    <t>One swings a bat and runs onto the field, chasing a ball.</t>
  </si>
  <si>
    <t>The ball is thrown back to the batter, and he continues the game of cricket with his team mates.</t>
  </si>
  <si>
    <t>v_0H_9zlnmW4U</t>
  </si>
  <si>
    <t>A man is seen standing in a large field and leads into him moving his arms and legs around the area.</t>
  </si>
  <si>
    <t>The man continues moving around the area moving his hands up and down and looking off into the distance.</t>
  </si>
  <si>
    <t>v_JDfFAljt4JM</t>
  </si>
  <si>
    <t>Two people are seen doing a ballet dance on stage followed by a woman doing a dance while others watch on the side.</t>
  </si>
  <si>
    <t>The woman continue spinning with the man walking in and out of frame and ends with her bowing to the audience.</t>
  </si>
  <si>
    <t>v_08wKlw4a_so</t>
  </si>
  <si>
    <t>A black dog walks on a lawn.</t>
  </si>
  <si>
    <t>A lady rakes leaves from the lawn onto the pavement sidewalk.</t>
  </si>
  <si>
    <t>The lady stops raking, turns around, and talks plus gestures.</t>
  </si>
  <si>
    <t>A white ball rolls to a parked car.</t>
  </si>
  <si>
    <t>v_xpEbejnuGEY</t>
  </si>
  <si>
    <t>A woman is seen kneeling into frame next to a patio set.</t>
  </si>
  <si>
    <t>She then shows off various cleaning tools an rubs them along a chair.</t>
  </si>
  <si>
    <t>She brings the chair inside and pours paint into a bucket and paints along the side.</t>
  </si>
  <si>
    <t>She shows off the chair outside again while speaking to the camera.</t>
  </si>
  <si>
    <t>v_K4F8I74OM-Y</t>
  </si>
  <si>
    <t>A brunette woman newscaster is wearing a white shirt and royal blue blazer over it and is speaking into the camera.</t>
  </si>
  <si>
    <t>A clip begins and it features people running and the words on the screen say they are novices who are training to run a marathon in Tel Aviv, Israel.</t>
  </si>
  <si>
    <t>A man appears training them and different marathoners in training take turns being interviewed while they continue to switch back and forth to everyone going through the training.</t>
  </si>
  <si>
    <t>The last clip is the view from the start of a marathon and hundreds of people start running as they leave the start line.</t>
  </si>
  <si>
    <t>v_LChqFAESyCg</t>
  </si>
  <si>
    <t>There's a young girl standing in her bathroom doing a tutorial on how to apply lipstick.</t>
  </si>
  <si>
    <t>she opens her mirror cabinet and takes her lipstick out.</t>
  </si>
  <si>
    <t>She begins applying the lipstick on her lips.</t>
  </si>
  <si>
    <t>Then she uses the same lipstick and dabs it on her cheeks.</t>
  </si>
  <si>
    <t>She uses her fingers to smear the lipstick evenly on her cheek bones.</t>
  </si>
  <si>
    <t>Then she pouts and smiles for the camera, striking a pose.</t>
  </si>
  <si>
    <t>v_H2KVO7LWU5w</t>
  </si>
  <si>
    <t>A toddler is holding a leaf blower.</t>
  </si>
  <si>
    <t>A teen is raking the lawn.</t>
  </si>
  <si>
    <t>A teen tosses a rake full of leaves at the toddler.</t>
  </si>
  <si>
    <t>v_b39hqdpOn7k</t>
  </si>
  <si>
    <t>A still shot picture of a man appears while a lot of white words go scrolling from the bottom to the top.</t>
  </si>
  <si>
    <t>The man is now in an enclosed ad small racquetball court area and he's going through the motions of hitting a ball with his racquet with the words "not recommended" in the upper left corner.</t>
  </si>
  <si>
    <t>A screen quickly appears and it has white text that say "please subscribe to this youtube channel".</t>
  </si>
  <si>
    <t>The man is then shown again playing racquetball on the court until the outro screen appears and it includes a lot of white wording that is scrolling from the bottom to the top.</t>
  </si>
  <si>
    <t>v_skSPijG9sgU</t>
  </si>
  <si>
    <t>A few kids are seen standing on a stage followed by the children pushing a puck along the ice.</t>
  </si>
  <si>
    <t>Several people are shown playing the game around them and panning to the audience reacting as well as people standing on the sides.</t>
  </si>
  <si>
    <t>v_puGw7gu96AM</t>
  </si>
  <si>
    <t>A man comes out of a gate on a horse.</t>
  </si>
  <si>
    <t>He lassos and ropes a calf.</t>
  </si>
  <si>
    <t>He then jumps down and ties the calf.</t>
  </si>
  <si>
    <t>v_2Q0WGQbJbso</t>
  </si>
  <si>
    <t>A person plays a violin in front of a huge crowd of people.</t>
  </si>
  <si>
    <t>The people give him a standing ovation at the end.</t>
  </si>
  <si>
    <t>v_uMQEaWGQvrc</t>
  </si>
  <si>
    <t>A man on a diving board walks to the end.</t>
  </si>
  <si>
    <t>the man bounces on the board two times then dives into the water.</t>
  </si>
  <si>
    <t>The man surfaces and swims towards the edge of the pool.</t>
  </si>
  <si>
    <t>v_rHUCx_JqNk4</t>
  </si>
  <si>
    <t>a woman with pink hair is posing for the camera.</t>
  </si>
  <si>
    <t>She brushes out her hair with her hands before separating it into sections.</t>
  </si>
  <si>
    <t>She then braids the hair down the side of her head.</t>
  </si>
  <si>
    <t>v_Nj_fvFbf56I</t>
  </si>
  <si>
    <t>A little boy runs across a hopscotch on the ground.</t>
  </si>
  <si>
    <t>He returns to the beginning, and tries to jump.</t>
  </si>
  <si>
    <t>He hops all the way to the end.</t>
  </si>
  <si>
    <t>v_XzYtm5WdAE8</t>
  </si>
  <si>
    <t>A man is seen standing in a large field behind a piece of heavy machinery.</t>
  </si>
  <si>
    <t>The man pushes the machine along some tall grass while the camera follows his movements.</t>
  </si>
  <si>
    <t>The man continues pushing along the high grass.</t>
  </si>
  <si>
    <t>v_7D5ItfgJFVw</t>
  </si>
  <si>
    <t>The white rabbit is in the cage.</t>
  </si>
  <si>
    <t>The rabbit is cleaning its hands by licking it.</t>
  </si>
  <si>
    <t>The rabbit cleaned his back and then wend down to the first floor of his cage.</t>
  </si>
  <si>
    <t>v_OqoUemFpetc</t>
  </si>
  <si>
    <t>Two teams playing throwing balls to hit an opponent.</t>
  </si>
  <si>
    <t>The players hold two balls and throw each other to hit and opponent.</t>
  </si>
  <si>
    <t>A boy holding a ball throw to another player and the opponents also throws ball.</t>
  </si>
  <si>
    <t>v_ktYgm8bRK-g</t>
  </si>
  <si>
    <t>A woman begins walking down a cobble stone sidewalk with brown boots and then she is seen twirling a hula hoop.</t>
  </si>
  <si>
    <t>With the hula hoop,the girl begins flipping and dancing with it between her legs.</t>
  </si>
  <si>
    <t>She progresses and adds another hula hip and both of them go on at the same time.</t>
  </si>
  <si>
    <t>In her next setting,she has about five around her body and continues to dance.</t>
  </si>
  <si>
    <t>She continues to do the same thing with different amounts and with other body parts as people come and take pictures of her displaying her talent.</t>
  </si>
  <si>
    <t>Lastly, another small videos appears showing advertisements for the Jump Rope sisters youtube page.</t>
  </si>
  <si>
    <t>v_cCISvaObBxI</t>
  </si>
  <si>
    <t>Two teams play soccer in an indoor soccer court, the team wearing white t-shirt wins the competition.</t>
  </si>
  <si>
    <t>The player scores and celebrate with a teammate.</t>
  </si>
  <si>
    <t>Other teams plays soccer, a player with white uniform receives a ball and score.</t>
  </si>
  <si>
    <t>Two teams play soccer, and the player with the yellow uniform scores.</t>
  </si>
  <si>
    <t>Two team of girls compete, a girl with red uniform scores and the team wins.</t>
  </si>
  <si>
    <t>Then, a player with a white uniform scores with a spectacular movement.</t>
  </si>
  <si>
    <t>v_waF8oGaQqvI</t>
  </si>
  <si>
    <t>A special effect intro appears and a blue word appears in the middle of the screen and say's "Howcast".</t>
  </si>
  <si>
    <t>A woman is lying on a bed in a business with a man sitting next to her and a list of things pop up on the screen under the words "YOU WILL NEED" appear on the screen.</t>
  </si>
  <si>
    <t>The woman is shown doing various things as steps show up under each action she does, and even tips appear on the screen that lead up to the woman laying on the bed as a man tattoos her.</t>
  </si>
  <si>
    <t>When he's done tattooing her he holds up a white bottle with a green cap and talks to her while showing it and white words appear on the screen giving a warning that "Applying too much topical anesthetic and then covering the tattoo can cause seizures".</t>
  </si>
  <si>
    <t>The woman stands up to show her tattoo and the woman is briefly shown sunbathing with the tattoo covered up.</t>
  </si>
  <si>
    <t>A close up of her tattoo is shown and words appear over it that say's "Democrats are more likely to have tattoos", then a white screen appears with the blue words in the middle that say "Howcast".</t>
  </si>
  <si>
    <t>v_lJ02cAklA6o</t>
  </si>
  <si>
    <t>A man is seated while someone buffs his shoes.</t>
  </si>
  <si>
    <t>The person uses a brush to clean his shoes thorougly.</t>
  </si>
  <si>
    <t>Then they use polish to shine them.</t>
  </si>
  <si>
    <t>v_yVsOoFr61x4</t>
  </si>
  <si>
    <t>A young girl is seen walking to the end of a diving board with several other people around her.</t>
  </si>
  <si>
    <t>The girl puts her arms up and then dives into the pool.</t>
  </si>
  <si>
    <t>She's seen again coming to the surface in the pool and swimming over to the edge.</t>
  </si>
  <si>
    <t>v_NGF0rQiDxNk</t>
  </si>
  <si>
    <t>A female gymnast is spinning and jumping on a pair of high beams as her coach watches, prepared to catch her.</t>
  </si>
  <si>
    <t>He steps onto the beam as she dismounts, arms in the air.</t>
  </si>
  <si>
    <t>v_NV2scxevYKk</t>
  </si>
  <si>
    <t>Two men do maneuvers on a canoe pivoting the canoe helping with the paddlers.</t>
  </si>
  <si>
    <t>Then, the men pivot the canoe away from the bow paddlers while paddling fast the oars.</t>
  </si>
  <si>
    <t>After, the men slides the canoe forward using the oars to advance.</t>
  </si>
  <si>
    <t>Next, the men sail on the river until arrive to the bank of the river.</t>
  </si>
  <si>
    <t>v_Vfb3LmFDols</t>
  </si>
  <si>
    <t>We see a man in BMX bike arena talking.</t>
  </si>
  <si>
    <t>We see people bring bikes up a ramp.</t>
  </si>
  <si>
    <t>We see people start when the gate opens.</t>
  </si>
  <si>
    <t>We then see people riding bikes.</t>
  </si>
  <si>
    <t>We see a man wipe dirt from his hair and turn off the camera.</t>
  </si>
  <si>
    <t>v_Xf8y5_b2dq4</t>
  </si>
  <si>
    <t>A man is seen holding onto a paint machine and spraying it around all the furniture.</t>
  </si>
  <si>
    <t>He continues painting around the area while the camera pans around his movements.</t>
  </si>
  <si>
    <t>He finishes the painting and the camera pans around the furniture.</t>
  </si>
  <si>
    <t>v_QEdbqJijx1w</t>
  </si>
  <si>
    <t>A woman is seen speaking to the camera while sitting in a chair.</t>
  </si>
  <si>
    <t>She then holds up a contact lens and puts one in her eye.</t>
  </si>
  <si>
    <t>She puts another contact in her eye and smiles to the camera.</t>
  </si>
  <si>
    <t>v_blSOfdlqJtY</t>
  </si>
  <si>
    <t>A large group of people are seen playing around a gymnasium throwing balls at one another and bouncing around.</t>
  </si>
  <si>
    <t>The people continue throwing balls when one hits the camera and shows a persons face.</t>
  </si>
  <si>
    <t>The game continues on with the people throwing balls around and people watching on the sides.</t>
  </si>
  <si>
    <t>v_s0YJOzALDNg</t>
  </si>
  <si>
    <t>A group of people are under a covering.</t>
  </si>
  <si>
    <t>They are riding around in a series of bumper cars.</t>
  </si>
  <si>
    <t>The cars bump into each other as they drive around.</t>
  </si>
  <si>
    <t>v_UxlDSfC7S-0</t>
  </si>
  <si>
    <t>A bag of Spill Master Absorbant is shown on the screen.</t>
  </si>
  <si>
    <t>A man stands in a warehouse talking to the camera and pours some liquid on the ground.</t>
  </si>
  <si>
    <t>He takes a bowl of some material and sprinkled it over the spills.</t>
  </si>
  <si>
    <t>He then sweeps up the material with a broom and dust pan.</t>
  </si>
  <si>
    <t>v__-zOtZZ_fwI</t>
  </si>
  <si>
    <t>A woman is video taping some men in a living room getting jackets on.</t>
  </si>
  <si>
    <t>One of the men motions the the camera person to follow him as he grabs a broom and walks down a hall and out a door to a snow covered parking lot.</t>
  </si>
  <si>
    <t>They walk out into the parking lot as another man comes outside.</t>
  </si>
  <si>
    <t>The man with the broom brushes snow off of an SUV as another man does the same at a car next to him.</t>
  </si>
  <si>
    <t>v_cdiazgshHuc</t>
  </si>
  <si>
    <t>A girl holds up a brush and walks up to the horse.</t>
  </si>
  <si>
    <t>The girl brushes of the coat of the horse in a stable.</t>
  </si>
  <si>
    <t>The girl removes the ankle braces from the horse.</t>
  </si>
  <si>
    <t>The girl wraps up the braces together an puts them away.</t>
  </si>
  <si>
    <t>A horse sticks his head out from a stable and a man watches.</t>
  </si>
  <si>
    <t>v_dth80jcqPxU</t>
  </si>
  <si>
    <t>Several types of shot put throws and terminology are demonstrated.</t>
  </si>
  <si>
    <t>The different throws show different block types.</t>
  </si>
  <si>
    <t>These are used in various sling types.</t>
  </si>
  <si>
    <t>Some names of some of the throws are the glide shot, the spin Shot, and the stand throw.</t>
  </si>
  <si>
    <t>v_6VW7ZPurE7c</t>
  </si>
  <si>
    <t>A small dog is seen wearing an outfit and walking on two legs while people stand around him and watch.</t>
  </si>
  <si>
    <t>The dog continues walking around and looking around as people watch.</t>
  </si>
  <si>
    <t>v_EOradtej9GU</t>
  </si>
  <si>
    <t>A mountain full of snow appears and a man begins skiing down the slopes.</t>
  </si>
  <si>
    <t>As he skis,more men appear before he reappears by himself.</t>
  </si>
  <si>
    <t>Once alone,the man skis rapidly down the slopes and does spins and kneels as he skis.</t>
  </si>
  <si>
    <t>Eventually,he goes to fast and ends up flipping over into a pile of snow.</t>
  </si>
  <si>
    <t>v_FaKQvJBhMPg</t>
  </si>
  <si>
    <t>A man and a woman are sitting in two separate floating donuts, the man in the blue, the woman in the green, and both are smiling then the man raises his left arm to wave.</t>
  </si>
  <si>
    <t>A group of people are also on different colored floating donuts, playing, falling in the water and having a good time.</t>
  </si>
  <si>
    <t>A brown haired woman standing in a pile of floating donuts is holding a mic and talking, and other clips begin to play that include scenery of the lake, interviewing various people of ages and both sexes, people walking with their floating donuts, signs at the lake, people having fun and etcetera.</t>
  </si>
  <si>
    <t>The woman is now sitting in a green floating donut, still holding the mic, and still talking.</t>
  </si>
  <si>
    <t>A white screen appears appears with a maroon and white logo, then it changes to another white screen that has a blue website in the middle of it.</t>
  </si>
  <si>
    <t>v_DMUFb7gvUx4</t>
  </si>
  <si>
    <t>Men travel in a plane and arrives to the top of a mountain.</t>
  </si>
  <si>
    <t>Then, men get down the plane and ski down the hill.</t>
  </si>
  <si>
    <t>A person ski behind a man down the slope of the mountain.</t>
  </si>
  <si>
    <t>A snow removal clear the snow of the road.</t>
  </si>
  <si>
    <t>After, the men ski down the hill in middle of the trees.</t>
  </si>
  <si>
    <t>The men ski in a wood area that is uneven.</t>
  </si>
  <si>
    <t>v_56kqqlco5H0</t>
  </si>
  <si>
    <t>A gymnast wearing a blue outfit climes onto the a balance beam and performs a hand stand with a split in a competition in front of a huge American flag.</t>
  </si>
  <si>
    <t>The gymnast proceeds on the balance beam and performs a front somersault and then three consecutive backward somersaults in a row.</t>
  </si>
  <si>
    <t>The gymnast continues with her performance on the parallel bar with spin moves, jump moves and dance moves.</t>
  </si>
  <si>
    <t>The gymnast prepares for the dismount at one end of the parallel bar does a forward somersault on the parallel bar and a somersault with a spin and lands the dismount perfectly.</t>
  </si>
  <si>
    <t>v_nOJUyDGq_l0</t>
  </si>
  <si>
    <t>A group of men are gathered in a circle in a room.</t>
  </si>
  <si>
    <t>They shake each other's hands, then start fighting in the ring of people.</t>
  </si>
  <si>
    <t>They spin and kick, never actually hitting each other.</t>
  </si>
  <si>
    <t>When they finish the group comes together, clapping as a group.</t>
  </si>
  <si>
    <t>v_2zl0O1VRDC4</t>
  </si>
  <si>
    <t>A person puts sealing material around steel planks and a roof.</t>
  </si>
  <si>
    <t>Then, the man paints a roof with black paint.</t>
  </si>
  <si>
    <t>v_U2td95KJU7Y</t>
  </si>
  <si>
    <t>A boy stand on a pool diving board in an Olympic competition.</t>
  </si>
  <si>
    <t>Then, the boy jumps and does four flips in the air and falls into the water.</t>
  </si>
  <si>
    <t>The crowd applaud the boy holding British flags.</t>
  </si>
  <si>
    <t>A man hugs the boy who looks happy, and the boy walks around.</t>
  </si>
  <si>
    <t>The boy jumps from a diving board and does four flips in the air before gets into the water.</t>
  </si>
  <si>
    <t>v_bWCIcijlgCo</t>
  </si>
  <si>
    <t>The video begins with several shots of people riding down long roads on skateboards in fast motion as well as slow.</t>
  </si>
  <si>
    <t>The people perform various jumps and tricks down these long and winding roads and shows the boarder speaking into the camera.</t>
  </si>
  <si>
    <t>v_LrwBGQ9B0Vg</t>
  </si>
  <si>
    <t>A group of fish swim around in the ocean floor.</t>
  </si>
  <si>
    <t>A long yellow fish passes the camera.</t>
  </si>
  <si>
    <t>Scuba divers gather on a boat as a man speaks.</t>
  </si>
  <si>
    <t>We see several fish and a shark.</t>
  </si>
  <si>
    <t>The scuba divers dive, looking at the fish and waving at the camera.</t>
  </si>
  <si>
    <t>v_7BM40jqPYgA</t>
  </si>
  <si>
    <t>A boy makes repairs to a disassembled bicycle with the use of a solder in a backyard near the back steps of a house.</t>
  </si>
  <si>
    <t>A boy enters the scene and pulls on a pair of gloves while wearing a sports protective mask, turns on a blue machine on the back steps and picks up a solder.</t>
  </si>
  <si>
    <t>The boy then begins to solder a disassembled bicycle on the ground in a backyard.</t>
  </si>
  <si>
    <t>The boy then gets up and walks out of the scene after lifting the lid on his mask.</t>
  </si>
  <si>
    <t>v_U0IJmOHoa1M</t>
  </si>
  <si>
    <t>The cricket team of Sri Lanka is playing against another country.</t>
  </si>
  <si>
    <t>the cricketers are playing a competitive game in the field.</t>
  </si>
  <si>
    <t>The Sri Lanka team is represented by the blue uniform.</t>
  </si>
  <si>
    <t>The batsman scores four runs as the bowler throws an overhand ball.</t>
  </si>
  <si>
    <t>The video shows different cricket matches taking place where Sri Lanka is playing against teams from different countries.</t>
  </si>
  <si>
    <t>The stadium is filled with spectators cheering for the cricketers.</t>
  </si>
  <si>
    <t>The match goes on full swing as the batsmen score four runs.</t>
  </si>
  <si>
    <t>The fielder runs to catch the ball after the batsman hits it high, almost catching the ball to make him clean bold.</t>
  </si>
  <si>
    <t>v_iiY3TE2O1QE</t>
  </si>
  <si>
    <t>A camera is held by someone under water and swimming in the ocean.</t>
  </si>
  <si>
    <t>It pans to several shots of men playing soccer on a beach and kick the ball around.</t>
  </si>
  <si>
    <t>The camera pans over the ball followed by several more shots of the man playing.</t>
  </si>
  <si>
    <t>v_MyqWp3ipXxA</t>
  </si>
  <si>
    <t>A large rock is shown followed by people moving around objects and leading into a new segment.</t>
  </si>
  <si>
    <t>A man is then seen cutting up a pumpkin while a woman speaks and leads into a weather report.</t>
  </si>
  <si>
    <t>The man then shows the pumpkin around a group of people as well as close up.</t>
  </si>
  <si>
    <t>v_ohNtDBYmhX0</t>
  </si>
  <si>
    <t>A male skateboarder is skating, he jumped on the railing and then slipped and fell on his back and a hand helped him up.</t>
  </si>
  <si>
    <t>A boy jumped in a platform with his skateboard and slipped and fell.</t>
  </si>
  <si>
    <t>The skateboarders jumped on the platform or railings and slipped and fell on the ground.</t>
  </si>
  <si>
    <t>v_nfTFGY2n_io</t>
  </si>
  <si>
    <t>A family talks about making healthy food.</t>
  </si>
  <si>
    <t>They start by making smoothies and read ingredients from coconut sugar.</t>
  </si>
  <si>
    <t>They blend food and prepare the food and then blend the smoothie.</t>
  </si>
  <si>
    <t>v_m7XKITsRtVw</t>
  </si>
  <si>
    <t>A man and a woman are drinking coffee outside next to a camper.</t>
  </si>
  <si>
    <t>The man is playing guitar.</t>
  </si>
  <si>
    <t>The woman walks to the camera and starts showing off paper documents.</t>
  </si>
  <si>
    <t>She throws the papers and walks back to the man.</t>
  </si>
  <si>
    <t>v_PLgcXxX3A2A</t>
  </si>
  <si>
    <t>A boy on a team throws a basketball at other team members.</t>
  </si>
  <si>
    <t>Others join in, some falling as they are hit with the ball.</t>
  </si>
  <si>
    <t>v_8ClpQ4q6NmM</t>
  </si>
  <si>
    <t>A man is seen kneeling down next to a dog scrubbing his back while another man pours water over the dog's body.</t>
  </si>
  <si>
    <t>The man continues scrubbing as the other pours water and ends with the dog running away.</t>
  </si>
  <si>
    <t>v_j_vP89LZlp8</t>
  </si>
  <si>
    <t>A woman brushes her long hair at home.</t>
  </si>
  <si>
    <t>The woman sits down on the sofa.</t>
  </si>
  <si>
    <t>The woman gets up and turns away.</t>
  </si>
  <si>
    <t>The person turns around walks out of view.</t>
  </si>
  <si>
    <t>v_-vDMeHr1ZfI</t>
  </si>
  <si>
    <t>a lot of desserts are in a sliding belt in a counter.</t>
  </si>
  <si>
    <t>a sunset in a beach and in a lake is shown.</t>
  </si>
  <si>
    <t>people is doing kayaking in a lake going though the lake with big gren vegetation.</t>
  </si>
  <si>
    <t>v_rggwT0-G5sk</t>
  </si>
  <si>
    <t>Two young men are shown running back and fourth down a court hitting a tennis ball.</t>
  </si>
  <si>
    <t>They keep hitting the ball against the wall and chasing the ball around.</t>
  </si>
  <si>
    <t>One pauses and hits the ball on his racket and again throws it for the boys to play.</t>
  </si>
  <si>
    <t>One falls down on the ground towards the end and the other helps him up.</t>
  </si>
  <si>
    <t>v_WQAVlmS5IWs</t>
  </si>
  <si>
    <t>A woman talks to the camera while bathing a baby in the bathtub.</t>
  </si>
  <si>
    <t>The woman demonstrates a small scrubbing pad to the camera.</t>
  </si>
  <si>
    <t>The woman uses the pad on the baby.</t>
  </si>
  <si>
    <t>v_6Dt510HMEWA</t>
  </si>
  <si>
    <t>Some people are floating on the ocean on a yellow raft.</t>
  </si>
  <si>
    <t>They float by large rocks and cliffs.</t>
  </si>
  <si>
    <t>v_g8Yx4qWzNH0</t>
  </si>
  <si>
    <t>A man is bent down on a mat.</t>
  </si>
  <si>
    <t>He picks up a large weight and lifts it over his head.</t>
  </si>
  <si>
    <t>He drops the weight onto the ground.</t>
  </si>
  <si>
    <t>A man in a blue shirt claps.</t>
  </si>
  <si>
    <t>v_J8WxSDLZwu0</t>
  </si>
  <si>
    <t>This baby hits the ball and falls down.</t>
  </si>
  <si>
    <t>Then he gets back up and grabs the stick to attempt hitting the ball again.</t>
  </si>
  <si>
    <t>Next he falls again and gets back up while holding the stick and he grabs the ball hitting it really far.</t>
  </si>
  <si>
    <t>v_ZazjI26IQUo</t>
  </si>
  <si>
    <t>A parent is tattooing their very small child that looks like he is about 3 .</t>
  </si>
  <si>
    <t>He is crying because it hurts and his mean mother is keeping him held down while they tattoo his arm.</t>
  </si>
  <si>
    <t>They keep going with the tattoo it is on his upper arm but you can't tell what they are tattooing.</t>
  </si>
  <si>
    <t>The artist grabs something green and starts to shake it.</t>
  </si>
  <si>
    <t>v_dI1RqUHyWYo</t>
  </si>
  <si>
    <t>Several people at an indoor pool jump off of a diving board into the pool water below exhibiting a mix of advanced diving techniques and diving technique mishaps.</t>
  </si>
  <si>
    <t>Several divers jump off of the diving board into the water below performing many techniques including flips.</t>
  </si>
  <si>
    <t>More, less successful dives are shown near the end of the clip before the scene fades to black.</t>
  </si>
  <si>
    <t>v_29k1TypoU4w</t>
  </si>
  <si>
    <t>A man is seen kneeling on a mat and demonstrating how to do a proper exercise but moving his arms and legs.</t>
  </si>
  <si>
    <t>The man moves back and fourth while moving his arms and legs and speaking to the camera.</t>
  </si>
  <si>
    <t>v_0gA_3BAxtVM</t>
  </si>
  <si>
    <t>People are riding bicycles around a dirt track.</t>
  </si>
  <si>
    <t>Two men crash into each other and fall down.</t>
  </si>
  <si>
    <t>Several people crash into each other and fall down on the track.</t>
  </si>
  <si>
    <t>v_54Hp_Z-cu-s</t>
  </si>
  <si>
    <t>People are interacting in a track field.</t>
  </si>
  <si>
    <t>The marching band are walking with their instruments down a track.</t>
  </si>
  <si>
    <t>The drummers are performing as they walk.</t>
  </si>
  <si>
    <t>v_HMc2QoiQcoA</t>
  </si>
  <si>
    <t>A woman is seated on a bed in a bedroom.</t>
  </si>
  <si>
    <t>She runs her hands through her hair as she talks.</t>
  </si>
  <si>
    <t>She opens a cigarette case and smokes a cigarette while she talks.</t>
  </si>
  <si>
    <t>v_HGG_st1NOYM</t>
  </si>
  <si>
    <t>Women in bikinis are playing volleyball on the beach.</t>
  </si>
  <si>
    <t>One of the women falls onto the sand.</t>
  </si>
  <si>
    <t>They pose for a picture on the beach.</t>
  </si>
  <si>
    <t>v_PlSk7Q9v15A</t>
  </si>
  <si>
    <t>We see two opening title screens.</t>
  </si>
  <si>
    <t>We see a man behind a bar talking.</t>
  </si>
  <si>
    <t>The man adds ice to a martin glass and a tall glass.</t>
  </si>
  <si>
    <t>the man adds three shots to the glass and shakes it.</t>
  </si>
  <si>
    <t>The man puts a strainer on the glass and pours the ice out of the martini glass.</t>
  </si>
  <si>
    <t>The man pours the lime green drink in the martini glass and adds a cherry and straw.</t>
  </si>
  <si>
    <t>We see the closing screen.</t>
  </si>
  <si>
    <t>v_loUYsxA2RHg</t>
  </si>
  <si>
    <t>An elderly man is setting up his camera and then goes off to get on his riding mower.</t>
  </si>
  <si>
    <t>He appears on the left side riding down the sidewalk until he reaches his lawn.</t>
  </si>
  <si>
    <t>He makes a turn and starts working through the grass, going in circles until he reaches the center of the lawn.</t>
  </si>
  <si>
    <t>He then goes back and reaches a small patch of grass that he missed the first time.</t>
  </si>
  <si>
    <t>He goes back through one more time making sure that he didn't miss any spots, and gets off his lawn mower to turn the camera off.</t>
  </si>
  <si>
    <t>v_6rG5dBgwBDc</t>
  </si>
  <si>
    <t>Snowflakes are shown falling down the screen before we see a christmas tree.</t>
  </si>
  <si>
    <t>A woman is talking before she starts preparing and decorating the tree.</t>
  </si>
  <si>
    <t>She applies a plethora of ornaments and lights, and the tree is shown several different states of decoration.</t>
  </si>
  <si>
    <t>v_kHSCvFav1p4</t>
  </si>
  <si>
    <t>Two people are seen standing around a gym hitting a birdie to one another.</t>
  </si>
  <si>
    <t>The men hit the object back and fourth while others watch on the side.</t>
  </si>
  <si>
    <t>The people continue to watch the two play and one off the side takes his shirt off.</t>
  </si>
  <si>
    <t>v_uZC3WPkta-I</t>
  </si>
  <si>
    <t>A group of people are outside playing a game of croquet in the yard.</t>
  </si>
  <si>
    <t>One of the women in a kirt has her hand behind her back just watching them play.</t>
  </si>
  <si>
    <t>The other woman is the only female playing, she take her turn and then it's back to the men.</t>
  </si>
  <si>
    <t>The man in sandals hit the black ball and then it is once again the woman's turn.</t>
  </si>
  <si>
    <t>v_p4RUPQAV0ro</t>
  </si>
  <si>
    <t>A man walks up and picks up a weight.</t>
  </si>
  <si>
    <t>He lifts it up to his shoulders and then over his head.</t>
  </si>
  <si>
    <t>A person stands up and puts his fist in the air.</t>
  </si>
  <si>
    <t>Another man next to him picks up a weight and lifts it over his head.</t>
  </si>
  <si>
    <t>The men shake hands before walking off.</t>
  </si>
  <si>
    <t>v_2zQk4ZEfzf4</t>
  </si>
  <si>
    <t>A man is seen standing in a sand pit and begins spinning around and throwing the object.</t>
  </si>
  <si>
    <t>The man is shown several times spinning around and throwing the object off into the distance.</t>
  </si>
  <si>
    <t>v_awag66wjX4k</t>
  </si>
  <si>
    <t>A bike company is showing off their bikes and how to fix them.</t>
  </si>
  <si>
    <t>There is an intro of the bike company's logo.</t>
  </si>
  <si>
    <t>Then a man gives a quick into talk about the bikes.</t>
  </si>
  <si>
    <t>A person with gloves then shows off some tools and paste.</t>
  </si>
  <si>
    <t>He then uses the tools and paste to fix the bike's handle.</t>
  </si>
  <si>
    <t>The person then shows off the finished product of a fully adjustable handle.</t>
  </si>
  <si>
    <t>The ending screen shows the bike company's logo again.</t>
  </si>
  <si>
    <t>v_bPvxr2-L_HU</t>
  </si>
  <si>
    <t>A person in Blue pants attemps to pile drive a guy in a pink suit.</t>
  </si>
  <si>
    <t>The guy in the pink suit gets revenge.</t>
  </si>
  <si>
    <t>v_14dA-qLmNZo</t>
  </si>
  <si>
    <t>A large group of people are seen riding along the water on boats.</t>
  </si>
  <si>
    <t>One person crashes into another and shows a person speaking to the camera.</t>
  </si>
  <si>
    <t>More clips are shown of the boats together and logos being shown.</t>
  </si>
  <si>
    <t>v_lTFCUuLtUJs</t>
  </si>
  <si>
    <t>A large group of people are seen standing around a track leading into several people running down the road.</t>
  </si>
  <si>
    <t>A woman is seen speaking to the camera while several people are seen running and drinking water.</t>
  </si>
  <si>
    <t>More people speaking to the camera while showing them run in different locations.</t>
  </si>
  <si>
    <t>v_y0VZOcxbjRM</t>
  </si>
  <si>
    <t>There are five ladies playing shuffleboard in an indoor shuffleboard court.</t>
  </si>
  <si>
    <t>There are three women in green and two women dressed in cream colored shirts playing against each other.</t>
  </si>
  <si>
    <t>A lady from the green team begins to aim the stick to hit the puck while another team member helps her rearrange the pucks.</t>
  </si>
  <si>
    <t>Then she shoots the puck with the stick and steps back to give her opponent a chance.</t>
  </si>
  <si>
    <t>A player from the cream team then hits the puck with her stick but is not very successful.</t>
  </si>
  <si>
    <t>A man steps in and replaces the puck on the shuffleboard.</t>
  </si>
  <si>
    <t>Then another player from the green team comes forward to play.</t>
  </si>
  <si>
    <t>v_zU6SnkNIdrw</t>
  </si>
  <si>
    <t>A man is wearing an apron and standing in his kitchen.</t>
  </si>
  <si>
    <t>Several food items in bowls are shown.</t>
  </si>
  <si>
    <t>A white bowl is filled with sugar, eggs, and peanut butter, then blended.</t>
  </si>
  <si>
    <t>He presses balls of cookie dough onto a pan and bakes them.</t>
  </si>
  <si>
    <t>He eats one of the cookies for the camera while he talks about them.</t>
  </si>
  <si>
    <t>v_Gkv5ibx0tYw</t>
  </si>
  <si>
    <t>A woman with short blonde hair is sitting in a chair talking.</t>
  </si>
  <si>
    <t>She holds up a hair curler and puts it in her hair.</t>
  </si>
  <si>
    <t>She takes it out and continues talking.</t>
  </si>
  <si>
    <t>v_BbeZ2t__2iA</t>
  </si>
  <si>
    <t>A close up of a man is seen holding a coffee cup and leads into him taking a sip.</t>
  </si>
  <si>
    <t>He nods his head in approval to the coffee and is shown again drinking more coffee next to a person.</t>
  </si>
  <si>
    <t>v_ilXO32we9uo</t>
  </si>
  <si>
    <t>Two men are sailing on the blue water, with their white boat with white flags, then they avoided the buoys on the water.</t>
  </si>
  <si>
    <t>A plan written on a white paper with black pen, and then the plan is put into action, when the white boat sail on the water and turn around.</t>
  </si>
  <si>
    <t>v_qZaWIb28kfU</t>
  </si>
  <si>
    <t>A man and a boy walks around a wood fire holding sheets and wearing corned hats, while a crowd stand in a circle.</t>
  </si>
  <si>
    <t>Then, the man stand and talks to people.</t>
  </si>
  <si>
    <t>Suddenly, fire and smoke come out from the wood fire with sparkles.</t>
  </si>
  <si>
    <t>v_J4vq7MLMAtY</t>
  </si>
  <si>
    <t>Several people are shown at a party playing different games and having fun.</t>
  </si>
  <si>
    <t>A man begins to talk to one of the women as she is playing one of the games.</t>
  </si>
  <si>
    <t>The game begins to get heated while several of the women laugh and joke around.</t>
  </si>
  <si>
    <t>One of the women takes a picture of the laughing women playing the game.</t>
  </si>
  <si>
    <t>A man helps as the women try to get the hang of playing the game.</t>
  </si>
  <si>
    <t>v_3S5RoKVsAys</t>
  </si>
  <si>
    <t>We see a man in a barber shop and see images of the shop.</t>
  </si>
  <si>
    <t>The barber speaks cut with scenes of a barber shop.</t>
  </si>
  <si>
    <t>We see a Union Jack flag on the arm of a chair.</t>
  </si>
  <si>
    <t>A large dog walks through the room.</t>
  </si>
  <si>
    <t>We see the man shaving a man with a straight razor.</t>
  </si>
  <si>
    <t>v_bzJTmN6wAC4</t>
  </si>
  <si>
    <t>A man is seated in front of a canvas.</t>
  </si>
  <si>
    <t>He is using a palette to paint an ombre scene.</t>
  </si>
  <si>
    <t>He then covers the ombre to a silhouette of a tree on a hill.</t>
  </si>
  <si>
    <t>v_c_KU8M2YfzA</t>
  </si>
  <si>
    <t>A black screen is visible and white words begin to appear.</t>
  </si>
  <si>
    <t>Next,there's a line of ten boys standing together behind a rope outside in a large grassy field.</t>
  </si>
  <si>
    <t>The boys form a circle and begin leaning to the left in a lounge position to exercise.</t>
  </si>
  <si>
    <t>When they are finished,they begin pulling tug of war and the man on the left side with black suit wins.</t>
  </si>
  <si>
    <t>Another group of boys are shown and they begin crouching down in effort to win the game.</t>
  </si>
  <si>
    <t>v_2WeG8QGOfcI</t>
  </si>
  <si>
    <t>We see an instructor leading an aerobics class.</t>
  </si>
  <si>
    <t>The people do a popping waist dance.</t>
  </si>
  <si>
    <t>The people go back and forth.</t>
  </si>
  <si>
    <t>A man walks past the door.</t>
  </si>
  <si>
    <t>A man in blue enters the room.</t>
  </si>
  <si>
    <t>The people lift their legs high.</t>
  </si>
  <si>
    <t>The instructor finishes and walks back and forth.</t>
  </si>
  <si>
    <t>v_VwclmKWo_-M</t>
  </si>
  <si>
    <t>There are three young men in a house.</t>
  </si>
  <si>
    <t>One the men is sitting on a couch in the living room eating a packet of Doritos.</t>
  </si>
  <si>
    <t>And there are two other men who are staring at him while he eats.</t>
  </si>
  <si>
    <t>One of the men gets up and washes his hands.</t>
  </si>
  <si>
    <t>He then opens a can of coke and drinks from it.</t>
  </si>
  <si>
    <t>Then he begins chopping tomatoes and lettuce to make a sandwich.</t>
  </si>
  <si>
    <t>He slices some ham and makes two toasts in a toaster.</t>
  </si>
  <si>
    <t>Then he puts mayonnaise on the bread and tops it with the meat, lettuce and tomato.</t>
  </si>
  <si>
    <t>He cuts the sandwich in half and serves it on a plate.</t>
  </si>
  <si>
    <t>Then he offers the sandwich plate to the man seated on the couch eating the Doritos.</t>
  </si>
  <si>
    <t>The man takes the plate and takes a bite of the sandwich as the other man stands next to him and watches.</t>
  </si>
  <si>
    <t>v_Bri_myFFu4A</t>
  </si>
  <si>
    <t>A person retrieves an instrument from a closet.</t>
  </si>
  <si>
    <t>The man examines the instrument in his hand.</t>
  </si>
  <si>
    <t>The person holds up the violin to his chin and gets ready.</t>
  </si>
  <si>
    <t>The person plays a song on the violin.</t>
  </si>
  <si>
    <t>The man finishes the song and lowers the instrument.</t>
  </si>
  <si>
    <t>v_AsTfp_4Um1A</t>
  </si>
  <si>
    <t>Two little girls take pack a suitcase and take a trip to New York City.</t>
  </si>
  <si>
    <t>Two little girls stand in a room dressed in costumes that later morph into ballerina outfits.</t>
  </si>
  <si>
    <t>The two girls begin to dance together while singing or speaking into the camera.</t>
  </si>
  <si>
    <t>The clip fades to the two girls folding and packing clothes in a suitcase in a bedroom in a house, The girls pack tutus in a pink suitcase and then cut to them in a horse drawn carriage in the streets of New York, talking and pointing to landmarks.</t>
  </si>
  <si>
    <t>The trip ends and the two girls run into a building and then sing together on the edge of a water fountain before running off.</t>
  </si>
  <si>
    <t>v_ybF4RykZxK8</t>
  </si>
  <si>
    <t>A man is seen riding down on a skateboard while the camera follows his movements.</t>
  </si>
  <si>
    <t>The man skates around the street through obstacles and down the street.</t>
  </si>
  <si>
    <t>More people continue riding down the street while the camera follows them.</t>
  </si>
  <si>
    <t>v_qf5wMRlZYnQ</t>
  </si>
  <si>
    <t>A belly dancer is seen moving herself along a stage and performing a routine while many watch.</t>
  </si>
  <si>
    <t>She continues the routine and ends by shaking her hair around and bending backwards to pose.</t>
  </si>
  <si>
    <t>v_f6JZ3LWJRVE</t>
  </si>
  <si>
    <t>Two men hunt and shoot a buffalo in a sandy, desert like setting.</t>
  </si>
  <si>
    <t>A room filled with stuffed and hunted animals displays in a room with many of them mounted on walls.</t>
  </si>
  <si>
    <t>Two brown buffalos are standing next to each other on a sandy ground in extremely windy weather.</t>
  </si>
  <si>
    <t>Two men watch the two buffalos from a distance with weapons mounted aiming to shoot as a camera man stands behind them filming the incident.</t>
  </si>
  <si>
    <t>One of the buffalos is shot by an yellow tipped weapon while walking away.</t>
  </si>
  <si>
    <t>One of the men is then shown standing over the dead animal.</t>
  </si>
  <si>
    <t>v_ESgcgoYgg0o</t>
  </si>
  <si>
    <t>woman is sitting in front of other in a consulting room and take the glasses out and wash her hands.</t>
  </si>
  <si>
    <t>woman gives her contact lenses and he other woman holds it with the index finger put some some liquid and put it in the eye, then do the same with the other contact put the lenses and talk to the other woman.</t>
  </si>
  <si>
    <t>v_JNSaWuU8ky4</t>
  </si>
  <si>
    <t>Three people are seen kneeling on a small raft and flip themselves into the water.</t>
  </si>
  <si>
    <t>More people are seen padding along and move over to the people in the water.</t>
  </si>
  <si>
    <t>The people in the water climb back in and finally put themselves in a canoe.</t>
  </si>
  <si>
    <t>v_KTIzccovgeg</t>
  </si>
  <si>
    <t>A lake is seen with the view of a city skyline across the way.</t>
  </si>
  <si>
    <t>A group of walkers walk along the sidewalk near the lake.</t>
  </si>
  <si>
    <t>A man uses a snow blower on a sidewalk area.</t>
  </si>
  <si>
    <t>People use snow shovels to clear the sidewalk.</t>
  </si>
  <si>
    <t>A spade gardening tool is used to break up ice.</t>
  </si>
  <si>
    <t>A man applies salt to the cleared sidewalk area.</t>
  </si>
  <si>
    <t>v_0hWGSkDnRHA</t>
  </si>
  <si>
    <t>Two people are seen passing a ball back and fourth in a pool and leads into one speaking to the camera.</t>
  </si>
  <si>
    <t>The man demonstrates how to properly throw the ball with his hands while still speaking to the camera.</t>
  </si>
  <si>
    <t>v_WsXxnCQ_MIc</t>
  </si>
  <si>
    <t>A young woman uses hair products on and blow dries her hair straight with a dryer that has a comb attached to the end of it.</t>
  </si>
  <si>
    <t>The woman begins by removing a terry cloth turban from her head and revealing a wet may batch of hair.</t>
  </si>
  <si>
    <t>The woman then begins to put section of her hair in twist braids.</t>
  </si>
  <si>
    <t>The women then starts blowdrying sections of her hair with a comb attached blow dryer.</t>
  </si>
  <si>
    <t>The woman swings her straightened hair and smiles.</t>
  </si>
  <si>
    <t>v_9WmsYbZl1pw</t>
  </si>
  <si>
    <t>There's a sandwich that is still whole and has been cut in half into a triangular shape and white words pop up on the screen noting that it's a "Reuben sandwich".</t>
  </si>
  <si>
    <t>A man in the kitchen appears and he's putting seasonings into a pan and he starts swishing the pan around.</t>
  </si>
  <si>
    <t>An introduction of 6 different small videos of foods appear and there's text below that say's "Steve's cooking".</t>
  </si>
  <si>
    <t>A large piece of raw meat appears on a white plate and the word Reuben flashes a few times on it as it's shown in various different angles.</t>
  </si>
  <si>
    <t>The man then places the meat into a large pot and pours liquids onto it until it's fully covered and begins to season it with various seasonings and at the same time the names of the seasonings appear on the screen as each seasonings fall.</t>
  </si>
  <si>
    <t>Then there's a close up shot of a large knife that is crushing a bunch of garlic cloves that also get thrown into the pot and the seasonings and meat are gently stirred then quickly shows that the water is now boiling and text shows up that say's "About one hour per pound", and a lid gets put onto the pot.</t>
  </si>
  <si>
    <t>A pair of tongs pull out a piece of meat from the pot and is placed onto a white square plate where it gets put onto a cutting board and gets thinly sliced with a large serrated knife.</t>
  </si>
  <si>
    <t>An empty large clear bowl is shown and mayonnaise, ketchup, relish, worcesterchire sauce, and hot sauce get spooned into the bowl.</t>
  </si>
  <si>
    <t>A purple onion, celery and parsley then get chopped up individually and each individually gets thrown into the bowl where it begins to get mixed by a whisk and then seasoned with salt and pepper and mixed some more.</t>
  </si>
  <si>
    <t>A finger dips into the bowl to get a sample out and mixing continues for a bit longer.</t>
  </si>
  <si>
    <t>A small brush with melted butter begins to butter bread on both sides which gets put onto a flat grill and flipped until both sides are grilled.</t>
  </si>
  <si>
    <t>Some white shredded food gets thrown onto the grill and is stirred around by a black spatula.</t>
  </si>
  <si>
    <t>Thin slices of meat appear next to the white shredded food and they get topped with 3 slices of swiss cheese and covered with a white bowl until the cheese melts, then the white shredded food is scooped up and put onto the meat and cheese.</t>
  </si>
  <si>
    <t>The mixed sauce from the clear bowl is then shown being spread onto the bread with a spoon and the meat,cheese and shredded white food is put onto the bread, topped with the other bread, and then sliced in half diagonally.</t>
  </si>
  <si>
    <t>The sandwich is then spread apart and a hand picks up one half to show it at different angles, it gets bitten a few times and then put back on the plate where the rest of the video just shows it at differently angles and short previous seen clip of the meat being sliced.</t>
  </si>
  <si>
    <t>v_B2qCBkXrb8s</t>
  </si>
  <si>
    <t>A large man is seen standing and bowing in front of another large man while one holds his hands out inbetween the two men.</t>
  </si>
  <si>
    <t>Several people sit around the circle and the circle and the men wrestle one another.</t>
  </si>
  <si>
    <t>One pushes the other to the ground and the audience cheers.</t>
  </si>
  <si>
    <t>The man pushes another out of the circle and the audience claps once again.</t>
  </si>
  <si>
    <t>v_LgoMRWkBDkQ</t>
  </si>
  <si>
    <t>A man takes out the ice over the windows of a car.</t>
  </si>
  <si>
    <t>A person stand watching a man takes out ice on a car.</t>
  </si>
  <si>
    <t>v_LPeyqO2pRd4</t>
  </si>
  <si>
    <t>A woman add ice on a glass while talking.</t>
  </si>
  <si>
    <t>Then, the woman adds syrup in the glass using a measure cup.</t>
  </si>
  <si>
    <t>After, the woman add liquid to the glass, then pours the it in a black cup.</t>
  </si>
  <si>
    <t>After, the woman serves the mix in another glass.</t>
  </si>
  <si>
    <t>v_yRup8RDsCzk</t>
  </si>
  <si>
    <t>Two men are doing martial arts with others around them watching.</t>
  </si>
  <si>
    <t>Many other men are shown doing several flips and tricks around each other.</t>
  </si>
  <si>
    <t>Two men flip near each other while others around them watch.</t>
  </si>
  <si>
    <t>v_PqP3JIJEU5I</t>
  </si>
  <si>
    <t>A man is smoothing a substance on a roof with a trowel.</t>
  </si>
  <si>
    <t>He moves quickly to smooth out dents.</t>
  </si>
  <si>
    <t>The man moves to the bottom and smooths back up the top.</t>
  </si>
  <si>
    <t>He finishes and walks away.</t>
  </si>
  <si>
    <t>v_-yOwB5rvMAo</t>
  </si>
  <si>
    <t>A blonde woman stands by a bridge yelling.</t>
  </si>
  <si>
    <t>A brunette extends purple and red yarn to the woman.</t>
  </si>
  <si>
    <t>The woman is hallucinating this and is then doing an interview.</t>
  </si>
  <si>
    <t>A group of people in a classroom cheerfully knit away and play with yarn.</t>
  </si>
  <si>
    <t>The blonde woman hallucinates seeing the woman who gave her the yarn, and starts laughing hysterically.</t>
  </si>
  <si>
    <t>The group cheerfully displays their yarn.</t>
  </si>
  <si>
    <t>v_JHFjlLtpIcU</t>
  </si>
  <si>
    <t>A crowd watches a gymnastics show.</t>
  </si>
  <si>
    <t>A gymnast runs up to a high bar and alternates between the high and low bar, performing various gymnastics moves and flips.</t>
  </si>
  <si>
    <t>She flips off the bar and lands on her feet.</t>
  </si>
  <si>
    <t>Her fellow gymnasts run up to her in excitement.</t>
  </si>
  <si>
    <t>v_B-nlhZ0RR4A</t>
  </si>
  <si>
    <t>A man in a blue outfit puts chalk on his hands.</t>
  </si>
  <si>
    <t>A man in a yellow shirt is watching.</t>
  </si>
  <si>
    <t>The man in the blue outfit picks up a large weight and lifts it over his head.</t>
  </si>
  <si>
    <t>The crowd cheers for him.</t>
  </si>
  <si>
    <t>He gives a man in a suit a hug.</t>
  </si>
  <si>
    <t>v_aH7puGPu39Y</t>
  </si>
  <si>
    <t>Three men wearing snowboards get out a ski lift, and a man tie his shoe.</t>
  </si>
  <si>
    <t>Then, the men ski down a hill covered with snow.</t>
  </si>
  <si>
    <t>A man bend his legs on the snow, then continue skiing with other men.</t>
  </si>
  <si>
    <t>v_UoO7VCPs8Jw</t>
  </si>
  <si>
    <t>A man holding a shot put stands on a base.</t>
  </si>
  <si>
    <t>The man turns his back to the camera and prepares to throw.</t>
  </si>
  <si>
    <t>The man throws the ball and and spins around.</t>
  </si>
  <si>
    <t>v_b5E7-GxvCdk</t>
  </si>
  <si>
    <t>A woman is on her hands and knees cutting grass with some scissors.</t>
  </si>
  <si>
    <t>The camera pans out to give a full view of her cutting the grass.</t>
  </si>
  <si>
    <t>She makes a joke about the grass having split ends and bad roots.</t>
  </si>
  <si>
    <t>The camera goes back to a close up of the grass and the video ends.</t>
  </si>
  <si>
    <t>v_17nr8u_ze0o</t>
  </si>
  <si>
    <t>A camera pans around several wooded areas and leads into a boy holding a leaf blower and smiling to the camera.</t>
  </si>
  <si>
    <t>The camera pans to an older man and then back to the boys blowing leaves.</t>
  </si>
  <si>
    <t>v_UG82vrvkYFk</t>
  </si>
  <si>
    <t>A man in green trunks throws a man in red trunks in a wrestling ring.</t>
  </si>
  <si>
    <t>The man in green trunks rolls out of the ring.</t>
  </si>
  <si>
    <t>The man in green trunks spears the other man.</t>
  </si>
  <si>
    <t>The man in green trunks power bombs the other man.</t>
  </si>
  <si>
    <t>The man in green trunks pins the other man and wins the match.</t>
  </si>
  <si>
    <t>v_Tix8XrlBZxg</t>
  </si>
  <si>
    <t>It's snowing outside of a home with a gray parked van and the man is holding tools, puts the camera down and then begins to clean the snow off of the van.</t>
  </si>
  <si>
    <t>The man moves the camera and adjusts the position and then walks back to the van begins cleaning the snow off of the entire top of the van.</t>
  </si>
  <si>
    <t>The man walks back to the camera and moves it once more so it can capture a different view and he continues to wipe the snow off of the side and top of the van.</t>
  </si>
  <si>
    <t>The piece of the tool breaks off and the man grabs it and shows it to the camera and continues talking, goes off camera, and then shows the camera he has fixed the tool and then moves the camera again.</t>
  </si>
  <si>
    <t>A woman shows up and she touches the van with her hands and starts to wipe off the snow with just her hands.</t>
  </si>
  <si>
    <t>v_CBckvP5FR4A</t>
  </si>
  <si>
    <t>First a screen is shown, showing what song the man will be playing using the guitar.</t>
  </si>
  <si>
    <t>Then the man is shown sitting down playing the guitar and he never looks up at the camera.</t>
  </si>
  <si>
    <t>Finally the video ends and the only thing seen is darkness.</t>
  </si>
  <si>
    <t>v_bNuRrXSjJl0</t>
  </si>
  <si>
    <t>A woman is seen standing ready on a diving board and leads into her holding out her arms and performing an impressive dive.</t>
  </si>
  <si>
    <t>The woman is seen several more times diving into the pool and coming to the surface.</t>
  </si>
  <si>
    <t>v_dufQjqa3v6w</t>
  </si>
  <si>
    <t>A man talks in an office holding a harmonica.</t>
  </si>
  <si>
    <t>Then, the man opens a stand and turns on the radio.</t>
  </si>
  <si>
    <t>After, the man plyas the harmonica.</t>
  </si>
  <si>
    <t>v_qRuPuzY6yiE</t>
  </si>
  <si>
    <t>A large group of army solider are seen holding a large rope on one side of each other while other soldiers watch.</t>
  </si>
  <si>
    <t>A man stands in the middle and the people begin pulling the rope from one another.</t>
  </si>
  <si>
    <t>One side pulls the others down and the rest of the team cheer while the camera pans around.</t>
  </si>
  <si>
    <t>v_R0dqEWnDC7k</t>
  </si>
  <si>
    <t>The video shows two countries represented by blue and green uniforms playing the game of cricket professionally.</t>
  </si>
  <si>
    <t>The batsmen is batting while the bowler is doing an overhand throw.</t>
  </si>
  <si>
    <t>The next scene shows a team of cricketers wearing white uniforms getting ready to play as they gather in a circle with their captain.</t>
  </si>
  <si>
    <t>v_ejMpWeFZLec</t>
  </si>
  <si>
    <t>A girl walks into the center of a room with a hula hoop.</t>
  </si>
  <si>
    <t>She does several acts and stunts with the hoop, bringing her head and arms in and out.</t>
  </si>
  <si>
    <t>v_tLdbdQ9fVZE</t>
  </si>
  <si>
    <t>A person is seen standing next to a tree while waving and speaking to the camera.</t>
  </si>
  <si>
    <t>The person then holds up dirt and leads into several clips of her raking around a tree and pointing to it.</t>
  </si>
  <si>
    <t>v_8wxFQrFEo3M</t>
  </si>
  <si>
    <t>An intro screen of clouds appear and the blue words across it say "HOOKAH TRICK MONTAGE HD".</t>
  </si>
  <si>
    <t>Various words show up in between many different clips of many different people blowing smoke out of their mouths and doing many different tricks; and when the words are put together they say "ITS TIME TO MAKE IT RIGHT".</t>
  </si>
  <si>
    <t>When the clips are done a black screen appears and blue letters appear and it say's "Thanks for watching".</t>
  </si>
  <si>
    <t>v_kM7jFLYDUy0</t>
  </si>
  <si>
    <t>A boy is in a bumper car, spinning around by himself.</t>
  </si>
  <si>
    <t>He moves back and forward in his car.</t>
  </si>
  <si>
    <t>He looks lonely as he finally comes to a stop.</t>
  </si>
  <si>
    <t>v_qumU7AgV3Mk</t>
  </si>
  <si>
    <t>People interact in a circling ice arena.</t>
  </si>
  <si>
    <t>A lady talks to a group of males.</t>
  </si>
  <si>
    <t>A guy slips, falls on the ice arena, and laughs.</t>
  </si>
  <si>
    <t>A man opens his mouth very wide to show his excitement.</t>
  </si>
  <si>
    <t>A lady stops the circling stone with a broom.</t>
  </si>
  <si>
    <t>The credits with two mini clips are shown.</t>
  </si>
  <si>
    <t>v_FNHoSA0hLgM</t>
  </si>
  <si>
    <t>An older boy and a younger one are on a racquetball court.</t>
  </si>
  <si>
    <t>They hit the ball back and forth against the wall.</t>
  </si>
  <si>
    <t>They continue fighting over the ball, trying to beat each other in the game.</t>
  </si>
  <si>
    <t>v_aeKIYkn99_Q</t>
  </si>
  <si>
    <t>We see the title on a black screen.</t>
  </si>
  <si>
    <t>People are in line at a ski slope.</t>
  </si>
  <si>
    <t>We see people in rafts being pulled up a hill and people riding rafts down the slope.</t>
  </si>
  <si>
    <t>We see a man at the top of the mountain.</t>
  </si>
  <si>
    <t>We see writing stating the camera was dropped.</t>
  </si>
  <si>
    <t>The man films his face as he slides down the hill.</t>
  </si>
  <si>
    <t>We see a young man's face as he rides down the hill.</t>
  </si>
  <si>
    <t>We see people walking to their cars in the parking lot.</t>
  </si>
  <si>
    <t>At the end we see a kid laying on a raft.</t>
  </si>
  <si>
    <t>v_t_2jTjX3a_o</t>
  </si>
  <si>
    <t>A countdown is shown followed by a woman catching balls thrown at her.</t>
  </si>
  <si>
    <t>The number counts down more and shows more clips of women playing dodgeball.</t>
  </si>
  <si>
    <t>Several more numbers and clips are shown ending with people performing impressive throws.</t>
  </si>
  <si>
    <t>v_YnB0VW34wlY</t>
  </si>
  <si>
    <t>A boy is chopping wood in a forest.</t>
  </si>
  <si>
    <t>The boy almost drops the axe.</t>
  </si>
  <si>
    <t>The boy looks at the camera.</t>
  </si>
  <si>
    <t>v_dI1GZfJ-A0E</t>
  </si>
  <si>
    <t>A person is seen walking back to the end of their car and putting their hands on their hips.</t>
  </si>
  <si>
    <t>They realize they have a flat tire and pull out a jack attempting to get it off.</t>
  </si>
  <si>
    <t>The woman falls and fails backwards off a bridge, landing on a truck.</t>
  </si>
  <si>
    <t>v_9bnt6lDcF6Y</t>
  </si>
  <si>
    <t>A man in a blue polo speaks to the camera.</t>
  </si>
  <si>
    <t>In a different setting, the man is instructing a blonde woman on how to perform sit ups.</t>
  </si>
  <si>
    <t>The woman does sit ups.</t>
  </si>
  <si>
    <t>The man returns to speak to the camera.</t>
  </si>
  <si>
    <t>v_Q7eK0xT6VSQ</t>
  </si>
  <si>
    <t>A video is shown how to change a spare tire.</t>
  </si>
  <si>
    <t>The first tire is taken off and replaced, but nothing else is done.</t>
  </si>
  <si>
    <t>v_jwd8ELi0au8</t>
  </si>
  <si>
    <t>We see a dart board on a wall.</t>
  </si>
  <si>
    <t>Two men are playing a game of darts.</t>
  </si>
  <si>
    <t>We see the camera operator.</t>
  </si>
  <si>
    <t>We see a man up close in the camera.</t>
  </si>
  <si>
    <t>We see a man up close.</t>
  </si>
  <si>
    <t>We see a mans socks and a man close to the camera.</t>
  </si>
  <si>
    <t>v_q4FZTmaqEx8</t>
  </si>
  <si>
    <t>A man is seen speaking to the camera and begins kneeling down on a roof.</t>
  </si>
  <si>
    <t>The man then use a tool to scrape off tiles on the roof as well as another tool to put them back down.</t>
  </si>
  <si>
    <t>The man continues taking off tiles on the roof and gluing others down and ends by smiling to the camera.</t>
  </si>
  <si>
    <t>v_fJ45W32t6h0</t>
  </si>
  <si>
    <t>A person kicks off a tubing participant to ride down the snow slide.</t>
  </si>
  <si>
    <t>The camera pans to two tubers who are waiting to go down themselves.</t>
  </si>
  <si>
    <t>The next two people ride down the slide.</t>
  </si>
  <si>
    <t>Finally, The cameraman takes the ride and we get to live vicariously through them.</t>
  </si>
  <si>
    <t>v_x3cOxXOYbwA</t>
  </si>
  <si>
    <t>A weight is seen putting put on a bar and leads into a man kneeling down.</t>
  </si>
  <si>
    <t>The man grabs a set of weights and begins to lift it over his head.</t>
  </si>
  <si>
    <t>He throws the weight up and then back on the ground.</t>
  </si>
  <si>
    <t>v_P6t2HLPZ3Dk</t>
  </si>
  <si>
    <t>A boy dressed in a burgundy polo is at a bowling alley and throws the ball high up in the air and it ends up coming back in the other lane.</t>
  </si>
  <si>
    <t>More bowlers are shown and they begin falling onto the lanes as the attempt to throw the ball.</t>
  </si>
  <si>
    <t>A man then comes along and spins around on his head and ends up hitting the pins with the balls.</t>
  </si>
  <si>
    <t>Finally,a ball is thrown correctly and the man congratulates him.</t>
  </si>
  <si>
    <t>v_RTbvrcdPcrs</t>
  </si>
  <si>
    <t>People are working out in a room.</t>
  </si>
  <si>
    <t>They are stepping up and down on a blue mat.</t>
  </si>
  <si>
    <t>They start raising their hands in the air.</t>
  </si>
  <si>
    <t>v_CtooIi6Mk7U</t>
  </si>
  <si>
    <t>A man is standing in a yard flying a kite.</t>
  </si>
  <si>
    <t>A woman is standing in front of him and flies the kite after.</t>
  </si>
  <si>
    <t>The kite is shown in the sky.</t>
  </si>
  <si>
    <t>Another woman starts flying the kite outside.</t>
  </si>
  <si>
    <t>v_UnpBbcIa3zA</t>
  </si>
  <si>
    <t>An athlete sets up her stance in order to throw a disc during a track and field event.</t>
  </si>
  <si>
    <t>The woman throws the disc far across the field.</t>
  </si>
  <si>
    <t>The athlete celebrates the throw and the crowd cheers.</t>
  </si>
  <si>
    <t>A replay is seen of the woman's throw.</t>
  </si>
  <si>
    <t>v_RmuhtC-TCck</t>
  </si>
  <si>
    <t>A man explains while stands on a fenced court.</t>
  </si>
  <si>
    <t>Then, the man dance hip hop, and then explain doing hip hop demonstrations.</t>
  </si>
  <si>
    <t>After, the man sit on the floor and raise his body with her hands, the spins the legs to do hip hop movements.</t>
  </si>
  <si>
    <t>v_hrcSCXaNhmY</t>
  </si>
  <si>
    <t>A man is in a field with Frisbees in his hand and throws it to his black and white husky dog.</t>
  </si>
  <si>
    <t>The two continue to do tricks and the dog jumps on the mans back.</t>
  </si>
  <si>
    <t>More Frisbee are thrown and the dog catches the Frisbee and the man hugs the dog.</t>
  </si>
  <si>
    <t>v_yPEf9ajKwI8</t>
  </si>
  <si>
    <t>people are moving the furniture out of the living room, even the carpet and everything.</t>
  </si>
  <si>
    <t>They come in and sweep the floor and then start putting down some tarp and wood.</t>
  </si>
  <si>
    <t>They are remodeling the floor from carpet to wood floors.</t>
  </si>
  <si>
    <t>Once the floor is done they bring back all the furniture.</t>
  </si>
  <si>
    <t>v_KcSo4p-hhBs</t>
  </si>
  <si>
    <t>A woman is seen speaking to the camera and leads into her cutting a person's hair.</t>
  </si>
  <si>
    <t>She continues cutting and styling the hair while the man looks off into the distance.</t>
  </si>
  <si>
    <t>v_nR7tqWpNpe8</t>
  </si>
  <si>
    <t>There's a group of rafters wearing yellow vests going on an adventure.</t>
  </si>
  <si>
    <t>They are rowing the raft through the river as the turbulent waves gush towards their raft.</t>
  </si>
  <si>
    <t>They continue rafting through the river as they stay afloat against the fierce waves.</t>
  </si>
  <si>
    <t>The rafters stay afloat despite the turbulent and agitated waves of the river.</t>
  </si>
  <si>
    <t>Some of the rafters are on top of a hill and one of the rafter is diving into the water.</t>
  </si>
  <si>
    <t>The rafters continue their journey through the turbulent waters of the river.</t>
  </si>
  <si>
    <t>There's a person bungee jumping from an elevated crane into the river.</t>
  </si>
  <si>
    <t>v_lfGmSfTjnA8</t>
  </si>
  <si>
    <t>A woman is standing in a messy kitchen in front of the sink preparing to cut something.</t>
  </si>
  <si>
    <t>She grabs a potato and a peeler and begins taking the edges off.</t>
  </si>
  <si>
    <t>As she continues cutting,two young girls walk in the kitchen and begin watching her and grabbing dishes.</t>
  </si>
  <si>
    <t>v_zfqach0dDYo</t>
  </si>
  <si>
    <t>wrestler is in a ring doing a head lock and a man jumps outside the ring and push the men.</t>
  </si>
  <si>
    <t>referee is in the ring and counts the seconds of the wreslers on the floor.</t>
  </si>
  <si>
    <t>v__B2kFN9MfwU</t>
  </si>
  <si>
    <t>A woman is shown hosting a news segment when the camera pans to sunscreen news.</t>
  </si>
  <si>
    <t>Several people are shown on a beach and interviewed by a reporter on sunscreen.</t>
  </si>
  <si>
    <t>Bottles are shown containing sunscreen and people putting it on.</t>
  </si>
  <si>
    <t>The reporter talks to people and pans back to shirts used for sunscreen and people traveling around the world.</t>
  </si>
  <si>
    <t>v_18QVPZgjy8w</t>
  </si>
  <si>
    <t>A man holds a badminton racket in a gym and talks.</t>
  </si>
  <si>
    <t>The man leans to the left and holds the racket out.</t>
  </si>
  <si>
    <t>The man turns to the right and shows his back to the camera.</t>
  </si>
  <si>
    <t>the man talks to the camera and the man jumps back and forth across the screen.</t>
  </si>
  <si>
    <t>The man talks to the camera and the man leans left one more time.</t>
  </si>
  <si>
    <t>We see the closing title screen.</t>
  </si>
  <si>
    <t>v_xYuqZ_RrCC0</t>
  </si>
  <si>
    <t>A man combs his beard in front of a mirror in his bathroom.</t>
  </si>
  <si>
    <t>The man reaches down to pick up sizzors then trims his mustache.</t>
  </si>
  <si>
    <t>The man picks up lotion which he applies to his neck.</t>
  </si>
  <si>
    <t>The man picks up a package of razors and assembles them into his steel razor gadget.</t>
  </si>
  <si>
    <t>The man uses his razor to trim his face and beard.</t>
  </si>
  <si>
    <t>The man picks up a package and applies a product to his face.</t>
  </si>
  <si>
    <t>The man uses a towel to wipe down his face.</t>
  </si>
  <si>
    <t>the man picks up a bottle of oil from the counter and applies it to his beard.</t>
  </si>
  <si>
    <t>v_xi1oCOBPAzQ</t>
  </si>
  <si>
    <t>A close up of a fishing hole is shown with a person using objects to fish and another stands off in the distance.</t>
  </si>
  <si>
    <t>The man uses the objects to capture a fish and zooms in on a hole.</t>
  </si>
  <si>
    <t>They finally pack up a tent and carry it with them as they drive along.</t>
  </si>
  <si>
    <t>v_icjyAZ3KVBw</t>
  </si>
  <si>
    <t>A man in a red shirt is standing next to an exercise machine.</t>
  </si>
  <si>
    <t>He gets on the machine and starts working out.</t>
  </si>
  <si>
    <t>v_qSXMTcGBqtY</t>
  </si>
  <si>
    <t>A woman straights the hair of a young lady using a brush and a hair dryer.</t>
  </si>
  <si>
    <t>The woman holds part of the the hair up, then she curves the hair with and hair iron.</t>
  </si>
  <si>
    <t>v_J3jICOa0WCk</t>
  </si>
  <si>
    <t>A large group of people are seen standing around a parking lot with one holding a ball.</t>
  </si>
  <si>
    <t>The group then plays a game of kickball while moving around the area and throwing balls at one another.</t>
  </si>
  <si>
    <t>The people continue walking around while looking to one another and throwing the ball.</t>
  </si>
  <si>
    <t>v_eg3oZ4XCEKk</t>
  </si>
  <si>
    <t>A large group of people are seen running around a disney resort while waving to the camera and several shots of the kingdom being shown.</t>
  </si>
  <si>
    <t>Many characters are shown waving to the runners as well as more shots of people running past characters and going through the finish line and celebrating.</t>
  </si>
  <si>
    <t>v_Q-HdDcyC9d8</t>
  </si>
  <si>
    <t>The person with black apron spray a white foam on the shoes.</t>
  </si>
  <si>
    <t>The person brush the shoes with white foam on it.</t>
  </si>
  <si>
    <t>The person brushed the shoes after the foam is gone and began spraying a chemical in it and polished the metal part of the shoes.</t>
  </si>
  <si>
    <t>v_AnbC-26sAI4</t>
  </si>
  <si>
    <t>Several various shots are shown of a large boat traveling along a tough storm.</t>
  </si>
  <si>
    <t>A man is seen steering the boat through the storm and talking to a camera with the video ending of more shots of the boat.</t>
  </si>
  <si>
    <t>v_OWEwmnZvvJE</t>
  </si>
  <si>
    <t>A young man is seen standing around a pool followed by several clips of the boy jumping in the pool and swimming around.</t>
  </si>
  <si>
    <t>The boy continues to swim all around the pool with a man swimming behind him and the boy smiling to the camera.</t>
  </si>
  <si>
    <t>v_qakxXmFvFy0</t>
  </si>
  <si>
    <t>Three kids are making a sand castle on the beach.</t>
  </si>
  <si>
    <t>A man is laying next to them on a towel.</t>
  </si>
  <si>
    <t>v_xDRvD_-fvd8</t>
  </si>
  <si>
    <t>After a Tissot ad appears, a row of fencers are shown.</t>
  </si>
  <si>
    <t>They high five, and are displayed in several clips fighting, then back to the row of standing on the stage.</t>
  </si>
  <si>
    <t>One is injured, and is carried away.</t>
  </si>
  <si>
    <t>v_Ix2vIutdeNQ</t>
  </si>
  <si>
    <t>A smiling man in sunglasses opens mouthwash and gargles.</t>
  </si>
  <si>
    <t>The man spits in a cup.</t>
  </si>
  <si>
    <t>A lady removes a plaque from the wall.</t>
  </si>
  <si>
    <t>We see a closing screen.</t>
  </si>
  <si>
    <t>v_UgsqMLsPG0k</t>
  </si>
  <si>
    <t>The man then puts plaster on a base and applies it to the ceiling while on stilts.</t>
  </si>
  <si>
    <t>The man walks back and forth smoothing the applied plaster.</t>
  </si>
  <si>
    <t>The man walks to and turns off the camera.</t>
  </si>
  <si>
    <t>v_eLQ1c2tMJls</t>
  </si>
  <si>
    <t>A man picks up a brown boot and brushes it.</t>
  </si>
  <si>
    <t>A man opens an aerosol can and sprays the boot.</t>
  </si>
  <si>
    <t>A man rubs the products of a black tube on the boot's sole edge.</t>
  </si>
  <si>
    <t>v_4a0Q-IAqO8U</t>
  </si>
  <si>
    <t>A man in a black shirt is standing outside talking.</t>
  </si>
  <si>
    <t>He then is inside a swimming pool.</t>
  </si>
  <si>
    <t>He is back outside talking to the camera.</t>
  </si>
  <si>
    <t>v_PSUGaj7_5LI</t>
  </si>
  <si>
    <t>At the bowling alley, there are a lot of people.</t>
  </si>
  <si>
    <t>The little boy rolls for his turn and he strikes.</t>
  </si>
  <si>
    <t>He waits for his ball to come back and gets prepared to take his next turn, it's another strike.</t>
  </si>
  <si>
    <t>He takes another turn and makes another strike, everyone is congratulating and hugging him.</t>
  </si>
  <si>
    <t>v_n7ED3zaQqws</t>
  </si>
  <si>
    <t>A person is seen moving along a pool while the camera watches from behind.</t>
  </si>
  <si>
    <t>A man is then seen speaking to the camera and moving his arms around.</t>
  </si>
  <si>
    <t>More clips are shown of the person swimming along the water.</t>
  </si>
  <si>
    <t>v_juKQ_gU42EM</t>
  </si>
  <si>
    <t>A anchorman in a suit sits with a laptop on his clear desk.</t>
  </si>
  <si>
    <t>A man is tackled by a bull.</t>
  </si>
  <si>
    <t>The man gets up and his mouth is bloody.</t>
  </si>
  <si>
    <t>People help the man out of the rodeo dirt area.</t>
  </si>
  <si>
    <t>v_6iuD3pSgBcw</t>
  </si>
  <si>
    <t>A young man is standing on stage and eventually several other boys join in wearing kilts.</t>
  </si>
  <si>
    <t>They stand in front of one drum and perform a routine using only drums.</t>
  </si>
  <si>
    <t>The boys spin and flip their sticks constantly and continue performing their drumming routine.</t>
  </si>
  <si>
    <t>One stands up and begins singing a song while the others join in.</t>
  </si>
  <si>
    <t>They boys go back to playing the drums and finally finish by playing each other's drums and faster than other.</t>
  </si>
  <si>
    <t>v_kI0AyrGe-NU</t>
  </si>
  <si>
    <t>Two cats are seen laying on a bed facing one another.</t>
  </si>
  <si>
    <t>One cat then begins to lick the other.</t>
  </si>
  <si>
    <t>The first cat then stops and the other licks afterwards.</t>
  </si>
  <si>
    <t>v_NbIxjYWSURI</t>
  </si>
  <si>
    <t>A montage of athletes completing incredible stunts and races are shown as well as hundreds of people watching in the audience.</t>
  </si>
  <si>
    <t>The shots lead into several more athletes jumping over a pole while pausing the in the middle, finishing with the shot being shown again in slow motion.</t>
  </si>
  <si>
    <t>The final gymnast waves to the camera and walks away.</t>
  </si>
  <si>
    <t>v_DWVI_N4Aeo8</t>
  </si>
  <si>
    <t>A diving is seen standing ready with his arms out to the side.</t>
  </si>
  <si>
    <t>The man then performs an impressive dive and is followed by several clips of other people diving.</t>
  </si>
  <si>
    <t>v_Or7mIy83LsQ</t>
  </si>
  <si>
    <t>A teen stand on a track, then he runs and jumps long on a sand box, after the teen stands and walk.</t>
  </si>
  <si>
    <t>A person pass behind the teen.</t>
  </si>
  <si>
    <t>An athlete performs long jump in the sand box.</t>
  </si>
  <si>
    <t>Another athlete runs and jumps long over the sand box.</t>
  </si>
  <si>
    <t>v_JNuVGc8mn54</t>
  </si>
  <si>
    <t>There men have chairs and are sitting int he subway way making some music.</t>
  </si>
  <si>
    <t>One of them is playing guitar and two of them are playing the violin.</t>
  </si>
  <si>
    <t>People walk by them and a kid pushing a stroller and some other children come and stop to watch them for a little by.</t>
  </si>
  <si>
    <t>There is a crowd that has actually stopped to watch them play, clapping and one of them leaving money in their case.</t>
  </si>
  <si>
    <t>v_-sXrwv7C5CI</t>
  </si>
  <si>
    <t>A man jumps onto two bars.</t>
  </si>
  <si>
    <t>He does a gymnastics routine on the bars.</t>
  </si>
  <si>
    <t>A man in a white jacket watches him perform.</t>
  </si>
  <si>
    <t>He does a flip and lands on the mat.</t>
  </si>
  <si>
    <t>The crowd applauds him after he lands.</t>
  </si>
  <si>
    <t>v_5yfDyVVkPuU</t>
  </si>
  <si>
    <t>Two men are seen speaking to the camera followed by several clips of people hitting a ball.</t>
  </si>
  <si>
    <t>More shots are shown of people holding up sticks and hitting a ball with another coach near by helping and speaking to the camera.</t>
  </si>
  <si>
    <t>v_5gBRDguUe8U</t>
  </si>
  <si>
    <t>A person is seen sitting on a stool and piecing together several parts of a bike.</t>
  </si>
  <si>
    <t>The person continues piecing the bike together and pans around the finished product in the end.</t>
  </si>
  <si>
    <t>v_F6FyJl5OQ0A</t>
  </si>
  <si>
    <t>A green boat with black and white accents on it is gliding on the water.</t>
  </si>
  <si>
    <t>A pair of blue and black shoes are on a deck while a foot is being placed the right side.</t>
  </si>
  <si>
    <t>A man is now standing on a waterboard that the blue shoes are attached to and he's holding a blue rope attached to a triangular handle.</t>
  </si>
  <si>
    <t>White words on a black screen show up and read Zucky Wakeboarding 2015 summer and then fades away.</t>
  </si>
  <si>
    <t>The man is shown again and now he's in motion wake boarding as he holds onto the handle connected to the rope and he is doing various tricks going from side to side, occasionally jumping, spinning and sometimes doing all at once.</t>
  </si>
  <si>
    <t>The video ends with white words and numbers on a black screen that read -END- editor: 05.</t>
  </si>
  <si>
    <t>v_lpeyMIH1YqA</t>
  </si>
  <si>
    <t>A man is sitting on a revolving chair with his one leg folded over the other.</t>
  </si>
  <si>
    <t>Another man takes a cloth and begins cleaning his black leather shoes with a cloth to make it shiny.</t>
  </si>
  <si>
    <t>He cleans the shoe with a back and forth motion.</t>
  </si>
  <si>
    <t>v_qfb0Qe7s9oo</t>
  </si>
  <si>
    <t>A woman with blonde hair is explaining how to make rosemary vodka lemonade.</t>
  </si>
  <si>
    <t>Two jars of liquid appear.</t>
  </si>
  <si>
    <t>The woman takes a sip of the liquid.</t>
  </si>
  <si>
    <t>The woman prepares the liquid with herbs and sugar in a bowl.</t>
  </si>
  <si>
    <t>The woman pours the liquid in a glass.</t>
  </si>
  <si>
    <t>The woman pours the liquid into jars with ice.</t>
  </si>
  <si>
    <t>The woman mixes the concoction.</t>
  </si>
  <si>
    <t>The woman drinks the liquid in a jar.</t>
  </si>
  <si>
    <t>The video ends with a view of the jars with liquid.</t>
  </si>
  <si>
    <t>v_yTJCrP0HqEE</t>
  </si>
  <si>
    <t>A woman is shown speaking to the camera and showing various shots of children sitting in a chair and performing on tv.</t>
  </si>
  <si>
    <t>The woman speaks more to the camera and puts a contact into the girls eye.</t>
  </si>
  <si>
    <t>The girl smiles into a mirror and shows how she takes out the contacts and a reminder on your phone.</t>
  </si>
  <si>
    <t>One last woman speaks to the camera and the girl cheers and smiles again.</t>
  </si>
  <si>
    <t>v_0gvD2pktxxw</t>
  </si>
  <si>
    <t>a boy is sitting in front of a timer on a computer monitor.</t>
  </si>
  <si>
    <t>He has several rubik's cubes in a row.</t>
  </si>
  <si>
    <t>He is timing himself as he attempts to solve the cube.</t>
  </si>
  <si>
    <t>He moves quickly, solving them in short time.</t>
  </si>
  <si>
    <t>He clenches his fists with joy.</t>
  </si>
  <si>
    <t>v_jWuq6clN5q4</t>
  </si>
  <si>
    <t>The people are shown playing the drums using wooden drumsticks.</t>
  </si>
  <si>
    <t>There are also people behind them playing golden cymbals.</t>
  </si>
  <si>
    <t>After a while they all stop playing and stand silently.</t>
  </si>
  <si>
    <t>v_AEer099-yUM</t>
  </si>
  <si>
    <t>A woman stands in a red dress.</t>
  </si>
  <si>
    <t>She is throwing darts at a board.</t>
  </si>
  <si>
    <t>She throws several darts at the board.</t>
  </si>
  <si>
    <t>She throws darts in slow motion.</t>
  </si>
  <si>
    <t>v_FoPNGc6Lg8k</t>
  </si>
  <si>
    <t>A woman is completing a routine in the olympics on the balance beam.</t>
  </si>
  <si>
    <t>She jumps up and down gracefully and then falls for a bit of a point deduction.</t>
  </si>
  <si>
    <t>She finishes her routine and gets a hug from her coach.</t>
  </si>
  <si>
    <t>v_ffDlO-IrsxI</t>
  </si>
  <si>
    <t>An assortment of teams male and female are lined up outside of a building then they are let in.</t>
  </si>
  <si>
    <t>In the building,there are multiple pool tables and a man begins instructing them on what to do.</t>
  </si>
  <si>
    <t>Different people begin hitting the balls and the instructor goes over to help them.</t>
  </si>
  <si>
    <t>v_Alv7N6Ynm1Y</t>
  </si>
  <si>
    <t>A group of people have gathered on a stage.</t>
  </si>
  <si>
    <t>The audience claps for the performers.</t>
  </si>
  <si>
    <t>They shake hands and hug as credits roll.</t>
  </si>
  <si>
    <t>v_5IwVWA2HY5M</t>
  </si>
  <si>
    <t>A woman is in a kitchen, talking.</t>
  </si>
  <si>
    <t>She is showing off an array of sandwich toppings.</t>
  </si>
  <si>
    <t>She places meat and cheese on bread, then closes the sandwich.</t>
  </si>
  <si>
    <t>v_x0HMqVvqHJE</t>
  </si>
  <si>
    <t>Many females, some in blue shirts and some in white shirts, run around on a field playing a game.</t>
  </si>
  <si>
    <t>A few people watch from the bleachers in the background.</t>
  </si>
  <si>
    <t>Two referees runs about and down the field with the players.</t>
  </si>
  <si>
    <t>Other players watch from the sideline near a fence.</t>
  </si>
  <si>
    <t>A group of people keeping score sit at a table on the sideline.</t>
  </si>
  <si>
    <t>Some of the people watching from the bleachers are standing now.</t>
  </si>
  <si>
    <t>A man in a blue sweatshirt walks on the sideline.</t>
  </si>
  <si>
    <t>v_H9ekrZnisUI</t>
  </si>
  <si>
    <t>Outside in the yard there is a lady dressed like a cupcake and she is playing a game of cricket.</t>
  </si>
  <si>
    <t>She hits the yellow ball but it does not move very far at all.</t>
  </si>
  <si>
    <t>She has a little bit of trouble trying to get a good position to hit the ball again.</t>
  </si>
  <si>
    <t>When she finally hits it again it does not go through the course like she was expecting so she is disappointed.</t>
  </si>
  <si>
    <t>v_VBY8feOQgy4</t>
  </si>
  <si>
    <t>There is an indoor gym where two contestants are fencing with each other.</t>
  </si>
  <si>
    <t>There is a person dressed in black who is their referee.</t>
  </si>
  <si>
    <t>Another pair of contestants are also fencing at the same event.</t>
  </si>
  <si>
    <t>Two men dressed in fencing gear continue to fence in the gym.</t>
  </si>
  <si>
    <t>v_bEniqIC5Ric</t>
  </si>
  <si>
    <t>A woman rides a camel holding a rode with her right hand while a man pulls the camel.</t>
  </si>
  <si>
    <t>Then, the camel stops and the woman gets down from the camel.</t>
  </si>
  <si>
    <t>v_OyeXXxV3MSg</t>
  </si>
  <si>
    <t>Two men laugh and bow there heads watching work get done.</t>
  </si>
  <si>
    <t>The person paints their friends nails.</t>
  </si>
  <si>
    <t>The man removes his friends hand and continues working.</t>
  </si>
  <si>
    <t>v_MM5mreexkI8</t>
  </si>
  <si>
    <t>A young girl runs through the living room dropping flowers and dirt around.</t>
  </si>
  <si>
    <t>A woman grabs a vacuum and vacuums the floor.</t>
  </si>
  <si>
    <t>She inserts a tool into the vacuum and vacuums along the baseboards.</t>
  </si>
  <si>
    <t>She uses a special tool of the vacuum to vacuum around the sofa and the stair carpet.</t>
  </si>
  <si>
    <t>She uses another tool of the vacuum to vacuum around windows.</t>
  </si>
  <si>
    <t>She pulls a tray out of the vacuum.</t>
  </si>
  <si>
    <t>v_ytXLI-2wgaQ</t>
  </si>
  <si>
    <t>A group of children play hockey on a field with coaches coaching as they play.</t>
  </si>
  <si>
    <t>A coach demonstrates how to block a goal inside of a interior gym in front of a group of young people.</t>
  </si>
  <si>
    <t>The children then emulate the training as the camera cuts to the coach talking to the camera.</t>
  </si>
  <si>
    <t>The children continue to play hockey until the screen fades.</t>
  </si>
  <si>
    <t>v_TN8tBV7CY6U</t>
  </si>
  <si>
    <t>A close up is shown of a mini pool table with cues and balls.</t>
  </si>
  <si>
    <t>A man uses the cue to shoot the balls into the pockets.</t>
  </si>
  <si>
    <t>He sits a doll on the table to show size.</t>
  </si>
  <si>
    <t>He also shoots a wiffle ball on the table, and a marble.</t>
  </si>
  <si>
    <t>v_DD3MU7uM9mM</t>
  </si>
  <si>
    <t>Two men are fighting inside a wrestling ring.</t>
  </si>
  <si>
    <t>They flip and tumble over each other.</t>
  </si>
  <si>
    <t>One of the wrestlers pins the other, and the count goes to three.</t>
  </si>
  <si>
    <t>v_25dJIdZj6Xs</t>
  </si>
  <si>
    <t>Two people wearing scuba gear are sitting at the edge of a boat with their backs to the water.</t>
  </si>
  <si>
    <t>The person on the right leans all the way back and splashes in the water.</t>
  </si>
  <si>
    <t>The next person also leans back but can't fully fall into the water because they're stuck to something on the boat, so their legs go flailing.</t>
  </si>
  <si>
    <t>v_sTtFSpelQk4</t>
  </si>
  <si>
    <t>A man in a red life vest demonstrates how to paddle in a canoe through gestures and through talking to the camera from a canoe in a body of water.</t>
  </si>
  <si>
    <t>A man in a red canoe is paddling with one oar in a small body of water while talking to the camera.</t>
  </si>
  <si>
    <t>The man drifts to the side slightly while talking using the paddle as an anchor in the water and seemingly demonstrating how to paddle using the paddle and hand gestures to explain how to move the paddle and canoe in the water.</t>
  </si>
  <si>
    <t>The man then pushes away from the camera with the paddle and drifts out into the water before paddling back to the camera again.</t>
  </si>
  <si>
    <t>v_-_Ud3LXSjdE</t>
  </si>
  <si>
    <t>A young kid is smoking a cigarette.</t>
  </si>
  <si>
    <t>The kid flip the cigarette and tried to put the other end of the cigarette to his mouth.</t>
  </si>
  <si>
    <t>The young kid continue to smoke, he make faces and then smoked.</t>
  </si>
  <si>
    <t>v_5LHIoaSvKCU</t>
  </si>
  <si>
    <t>A young child is seen speaking to the camera while holding up a glass and walking to a cabinet.</t>
  </si>
  <si>
    <t>She fills up the glass and peels lemons into the water.</t>
  </si>
  <si>
    <t>She then uses a spoon to drink the water as well as a straw and nodding her head waving.</t>
  </si>
  <si>
    <t>v_II0BlR0BriI</t>
  </si>
  <si>
    <t>A man is talking inside a gym.</t>
  </si>
  <si>
    <t>A group of female gymnasts form a cluster, then lift a girl over their heads.</t>
  </si>
  <si>
    <t>They hold her up by one leg before twirling her back down and catch her in their arms.</t>
  </si>
  <si>
    <t>v_PjSOjB7qhcA</t>
  </si>
  <si>
    <t>Girls are playing dodge ball outside with only one ball.</t>
  </si>
  <si>
    <t>A girl gets hit with the ball.</t>
  </si>
  <si>
    <t>The girl gets out of the game and goes and holds onto the clothing line.</t>
  </si>
  <si>
    <t>v_tXNycNfALsE</t>
  </si>
  <si>
    <t>A gymnast is seen looking off in the distance and rubbing her hands together.</t>
  </si>
  <si>
    <t>She puts her hands up and begins performing a gymnastics routine on a beam.</t>
  </si>
  <si>
    <t>She moves herself all along the beam and ends by jumping down and others applauding.</t>
  </si>
  <si>
    <t>v_4X8raZBOzvM</t>
  </si>
  <si>
    <t>Two old bagpipe players play towards each other.</t>
  </si>
  <si>
    <t>One bagpipe player turns.</t>
  </si>
  <si>
    <t>The bagpipe players finish playing.</t>
  </si>
  <si>
    <t>The crowd claps for the players.</t>
  </si>
  <si>
    <t>v_U7iNqQs1kRk</t>
  </si>
  <si>
    <t>A man is seated in a chair with a hand drum as another man plays bongos behind him.</t>
  </si>
  <si>
    <t>They play for an extended period together.</t>
  </si>
  <si>
    <t>v_rMes9poepAI</t>
  </si>
  <si>
    <t>We see the title card for the product.</t>
  </si>
  <si>
    <t>We see a lady cleaning her floor.</t>
  </si>
  <si>
    <t>We see the vacuum attachment product and see the product in action.</t>
  </si>
  <si>
    <t>The lady shows each side, and we see her attach the product.</t>
  </si>
  <si>
    <t>We see the lady mopping.</t>
  </si>
  <si>
    <t>Then we see the ease of using the attachment.</t>
  </si>
  <si>
    <t>We see the lady relaxing after cleaning.</t>
  </si>
  <si>
    <t>We see the attachment product again.</t>
  </si>
  <si>
    <t>We see the lady giving a thumbs up.</t>
  </si>
  <si>
    <t>The title screen returns to end the video.</t>
  </si>
  <si>
    <t>v_09Kr5TQ9DHQ</t>
  </si>
  <si>
    <t>A person is shown drawing several lines on a piece of paper that leads into several fast motion clips of snowy areas.</t>
  </si>
  <si>
    <t>More close ups are shown followed by a person riding down the mountain.</t>
  </si>
  <si>
    <t>More people riding down are shown and leads into several shots of people performing ski and snowboarding tricks down a mountain.</t>
  </si>
  <si>
    <t>v_UCFV1JYhq18</t>
  </si>
  <si>
    <t>An advertisement is on the screen first.</t>
  </si>
  <si>
    <t>A girl is jumping rope as people are watching.</t>
  </si>
  <si>
    <t>She is doing tricks and flips as she jumps.</t>
  </si>
  <si>
    <t>The video ends with credits of the ones who put the video together.</t>
  </si>
  <si>
    <t>v_J9Sl_H-1BOA</t>
  </si>
  <si>
    <t>A young girl is seen sitting front of a piano and playing the instrument with her finger tips.</t>
  </si>
  <si>
    <t>She continues playing while the camera captures her from afar.</t>
  </si>
  <si>
    <t>v_C0OxaqCr_wk</t>
  </si>
  <si>
    <t>A person is seen speaking while smoking a cigarette and blowing smoke out of their mouths.</t>
  </si>
  <si>
    <t>The person continues speaking while smoking the cigarette and gradually blowing smoke while she speaks.</t>
  </si>
  <si>
    <t>v_dbR5AzEZOPE</t>
  </si>
  <si>
    <t>three man are standing in a gym talking to each other.</t>
  </si>
  <si>
    <t>men opens the wooden door and enters in the gym and are watching the first men, and they panicked.</t>
  </si>
  <si>
    <t>men start running in the court trying to grab a pink ball and start playing dodgeball.</t>
  </si>
  <si>
    <t>man is talking to the camera in font of a bricked wall.</t>
  </si>
  <si>
    <t>v_bGDwE1v16HU</t>
  </si>
  <si>
    <t>A woman is seen speaking to the camera and leads into clips of her leading an exercise class as well as shots of the studio.</t>
  </si>
  <si>
    <t>The woman continues riding along on the exercise bike while teaching the class and continuing to speak to the camera.</t>
  </si>
  <si>
    <t>v_2-xPjKzp-Kk</t>
  </si>
  <si>
    <t>A person moves poker cards and tokens on the table in a casino on front people.</t>
  </si>
  <si>
    <t>A client tap with the finger inside a square.</t>
  </si>
  <si>
    <t>Then, the person stacks all the cards and puts the tokens inside the squares.</t>
  </si>
  <si>
    <t>Then people start to gamble, while the woman distribute the cards and pick up tokens.</t>
  </si>
  <si>
    <t>After, the client shows with the hand, then the person make gestures with the hand showing the table.</t>
  </si>
  <si>
    <t>Next the woman pick up the cards.</t>
  </si>
  <si>
    <t>v_cAmGHiqmnaw</t>
  </si>
  <si>
    <t>A rodeo is shown as a man charges out of the gate to throw the rope around a baby calf.</t>
  </si>
  <si>
    <t>he is instantly successful and hops back on his horse.</t>
  </si>
  <si>
    <t>v_LyJxXonLzT4</t>
  </si>
  <si>
    <t>A man is in a bar demonstrating how to make drinks.</t>
  </si>
  <si>
    <t>He fills a glass with ice.</t>
  </si>
  <si>
    <t>Then he begins measuring various liquors into a cup, and then pours it into the glass.</t>
  </si>
  <si>
    <t>He shakes the drink together and then pours the mixture into shot glasses.</t>
  </si>
  <si>
    <t>Finally he puts another liquor into the glasses.</t>
  </si>
  <si>
    <t>The video ends with the man holding both glasses up.</t>
  </si>
  <si>
    <t>v_73n-KuFkH94</t>
  </si>
  <si>
    <t>Several shots of athletic runners are shown followed by slow motion shots of an athlete running a long jump and celebrating.</t>
  </si>
  <si>
    <t>The camera pans into scenes of men stretching and watching followed by one running down the long jump and cheering to the crowd.</t>
  </si>
  <si>
    <t>His jump is shown several more times followed by other's jumping performing their jump in front of the large crowd.</t>
  </si>
  <si>
    <t>v_JNBWPj42n-g</t>
  </si>
  <si>
    <t>A man's hands are shown at a table.</t>
  </si>
  <si>
    <t>He places a cardboard box over wrapping paper.</t>
  </si>
  <si>
    <t>He begins to wrap the box, demonstrating how to properly wrap a present.</t>
  </si>
  <si>
    <t>He tapes the wrapping paper around the box.</t>
  </si>
  <si>
    <t>The man ties a bow around the box as the camera slows down the motion.</t>
  </si>
  <si>
    <t>He cuts the excess bow away, and we see a sticker with a woman's face.</t>
  </si>
  <si>
    <t>v_8BAn48zfc68</t>
  </si>
  <si>
    <t>A woman wearing sweat gear and seen trying obtain a light with a lighter.</t>
  </si>
  <si>
    <t>She fails to do so and begins walking towards the camera.</t>
  </si>
  <si>
    <t>v_BSl22Hx2WGM</t>
  </si>
  <si>
    <t>Several shots are shown of close ups of cheerleaders leading into clips of them performing tricks and flips with one another.</t>
  </si>
  <si>
    <t>The video continues with many shots of the cheerleaders performing together in slow motion and doing tricks with one another.</t>
  </si>
  <si>
    <t>v_8HdfGmQaabM</t>
  </si>
  <si>
    <t>A blonde woman in a green sweater is talking.</t>
  </si>
  <si>
    <t>She shows off a plate filled with pasta salad and vegetables.</t>
  </si>
  <si>
    <t>She shows how she made the pesto sauce in a blender before mixing mini tomatoes in with the pasta.</t>
  </si>
  <si>
    <t>She returns to the camera, continuing to talk before we see a final scene of the pasta.</t>
  </si>
  <si>
    <t>v_bi6C3kyP4mU</t>
  </si>
  <si>
    <t>Several men are pictured outside in their kayaking uniforms ready to start rafting.</t>
  </si>
  <si>
    <t>Several people begin rafting and they are shown in bars and on buses.</t>
  </si>
  <si>
    <t>As they continue rafting,a clear bucket with a black circle with several lines is shown on each raft and the people walk by putting out cigarettes on it.</t>
  </si>
  <si>
    <t>More people began kayaking and end up flipping the rafts over until a man comes and starts to talk.</t>
  </si>
  <si>
    <t>v_ZYrQ-TSPQfU</t>
  </si>
  <si>
    <t>People whom are wearing helmets, are paddling a inflated boat down a rocky body of water.</t>
  </si>
  <si>
    <t>Water splashes into the inflated boat.</t>
  </si>
  <si>
    <t>The people stop paddling, and the boat is still.</t>
  </si>
  <si>
    <t>v_v1Iv-ySc2LM</t>
  </si>
  <si>
    <t>A child uses a mop to wash the floor of a home.</t>
  </si>
  <si>
    <t>The child twist the mop to turn it over.</t>
  </si>
  <si>
    <t>v_6ECElQXTBIY</t>
  </si>
  <si>
    <t>A little girl walks into a gym as her name flashes on the screen.</t>
  </si>
  <si>
    <t>The little girl performs a routine with a baton.</t>
  </si>
  <si>
    <t>The girl does a flip, throws her baton and catches it while on the ground.</t>
  </si>
  <si>
    <t>The girl pauses and counts.</t>
  </si>
  <si>
    <t>The girl does a split and lays her baton on the ground.</t>
  </si>
  <si>
    <t>v_cd_-gvb82Bs</t>
  </si>
  <si>
    <t>A man is seen speaking to the camera holding a window washer and begins getting the windows wet.</t>
  </si>
  <si>
    <t>He then points to the window while wiping it down over and over again with various tools.</t>
  </si>
  <si>
    <t>v_TxiLjdHoXU4</t>
  </si>
  <si>
    <t>A gymnast stands ready at the end then flips up onto a beam.</t>
  </si>
  <si>
    <t>She performs a gymnastic routine while several people on the sides watch her.</t>
  </si>
  <si>
    <t>She continues flipping around the beam and doing various acrobatic tricks.</t>
  </si>
  <si>
    <t>She jumps down and gives her coach a hug while the camera shows her movements in slow motion and she speaks to a woman.</t>
  </si>
  <si>
    <t>v_98buk_vE_z4</t>
  </si>
  <si>
    <t>Two people are seen playing a set of bongo drums while singing and looking to the camera.</t>
  </si>
  <si>
    <t>The men continuously play and end by stopping and smiling at one another.</t>
  </si>
  <si>
    <t>v_XGwP_Y-x-dI</t>
  </si>
  <si>
    <t>In a sped up special effect, there are 3 people who are shoveling a driveway and removing snow from a car on the right side of their driveway while neighbors and other snow plows are also moving about behind them.</t>
  </si>
  <si>
    <t>A person drops their shovel in the driveway, then runs to the end of the driveway to play in the snow, then goes back and picks the shovel back up to shovel again.</t>
  </si>
  <si>
    <t>A black car pulls int o the newly shoveled driveway and the people continue to shovel snow onto the road outside of their driveway.</t>
  </si>
  <si>
    <t>v_13hdhdieZuc</t>
  </si>
  <si>
    <t>There's a woman with short brown hair doing makeup tutorial.</t>
  </si>
  <si>
    <t>She begins by wearing a headband to keep her hair out of her face.</t>
  </si>
  <si>
    <t>Then she starts applying some foundation all over her face and blends it in.</t>
  </si>
  <si>
    <t>Then she takes an eyeliner and applies it with a brush under her eyes and on her eyelids.</t>
  </si>
  <si>
    <t>She then takes some powder compact and pats it on her face and spreads it evenly.</t>
  </si>
  <si>
    <t>Then with a brush she applies some eyeliner on her eyelids, followed by an eyeliner pencil which she uses on her eyelids and under her eyes.</t>
  </si>
  <si>
    <t>She takes a pair of eyelash curlers and curls her lashes and then applies some mascara with a brush.</t>
  </si>
  <si>
    <t>She finishes off the makeup with a lipstick that she puts on her upper and lower lips.</t>
  </si>
  <si>
    <t>Then she removes her headband and straightens her hair to finish off her look.</t>
  </si>
  <si>
    <t>She shows the before makeup and after makeup pictures to show the difference.</t>
  </si>
  <si>
    <t>v_KOiRoi5_SnQ</t>
  </si>
  <si>
    <t>A man is standing on a pair of skis.</t>
  </si>
  <si>
    <t>He then skis quickly down a snowy embankment, accidentally hitting a skier in his path and sending her careening to the right.</t>
  </si>
  <si>
    <t>they stop and talk, checking to make sure she is ok.</t>
  </si>
  <si>
    <t>v_pPGniqIBs-U</t>
  </si>
  <si>
    <t>A man is seen holding a small child while looking and smiling to the camera.</t>
  </si>
  <si>
    <t>The two then climb on a camel and ride around while waving to the camera.</t>
  </si>
  <si>
    <t>The two ride back together with the woman leading them in front.</t>
  </si>
  <si>
    <t>v_fNPEa0Sd4hM</t>
  </si>
  <si>
    <t>Olympic triple jumps are shown in a stadium.</t>
  </si>
  <si>
    <t>The first person in yellow goes over 17 meters.</t>
  </si>
  <si>
    <t>The second person does about the same as does the third person.</t>
  </si>
  <si>
    <t>v_oD5lGBt7U7g</t>
  </si>
  <si>
    <t>Several shots are shown of the inside of a shop followed by a person unboxing a bike.</t>
  </si>
  <si>
    <t>The man then brings out tools and tightens them along the bike and is shown peddling the bike with his hands and showing off the finished bike.</t>
  </si>
  <si>
    <t>v_RoAtTRjWKEg</t>
  </si>
  <si>
    <t>A girl is on a low beam, preparing to flip.</t>
  </si>
  <si>
    <t>She flips forward, then turns backward with her arms outstretched.</t>
  </si>
  <si>
    <t>v_8b3ZBE0n3V8</t>
  </si>
  <si>
    <t>A boy walk in the room from the left doorway holding a red stuffed animal sits down at the table then put animal away.</t>
  </si>
  <si>
    <t>A girl walk in the room front the right doorway and sits down at the table.</t>
  </si>
  <si>
    <t>They begin arm wrestling and the girl wins.</t>
  </si>
  <si>
    <t>the girl smiles at the camera sighting her victory then they both get up to exit room from the same sides they entered in from.</t>
  </si>
  <si>
    <t>v_ql7I6qtyhBU</t>
  </si>
  <si>
    <t>The screen shows company sponsors for a winter club event.</t>
  </si>
  <si>
    <t>A blue convertible drives past the North shore Winter Club.</t>
  </si>
  <si>
    <t>A couple enters the club while a silver mini van is parked outside.</t>
  </si>
  <si>
    <t>Several people are entering the Curling room inside the club.</t>
  </si>
  <si>
    <t>The coach representing the Brasil team, wearing a green jersey is giving instructions to the players.</t>
  </si>
  <si>
    <t>The coach talks to the players while they prepare themselves.</t>
  </si>
  <si>
    <t>The players begin playing with their sticks as they push the rocks through the floor, Several other players are practicing curling on the floor as they glide through the slippery surface.</t>
  </si>
  <si>
    <t>Players continue to play and exchange high fives as they practice.</t>
  </si>
  <si>
    <t>About nine of the contestants receive medals of victory from the judge.</t>
  </si>
  <si>
    <t>They applaud themselves and each other high fives to express their victory.</t>
  </si>
  <si>
    <t>The video ends with details about all the sponsors responsible for the event.</t>
  </si>
  <si>
    <t>v_yduDG8EcM0A</t>
  </si>
  <si>
    <t>There's a little boy wearing a red Elmo shirt standing on a step stool in the kitchen with his grandmother.</t>
  </si>
  <si>
    <t>They are juicing a lemon on an electric juicer that is placed on the kitchen counter near the sink.</t>
  </si>
  <si>
    <t>the boy seems excited to help his grandmother juice the lemon.</t>
  </si>
  <si>
    <t>He puts his hand over her hand while she is juicing the lemon.</t>
  </si>
  <si>
    <t>v_FZtIVsmpYcI</t>
  </si>
  <si>
    <t>We see a lawnmower and a persons hand.</t>
  </si>
  <si>
    <t>A person starts the mower and it smokes.</t>
  </si>
  <si>
    <t>We see the man mowing the lawn with a smoking mower.</t>
  </si>
  <si>
    <t>We see the mower from the point of view of the mower.</t>
  </si>
  <si>
    <t>We see the boy start the lawn mower again.</t>
  </si>
  <si>
    <t>The boy mows the lawn.</t>
  </si>
  <si>
    <t>We then see the boy walking with the mower.</t>
  </si>
  <si>
    <t>v_2mmN96TdEdY</t>
  </si>
  <si>
    <t>An intro leads into several clips of people solving rubix cubes while a timer captures their speed on the side.</t>
  </si>
  <si>
    <t>More people continue to solve the puzzle as the camera captures them from many sides.</t>
  </si>
  <si>
    <t>v_0YQPGAsZPgY</t>
  </si>
  <si>
    <t>A four piece percussion and string band play on a stage with the main focus being a man on the bongos in the center of the stage and wearing sunshades indoors.</t>
  </si>
  <si>
    <t>A man plays bongos in an animated fashion while a woman next to him plays the keyboard and a man behind him plays guitar.</t>
  </si>
  <si>
    <t>A man next to him begins to hit a stick against a metallic percussion instrument.</t>
  </si>
  <si>
    <t>The man playing the bongos knocks one of them over at which point the man next to him sets the bongo upright again.</t>
  </si>
  <si>
    <t>v_Deo_GsHyw8Y</t>
  </si>
  <si>
    <t>Al's begins his skiing tips with an iron and a sponge.</t>
  </si>
  <si>
    <t>Demonstrating what and how you would use it on the ski's.</t>
  </si>
  <si>
    <t>He shows you on the ski's how to rub it on.</t>
  </si>
  <si>
    <t>Then he explains a little more about the process.</t>
  </si>
  <si>
    <t>v_eQc-8npRq18</t>
  </si>
  <si>
    <t>A person is seen standing before a large track holding a pole.</t>
  </si>
  <si>
    <t>The person begins to run down the track while still holding the pole.</t>
  </si>
  <si>
    <t>The man then jumps over a beam and onto a mat.</t>
  </si>
  <si>
    <t>v_G836MDBhEpg</t>
  </si>
  <si>
    <t>A woman behind a bar explaining how to make a drink.</t>
  </si>
  <si>
    <t>She pours several ingredients into a shaker and shakes it.</t>
  </si>
  <si>
    <t>She then pours the drink from the shaker into a shot glass and holds it up.</t>
  </si>
  <si>
    <t>v_xm01x3C3RJo</t>
  </si>
  <si>
    <t>A dog is put into a bath tub.</t>
  </si>
  <si>
    <t>A girl pours water onto the dog out of a cup.</t>
  </si>
  <si>
    <t>She rubs shampoo on the dogs fur.</t>
  </si>
  <si>
    <t>She dries the dog off with a towel.</t>
  </si>
  <si>
    <t>v__mupI51ie9A</t>
  </si>
  <si>
    <t>three kids are hitting a ball with a racket.</t>
  </si>
  <si>
    <t>They are ducking so it doesn't hit them in their heads.</t>
  </si>
  <si>
    <t>They are each taking turns hitting the ball.</t>
  </si>
  <si>
    <t>Moving around all over the court trying to catch it.</t>
  </si>
  <si>
    <t>v_dU4sCY0kHtk</t>
  </si>
  <si>
    <t>A woman wearing pajamas is talking and standing on a star decorated stage.</t>
  </si>
  <si>
    <t>She demonstrates several dance steps as she speaks.</t>
  </si>
  <si>
    <t>She steps back and forth, turns and shakes her hips like a belly dancer.</t>
  </si>
  <si>
    <t>v_c6ie4KwFnAs</t>
  </si>
  <si>
    <t>There is a team of boys dressed in blue uniforms playing soccer against another team of boys dressed in blue striped uniforms in an indoor gym.</t>
  </si>
  <si>
    <t>There are several spectators seated on the side watching the players play soccer.</t>
  </si>
  <si>
    <t>The goalie dressed in yellow tries to stop the opponent's ball.</t>
  </si>
  <si>
    <t>There is also another game of soccer between a team dressed in red and a team dressed inn blue.</t>
  </si>
  <si>
    <t>The first set of teams continue playing the game as the solid blue team scores a goal.</t>
  </si>
  <si>
    <t>v_yNyv7Ykn5oo</t>
  </si>
  <si>
    <t>A group of people start to dig a structure close to the shore.</t>
  </si>
  <si>
    <t>As the digging continues more people join to dig as a pattern ensues.</t>
  </si>
  <si>
    <t>The digging continues and people start to add rocks in a linear fashion around the rig and dig beside the rocks and eventually cover the rocks with sand.</t>
  </si>
  <si>
    <t>Finally in the tide moves up and starts to destroy the structure that was created.</t>
  </si>
  <si>
    <t>In the end people observe the failing structure and leave while a girl stands in the middle as the water moves up and destroys it completely.</t>
  </si>
  <si>
    <t>v_AzUK4Nwd-sY</t>
  </si>
  <si>
    <t>Two people are seen riding around horses and leads into more people riding horses and walking around.</t>
  </si>
  <si>
    <t>A man leads another with a horse around a field while a dog runs around behind him.</t>
  </si>
  <si>
    <t>The camera interviews a man speaking to others while holding the horses.</t>
  </si>
  <si>
    <t>v_fXgszraP2tc</t>
  </si>
  <si>
    <t>A man is seen speaking to the camera while holding onto a leash in different locations.</t>
  </si>
  <si>
    <t>The man is then seen walking around a dog and leads into him back inside still speaking to the camera.</t>
  </si>
  <si>
    <t>He continues to speak more while holding onto the rope and walking around with the dog.</t>
  </si>
  <si>
    <t>v_qBvQjv1XyfQ</t>
  </si>
  <si>
    <t>A man is shown talking to the camera and leads into an athletic girl swinging around on uneven bars.</t>
  </si>
  <si>
    <t>She hops down while the man talks again and switches back and fourth to him talking and her performing.</t>
  </si>
  <si>
    <t>She puts chalk on her hands and continues flipping around on the bars and the man finishes speaking.</t>
  </si>
  <si>
    <t>v_Tk3zk2pJ9KA</t>
  </si>
  <si>
    <t>A camera pans over several landscapes located in the desert as well as the night sky moving around.</t>
  </si>
  <si>
    <t>The sun rises and more shots of landscapes are shown as well as animals in the area.</t>
  </si>
  <si>
    <t>People are then seen riding around on a boat through a tough river and end with a plane flying over the area.</t>
  </si>
  <si>
    <t>v_6fI4gF_2VCk</t>
  </si>
  <si>
    <t>A man's face is seen close up speaking and leads into him smoking a cigarette.</t>
  </si>
  <si>
    <t>The man continues to take drags out of the cigarette while blowing smoke off into the distance.</t>
  </si>
  <si>
    <t>He moves his hand up and down to smoke and blow the smoke out.</t>
  </si>
  <si>
    <t>v_p9JNte3VMKQ</t>
  </si>
  <si>
    <t>A man is seen speaking to the camera while holding a knife in his hands and begins sharpening the knife along a board.</t>
  </si>
  <si>
    <t>The man continues sharpening the blade and then uses other boards to sharpen the knife.</t>
  </si>
  <si>
    <t>v_hwY9jvSjC9I</t>
  </si>
  <si>
    <t>The woman is shown putting her feet into her shoes while they are tied.</t>
  </si>
  <si>
    <t>But after a few minutes of her lifting her feet off of the ground, she takes them off without using her hands.</t>
  </si>
  <si>
    <t>Then she bends down to turn the camera off.</t>
  </si>
  <si>
    <t>v_sObM6mb3hgs</t>
  </si>
  <si>
    <t>Several young men exhibit rollerblading stunts using many different pedestrian environments to showcase the stunts including, sidewalks,stairwells, stair railings, walls and parking lots.</t>
  </si>
  <si>
    <t>A camera picks up several candid environment shots picking up lines of palm trees, and a vast cityscape filled with buildings and some foliage.</t>
  </si>
  <si>
    <t>A group of young men are showcased one by one ,with an onscreen name template, rollerblading stunts on stairs and stair railings, jumping in the air, sliding on rails and landing.</t>
  </si>
  <si>
    <t>The men showcase some mishaps in which they fall after the stunt, but then perform more stunts successfully.</t>
  </si>
  <si>
    <t>v_iWj81FBROQQ</t>
  </si>
  <si>
    <t>A gymnast is seen looking off into the distance and leads into her hold her arms up.</t>
  </si>
  <si>
    <t>She jumps onto a beam and begins performing various flips and tricks.</t>
  </si>
  <si>
    <t>The girl jumps all around the beam and ends by jumping down and raising her arms up and smiling to the camera.</t>
  </si>
  <si>
    <t>v_deuSw3RnNLU</t>
  </si>
  <si>
    <t>A woman makes a batch of master cleanse drink at the counter in the kitchen using lemons, water, syrup and red pepper.</t>
  </si>
  <si>
    <t>A woman enters a kitchen, talks to the camera and begins to cut and juice lemons.</t>
  </si>
  <si>
    <t>The woman then pours the lemon juice into a bottle of water.</t>
  </si>
  <si>
    <t>The woman then adds syrup and red pepper to the mixture with blue measuring spoons and a measuring glass, after which she leans on the counter and talks to the camera some more.</t>
  </si>
  <si>
    <t>v_77w2Am_ttbg</t>
  </si>
  <si>
    <t>A man is seen sitting on a piece of exercise equipment moving himself back and fourth.</t>
  </si>
  <si>
    <t>A dog walks around the man working and ends by the camera facing the ground.</t>
  </si>
  <si>
    <t>v_yEFS8M4pgMU</t>
  </si>
  <si>
    <t>There two teams of men playing the game of tug of war in a gym.</t>
  </si>
  <si>
    <t>There are several people seated in the gym watching them play the game.</t>
  </si>
  <si>
    <t>The referee is standing next to the contestants as they continue to pull the rope harder.</t>
  </si>
  <si>
    <t>The opposing team pulls harder and the team in the white ends up falling down and losing.</t>
  </si>
  <si>
    <t>v_IY1bVy1yZv4</t>
  </si>
  <si>
    <t>A man is sitting down on the ground fixing a child's bike.</t>
  </si>
  <si>
    <t>A kid in a yellow shirt is standing next to him watching.</t>
  </si>
  <si>
    <t>A boy in a blue shirt is pushing another bike behind him.</t>
  </si>
  <si>
    <t>v_fvUQQF5S4Dg</t>
  </si>
  <si>
    <t>A person serves an ice cream with a stick to a man, the cone falls to the floor.</t>
  </si>
  <si>
    <t>The man gives another cone, then the man takes of the cone and gives back to the man.</t>
  </si>
  <si>
    <t>After, the man gives the cone with a napkin, but he takes the cone again, after he gives the ice cream in his mouth.</t>
  </si>
  <si>
    <t>Finally, the man gives the cone to the man while a crowd watch.</t>
  </si>
  <si>
    <t>v_9mpPAwSmUmk</t>
  </si>
  <si>
    <t>A guy works on a roof.</t>
  </si>
  <si>
    <t>A guy removes nails and pieces of the roof.</t>
  </si>
  <si>
    <t>A guy removes dirt and twigs from the corner of the roof.</t>
  </si>
  <si>
    <t>A guy measures and cuts pieces for the roof.</t>
  </si>
  <si>
    <t>v_-AUKiMfqga4</t>
  </si>
  <si>
    <t>A skillet is on a stove with ingredients on the counter alongside it.</t>
  </si>
  <si>
    <t>Someone puts onions in the skillet and beats eggs and other ingredients into a bowl before adding them to the skillet too.</t>
  </si>
  <si>
    <t>He flips the eggs, making an omelette.</t>
  </si>
  <si>
    <t>He flips the omelette gently onto a plate for serving.</t>
  </si>
  <si>
    <t>v_54chD8QFKyk</t>
  </si>
  <si>
    <t>A white cat is sleeping on terra cotta tiles.</t>
  </si>
  <si>
    <t>White text explains how to clip the cat's nails.</t>
  </si>
  <si>
    <t>A woman takes the cats paws, clipping them gently with a clipper until they are finished.</t>
  </si>
  <si>
    <t>v_D74hnUdBs04</t>
  </si>
  <si>
    <t>A large group of people are seen standing on a field playing a volleyball game with one another.</t>
  </si>
  <si>
    <t>The camera pans around the beach and back to the people playing with one another passing the ball around.</t>
  </si>
  <si>
    <t>v_sOyox_6AG1w</t>
  </si>
  <si>
    <t>An intro for a running video that says Running appears on screen.</t>
  </si>
  <si>
    <t>A lady commentates over a video of a huge sum of people completing a marathon in New York City.</t>
  </si>
  <si>
    <t>The video goes to show the top 5 events in the marathons history, The lady commentates over every event, as the video countsdown from 5 to 1 while showing the events occur, She explains every event in detail.</t>
  </si>
  <si>
    <t>The video concludes with an outro image.</t>
  </si>
  <si>
    <t>v_p4rdUt1iDkY</t>
  </si>
  <si>
    <t>A man kneels down on a blue mat and raises a bar above his head.</t>
  </si>
  <si>
    <t>He stands up and walks off.</t>
  </si>
  <si>
    <t>v_JzLqc6MhJtc</t>
  </si>
  <si>
    <t>A woman is sitting in a chair.</t>
  </si>
  <si>
    <t>A person is painting something onto their finger.</t>
  </si>
  <si>
    <t>The woman looks up at the camera.</t>
  </si>
  <si>
    <t>v_ZTtPztql5jM</t>
  </si>
  <si>
    <t>Rain falls on a large auditorium.</t>
  </si>
  <si>
    <t>Many people are in the stands.</t>
  </si>
  <si>
    <t>Several athletes stand in the arena.</t>
  </si>
  <si>
    <t>The athletes throw discs on the field.</t>
  </si>
  <si>
    <t>v_cJYtpnf5aOM</t>
  </si>
  <si>
    <t>A boy in young boy drives a small tractor lawn mower around the yard of a house maneuvering around obstacles.</t>
  </si>
  <si>
    <t>The boy mows over some small flowers in the grass.</t>
  </si>
  <si>
    <t>v_2hgXJR5QdkU</t>
  </si>
  <si>
    <t>A woman with curly hair and very thing eyebrows is sucking from a hookah.</t>
  </si>
  <si>
    <t>She blows out all of the smoke that she inhaled, she is laying in bed by herself relaxing.</t>
  </si>
  <si>
    <t>She seems like she is very bored just blowing smoke recording herself.</t>
  </si>
  <si>
    <t>Turns out, there is another person in the room with her feeding her, she smiles really big and continues exhaling smoke out.</t>
  </si>
  <si>
    <t>v_LKf1eTzmK14</t>
  </si>
  <si>
    <t>A runner is running on a track in front of a crowd of people.</t>
  </si>
  <si>
    <t>A man is shown talking to the camera.</t>
  </si>
  <si>
    <t>Runners are running down a track with crowds on both sides and one of the runners stumbles.</t>
  </si>
  <si>
    <t>Another runner is shown and a man is shown talking to the camera.</t>
  </si>
  <si>
    <t>A runner is crawling across a finish line while other runners are running through the finish line.</t>
  </si>
  <si>
    <t>The distressed runner is carried away.</t>
  </si>
  <si>
    <t>Runners in distress are shown.</t>
  </si>
  <si>
    <t>Various runners are shown in distress and talking to the camera.</t>
  </si>
  <si>
    <t>More distressed runners are shown.</t>
  </si>
  <si>
    <t>v_7pcnWE7jpQY</t>
  </si>
  <si>
    <t>A person is attempting high jumps.</t>
  </si>
  <si>
    <t>The first few attempts are good.</t>
  </si>
  <si>
    <t>The final attempt is not ever achieved.</t>
  </si>
  <si>
    <t>v_EuIBTFqVOt8</t>
  </si>
  <si>
    <t>Two men are shown performing an arm wrestling match with many watching on the sidelines and a ref calling who the winner is.</t>
  </si>
  <si>
    <t>Several more men battle back and fourth with one another and more people stepping in and out of frame to watch.</t>
  </si>
  <si>
    <t>v_We9NR-CaIgM</t>
  </si>
  <si>
    <t>People performs arts martial movers, standing on their heads and spinning.</t>
  </si>
  <si>
    <t>Then, a man and a boy jumps over, then kids stands on their head an spin around.</t>
  </si>
  <si>
    <t>Boys bend his body backwards until the feet reach the ground.</t>
  </si>
  <si>
    <t>Teens twist their bodies and bend to the other end.</t>
  </si>
  <si>
    <t>v_W04glwJ_IYI</t>
  </si>
  <si>
    <t>A woman grooms an angry poodle who is collared and tethered to a pole attached to a black grooming table.</t>
  </si>
  <si>
    <t>A brown poodle is being combed by a woman in a yellow walled room on a black grooming table.</t>
  </si>
  <si>
    <t>The woman holds out a pink plastic toy which the dog begins to bite, snap and grab at while the woman combs the poodles fur.</t>
  </si>
  <si>
    <t>The poodle continues to snap at the pink toy and also at the woman's hand and the comb.</t>
  </si>
  <si>
    <t>v_vNMBtwYDH9E</t>
  </si>
  <si>
    <t>A gymnast mounts a low beam in a gym.</t>
  </si>
  <si>
    <t>She performs on the beam, doing handsprings and flips.</t>
  </si>
  <si>
    <t>She then dismounts with her hands in the air.</t>
  </si>
  <si>
    <t>v_mfq5Y7S3BWs</t>
  </si>
  <si>
    <t>A woman is standing by a bathroom door talking.</t>
  </si>
  <si>
    <t>The same woman is now seen on a stationary bicycle teaching a spin class.</t>
  </si>
  <si>
    <t>Several other people in the class can be seen on stationary bicycles in the mirror behind the instructor.</t>
  </si>
  <si>
    <t>The woman is then shown on the ground demonstrating an exercise.</t>
  </si>
  <si>
    <t>The spin class is shown again still in progress.</t>
  </si>
  <si>
    <t>The instructor then does floor exercises again with the class following along.</t>
  </si>
  <si>
    <t>The instructor and the class finish on the bikes again.</t>
  </si>
  <si>
    <t>v_oWsEp7hsmZg</t>
  </si>
  <si>
    <t>A lady stands and talks in a gym.</t>
  </si>
  <si>
    <t>She points to her abdomen, then lays on a bench.</t>
  </si>
  <si>
    <t>The lady holds the bench and and lifts her abdomen and legs.</t>
  </si>
  <si>
    <t>The lady sits up and scoots to the edge.</t>
  </si>
  <si>
    <t>The lady performs the same exercise with her butt hanging off the bench.</t>
  </si>
  <si>
    <t>The lady finishes, sits upright and speaks.</t>
  </si>
  <si>
    <t>v_1XQUDJhMcj8</t>
  </si>
  <si>
    <t>A woman is seen hosting a news segment that leads into clips of fire fighters running down a block and carrying objects over their heads.</t>
  </si>
  <si>
    <t>More people are seen speaking to the camera as they continue running around and women speaking to the camera.</t>
  </si>
  <si>
    <t>v_2xQVZorob1Q</t>
  </si>
  <si>
    <t>An individual shovels snow, but only the lower legs and shovel are visible on camera.</t>
  </si>
  <si>
    <t>The individual sets aside the shovel and walks towards the camera.</t>
  </si>
  <si>
    <t>The camera once again shows the individual shoveling.</t>
  </si>
  <si>
    <t>v_AXyRIyXqnzI</t>
  </si>
  <si>
    <t>a man in a grey warm up suit practices shot put behind a net.</t>
  </si>
  <si>
    <t>Another man in a green sweatshirt practices a shot put throw in a field behind a net gate.</t>
  </si>
  <si>
    <t>still photos are featured between multiple men practicing their shot put throw.</t>
  </si>
  <si>
    <t>A series of shot put throws are featured in consecutive tosses.</t>
  </si>
  <si>
    <t>v_WWyGnNfcj8Q</t>
  </si>
  <si>
    <t>A man is seen decorating a cake blindfolded while a small group of people watch.</t>
  </si>
  <si>
    <t>The man adds frosting to the cake while others continue to watch as well as other ingredients.</t>
  </si>
  <si>
    <t>He takes off the blindfold and cheers as well as putting hawaii outfits on everyone and dancing around.</t>
  </si>
  <si>
    <t>v_sW_iLVVMF4w</t>
  </si>
  <si>
    <t>A man is outside on the roof of his shed with a leaf blower ready to clean the leaves off the roof.</t>
  </si>
  <si>
    <t>He shows a close up of the leaf blower and explains the specifics of it, primes the machine, sets the camera down and starts it.</t>
  </si>
  <si>
    <t>He picks up the camera and gets a close up of the leaf blower again.</t>
  </si>
  <si>
    <t>He now blows the leaves off of the roof of his shed.</t>
  </si>
  <si>
    <t>v_RDC4sqe8xVk</t>
  </si>
  <si>
    <t>A man is getting dressed to ski in the falling snow.</t>
  </si>
  <si>
    <t>He is talking to the camera about skiing.</t>
  </si>
  <si>
    <t>He is then seen going through the air, and down steep slopes as he skis.</t>
  </si>
  <si>
    <t>v_H306mUUJ5BE</t>
  </si>
  <si>
    <t>A man is seen speaking to the camera while sitting in a chair and putting his arms up every now and then.</t>
  </si>
  <si>
    <t>He then plays a harmonica moving his hands around while pausing to speak to the camera and ends up speaking and pointing.</t>
  </si>
  <si>
    <t>v_C4xYnBd7PM0</t>
  </si>
  <si>
    <t>A man is seen standing beside a bull and holding up a red flag.</t>
  </si>
  <si>
    <t>The bull is then shown attacking several men in many clips.</t>
  </si>
  <si>
    <t>More people are shown chasing bulls with them chasing after.</t>
  </si>
  <si>
    <t>v_L1oWKMy5ofM</t>
  </si>
  <si>
    <t>A woman is sitting and talking in front of a laptop.</t>
  </si>
  <si>
    <t>She gets up in front of a room of family members.</t>
  </si>
  <si>
    <t>She dances, showing several moves to the people as she shimmies across the room.</t>
  </si>
  <si>
    <t>v__rzxmgPv6Co</t>
  </si>
  <si>
    <t>A man is standing in his uniform in a desert like area talking.</t>
  </si>
  <si>
    <t>While he his talking,several videos of him are shown off road motorcycle racing around the course jumping over humps.</t>
  </si>
  <si>
    <t>However,he comes back during the segments to show how he uses techniques in certain jumps and the correct way to do it.</t>
  </si>
  <si>
    <t>v_W2wyahjyTFc</t>
  </si>
  <si>
    <t>A little girl is standing in front of a hopscotch game in her living room.</t>
  </si>
  <si>
    <t>She jumps forward on each square, then turns and goes the other way.</t>
  </si>
  <si>
    <t>She smiles and bows for the camera.</t>
  </si>
  <si>
    <t>v_C1YNGahOoiA</t>
  </si>
  <si>
    <t>A man fasten his legs on a pole of a sail boat an lay down on his back on the border of the boat.</t>
  </si>
  <si>
    <t>Then, the man sail the boat holding a rope and lay down on the border of the boat.</t>
  </si>
  <si>
    <t>The man falls in the water, then he gets up in the boat and continues sailing on his back.</t>
  </si>
  <si>
    <t>A sail board pass next to the boat.</t>
  </si>
  <si>
    <t>v_h0p_7Q2Bucc</t>
  </si>
  <si>
    <t>A man appears treading water as he is waiting to get out of the water and walk up a set of stairs.</t>
  </si>
  <si>
    <t>He finally gets off the stairs and joins the others who are on the wooden diving board.</t>
  </si>
  <si>
    <t>First,a set of three girls jump off before he does and creates a large commotion of waves.</t>
  </si>
  <si>
    <t>v_vOpFUVofoM4</t>
  </si>
  <si>
    <t>A picture of a coffee cup is shown as well as a spoon to relaxing music.</t>
  </si>
  <si>
    <t>Various title screens are shown and eventually the same picture of the coffee cup appears while soft music plays in the background.</t>
  </si>
  <si>
    <t>v_LGj7_gw2GbQ</t>
  </si>
  <si>
    <t>The credits of a clip are shown.</t>
  </si>
  <si>
    <t>A person is water boarding on a body of water.</t>
  </si>
  <si>
    <t>People ride a boat and interact.</t>
  </si>
  <si>
    <t>A lady hula hoops to music.</t>
  </si>
  <si>
    <t>A male leaps from the rocks into the waters.</t>
  </si>
  <si>
    <t>People are on the shore and some are on the boat.</t>
  </si>
  <si>
    <t>A man jumps of a boat with his waterboard.</t>
  </si>
  <si>
    <t>A guy uses a hula hoop as a jump rope.</t>
  </si>
  <si>
    <t>Women dance to music in a social function.</t>
  </si>
  <si>
    <t>The individual is in the body of water.</t>
  </si>
  <si>
    <t>Two adults run in a wooden, hollow cylinder.</t>
  </si>
  <si>
    <t>An individual back flips off a boat.</t>
  </si>
  <si>
    <t>A female stands on waterboard that is on grass.</t>
  </si>
  <si>
    <t>People jump off an inflated boat.</t>
  </si>
  <si>
    <t>The credits of a video are shown with clips.</t>
  </si>
  <si>
    <t>v_jhakEVLCqNM</t>
  </si>
  <si>
    <t>A youth talks inside a home, then he gets outside the home.</t>
  </si>
  <si>
    <t>A man and a teen stand on front a swimming pool talking, and a person lay down on a chair.</t>
  </si>
  <si>
    <t>Then, the man pushes the teen to the water who has trouble to swim.</t>
  </si>
  <si>
    <t>After, the man gets in the water and flip the teen.</t>
  </si>
  <si>
    <t>The teen gets out the swimming pool and throws chair to the man.</t>
  </si>
  <si>
    <t>Next, the teen walks away angry, and the men and the woman take the chairs out of the pool.</t>
  </si>
  <si>
    <t>v_0D9EmyHxhcg</t>
  </si>
  <si>
    <t>Several people are in a skate part rollerblading with one another.</t>
  </si>
  <si>
    <t>The people then move out to scenic places and starts to roller blade throughout the city.</t>
  </si>
  <si>
    <t>More people begin to skate and they start to make ramps in the alley way and going tricks in a skate park.</t>
  </si>
  <si>
    <t>v_cTZw5NUK1-c</t>
  </si>
  <si>
    <t>Various shots of beaches are shown followed by the camera panning over several shots of waves.</t>
  </si>
  <si>
    <t>A person is then seen riding a surfboard through various shots in the camera.</t>
  </si>
  <si>
    <t>People are shown speaking to the camera when another person crashing on their board several times.</t>
  </si>
  <si>
    <t>More people are seen walking down as more surfers continue riding the waves.</t>
  </si>
  <si>
    <t>v_G4D6UtJh3AU</t>
  </si>
  <si>
    <t>A woman is holding a baby in her lap as a woman next to her uses a plastic comb to brush his hair.</t>
  </si>
  <si>
    <t>She talks to the baby as she brushes, and the baby watches her intently.</t>
  </si>
  <si>
    <t>v_AtUAYnNTniM</t>
  </si>
  <si>
    <t>A man lifts a girl up over his head, then over his shoulder.</t>
  </si>
  <si>
    <t>He stands her on his hands, balancing her in the air as other watch.</t>
  </si>
  <si>
    <t>He drops then lifts her again.</t>
  </si>
  <si>
    <t>v_YiMOKwzEf1k</t>
  </si>
  <si>
    <t>A kneeing man runs a small grass cutter over the surface of the lawn.</t>
  </si>
  <si>
    <t>The man mows the shaded green grass.</t>
  </si>
  <si>
    <t>The man mows the sun lit grass.</t>
  </si>
  <si>
    <t>v_1WSFrupQzQI</t>
  </si>
  <si>
    <t>We see the title screens flying up.</t>
  </si>
  <si>
    <t>A bull runs out on the field.</t>
  </si>
  <si>
    <t>A bull rams a wall where the matador is standing.</t>
  </si>
  <si>
    <t>The matador teases the bull with a red cloth.</t>
  </si>
  <si>
    <t>We see the ending screen.</t>
  </si>
  <si>
    <t>v_EX3szlLBdFM</t>
  </si>
  <si>
    <t>A person is seen moving along a large court followed by other people moving around beside him.</t>
  </si>
  <si>
    <t>Several people are seen running up and down the court while others watch on the side.</t>
  </si>
  <si>
    <t>The people continue moving around while others watch them perform drills.</t>
  </si>
  <si>
    <t>v__ekSmyvWdRQ</t>
  </si>
  <si>
    <t>A person is putting salad into a clear bowl.</t>
  </si>
  <si>
    <t>They grab an orange pepper from a pile.</t>
  </si>
  <si>
    <t>They chop the pepper in half.</t>
  </si>
  <si>
    <t>v_8jj-mhVrlGA</t>
  </si>
  <si>
    <t>A woman is shown speaking to the camera and point off into the distance.</t>
  </si>
  <si>
    <t>The camera pans out into another man standing on the court and two basketballs shown.</t>
  </si>
  <si>
    <t>The man and woman then shoot hoops with the balls and pass each other back and fourth.</t>
  </si>
  <si>
    <t>v_XqmMZs2-3ZI</t>
  </si>
  <si>
    <t>A woman is sitting on her little couch thinking about cookies.</t>
  </si>
  <si>
    <t>You are informed of all the ingredients needed to make a batch of delicious cookies and the equipment required to make them.</t>
  </si>
  <si>
    <t>She goes to the kitchen and turns on the oven and begins mixing ingredients in a kitchenaid.</t>
  </si>
  <si>
    <t>Once mixed nicely she places the cookie in the oven and when they done she returns to her couch with her teddy bear and munches out.</t>
  </si>
  <si>
    <t>v_7KKYKIlGaXk</t>
  </si>
  <si>
    <t>A view is seen of an enormous pool.</t>
  </si>
  <si>
    <t>It stretches very long distances, with people using boats and rafts in the water.</t>
  </si>
  <si>
    <t>It is an extensive water park located in Indonesia.</t>
  </si>
  <si>
    <t>People are shown water skiing in the clear blue waters.</t>
  </si>
  <si>
    <t>v_l-R4wiSZcRc</t>
  </si>
  <si>
    <t>An intro leads into several older clips of olympic performers performing incredible acts.</t>
  </si>
  <si>
    <t>One group of people are seen swimming while hundreds of people cheer and many people look to the camera and smile.</t>
  </si>
  <si>
    <t>Another man shakes the hand of an athlete and he waves while shaking the hands of others and people applauding.</t>
  </si>
  <si>
    <t>v_fVBXRUWEyoA</t>
  </si>
  <si>
    <t>A woman sits on a couch and clips the front and back paws of an orange and a black and white cat as they sit in her lap.</t>
  </si>
  <si>
    <t>An orange cat stands on a couch and sniffs the cushions.</t>
  </si>
  <si>
    <t>A woman sits down on the couch and puts the orange cat in her lap and begins to clip the front and back paws of the cat.</t>
  </si>
  <si>
    <t>The woman puts the orange cat down and picks up a black and white cat with whom she does the same clipping of front and black paws, after which, the black and white cat runs off away from the couch.</t>
  </si>
  <si>
    <t>v_yST1TsQ6mgY</t>
  </si>
  <si>
    <t>Various pictures are shown of people close up in an area as well as people riding around on a camel.</t>
  </si>
  <si>
    <t>People continue riding around on the camels with one man leading them in front and the camera capturing several more people.</t>
  </si>
  <si>
    <t>In the end the camels are seen wandering around one another and a picture of everyone standing together.</t>
  </si>
  <si>
    <t>v_vfLKyUMzFHg</t>
  </si>
  <si>
    <t>A man is seen speaking to the camera and pointing to a table and laying out cards.</t>
  </si>
  <si>
    <t>He then performs a game of black jack while moving the cards and dice around while still speaking to the camera.</t>
  </si>
  <si>
    <t>v_gE1nShlv6mo</t>
  </si>
  <si>
    <t>A woman shows how to clean a shirt with a steam machine while talking.</t>
  </si>
  <si>
    <t>The woman finish cleaning the shirt and takes it off from a hanger and put on the iron board.</t>
  </si>
  <si>
    <t>After, the woman shows a container, then gabs the steam machine and shows while talking.</t>
  </si>
  <si>
    <t>v_fTGtoTlJyh0</t>
  </si>
  <si>
    <t>A person is spray painting bars that are taped together different colors.</t>
  </si>
  <si>
    <t>They put a sticker of words onto the bars.</t>
  </si>
  <si>
    <t>v_6asjaqo0OHc</t>
  </si>
  <si>
    <t>A man is talking as he looks at a bicycle.</t>
  </si>
  <si>
    <t>He places a speed control tool on the handlebar of the bike.</t>
  </si>
  <si>
    <t>He continues talking until he has the bar in place.</t>
  </si>
  <si>
    <t>v_y-87JMf_-J8</t>
  </si>
  <si>
    <t>A man is seen sitting on a stool while holing a guitar in his hands.</t>
  </si>
  <si>
    <t>The camera pans closely around the guitar while the man continues to speak.</t>
  </si>
  <si>
    <t>The man then plays the guitar a bit and moves his hands up and down the neck.</t>
  </si>
  <si>
    <t>v_hrpRVbLRoJ4</t>
  </si>
  <si>
    <t>A person is seen riding around on a horse over jumps in slow motion while others watch.</t>
  </si>
  <si>
    <t>The video moves quicker as more people are seen jumping over obstacles and one speaking to the camera.</t>
  </si>
  <si>
    <t>Several more clips are shown of people riding around on horses as well as pictures inbetween and more close ups of horses.</t>
  </si>
  <si>
    <t>v_hbipKjS0G7w</t>
  </si>
  <si>
    <t>A lady bents over slightly in an outdoor court.</t>
  </si>
  <si>
    <t>The lady rises and turns.</t>
  </si>
  <si>
    <t>The lady release her hand from her neck.</t>
  </si>
  <si>
    <t>v_4BofYu8Soz8</t>
  </si>
  <si>
    <t>A man is seen swimming in a pool while passing a ball to a dog back and fourth.</t>
  </si>
  <si>
    <t>The man continues to pass the ball while the dog hits it right back.</t>
  </si>
  <si>
    <t>v_Gxjfc5O6AAc</t>
  </si>
  <si>
    <t>Various still images of a man's hair are shown.</t>
  </si>
  <si>
    <t>A man is shown receiving a hair cut and styling in sped up time.</t>
  </si>
  <si>
    <t>Still images of the man's hair after the styling are shown.</t>
  </si>
  <si>
    <t>v_3gQsAKZ71tU</t>
  </si>
  <si>
    <t>A man stands on a court.</t>
  </si>
  <si>
    <t>He hits a ball with a racket.</t>
  </si>
  <si>
    <t>Several different athletes are shown hitting balls.</t>
  </si>
  <si>
    <t>Some of them cheer at the end.</t>
  </si>
  <si>
    <t>v_1dM62Xpm9Ns</t>
  </si>
  <si>
    <t>A man is cutting an onion with a knife on a cutting board.</t>
  </si>
  <si>
    <t>A woman is reading a newspaper nearby while he speaks to her and shows her something in his hand.</t>
  </si>
  <si>
    <t>The man sharpens his knives using an electric tool.</t>
  </si>
  <si>
    <t>He then continues cutting his onion.</t>
  </si>
  <si>
    <t>v_wYIeRRTRtX8</t>
  </si>
  <si>
    <t>A woman is standing on a diving board.</t>
  </si>
  <si>
    <t>She jumps into the water.</t>
  </si>
  <si>
    <t>People are standing under the diving board.</t>
  </si>
  <si>
    <t>v_3S7EwcX-Rd0</t>
  </si>
  <si>
    <t>A bicycling competition is about to begin and the crowd is ready.</t>
  </si>
  <si>
    <t>The riders start and already many fall during the first big jump.</t>
  </si>
  <si>
    <t>Various highlights are shown of the riders attempting the large jumps.</t>
  </si>
  <si>
    <t>Three winners are crowned at the end in a ceremony.</t>
  </si>
  <si>
    <t>v_NbmseYFNIlA</t>
  </si>
  <si>
    <t>A man is seen holding a flag while others stand around him and a runner comes into frame.</t>
  </si>
  <si>
    <t>The runner takes several jumps and lands into a pit all in slow motion.</t>
  </si>
  <si>
    <t>v_H7EmlU0wQ6g</t>
  </si>
  <si>
    <t>A person is using a vacuum attachment to vacuum the wood floor.</t>
  </si>
  <si>
    <t>The person then vacuums a rug on the floor.</t>
  </si>
  <si>
    <t>The person vacuums the back of a cat laying nearby.</t>
  </si>
  <si>
    <t>The person returns to vacuuming the wood floor.</t>
  </si>
  <si>
    <t>v_9wpV8Gknh1E</t>
  </si>
  <si>
    <t>A woman and her 2 children are riding around on a camel at a fair or some event.</t>
  </si>
  <si>
    <t>There is a worker who is walking with them in circles walking the camel with a rope as they ride.</t>
  </si>
  <si>
    <t>They go around quite a few times again and again in a circle around a small gated area.</t>
  </si>
  <si>
    <t>When they are done they stop by a red railing, the worker taps the camel on the face while the rider get off.</t>
  </si>
  <si>
    <t>v_bp1blshSKJU</t>
  </si>
  <si>
    <t>A woman is standing on a piano.</t>
  </si>
  <si>
    <t>A person is playing the piano.</t>
  </si>
  <si>
    <t>The piano turns and a woman is standing behind it.</t>
  </si>
  <si>
    <t>v_KB9sqtTJTZw</t>
  </si>
  <si>
    <t>We see a dark opening screen.</t>
  </si>
  <si>
    <t>We then see people performing hip hop dances.</t>
  </si>
  <si>
    <t>We see a sign for the 2004 event.</t>
  </si>
  <si>
    <t>We see people in front of an audience dancing.</t>
  </si>
  <si>
    <t>We see a man do a spin the crowd clips for.</t>
  </si>
  <si>
    <t>We see a sign for the 2005 event.</t>
  </si>
  <si>
    <t>Two men take a bow.</t>
  </si>
  <si>
    <t>We see a screen for the 2006 event.</t>
  </si>
  <si>
    <t>A man in red does a bunch of moves.</t>
  </si>
  <si>
    <t>We see signs for the 2007 event.</t>
  </si>
  <si>
    <t>v_qemvXlRMQgM</t>
  </si>
  <si>
    <t>A close up of a blue hookah is shown bottom to top.</t>
  </si>
  <si>
    <t>The bowl is shown, then the hookah is filled with water by gloves.</t>
  </si>
  <si>
    <t>The hose is attached to the hookah.</t>
  </si>
  <si>
    <t>Tobacco is packed into the bowl, then covered with tin foil and punctured with a toothpick.</t>
  </si>
  <si>
    <t>A piece of coal is lit, then the invisible person smokes the hookah while reading a book.</t>
  </si>
  <si>
    <t>v_jwlYaPt2DIs</t>
  </si>
  <si>
    <t>We see a man at a table in a field juicing a fruit to make a juice.</t>
  </si>
  <si>
    <t>The man juices 2 fruit then puts sugar in in two glasses.</t>
  </si>
  <si>
    <t>The man then cuts and juices four more fruit.</t>
  </si>
  <si>
    <t>The man adds more sugar to the glasses and ice water from the bucket under the fruit.</t>
  </si>
  <si>
    <t>v_wr_1p7obP-g</t>
  </si>
  <si>
    <t>Several photographs of households and objects are shown followed by a man pouring liquids into a bucket.</t>
  </si>
  <si>
    <t>He pours more objects into the bucket while another man swirls it around.</t>
  </si>
  <si>
    <t>The man opens a box full of stone and lays down some plaster on a wall.</t>
  </si>
  <si>
    <t>He pushes the stone into the wall over and over again to create a stone wall for a home.</t>
  </si>
  <si>
    <t>v_TT2e7-NbUxo</t>
  </si>
  <si>
    <t>A boy is sitting in a salon chair and talking.</t>
  </si>
  <si>
    <t>A stylist cuts his hair into a new style.</t>
  </si>
  <si>
    <t>He dries and sprays the hair into a spikey look.</t>
  </si>
  <si>
    <t>v_12IrPzohRSw</t>
  </si>
  <si>
    <t>We see people in bumper cars at a carnival.</t>
  </si>
  <si>
    <t>The camera pans left and we see the driving court.</t>
  </si>
  <si>
    <t>A person in purple drives past the camera.</t>
  </si>
  <si>
    <t>A girl smiles at the camera as she drives past.</t>
  </si>
  <si>
    <t>v_rVcgTALWCRA</t>
  </si>
  <si>
    <t>A girl is playing with sand on a beach.</t>
  </si>
  <si>
    <t>She then stands up and looks at other people.</t>
  </si>
  <si>
    <t>v_at_ahUtnF9Q</t>
  </si>
  <si>
    <t>People are standing next to a ping pong table.</t>
  </si>
  <si>
    <t>A man is demonstrating how to play without a paddle.</t>
  </si>
  <si>
    <t>Two people start playing a game of ping pong.</t>
  </si>
  <si>
    <t>v_Ly70Hwy52WA</t>
  </si>
  <si>
    <t>two men are sitting on round tables talking in microphones.</t>
  </si>
  <si>
    <t>men are being interviewed in a large soccer field.</t>
  </si>
  <si>
    <t>men are playing ping pong in themiddle of stadium while a lot of people are gathered around.</t>
  </si>
  <si>
    <t>v_sxf0x55Cvb4</t>
  </si>
  <si>
    <t>We see a swiftly-moving, white water stream.</t>
  </si>
  <si>
    <t>A man in blue rafting equipment and a helmet is watching from a bed of rocks.</t>
  </si>
  <si>
    <t>We notice a man in a kayak and a yellow helmet coming in from the left.</t>
  </si>
  <si>
    <t>As he approaches, his kayak flips upside-down.</t>
  </si>
  <si>
    <t>As the view follows him, we notice another man seated on the rocks to the right in red with a white helmet.</t>
  </si>
  <si>
    <t>v_4b2_OpAGwW0</t>
  </si>
  <si>
    <t>A woman braids her hair in several braids.</t>
  </si>
  <si>
    <t>She ties them behind her head.</t>
  </si>
  <si>
    <t>v_veNIfCkd1Pw</t>
  </si>
  <si>
    <t>A gymnast performs uneven bars routine while people watch.</t>
  </si>
  <si>
    <t>The judge supervises the routine of the gymnast.</t>
  </si>
  <si>
    <t>Then, the gymnast spins holding the higher bar and jumps stand on the mat.</t>
  </si>
  <si>
    <t>v_VNR1j2U7gE4</t>
  </si>
  <si>
    <t>Two men are seen standing around a large room and hitting a tennis ball around with tennis rackets.</t>
  </si>
  <si>
    <t>The men hit the ball back and fourth to one another and run around the room at the same time.</t>
  </si>
  <si>
    <t>v_UAFIstY4a8Q</t>
  </si>
  <si>
    <t>We see two opening screens for poker at a casino.</t>
  </si>
  <si>
    <t>We see the dealer speak and deal cards.</t>
  </si>
  <si>
    <t>We see a large jackpot sign.</t>
  </si>
  <si>
    <t>We see the dealer shuffle the cards.</t>
  </si>
  <si>
    <t>We see the man peek at his cards.</t>
  </si>
  <si>
    <t>The man peeks at his cards again.</t>
  </si>
  <si>
    <t>The dealer turns over the players cards.</t>
  </si>
  <si>
    <t>We see the closing screen for the casino.</t>
  </si>
  <si>
    <t>v_CcMic7jNIuE</t>
  </si>
  <si>
    <t>A man in a blue shirt and shorts lifts a large weight over his head.</t>
  </si>
  <si>
    <t>Another man is filming it.</t>
  </si>
  <si>
    <t>The same man comes back and lifts the weight over his head again.</t>
  </si>
  <si>
    <t>He drops it on the ground and walks away.</t>
  </si>
  <si>
    <t>v_dLOwmXV_yTw</t>
  </si>
  <si>
    <t>Holiday gift wrapping made easy, this glass store give a tutorial on how to wrap awkward shaped gifts.</t>
  </si>
  <si>
    <t>You place the object on the wrapping paper to start.</t>
  </si>
  <si>
    <t>After, you fold the tip of the paper, you grab the scissor and cut strips.</t>
  </si>
  <si>
    <t>Then you use tape to hold it down and top it off with a bow.</t>
  </si>
  <si>
    <t>v_V2MlQezL1IE</t>
  </si>
  <si>
    <t>The video begins with a title screen.</t>
  </si>
  <si>
    <t>An older man is seen in a gym speaking to the camera while men play volleyball in the background.</t>
  </si>
  <si>
    <t>A simulated screen showing a volleyball court shows while he speaks.</t>
  </si>
  <si>
    <t>The video then comes back to the older man who is directing the players.</t>
  </si>
  <si>
    <t>The men begin tossing a volleyball back and forth.</t>
  </si>
  <si>
    <t>The video ends with a final title screen.</t>
  </si>
  <si>
    <t>v_MZz0OTfvjrY</t>
  </si>
  <si>
    <t>An Asian girl sitting at a desk describes arm wrestling.</t>
  </si>
  <si>
    <t>the girl introduces An Asian boy who sits across from the Asian girl.</t>
  </si>
  <si>
    <t>The girl and boy prepare to arm wrestle as a referee stands above the girl arm wrestler uses both arms and pushes in the wrong direction.</t>
  </si>
  <si>
    <t>The girl and boy arm wrestlers get into position again with the referee setting them up they begin wrestling.</t>
  </si>
  <si>
    <t>The girl wrestler tries to wrestle using both arms and her body but falls to the floor.</t>
  </si>
  <si>
    <t>v_Cp4a_gN4pDQ</t>
  </si>
  <si>
    <t>Three men are seen sitting behind a set of bongo drums playing quickly while several camera flashes are shown.</t>
  </si>
  <si>
    <t>The men continue playing again while laughing and smiling at one another.</t>
  </si>
  <si>
    <t>v_owflykBauOA</t>
  </si>
  <si>
    <t>A teenaged boy jumps on a skateboard, skating across a street and up a driveway before going back onto the street.</t>
  </si>
  <si>
    <t>He dismounts, talking as he kicks the board.</t>
  </si>
  <si>
    <t>He smiles at the camera, wearing sunglasses.</t>
  </si>
  <si>
    <t>v_Pr3iVnKpv0c</t>
  </si>
  <si>
    <t>A teen plays violin in a room.</t>
  </si>
  <si>
    <t>The teen holds the violin with the left hand moving the fingers and playing with the bow.</t>
  </si>
  <si>
    <t>Then, the teen end playing the violin.</t>
  </si>
  <si>
    <t>v_YPXeQVi39nU</t>
  </si>
  <si>
    <t>A man is on the beach with a bike.</t>
  </si>
  <si>
    <t>He sands down his surfboard.</t>
  </si>
  <si>
    <t>He goes surfing in the water.</t>
  </si>
  <si>
    <t>v_Mzojo2EeWu8</t>
  </si>
  <si>
    <t>People are playing a game of volleyball in the sand on the beach.</t>
  </si>
  <si>
    <t>People are playing drums on the beach.</t>
  </si>
  <si>
    <t>A woman in a yellow outfit is dancing.</t>
  </si>
  <si>
    <t>The team poses for a picture behind a banner.</t>
  </si>
  <si>
    <t>v_xH7qxBIz-tU</t>
  </si>
  <si>
    <t>A man in a suit shows up on the screen.</t>
  </si>
  <si>
    <t>The man begins to fight with another man.</t>
  </si>
  <si>
    <t>The man in the suit resets his stance.</t>
  </si>
  <si>
    <t>After fighting more the man in the suit resets his stance again.</t>
  </si>
  <si>
    <t>After the fighting continues another man shows up in the room and escorts the man in the suit out.</t>
  </si>
  <si>
    <t>v_dG_jxrIaK6w</t>
  </si>
  <si>
    <t>A man is seen speaking to the camera and pans it back to a piano.</t>
  </si>
  <si>
    <t>The man then begins playing the piano while the camera captures his movements.</t>
  </si>
  <si>
    <t>He continues to play and ends by turning off the camera and looking off into the distance.</t>
  </si>
  <si>
    <t>v_5c1zqvr3yKM</t>
  </si>
  <si>
    <t>A woman is holding a cat onto a table.</t>
  </si>
  <si>
    <t>She starts clipping the cats nails with a tool.</t>
  </si>
  <si>
    <t>She finishes and pets the cat.</t>
  </si>
  <si>
    <t>v_aNQRlsp5yv8</t>
  </si>
  <si>
    <t>A man and a boy make a sand castle in the beach.</t>
  </si>
  <si>
    <t>People approach to watch the castle and start to make small house next the sand castle.</t>
  </si>
  <si>
    <t>A little girl is doing more houses next to the castle.</t>
  </si>
  <si>
    <t>The man digs a hole in the center while the boy help extend the castle.</t>
  </si>
  <si>
    <t>v_QYb2ektVZek</t>
  </si>
  <si>
    <t>A woman walks on the street wearing a cap.</t>
  </si>
  <si>
    <t>A city is zoom in a map, then a girl performs water sky in a river pulled by a boat while flipping in the air.</t>
  </si>
  <si>
    <t>A road is leading to a water ski station, then a woman slides on ramps in the water holding a water ski rope.</t>
  </si>
  <si>
    <t>A man takes pictures to the girl.</t>
  </si>
  <si>
    <t>Then the girl change clothes and stand on a truck holding prizes.</t>
  </si>
  <si>
    <t>v_UeuZeIASSPw</t>
  </si>
  <si>
    <t>woman is standing in a racetrack and start running to make a long jump.</t>
  </si>
  <si>
    <t>man stands and marks the space where the woman jumped.</t>
  </si>
  <si>
    <t>the long jump is repeated and a new woman is running in the race track to make the long jump too and a man sits rise a whie flag.</t>
  </si>
  <si>
    <t>woman is in race trakc while other men are in the background and the woman makes the long jump in the competition and then a repetition is shown along the results.</t>
  </si>
  <si>
    <t>v_civPiYFf2vE</t>
  </si>
  <si>
    <t>We see a opening title screen.</t>
  </si>
  <si>
    <t>We see a man holding a vacuum and using the vacuum to hold two bowling balls.</t>
  </si>
  <si>
    <t>The man vacuums stairs and a car interior.</t>
  </si>
  <si>
    <t>We see the vacuum and the man vacuums the ceiling, couch, blinds and others.</t>
  </si>
  <si>
    <t>We see the man empty the canister and put the vacuum in a closet.</t>
  </si>
  <si>
    <t>v_Gg8Ha8OPtZ0</t>
  </si>
  <si>
    <t>There are two young boys, one dressed in a red shirt and the other in a striped shirt at a bowling alley.</t>
  </si>
  <si>
    <t>The boy in the red shirt bowls with a large green ball and hits a strike.</t>
  </si>
  <si>
    <t>He is ecstatic after his win and begins jumping with joy.</t>
  </si>
  <si>
    <t>v_Ccy8WD2k4L8</t>
  </si>
  <si>
    <t>A woman is dancing on a stage.</t>
  </si>
  <si>
    <t>She picks up a microphone and starts singing.</t>
  </si>
  <si>
    <t>She begins to play a drum set in front of her.</t>
  </si>
  <si>
    <t>v_6EN1q4TmPtI</t>
  </si>
  <si>
    <t>Young people carry inflatable boats and get in the water.</t>
  </si>
  <si>
    <t>Then, the young people lie face down on the boats and sail in the river.</t>
  </si>
  <si>
    <t>After, the men advance in the water moving the hand to help advance.</t>
  </si>
  <si>
    <t>v_-zp0Sban5Wk</t>
  </si>
  <si>
    <t>A woman is standing in her kitchen in front of a counter.</t>
  </si>
  <si>
    <t>She shows a plate of food, and several ingredients.</t>
  </si>
  <si>
    <t>She boils pasta in a pot, draining it.</t>
  </si>
  <si>
    <t>She then mixes cheese, orzo, and vegetables, creating an orzo pasta salad.</t>
  </si>
  <si>
    <t>She takes a bite of the food.</t>
  </si>
  <si>
    <t>v__HeqBIO9TgQ</t>
  </si>
  <si>
    <t>A lady and a child are washing dishes in the dirt.</t>
  </si>
  <si>
    <t>The little girl walks away.</t>
  </si>
  <si>
    <t>The lady rinses her dishes and puts them on a shelf.</t>
  </si>
  <si>
    <t>We see the boys standing behind the lady.</t>
  </si>
  <si>
    <t>We see the shelf and the dishes.</t>
  </si>
  <si>
    <t>We then see the closing credits screen.</t>
  </si>
  <si>
    <t>v_fMVKdmMVixQ</t>
  </si>
  <si>
    <t>A group of people stand behind a master yogi.</t>
  </si>
  <si>
    <t>He instructs them on position before leading them in yoga.</t>
  </si>
  <si>
    <t>They perform several moves, slowly and gracefully.</t>
  </si>
  <si>
    <t>v_nhW0O7NC0GM</t>
  </si>
  <si>
    <t>A man is seen sitting in the water in a kayak speaking to the camera.</t>
  </si>
  <si>
    <t>The man continues speaking while holding a paddle in his hands.</t>
  </si>
  <si>
    <t>He moves around a bit in the water and leads into him paddling along the water.</t>
  </si>
  <si>
    <t>v_520b6oA9s-U</t>
  </si>
  <si>
    <t>A woman explains how to make a cake in a kitchen, then she puts four eggs and sugar in a bowl and beat with an electric mixer and add more ingredients to form a wet mix.</t>
  </si>
  <si>
    <t>The woman puts solids on a big bowl and then add the wet mix, oil and milk, then mix with an spatula.</t>
  </si>
  <si>
    <t>After, the woman puts the mix in a greased baking pan and make a syrup with orange juice in a pot.</t>
  </si>
  <si>
    <t>Next, she put the baking cake on a dish and put syrup on top.</t>
  </si>
  <si>
    <t>v_nn__PD7zCcs</t>
  </si>
  <si>
    <t>An elderly man is standing in a small room and is plastering a ceiling where he starts in the middle of the room.</t>
  </si>
  <si>
    <t>He then moves to the left and begins to plaster in the corner of the ceiling.</t>
  </si>
  <si>
    <t>The man then stops plastering, and while still talking he faces towards the direction of the camera.</t>
  </si>
  <si>
    <t>v_RKsto2FmBzM</t>
  </si>
  <si>
    <t>A man with a orange shirt and black hat with glasses are outside standing in front of a green tree.</t>
  </si>
  <si>
    <t>A lawn is shown and then the man begins to mow his lawn.</t>
  </si>
  <si>
    <t>Once the man is finished he comes back to camera and starts talking.</t>
  </si>
  <si>
    <t>v_Sbgh1UQcG24</t>
  </si>
  <si>
    <t>A man standing or sitting behind a chopping board with vegetables on it equips a forearm-mounted knife.</t>
  </si>
  <si>
    <t>The man talks to the camera while pointing the knife at the camera.</t>
  </si>
  <si>
    <t>The man chops various types of items on the chopping board with the knife in sped up video.</t>
  </si>
  <si>
    <t>The man removes the knife and manipulates the containers of ingredients around him.</t>
  </si>
  <si>
    <t>The man re-equips the knife and resumes chopping.</t>
  </si>
  <si>
    <t>The man removes the knife and manipulates the ingredients around him again.</t>
  </si>
  <si>
    <t>The man re-equips the knife and resumes chopping again.</t>
  </si>
  <si>
    <t>The man removes the knife and cleans up his work area.</t>
  </si>
  <si>
    <t>v_DAd-joUpMIk</t>
  </si>
  <si>
    <t>A woman is getting ready too bungee jump from a cable car.</t>
  </si>
  <si>
    <t>She is surrounded by two men in yellow shirts.</t>
  </si>
  <si>
    <t>One of the men is holding a phone camera in his hand to video tape her as she jumps.</t>
  </si>
  <si>
    <t>The men begin singing to cheer and encourage her to jump.</t>
  </si>
  <si>
    <t>After much hesitation, the woman finally jumps and hangs from the rope.</t>
  </si>
  <si>
    <t>There is another woman in the cable car getting ready to jump down.</t>
  </si>
  <si>
    <t>There is a huge crowd standing on the bridge, looking up at the cable car.</t>
  </si>
  <si>
    <t>v_Hxb8D4W-G0I</t>
  </si>
  <si>
    <t>A boy sits on a rock before walking along a shoreline.</t>
  </si>
  <si>
    <t>The young man rides his skateboard down hills around a beach town.</t>
  </si>
  <si>
    <t>The young goes to a local restaurant for a meal.</t>
  </si>
  <si>
    <t>The harbor is seen and the young man walks down a train track at sunset.</t>
  </si>
  <si>
    <t>v_TdNiQsZNJTU</t>
  </si>
  <si>
    <t>A group of people are swimming in a large indoor pool.</t>
  </si>
  <si>
    <t>They swim laps back and forth as they go.</t>
  </si>
  <si>
    <t>They try to compete, getting to the other side the fastest.</t>
  </si>
  <si>
    <t>v_kDurnkUZCXs</t>
  </si>
  <si>
    <t>An individual uses a hose and a thin instrument to clean a shoe.</t>
  </si>
  <si>
    <t>The individual sets aside the shoe and turns over the other shoe.</t>
  </si>
  <si>
    <t>The individual uses the thin implement to dig between the patterns of the shoe bottom.</t>
  </si>
  <si>
    <t>v_SdbxPbXeQJ0</t>
  </si>
  <si>
    <t>A man is sitting on a couch drinking a beer.</t>
  </si>
  <si>
    <t>He stands up and walks out the door.</t>
  </si>
  <si>
    <t>Someone is walking into a kitchen.</t>
  </si>
  <si>
    <t>They open the fridge and get a beer.</t>
  </si>
  <si>
    <t>They bring it to the man in bed.</t>
  </si>
  <si>
    <t>He sits up and starts drinking the beer.</t>
  </si>
  <si>
    <t>A person picks up a cell phone on a bed.</t>
  </si>
  <si>
    <t>v_aa-bFJZmcko</t>
  </si>
  <si>
    <t>Various shots of a close up of a bike and a person pointing to the bike in various spots.</t>
  </si>
  <si>
    <t>The person continuously adjusts the bike and pans the camera all around it in the end.</t>
  </si>
  <si>
    <t>v_9riZioI46sM</t>
  </si>
  <si>
    <t>A boy is bent over in his bedroom.</t>
  </si>
  <si>
    <t>He is trying to put on a shoe.</t>
  </si>
  <si>
    <t>He sits down, playing with a broken lace.</t>
  </si>
  <si>
    <t>He continues working with the shoe lace until he can get it tied.</t>
  </si>
  <si>
    <t>v_aVL9ArQS_Ag</t>
  </si>
  <si>
    <t>A man holds a pair of boots while talking and showing dirty parts.</t>
  </si>
  <si>
    <t>Then, the man put a clothe inside the boot and brush the shaft of the boot thoroughly.</t>
  </si>
  <si>
    <t>v_gSeE_Ms-2TI</t>
  </si>
  <si>
    <t>A man is seen kneeling down on a roof and speaking to the camera.</t>
  </si>
  <si>
    <t>The camera pans all around the roof while the man is seen sitting and still speaking.</t>
  </si>
  <si>
    <t>The camera pans all around the roof and shows the man still sitting.</t>
  </si>
  <si>
    <t>v_4Gs7Xyn16QI</t>
  </si>
  <si>
    <t>A woman walks, then runs with a javelin.</t>
  </si>
  <si>
    <t>She throws it across the field, landing near her goal.</t>
  </si>
  <si>
    <t>A few other teammates also perform the act, then we see the final scoreboard.</t>
  </si>
  <si>
    <t>v_1UQYk6ohuRE</t>
  </si>
  <si>
    <t>A man talks on front a bush while other person stands on his right side.</t>
  </si>
  <si>
    <t>Then, the man cuts the dead flowers of the bush while talking.</t>
  </si>
  <si>
    <t>Also, the person cuts the dead flowers of the bush.</t>
  </si>
  <si>
    <t>v_VbP9fOp-Umg</t>
  </si>
  <si>
    <t>This young woman is dancing with the baton in her hands.</t>
  </si>
  <si>
    <t>She's in the middle of the street wearing a red tanktop, shorts, and flip flops.</t>
  </si>
  <si>
    <t>There are lots of people watching her while she does the batons outside.</t>
  </si>
  <si>
    <t>When she''s done, the music stops playing and a few people clap for her performance.</t>
  </si>
  <si>
    <t>v_wvlyV067oOU</t>
  </si>
  <si>
    <t>The young kids are bouncing on the big trampoline.</t>
  </si>
  <si>
    <t>The young boy fell on his back as he avoided the ball.</t>
  </si>
  <si>
    <t>The kids are wearing helmet as they threw the ball and other side of the kids dodge the ball.</t>
  </si>
  <si>
    <t>Two adult people went up to the trampoline to watch the kids.</t>
  </si>
  <si>
    <t>v_CtA4VynDEkI</t>
  </si>
  <si>
    <t>A bunch of young children are shown playing in a park playground.</t>
  </si>
  <si>
    <t>A young boy climbs back and forth on the monkey bars.</t>
  </si>
  <si>
    <t>Another child then joins him on the bars as well.</t>
  </si>
  <si>
    <t>v_kDz85hnSKdo</t>
  </si>
  <si>
    <t>A man in a yellow life vest is sitting in a canoe.</t>
  </si>
  <si>
    <t>He is paddling from side to side.</t>
  </si>
  <si>
    <t>The camera goes underwater next to the canoe.</t>
  </si>
  <si>
    <t>v_DpI9JtaMtec</t>
  </si>
  <si>
    <t>Sandwiches are displayed in a slideshow.</t>
  </si>
  <si>
    <t>A person spreads mustard sauce on slices of bread, then the person put on top Swiss cheese, jam , sauerkraut and a slice of bread on top.</t>
  </si>
  <si>
    <t>After, the person spreads butter on the sandwiches and put them on a hot surface, then the person cuts the sandwiches in half.</t>
  </si>
  <si>
    <t>v_aPXqTfbtgYI</t>
  </si>
  <si>
    <t>A white middle aged man is standing in a crowd of people playing a saxophone.</t>
  </si>
  <si>
    <t>As he continues,the video pans out and several other people join him in playing the saxophone and it is revealed that someone else is pressing the buttons for the man as he is blowing into the instrument.</t>
  </si>
  <si>
    <t>Then the camera pans back out and the crowd begins clapping for the audience.</t>
  </si>
  <si>
    <t>v_U0Q10ZdqnJo</t>
  </si>
  <si>
    <t>There's a woman in a white shirt in an indoor tennis court hitting balls across the court.</t>
  </si>
  <si>
    <t>She bounces the ball on the ground and then serves the ball across the net.</t>
  </si>
  <si>
    <t>v_rcpsp52nguY</t>
  </si>
  <si>
    <t>A man walks across some snow carrying a large snow shovel.</t>
  </si>
  <si>
    <t>The man shovels a long path of snow.</t>
  </si>
  <si>
    <t>The man turns around and shovels a long path of snow again.</t>
  </si>
  <si>
    <t>The man shovels snow for a third time.</t>
  </si>
  <si>
    <t>The man shovels a really long path of snow at a different location.</t>
  </si>
  <si>
    <t>The man turns around and shovels a second path of snow, right next to the recent shoveled snow path.</t>
  </si>
  <si>
    <t>v_XEqijKYIJNg</t>
  </si>
  <si>
    <t>A woman shows a dish with vegetables and display the calories, the ingredients and the preparation of a dish.</t>
  </si>
  <si>
    <t>Then, the woman puts vegetables on a bowl, then she fry a leave and put it in the bowl.</t>
  </si>
  <si>
    <t>Then, the woman mix the vegetables and serves it on a dish.</t>
  </si>
  <si>
    <t>v_QX3pwZOJbRs</t>
  </si>
  <si>
    <t>Two women attempt to wash two dogs.</t>
  </si>
  <si>
    <t>They get in the tub with the dogs and do shampoo, soap, and then rinse the dogs.</t>
  </si>
  <si>
    <t>They dry the dogs and the dogs are much happier.</t>
  </si>
  <si>
    <t>v_7n9It_jjaBg</t>
  </si>
  <si>
    <t>A man stands on a bridge guardrail with a harness while another man holds him.</t>
  </si>
  <si>
    <t>The man jumps off the bridge to the river below.</t>
  </si>
  <si>
    <t>The man swings back and forth over the rapids.</t>
  </si>
  <si>
    <t>v_f0CVl853HUg</t>
  </si>
  <si>
    <t>A woman wearing green with red hair is scrubbing some clothes vigorously.</t>
  </si>
  <si>
    <t>The water and soap is splashing off of it on to the wall/ She picks up the piece of cloth and hits it against the stand.</t>
  </si>
  <si>
    <t>Then she gets some water from a buckets and pours it over.</t>
  </si>
  <si>
    <t>She squeezes it out and then put the cloth into a bucket of soapy water.</t>
  </si>
  <si>
    <t>v_SIX51vtOOek</t>
  </si>
  <si>
    <t>There's an open land area with greenery around and grassy surface area.</t>
  </si>
  <si>
    <t>There's a lawn trimmer lying on the ground near some over grown patches of grass.</t>
  </si>
  <si>
    <t>A person wearing gray pants and gloves using a lawn trimmer to trim the patches of grass.</t>
  </si>
  <si>
    <t>He is trimming the lawn in a back and forth motion, moving the trimmer horizontally across the grass.</t>
  </si>
  <si>
    <t>v_IKhLjVIYisg</t>
  </si>
  <si>
    <t>A close up is shown of a cracked asphalt road.</t>
  </si>
  <si>
    <t>Then we see a man walking, carrying a pair of inline skates.</t>
  </si>
  <si>
    <t>The man performs stunts, going down staircases and riding medians, doing flips and riding backwards.</t>
  </si>
  <si>
    <t>When he is done, he rides away.</t>
  </si>
  <si>
    <t>v_nQVJyUX8fHw</t>
  </si>
  <si>
    <t>A child plays tennis in a court returning balls while a boy stands next to her.</t>
  </si>
  <si>
    <t>The boy left the court while the child continues returning balls, then the boy returns.</t>
  </si>
  <si>
    <t>Then, the boy left again the court, and then he returns with a racket and a ball.</t>
  </si>
  <si>
    <t>The child serves the ball, and the boy helps stands next her watching.</t>
  </si>
  <si>
    <t>v_3k5dJSs2zkg</t>
  </si>
  <si>
    <t>A man is seen speaking to the camera and leads into several shots of people speaking and wearing heels.</t>
  </si>
  <si>
    <t>The women walk on the ground down a street while many watch and then all run down the road in heels.</t>
  </si>
  <si>
    <t>v_im6KJzbZzKE</t>
  </si>
  <si>
    <t>An athletic woman is seen standing before a track and begins running down the side.</t>
  </si>
  <si>
    <t>She runs and jumps into a sand pit while a man records her score.</t>
  </si>
  <si>
    <t>Several more clips are shown of women running down the track and jumping into the pit.</t>
  </si>
  <si>
    <t>v_lM3uGxHWZBA</t>
  </si>
  <si>
    <t>Several people are seen running around a field playing a game together.</t>
  </si>
  <si>
    <t>The players cheer and speak to one another as well as showing more highlights of the game.</t>
  </si>
  <si>
    <t>More clips are shown of people walking away and playing the game.</t>
  </si>
  <si>
    <t>v_38nAdby_fTw</t>
  </si>
  <si>
    <t>A person rides a dirt bike over a hill or dirt pile with help from an incline structure.</t>
  </si>
  <si>
    <t>A person stands, shakes their head and leaves on a dirt bike.</t>
  </si>
  <si>
    <t>Two guys sit on their dirt bike and discuss.</t>
  </si>
  <si>
    <t>One guy uses his rear tire to cause dirt to spray.</t>
  </si>
  <si>
    <t>v_swId_MFHywI</t>
  </si>
  <si>
    <t>A black book called Windmills is on the screen.</t>
  </si>
  <si>
    <t>The camera zooms into a dancer.</t>
  </si>
  <si>
    <t>VincaniTV comes up on the screen.</t>
  </si>
  <si>
    <t>the instructor is talking.</t>
  </si>
  <si>
    <t>The instructor is sitting on the floor introducing the move.</t>
  </si>
  <si>
    <t>A shot of the move is shown, then the instructor shows how to do it.</t>
  </si>
  <si>
    <t>He pushes himself up on his hand and does another move.</t>
  </si>
  <si>
    <t>He is on one knee to show another move.</t>
  </si>
  <si>
    <t>The screen goes to another shot of the same move but faster this time.</t>
  </si>
  <si>
    <t>The instructor is standing and talking.</t>
  </si>
  <si>
    <t>The screen ends with a VincaniTV promo.</t>
  </si>
  <si>
    <t>v_TnOdqLQPQA4</t>
  </si>
  <si>
    <t>A woman is standing in a camp site.</t>
  </si>
  <si>
    <t>She lights matches and throws them into a pile of wood.</t>
  </si>
  <si>
    <t>v_c6BcS5NdI6E</t>
  </si>
  <si>
    <t>A large group of people are seen playing a game of volley ball with one another while moving around the beach.</t>
  </si>
  <si>
    <t>Several shots are shown of the people wandering around one another playing the game back and fourth over the net and helping one another.</t>
  </si>
  <si>
    <t>v_-SYV9IB-36s</t>
  </si>
  <si>
    <t>An ad for Howcast is shown.</t>
  </si>
  <si>
    <t>It is followed by a woman in a chair who smiles for the camera, and a woman with braided hair who is speaking.</t>
  </si>
  <si>
    <t>The woman in red applies various makeups to the seated woman, explaining the process as she goes.</t>
  </si>
  <si>
    <t>When she is finished, she speaks again to the camera.</t>
  </si>
  <si>
    <t>v_AZaSkc1gnhY</t>
  </si>
  <si>
    <t>A man drinks coffee and then plays guitar indoor.</t>
  </si>
  <si>
    <t>The man makes a pause and takes his coffee.</t>
  </si>
  <si>
    <t>Then, the man hols a cup of coffee and a guitar in the street.</t>
  </si>
  <si>
    <t>After, the man plays guitar indoor on front an audience.</t>
  </si>
  <si>
    <t>Next, the man plays harmonica and guitar at the same time.</t>
  </si>
  <si>
    <t>v_assDWZW6zTA</t>
  </si>
  <si>
    <t>A boy is seen speaking to the camera holding two basketballs and leads into him holding them up to his face.</t>
  </si>
  <si>
    <t>The boy then moves up and down the court while dribbling the balls and shoots a basket off in the end.</t>
  </si>
  <si>
    <t>v_5WJL9eJ8YDw</t>
  </si>
  <si>
    <t>An intro leads into several clips of people standing in a circle and throwing an object off into the distance and ends by walking away.</t>
  </si>
  <si>
    <t>Several more people are seen steeping up into the circle throwing objects off into the distance and cheering with one another.</t>
  </si>
  <si>
    <t>v_PJdE8Ui2eno</t>
  </si>
  <si>
    <t>A man is seen holding onto a rope and speaking to the camera.</t>
  </si>
  <si>
    <t>He holds up his belt while speaking to the camera and begins climbing up the wall.</t>
  </si>
  <si>
    <t>The man climbs all the way up the wall and ends by looking off from the camera.</t>
  </si>
  <si>
    <t>v_sHRajZw7A8g</t>
  </si>
  <si>
    <t>We see a blue opening screen with a drink.</t>
  </si>
  <si>
    <t>We see a lady mixing drinks behind a bar.</t>
  </si>
  <si>
    <t>The lady add ice and three shots liquor to a glass.</t>
  </si>
  <si>
    <t>The lady pours something red in the glass.</t>
  </si>
  <si>
    <t>The lady adds something form the dispenser and a can.</t>
  </si>
  <si>
    <t>The lady stirs then pushes the drink forward.</t>
  </si>
  <si>
    <t>We see a red closing screen and a long black screen.</t>
  </si>
  <si>
    <t>v_3Edxa-t4MxA</t>
  </si>
  <si>
    <t>Various shots of trophies are shown with girls interviewing the camera as well as performing gymnastics moves.</t>
  </si>
  <si>
    <t>An instructor then shows the girls how to perform a stunt properly and has another girl climb on top of their hands.</t>
  </si>
  <si>
    <t>The girl continuously perform stunts with the instructors help and another girl is shown speaking to the camera.</t>
  </si>
  <si>
    <t>v_EWt03pUigc0</t>
  </si>
  <si>
    <t>There's a news reporter dressed in a pink floral dress and a white jacket giving an update on sports news.</t>
  </si>
  <si>
    <t>She shows events of the London Paralympics.</t>
  </si>
  <si>
    <t>She is showing the viewers the different events such as shoot put, swimming and running and the gold medals that were won in these events.</t>
  </si>
  <si>
    <t>While the news is being telecast, there are captions on the bottom about current events.</t>
  </si>
  <si>
    <t>She also shows the viewers all the medals that are won by all countries that participated in the Paralympics.</t>
  </si>
  <si>
    <t>v_u10c6Nx4K0A</t>
  </si>
  <si>
    <t>A woman runs down a dirt path.</t>
  </si>
  <si>
    <t>She uses a pole to vault over a high beam.</t>
  </si>
  <si>
    <t>v_j6S6eWSeGr0</t>
  </si>
  <si>
    <t>A person is shown in fast motion spraying liquid all over a fence in a back yard.</t>
  </si>
  <si>
    <t>The person continues spraying and ends with the camera fading to black.</t>
  </si>
  <si>
    <t>v_xKDHIyd_tWA</t>
  </si>
  <si>
    <t>The video begins with a title slide.</t>
  </si>
  <si>
    <t>A woman and child are in a park with a jump rope.</t>
  </si>
  <si>
    <t>The woman begins to demonstrate how to use the jump rope while the child attempts to copy her.</t>
  </si>
  <si>
    <t>At one point, another woman in the background runs across the screen while jump roping.</t>
  </si>
  <si>
    <t>The video ends with both women speaking to the camera and a final title sequence.</t>
  </si>
  <si>
    <t>v_-v9YLmGCYO0</t>
  </si>
  <si>
    <t>A baby is sitting in a swing.</t>
  </si>
  <si>
    <t>The baby is laughing and shaking its feet.</t>
  </si>
  <si>
    <t>The baby turns to the side of the swing.</t>
  </si>
  <si>
    <t>v_M6O-QNDUdwU</t>
  </si>
  <si>
    <t>Several swimmers walk past each other, shaking hands.</t>
  </si>
  <si>
    <t>They gather in the pool, then engage in a game of water polo.</t>
  </si>
  <si>
    <t>They hit the ball back and forth, trying to get it into the net.</t>
  </si>
  <si>
    <t>v_8cKjwHtCGU0</t>
  </si>
  <si>
    <t>A man in a red shirt is talking to the camera.</t>
  </si>
  <si>
    <t>He begins to hit a ball against a wall in front of him.</t>
  </si>
  <si>
    <t>He stops and walks towards the camera.</t>
  </si>
  <si>
    <t>v_sX8Rr1o4XWM</t>
  </si>
  <si>
    <t>A close up of a sign is shown followed by a person dipping paint.</t>
  </si>
  <si>
    <t>The person is then seen spreading paint all around the area while another smiles to the camera.</t>
  </si>
  <si>
    <t>The men continue to lay plaster down on the walls.</t>
  </si>
  <si>
    <t>v_J65l9OEP3pI</t>
  </si>
  <si>
    <t>A man is cleaning snow that has fallen on his car.</t>
  </si>
  <si>
    <t>He is standing on the road where his car is parked.</t>
  </si>
  <si>
    <t>He clears off snow from the top of his car by scraping it.</t>
  </si>
  <si>
    <t>He then cleans the sides of his car.</t>
  </si>
  <si>
    <t>He gives someone a thumbs up as he cleans the car.</t>
  </si>
  <si>
    <t>He then moves to the front of the car to clean the windshield.</t>
  </si>
  <si>
    <t>v_1D7iddqIIhM</t>
  </si>
  <si>
    <t>A close up of a hookah is seen that leads to another man.</t>
  </si>
  <si>
    <t>The man grabs the hose and takes a hit from the hookah.</t>
  </si>
  <si>
    <t>The man then blows smoke into the camera lens.</t>
  </si>
  <si>
    <t>v_oYH-XLQzMxU</t>
  </si>
  <si>
    <t>The man bounces the ball and hits it with his racket.</t>
  </si>
  <si>
    <t>The man bounces the ball and hits it across the court.</t>
  </si>
  <si>
    <t>The man then bounces and hits one more ball.</t>
  </si>
  <si>
    <t>v_hsUfo_jHQ60</t>
  </si>
  <si>
    <t>An athletic man is seen running through a street in slow motion while the camera moves around his body.</t>
  </si>
  <si>
    <t>The video then freezes on his feet to show text and ends with him holding his arms up into the air.</t>
  </si>
  <si>
    <t>v_YddPa1ujWuk</t>
  </si>
  <si>
    <t>A woman is seen speaking to the camera while holding up a box and newspaper.</t>
  </si>
  <si>
    <t>The woman then begins cutting the news paper and place the box in the middle.</t>
  </si>
  <si>
    <t>The women wraps up the box with the news paper and tapes it down on the sides.</t>
  </si>
  <si>
    <t>v_20i6YGSnt-c</t>
  </si>
  <si>
    <t>A man is seen speaking to the camera and begins shaving off his facial hair.</t>
  </si>
  <si>
    <t>The man continues shaving and shows off his before and after pictures.</t>
  </si>
  <si>
    <t>v_UeMcMSTO-Yg</t>
  </si>
  <si>
    <t>A woman is seen speaking to the camera and showing off various tools to the camera.</t>
  </si>
  <si>
    <t>She explains how each tool works for cleaning a horse and ends by smiling to the camera.</t>
  </si>
  <si>
    <t>v_II3AiNrQ1uA</t>
  </si>
  <si>
    <t>A text introduction describing the event is shown.</t>
  </si>
  <si>
    <t>A woman performs gymnastics on uneven bars while a number of spectators watch.</t>
  </si>
  <si>
    <t>The woman dismounts from the bars.</t>
  </si>
  <si>
    <t>v_nEAypudaSFs</t>
  </si>
  <si>
    <t>There's a young man in a red shirt and blue beanie hat playing the harmonica.</t>
  </si>
  <si>
    <t>He plays rhythmically as he moves the harmonica rapidly through his mouth to play a fast tune.</t>
  </si>
  <si>
    <t>He continues playing the tune as he closes his eyes in deep concentration.</t>
  </si>
  <si>
    <t>He moves the harmonica side ways as he continues playing till he comes to an end.</t>
  </si>
  <si>
    <t>v__AdJtwjeITM</t>
  </si>
  <si>
    <t>A group of older men walk into a ice rink.</t>
  </si>
  <si>
    <t>The group of men gather and get ready to play curling.</t>
  </si>
  <si>
    <t>A younger man and an older man work as a team to move the curl.</t>
  </si>
  <si>
    <t>A older gentleman smiles at the camera while holding his curling stick over his head.</t>
  </si>
  <si>
    <t>The group of men then start to display number and have a laugh.</t>
  </si>
  <si>
    <t>v_2DtotlMv9Gg</t>
  </si>
  <si>
    <t>People are playing lacrosse on a field.</t>
  </si>
  <si>
    <t>They score a point into the net.</t>
  </si>
  <si>
    <t>Two men high five on the field.</t>
  </si>
  <si>
    <t>v_HGDatODUecQ</t>
  </si>
  <si>
    <t>A close up of water rapids is shown followed by a group of people attempting to paddle in a raft.</t>
  </si>
  <si>
    <t>The people riding all down the river while sticking their paddle up at one point all together.</t>
  </si>
  <si>
    <t>v_lhH3qdh8n3g</t>
  </si>
  <si>
    <t>There are about ten or more people dressed in athletic wear doing a synchronized form of exercise.</t>
  </si>
  <si>
    <t>They are doing the steps rhythmically to the beats of a song that is played in the fitness center.</t>
  </si>
  <si>
    <t>There are disco lights flashing in the fitness center.</t>
  </si>
  <si>
    <t>They continue to do the steps as they clap their hands in between the steps.</t>
  </si>
  <si>
    <t>They also step on and step off of a step stool as they continue their steps.</t>
  </si>
  <si>
    <t>v_bx5ZHOUG-nI</t>
  </si>
  <si>
    <t>A person is seen bending down over a bucket filled with water and washing clothes in the bucket.</t>
  </si>
  <si>
    <t>The boy continues washing when another person steps in to help wash the clothes and speak to the camera.</t>
  </si>
  <si>
    <t>v_uDNLf3ty9ao</t>
  </si>
  <si>
    <t>A man in a brown sweater is sitting down and talking.</t>
  </si>
  <si>
    <t>A woman in a black and white sweater sits behind him.</t>
  </si>
  <si>
    <t>She takes off her sweater and puts it on the chair behind him.</t>
  </si>
  <si>
    <t>A boy in a blue shirt hits behind him.</t>
  </si>
  <si>
    <t>v_9E-FFtZl9qM</t>
  </si>
  <si>
    <t>A woman is seen speaking to the camera and leading into clips of her running.</t>
  </si>
  <si>
    <t>Close ups of her feet are shown as well as more clips of her speaking and running.</t>
  </si>
  <si>
    <t>She's shown packing up a car and showing off her tools as well as her gear while still running on the road.</t>
  </si>
  <si>
    <t>v_lwqSz2Q2L-E</t>
  </si>
  <si>
    <t>A woman is seen sitting on a stool smoking a cigarette and looking off into the distance.</t>
  </si>
  <si>
    <t>The woman blows smoke into the air as the camera captures her from several angles continuously smoking.</t>
  </si>
  <si>
    <t>v_5JkN8t5k0jU</t>
  </si>
  <si>
    <t>An intro of titles eventually leads to an athlete holding a large amount of weights over his head.</t>
  </si>
  <si>
    <t>The same man does another lit with his weights while another man watches in the background.</t>
  </si>
  <si>
    <t>He throws the weights down and throws his arms up in the air to celebrate.</t>
  </si>
  <si>
    <t>v_LXHc1X1pKEM</t>
  </si>
  <si>
    <t>A woman with short hair and a white tank top is sitting in her bathroom talking about a cyclist who is going to shave his legs.</t>
  </si>
  <si>
    <t>She stands up and shows the cycling team printed on her tank top.</t>
  </si>
  <si>
    <t>She shows the viewers the type of razor she will be using.</t>
  </si>
  <si>
    <t>There's a young man sitting on the bath tub along with the woman.</t>
  </si>
  <si>
    <t>He washes his legs with baby soap and water and begins shaving his legs.</t>
  </si>
  <si>
    <t>Then the woman takes the razor and helps her husband shave his legs.</t>
  </si>
  <si>
    <t>v__cLb2ZRS_4M</t>
  </si>
  <si>
    <t>many guys in all black stands on a grassy area with music instruments and does a sync performance in front of other people sitting on the grass watching.</t>
  </si>
  <si>
    <t>the guys play the drums and do movements back and forth as they play the drums that is connected to there body.</t>
  </si>
  <si>
    <t>the guys do hand movements and stomps there feet lightly as part of the performance.</t>
  </si>
  <si>
    <t>v_P6z57_sYXm8</t>
  </si>
  <si>
    <t>Windsurfer turns his sail around in a 360.</t>
  </si>
  <si>
    <t>Windsurfer rides the waves slowly forward.</t>
  </si>
  <si>
    <t>Man walks in front of the camera.</t>
  </si>
  <si>
    <t>Windsurfer spins his sail around quickly.</t>
  </si>
  <si>
    <t>Windsurfer falls into the ocean.</t>
  </si>
  <si>
    <t>v_mb5CLhyHMvU</t>
  </si>
  <si>
    <t>People are skiing down a snowy slope very slowly and gracefully.</t>
  </si>
  <si>
    <t>A little boy is bending down trying to catch more speed, he is pretty good at skiing.</t>
  </si>
  <si>
    <t>They continue forward very slowly taking their time and enjoying the experience.</t>
  </si>
  <si>
    <t>they start to slow down a bit almost stopping but then they build back up and continue on.</t>
  </si>
  <si>
    <t>v_XztphLXwZjU</t>
  </si>
  <si>
    <t>A man is indoors, quickly placing wood tiles onto a floor as the camera plays extremely fast.</t>
  </si>
  <si>
    <t>He uses a leveler and cutter and completes the room with grout before walking out.</t>
  </si>
  <si>
    <t>v_KfP205pf7PU</t>
  </si>
  <si>
    <t>Cars drive by a sign by the road.</t>
  </si>
  <si>
    <t>Several women are shown around a table preparing to knit.</t>
  </si>
  <si>
    <t>A woman talks to the camera in an interview style.</t>
  </si>
  <si>
    <t>The women around the table engage in knitting-related activities.</t>
  </si>
  <si>
    <t>A bus is shown parked outside the building.</t>
  </si>
  <si>
    <t>The woman from the interview scene talks to the camera again.</t>
  </si>
  <si>
    <t>The women at the table are shown knitting.</t>
  </si>
  <si>
    <t>Several exterior shots of the building's locale are shown.</t>
  </si>
  <si>
    <t>The women at the table are shown knitting again.</t>
  </si>
  <si>
    <t>v_bhAVJ2uUw0U</t>
  </si>
  <si>
    <t>A person is seen wiping off the face of a baby with a rag while the baby sticks it's tongue out.</t>
  </si>
  <si>
    <t>the woman continues cleaning the baby and is shown smiling to the camera and waving.</t>
  </si>
  <si>
    <t>v_c1T9LbXOVUs</t>
  </si>
  <si>
    <t>Two men are seen playing rock paper scissors with one another and hitting the person who loses.</t>
  </si>
  <si>
    <t>The men continue playing this game back and fourth and rub each other's heads while others watch.</t>
  </si>
  <si>
    <t>v_Q48_MDiak-w</t>
  </si>
  <si>
    <t>An athlete performs hammer Throw by spins a heavy ball several times with his body.</t>
  </si>
  <si>
    <t>Then, the athlete throws the ball to the field.</t>
  </si>
  <si>
    <t>v_Sx7YgFLnwfM</t>
  </si>
  <si>
    <t>A woman is sitting in a chair talking.</t>
  </si>
  <si>
    <t>A persons hand is playing rock paper scissors with a robot.</t>
  </si>
  <si>
    <t>A man in a white shirt is talking to the woman.</t>
  </si>
  <si>
    <t>v_0_9_HIvxNMw</t>
  </si>
  <si>
    <t>A group of people are dressed in ski gear, riding in a lift.</t>
  </si>
  <si>
    <t>They are seen going down hills, skiing and throwing snow into the air.</t>
  </si>
  <si>
    <t>v_bqv3vCT0T5s</t>
  </si>
  <si>
    <t>A 2011 dance competition in Israel is shown with a woman in gold belly dancing solo with neon lights behind her.</t>
  </si>
  <si>
    <t>She turns her back to the audience to show different angles of her moves.</t>
  </si>
  <si>
    <t>Finally, she artfully collapses on the floor as the song ends.</t>
  </si>
  <si>
    <t>v_z5bc9KKiAGI</t>
  </si>
  <si>
    <t>A boy is standing behind a counter.</t>
  </si>
  <si>
    <t>He is throwing darts at a wall.</t>
  </si>
  <si>
    <t>A woman is standing next to him.</t>
  </si>
  <si>
    <t>v_SCM5-6hQCGY</t>
  </si>
  <si>
    <t>The little girl who's wearing a rainbow sweater is shown sitting in the sand making a huge hill of sand.</t>
  </si>
  <si>
    <t>Next she looks up and says something.</t>
  </si>
  <si>
    <t>she then keeps adding more sand to the hill.</t>
  </si>
  <si>
    <t>then a little boy joins her and just touches the hill, but walks away.</t>
  </si>
  <si>
    <t>He then comes back again to point at the hill.</t>
  </si>
  <si>
    <t>v_SlgBcsCTy58</t>
  </si>
  <si>
    <t>A woman is seen speaking to the camera while transitioning into shots of her grooming a dog.</t>
  </si>
  <si>
    <t>The girl is seen washing the dogs as well as blow drying them and trimming their fur.</t>
  </si>
  <si>
    <t>She continues speaking while showing off her clean dogs and others walking on the side.</t>
  </si>
  <si>
    <t>v_wohWWAB47KM</t>
  </si>
  <si>
    <t>A man is water skiing behind a boat on a lake.</t>
  </si>
  <si>
    <t>Some people show up on the screen who are watching and recording.</t>
  </si>
  <si>
    <t>The water skier tries to do a flip and ends up crashing into the water.</t>
  </si>
  <si>
    <t>v_BUk-fR6TAnk</t>
  </si>
  <si>
    <t>A blue page with white writing explains that the video is about how to wrap a present.</t>
  </si>
  <si>
    <t>Scissors and different types of tape are shown, as well as a roll of wrapping paper.</t>
  </si>
  <si>
    <t>A woman is on the floor with a box.</t>
  </si>
  <si>
    <t>She demonstrates how to cut and fold the paper around the present.</t>
  </si>
  <si>
    <t>She tapes the present shut.</t>
  </si>
  <si>
    <t>She then places a translucent bow on the gift.</t>
  </si>
  <si>
    <t>v_e6Dhfn1d3ic</t>
  </si>
  <si>
    <t>Men are acting silly in a bathroom.</t>
  </si>
  <si>
    <t>One man shows off his legs to the camera.</t>
  </si>
  <si>
    <t>Two men are dancing and shaving their legs near the sink.</t>
  </si>
  <si>
    <t>Another man joins the men near the sink to help with the shaving.</t>
  </si>
  <si>
    <t>v_zTnRo6yABtg</t>
  </si>
  <si>
    <t>A man walks onto a field in front of his dog.</t>
  </si>
  <si>
    <t>He throws a frisbee, and the dog catches it.</t>
  </si>
  <si>
    <t>He does several tricks with the frisbees and the dog.</t>
  </si>
  <si>
    <t>v_FUrLg7FETWo</t>
  </si>
  <si>
    <t>A woman is seen swinging an ax down on a log while another man watches on the side.</t>
  </si>
  <si>
    <t>Another woman takes off the log and the girl prepares to swing.</t>
  </si>
  <si>
    <t>She swings the ax again and looks back smiling to the camera.</t>
  </si>
  <si>
    <t>v_k_gjsTv-jy8</t>
  </si>
  <si>
    <t>A person is standing behind a counter putting food onto a tray.</t>
  </si>
  <si>
    <t>They put the tray into an oven.</t>
  </si>
  <si>
    <t>They take the tray out of the oven and lift cookies onto a plate.</t>
  </si>
  <si>
    <t>They wash off the mat in the sink.</t>
  </si>
  <si>
    <t>v_0JCM9uzZafU</t>
  </si>
  <si>
    <t>We see a ladies hand on a magazine.</t>
  </si>
  <si>
    <t>The lady cuts slices of an article.</t>
  </si>
  <si>
    <t>She puts the paper in water and lays then on her white nails, she peels the paper off and the letters stick.</t>
  </si>
  <si>
    <t>The lady puts clear polish over the nails.</t>
  </si>
  <si>
    <t>The lady sticks rhinestones to her nails.</t>
  </si>
  <si>
    <t>The lady puts clear polish over the decorated nails.</t>
  </si>
  <si>
    <t>We see the lady turning pages in the magazine.</t>
  </si>
  <si>
    <t>We see the white ending screen.</t>
  </si>
  <si>
    <t>v_y8OQkNk8WpY</t>
  </si>
  <si>
    <t>People are sliding down the ice.</t>
  </si>
  <si>
    <t>They are holding a curling stick and a ball.</t>
  </si>
  <si>
    <t>Two men in white shirts run next to the person sliding.</t>
  </si>
  <si>
    <t>v_NbTlXQLScRo</t>
  </si>
  <si>
    <t>A man is seen speaking to the camera followed by him laying several ingredients out and boiling them in some water.</t>
  </si>
  <si>
    <t>He then pours more food items under water and into a pot filled with water.</t>
  </si>
  <si>
    <t>v_iNhoeDq_EBQ</t>
  </si>
  <si>
    <t>A large group of people are seen standing on a mat and performing a routine with one another.</t>
  </si>
  <si>
    <t>The people do various flips and tricks around the mat and end with a pose and waving to the audience.</t>
  </si>
  <si>
    <t>v_Jd3D2d-RwL0</t>
  </si>
  <si>
    <t>A close up of a leaf blower is shown followed by the camera looking around the area.</t>
  </si>
  <si>
    <t>A hand is then seen starting the machine and pushing the machine around the yard.</t>
  </si>
  <si>
    <t>The man turns off the machine and looks around the front while pointing to the top of the machine.</t>
  </si>
  <si>
    <t>The camera pans around the machine and the man is shown giving a thumbs up.</t>
  </si>
  <si>
    <t>v_sb0r71oGs3M</t>
  </si>
  <si>
    <t>A lady sits on a couch and discusses.</t>
  </si>
  <si>
    <t>The lady sails a boat.</t>
  </si>
  <si>
    <t>The lady goes water boarding.</t>
  </si>
  <si>
    <t>v_zf4MXHeiSXs</t>
  </si>
  <si>
    <t>People rides horses on an unpaved road passing for the woods and on front the ocean.</t>
  </si>
  <si>
    <t>People arrive to a place and gets off the horse and then continue riding passing woods, river, the ocean and beautiful landscapes.</t>
  </si>
  <si>
    <t>Then, people arrive to a camping place, then they running on front the ocean.</t>
  </si>
  <si>
    <t>v_N3WVKg7Q2io</t>
  </si>
  <si>
    <t>Some boys are in the pools playing with volleyballs.</t>
  </si>
  <si>
    <t>There is a large swimming team swimming and throwing the ball around to their team mates, scoring.</t>
  </si>
  <si>
    <t>Then, there is a team on the filed playing flag football.</t>
  </si>
  <si>
    <t>They are running around trying to score for their team.</t>
  </si>
  <si>
    <t>v_ub0pmYL8i5s</t>
  </si>
  <si>
    <t>A silver sink is shown and a black hose with a scrubber on the bottom of it begins cleaning the sink with steam coming out of it.</t>
  </si>
  <si>
    <t>Once completed,the person then takes a white rag and goes into the sink and washes away the moisture from the steam.</t>
  </si>
  <si>
    <t>v_k42CKebiSLA</t>
  </si>
  <si>
    <t>A man travels to Japan to study how to be a sumo wrestler.</t>
  </si>
  <si>
    <t>The man gets training and learns the techniques of sumo.</t>
  </si>
  <si>
    <t>v_BoKEPRjFydk</t>
  </si>
  <si>
    <t>There are several athletes doing discus throw in an outdoor ring.</t>
  </si>
  <si>
    <t>The first athlete who is dressed in a red and white shirt begins the discus throw using a one and a half kilograms discus.</t>
  </si>
  <si>
    <t>He spins and rotates on the spot and throws the discus.</t>
  </si>
  <si>
    <t>Then another athlete throws the discus but in unsuccessful.</t>
  </si>
  <si>
    <t>The athlete in blue then makes his attempt at the discus throw as he swings and spins to throw the disc.</t>
  </si>
  <si>
    <t>Then another athlete who has won third place throws the discus successfully.</t>
  </si>
  <si>
    <t>Some more athletes come to the ring and throw the discus.</t>
  </si>
  <si>
    <t>The stadium bleachers are not filled with sufficient spectators due to security reasons.</t>
  </si>
  <si>
    <t>v_QYU2srH753Q</t>
  </si>
  <si>
    <t>The credits of the clip is shown.</t>
  </si>
  <si>
    <t>A person cracks their hands.</t>
  </si>
  <si>
    <t>Birds flock the sky above the dirt track.</t>
  </si>
  <si>
    <t>A person's shadow moves over the surface of a white trailer.</t>
  </si>
  <si>
    <t>A person rides a dirt bike.</t>
  </si>
  <si>
    <t>A person shovels dirt.</t>
  </si>
  <si>
    <t>A person stands with sign at the end of the dirt race track.</t>
  </si>
  <si>
    <t>A person lifts a dirt bike and places on a stool.</t>
  </si>
  <si>
    <t>A male child runs and smiles.</t>
  </si>
  <si>
    <t>A helicopter hovers over the race track.</t>
  </si>
  <si>
    <t>A lady pulls on a rider's helmet.</t>
  </si>
  <si>
    <t>v__i_ERtwvcJE</t>
  </si>
  <si>
    <t>A man is shown staring off into the distance while another holds a ball at a beer pong table.</t>
  </si>
  <si>
    <t>The camera shows the ball hitting the table and landing into the cup on the other side.</t>
  </si>
  <si>
    <t>The first man looks down at the cup and grimaces at what he sees.</t>
  </si>
  <si>
    <t>v_4R5KDUqBPcU</t>
  </si>
  <si>
    <t>There's a man wearing a black athletic suit in a shot put field practicing shot put.</t>
  </si>
  <si>
    <t>He begins by taking the ball in his hand and holding it against his neck.</t>
  </si>
  <si>
    <t>Then he spins around and throws the ball far ahead.</t>
  </si>
  <si>
    <t>v_l8aaaDY4ehA</t>
  </si>
  <si>
    <t>We see a man mowing a lawn.</t>
  </si>
  <si>
    <t>He stands on the stairs to mow.</t>
  </si>
  <si>
    <t>It switches to a woman mowing.</t>
  </si>
  <si>
    <t>It goes back to the man mowing.</t>
  </si>
  <si>
    <t>The man puts the mower in the shed and goes into the house.</t>
  </si>
  <si>
    <t>v_aFpWNTroghs</t>
  </si>
  <si>
    <t>An intro comes into the screen for a video about removing mulch.</t>
  </si>
  <si>
    <t>A man digs his heel into the base of a tree to push away the mulch.</t>
  </si>
  <si>
    <t>He gets down on his knees and begins to remove the mulch by hand by pushing it further from the base of the tree.</t>
  </si>
  <si>
    <t>He takes out some clippers and clips some of the roots.</t>
  </si>
  <si>
    <t>Last, the video ends with the closing captions.</t>
  </si>
  <si>
    <t>v_nsDyItaRUXI</t>
  </si>
  <si>
    <t>A woman is knitting what appears to be a scarf while sitting in front of a computer keyboard.</t>
  </si>
  <si>
    <t>She is using the needles to make the scarf.</t>
  </si>
  <si>
    <t>She pulls the yarn through with the loop several times.</t>
  </si>
  <si>
    <t>v_MRpg1K7YWSE</t>
  </si>
  <si>
    <t>A person's hand is seen throwing several darts onto a board on the other side of the room.</t>
  </si>
  <si>
    <t>The camera then moves closer to the board and zooms in on the location of where the darts are thrown.</t>
  </si>
  <si>
    <t>v_uEaxyzKonCY</t>
  </si>
  <si>
    <t>A group of people are seen on a tennis court with 4 men playing together.</t>
  </si>
  <si>
    <t>They continue playing the game back and fourth with each other whiles others play in the background.</t>
  </si>
  <si>
    <t>v_qkN9uA8izVE</t>
  </si>
  <si>
    <t>Two men are seen holding each other's hands and moving one to the other side arm wrestling.</t>
  </si>
  <si>
    <t>The men struggle a bit and ends with one slamming the other's down.</t>
  </si>
  <si>
    <t>v_K-eZfCs8yOc</t>
  </si>
  <si>
    <t>A young man plays violin while wearing headsets.</t>
  </si>
  <si>
    <t>Then, the young man finish playing and take off the headsets.</t>
  </si>
  <si>
    <t>v_xj-f9hzQ3Lc</t>
  </si>
  <si>
    <t>Several dirt bikers are standing under a garage behind a stand preparing to race.</t>
  </si>
  <si>
    <t>Someone calls a mark and they all stand up on their pedals preparing to be released.</t>
  </si>
  <si>
    <t>The bar is finally let down and the boys begin racing throughout the track that's covered in hills as people stand throughout it to watch them.</t>
  </si>
  <si>
    <t>v_A5JcwIaP30Y</t>
  </si>
  <si>
    <t>A man is trying to balance himself on a rope, he walks on it and does a flip off.</t>
  </si>
  <si>
    <t>He gets back on the rope and does another back flip off.</t>
  </si>
  <si>
    <t>He grips the the rope super tight with his feet while he walks across.</t>
  </si>
  <si>
    <t>He has trouble balancing on it, starts going backwards.</t>
  </si>
  <si>
    <t>v_gnVupEzu59g</t>
  </si>
  <si>
    <t>People are snowboarding down a hill of snow.</t>
  </si>
  <si>
    <t>A man in red goggles is standing in the snow.</t>
  </si>
  <si>
    <t>People are riding a ski lift up the mountain.</t>
  </si>
  <si>
    <t>v_6lIi6-Y6q10</t>
  </si>
  <si>
    <t>There's a man dressed in a formal attire with shirt and tie demonstrating how to make a cocktail called Pimms.</t>
  </si>
  <si>
    <t>He puts some ice cubes in a talll glass and then adds some Pimms in it.</t>
  </si>
  <si>
    <t>He slices some lemons and puts the lemons along with a cherry on a toothpick.</t>
  </si>
  <si>
    <t>Then he puts a slice of cucumber that is cut lengthwise into the cocktail.</t>
  </si>
  <si>
    <t>v_H3cFZelOk2Y</t>
  </si>
  <si>
    <t>Two team are in each other end of the rope while people are watching and two persons are taking pictures.</t>
  </si>
  <si>
    <t>The two teams began pulling the rope.</t>
  </si>
  <si>
    <t>The team in yellow shirt won and then two team shake hands and hugged each other and then gave a bow.</t>
  </si>
  <si>
    <t>v_M_CU9guT3C0</t>
  </si>
  <si>
    <t>A woman talks in a kitchen, then she shows a brush.</t>
  </si>
  <si>
    <t>The woman opens the faucet and washes a dish with the brush, then she brush her hand while explaining.</t>
  </si>
  <si>
    <t>Then, she washes a dish with the brush, then she explains showing the brush.</t>
  </si>
  <si>
    <t>v_jwYgWG2fqOA</t>
  </si>
  <si>
    <t>A dancer positions herself to begin her dance.</t>
  </si>
  <si>
    <t>The dancer performs her dance routine holding a wand.</t>
  </si>
  <si>
    <t>The woman throws her wand as part of her dance and runs to grab it and resumes her performance.</t>
  </si>
  <si>
    <t>The woman takes a bow, finishing her dance.</t>
  </si>
  <si>
    <t>v_fO2fWjYEhMc</t>
  </si>
  <si>
    <t>A man in white shirt and white shorts is holding a croquet bat, he is bending over and swing the bat slowly in the air before hitting the blue ball.</t>
  </si>
  <si>
    <t>The ball went flying passing the ball in a small rectangular holes, and hit the ground.</t>
  </si>
  <si>
    <t>v__pMQwrt-cf4</t>
  </si>
  <si>
    <t>We see the opening title screen.</t>
  </si>
  <si>
    <t>We see stills of the flooring material.</t>
  </si>
  <si>
    <t>A man cuts and puts the superfloor on the floor.</t>
  </si>
  <si>
    <t>The man then unrolls carpet over the superfloor.</t>
  </si>
  <si>
    <t>We then see the ending screen.</t>
  </si>
  <si>
    <t>v_tGuPkIKGIK4</t>
  </si>
  <si>
    <t>A woman holds a dog and take to the bathroom to take a bath in a bathtub while rubbing the body with soap.</t>
  </si>
  <si>
    <t>The dog waits until the woman grab a towel to dry the body of the dog.</t>
  </si>
  <si>
    <t>The dog looks angry and show his teeth.</t>
  </si>
  <si>
    <t>Then, woman give a kiss to then dog.</t>
  </si>
  <si>
    <t>v_8eqO6e2wWmY</t>
  </si>
  <si>
    <t>A few men and a woman are indoors playing badminton They are very into it and competing heavily.</t>
  </si>
  <si>
    <t>The men go back and forth in an attempt to score and are very focused.</t>
  </si>
  <si>
    <t>Various shots in fast motion and in slow motion are shown of the action.</t>
  </si>
  <si>
    <t>v_HGy8UgabFMw</t>
  </si>
  <si>
    <t>A man in blue shirt and jeans is wearing black gloves and trimming the hedge with an orange trimming machine, doing the side first then the front and then the other side.</t>
  </si>
  <si>
    <t>He climbed the blue-green ladder to trim the top of the hedge, he moved the ladder to do the middle top of the hedge.</t>
  </si>
  <si>
    <t>The man trimmed the round low bush, used the ladder to trim the top of the round hedge.</t>
  </si>
  <si>
    <t>v_mGLCCohSA0A</t>
  </si>
  <si>
    <t>Several kitchens are shown in the backdrop as a Around the House Menards logo flashes in the middle of the screen.</t>
  </si>
  <si>
    <t>After, a man in blue polo is shown pasting tile on the back of the kitchen walls to renovate the home.</t>
  </si>
  <si>
    <t>Another man is shown sanding and painting the wall and renovating another home.</t>
  </si>
  <si>
    <t>A block of tile is shown again but it is flipped over to see the net on the back of it.</t>
  </si>
  <si>
    <t>The men continue to renovate the house, measuring the wall,fixing the lights and pasting the tile on the wall.</t>
  </si>
  <si>
    <t>Finally, the finished product of the wall is shown.</t>
  </si>
  <si>
    <t>v_WEoelJQYlxk</t>
  </si>
  <si>
    <t>A picture of a man washing a car is shown and leads into several men washing the same car.</t>
  </si>
  <si>
    <t>The men vacuum the inside as well as clean the dashboard and entire interior and exterior.</t>
  </si>
  <si>
    <t>The car is shown off again in the end all clean.</t>
  </si>
  <si>
    <t>v_h9WOFfVGeAQ</t>
  </si>
  <si>
    <t>A man is standing up playing bagpipes.</t>
  </si>
  <si>
    <t>People are sitting on a couch laughing at him.</t>
  </si>
  <si>
    <t>v_8EDq3cjHhz0</t>
  </si>
  <si>
    <t>We see two people in a studio.</t>
  </si>
  <si>
    <t>We then see a man in a bowling alley speaking to the camera with a man in a bowling pin costume.</t>
  </si>
  <si>
    <t>The man then interviews a man in a black jacket.</t>
  </si>
  <si>
    <t>We see the bowling pin throw a green bowling ball.</t>
  </si>
  <si>
    <t>The newscaster then throws a blue ball down the lane and another ball at the bowling pin mascot who falls over.</t>
  </si>
  <si>
    <t>We then see a split screen with the pin running behind the newscaster and the people in the studio in the upper left corner.</t>
  </si>
  <si>
    <t>The pin throws a ball at the newscaster, and we return to the studio.</t>
  </si>
  <si>
    <t>v_wBwBm7Ju9a8</t>
  </si>
  <si>
    <t>A talking and smiling man is standing in an indoor area and then motions to his right and a woman walks towards him and she begins to talk and smile with him.</t>
  </si>
  <si>
    <t>The woman is now jumping on a trampoline by herself and then she stands on a jumping board and simulates a jump off of a diving board and going straight down into a pool, but instead she lands on a large, soft, black landing mat.</t>
  </si>
  <si>
    <t>The man is now jumping on the trampoline and he does the the exact same thing as the woman just did.</t>
  </si>
  <si>
    <t>Now the woman is standing at an outdoor pool talking and she jumps off of the diving board first, does a few flips and then lands in the water.</t>
  </si>
  <si>
    <t>The man appears in front of the camera holding up a small speedo, he shakes his head in disapproval of the speedos, throws it on the camera, and they show him doing leg warm ups wearing a long pair of swimming shorts.</t>
  </si>
  <si>
    <t>Then man goes on the diving board, rubs his hands together, then jumps off the diving board 4 times and does various flips before he lands in the water.</t>
  </si>
  <si>
    <t>The man and the woman are now on the ground talking and they turn to look at the tallest diving board, and a quick shot from tallest diving board is showing high it is, then it goes back to the man and the woman still standing next to the pool and talking.</t>
  </si>
  <si>
    <t>v_wBbSb9Ubis4</t>
  </si>
  <si>
    <t>A close up of a bull is seen as well as another laying on the ground.</t>
  </si>
  <si>
    <t>Another bull is seen running off into the distance and chasing a person.</t>
  </si>
  <si>
    <t>Several people are seen running away from a bull in many shots as they chase them down.</t>
  </si>
  <si>
    <t>v_kZMDKbfIis0</t>
  </si>
  <si>
    <t>A man is kneeling down on ice.</t>
  </si>
  <si>
    <t>He begins playing a game of curling.</t>
  </si>
  <si>
    <t>Two people scrub the ice in front of the curling ball.</t>
  </si>
  <si>
    <t>v_6aWTCiY3eww</t>
  </si>
  <si>
    <t>A man is seen climbing onto of a camel and begins walking around with a man in front.</t>
  </si>
  <si>
    <t>The man speaks to one on top and gives the camel a slap while looking back to speak to the camera.</t>
  </si>
  <si>
    <t>v_NcEWimHnC54</t>
  </si>
  <si>
    <t>We see snow covered ski slope and a title screen.</t>
  </si>
  <si>
    <t>We see people skiing and snowboarding down the hill.</t>
  </si>
  <si>
    <t>The names are shown in a blue bar above.</t>
  </si>
  <si>
    <t>We see a man holding a selfie stick as he boards down the hill.</t>
  </si>
  <si>
    <t>We see a person in dense woods riding a snowboard.</t>
  </si>
  <si>
    <t>We see the ending credits.</t>
  </si>
  <si>
    <t>v_n96adnrNnno</t>
  </si>
  <si>
    <t>Two Asians a man and a female are sitting down at a table before going to the inside of a gym.</t>
  </si>
  <si>
    <t>In the gym,several young girls begin doing gymnastics and performing before coming back and doing an interview with the reporter.</t>
  </si>
  <si>
    <t>Next,a young man approaches the bars,does his routine,and then comes back to to his interview.</t>
  </si>
  <si>
    <t>v_beRmfL0Uh28</t>
  </si>
  <si>
    <t>A Caucasian man wearing a red helmet is sitting in a boat in the water talking to water.</t>
  </si>
  <si>
    <t>The rocky water is shown and then the man comes down kayaking throughout the white waters.</t>
  </si>
  <si>
    <t>A flash of vacant water is shown then a group of ten people are pictured kayaking together over the rocks and water and eventually are pushed out the kayak by the large wave.</t>
  </si>
  <si>
    <t>The group of people continue swimming through the water trying to find land.</t>
  </si>
  <si>
    <t>They eventually get out and each person begins talking the camera about what they've just experienced.</t>
  </si>
  <si>
    <t>v_X74SOIQRD4M</t>
  </si>
  <si>
    <t>The players are running in the field with their bats.</t>
  </si>
  <si>
    <t>The player in shirt is running with player in red shirt.</t>
  </si>
  <si>
    <t>The two players began walking.</t>
  </si>
  <si>
    <t>v_RDCZQ0nWIPc</t>
  </si>
  <si>
    <t>A white screen appears and special affects reveal the words "Howcast original".</t>
  </si>
  <si>
    <t>A man is talking while various clips of people rollerblading play and a screen pops up indicating that he's giving tips on "Rollerblading Basics: How to Control Speed on Rollerblades", and he picks up a pair of rollerblades and points to the wheels, then more clips of him rollerblading and showing examples plays.</t>
  </si>
  <si>
    <t>The outro appears and it's the white screen in the intro that include the words "Howcast original".</t>
  </si>
  <si>
    <t>v_7rf06_5zNJk</t>
  </si>
  <si>
    <t>Members of a belly dance academy do a choreographed routine in an advertisement for the school.</t>
  </si>
  <si>
    <t>They move around the stage and then show their bellies.</t>
  </si>
  <si>
    <t>v_HEuC9ZEY91E</t>
  </si>
  <si>
    <t>People are going down a hill of snow on sleds.</t>
  </si>
  <si>
    <t>People are standing on the side of the hill watching them.</t>
  </si>
  <si>
    <t>People are making a snow man in the snow.</t>
  </si>
  <si>
    <t>v_s1WQ4zNikKA</t>
  </si>
  <si>
    <t>A camera pans around a shower and zooms in on a person shaving their legs.</t>
  </si>
  <si>
    <t>The camera watches her move her arms all around her legs while the water runs down the drain.</t>
  </si>
  <si>
    <t>v_Y2gFwWnli4g</t>
  </si>
  <si>
    <t>A chef speaks as she stands by a table full of cooking ingredients.</t>
  </si>
  <si>
    <t>She grabs oil and salt and pours it into a mixing bowl.</t>
  </si>
  <si>
    <t>She stirs the ingredients with some tongs.</t>
  </si>
  <si>
    <t>She pours some tomatoes, zucchini and red onions into the mixing bowl.</t>
  </si>
  <si>
    <t>She cuts up some cilantro.</t>
  </si>
  <si>
    <t>She throws the cilantro into the mixing bowl.</t>
  </si>
  <si>
    <t>She mixes the vegetables in the mixing bowl with the tongs.</t>
  </si>
  <si>
    <t>She places the vegetable on top of some arugula on a plate.</t>
  </si>
  <si>
    <t>She shows off the salad.</t>
  </si>
  <si>
    <t>v_6TgVNz6PATk</t>
  </si>
  <si>
    <t>A person in red jacket is standing at the side of the lane.</t>
  </si>
  <si>
    <t>Two people are sliding down the lane covered in snow.</t>
  </si>
  <si>
    <t>The woman in the tube is going further down the lane as she wave her arms.</t>
  </si>
  <si>
    <t>v_xLRUuV1z3QA</t>
  </si>
  <si>
    <t>A woman is standing next to a camel holding the leash.</t>
  </si>
  <si>
    <t>The woman climbed on the camel, and the camel stood up.</t>
  </si>
  <si>
    <t>The camel walk around and stopped as the woman pull the leash and the camel sat down and the woman got off the camel.</t>
  </si>
  <si>
    <t>v_rhOtqArO-3Y</t>
  </si>
  <si>
    <t>The video shows a canopy representing the Eastern Mountain Sports event.</t>
  </si>
  <si>
    <t>Several players are getting ready for the sporting event in an outdoor setting on a bright sunny day.</t>
  </si>
  <si>
    <t>There is a boy balancing on a tight rope.</t>
  </si>
  <si>
    <t>There are several other contestants walking on the tight rope.</t>
  </si>
  <si>
    <t>Several people watch the contestants perform.</t>
  </si>
  <si>
    <t>Two people are playing with a Frisbee as one person walks on the rope.</t>
  </si>
  <si>
    <t>A girl and boy try the tight rope together.</t>
  </si>
  <si>
    <t>There are people enjoying themselves on a hammock.</t>
  </si>
  <si>
    <t>The end credits thank the people and organizers of the event.</t>
  </si>
  <si>
    <t>v_SwQbnQX7LCQ</t>
  </si>
  <si>
    <t>A grey car is parked on a driveway, then a person washes the rims of the car.</t>
  </si>
  <si>
    <t>After, the person spreads soap on the car with a bottle joint to a hose, after he brushes the front light of the car.</t>
  </si>
  <si>
    <t>Then, the person cleans the hood with a cloth.</t>
  </si>
  <si>
    <t>Next, the person rinses and dries the car.</t>
  </si>
  <si>
    <t>v_Lml6HGhM4yg</t>
  </si>
  <si>
    <t>A person is seen holding a tennis racket on a field and hits the ball across the field.</t>
  </si>
  <si>
    <t>He then smiles and walks to the camera while pointing into the distance and fist bumping.</t>
  </si>
  <si>
    <t>v_u1grT0O81Qg</t>
  </si>
  <si>
    <t>A group of fencers pose with an instructor.</t>
  </si>
  <si>
    <t>The fencers are shown inside a gym, practicing.</t>
  </si>
  <si>
    <t>They jab and do various moves with each other during the match.</t>
  </si>
  <si>
    <t>v_qCtoh8hxjOA</t>
  </si>
  <si>
    <t>A person is seen sitting a top a slide and begins riding down the slide.</t>
  </si>
  <si>
    <t>She meets another person at the bottom while laughing to the camera and another person running in.</t>
  </si>
  <si>
    <t>v_n18TxTWnbFI</t>
  </si>
  <si>
    <t>A person is standing on a diving board.</t>
  </si>
  <si>
    <t>They jump off the diving board into the pool.</t>
  </si>
  <si>
    <t>He falls backward into the water.</t>
  </si>
  <si>
    <t>Someone is jumping into the water off the diving board.</t>
  </si>
  <si>
    <t>A person jumps and goes under the water.</t>
  </si>
  <si>
    <t>A man is jumping high and does a flip into the water off of the diving board.</t>
  </si>
  <si>
    <t>A person does a black flip into the water off the diving board.</t>
  </si>
  <si>
    <t>v_0jBwj0bfZ3Y</t>
  </si>
  <si>
    <t>A small ground of people are seen standing around a baseball field looking around to one another.</t>
  </si>
  <si>
    <t>Suddenly a few begin dancing around and one holds the ball in the middle.</t>
  </si>
  <si>
    <t>v_Ok_Tjkob8IA</t>
  </si>
  <si>
    <t>little kid is standing in front of a counter with jars and ingedients in front of her.</t>
  </si>
  <si>
    <t>woman is putting sugar in a pan with water and heat it, put water and lemon juice and mixing all the ingredients in a jar.</t>
  </si>
  <si>
    <t>v_1aRRlW0k-_4</t>
  </si>
  <si>
    <t>A boy is playing with a ball.</t>
  </si>
  <si>
    <t>Kids are practicing lacrosse on a field of grass.</t>
  </si>
  <si>
    <t>A man in a black jacket is watching them play.</t>
  </si>
  <si>
    <t>v_DRI64Xoxy5w</t>
  </si>
  <si>
    <t>There are lots of people standing outdoors just walking around and talking.</t>
  </si>
  <si>
    <t>A little boy goes behind a ladder and other people keep walking around.</t>
  </si>
  <si>
    <t>A pinata drops from high above and he hits the pinata using a stick and then someone comes out holding a bowl filled with bags.</t>
  </si>
  <si>
    <t>v_h7cetqsBVn0</t>
  </si>
  <si>
    <t>There is a line of camels sitting on the ground in the Outback area of Australia.</t>
  </si>
  <si>
    <t>there are tourists waiting to get onto the camels to enjoy a camel back ride.</t>
  </si>
  <si>
    <t>Men in red shirts and cowboy hats are helping the tourists get on the camels' backs.</t>
  </si>
  <si>
    <t>The camels slowly raise themselves up and begin walking around with the tourists on their backs.</t>
  </si>
  <si>
    <t>The tourists are happy as they wave to the camera as they enjoy the camel ride.</t>
  </si>
  <si>
    <t>The camels walk slowly through the dry and muddy grasslands.</t>
  </si>
  <si>
    <t>Then the tourists get off of the camels and walk towards an outdoor dinning area where several tables are arranged with white tablecloths and dinnerware.</t>
  </si>
  <si>
    <t>v__9h6NBOPTy8</t>
  </si>
  <si>
    <t>A martini glass is being filled with vodka.</t>
  </si>
  <si>
    <t>A woman is shown behind a bar with different alcohol bottles.</t>
  </si>
  <si>
    <t>She mixes them together, then decorates the final drink.</t>
  </si>
  <si>
    <t>v_oZnbAhzN3jg</t>
  </si>
  <si>
    <t>A person shows how to clean large windows.</t>
  </si>
  <si>
    <t>First the soap is applied then it is scraped away.</t>
  </si>
  <si>
    <t>The process is repeated and finished.</t>
  </si>
  <si>
    <t>v_YtPZMBePf5c</t>
  </si>
  <si>
    <t>A man is seen swirling a stick around a pot while a young boy on the side watches him work.</t>
  </si>
  <si>
    <t>The man teases the boy with a cone and lets the boy have it, only to be taken away again.</t>
  </si>
  <si>
    <t>The man then puts ice cream on the cone and smiles at the boy while he walks away and other's watch.</t>
  </si>
  <si>
    <t>v_DmTI8y6Anvo</t>
  </si>
  <si>
    <t>A basketball player is seen jumping under a basketball ball net and shooting a ball continuously at the net.</t>
  </si>
  <si>
    <t>She continues shooting and the video ends with various text across the screen.</t>
  </si>
  <si>
    <t>v_seScyTd2XSc</t>
  </si>
  <si>
    <t>A person holds out cleaning product and a spray bottle with the mixture over a kitchen sink.</t>
  </si>
  <si>
    <t>The person sprays down the stainless steel sink with detergent in a spray bottle.</t>
  </si>
  <si>
    <t>A sponge is used to scrub the sing with the cleaning solution.</t>
  </si>
  <si>
    <t>The faucet is turned on and is used to rinse out the sink.</t>
  </si>
  <si>
    <t>v_evj6y2xZCnM</t>
  </si>
  <si>
    <t>a baby in a screen is shown and someone hits the screen with a hammer.</t>
  </si>
  <si>
    <t>man is doing skateboard and is felling of the board in different places.</t>
  </si>
  <si>
    <t>man is skateboarding going down a large stairs and fells.</t>
  </si>
  <si>
    <t>man is skateboarding down a cement rail in stairs.</t>
  </si>
  <si>
    <t>v_9PRK4oy1hhY</t>
  </si>
  <si>
    <t>A reporter interview two boys and a little boy.</t>
  </si>
  <si>
    <t>Then, the big boys and the small boys play soccer table while the reporter continue the interview.</t>
  </si>
  <si>
    <t>v_FnrvqpjHe6I</t>
  </si>
  <si>
    <t>The young female players are running around the court throwing ball to on each other.</t>
  </si>
  <si>
    <t>Some of the players are avoiding the ball, so they continue to run around.</t>
  </si>
  <si>
    <t>The female players walked as they kicked the ball from one side to the next.</t>
  </si>
  <si>
    <t>The players kicked the ball to the next person on the opposite side of the court.</t>
  </si>
  <si>
    <t>v_PXvqhB91EkA</t>
  </si>
  <si>
    <t>A small group of people are seen riding exercise bikes next to one another while a woman stands in the middle motivating them.</t>
  </si>
  <si>
    <t>The people continue spinning around on the bikes with some struggling and others continuing to peddle.</t>
  </si>
  <si>
    <t>v_GEmuTigZlYA</t>
  </si>
  <si>
    <t>A woman is seen brushing copious amounts of hair off of a dog's body and collecting the fur in her hand.</t>
  </si>
  <si>
    <t>The dog moves his leg a bit as the woman continues brushing and looks back to watch her brush.</t>
  </si>
  <si>
    <t>v_YAm1JXAtqh4</t>
  </si>
  <si>
    <t>A person runs down a track and throws a javelin.</t>
  </si>
  <si>
    <t>Another person runs down the track and throws a javelin.</t>
  </si>
  <si>
    <t>v_0_ZLjaAEx5s</t>
  </si>
  <si>
    <t>The lady whips her hair from side to side.</t>
  </si>
  <si>
    <t>The lady parts her hair.</t>
  </si>
  <si>
    <t>The lady brushes her hair, applies gel to her parted hair, and starts to braid her hair.</t>
  </si>
  <si>
    <t>The lady puts a hair ties around the two braids.</t>
  </si>
  <si>
    <t>The lady puts a hat on her head.</t>
  </si>
  <si>
    <t>The lady gives a peace sign and waves.</t>
  </si>
  <si>
    <t>v_XqW8wjFpGRU</t>
  </si>
  <si>
    <t>People are dancing and choreographing a routine.</t>
  </si>
  <si>
    <t>They jump around and clap at the end.</t>
  </si>
  <si>
    <t>v_4hbMYlgO8_o</t>
  </si>
  <si>
    <t>A man is seen kneeling down in a large field around small trees and holding a stick.</t>
  </si>
  <si>
    <t>The man then wacks the stick along the grass and moving his arms back and fourth.</t>
  </si>
  <si>
    <t>v_6B3qNzgqnpc</t>
  </si>
  <si>
    <t>A person sitting in a canoe is slowly streaming down a river.</t>
  </si>
  <si>
    <t>A shot of a bird is seen off in the distance, as well as another bird.</t>
  </si>
  <si>
    <t>The canoe keeps floating while various bird are shown sitting in the water as well as the trees.</t>
  </si>
  <si>
    <t>v_d8M7yIj9jbE</t>
  </si>
  <si>
    <t>A young man is sitting down in a room talking to three other people serving as news anchors.</t>
  </si>
  <si>
    <t>The video then flips to a bar and shows Obama playing a game of pool.</t>
  </si>
  <si>
    <t>After,the four people begin talking again about the former president and his attire.</t>
  </si>
  <si>
    <t>v_KmhzUY2ooCw</t>
  </si>
  <si>
    <t>A backyard seen appears with several people outside.</t>
  </si>
  <si>
    <t>The people are playing a game of croquette, taking turns with the bat and hitting the balls.</t>
  </si>
  <si>
    <t>v_HKgnushHynQ</t>
  </si>
  <si>
    <t>People side dive into a swimming pool.</t>
  </si>
  <si>
    <t>People are standing in a swimming pool.</t>
  </si>
  <si>
    <t>Girls are dancing on the lawn in swim suits.</t>
  </si>
  <si>
    <t>People are jumping up and down in a swimming pool with their arms around each other.</t>
  </si>
  <si>
    <t>People begin playing water polo in the swimming pool.</t>
  </si>
  <si>
    <t>v_MyPQ_e4dGDw</t>
  </si>
  <si>
    <t>A lemon sits on a cutting board.</t>
  </si>
  <si>
    <t>Someone chops the lemon and squeezes it into a glass.</t>
  </si>
  <si>
    <t>The other half is squeezed in.</t>
  </si>
  <si>
    <t>They then add sugar to the mix.</t>
  </si>
  <si>
    <t>v_KNzFJses9jc</t>
  </si>
  <si>
    <t>A large crane is seen sitting on the ground and leads into a man using tools on a wall.</t>
  </si>
  <si>
    <t>The camera continues to watch the person work as he uses the tool to create sparks on the wall.</t>
  </si>
  <si>
    <t>v_H-fl49tiqGE</t>
  </si>
  <si>
    <t>women are in rubbers sliding down a snowy hill.</t>
  </si>
  <si>
    <t>women stands and laugh and walks.</t>
  </si>
  <si>
    <t>v_M2ntILX6VP0</t>
  </si>
  <si>
    <t>A baby calf is seen running around a sand pit when a man riding a horse and swinging a rope begins to chase him.</t>
  </si>
  <si>
    <t>The man ties up the calf and rides away while the video leads into shots of a horse kicking a rider off of it's back.</t>
  </si>
  <si>
    <t>More shots are shown of horses kicking riders off while people grab the horse in the end.</t>
  </si>
  <si>
    <t>v_1GzrcmQ5Pcc</t>
  </si>
  <si>
    <t>People are running around playing dodge ball.</t>
  </si>
  <si>
    <t>A woman is holding a camera taking a picture.</t>
  </si>
  <si>
    <t>A woman in a blue shirt poses with a man for a picture.</t>
  </si>
  <si>
    <t>v_0L959X4oxaY</t>
  </si>
  <si>
    <t>A man is standing on top of a hill.</t>
  </si>
  <si>
    <t>A woman is seated on a sled.</t>
  </si>
  <si>
    <t>She is then released down the hill, moving quickly.</t>
  </si>
  <si>
    <t>v_g7l-Y_bgPkI</t>
  </si>
  <si>
    <t>Several people are watching a man in a white hat on a tennis court.</t>
  </si>
  <si>
    <t>The man in the white hat is holding his hand up.</t>
  </si>
  <si>
    <t>The ball is served and it goes outside the court.</t>
  </si>
  <si>
    <t>The ball is thrown to the man in the white hat.</t>
  </si>
  <si>
    <t>The man in the white hat prepares to serve the ball.</t>
  </si>
  <si>
    <t>v_pmn8_4zKo7I</t>
  </si>
  <si>
    <t>A man is outside smoking a cigarette with his friend.</t>
  </si>
  <si>
    <t>They are just sitting out relaxing blowing smoke.</t>
  </si>
  <si>
    <t>Another man with a camera walks by while they sit chatting.</t>
  </si>
  <si>
    <t>Its a nice day to just relax and have a smoke outside with friends.</t>
  </si>
  <si>
    <t>v_URzytLugoVw</t>
  </si>
  <si>
    <t>Two men are running on the baseball field.</t>
  </si>
  <si>
    <t>A ball appears and falls to the ground at home plate and a man kicks it.</t>
  </si>
  <si>
    <t>Another man on the field catches the ball.</t>
  </si>
  <si>
    <t>The man with the ball's team runs over to him.</t>
  </si>
  <si>
    <t>We see the play again slow motion.</t>
  </si>
  <si>
    <t>v_GgfyTMpHfnI</t>
  </si>
  <si>
    <t>We see a girl with a braid then shaking loose curls in her hair.</t>
  </si>
  <si>
    <t>We watch the girl as she curls and braids her hair.</t>
  </si>
  <si>
    <t>The girl using a curling iron and curls her hair.</t>
  </si>
  <si>
    <t>She then braids and twists her hair into a side braid.</t>
  </si>
  <si>
    <t>The girl shows us the back of her hair and then curls the bottom with a curling iron.</t>
  </si>
  <si>
    <t>The girl makes faces and the ending title screen then loads.</t>
  </si>
  <si>
    <t>v_zPZGjZES31A</t>
  </si>
  <si>
    <t>The camera pans a residence's yard.</t>
  </si>
  <si>
    <t>A man wearing a white hoodie and black warm ups with white stripes is mowing the yard with a push lawn mower.</t>
  </si>
  <si>
    <t>The camera captures a rain storm starting and raining over the yard while the man continues to mow the yard.</t>
  </si>
  <si>
    <t>v_Ug3pM64HhK4</t>
  </si>
  <si>
    <t>A Woman is braiding her hair.</t>
  </si>
  <si>
    <t>She is Crossing the strands.</t>
  </si>
  <si>
    <t>Her braid is done on one side and she continues on the next.</t>
  </si>
  <si>
    <t>Crossing and adding hair to the braid.</t>
  </si>
  <si>
    <t>She finishes and turns around and puts the back into a ponytail.</t>
  </si>
  <si>
    <t>v_MoVZoCmkdjY</t>
  </si>
  <si>
    <t>A man and a woman sit behind a table.</t>
  </si>
  <si>
    <t>The man pours a drink into several glasses on the table.</t>
  </si>
  <si>
    <t>A woman is making a drink on the table.</t>
  </si>
  <si>
    <t>She pours a blue bottle into the drink.</t>
  </si>
  <si>
    <t>She pours the drink into smaller glasses on the table.</t>
  </si>
  <si>
    <t>v_HV_yqsiFoKA</t>
  </si>
  <si>
    <t>man wearing a black vest is alone on a ring wrestling with another man who is kneeling on the floor.</t>
  </si>
  <si>
    <t>two other men gets in the ring and are wresting the man in the center.</t>
  </si>
  <si>
    <t>people are around the ring wtching the wrest.</t>
  </si>
  <si>
    <t>three journalists are standing wearing suits and watch the men in the ring.</t>
  </si>
  <si>
    <t>v_Bbb8CybvMlk</t>
  </si>
  <si>
    <t>An introduction comes onto the screen for a video about wrapping gifts.</t>
  </si>
  <si>
    <t>Several different close up shots are shows of wrapped gifts and gift wrapping supplies.</t>
  </si>
  <si>
    <t>A person comes onto the screen and begins to wrap a gift.</t>
  </si>
  <si>
    <t>She decorates the gift with ribbons and attachments to embellish it.</t>
  </si>
  <si>
    <t>Several other gift wrapping ideas are then shown on the one after the other.</t>
  </si>
  <si>
    <t>The video ends with the closing credits shown on the screen.</t>
  </si>
  <si>
    <t>v_HiEClhlj5_A</t>
  </si>
  <si>
    <t>A camera pans down a long list and leads into a group of men and one speaking to them all.</t>
  </si>
  <si>
    <t>Two men shake hands and begin rolling paint along a long paper.</t>
  </si>
  <si>
    <t>They race to put the paper on a long wall and photographs of men measuring the wall follow.</t>
  </si>
  <si>
    <t>The men fist bump another and shake hands as the men continue writing down notes and pictures of high scores shown.</t>
  </si>
  <si>
    <t>v_IOoj4yWCoPg</t>
  </si>
  <si>
    <t>A woman is sitting outside her home and washing her clothes in a tub filled with water and soap.</t>
  </si>
  <si>
    <t>She removes the clothes from the tub and then soaks them in another tub filled with water.</t>
  </si>
  <si>
    <t>She puts the water hose into the water tub.</t>
  </si>
  <si>
    <t>She adds more clothes in the soapy water and continues washing the clothes.</t>
  </si>
  <si>
    <t>v_xMQcYD044z4</t>
  </si>
  <si>
    <t>old man is standing in front of a young man talking to him.</t>
  </si>
  <si>
    <t>young man is in the middle of stage and its spreading white cram on his hands and walks making deep beraths.</t>
  </si>
  <si>
    <t>man is ready to lifting weight in middle of a white stage and people behind jim is clapping.</t>
  </si>
  <si>
    <t>v_GwJ9DmiW8dk</t>
  </si>
  <si>
    <t>A woman in a purple bodysuit and wearing a bib on her back approaches a wooden balance beam in front of a large audience who is cheering her on.</t>
  </si>
  <si>
    <t>The woman jumps on the the balance beam and a man quickly grabs the ramp she used to jump onto the balance beam and removes it from the area.</t>
  </si>
  <si>
    <t>The woman begins her routine that includes, jumps, flips, and small dance moves.</t>
  </si>
  <si>
    <t>During the routine the woman flips and slightly loses her balance but quickly recovers and remains on the balance beam.</t>
  </si>
  <si>
    <t>The woman goes to the furthest end of the balance beam, has a very concentrated look on her face and she quickly does a series of flips off of the balance beam, lands on her feet, throws her two arms in the air and waves to the audience who is cheering wildly.</t>
  </si>
  <si>
    <t>v_3XUxm78gjJE</t>
  </si>
  <si>
    <t>People are playing baseball on a field of grass.</t>
  </si>
  <si>
    <t>A person in a blue shirt falls down throwing the baseball.</t>
  </si>
  <si>
    <t>The audience is dancing on the side of the field.</t>
  </si>
  <si>
    <t>v_RclRzty0YVE</t>
  </si>
  <si>
    <t>A person is seen standing on the beach with a soccer ball in front of him and a person standing in a goal.</t>
  </si>
  <si>
    <t>The person then kicks the ball several times to the goalie.</t>
  </si>
  <si>
    <t>The goalie attempts to block the shots that are aimed at the net.</t>
  </si>
  <si>
    <t>v_lngs7qR5AXA</t>
  </si>
  <si>
    <t>A man lays in bed and wakes up.</t>
  </si>
  <si>
    <t>The man makes and drinks a cup of coffee.</t>
  </si>
  <si>
    <t>The man drinks from the cup and when he lowers the cup the man is dress as Captain America.</t>
  </si>
  <si>
    <t>v_syAccI5soVw</t>
  </si>
  <si>
    <t>A young girl is seen performing a belly dancing routine in front of a large group of people.</t>
  </si>
  <si>
    <t>The girl continues swinging her arms and legs around in front of the audience and ends by bowing and blowing a kiss.</t>
  </si>
  <si>
    <t>v_nIIFlJnOXXs</t>
  </si>
  <si>
    <t>A woman standing behind an ironing board grabs a pair of pants.</t>
  </si>
  <si>
    <t>She starts ironing the pants inside out.</t>
  </si>
  <si>
    <t>She turns the pants back the right way and continues ironing them.</t>
  </si>
  <si>
    <t>v_n-1KBnDiWQU</t>
  </si>
  <si>
    <t>A man is on a canoe holding a paddle in a swimming pool.</t>
  </si>
  <si>
    <t>A man pivots a canoe helping with an oar.</t>
  </si>
  <si>
    <t>v_aV5DMcsNMmk</t>
  </si>
  <si>
    <t>A dog holding a cup in its mouth jumps up on a couch.</t>
  </si>
  <si>
    <t>The dog proceeds to eat something in the cup.</t>
  </si>
  <si>
    <t>v_9OVSvoKwa0A</t>
  </si>
  <si>
    <t>People are sitting in bumper cars.</t>
  </si>
  <si>
    <t>A man on the side is holding onto the side of one of the cars.</t>
  </si>
  <si>
    <t>He jumps off onto the side.</t>
  </si>
  <si>
    <t>v_Z1siDLDwbiY</t>
  </si>
  <si>
    <t>A person begins clearing snow off of a windshield on a car.</t>
  </si>
  <si>
    <t>They then clean the snow off the doors of the car.</t>
  </si>
  <si>
    <t>They then clean the back window off of a car.</t>
  </si>
  <si>
    <t>v_Ol2rfUv3zHI</t>
  </si>
  <si>
    <t>A man in a red shirt is playing a drum set.</t>
  </si>
  <si>
    <t>A man in a blue shirt is sitting down talking.</t>
  </si>
  <si>
    <t>v_13vEnzRCKzo</t>
  </si>
  <si>
    <t>The woman irons a piece of clothing on an ironing board.</t>
  </si>
  <si>
    <t>The woman flips the piece of clothing.</t>
  </si>
  <si>
    <t>The woman continues to iron the piece of clothing.</t>
  </si>
  <si>
    <t>v_FMXPFrZYhes</t>
  </si>
  <si>
    <t>A male athlete is outside in a field surrounded by people and begins to spin around and throws a shot put.</t>
  </si>
  <si>
    <t>The crowd begins to cheer and the man throws his hands up jumps in happiness.</t>
  </si>
  <si>
    <t>v_29Vrl0rJbSo</t>
  </si>
  <si>
    <t>A lady stands in a bathroom talking.</t>
  </si>
  <si>
    <t>the lady shows the camera her brush and blow dryer.</t>
  </si>
  <si>
    <t>The lady brushes her hair.</t>
  </si>
  <si>
    <t>the lady blow drys her hair while she spins her hair on a brush.</t>
  </si>
  <si>
    <t>The lady turns the blow dryer off and talks to the camera while she adjusts her hair.</t>
  </si>
  <si>
    <t>The lady puts her brush down and talks to the camera.</t>
  </si>
  <si>
    <t>v_rrTNLcPCWK8</t>
  </si>
  <si>
    <t>People are gathered on bleachers in a gym.</t>
  </si>
  <si>
    <t>Team mates come out waving a white flag.</t>
  </si>
  <si>
    <t>A basketball game commences, trying to make baskets.</t>
  </si>
  <si>
    <t>v_6NQl2Vcf0P0</t>
  </si>
  <si>
    <t>A man in a rodeo owing is performing a stunt.</t>
  </si>
  <si>
    <t>A man is riding a horse in a rodeo ring.</t>
  </si>
  <si>
    <t>the man lassos a cow and throws it to the ground.</t>
  </si>
  <si>
    <t>the man then hog ties the cow.</t>
  </si>
  <si>
    <t>The man gets back on his horse and we pan up and see the scoreboard.</t>
  </si>
  <si>
    <t>v_yWCrbhU_X_U</t>
  </si>
  <si>
    <t>Two little kids are eating an ice cream cone at mcdonalds.</t>
  </si>
  <si>
    <t>They are licking and so happy to have ice cream.</t>
  </si>
  <si>
    <t>The little girl is playing peek a boo with someone and both of their faces have ice cream on them.</t>
  </si>
  <si>
    <t>They are just enjoying the ice cream very much.</t>
  </si>
  <si>
    <t>v_5xgBlI9Xx0I</t>
  </si>
  <si>
    <t>A gymnast is shown swinging back and fourth on uneven bars.</t>
  </si>
  <si>
    <t>He performs a routine swinging around and around while hundreds of people watch.</t>
  </si>
  <si>
    <t>He finishes by sticking his arms up in the air and bowing to the audience.</t>
  </si>
  <si>
    <t>v_Ffi7vDa3C2I</t>
  </si>
  <si>
    <t>Two men are rollerblading on a sidewalk of a quiet street.</t>
  </si>
  <si>
    <t>There are four young men and women rollerblading on a street with lots of trees.</t>
  </si>
  <si>
    <t>There are some professionals rollerblading in a stadium and on a sidewalk by a fountain.</t>
  </si>
  <si>
    <t>One man jumps over a chained sidewalk while rollerblading.</t>
  </si>
  <si>
    <t>A couple is rollerblading on a sidewalk and another man is jumping over a barricade onto a sidewalk.</t>
  </si>
  <si>
    <t>Several people are rollerblading on the sidewalk.</t>
  </si>
  <si>
    <t>There are some people competing in a rollerblading competition.</t>
  </si>
  <si>
    <t>There are some men rollerblading through streets at very high speed.</t>
  </si>
  <si>
    <t>Some of them are climbing stairs with their roller blades.</t>
  </si>
  <si>
    <t>Some men are rollerblading through a busy city and on bridges.</t>
  </si>
  <si>
    <t>There is a group of young children rollerblading together.</t>
  </si>
  <si>
    <t>One man leaps over a wall while rollerblading.</t>
  </si>
  <si>
    <t>One person dives straight into water as he comes rollerblading at high speed.</t>
  </si>
  <si>
    <t>People are rollerblading through the city, going down the stairs and even on sidewalks.</t>
  </si>
  <si>
    <t>Two boys jump into an S shaped structure while rollerblading.</t>
  </si>
  <si>
    <t>Two people are doing figure eights on a bridge as they roller blade.</t>
  </si>
  <si>
    <t>One person goes steadily while rollerblading.</t>
  </si>
  <si>
    <t>v_zBmVL3I3nFU</t>
  </si>
  <si>
    <t>First the woman shows us how she looks with her afro before she makes a bug bun.</t>
  </si>
  <si>
    <t>First she sprays her hair with water from a spray bottle.</t>
  </si>
  <si>
    <t>Then she adds moisturizer to her hair and ties a ponytail holder onto her hair.</t>
  </si>
  <si>
    <t>Then she twists the ends of her hair to make a small bun and she wraps it to make it secure.</t>
  </si>
  <si>
    <t>Then she lightly twists the braiding hair and uses as many bobby pins as she needs.</t>
  </si>
  <si>
    <t>Finally, she puts gel on her edges to lay them down and she puts a bandanna on her edges.</t>
  </si>
  <si>
    <t>Then she takes it off and it's all done.</t>
  </si>
  <si>
    <t>v_fUJ88Ir7Dgc</t>
  </si>
  <si>
    <t>A person is seen walking around a track in the middle of a large audience.</t>
  </si>
  <si>
    <t>The athlete then sits down while another stands next to him and prepares.</t>
  </si>
  <si>
    <t>The man is then seen jumping over a bar followed by the same shot being shown again.</t>
  </si>
  <si>
    <t>v_5RLeo8LymY4</t>
  </si>
  <si>
    <t>A pair is rowing on kayaks down a lazy river stream.</t>
  </si>
  <si>
    <t>They use paddles to move their kayaks along the water.</t>
  </si>
  <si>
    <t>The pair looks toward each other, as if talking.</t>
  </si>
  <si>
    <t>v_FOF8YgUhRNA</t>
  </si>
  <si>
    <t>A shot of a glass being poured is shown and leads into a woman speaking to the camera.</t>
  </si>
  <si>
    <t>The woman holds a glass and mixes various liquids into the glass.</t>
  </si>
  <si>
    <t>The tops it off with a lemon and slides the drink closer and still speaking.</t>
  </si>
  <si>
    <t>v_Jm1y_W7RLSI</t>
  </si>
  <si>
    <t>A woman is seen standing before a camera and begins putting lotion on her hands and rubbing it round her face.</t>
  </si>
  <si>
    <t>The woman continuously rubs lotion all into her face and ends by looking into the camera.</t>
  </si>
  <si>
    <t>v_aKfUE-KeYWw</t>
  </si>
  <si>
    <t>This man is shown mowing the lawn while a big greyhound walks behind him.</t>
  </si>
  <si>
    <t>There is also another small dog in the yard who's just sitting down in one spot.</t>
  </si>
  <si>
    <t>v_0RZ5_8VD4vc</t>
  </si>
  <si>
    <t>This video allows viewers to hear the testimony of a customer who has used the pro roofing service.</t>
  </si>
  <si>
    <t>First the man tells how he heard about the service and how great it is.</t>
  </si>
  <si>
    <t>He also says that he chose pro roofing because the neighbors chose it and persuaded him by telling how great the service is.</t>
  </si>
  <si>
    <t>v_bHxWHW2PGy4</t>
  </si>
  <si>
    <t>The white water polo team huddles together.</t>
  </si>
  <si>
    <t>The game begins and blue scores while deep in the white defense to tie the game.</t>
  </si>
  <si>
    <t>White answers with a powerful goal to grab the lead back.</t>
  </si>
  <si>
    <t>Blue moves in and after a couple of passes ties the game back up.</t>
  </si>
  <si>
    <t>White scores to take the lead, and blue comes right back to tie once again.</t>
  </si>
  <si>
    <t>A scramble for the ball results in white gaining a 2-on-1 advantage and a goal.</t>
  </si>
  <si>
    <t>They push their lead further late and put the game out of reach, winning 14-10.</t>
  </si>
  <si>
    <t>The team celebrates together in the water.</t>
  </si>
  <si>
    <t>The team celebrates their gold metal at the podium.</t>
  </si>
  <si>
    <t>v_r4iurK3kOe8</t>
  </si>
  <si>
    <t>A girl and a dog is in the field.</t>
  </si>
  <si>
    <t>The girl is holding two frisbee, then she walked and turned side by side and the dog roll over in front of her, the dog touched the knees of the girl, the girl walked with her hands up and the dog walked with his two front paws up.</t>
  </si>
  <si>
    <t>The girl threw the frisbee and the dog chase of it and placed it on the ground.</t>
  </si>
  <si>
    <t>v_kdjLJTGj4H0</t>
  </si>
  <si>
    <t>Women are playing a game of curling.</t>
  </si>
  <si>
    <t>The audience watching them cheers and applauds.</t>
  </si>
  <si>
    <t>v_qvLFSqPCvn8</t>
  </si>
  <si>
    <t>A man grabs a tire from the back of the car and quickly runs to the front right of the car, drops it on the grass, then runs to the tire still on the car and begins to raise the car with a jack, and remove the lugs, rim and tire and throws them on the grass.</t>
  </si>
  <si>
    <t>The man then grabs the tire he pulled out from the back of the car, puts it on the car, puts the rim on it and tightens lugs onto them with his hand and then he picks up the tool and tightens the lugs with that.</t>
  </si>
  <si>
    <t>The man then removes the jack from under the car and tightens the lugs again with the tool and he stands up out of breath and smiles.</t>
  </si>
  <si>
    <t>v_YWsqpINl8Ic</t>
  </si>
  <si>
    <t>A handyman is standing in front of a porch and talking.</t>
  </si>
  <si>
    <t>The man uses two squeegees to clean two windows at the same time.</t>
  </si>
  <si>
    <t>The man finishes and puts his tools in his tool belt.</t>
  </si>
  <si>
    <t>He smiles and walks away.</t>
  </si>
  <si>
    <t>v_yVrru7t3478</t>
  </si>
  <si>
    <t>A camera is seen moving closer to a playground and shows a woman going down a slide.</t>
  </si>
  <si>
    <t>A dog rides down with her and another dog walks around the area.</t>
  </si>
  <si>
    <t>The woman rides down several more times with the small dog next to her.</t>
  </si>
  <si>
    <t>v_g2Dv154zmMU</t>
  </si>
  <si>
    <t>Two people are seen speaking to the camera and leads into them passing a ball on sticks to one another.</t>
  </si>
  <si>
    <t>The woman pauses to speak to the camera several times as well as show more clips of the two hitting the ball.</t>
  </si>
  <si>
    <t>v_yqkjHCPsdF0</t>
  </si>
  <si>
    <t>A group of people play water volleyball in a indoor pool with a few onlookers on the sidelines.</t>
  </si>
  <si>
    <t>A yellow volleyball is thrown between people in a pool.</t>
  </si>
  <si>
    <t>A person makes a goal with the yellow volleyball in a white net.</t>
  </si>
  <si>
    <t>The ball is thrown to the other side of the pool where another goal is met in a white net on the opposite side of the pool.</t>
  </si>
  <si>
    <t>v_kC1DyxcRHBg</t>
  </si>
  <si>
    <t>There's a person wearing pink gloves doing a tutorial on how to clean a white kitchen sink.</t>
  </si>
  <si>
    <t>The person sprays some white cleaning powder in the sink and then sprays some Clorox bleach on it.</t>
  </si>
  <si>
    <t>Then takes a pink scrub and begins scrubbing the sink in back and forth motion.</t>
  </si>
  <si>
    <t>The person makes sure that all the sides of the sink are cleaned, including the drain.</t>
  </si>
  <si>
    <t>Then she starts the tap to wash off the powder and bleach.</t>
  </si>
  <si>
    <t>She then uses a paper towel to wipe off the water and clean off any residual powder from the sink.</t>
  </si>
  <si>
    <t>v_AnPLZtJs7zE</t>
  </si>
  <si>
    <t>A man is talking to the camera next to a fence.</t>
  </si>
  <si>
    <t>The man is holding a paintbrush.</t>
  </si>
  <si>
    <t>The man dips the paintbrush into a bucket of paint and starts painting the fence.</t>
  </si>
  <si>
    <t>The man moves along the fence painting it.</t>
  </si>
  <si>
    <t>The man finishes painting and steps away from the fence.</t>
  </si>
  <si>
    <t>v_f6Nhpyq1XdU</t>
  </si>
  <si>
    <t>A woman standing in front of the white sing, turned on the faucet, got some liquid soap and wash her hand.</t>
  </si>
  <si>
    <t>She turned around and get some hand napkins from the wall, wiped her hands and threw the paper in the trash basket.</t>
  </si>
  <si>
    <t>v_bGql7ldp84A</t>
  </si>
  <si>
    <t>A woman comes onto the screen announcing that she will do a video on how to make a cookie dessert.</t>
  </si>
  <si>
    <t>She begins with all the ingredients she will need for the cookies and begins to combine the dry ingredients.</t>
  </si>
  <si>
    <t>She then proceeds to mix the wet ingredients in a glass bowl.</t>
  </si>
  <si>
    <t>After she mixes all the ingredients together she begins to roll the dough into balls and place them onto a cookie sheet, and puts them into the oven.</t>
  </si>
  <si>
    <t>She takes them out of the oven and begins to wrap them into individual sets.</t>
  </si>
  <si>
    <t>The video ends with the closing credits.</t>
  </si>
  <si>
    <t>v_RCyZgp1F06s</t>
  </si>
  <si>
    <t>A small child is seen sitting on a swing smiling at the camera.</t>
  </si>
  <si>
    <t>The boy moves back and fourth on the swing while another boy is seen swinging next to him.</t>
  </si>
  <si>
    <t>The two continue swinging back and fourth while the camera captures them from different angles.</t>
  </si>
  <si>
    <t>v_aF0gDTbcOxE</t>
  </si>
  <si>
    <t>Several clips are shown of robots fighting one another as well as the inside and outside of a building.</t>
  </si>
  <si>
    <t>More robots are shown close up as well as people adjusting the robots and setting them down to fight.</t>
  </si>
  <si>
    <t>The people continue using the robots and end by shaking hands and bowing with another man.</t>
  </si>
  <si>
    <t>v_STgbw-zqZJM</t>
  </si>
  <si>
    <t>A leaf blower machine blows a large pile of leaves around a parking lot.</t>
  </si>
  <si>
    <t>The machine continues moving through the lot and flowing the leaves into a large pile.</t>
  </si>
  <si>
    <t>v_JXL7LxJSjzw</t>
  </si>
  <si>
    <t>We see a lady in the woods chopping logs of wood.</t>
  </si>
  <si>
    <t>The lady puts a log on a platform.</t>
  </si>
  <si>
    <t>We see chickens running around the background.</t>
  </si>
  <si>
    <t>The lady laughs as she picks up a piece of wood.</t>
  </si>
  <si>
    <t>We see a chicken flapping it's wings in the background.</t>
  </si>
  <si>
    <t>The lady finishes and throws her hands in the air.</t>
  </si>
  <si>
    <t>v_5iIJl-wjE9U</t>
  </si>
  <si>
    <t>Girls are talking to the camera.</t>
  </si>
  <si>
    <t>They are making hand motions as they talk.</t>
  </si>
  <si>
    <t>They are playing rock, paper scissors.</t>
  </si>
  <si>
    <t>A girl is laying on the ged as another girl puts her butt in her face.</t>
  </si>
  <si>
    <t>The girl is talking to the camera again.</t>
  </si>
  <si>
    <t>v_c3SJUucMqJQ</t>
  </si>
  <si>
    <t>A person picks up a cat off of a chair.</t>
  </si>
  <si>
    <t>They lay the cat down on their lap.</t>
  </si>
  <si>
    <t>They begin to clip the nails of the cat.</t>
  </si>
  <si>
    <t>A person is sitting next to them on a laptop.</t>
  </si>
  <si>
    <t>The person pets the belly of the cat.</t>
  </si>
  <si>
    <t>They take the cat back and set it in a chair.</t>
  </si>
  <si>
    <t>v_WSaGZOdrjtM</t>
  </si>
  <si>
    <t>a male athlete prepares to run down a track.</t>
  </si>
  <si>
    <t>He takes off running, vaulting himself over a bar and onto a mat.</t>
  </si>
  <si>
    <t>He jumps up exuberantly, celebrating as the crowd cheers.</t>
  </si>
  <si>
    <t>v_A0H6JceDqlg</t>
  </si>
  <si>
    <t>A man serves a tennis ball with a racket while he talks.</t>
  </si>
  <si>
    <t>The man bounces a ball and shows how to move the body, then he serves a ball.</t>
  </si>
  <si>
    <t>The man continues talking in the tennis court.</t>
  </si>
  <si>
    <t>v_hKezMv52Nw8</t>
  </si>
  <si>
    <t>A female athlete is standing in a field and takes off running and does a long jump in to the pit.</t>
  </si>
  <si>
    <t>After,she walks off and her jump is measures as they show her replay.</t>
  </si>
  <si>
    <t>After,more girls begin to jump and represent their team and their jumps are measured as well.</t>
  </si>
  <si>
    <t>However,for the last jump,a close up is shown of the board because her foot barely touches it and they want to give her credit for those centimeters.</t>
  </si>
  <si>
    <t>v_RkhSR7pz9qc</t>
  </si>
  <si>
    <t>We see two teams of men playing soccer indoors.</t>
  </si>
  <si>
    <t>Two men collide and fall to the ground.</t>
  </si>
  <si>
    <t>Three men high five and hug each other.</t>
  </si>
  <si>
    <t>A man throws the ball clear across the room to the other goal.</t>
  </si>
  <si>
    <t>Two sets of people n the crowd are interviewed.</t>
  </si>
  <si>
    <t>We see the crowd and a man interviewed and see some scoring shots.</t>
  </si>
  <si>
    <t>We see three men stand and pose for a photo and a man is interviewed before we return to the game.</t>
  </si>
  <si>
    <t>v_FTCCoZdr5fo</t>
  </si>
  <si>
    <t>A man and woman are sitting on a couch talking.</t>
  </si>
  <si>
    <t>They are driving in a car down a street.</t>
  </si>
  <si>
    <t>They are rollerblading down a sidewalk.</t>
  </si>
  <si>
    <t>v_3jt4XE6ilIQ</t>
  </si>
  <si>
    <t>There's a man in a white shirt being interviewed in the 60 Minutes program by the host of the show.</t>
  </si>
  <si>
    <t>He is talking about his participation as a matador in a bull fighting event where there are several spectators watching him.</t>
  </si>
  <si>
    <t>During the event, he gets injured and is taken on a stretcher by the paramedics for first aid treatment.</t>
  </si>
  <si>
    <t>v_PbZIYJxoWdY</t>
  </si>
  <si>
    <t>A man is seen speaking to the camera and leads into several shots of a boat on water as well as people holding a camera and wake boarding.</t>
  </si>
  <si>
    <t>The people are then seen climbing on a rock and walking around a forest, ending by jumping in the water.</t>
  </si>
  <si>
    <t>More clips are shown of them wakeboarding as well as riding in the boat and jumping into the water.</t>
  </si>
  <si>
    <t>v_Ap7GCrt9C4w</t>
  </si>
  <si>
    <t>women are in the background of a gym lifting weights.</t>
  </si>
  <si>
    <t>man is preparing himself to lift weigh and stands in front of weight.</t>
  </si>
  <si>
    <t>v_w-st-23ZQSs</t>
  </si>
  <si>
    <t>Stacy is clapping and getting pumped up and ready to perform.</t>
  </si>
  <si>
    <t>She gets her pole and starts running with it and jumps onto the cushion.</t>
  </si>
  <si>
    <t>Then, other women follow suit doing the same after her scoring differently.</t>
  </si>
  <si>
    <t>Next is the men's turn to take their turns one by one following the women.</t>
  </si>
  <si>
    <t>v_NQyAC1aweec</t>
  </si>
  <si>
    <t>A cat is shown close up with a person's hand cutting the nails on the cat.</t>
  </si>
  <si>
    <t>The person continues cutting the claws while the cat attempts to get up several times.</t>
  </si>
  <si>
    <t>v_nxyENrsY4mo</t>
  </si>
  <si>
    <t>A small quote comes across the screen and the title pages follows.</t>
  </si>
  <si>
    <t>After,several people are pictured outside in a field grooming their horses.</t>
  </si>
  <si>
    <t>Finally,the people then get on their horses and they all begin competing with one another playing a game of Polo.</t>
  </si>
  <si>
    <t>As they play,a woman is shown on the side of the field taking pictures and a small logo for the photography shows on the end of the screen.</t>
  </si>
  <si>
    <t>v_1UIhgxQXcfI</t>
  </si>
  <si>
    <t>This person has dried grains and is now putting them into a small blender.</t>
  </si>
  <si>
    <t>Then he adds an egg and salt to the grains, plus other ingredients too.</t>
  </si>
  <si>
    <t>Next he makes a ball of the grain and then flattens it out, he then puts a cup onto it to make little round shaped cookies.</t>
  </si>
  <si>
    <t>He puts them on a pan and into an oven, after they're done he eats them along with some beer.</t>
  </si>
  <si>
    <t>v_rBsE1WGXbz0</t>
  </si>
  <si>
    <t>A man throws a ball onto a field.</t>
  </si>
  <si>
    <t>People are standing around measuring the distance.</t>
  </si>
  <si>
    <t>People are watching them from the sidelines.</t>
  </si>
  <si>
    <t>v_7QA5qyCXwyg</t>
  </si>
  <si>
    <t>A man is standing in a living room.</t>
  </si>
  <si>
    <t>He is using his hands to beat a set of drums.</t>
  </si>
  <si>
    <t>He continues playing for the rest of the video.</t>
  </si>
  <si>
    <t>v_36K1e9WgEpU</t>
  </si>
  <si>
    <t>Several people in donut shaped inflatable rafts float down a narrow stream guided by people helping them in the water and watched by a small group of people on nearby land.</t>
  </si>
  <si>
    <t>A group of people, float in a line, down a narrow stream of water in donut shaped, black inflatable rafts.</t>
  </si>
  <si>
    <t>One woman gets stuck on a rock in the raft and shimmies herself loose.</t>
  </si>
  <si>
    <t>The people reach the end of the narrow stream where a group of people help them off of the rafts and another small group of people watches them from nearby land.</t>
  </si>
  <si>
    <t>v_Rvsc5eymWIg</t>
  </si>
  <si>
    <t>man is holding a impact drill pulling out a car wheel.</t>
  </si>
  <si>
    <t>man is holding the wheel in a table and taking out the rubber from the rim and he changes it for another.</t>
  </si>
  <si>
    <t>car is in street next to a mountain.</t>
  </si>
  <si>
    <t>v_opGZh9nUlWA</t>
  </si>
  <si>
    <t>A lady stands in a dance studio.</t>
  </si>
  <si>
    <t>the lady performs a ballet dance.</t>
  </si>
  <si>
    <t>The lady lifts her leg up behind her and moves it to the front and rests it on her leg.</t>
  </si>
  <si>
    <t>The lady stands in front of the camera facing the mirror.</t>
  </si>
  <si>
    <t>We see a person sitting on the left side of the room.</t>
  </si>
  <si>
    <t>v_PbzmcZ_IORE</t>
  </si>
  <si>
    <t>A toy dog is walking on the floor.</t>
  </si>
  <si>
    <t>It stops to look around back and forth.</t>
  </si>
  <si>
    <t>Someone picks the dog up and puts it back down.</t>
  </si>
  <si>
    <t>v_gnZssGiQC7A</t>
  </si>
  <si>
    <t>A man at a professional sports event performs a long jump over a pit of sand in front of a stadium filled with people.</t>
  </si>
  <si>
    <t>The man begins by encouraging the audience to clap by throwing his hands up at the crowd and gesturing for applause.</t>
  </si>
  <si>
    <t>The man then kneels slightly to prepare for the run and begins to run down a stretch of narrow lane before catapulting in the air over the sandpit.</t>
  </si>
  <si>
    <t>The man lands on the other side of the pit and gestures to the audience again for applause as men smooth sand over with long handled and wide brush brooms, the audience claps and waves flags and camera people rush around the event capturing it on film.</t>
  </si>
  <si>
    <t>v_4dVVaDvCzn0</t>
  </si>
  <si>
    <t>Words come across the screen over an image.</t>
  </si>
  <si>
    <t>We see ladies dealing cards on purple tables in a casino with no customers.</t>
  </si>
  <si>
    <t>the dealer smiles and deals cards and points to them.</t>
  </si>
  <si>
    <t>The dealer finishes and waves her arms across the table as words appear on the screen.</t>
  </si>
  <si>
    <t>v_hg8WbkmC2nU</t>
  </si>
  <si>
    <t>A man is seen speaking to the camera while walking around a kitchen and checking on food.</t>
  </si>
  <si>
    <t>Several shots of food are shown on tables as well as racks and the chef continues to speak to the staff behind.</t>
  </si>
  <si>
    <t>The man walks out front and speaks with the customers that are coming in and finished by speaking to the camera.</t>
  </si>
  <si>
    <t>v_2Is_nJdG2to</t>
  </si>
  <si>
    <t>A woman brush the hair of a girl while talking sitting on a bed.</t>
  </si>
  <si>
    <t>Then, the woman kneel on the bed and touch the shoulders of the girl.</t>
  </si>
  <si>
    <t>v_GHcNgllmcpM</t>
  </si>
  <si>
    <t>A large crowd is seen sitting before a stage and leads into a young woman hitting drums in a circle and moving around the stage.</t>
  </si>
  <si>
    <t>The woman continues hitting the drums while the crowd watches and ends with text scrolling across the screen.</t>
  </si>
  <si>
    <t>v_T_CvR3zm6K8</t>
  </si>
  <si>
    <t>Men are playing volleyball in the sand.</t>
  </si>
  <si>
    <t>Cheerleaders are standing next to them watching.</t>
  </si>
  <si>
    <t>A woman is playing soccer on a beach.</t>
  </si>
  <si>
    <t>v_ehO168THGqU</t>
  </si>
  <si>
    <t>Two men skateboarding at an indoor skate park along side each other.</t>
  </si>
  <si>
    <t>They stop and give other pointers, trying to perfect how to jump on the rail.</t>
  </si>
  <si>
    <t>One of them tries again and again and the other gets a stick out of his bag and extends it towards the rail.</t>
  </si>
  <si>
    <t>Then, another male comes and joins in, they play rock paper scissors and get back on board.</t>
  </si>
  <si>
    <t>v_Tm7N2HU4noQ</t>
  </si>
  <si>
    <t>We see a basketball title screen.</t>
  </si>
  <si>
    <t>A man is coaching as a teen makes basketball shots.</t>
  </si>
  <si>
    <t>The man takes the ball and demonstrates a hip move the the boy tries.</t>
  </si>
  <si>
    <t>The man demonstrates something and the boy shoots the ball.</t>
  </si>
  <si>
    <t>We see the tips on the screen 1 by one.</t>
  </si>
  <si>
    <t>We then see the ending title screen.</t>
  </si>
  <si>
    <t>v_MXN34b2OUjQ</t>
  </si>
  <si>
    <t>two girl teams play field hockey with hockey sticks and a small ball.</t>
  </si>
  <si>
    <t>the team with the burgundy shirts scores three times and the other team scored none.</t>
  </si>
  <si>
    <t>v__bSRAXNa5PY</t>
  </si>
  <si>
    <t>We see a man dive into a pool in slow motion.</t>
  </si>
  <si>
    <t>We see the judges giving the man his score and talking to him.</t>
  </si>
  <si>
    <t>We see a lady clapping.</t>
  </si>
  <si>
    <t>We see the diver being interviewed.</t>
  </si>
  <si>
    <t>We see the crowd stand and clap.</t>
  </si>
  <si>
    <t>we see the final score cards for all the contestants.</t>
  </si>
  <si>
    <t>v_TeXm2KTfkzo</t>
  </si>
  <si>
    <t>Trees blow in the breeze as a man mows the lawn.</t>
  </si>
  <si>
    <t>The sun peeks from behind the clouds and lights the scene up.</t>
  </si>
  <si>
    <t>the man stops and empties grass in the garbage.</t>
  </si>
  <si>
    <t>A man enters carrying a baby and leaves.</t>
  </si>
  <si>
    <t>The man mows along side of the bushes.</t>
  </si>
  <si>
    <t>The man stops and empties his bag again.</t>
  </si>
  <si>
    <t>The man empties his bag and puts it back on the mower and walks away.</t>
  </si>
  <si>
    <t>v_oDZ6refg3Ew</t>
  </si>
  <si>
    <t>A woman is seen performing a dance routine while moving around on the beach near the water.</t>
  </si>
  <si>
    <t>The woman continues moving around on the beach shaking her arms and legs and looking off into the distance.</t>
  </si>
  <si>
    <t>v_oOnKQgQZOZ0</t>
  </si>
  <si>
    <t>A water polo match is happening at an enclosed swimming pool.</t>
  </si>
  <si>
    <t>There are a few spectators looking on from the sides of the pool, while a referee is following the actions to stay in control of the match.</t>
  </si>
  <si>
    <t>It is quiet other than the young kids that are involved in the game.</t>
  </si>
  <si>
    <t>They are having a great time and are very involved in what they are doing.</t>
  </si>
  <si>
    <t>v_Fu46pdVz4qY</t>
  </si>
  <si>
    <t>We see a lady in a pink shirt talking to the camera.</t>
  </si>
  <si>
    <t>We see the lady pick up a basket of laundry and put it down.</t>
  </si>
  <si>
    <t>the lady shakes out a dress and puts it on an ironing board.</t>
  </si>
  <si>
    <t>The lady rubs the dress and straitens it out.</t>
  </si>
  <si>
    <t>The lady puts a shirt on the board then puts it back in the basket.</t>
  </si>
  <si>
    <t>The lady folds the dress, smiles and the scene ends.</t>
  </si>
  <si>
    <t>v_cQxTLj4XwuU</t>
  </si>
  <si>
    <t>A man is seated on a couch.</t>
  </si>
  <si>
    <t>He lifts up a shoe and bottle of detergent.</t>
  </si>
  <si>
    <t>He takes it to a sink, where he washes it.</t>
  </si>
  <si>
    <t>He then places two pieces of fruit on top, and eats them off with his mouth.</t>
  </si>
  <si>
    <t>v_2Peh_gdQCjg</t>
  </si>
  <si>
    <t>Descriptive text is shown against a red movie curtain backdrop.</t>
  </si>
  <si>
    <t>A coach shows different leg stances to a student for playing badminton.</t>
  </si>
  <si>
    <t>The coach returns serves from the student using the racket during a practice drill.</t>
  </si>
  <si>
    <t>The students returns serves from the instructor for a practice drill.</t>
  </si>
  <si>
    <t>v_4KgIfmPLuAY</t>
  </si>
  <si>
    <t>A man kneels on a mat and shows her back an front with his left hand while talking.</t>
  </si>
  <si>
    <t>Then, the man lift a kettlebell and put on front his chest while talking.</t>
  </si>
  <si>
    <t>Then, the man put the kettlebell on the floor and continues talking.</t>
  </si>
  <si>
    <t>v_k_ZCg9tqGQo</t>
  </si>
  <si>
    <t>A woman is seen standing in front of mirror with a man beside her followed by her laying on a table.</t>
  </si>
  <si>
    <t>The man then quickly tattoos her face and transitions into her sitting up then back down again to show off her tattoo.</t>
  </si>
  <si>
    <t>v_N_o9Qp0FLVY</t>
  </si>
  <si>
    <t>woman is in a shower spreading soap and water in her arms.</t>
  </si>
  <si>
    <t>woman is shaving her legs on the bathtub.</t>
  </si>
  <si>
    <t>someone open the curtains and is a man that is inside and runs from the bathroom with a mask on his face.</t>
  </si>
  <si>
    <t>v_9H8OBfrm1Rw</t>
  </si>
  <si>
    <t>Rain is pouring down and a person is walking across the field pointing his finger across the field.</t>
  </si>
  <si>
    <t>After,he is shown in a field holding his hand up starts to play lacrosse.</t>
  </si>
  <si>
    <t>More games continue and the guy who was pointing begins making goals and leading his team.</t>
  </si>
  <si>
    <t>v_IdhpB7doBOE</t>
  </si>
  <si>
    <t>A woman talks facing a camera, in front of a dance studio advertisement sign, as four girls demonstrate ballet techniques in front of a ballet bar in a dance studio.</t>
  </si>
  <si>
    <t>A woman with blonde hair, and dressed in all black, stands in front of a dance studio advertisement and talks while facing the camera.</t>
  </si>
  <si>
    <t>The camera cuts away to four girls in ballet outfits and ballet shoes facing a ballet bar with their backs to the camera and demonstrating ballet knee bends.</t>
  </si>
  <si>
    <t>The girls then demonstrate ballet toe points as the camera cuts back to the lone woman who continues to talk facing the camera, until the scene fades to a marketing graphic.</t>
  </si>
  <si>
    <t>v_mz2-lgoNz1M</t>
  </si>
  <si>
    <t>A man wearing a white shirt and a camouflage print hat and ear and lip piercings is demonstrating how to do permanent tattoos.</t>
  </si>
  <si>
    <t>He shows how he shaves the client's arm with a razor and rubs some alcohol on it to prep the skin.</t>
  </si>
  <si>
    <t>Then he places a stencil on the client's arm to lay down the outline of the tattoo.</t>
  </si>
  <si>
    <t>Then he applies some cream over the skin to minimize bleeding.</t>
  </si>
  <si>
    <t>He begins to use the tattoo machine to draw on the tattoo over the outline.</t>
  </si>
  <si>
    <t>He also shows how he uses different colors to fill in the outline of the design.</t>
  </si>
  <si>
    <t>He then completes the tattoo as per the client's specifications.</t>
  </si>
  <si>
    <t>v_ZgIKmwnCqr4</t>
  </si>
  <si>
    <t>A little baby is outside holding a stick attempting to hit the pinata with it.</t>
  </si>
  <si>
    <t>Behind her,a lady is holding up the baby and assisting her as she hits the pinata.</t>
  </si>
  <si>
    <t>As the pinata bounces up and down,the young baby barely hits it and then ends up turning towards the camera.</t>
  </si>
  <si>
    <t>v_sTMbpIfI-6o</t>
  </si>
  <si>
    <t>A little girl is seated at a table in front of two glasses, a 7up bottle and a plate of lime slices.</t>
  </si>
  <si>
    <t>She adds the soda and lime slices to the glasses, squeezing the juice into the liquid before taking a drink.</t>
  </si>
  <si>
    <t>v_hJ4ZU-FA5XA</t>
  </si>
  <si>
    <t>An old style television show is shown where a man cuts a woman's hair.</t>
  </si>
  <si>
    <t>A man then cuts her hair real short while another man looks in from outside.</t>
  </si>
  <si>
    <t>v_po9uigsunAU</t>
  </si>
  <si>
    <t>A man is outside in a soccer field putting his equipment in a book bag.</t>
  </si>
  <si>
    <t>Once the things are in his bags,he secures it with his straps and begins jumping up and down.</t>
  </si>
  <si>
    <t>The main tasks begins and the man begins running through the woods.</t>
  </si>
  <si>
    <t>All of a sudden,a small body of water is shown and people are tubing and sitting down enjoying each other.</t>
  </si>
  <si>
    <t>v_m6T68amiXjs</t>
  </si>
  <si>
    <t>A boy with a hat is seen walking and talking behind some trees.</t>
  </si>
  <si>
    <t>The boy sneaks out onto a field where another boy is playing field hockey.</t>
  </si>
  <si>
    <t>The boy in the hat takes the ball.</t>
  </si>
  <si>
    <t>The boy playing field hockey is seen leaping around in the background.</t>
  </si>
  <si>
    <t>The boy in the hat kicks the ball back to the field hockey player and another player is seen.</t>
  </si>
  <si>
    <t>The two field hockey players are seen running around and hitting the field hockey ball with their sticks.</t>
  </si>
  <si>
    <t>One of the field hockey players is seen with his arms and legs wrapped around the leg of the boy with the hat.</t>
  </si>
  <si>
    <t>v_ExNd4o46kao</t>
  </si>
  <si>
    <t>A little girl uses a sweeper to hit a disc.</t>
  </si>
  <si>
    <t>The disc travels down the court before stopping, as do further discs.</t>
  </si>
  <si>
    <t>She continues playing the game, unsure how to win.</t>
  </si>
  <si>
    <t>v_kxwTPAhlhpw</t>
  </si>
  <si>
    <t>A man is standing behind a bar talking.</t>
  </si>
  <si>
    <t>He puts ice in a glass.</t>
  </si>
  <si>
    <t>He pours shots into the glass.</t>
  </si>
  <si>
    <t>He stirs the drink with a straw.</t>
  </si>
  <si>
    <t>v_d-uGSELb0N0</t>
  </si>
  <si>
    <t>Several individuals are shown playing volleyball in a gymnasium from the right side of the net while other people are engaging in other activity in the background.</t>
  </si>
  <si>
    <t>The camera pans left to show the team on the left side of the net.</t>
  </si>
  <si>
    <t>The camera returns to the team on the right side.</t>
  </si>
  <si>
    <t>v_P6UwokP8BEg</t>
  </si>
  <si>
    <t>Three men exhibit hammer throws in an outdoor Olympic event surrounded by onlookers on the field and in bleachers.</t>
  </si>
  <si>
    <t>A man stands at an outdoor Olympic game and performs a hammer throw surrounded by people and and an audience in bleachers before letting the hammer go to fly in the air.</t>
  </si>
  <si>
    <t>Two more men perform a hammer throw in the same way releasing the hammer into the air to fly out into a field.</t>
  </si>
  <si>
    <t>Three men stand in the middle of a field and hold up medals that hanging around their necks.</t>
  </si>
  <si>
    <t>v_tT7ljH8GCl8</t>
  </si>
  <si>
    <t>A lawnmower is outside next to a line of round rocks.</t>
  </si>
  <si>
    <t>A person starts the mower and begins pushing it alongside the rock border.</t>
  </si>
  <si>
    <t>We get a first hand view of the person's lawn being mowed as they turn and push the mower all over.</t>
  </si>
  <si>
    <t>The man's face is shown just before he turns off the camera.</t>
  </si>
  <si>
    <t>v_Mfk4bUp_ZC0</t>
  </si>
  <si>
    <t>Children are riding the bumper cars at an amusement park or carnival.</t>
  </si>
  <si>
    <t>A Traffic jam traps the little girls in the middle of cars.</t>
  </si>
  <si>
    <t>the little girl in the hat smiles as she looks in her sisters face.</t>
  </si>
  <si>
    <t>v_LwJFjFdJy5c</t>
  </si>
  <si>
    <t>A large group of people are seen sitting around an outdoor field.</t>
  </si>
  <si>
    <t>A dog is seen running up and down the field in the middle of the audience.</t>
  </si>
  <si>
    <t>The dog keeps running back and fourth while the camera watches from the side.</t>
  </si>
  <si>
    <t>v_lxMSX0Y0b8I</t>
  </si>
  <si>
    <t>We see a couple of title screens.</t>
  </si>
  <si>
    <t>We see a man perform a series of Capoeira moves with the names before the move.</t>
  </si>
  <si>
    <t>We see a man shift and roundhouse kick.</t>
  </si>
  <si>
    <t>The man does a handstand on one hand and kicks his legs in the air.</t>
  </si>
  <si>
    <t>The man does a flip from a handstands.</t>
  </si>
  <si>
    <t>v_cdP8_KujTCE</t>
  </si>
  <si>
    <t>We see a colorful and playful title screen.</t>
  </si>
  <si>
    <t>We then see people in a room and outdoors at a fancy party.</t>
  </si>
  <si>
    <t>A woman walks through the door.</t>
  </si>
  <si>
    <t>The man in the suit come through the gate.</t>
  </si>
  <si>
    <t>A man in red walks past the camera.</t>
  </si>
  <si>
    <t>The lady in white sees the camera and hides.</t>
  </si>
  <si>
    <t>We see Colorful crystal like closing screen.</t>
  </si>
  <si>
    <t>v_IjdTjpaPPNg</t>
  </si>
  <si>
    <t>People are riding horses along a dirt trail.</t>
  </si>
  <si>
    <t>They are crossing a river of water on the horses.</t>
  </si>
  <si>
    <t>They continue on their ride on the horses.</t>
  </si>
  <si>
    <t>v_hKn_RK3VSAo</t>
  </si>
  <si>
    <t>Several people in a lab create a formula, and interview with a journalist, interspersed with images of people applying sunscreen to themselves.</t>
  </si>
  <si>
    <t>Many people are shown on video in candid shots of them applying sunscreen to themselves while outdoors.</t>
  </si>
  <si>
    <t>A woman in a lab prepares a formula of varied ingredients interspersed with talking to a camera.</t>
  </si>
  <si>
    <t>More scientists are shown in the lab interviewing and talking intermixed with shots of them preparing formulas in the lab and one final shot of a man in an outdoor market handling ingredients for sale.</t>
  </si>
  <si>
    <t>v_GCtrfXIBbwA</t>
  </si>
  <si>
    <t>young man is playing the harmonica.</t>
  </si>
  <si>
    <t>young man introduces his video lesson and lays out the lesson plan.</t>
  </si>
  <si>
    <t>Musical notes are displayed onscreen while harmonica plays.</t>
  </si>
  <si>
    <t>v_bu7zk-YxEoY</t>
  </si>
  <si>
    <t>An athletic woman is seen stepping up to a beam and beginnings performing a gymnastics routine on it.</t>
  </si>
  <si>
    <t>The woman continues moving around on the beam and ends with her jumping down with her arms up and speaking to her coach as her ending is shown again in slow motion.</t>
  </si>
  <si>
    <t>v_GHOCVoZsFHE</t>
  </si>
  <si>
    <t>A man is seen speaking to the camera an leads into clips of him demonstrating martial arts with another man.</t>
  </si>
  <si>
    <t>The men continue to demonstrate with one another while pausing to speak to the camera.</t>
  </si>
  <si>
    <t>v_CXM1sXEMSWI</t>
  </si>
  <si>
    <t>An introduction comes onto the screen for a funny video about beer drinking.</t>
  </si>
  <si>
    <t>Some guys in a room prepare to do a trick with a beer can.</t>
  </si>
  <si>
    <t>They perform the trick and a guy begins to chug the beer.</t>
  </si>
  <si>
    <t>Shortly thereafter, the guy begins throwing up all the beer into a trash can while everyone laughs.</t>
  </si>
  <si>
    <t>v_s82_J03bqwQ</t>
  </si>
  <si>
    <t>A man is seen riding in on a skateboard followed by a man drinking a beer through a hose and a man sitting in a car flipping off the camera man.</t>
  </si>
  <si>
    <t>More random shots are show of landscapes, dogs, people standing around, and moving along the water.</t>
  </si>
  <si>
    <t>The video leads into people riding along on the water kite surfing and leads into a man speaking to others outside while smoking a cigarette.</t>
  </si>
  <si>
    <t>v_YaHTgeeDs7s</t>
  </si>
  <si>
    <t>A bunch of kids are playing on the bumpers cars at an amusement park.</t>
  </si>
  <si>
    <t>The crash into each other over and over and seem to be a bit confused as to what to do.</t>
  </si>
  <si>
    <t>They have smiles on their faces as they continue to go around the track.</t>
  </si>
  <si>
    <t>v_0jrThYemNLs</t>
  </si>
  <si>
    <t>A close up of a white fencing mask and a black fencing mask.</t>
  </si>
  <si>
    <t>A fencing coach gives instruction to the two fencing competitors.</t>
  </si>
  <si>
    <t>Two competitors discus fencing strategies.</t>
  </si>
  <si>
    <t>More fencing scenes while a girl and boy argue on the sideline.</t>
  </si>
  <si>
    <t>More competition with the fencing couch watching and critiquing.</t>
  </si>
  <si>
    <t>v_CvVqbdk6owc</t>
  </si>
  <si>
    <t>A groip of dancers are on stage doing a routine for the audience.</t>
  </si>
  <si>
    <t>The car show shows the inside of some pretty neat cars with beautiful exteriors.</t>
  </si>
  <si>
    <t>Another group of dancers take turns break dancing on their heads.</t>
  </si>
  <si>
    <t>They go one by one and are circled by and audience watching around them.</t>
  </si>
  <si>
    <t>v_a_n3mR1iVDI</t>
  </si>
  <si>
    <t>A man is seen hosting a news segment that leads into several shots of people shuffling pucks along the ice in slow motion.</t>
  </si>
  <si>
    <t>More shots are shown of people playing the game and ends with a 3d animation across the screen.</t>
  </si>
  <si>
    <t>v_So3EfVyUP64</t>
  </si>
  <si>
    <t>A woman with short hair is seen talking to the camera then flipping a pair of paints inside out.</t>
  </si>
  <si>
    <t>She folds the pants neatly on an ironing board and begins ironing the paints thoroughly.</t>
  </si>
  <si>
    <t>v_j9ww01sQkvY</t>
  </si>
  <si>
    <t>The camera focuses on a smiling man seated next to others.</t>
  </si>
  <si>
    <t>Another individual walks through the frame foreground and briefly obscures the first man.</t>
  </si>
  <si>
    <t>v_t3UI2gjo8X8</t>
  </si>
  <si>
    <t>We see a man in the pool with a cap on.</t>
  </si>
  <si>
    <t>We see a man make a goal with a ball.</t>
  </si>
  <si>
    <t>We see another goal scored.</t>
  </si>
  <si>
    <t>We see another goal being scored.</t>
  </si>
  <si>
    <t>We see the man score a goal and swim off.</t>
  </si>
  <si>
    <t>We see the man outdoors swimming and make 3 goals.</t>
  </si>
  <si>
    <t>We see another score and the men playing in the water.</t>
  </si>
  <si>
    <t>v_huv327wdIU8</t>
  </si>
  <si>
    <t>A group of boys are shown running down a gym holding hands and putting their hands into the air.</t>
  </si>
  <si>
    <t>A woman speaks to the boys while they drink some water and transitions into them playing a game and scoring a goal.</t>
  </si>
  <si>
    <t>The same shot is shown again in slow motion and several more shots of the boys playing are shown.</t>
  </si>
  <si>
    <t>v_hIQ4Lmazo4g</t>
  </si>
  <si>
    <t>We see two little girls in coats playing in the sand.</t>
  </si>
  <si>
    <t>We pan left and see the ocean.</t>
  </si>
  <si>
    <t>We return to the girls.</t>
  </si>
  <si>
    <t>The wind blows he left girls hood on to her head.</t>
  </si>
  <si>
    <t>We pan left to see the ocean again.</t>
  </si>
  <si>
    <t>The left girl moves her hair out of her face as she talks to the camera.</t>
  </si>
  <si>
    <t>v_EfJO4zg7bYE</t>
  </si>
  <si>
    <t>A man is standing beside a counter while holding a rag.</t>
  </si>
  <si>
    <t>He picks up a container of polish and talks about the surface of the counter.</t>
  </si>
  <si>
    <t>He rubs it down with polish and the two rags, then dusts it to a shine.</t>
  </si>
  <si>
    <t>v_dfex2oZYqmU</t>
  </si>
  <si>
    <t>A soccer match is occurring on a field and a player is shown falling down.</t>
  </si>
  <si>
    <t>The man is able to get up and the video shows the fall again in slow motion.</t>
  </si>
  <si>
    <t>The players continue playing and one of them even scores a goal.</t>
  </si>
  <si>
    <t>The goal is shown over and over in low motion to show the significance of the play.</t>
  </si>
  <si>
    <t>v_91ozOcjKl5M</t>
  </si>
  <si>
    <t>Ingredients are shown on a sliver platter.</t>
  </si>
  <si>
    <t>A man begins chopping food on a black chopping board.</t>
  </si>
  <si>
    <t>He adds pasta to a large pot on the stove.</t>
  </si>
  <si>
    <t>He starts cooking in a pan on the stove.</t>
  </si>
  <si>
    <t>He covers the pan with a lid.</t>
  </si>
  <si>
    <t>He puts the pasta into a bowl.</t>
  </si>
  <si>
    <t>He pours the sauce on top of the pasta.</t>
  </si>
  <si>
    <t>v_xOTW_-tiEjY</t>
  </si>
  <si>
    <t>A baby is sitting at a table eating a Popsicle.</t>
  </si>
  <si>
    <t>He takes a bite out of his Popsicle.</t>
  </si>
  <si>
    <t>He takes something out of his bib and puts it in his mouth.</t>
  </si>
  <si>
    <t>v_b1uGF3c3Vz4</t>
  </si>
  <si>
    <t>A young woman is sitting in a chair playing with a cat.</t>
  </si>
  <si>
    <t>She then takes clothes pins,grabs the nape of the hair and clips the cats nails.</t>
  </si>
  <si>
    <t>After awhile,the cats tries to bite her hands,once the girl is done,she removes the pins and waves at the camera.</t>
  </si>
  <si>
    <t>v_SkytxdoXLs4</t>
  </si>
  <si>
    <t>A group of kids are running between orange cones on a court.</t>
  </si>
  <si>
    <t>They are competing to see how quickly they can jump between them as the coach claps and cheers them on.</t>
  </si>
  <si>
    <t>v_rS8T1dAdiCs</t>
  </si>
  <si>
    <t>A girl sits a table talking.</t>
  </si>
  <si>
    <t>We see an intro screen.</t>
  </si>
  <si>
    <t>The girl sits at the table and shows a gift bag.</t>
  </si>
  <si>
    <t>A cat runs across the table and jumps off.</t>
  </si>
  <si>
    <t>We see the girl puts gifts into a gift bag with tissue paper.</t>
  </si>
  <si>
    <t>The girl moves the cat off the table and onto the floor.</t>
  </si>
  <si>
    <t>The girl adds more tissue paper to the bag.</t>
  </si>
  <si>
    <t>v_WhOsURGm0Kg</t>
  </si>
  <si>
    <t>Several cups are shown sitting on a table with a man standing behind.</t>
  </si>
  <si>
    <t>The man then throws the ball into a cup and cheers.</t>
  </si>
  <si>
    <t>He finally walks away from the camera.</t>
  </si>
  <si>
    <t>v_36JC5C6I4sg</t>
  </si>
  <si>
    <t>People wash a car with water using a hose.</t>
  </si>
  <si>
    <t>A man stands on the side watching the men.</t>
  </si>
  <si>
    <t>Then, the men put soap on the car, after they rinse the car with water.</t>
  </si>
  <si>
    <t>A man gets inside the car.</t>
  </si>
  <si>
    <t>v_4KzG9JBE9V8</t>
  </si>
  <si>
    <t>A kid rides an inner tube down a big snow hill.</t>
  </si>
  <si>
    <t>People stand and sit on the sides of the snow hill watching.</t>
  </si>
  <si>
    <t>v_P4Z4sQNQtJM</t>
  </si>
  <si>
    <t>A woman is standing outdoors in a pink martial arts outfit.</t>
  </si>
  <si>
    <t>She moves slowly, showing various martial arts moves.</t>
  </si>
  <si>
    <t>She continues moving slowly as the names of the moves appear onscreen.</t>
  </si>
  <si>
    <t>v_wAqQ-8OxhXY</t>
  </si>
  <si>
    <t>A close up of homes are shown with a person walking with a dog and then speaking to the camera.</t>
  </si>
  <si>
    <t>The man continues speaking as he leads the dog around the neighborhood.</t>
  </si>
  <si>
    <t>v_dtEs78TCOZQ</t>
  </si>
  <si>
    <t>An older gentleman is brushing a brown horse.</t>
  </si>
  <si>
    <t>He turns around and talks to an older lady.</t>
  </si>
  <si>
    <t>The horse lifts its leg up.</t>
  </si>
  <si>
    <t>v_DXOKFXlx84M</t>
  </si>
  <si>
    <t>A dog is seen laying comfortably in a large bowl with a man beside him.</t>
  </si>
  <si>
    <t>The man is seen kneeling down next to the dog and begins rubbing him down.</t>
  </si>
  <si>
    <t>The man continues to clean off the dog in the bath.</t>
  </si>
  <si>
    <t>v_u6FTTLK6GUg</t>
  </si>
  <si>
    <t>People are playing dodge ball in a gym.</t>
  </si>
  <si>
    <t>They start throwing the balls at each other.</t>
  </si>
  <si>
    <t>v_a0bj_vVpK9s</t>
  </si>
  <si>
    <t>A man pushes a tube down a hill.</t>
  </si>
  <si>
    <t>Another person sleds down the hill on a tube.</t>
  </si>
  <si>
    <t>A person in a red jacket is standing at the bottom.</t>
  </si>
  <si>
    <t>v_PKLLNgcEuRI</t>
  </si>
  <si>
    <t>This man is wearing a blue t-shirt and white shorts and he is doing his gymnastic routine.</t>
  </si>
  <si>
    <t>Then he gets off and walks away to go somewhere else.</t>
  </si>
  <si>
    <t>There is also another man there with him who's walking around and he's wearing a green shirt.</t>
  </si>
  <si>
    <t>v_9QnASEwOBT4</t>
  </si>
  <si>
    <t>A man is seen speaking to a woman as she puts on a belt and then walks on stage.</t>
  </si>
  <si>
    <t>The woman then bends down and lifts a large weight over her head, followed by throwing it down and walking off stage.</t>
  </si>
  <si>
    <t>Her same lift is shown again in slow motion.</t>
  </si>
  <si>
    <t>v_j4EFi_NoEbQ</t>
  </si>
  <si>
    <t>boy is skateboarding in a skate park at night.</t>
  </si>
  <si>
    <t>boy is skateboarding in a sidewalk with peopl walking by.</t>
  </si>
  <si>
    <t>man is skateboarding in street and a car almost run over.</t>
  </si>
  <si>
    <t>scenes of men skteboarding in a fences and falling off.</t>
  </si>
  <si>
    <t>v_zUPadKgtYHw</t>
  </si>
  <si>
    <t>a lot of people are on a marathon running in street while people is on sides.</t>
  </si>
  <si>
    <t>different women and men are acrossing the finish.</t>
  </si>
  <si>
    <t>v_Kbr2nr94EB0</t>
  </si>
  <si>
    <t>A man in a black shirt is talking on a basketball court.</t>
  </si>
  <si>
    <t>A boy is playing basketball on the court.</t>
  </si>
  <si>
    <t>v_zSWuVb-aYAA</t>
  </si>
  <si>
    <t>A lady performance on stage with a dog(s) .</t>
  </si>
  <si>
    <t>The dog fetches plates that the lady tosses.</t>
  </si>
  <si>
    <t>A second dog joins the act on stage.</t>
  </si>
  <si>
    <t>The dogs fetch plates together.</t>
  </si>
  <si>
    <t>A dog continuously jumps over another dog and into the lady's hand.</t>
  </si>
  <si>
    <t>A dog jumps through hula hoops.</t>
  </si>
  <si>
    <t>A dog jumps from the stage onto the lady's back.</t>
  </si>
  <si>
    <t>A dog bites on a red plate and does not let go.</t>
  </si>
  <si>
    <t>A dog jumps on a lady's elevated soles.</t>
  </si>
  <si>
    <t>The performers take a bow and with the dog exit the stage.</t>
  </si>
  <si>
    <t>The stage curtains are drawn.</t>
  </si>
  <si>
    <t>v_09G6PvM5q9Y</t>
  </si>
  <si>
    <t>A woman stands behind a table with high heels on it.</t>
  </si>
  <si>
    <t>She starts wiping off the shoe.</t>
  </si>
  <si>
    <t>She uses a q-tip to clean the side of the shoe.</t>
  </si>
  <si>
    <t>She sprays the shoe with Windex and wipes it off.</t>
  </si>
  <si>
    <t>v_3oJ62-Ce9ys</t>
  </si>
  <si>
    <t>A hand is seen putting weights on a bar and leads into a person lifting weights on their shoulders and walking.</t>
  </si>
  <si>
    <t>The person sets the weights down and walks back with the weights lunging.</t>
  </si>
  <si>
    <t>v_nQgmUkyblgc</t>
  </si>
  <si>
    <t>A barefoot woman in a purple outfit and beige headscarf is kneeling and washing dishes in an outdoor body of water in front of grass and a wooden platform.</t>
  </si>
  <si>
    <t>The woman rinses a bronze platter in the narrow body of water and proceeds to place it in an orange plastic bucket.</t>
  </si>
  <si>
    <t>The woman continues to wash other dishes and place them in the orange basket.</t>
  </si>
  <si>
    <t>The camera pans out a great distance and turns to show a yellow bannister on an outdoor deck with a brown leather chaise like seating area over looking a large lake.</t>
  </si>
  <si>
    <t>v_pPsqB3tY7hk</t>
  </si>
  <si>
    <t>Various shots of landscapes are shown as well as people pushing a puck to play shuffleboard.</t>
  </si>
  <si>
    <t>More shots of the game are shown as well as text instructions on how to play.</t>
  </si>
  <si>
    <t>A man keeps score and leads into more shots of the game being played.</t>
  </si>
  <si>
    <t>v_5MfhJjbNNJE</t>
  </si>
  <si>
    <t>A man is holding a jump rope and talking.</t>
  </si>
  <si>
    <t>He starts jump roping and doing tricks.</t>
  </si>
  <si>
    <t>v_nSgBX7D4XLA</t>
  </si>
  <si>
    <t>A small group of men are seen standing on a boat with one pushing a shuffleboard.</t>
  </si>
  <si>
    <t>The men then begin playing shuffleboard with one another while taking turns.</t>
  </si>
  <si>
    <t>They continue playing on the side of the boat.</t>
  </si>
  <si>
    <t>v_WgJy8seQ7z4</t>
  </si>
  <si>
    <t>Two men are arm wrestling on a table.</t>
  </si>
  <si>
    <t>Another man walks up to the table and stands in front of them.</t>
  </si>
  <si>
    <t>They finish arm wrestling and they start to stand up.</t>
  </si>
  <si>
    <t>v_loYCYGQpGRw</t>
  </si>
  <si>
    <t>A woman is adding ingredients to a pan on the stove.</t>
  </si>
  <si>
    <t>She stirs the ingredients in the pan.</t>
  </si>
  <si>
    <t>She pulls a large pot of pasta and dumps it into the pan.</t>
  </si>
  <si>
    <t>v_G4kjV4ulJzo</t>
  </si>
  <si>
    <t>A woman is walking down the street with two dogs.</t>
  </si>
  <si>
    <t>The larger dog is holding a leash in his mouth.</t>
  </si>
  <si>
    <t>The smaller dog is attached to the leash, and is essentially being led by the larger dog on the walk.</t>
  </si>
  <si>
    <t>A man walks in front, leading the way.</t>
  </si>
  <si>
    <t>v_VmwvfQDR4YQ</t>
  </si>
  <si>
    <t>A man is doing flips on the grass.</t>
  </si>
  <si>
    <t>A man in a white hat is standing next to the man.</t>
  </si>
  <si>
    <t>One of the men throws a rock into the air.</t>
  </si>
  <si>
    <t>v_kv8lsSjfguI</t>
  </si>
  <si>
    <t>Families are outside in a large field standing behind an orange make shift fence listening to a woman talk into a microphone.</t>
  </si>
  <si>
    <t>A male then comes along dressed in the same shrit as a woman and begins to throw Frisbees to a dog.</t>
  </si>
  <si>
    <t>This activity continues and the dog begins jumping over the dog's head and its back.</t>
  </si>
  <si>
    <t>Others then join in and the boy picks up the dog and walks away.</t>
  </si>
  <si>
    <t>v_6KG4p_pfMQc</t>
  </si>
  <si>
    <t>man wearing a red shirt is standing in a large green field behind kids.</t>
  </si>
  <si>
    <t>little blonde kid throw a ball and a kid kicks the ball in the field.</t>
  </si>
  <si>
    <t>kisd are running in the field to catch th ball.</t>
  </si>
  <si>
    <t>v_woiigfrANUM</t>
  </si>
  <si>
    <t>A man stands in an arena preparing to skateboard.</t>
  </si>
  <si>
    <t>The man skates down a halfpipe and goes back and forth from one end to the other.</t>
  </si>
  <si>
    <t>The man loses his skateboard and comes down the wall on his knees.</t>
  </si>
  <si>
    <t>We see the man's disappointment as another man prepares to skate.</t>
  </si>
  <si>
    <t>The man walks away and hops on his skateboard behind the stage.</t>
  </si>
  <si>
    <t>v_2duxXAsCW0k</t>
  </si>
  <si>
    <t>A man with an umbrella is wiping his car during the rain.</t>
  </si>
  <si>
    <t>He smiles at the camera and begins to talk to the camera person.</t>
  </si>
  <si>
    <t>v_V2ltLccVh_Q</t>
  </si>
  <si>
    <t>Several shots are shown of paintball gear as well as a man smoking a cigarette.</t>
  </si>
  <si>
    <t>This leads into people playing paintball with one another and running around.</t>
  </si>
  <si>
    <t>More shots are shown of people playing and speaking to one another.</t>
  </si>
  <si>
    <t>v_Vpue9WHrcAk</t>
  </si>
  <si>
    <t>A woman puts a cigarette in her mouth.</t>
  </si>
  <si>
    <t>Then, the woman lights a cigarette and smokes.</t>
  </si>
  <si>
    <t>The woman blows smoke from his mouth.</t>
  </si>
  <si>
    <t>v_ZgVmS-AhYgA</t>
  </si>
  <si>
    <t>A group of rafters carries a raft down a path.</t>
  </si>
  <si>
    <t>Groups of rafters ride down a river going over small waterfalls.</t>
  </si>
  <si>
    <t>The rafters climb out from there boat onto the shore and walk up the path.</t>
  </si>
  <si>
    <t>People jump from rocks into a swimming hole of the river.</t>
  </si>
  <si>
    <t>The rafters enjoy an outdoor lunch at a beach house.</t>
  </si>
  <si>
    <t>v_uLXSOqRSa4A</t>
  </si>
  <si>
    <t>A group of people are on a lift way above the mountains.</t>
  </si>
  <si>
    <t>A person climbs onto it, looking down.</t>
  </si>
  <si>
    <t>They bungee jump, hanging and swinging above the ground.</t>
  </si>
  <si>
    <t>v_4dw_Hk9Wpc4</t>
  </si>
  <si>
    <t>A large school of small fish swim in the ocean.</t>
  </si>
  <si>
    <t>A seal swims in the ocean.</t>
  </si>
  <si>
    <t>The scene switches to a dog scuba diving with humans.</t>
  </si>
  <si>
    <t>The dog is shown with a human on a ship, with part of its scuba equipment on.</t>
  </si>
  <si>
    <t>The scene returns to the dog scuba diving.</t>
  </si>
  <si>
    <t>The scene changes to a cat walking around.</t>
  </si>
  <si>
    <t>The cat is shown swimming and scuba diving.</t>
  </si>
  <si>
    <t>The cat and dog are shown in various quick scenes together.</t>
  </si>
  <si>
    <t>v_SKbjRXF35Wk</t>
  </si>
  <si>
    <t>Two people are dancing on a dance floor.</t>
  </si>
  <si>
    <t>People are sitting and standing on the sidelines watching them dance.</t>
  </si>
  <si>
    <t>They continue to dance on the dance floor.</t>
  </si>
  <si>
    <t>v_m0u1kjhlHJ4</t>
  </si>
  <si>
    <t>A man puts a ball on the ground, then throws a flag.</t>
  </si>
  <si>
    <t>He hits the ball, setting a game into motion.</t>
  </si>
  <si>
    <t>The players fight over the ball, getting it into the goal and the audience cheers.</t>
  </si>
  <si>
    <t>The game continues as the players compete.</t>
  </si>
  <si>
    <t>v__HQTWGmXXsc</t>
  </si>
  <si>
    <t>A young woman with a black dress and red cardigan on is standing in the corner of a kitchen cutting fruits.</t>
  </si>
  <si>
    <t>After awhile,she grabs six strawberries and leaves them on the cutting board as she begins to cut grapes.</t>
  </si>
  <si>
    <t>In front of her,there are two large white bowls full of fruit and she begins putting the cut up fruit in those bowls.</t>
  </si>
  <si>
    <t>The camera then moves and the person zooms in on the contents of the fruit bowls,showing pineapples,strawberries and grapes.</t>
  </si>
  <si>
    <t>v_ZYAY3TEUjGI</t>
  </si>
  <si>
    <t>A man is sitting in a chair getting his hair cut by a barber.</t>
  </si>
  <si>
    <t>A man takes a comb and a pair of scissors and starts to cut the hair above the comb and then combs it to the front of the man's head.</t>
  </si>
  <si>
    <t>The male then turns and the middle of the hair begins to get trimmed.</t>
  </si>
  <si>
    <t>Next is the sides and the same actions are repeated until the hair is finished.</t>
  </si>
  <si>
    <t>Finally,razors are taken out and the barber begins to edge the man's hair and the barber goes over the hair one final time with the comb and scissors.</t>
  </si>
  <si>
    <t>v_OTwG3OCsPoY</t>
  </si>
  <si>
    <t>A man is see speaking to the camera while sitting on a piece of exercise equipment.</t>
  </si>
  <si>
    <t>He adjusts the settings on the machine and begins using it back and fourth.</t>
  </si>
  <si>
    <t>He grabs onto the machine and moves himself ending by speaking to the camera.</t>
  </si>
  <si>
    <t>v_YbEX3klOS3Q</t>
  </si>
  <si>
    <t>A male athlete prepares himself to run.</t>
  </si>
  <si>
    <t>He runs with a javelin over his shoulder.</t>
  </si>
  <si>
    <t>He throws it as hard as he can.</t>
  </si>
  <si>
    <t>Then others do the same shortly after.</t>
  </si>
  <si>
    <t>v_dygVFom6V5c</t>
  </si>
  <si>
    <t>Two women are riding on the back of a four wheeler, and waving.</t>
  </si>
  <si>
    <t>A man is shown posing with several people, going to a field to play paintball.</t>
  </si>
  <si>
    <t>The people gear up and hide behind obstacles, shooting at one another.</t>
  </si>
  <si>
    <t>v_ui_CNb4FUtQ</t>
  </si>
  <si>
    <t>A man plays the saxophone in various public settings while the audiences watch.</t>
  </si>
  <si>
    <t>The man plays while laying on the ground.</t>
  </si>
  <si>
    <t>A security guard accosts him and escorts him away.</t>
  </si>
  <si>
    <t>The man stands up and walks away while playing.</t>
  </si>
  <si>
    <t>More scenes of the man playing the saxophone in various public settings are shown.</t>
  </si>
  <si>
    <t>v_xpoIzpip_TQ</t>
  </si>
  <si>
    <t>Players are on a court playing volley ball.</t>
  </si>
  <si>
    <t>A man in a black shirt dives and hits the ground.</t>
  </si>
  <si>
    <t>Someone scores and the crowd celebrates.</t>
  </si>
  <si>
    <t>v_HJZj6z1dyT4</t>
  </si>
  <si>
    <t>A close up of a fooseball table is shown with people moving polls all around.</t>
  </si>
  <si>
    <t>The man bounces up and down as the people continue to play with one another.</t>
  </si>
  <si>
    <t>One man runs away to grab the ball and leads back into them playing.</t>
  </si>
  <si>
    <t>v_V66cwBOS80A</t>
  </si>
  <si>
    <t>A man is seen speaking to the camera while a large group of people walk behind him.</t>
  </si>
  <si>
    <t>Several shots are then shown of people riding down a riving in a raft while some fall out.</t>
  </si>
  <si>
    <t>More clips are shown of people riding in the water as well as falling out and yelling to the camera.</t>
  </si>
  <si>
    <t>v_LDSEEw5oUM4</t>
  </si>
  <si>
    <t>A woman is seen walking onto a large gym floor while holding a baton and striking a pose.</t>
  </si>
  <si>
    <t>The woman then performs a dance routine with the baton throwing it up into the air and spinning around.</t>
  </si>
  <si>
    <t>She continues spinning around and holds a pose in the end and walks away from the judges.</t>
  </si>
  <si>
    <t>v_4-rJZdNgMX8</t>
  </si>
  <si>
    <t>The logo "theksiny on skin" and "The #1 Way to Not Get a Cold or Flu" is shown on screen.</t>
  </si>
  <si>
    <t>Dr Lisa Kellett speaks to the camera in a medical exam room next to a sink.</t>
  </si>
  <si>
    <t>The doctor demonstrates the steps to washing hands like doctors do.</t>
  </si>
  <si>
    <t>The logo and website address appears on screen again.</t>
  </si>
  <si>
    <t>v_MAUZbZnbM_Y</t>
  </si>
  <si>
    <t>web page and the adress of the company.</t>
  </si>
  <si>
    <t>green signs on a pole.</t>
  </si>
  <si>
    <t>woman is talking on the phone inside a car store.</t>
  </si>
  <si>
    <t>man is polishing a black car while people is watching.</t>
  </si>
  <si>
    <t>two men are cleaning the car on the outside and the inside.</t>
  </si>
  <si>
    <t>three cars are parked in front of the store.</t>
  </si>
  <si>
    <t>v__fwExctFJpg</t>
  </si>
  <si>
    <t>A person is seen riding around on a horse holding a piece of rope in his hands moving back and fourth.</t>
  </si>
  <si>
    <t>The man backs the horse up a bit and then takes off chasing a calf and roping him and tying him down.</t>
  </si>
  <si>
    <t>He throws his hands up in the air while the calf moves and then climbs back on top of the horse.</t>
  </si>
  <si>
    <t>v_hXGE1GGTHzM</t>
  </si>
  <si>
    <t>This man is trying to shoot the white ball on the pool table backwards.</t>
  </si>
  <si>
    <t>He keeps trying to shoot it backwards, but he just can't so he decided to do it the regular way and shoot forwards.</t>
  </si>
  <si>
    <t>When he does it, he puts the cue stick down and walks away.</t>
  </si>
  <si>
    <t>v_xQxT2_meU50</t>
  </si>
  <si>
    <t>A man is standing in a field holding an ax.</t>
  </si>
  <si>
    <t>The man lifts the ax above his head.</t>
  </si>
  <si>
    <t>The man splits a log of wood on a stump.</t>
  </si>
  <si>
    <t>the man then stands upright.</t>
  </si>
  <si>
    <t>v_POhazPPwHhQ</t>
  </si>
  <si>
    <t>A car is seen driving along the road that leads into people tightening roads and grabbing drinks.</t>
  </si>
  <si>
    <t>Several clips are shown of people walking across the rope as well as bouncing on it.</t>
  </si>
  <si>
    <t>More close ups are shown of peoples faces as well as standing an bouncing on the rope.</t>
  </si>
  <si>
    <t>v_j3h8Di7V3nk</t>
  </si>
  <si>
    <t>A man is seen bending over while taking a shoe off to wipe his feet then puts the shoe back on.</t>
  </si>
  <si>
    <t>He does this to his other foot and then walks along the rocks while a man records him and others walk around.</t>
  </si>
  <si>
    <t>v_J3NhT51f0To</t>
  </si>
  <si>
    <t>A blond girl is in a residential home, smiling and talking while holding a violin in front of her.</t>
  </si>
  <si>
    <t>The girl briefly stops talking, and then backs up and brings the violin to her chin as she's talking and then starts playing by pulling the fiddle across the strings.</t>
  </si>
  <si>
    <t>The girl stops pulling the fiddle across the strings and walks closer to the camera to talk, and then resumes moving the fiddle across the strings.</t>
  </si>
  <si>
    <t>The girl then backs up, and turns to show her left side as she moves the fiddle across the violin strings, and then she moves to face forward again and walks closer to the camera and plays some more.</t>
  </si>
  <si>
    <t>The girl stops playing and pulls he violin away from her chin.</t>
  </si>
  <si>
    <t>v_F2yh5HfIj2c</t>
  </si>
  <si>
    <t>A man wearing scuba gear walks along the edge of a swimming pool.</t>
  </si>
  <si>
    <t>The man starts talking to the camera and shows the camera various items.</t>
  </si>
  <si>
    <t>The camera shows the swimming pool.</t>
  </si>
  <si>
    <t>A tool and air compressor is shown.</t>
  </si>
  <si>
    <t>The man enters the swimming pool and proceeds to place a cover on the drain while under water in the scuba gear.</t>
  </si>
  <si>
    <t>The man gives a thumbs up.</t>
  </si>
  <si>
    <t>The man shows the bubbles the tool makes underwater while bobbing his head.</t>
  </si>
  <si>
    <t>v_GyLX64aJY80</t>
  </si>
  <si>
    <t>Two slicess of bread,a plate,and two slices of cheese are on the counter.</t>
  </si>
  <si>
    <t>The person then takes one slice,spreads the butter over it and puts two slices of cheese on it and adds the other slice on top of it.</t>
  </si>
  <si>
    <t>The sandwich now has butter on both sides and the sandwich is placed in a skillet and is fried.</t>
  </si>
  <si>
    <t>Once complete,it is placed on a red plate and cut in half with a thick knife.</t>
  </si>
  <si>
    <t>v_3C00m8lkJi0</t>
  </si>
  <si>
    <t>A man is shown holding a large bin as well as several people around him gathering leaves.</t>
  </si>
  <si>
    <t>More people are shown walking around scraping leaves while a woman speaks to the crowd and inspires them to work more.</t>
  </si>
  <si>
    <t>The people continue working and the sun shines down on a tree.</t>
  </si>
  <si>
    <t>v_Ht2gV7oaqbo</t>
  </si>
  <si>
    <t>Two people are seen standing outside on a mat.</t>
  </si>
  <si>
    <t>One person then grabs the other person by the legs.</t>
  </si>
  <si>
    <t>The men then flip each other down on the ground.</t>
  </si>
  <si>
    <t>v_mJZj3znhBas</t>
  </si>
  <si>
    <t>People are playing a game of lacrosse onto a field.</t>
  </si>
  <si>
    <t>A woman is talking to the camera in a gym.</t>
  </si>
  <si>
    <t>A train is driving on the tracks.</t>
  </si>
  <si>
    <t>They continue to play lacrosse on a field.</t>
  </si>
  <si>
    <t>v_rPeQxKmIe4I</t>
  </si>
  <si>
    <t>The person is swimming under the sea.</t>
  </si>
  <si>
    <t>The woman is swimming forward, she looked at the camera.</t>
  </si>
  <si>
    <t>The woman is shaking her head while behind her another diver is swimming.</t>
  </si>
  <si>
    <t>v_O-6zE9_S2KM</t>
  </si>
  <si>
    <t>A pair of hands are shown at a black jack table.</t>
  </si>
  <si>
    <t>A woman is dealing the cards and chips.</t>
  </si>
  <si>
    <t>The chips are shown in a stack at the end.</t>
  </si>
  <si>
    <t>v_-2DajzzRwn0</t>
  </si>
  <si>
    <t>Several teams of people are seen playing a game of tug of war with one another with people watching on the sides.</t>
  </si>
  <si>
    <t>The people continue competing with one another and ends with one team winning.</t>
  </si>
  <si>
    <t>v_boQbuyDjWnc</t>
  </si>
  <si>
    <t>An old man in black shirt and eye glasses is sitting on a green table, in front of him are book, chips with different colors and stack of cards.</t>
  </si>
  <si>
    <t>He placed the cards on the table, on top of the yellow stars on the table, he arrange the cards in horizontal way.</t>
  </si>
  <si>
    <t>v_hYVFzI_kfaQ</t>
  </si>
  <si>
    <t>The woman is shown emptying two different foods onto the plate to make a fruit salad.</t>
  </si>
  <si>
    <t>She touches the strawberries and apples.</t>
  </si>
  <si>
    <t>Then she sprinkles little berries onto the other fruit.</t>
  </si>
  <si>
    <t>v_mZYqH82delk</t>
  </si>
  <si>
    <t>There is a man kneeling down on a red yoga mat.</t>
  </si>
  <si>
    <t>The coach standing next to him make sure he is going up and down while he's kneeling and he holds his back to feel the muscle movement.</t>
  </si>
  <si>
    <t>v_Nogr8GCIL9k</t>
  </si>
  <si>
    <t>A guy stands outside, gestures, and talks.</t>
  </si>
  <si>
    <t>A man ascends from the water, begins water boarding, and does flips.</t>
  </si>
  <si>
    <t>A water vehicle is pulling a man holding a rope.</t>
  </si>
  <si>
    <t>The guy begins to leave after making the last point.</t>
  </si>
  <si>
    <t>v_DFOoFr2H-24</t>
  </si>
  <si>
    <t>A man is seen playing an instrument while another watches in the background.</t>
  </si>
  <si>
    <t>He pauses to speak to a large group of boys and continues playing the instrument, blowing wind into their smoke.</t>
  </si>
  <si>
    <t>The boys watch in amazement and bends down closely to another boy.</t>
  </si>
  <si>
    <t>v_rP2MviNn52g</t>
  </si>
  <si>
    <t>People are playing a tag of war game.</t>
  </si>
  <si>
    <t>Children wave at their teammates.</t>
  </si>
  <si>
    <t>The children pull the adults to their side, the right side.</t>
  </si>
  <si>
    <t>The children let go the rope, jump up and down, plus cheer.</t>
  </si>
  <si>
    <t>v_07GFy_Z7Nuc</t>
  </si>
  <si>
    <t>A male gymnast walks up to the parallel bars and uses a spring board to jump up.</t>
  </si>
  <si>
    <t>Another man pulls the spring board out of the way.</t>
  </si>
  <si>
    <t>A large crowd watches from the stands in the gym.</t>
  </si>
  <si>
    <t>The gymnast does a parallel bar routine.</t>
  </si>
  <si>
    <t>Several other male gymnasts walk around in the background.</t>
  </si>
  <si>
    <t>The male gymnast completes his routine and runs off of the gym floor.</t>
  </si>
  <si>
    <t>v_6QhZNQlsGys</t>
  </si>
  <si>
    <t>People are balancing on a rope on the beach.</t>
  </si>
  <si>
    <t>A man in a white shirt does a hand stand on the rope.</t>
  </si>
  <si>
    <t>A person is swinging on a rope in the background.</t>
  </si>
  <si>
    <t>v_F99Suh6SvD8</t>
  </si>
  <si>
    <t>Two girls practice fencing in a school gym with protective gear on and a coach against the wall watching and coaching them as they fence.</t>
  </si>
  <si>
    <t>The two girls talk to the coach and then begin to fence with each other as the coach motions to where they should stand and navigate the space during the spar.</t>
  </si>
  <si>
    <t>Both girls end the spar and remove their head gear as they talk to the coach.</t>
  </si>
  <si>
    <t>v_LSvjzZHbetU</t>
  </si>
  <si>
    <t>A woman in a green sweater puts on a face mask.</t>
  </si>
  <si>
    <t>She paints a wooden fence.</t>
  </si>
  <si>
    <t>She puts news paper onto the fence.</t>
  </si>
  <si>
    <t>She pours a bucket of paint into a sprayer.</t>
  </si>
  <si>
    <t>She starts spraying the fence with a hose.</t>
  </si>
  <si>
    <t>v_PGNwd5bySwI</t>
  </si>
  <si>
    <t>Two men are talking in front of a helicopter.</t>
  </si>
  <si>
    <t>A man on a wake board is being pulled by a helicopter in and out of the water.</t>
  </si>
  <si>
    <t>He drops from the rope and pulls a parachute and lands on the ground.</t>
  </si>
  <si>
    <t>v_aq41GgfAlDo</t>
  </si>
  <si>
    <t>A man is seated on a bench in a park.</t>
  </si>
  <si>
    <t>He is playing an old accordian.</t>
  </si>
  <si>
    <t>He pushes it closed and open as he plays on the keyboard.</t>
  </si>
  <si>
    <t>v_rF1AqlLjECk</t>
  </si>
  <si>
    <t>A black screen appears and it has a lot of white words on it that include the name, height, weight, years games, points phone number and email for player #23.</t>
  </si>
  <si>
    <t>Various clips of different hockey games play and occassionaly a yellow arrow will appear pointing out the #23 player in each different hockey game clip.</t>
  </si>
  <si>
    <t>A black screen appears again and it's the same as the screen that was the intro that includes the same information on player #23.</t>
  </si>
  <si>
    <t>v_KptXzRFIvTw</t>
  </si>
  <si>
    <t>A person named Chad wearing a black and gray jacket is standing next to a Christmas tree and giving a tutorial on how to decorate it.</t>
  </si>
  <si>
    <t>He is holding a crystal star in his hands which he places on top of the tree.</t>
  </si>
  <si>
    <t>Then he takes some Christmas lights lights and twirls it around the branches of the tree.</t>
  </si>
  <si>
    <t>He takes a red garland and demonstrates how to wrap it around the tree.</t>
  </si>
  <si>
    <t>He then takes some red and gold ornaments and shows how to place them on the tree.</t>
  </si>
  <si>
    <t>He also takes a red ribbon and red berries to add to the tree.</t>
  </si>
  <si>
    <t>He stands next to the fully decorated tree as he completes his tutorial.</t>
  </si>
  <si>
    <t>v_53dqgEMV5e4</t>
  </si>
  <si>
    <t>A woman pours ice into a glass.</t>
  </si>
  <si>
    <t>She puts shots of alcohol into the glass.</t>
  </si>
  <si>
    <t>She shakes it and pours it into another glass.</t>
  </si>
  <si>
    <t>She puts a straw in it and holds it up.</t>
  </si>
  <si>
    <t>v_-Kmx-BCAsQc</t>
  </si>
  <si>
    <t>A man in orange waves then mounts a pommel horse.</t>
  </si>
  <si>
    <t>The man spins around and around on the pommel horse.</t>
  </si>
  <si>
    <t>A man on the right takes a photo.</t>
  </si>
  <si>
    <t>The man swings one leg at a time.</t>
  </si>
  <si>
    <t>The man does a handstand then dismounts.</t>
  </si>
  <si>
    <t>The man walks away as another walks to the pommel horse.</t>
  </si>
  <si>
    <t>The end screens are shown and the video ends.</t>
  </si>
  <si>
    <t>v_LAD4qVnywmA</t>
  </si>
  <si>
    <t>A man in a red shirt is clapping his hands.</t>
  </si>
  <si>
    <t>He runs down a track and jumps in the sand.</t>
  </si>
  <si>
    <t>People rake the sand out afterwards.</t>
  </si>
  <si>
    <t>v_WlFBWlCklm8</t>
  </si>
  <si>
    <t>An intro black screen appears and the word Poweriser flashes.</t>
  </si>
  <si>
    <t>A man named PRVNI KROKY is on metal stilts outside and he begins, walking, jumping, running and moving and doing various movements while on his stilts and people around him are either sitting or walking doing their own thing.</t>
  </si>
  <si>
    <t>When the man is done demonstrating what he can do on the stilts he stops in his original spot to talk some more, waves and then runs off.</t>
  </si>
  <si>
    <t>The outro appears and it's exactly like the intro.</t>
  </si>
  <si>
    <t>v_Ksbk5rtqVd0</t>
  </si>
  <si>
    <t>A woman in a white shirt is sitting down.</t>
  </si>
  <si>
    <t>She pours some product into her palm.</t>
  </si>
  <si>
    <t>She starts wiping the product onto her face.</t>
  </si>
  <si>
    <t>v_0PbmXOVIwGc</t>
  </si>
  <si>
    <t>A woman grooms the right body of a horse, she brush the neck,body and legs.</t>
  </si>
  <si>
    <t>Then, the woman goes to the left side of horse and kneel to groom the legs, and then she brush the other parts of the body.</t>
  </si>
  <si>
    <t>v_LoA7h0bZmDI</t>
  </si>
  <si>
    <t>A chef is giving detailed instructions on how to make a dish to another man in the kitchen.</t>
  </si>
  <si>
    <t>The man walks around him casually and picks up a piece of one of the ingredients and eats it.</t>
  </si>
  <si>
    <t>Meanwhile, the chef is putting ingredients and explaining the process of what he is doing and why into the pan.</t>
  </si>
  <si>
    <t>Once the sauce he is creating starts to come together he mixes in spaghetti and blends it all together.</t>
  </si>
  <si>
    <t>v_llcbN-s26vs</t>
  </si>
  <si>
    <t>A man in a red shirt walks around a ladder.</t>
  </si>
  <si>
    <t>He places his arm on the ladder.</t>
  </si>
  <si>
    <t>A woman places red wallpaper up against a wall.</t>
  </si>
  <si>
    <t>She smooths the red wall paper out with her hands and with a tool.</t>
  </si>
  <si>
    <t>She measures the wallpaper to make sure it's straight.</t>
  </si>
  <si>
    <t>The woman places a tool on the top and bottom of the wallpaper and removes any extra wallpaper.</t>
  </si>
  <si>
    <t>The man in the red shirt is talking.</t>
  </si>
  <si>
    <t>v_sCzauf2u4dc</t>
  </si>
  <si>
    <t>We see the emblem on the opening screen.</t>
  </si>
  <si>
    <t>We switch to images of two ladies with horses.</t>
  </si>
  <si>
    <t>We see one lady in a sunny field with a hose.</t>
  </si>
  <si>
    <t>We see a small dog on the back of the horse.</t>
  </si>
  <si>
    <t>We see the small dog, then two ladies and the small dog.</t>
  </si>
  <si>
    <t>The lady is sitting playing with the dog.</t>
  </si>
  <si>
    <t>We see a bunch of people in a stable with a horse.</t>
  </si>
  <si>
    <t>We see the end credit emblem.</t>
  </si>
  <si>
    <t>v_fdYyIOWkycU</t>
  </si>
  <si>
    <t>A man is seen standing ready holding a dart and looking off into the distance.</t>
  </si>
  <si>
    <t>The man then throws the dart in slow motion while the camera continues to follow him.</t>
  </si>
  <si>
    <t>v_I-C_fOUaknA</t>
  </si>
  <si>
    <t>A man places a tile onto the floor and pushes it down.</t>
  </si>
  <si>
    <t>He smooths it out with his hands.</t>
  </si>
  <si>
    <t>He moves the vent that is on the floor next to the tile.</t>
  </si>
  <si>
    <t>v_BC1VpNRFtXo</t>
  </si>
  <si>
    <t>A small group of men are seen sitting at a table playing various hand games with one another.</t>
  </si>
  <si>
    <t>Then moves their hands which are shown in slow motion and leads into one speaking on the phone and leaving the room.</t>
  </si>
  <si>
    <t>The camera pans around the other people as they laugh.</t>
  </si>
  <si>
    <t>v_X095EDl0-eU</t>
  </si>
  <si>
    <t>We see two men fencing in a stadium.</t>
  </si>
  <si>
    <t>A man throws his arms in the air.</t>
  </si>
  <si>
    <t>The left man falls to the ground.</t>
  </si>
  <si>
    <t>The left man throws his hand in the air.</t>
  </si>
  <si>
    <t>v_eFZufRRvIz4</t>
  </si>
  <si>
    <t>A woman is dancing and mopping in the kitchen.</t>
  </si>
  <si>
    <t>Another woman is recording her and laughing.</t>
  </si>
  <si>
    <t>The woman notices the camera and laughs, but continues dancing.</t>
  </si>
  <si>
    <t>v_5P-Xs2v6lis</t>
  </si>
  <si>
    <t>A technician walks along a roof and sprays it using a wand attached to a hose.</t>
  </si>
  <si>
    <t>The man turns off his hose then walks along the peak of the roof.</t>
  </si>
  <si>
    <t>The man sprays around the gutters with the wand.</t>
  </si>
  <si>
    <t>The water comes out of the gutter onto the cement below.</t>
  </si>
  <si>
    <t>v_DcoHV4WiHQk</t>
  </si>
  <si>
    <t>A woman is seen sitting on sand next to a girl.</t>
  </si>
  <si>
    <t>The woman looks away from the camera and looks down at the sand.</t>
  </si>
  <si>
    <t>The girl and woman then begin digging in the sand.</t>
  </si>
  <si>
    <t>v_8DZj0ggPr74</t>
  </si>
  <si>
    <t>A large group of players are lined up and seen speaking to one another.</t>
  </si>
  <si>
    <t>They then move out onto the ice and begin skating around.</t>
  </si>
  <si>
    <t>One man fist bumps another and ends by walking away.</t>
  </si>
  <si>
    <t>v_9J72KkOrAq4</t>
  </si>
  <si>
    <t>A person is seen running down a deck pushing a puck with a stick.</t>
  </si>
  <si>
    <t>She looks back and laughs to the camera while other people watch on the side.</t>
  </si>
  <si>
    <t>v_NMBu3DIn1eg</t>
  </si>
  <si>
    <t>A black dog is shown looking into the camera.</t>
  </si>
  <si>
    <t>A balding man appears who is standing next to a chair that seems to be in need of restoring.</t>
  </si>
  <si>
    <t>The chair is shown to have scratches.</t>
  </si>
  <si>
    <t>The man begins to apply a substance to the chair as the man rubs the substance all over the surfaces of the chair.</t>
  </si>
  <si>
    <t>The man then points at a scratch on the a part of the chair and begins to wipe it clean with the substance.</t>
  </si>
  <si>
    <t>The man then shows a leg of the chair and wipes it down as well.</t>
  </si>
  <si>
    <t>The man then seems to pour a substance into a can and dips the brush into it and polishes part of the leg.</t>
  </si>
  <si>
    <t>The man continues to wipe the chair as it is getting cleaner and cleaner.</t>
  </si>
  <si>
    <t>The man returns later after the chair dries with a yellow bottle and is now wearing a hat and glasses.</t>
  </si>
  <si>
    <t>The man begins to wipe the chair again using whatever was in the yellow bottle.</t>
  </si>
  <si>
    <t>After this is complete the cushion is put back onto the chair as it is wiped down one more time.</t>
  </si>
  <si>
    <t>v_fPbVku8Ssyw</t>
  </si>
  <si>
    <t>People make a hole on the shore of the beach using shovels.</t>
  </si>
  <si>
    <t>Then, people make a wall around the hole.</t>
  </si>
  <si>
    <t>v_BJuL-yK-I8g</t>
  </si>
  <si>
    <t>A man is talking while standing in front of a large river.</t>
  </si>
  <si>
    <t>A group of wild pigs are swimming behind the boat, trying to keep up.</t>
  </si>
  <si>
    <t>The man gets to shore, and he and a boat mate are running on the beach, trying to escape the pigs.</t>
  </si>
  <si>
    <t>v_x_luDzL03vw</t>
  </si>
  <si>
    <t>We then see two men practicing martial arts.</t>
  </si>
  <si>
    <t>The old man pushed the young to the ground.</t>
  </si>
  <si>
    <t>The older man flips the young one over.</t>
  </si>
  <si>
    <t>The old man pushes him forward.</t>
  </si>
  <si>
    <t>The young grabs the older head, and older pushes him down.</t>
  </si>
  <si>
    <t>Man in green is pushed across mat.</t>
  </si>
  <si>
    <t>Old man flip man in green.</t>
  </si>
  <si>
    <t>The Man in white is flipped.</t>
  </si>
  <si>
    <t>Older man pushes green man to ground.</t>
  </si>
  <si>
    <t>Older man rolls man in green.</t>
  </si>
  <si>
    <t>v_VkdPyMG-Gvo</t>
  </si>
  <si>
    <t>A man plays alone pool hitting balls with a pole while going around the pool table.</t>
  </si>
  <si>
    <t>Then, the man hit a ball that enters the basket.</t>
  </si>
  <si>
    <t>After, the man shake hands with people from the audience.</t>
  </si>
  <si>
    <t>v_0T1FKHx3yOk</t>
  </si>
  <si>
    <t>Two boys sits talking as they hold their cell phones.</t>
  </si>
  <si>
    <t>The boys are wrestling in Sumo costumes as two other boys films them with camera.</t>
  </si>
  <si>
    <t>One boy get and hits the other with a ladder and they hit each other.</t>
  </si>
  <si>
    <t>The boy in red grabs and hits the green boy on the ladder with a guitar.</t>
  </si>
  <si>
    <t>The red boy brings an ironing board and jumps on the other boy from the ladder.</t>
  </si>
  <si>
    <t>The green boy runs into the other boy with a minibike.</t>
  </si>
  <si>
    <t>A girl in a sum suit in thrown from a wheel barrow and the referee counts the match as finished.</t>
  </si>
  <si>
    <t>v__-4ngMPCA9A</t>
  </si>
  <si>
    <t>A woman stands in a kitchen talking.</t>
  </si>
  <si>
    <t>She walks over to a sink, puts on gloves and washes dishes.</t>
  </si>
  <si>
    <t>v_pp_J6AzUu4s</t>
  </si>
  <si>
    <t>A woman is standing in a kitchen.</t>
  </si>
  <si>
    <t>She puts ingredients into a glass bowl and mixes it together.</t>
  </si>
  <si>
    <t>She starts chopping food on a block.</t>
  </si>
  <si>
    <t>She combines all the ingredients into the bowl and mixes it together.</t>
  </si>
  <si>
    <t>She grates cheese onto the top of the food.</t>
  </si>
  <si>
    <t>She then puts salad on top of that.</t>
  </si>
  <si>
    <t>v_rR1R-x_UlOM</t>
  </si>
  <si>
    <t>A woman demonstrates from behind a standing bar counter inside of a bar, how to mix drinks using a shot glass and several bottles of alcohol.</t>
  </si>
  <si>
    <t>A woman standing behind a bar talks to the camera and pours a bottle of alcohol into a shot glass along with another bottle of alcohol.</t>
  </si>
  <si>
    <t>The woman then pulls a larger bottle of alcohol off of the bar top and pours that into the shot glass as well, The woman then pushes the shot glass forward toward the camera before the scene fades to black.</t>
  </si>
  <si>
    <t>v_Y75Fvr71aRQ</t>
  </si>
  <si>
    <t>A man is seen speaking to the camera while text appears on the screen.</t>
  </si>
  <si>
    <t>The man continues speaking and leads into him playing an instrument.</t>
  </si>
  <si>
    <t>He pauses his playing to hold up his hand while playing again and then stopping.</t>
  </si>
  <si>
    <t>v_N0mNYZaCJoQ</t>
  </si>
  <si>
    <t>A person pulls the rope of a camel that a man sits on.</t>
  </si>
  <si>
    <t>A man pulls a camel with two people in the desert.</t>
  </si>
  <si>
    <t>Two women are close to the camels.</t>
  </si>
  <si>
    <t>A car pass behind the camels.</t>
  </si>
  <si>
    <t>v_Kd3YFwF-2UM</t>
  </si>
  <si>
    <t>Several clips are shown of people throwing bowling balls down a lane as well as close ups of balls and pins.</t>
  </si>
  <si>
    <t>People continue bowling and the machine shows how the pins spin around and the balls returning to the back.</t>
  </si>
  <si>
    <t>v_03KTIy44yTo</t>
  </si>
  <si>
    <t>A bunch of brown leaves on green grass are blowing away together.</t>
  </si>
  <si>
    <t>The end of the leaf blower is closer to the grass and is blowing an even bigger area of brown leaves.</t>
  </si>
  <si>
    <t>The end of the leaf blower appears and disappears from view the whole time.</t>
  </si>
  <si>
    <t>v_zb2YYXs4gtw</t>
  </si>
  <si>
    <t>People are riding on the backs of camels.</t>
  </si>
  <si>
    <t>They get led down a trail by a person.</t>
  </si>
  <si>
    <t>People are standing behind a fence watching them.</t>
  </si>
  <si>
    <t>The camels lay down on the ground and the people step off of them.</t>
  </si>
  <si>
    <t>v_mfK2jcMGe1Y</t>
  </si>
  <si>
    <t>A girl in a bra is standing in her bathroom and brushing her hair.</t>
  </si>
  <si>
    <t>She does this for a while and continues to fix it.</t>
  </si>
  <si>
    <t>She then brushes it some more as it is very long.</t>
  </si>
  <si>
    <t>She turns around to get the back of it.</t>
  </si>
  <si>
    <t>v_5BYayNkmlBo</t>
  </si>
  <si>
    <t>A man is inside of a barn and is let out on a horse to catch a cow attached to the horse.</t>
  </si>
  <si>
    <t>As he throws his lasso,he misses the cow and runs to get something before going back to the cow.</t>
  </si>
  <si>
    <t>The man finally approaches the calf and another man comes out to assist him and he returns back to the horse.</t>
  </si>
  <si>
    <t>v_6LrY7uMj8Kg</t>
  </si>
  <si>
    <t>Three men sitting by the counter are sitting watching TV and then ladies in cheerdancing outfit started dancing as the men stare at them.</t>
  </si>
  <si>
    <t>The ladies started dancing, raising their arms up swinging their bodies.</t>
  </si>
  <si>
    <t>The girls play billiards and table football with the guys and they dance.</t>
  </si>
  <si>
    <t>v_DACWnbWrd18</t>
  </si>
  <si>
    <t>A large patch of grass is shown.</t>
  </si>
  <si>
    <t>A man is mowing the yard next to the bushes.</t>
  </si>
  <si>
    <t>He stops and talks to the camera.</t>
  </si>
  <si>
    <t>v_D707ZMWH7jQ</t>
  </si>
  <si>
    <t>A man in a red shirt begins talking in front of a wall of tool consisting of wrench,screws,ax and drills.</t>
  </si>
  <si>
    <t>He then holds up a small silver piece and begins sticking it into the chain of the bike.</t>
  </si>
  <si>
    <t>Next,he takes a black utensil,moves the pedals around and takes the chain completely off.</t>
  </si>
  <si>
    <t>He then takes a box with a new chain in it and puts it back on the bike and begins tightening the chain.</t>
  </si>
  <si>
    <t>v_y9xNMLhgTjY</t>
  </si>
  <si>
    <t>Several people riding skateboard are seen riding down a long hill while the camera follows them from behind.</t>
  </si>
  <si>
    <t>The cameraman continuously rides down a winding road past a group of trees and stops at the bottom to meet up with another.</t>
  </si>
  <si>
    <t>More riding is shown down the hill and ends with the camerman turning around.</t>
  </si>
  <si>
    <t>v_pvpfRBndHh8</t>
  </si>
  <si>
    <t>A lady in a gym punches both of her arms across her chest.</t>
  </si>
  <si>
    <t>The lady then kicks her left leg in the air and then the right one behind her.</t>
  </si>
  <si>
    <t>The lady repeats that sequence over and over.</t>
  </si>
  <si>
    <t>v_h15m87WsCHQ</t>
  </si>
  <si>
    <t>Hockey players are playing a hockey game on the ice.</t>
  </si>
  <si>
    <t>A crowd is watching them play.</t>
  </si>
  <si>
    <t>A man in yellow falls on the ice.</t>
  </si>
  <si>
    <t>A man in a suit is talking to hockey players.</t>
  </si>
  <si>
    <t>v_dkP1In7K63Y</t>
  </si>
  <si>
    <t>A man is spraying a sink with a pressure washer.</t>
  </si>
  <si>
    <t>The man sprays a toilet and then sprays the sink again.</t>
  </si>
  <si>
    <t>We see a title screen the man shows the machine and turns a dial and washer the floor, sink and toilet and mirror.</t>
  </si>
  <si>
    <t>The man uses a squeegee on the mirror.</t>
  </si>
  <si>
    <t>The man adjusts the machine and hooks up a hose and uses air to blow dry the sink and mops the floor.</t>
  </si>
  <si>
    <t>v_ZIFxB0gZ5tY</t>
  </si>
  <si>
    <t>We see a man swinging in a park.</t>
  </si>
  <si>
    <t>The man stands while holding onto the swing.</t>
  </si>
  <si>
    <t>The man stands again and we see a little girl.</t>
  </si>
  <si>
    <t>A lady tries to put the girl in the swing, but she ends up swinging alone.</t>
  </si>
  <si>
    <t>v_djgnHazfi2Y</t>
  </si>
  <si>
    <t>man is standing in stage doing gymnastics in a competition.</t>
  </si>
  <si>
    <t>man is holding a video recorder.</t>
  </si>
  <si>
    <t>v_UlGX-5x0Mak</t>
  </si>
  <si>
    <t>A boy holds an ice cream cone to a baby sitting in a high chair seat.</t>
  </si>
  <si>
    <t>The baby enjoys the ice cream cone.</t>
  </si>
  <si>
    <t>v_9Pv2hUyODK4</t>
  </si>
  <si>
    <t>A man in a black shirt is talking outside near a track and field.</t>
  </si>
  <si>
    <t>He then walks over to a student athlete from Florida State University.</t>
  </si>
  <si>
    <t>The athlete then begins talking and showing various techniques that she uses.</t>
  </si>
  <si>
    <t>Once finishes,she begins doing a triple jump into the pit,she tries again, and then the man interviewing her begins doing the same jump.</t>
  </si>
  <si>
    <t>The two come back to the camera and finish talking,she flashes her thumbs up and then leaves.</t>
  </si>
  <si>
    <t>v_1wiGNX_S8ZU</t>
  </si>
  <si>
    <t>Two people are seen doing flips and kicks around one another in a large circle surrounded by people.</t>
  </si>
  <si>
    <t>More people join in to the kicks and flips as others watch them on the side and clap.</t>
  </si>
  <si>
    <t>v_hhoewBggtuw</t>
  </si>
  <si>
    <t>We see a title over an image of a car.</t>
  </si>
  <si>
    <t>We see a man sitting next and talking about the car.</t>
  </si>
  <si>
    <t>The man puts a brick behind his tire and grabs his supplies to change his tire.</t>
  </si>
  <si>
    <t>The man loosens the bolts and jacks the car up and removes the tire.</t>
  </si>
  <si>
    <t>The man puts on his spare and lowers the car to the ground.</t>
  </si>
  <si>
    <t>The man puts his supplies away and drives away.</t>
  </si>
  <si>
    <t>The man stops near the camera and speaks before driving off.</t>
  </si>
  <si>
    <t>v_mzxz0EQy1pY</t>
  </si>
  <si>
    <t>A camera pans all around a heated pool and leads into a person climbing in a kayak and moving around the pool.</t>
  </si>
  <si>
    <t>Several people seen riding kayaks around the pool as well as people swimming around and watching on the sidelines.</t>
  </si>
  <si>
    <t>The men continue moving around in various angles as well as being shown swimming underwater and playing with one another.</t>
  </si>
  <si>
    <t>v_lIbRuIm9MxI</t>
  </si>
  <si>
    <t>Howcast logo is on the screen.</t>
  </si>
  <si>
    <t>Two men are sitting in the middle of drums and explaining about the instruments.</t>
  </si>
  <si>
    <t>The men begin playing the drums.</t>
  </si>
  <si>
    <t>The go back to talking about the drums.</t>
  </si>
  <si>
    <t>v_awqVlr-YDM4</t>
  </si>
  <si>
    <t>People are skiing down a hill and keep falling down and sliding down the hill.</t>
  </si>
  <si>
    <t>A person crashes into a fence.</t>
  </si>
  <si>
    <t>v_8rypSctbfjU</t>
  </si>
  <si>
    <t>A brush and two kinds of paint are on a table.</t>
  </si>
  <si>
    <t>A knitter's hoop is shown lying on cloth, and a woman paints a design into the cloth.</t>
  </si>
  <si>
    <t>She forms many leaves and flowers in orange shades.</t>
  </si>
  <si>
    <t>When she is done, she shows off the flower design.</t>
  </si>
  <si>
    <t>v_bCdIcqRYJvo</t>
  </si>
  <si>
    <t>A man sits and plays a black grand piano in an empty auditorium.</t>
  </si>
  <si>
    <t>We see three people in the front row watching and listening to the man as he plays and one person one row behind them.</t>
  </si>
  <si>
    <t>We see the three people, two women and one men.</t>
  </si>
  <si>
    <t>The player stands and plays.</t>
  </si>
  <si>
    <t>The player finishes and stands up.</t>
  </si>
  <si>
    <t>v_nShRXseBM4Y</t>
  </si>
  <si>
    <t>A person is slicing bread with a knife.</t>
  </si>
  <si>
    <t>They mix ingredients in a bowl.</t>
  </si>
  <si>
    <t>They cook the bread on a grill.</t>
  </si>
  <si>
    <t>They add a scoop of chocolate ice cream next to the sandwich.</t>
  </si>
  <si>
    <t>v_IFgEjS97Pmw</t>
  </si>
  <si>
    <t>A rustic static bike of wood is in a room.</t>
  </si>
  <si>
    <t>Then, a man pedal the bike while showing the handle.</t>
  </si>
  <si>
    <t>Then the man sits on the bike to pedal and then stands.</t>
  </si>
  <si>
    <t>v_XLsuG0cNl4o</t>
  </si>
  <si>
    <t>A man uses a beard trimmer to trim his cheeks and neck.</t>
  </si>
  <si>
    <t>The man strokes his goatee and examines it.</t>
  </si>
  <si>
    <t>The man trims his chin area to make a mustache.</t>
  </si>
  <si>
    <t>v_1iP5k9jHBRU</t>
  </si>
  <si>
    <t>A male is standing by the white door, he is holding rectangular wood, and on the other hand is a board that holds big chunk of brown clay.</t>
  </si>
  <si>
    <t>He pointed the wall and started to spread the brown clay on the wall, she spread it by rubbing it smoothly and in half circle way.</t>
  </si>
  <si>
    <t>He went near the ceiling, knocked on the ceiling, pushed it, knocked on it again, smoothen it using his fingers.</t>
  </si>
  <si>
    <t>v_PpbBWqlsbxk</t>
  </si>
  <si>
    <t>We see we an opening title screen.</t>
  </si>
  <si>
    <t>People stand in the woods holding paddles while wearing rafting gear.</t>
  </si>
  <si>
    <t>People walk to the lake with their rafts and get in.</t>
  </si>
  <si>
    <t>We see people riding rafts down a river.</t>
  </si>
  <si>
    <t>The people go over a small waterfall and their raft is overturned.</t>
  </si>
  <si>
    <t>People are plunged into the water as they go over a waterfall and a man pumps his fist.</t>
  </si>
  <si>
    <t>The camera pans up to show nature and fades to white.</t>
  </si>
  <si>
    <t>v_jsofzMPb0i4</t>
  </si>
  <si>
    <t>There's a basketball player demonstrating various types of basketball hoop shooting techniques on behalf of World of Hoops.</t>
  </si>
  <si>
    <t>He begins by showing the basic technique of the regular lay-up throw, he shoots the ball directly into the hoop.</t>
  </si>
  <si>
    <t>Then he shows another technique where he comes running and shoots the ball from very close to the hoop by jumping up high.</t>
  </si>
  <si>
    <t>He continues to show various other ways to shoot the basket as he runs and dunks the ball straight into the basket.</t>
  </si>
  <si>
    <t>He demonstrates different techniques of shooting the ball right into the hoop without missing a single basket.</t>
  </si>
  <si>
    <t>v_sTev5fWX3T8</t>
  </si>
  <si>
    <t>A teen is balancing on the higher uneven bar.</t>
  </si>
  <si>
    <t>Then, the teen flips and a man helps her to pass to the lower uneven bar.</t>
  </si>
  <si>
    <t>Two A girl exercise on the uneven bars behind the teen.</t>
  </si>
  <si>
    <t>v_IlzwpnsIRZM</t>
  </si>
  <si>
    <t>People are playing a game of ping pong.</t>
  </si>
  <si>
    <t>A man in a red shirt is playing with only one shoe on.</t>
  </si>
  <si>
    <t>v_EO_BnsrWMnI</t>
  </si>
  <si>
    <t>A man is seen wearing a funny uniform and walking out onto a large stage while intervening to speak to the camera.</t>
  </si>
  <si>
    <t>The man performs gymnastics moves around a beam in a silly manner and ends with the audience clapping and the man waving.</t>
  </si>
  <si>
    <t>v_63lmoqLxB8c</t>
  </si>
  <si>
    <t>People are playing a game of volleyball on a court.</t>
  </si>
  <si>
    <t>People are sitting along the benches against a wall watching.</t>
  </si>
  <si>
    <t>A boy serves the volleyball.</t>
  </si>
  <si>
    <t>v_xtmxgih0yIk</t>
  </si>
  <si>
    <t>A horse stands alone, attached to a wooden trunk.</t>
  </si>
  <si>
    <t>A man approaches the horse holding two brushes in his hands and speaks for a bit.</t>
  </si>
  <si>
    <t>He goes up to the horse and brushes the hair of the horse, removing the hair of the horse that attaches onto the brush.</t>
  </si>
  <si>
    <t>He pauses for a bit to speak.</t>
  </si>
  <si>
    <t>He goes back to removing the excess hair off the horse.</t>
  </si>
  <si>
    <t>He pauses again and speaks for a while.</t>
  </si>
  <si>
    <t>He returns to brushing the horse.</t>
  </si>
  <si>
    <t>He stops brushing the hair and speaks.</t>
  </si>
  <si>
    <t>v_u9oARzRT3fI</t>
  </si>
  <si>
    <t>A female gymnast mounts a high beam in a gym.</t>
  </si>
  <si>
    <t>She does lots of forward jumps, springs, and splits in the air.</t>
  </si>
  <si>
    <t>A boy in the background climbs a rope as she dismounts.</t>
  </si>
  <si>
    <t>v_JviFZ5Cliug</t>
  </si>
  <si>
    <t>A woman in a white shirt is standing by an exercise machine.</t>
  </si>
  <si>
    <t>She begins working out on the exercise machine.</t>
  </si>
  <si>
    <t>Information about the machine is placed on the screen.</t>
  </si>
  <si>
    <t>v_ZCZoL2b6euQ</t>
  </si>
  <si>
    <t>A man is throwing darts inside a room.</t>
  </si>
  <si>
    <t>Another man ducks so he doesn't get hit.</t>
  </si>
  <si>
    <t>The darts hit the dart board in slow motion.</t>
  </si>
  <si>
    <t>v_t0YXK4W_L7o</t>
  </si>
  <si>
    <t>A close up of a horse is seen followed by several people riding on a horses on a beach.</t>
  </si>
  <si>
    <t>One person is seen standing on the horse and the camera continues to follow the people riding along on the horses.</t>
  </si>
  <si>
    <t>v_WOonpO98TdQ</t>
  </si>
  <si>
    <t>A man and a woman in a garage style weight room demonstrate how to lift a weight bar with the woman exhibiting the lifting of the weights.</t>
  </si>
  <si>
    <t>A man in a black t-shirt and sandals stands next to a woman in a garage style weight room.</t>
  </si>
  <si>
    <t>The woman picks up a weight bar using the knees to bend as the man talks and points to her muscle groups.</t>
  </si>
  <si>
    <t>The woman hoists the bar above her head in a weight lifting move several times before lowering the bar back to the floor.</t>
  </si>
  <si>
    <t>v_vpvhtd7CqUA</t>
  </si>
  <si>
    <t>Some texts pops up on the screen.</t>
  </si>
  <si>
    <t>A video of bulls being hurt by people starts playing.</t>
  </si>
  <si>
    <t>Text pops up on the screen again.</t>
  </si>
  <si>
    <t>Images of people stabbed with arrows and full of blood are shown.</t>
  </si>
  <si>
    <t>More text with an anti bullfighting messages appear.</t>
  </si>
  <si>
    <t>Images of hurts bulls are shown.</t>
  </si>
  <si>
    <t>Anti animal cruelty text appears.</t>
  </si>
  <si>
    <t>A bull fighter is shown fighting a bull.</t>
  </si>
  <si>
    <t>A video is played of bullfighters getting gored.</t>
  </si>
  <si>
    <t>A new video showing dead animals plays.</t>
  </si>
  <si>
    <t>Condescending text appears in the video that chastises people for eating meat ane being cruel to animals.</t>
  </si>
  <si>
    <t>v_FfVfjZOHsl4</t>
  </si>
  <si>
    <t>A lawn mower is being pushed through grass.</t>
  </si>
  <si>
    <t>It is pushed along a sidewalk.</t>
  </si>
  <si>
    <t>It is pushed along a flower bed.</t>
  </si>
  <si>
    <t>v_pIUpJihiju0</t>
  </si>
  <si>
    <t>A person shows the bottom of a large dust mop.</t>
  </si>
  <si>
    <t>Then, the person cleans a gym with the large dust mop.</t>
  </si>
  <si>
    <t>v_HCub1SN4X20</t>
  </si>
  <si>
    <t>The girl in the swing is swinging and then she jumped on the ground.</t>
  </si>
  <si>
    <t>The camera turned around, then turned back to the girl swinging, she is twisting the chains of the swing, and she is swirling around with the swing.</t>
  </si>
  <si>
    <t>The girl in black shirt and black skirt and tights keeps swing so fast and high and then she jumped on the sandy ground.</t>
  </si>
  <si>
    <t>The girl climbed the climber, she put her feet up while her arms and hands are holding the bar.</t>
  </si>
  <si>
    <t>The girl fell down on the ground, she stood up, then went to the other side of the climber, reached for the bar and moved to the other next bar.</t>
  </si>
  <si>
    <t>The girl is sitting on blue bouncing chair while she look on her side, she stood up, continue to pull her weight forward and backward.</t>
  </si>
  <si>
    <t>The girl sat on top of the slide then slide down, put on her slippers then went back to the top of the slide and slide down.</t>
  </si>
  <si>
    <t>v_Oe1tNvkhrI8</t>
  </si>
  <si>
    <t>A blue backdrop is pictured with white words saying titling,"Mowing the Lawn May 2009".</t>
  </si>
  <si>
    <t>A middle aged man is outside,wearing a white muscle short and red shorts pushing a lawn mower in his yard.</t>
  </si>
  <si>
    <t>As the man turns the lawn mower to go in a different direction he begins to struggle and gets confused because the water fountain is in his way.</t>
  </si>
  <si>
    <t>Once,the male has become frustrated enough,he just decided to not mow it and goes back to his original place of cutting.</t>
  </si>
  <si>
    <t>v_OW5Tyr8MICg</t>
  </si>
  <si>
    <t>A close up of hands is shown followed by a girl brushing her hair and smiling to the camera.</t>
  </si>
  <si>
    <t>The girl continues brushing her hair and looking off into the distance.</t>
  </si>
  <si>
    <t>v_G4O_Ar7EO4Y</t>
  </si>
  <si>
    <t>A competitive sporting event is taking place in an outdoor arena and the competitors are on the ground while the spectators are in the stands.</t>
  </si>
  <si>
    <t>A man is now standing in a circle on the field and he's holding a ball and the banner display on the screen indicates his name is Krisztian PARS and that he's about to do a Hammer Throw M as he swings the ball that is attached to the rope, swings his body and then lets the rope go as it flies very far on the field.</t>
  </si>
  <si>
    <t>The man is very proud of his throw as he cheers and other competitors as well as people in the stands clap and cheer for him as well as he walks away from the area he was standing in and continues to cheer himself on a little more while giving a thumbs up to a group of camera men taking his picture.</t>
  </si>
  <si>
    <t>A replay of his throw starts again and then it ends with a wide angled shot of the entire arena.</t>
  </si>
  <si>
    <t>v_4d3RtnuVCV4</t>
  </si>
  <si>
    <t>A video of the UConn women's field hockey team is shown.</t>
  </si>
  <si>
    <t>The coach talks to the players and they have a practice.</t>
  </si>
  <si>
    <t>v_5qublDzEgsw</t>
  </si>
  <si>
    <t>Two men are shown playing soccer in a gym followed by a pan out showing more players.</t>
  </si>
  <si>
    <t>The man is white leads the ball down the gym several times and performing various tricks and goals.</t>
  </si>
  <si>
    <t>The game continues on with the men doing back and fourth playing with the soccer ball.</t>
  </si>
  <si>
    <t>v_4P0zJEfqCoM</t>
  </si>
  <si>
    <t>A woman gets her eyebrow clamped.</t>
  </si>
  <si>
    <t>A person pushes a needle through her eyebrow.</t>
  </si>
  <si>
    <t>They twist an earring into the eyebrow.</t>
  </si>
  <si>
    <t>They clean around the earring with a qtip.</t>
  </si>
  <si>
    <t>v_uwGcEaW3z3Q</t>
  </si>
  <si>
    <t>A man is trying to lift weights in a gym.</t>
  </si>
  <si>
    <t>He lifts the barbell up to his chest.</t>
  </si>
  <si>
    <t>He then lifts it over his head before dropping it to the ground.</t>
  </si>
  <si>
    <t>v_60yOoxs9AFc</t>
  </si>
  <si>
    <t>A band is seen playing several instruments on a stage while people dance around them.</t>
  </si>
  <si>
    <t>The band continues playing while lights flash all around them and people continue dancing.</t>
  </si>
  <si>
    <t>v_ko9efCldvgs</t>
  </si>
  <si>
    <t>A wooden outdoors stair case is shown outside of a white and brown horse.</t>
  </si>
  <si>
    <t>All of a sudden,a black dog comes around the corner and trots up the stairs and multiple replays are shown.</t>
  </si>
  <si>
    <t>Once the dog actually makes it to the top,he begins licking the person'a behind the camera shoe.</t>
  </si>
  <si>
    <t>v_BY5mz30u5_8</t>
  </si>
  <si>
    <t>A person is seen standing on a wake board point out and moving himself around.</t>
  </si>
  <si>
    <t>The camera follows him gliding out into the water gradually going further and further.</t>
  </si>
  <si>
    <t>v_jHyWtrhNTTk</t>
  </si>
  <si>
    <t>We see a black opening screen.</t>
  </si>
  <si>
    <t>We see a blue track with people running on it.</t>
  </si>
  <si>
    <t>We then see a man do a high jump at 5'9".</t>
  </si>
  <si>
    <t>We then see the man jump at 6'.</t>
  </si>
  <si>
    <t>We then see the man jump at 6'2" and he knocks the pole over.</t>
  </si>
  <si>
    <t>We see him try 6'2" again and not hit the pole.</t>
  </si>
  <si>
    <t>The man walks to the camera and turns it off.</t>
  </si>
  <si>
    <t>v_K9qWnvl8A1Q</t>
  </si>
  <si>
    <t>A little boy is holding a paintbrush in the yard.</t>
  </si>
  <si>
    <t>He is swiping a brush covered with water on the fence.</t>
  </si>
  <si>
    <t>He dips it in the bucket, continuing to pretend to paint.</t>
  </si>
  <si>
    <t>v_Ocd1VWIIeVs</t>
  </si>
  <si>
    <t>A man washes a car with a brush, while three people rinse the car with hoses.</t>
  </si>
  <si>
    <t>A man sprays detergent on a car.</t>
  </si>
  <si>
    <t>A person that wears a red t-shirt sprays detergent on a car, then two men rinse the car with hoses, while other cars are covered with white detergent.</t>
  </si>
  <si>
    <t>v_OrF46J3HmSw</t>
  </si>
  <si>
    <t>A young child is seen standing before a mat looking down at the floor.</t>
  </si>
  <si>
    <t>She then begins walking along the mat all the way to the end.</t>
  </si>
  <si>
    <t>She walks back and fourth again while looking to the camera.</t>
  </si>
  <si>
    <t>v_QZyR7yfp8hA</t>
  </si>
  <si>
    <t>A man is seen speaking to the camera next to a horse and leads into clips of him riding around on the horse and close ups of other horses.</t>
  </si>
  <si>
    <t>The host speaks to another man while more shots of horses are shown as well as a man hitting a ball.</t>
  </si>
  <si>
    <t>The men then ride horses and learn to play a sport and ends with the host speaking in a uniform.</t>
  </si>
  <si>
    <t>v_4E-RWxR6Xr0</t>
  </si>
  <si>
    <t>A guy rides an exercise bike.</t>
  </si>
  <si>
    <t>The guy adjusts the exercise bike seat.</t>
  </si>
  <si>
    <t>v_2Dlfwnvz76Q</t>
  </si>
  <si>
    <t>A woman is sitting at a desk.</t>
  </si>
  <si>
    <t>A man sitting in front of her is playing a harmonica.</t>
  </si>
  <si>
    <t>The woman is playing with her hair.</t>
  </si>
  <si>
    <t>v_mnMmGnnbvSk</t>
  </si>
  <si>
    <t>An array of shoe shining tools are shown including different kinds and colors of shoe polish, a polishing rag and a black shiny shoe.</t>
  </si>
  <si>
    <t>A group of adult students sit in a classroom style room and look to the front of the class as if attending a class and listening intensely.</t>
  </si>
  <si>
    <t>A shoe shine demonstration takes place with a man kneeling in front of a group of students and using a sample shoe as an example.</t>
  </si>
  <si>
    <t>Several people in aprons, then kneel before people wearing shoes and shine the people's shoes on red buckets with polishing clothes and polish.</t>
  </si>
  <si>
    <t>The shoes shiners then stand in unison, with their aprons, and bow and shake hands.</t>
  </si>
  <si>
    <t>v_hRMSh7vUmGY</t>
  </si>
  <si>
    <t>A man is lifting very heavy weight above his head and dropping it .</t>
  </si>
  <si>
    <t>He does this multiple time for repetition, this is a workout routine.</t>
  </si>
  <si>
    <t>He then walks away taking a break for a little bit and walks by people sitting and chatting.</t>
  </si>
  <si>
    <t>Once he is done with his break he continues back to his routine.</t>
  </si>
  <si>
    <t>v_q9T1GR6s0vI</t>
  </si>
  <si>
    <t>Two Sumo wrestlers are indoor fighting one another as the referee moves around them.</t>
  </si>
  <si>
    <t>One person is then thrown off of the mat and another set of people are shown.</t>
  </si>
  <si>
    <t>The smaller of the two then flips the big guy from in the air and then the match is over.</t>
  </si>
  <si>
    <t>The sequence continues and several other men are shown battling one another and giving each other wedgies.</t>
  </si>
  <si>
    <t>When the match is complete,two men are shown sitting at a desk with a phone number on a white board.</t>
  </si>
  <si>
    <t>v_yRjaK8wT4Rc</t>
  </si>
  <si>
    <t>A man is washing his hands in the sink.</t>
  </si>
  <si>
    <t>He takes a yellow rag and cleans the sink and faucet.</t>
  </si>
  <si>
    <t>A white bottle of cleaner is shown.</t>
  </si>
  <si>
    <t>v_RVKYgN2S9KA</t>
  </si>
  <si>
    <t>A girl wearing a bikini on the beach is shown doing several sits up on a ball and fixing her hair.</t>
  </si>
  <si>
    <t>She continues performing the exercise while smiling at the camera.</t>
  </si>
  <si>
    <t>v_HCsfxpQ8C1M</t>
  </si>
  <si>
    <t>A man holds a weigh on his back, then he kneels on the floor.</t>
  </si>
  <si>
    <t>After, he jumps from the floor to stand while the weigh is on his back.</t>
  </si>
  <si>
    <t>v_86lJVqKyj3A</t>
  </si>
  <si>
    <t>A woman demonstrates how to properly wrap a gift from behind the counter of a gift shop.</t>
  </si>
  <si>
    <t>A woman stands behind a sales counter in front of several wrapped gifts and gift wrapping materials.</t>
  </si>
  <si>
    <t>Gift wrapping materials are shown sitting on the counter including gift wrap, scissors, and ribbon.</t>
  </si>
  <si>
    <t>The woman talks to the camera and begins to wrap the box in gift wrapping paper using a pair of scissors to cut the gift wrapping paper and clear tape to tape the edges of the wrapping paper.</t>
  </si>
  <si>
    <t>The woman then wraps the gift with final ribbon and the camera closes up on the finishes, wrapped, product.</t>
  </si>
  <si>
    <t>v_57cM1GcKktw</t>
  </si>
  <si>
    <t>A heavy man in a blue shirt is playing the bag pipes.</t>
  </si>
  <si>
    <t>He blows into the pipe while making the notes with his fingers.</t>
  </si>
  <si>
    <t>He slightly dances as he plays.</t>
  </si>
  <si>
    <t>He adjusts the bag pipe and continues to play.</t>
  </si>
  <si>
    <t>He finishes his song and reaches to turn off the camera.</t>
  </si>
  <si>
    <t>v_x2DTmwZa8yE</t>
  </si>
  <si>
    <t>A man is sitting with a surgical mask on.</t>
  </si>
  <si>
    <t>He is cutting lemons up.</t>
  </si>
  <si>
    <t>v_lPYV3qFuXOI</t>
  </si>
  <si>
    <t>The video's title and credits are shown.</t>
  </si>
  <si>
    <t>A man rides a bicycle down a path with cars in the background.</t>
  </si>
  <si>
    <t>The man disassembles and repairs the bicycle.</t>
  </si>
  <si>
    <t>The man rides the bicycle down a stone paved path.</t>
  </si>
  <si>
    <t>The man rides the bicycle down a road alongside parked cars.</t>
  </si>
  <si>
    <t>v_jFp6ld_IGuY</t>
  </si>
  <si>
    <t>A man speaks on a microphone.</t>
  </si>
  <si>
    <t>Suddenly, a man jumps on the neck of a person and throw him to the floor.</t>
  </si>
  <si>
    <t>Other men competes wrestling, and one man jumps and land on the border of a wrestling ring.</t>
  </si>
  <si>
    <t>A wrestler jumps on the back of a man to stay upside down while the judge watch.</t>
  </si>
  <si>
    <t>A big man kicks another wrestler, then grabs his head a throw to the floor.</t>
  </si>
  <si>
    <t>A kid and a person jumps to celebrate.</t>
  </si>
  <si>
    <t>v_VbhCWRXsEHQ</t>
  </si>
  <si>
    <t>Parchment paper is placed on the baking sheet.</t>
  </si>
  <si>
    <t>Softened butter is placed in a mixing bowl.</t>
  </si>
  <si>
    <t>The mixer then begins to cream the butter.</t>
  </si>
  <si>
    <t>Sugar is added to the mixing bowl to be beaten in.</t>
  </si>
  <si>
    <t>Flour is measured, and combined with cornstarch which is measured then mixed into the bowl.</t>
  </si>
  <si>
    <t>Dough is measured out by spoonful, rolled up and placed on baking sheet.</t>
  </si>
  <si>
    <t>The dough is flattened and baked into cookies.</t>
  </si>
  <si>
    <t>The cookies are then placed on a baking sheet, then rack to cool with a spatula.</t>
  </si>
  <si>
    <t>The cookies are cooled to be enjoyed.</t>
  </si>
  <si>
    <t>v_wipGHu-nmNY</t>
  </si>
  <si>
    <t>A bartender is talking from behind a bar.</t>
  </si>
  <si>
    <t>He shows himself making several different drinks.</t>
  </si>
  <si>
    <t>Then he is shown making a specific red drink, shaking it before pouring it into a glass.</t>
  </si>
  <si>
    <t>v_0Bd8Js6Pf6E</t>
  </si>
  <si>
    <t>Two tam tams are in a living room.</t>
  </si>
  <si>
    <t>Then, A man comes and talks on front the tam tams.</t>
  </si>
  <si>
    <t>After, the man plays the tam tam in a living room.</t>
  </si>
  <si>
    <t>v_G3xayqdY0TY</t>
  </si>
  <si>
    <t>A man on the dock hands a rope to a water skier.</t>
  </si>
  <si>
    <t>A person water skis and does jumps over ramps in the water of a lake.</t>
  </si>
  <si>
    <t>The water skier falls but recovers then lets go of the rope and drifts over to the shoreline.</t>
  </si>
  <si>
    <t>v_2-xMWBQA7iM</t>
  </si>
  <si>
    <t>We see a man walk over and sits on a rowing machine.</t>
  </si>
  <si>
    <t>The man drink from his water.</t>
  </si>
  <si>
    <t>The man rows fast on the machine.</t>
  </si>
  <si>
    <t>We see a title screen.</t>
  </si>
  <si>
    <t>We see the man stop rowing and walks and gets the camera.</t>
  </si>
  <si>
    <t>The man then shows the screen on the rowing machine.</t>
  </si>
  <si>
    <t>The man kisses his fingers and the camera falls to the ground.</t>
  </si>
  <si>
    <t>v_nXVNITiaaTQ</t>
  </si>
  <si>
    <t>A man stands in front of a business logo and discusses.</t>
  </si>
  <si>
    <t>A rider goes around a turn and plants his foot in the dirt to stabilize.</t>
  </si>
  <si>
    <t>The rider accelerates out of a turn on his motorcycle.</t>
  </si>
  <si>
    <t>The rider goes over a jump on his motorcycle.</t>
  </si>
  <si>
    <t>v_YU0DjX7wvRA</t>
  </si>
  <si>
    <t>A cat is sitting on the floor looking up as his owner tried to grab him.</t>
  </si>
  <si>
    <t>The owner picks him up and sits down with him and begins to clip his nails.</t>
  </si>
  <si>
    <t>The cat is moving his head around wagging its tail around but not giving a hard time.</t>
  </si>
  <si>
    <t>The owner then begins to rub its belly and play with it's feet, before putting the cat back on the ground.</t>
  </si>
  <si>
    <t>v_Pi79Fa4YwDk</t>
  </si>
  <si>
    <t>We see men playing a game of cricket.</t>
  </si>
  <si>
    <t>The pitcher throws and men all start running.</t>
  </si>
  <si>
    <t>We see a man laying on the ground, with medics around.</t>
  </si>
  <si>
    <t>We see men walking on the field and A medic puts a ice pack on the man's head.</t>
  </si>
  <si>
    <t>We see in slow motion the collision which hurt the man.</t>
  </si>
  <si>
    <t>v_-YPp9kc3XDs</t>
  </si>
  <si>
    <t>man is sitting in a living room talking to the camera.</t>
  </si>
  <si>
    <t>man starts playing the flute and keep talknig.</t>
  </si>
  <si>
    <t>v_P3oTMGfwOOs</t>
  </si>
  <si>
    <t>Men use ladders to get on the roof to work.</t>
  </si>
  <si>
    <t>The men put a tarp around the house.</t>
  </si>
  <si>
    <t>The men are removing the roof pieces and throwing down onto the tarp.</t>
  </si>
  <si>
    <t>v_YAbfhT3fhac</t>
  </si>
  <si>
    <t>A gymnastic teams practices routines that involve jumping and flipping.</t>
  </si>
  <si>
    <t>They then switch to cheerleading outside.</t>
  </si>
  <si>
    <t>v_swOYvotIM1Y</t>
  </si>
  <si>
    <t>A woman and a man battle each other in a game of arm wrestling.</t>
  </si>
  <si>
    <t>She beats him and showcases her muscles.</t>
  </si>
  <si>
    <t>They do it again, she wins again, and shows off her muscles.</t>
  </si>
  <si>
    <t>v_KV0L45xelkE</t>
  </si>
  <si>
    <t>A female basketball coach is seen instructing a group of girl basketball players who are standing in line on a basketball court.</t>
  </si>
  <si>
    <t>The first girl passes to another coach and then runs to the net and takes a layup.</t>
  </si>
  <si>
    <t>The girls continue to do the drill on the right side.</t>
  </si>
  <si>
    <t>The girls move to the left side and perform the same drill on the left side of the court.</t>
  </si>
  <si>
    <t>v_8miqQQJEsO0</t>
  </si>
  <si>
    <t>woman is standing in a roofed gym lifting weight.</t>
  </si>
  <si>
    <t>coach is standing next to the gril coaching her and helping her.</t>
  </si>
  <si>
    <t>after a few advices the woman lift the weight again.</t>
  </si>
  <si>
    <t>v_wlYxVUJSJVI</t>
  </si>
  <si>
    <t>A group of kids are playing indoor soccer.</t>
  </si>
  <si>
    <t>The boys run, chasing the ball and fighting to get it away from each other.</t>
  </si>
  <si>
    <t>One boy kicks into the opposing team's goal.</t>
  </si>
  <si>
    <t>It is replayed in slow motion.</t>
  </si>
  <si>
    <t>The boys continue playing for the remainder of the game.</t>
  </si>
  <si>
    <t>On the final screen, an older man is shown holding a little boy in his arms.</t>
  </si>
  <si>
    <t>v_9uHffl5yny4</t>
  </si>
  <si>
    <t>A woman talks on a cordless phone while sitting on a throne, and while another woman kneels at her feet and wipes them down with her clothes.</t>
  </si>
  <si>
    <t>A woman in a purple sari kneels at the foot of another woman who is sitting on a gold throne and wearing a gold crown with red feathers in her hair.</t>
  </si>
  <si>
    <t>The woman on the throne sticks her foot out in front of the kneeling woman and the kneeling woman begins to wipe the woman's feet with her sari.</t>
  </si>
  <si>
    <t>The woman on the throne takes a phone call on black cordless phone and begins to talk before the scene finally fades to a blurry image of another woman talking on a phone.</t>
  </si>
  <si>
    <t>v_UpnFBPGFgnw</t>
  </si>
  <si>
    <t>A man is speaking while standing in front of a smart car.</t>
  </si>
  <si>
    <t>He gets in, continuing to talk as he shows the different component of the car, including the trunk.</t>
  </si>
  <si>
    <t>The man returns to the front of the vehicle, finishing with his final words.</t>
  </si>
  <si>
    <t>v_xuEhV19bVRI</t>
  </si>
  <si>
    <t>A compilation of professional wrestler Kevin Owens performing power bombs on many wrestlers, in the beginning of the video he enters the building with a confident look, as he proceeds to get in he performs multiple power bombs.</t>
  </si>
  <si>
    <t>The ending of the video has a subscriber message.</t>
  </si>
  <si>
    <t>v_H-yBxySDyTw</t>
  </si>
  <si>
    <t>A man in a office chair is sitting with some type of pen up.</t>
  </si>
  <si>
    <t>He talks about it for a little while and then put it in his mouth, turns out its an e-pen.</t>
  </si>
  <si>
    <t>It's a new technology that you can smoke like a cigarette.</t>
  </si>
  <si>
    <t>He holds it in his hands like a cigarette and puts it in his mouth and exhales smoke.</t>
  </si>
  <si>
    <t>v_uBkJa679ffE</t>
  </si>
  <si>
    <t>A woman with dark hair and silver framed glasses looks around pensively until her gaze lands on the camera and she feigns surprise at the presence of the camera and begins to talk to the camera.</t>
  </si>
  <si>
    <t>The woman begins to hold a pair of contact lenses and lens solution up to the camera and then proceeds to take the lenses out and talks to the camera alone again.</t>
  </si>
  <si>
    <t>The woman pours solution into her hand and cleans the lens in her hand before plopping two of them in her eyes and exhibiting completely black eyes to the camera while talking.</t>
  </si>
  <si>
    <t>The woman then takes the contact out of her eyes, then puts them back in on the fade out.</t>
  </si>
  <si>
    <t>v_9PuaRdU6ViM</t>
  </si>
  <si>
    <t>Two girls are seen speaking to the camera followed by a person laying fruit out and mixing it into a blender.</t>
  </si>
  <si>
    <t>The girls continue to put the fruit into a blender while taking bites on the side and pushing down further into the blender.</t>
  </si>
  <si>
    <t>v_14X-i7vqXWU</t>
  </si>
  <si>
    <t>A group of cheerleaders are seen yelling together all at once and leads into them performing a routine in front of a large audience.</t>
  </si>
  <si>
    <t>The people continue performing their routine on the mat while performing various flips and tricks and ends with them running off stage while the audience cheers.</t>
  </si>
  <si>
    <t>v_k3yRK68SEDE</t>
  </si>
  <si>
    <t>Two men are sitting at a table.</t>
  </si>
  <si>
    <t>The men engage in a game of arm wrestling.</t>
  </si>
  <si>
    <t>One of them beats the other.</t>
  </si>
  <si>
    <t>v_Rvqu079gCh0</t>
  </si>
  <si>
    <t>We see kids with feet on skateboards.</t>
  </si>
  <si>
    <t>We see the kids riding down the street from a skater pov.</t>
  </si>
  <si>
    <t>A kid crashes and has a hard time recovering.</t>
  </si>
  <si>
    <t>A boy loses his board and has to run after it.</t>
  </si>
  <si>
    <t>We see the person with a selfie stick fall in the grass.</t>
  </si>
  <si>
    <t>v_aEUbl9oT_0s</t>
  </si>
  <si>
    <t>Various shots are shown of athletes holding a pole in their hands and leaning backwards.</t>
  </si>
  <si>
    <t>This leads into several clips of more athletes throwing javelins off into the distance.</t>
  </si>
  <si>
    <t>More and more people are shown throwing javelins.</t>
  </si>
  <si>
    <t>v_kcPbEkv5UXE</t>
  </si>
  <si>
    <t>A girl plays a drum set in a city plaza for passing people.</t>
  </si>
  <si>
    <t>A lady walks up to watch the drummer play.</t>
  </si>
  <si>
    <t>The drummer plays a solo on the cymbal.</t>
  </si>
  <si>
    <t>The drummer ends the song and bows to the audience.</t>
  </si>
  <si>
    <t>v_6GGQUpJR5qs</t>
  </si>
  <si>
    <t>A person is lathering up a dog's fur with an purple shower head attached to a green hose.</t>
  </si>
  <si>
    <t>The dog shakes his fur.</t>
  </si>
  <si>
    <t>The person continues wetting the dog.</t>
  </si>
  <si>
    <t>v_KFk4ZpyYeuE</t>
  </si>
  <si>
    <t>A small child is seen standing on the ground and begins boxing with another.</t>
  </si>
  <si>
    <t>The boy uses boxing gloves to hit a man in front of him also wearing gloves.</t>
  </si>
  <si>
    <t>The two continue to go at it and leave with the man standing up.</t>
  </si>
  <si>
    <t>v_jRj8deMhPrQ</t>
  </si>
  <si>
    <t>A man in a black jacket is standing outside talking.</t>
  </si>
  <si>
    <t>People are skating on an ice rink.</t>
  </si>
  <si>
    <t>A man in a red hat is playing hockey and makes several goals.</t>
  </si>
  <si>
    <t>v_D_xht_r3n54</t>
  </si>
  <si>
    <t>An older man is shown cleaning off a car in front of a home with a snow scraper.</t>
  </si>
  <si>
    <t>The camera pans around the car while the older man continues to push snow off of it.</t>
  </si>
  <si>
    <t>v_mL7Ipu-HJ5M</t>
  </si>
  <si>
    <t>A woman is in a kitchen making a tomato sauce in the kitchen.</t>
  </si>
  <si>
    <t>The woman is showing the camera her plated food.</t>
  </si>
  <si>
    <t>The woman then grabs a green and a box of pasta.</t>
  </si>
  <si>
    <t>The lady then begins to stir the tomato sauce and puts greens into it.</t>
  </si>
  <si>
    <t>Lastly, the lady pours the pasta into the sauce.</t>
  </si>
  <si>
    <t>v_rFXOInUQjKo</t>
  </si>
  <si>
    <t>A window cleaner in sneakers and a beanie is hanging up and cleaning a window with a towel, with other cleaners behind him hard at work.</t>
  </si>
  <si>
    <t>He lowers himself down to another section of the window and wipes it with a blade.</t>
  </si>
  <si>
    <t>The camera person pans around the environment.</t>
  </si>
  <si>
    <t>v_wibcfckhRyU</t>
  </si>
  <si>
    <t>We see small boys playing tug of war in a field.</t>
  </si>
  <si>
    <t>A man in black walks past the kids.</t>
  </si>
  <si>
    <t>The kid in the white shirt lets go of the rope and puts his hands in the air.</t>
  </si>
  <si>
    <t>A lady walks up and talks to the kids.</t>
  </si>
  <si>
    <t>v_VTtRk9vvZoY</t>
  </si>
  <si>
    <t>A stack of sticks are shown in a pile followed by a person speaking and holding up an object.</t>
  </si>
  <si>
    <t>A person's hands are then seen lighting a match into the pile and creating a fire when he shows his face once more in the end.</t>
  </si>
  <si>
    <t>v_htfrXrKUIzg</t>
  </si>
  <si>
    <t>A man is seen standing behind a large animal holding a razor and speaking to the camera.</t>
  </si>
  <si>
    <t>The man then shaves all around the dog while stopping to speak to the camera and pet the dog.</t>
  </si>
  <si>
    <t>v_9khzc3a4zz0</t>
  </si>
  <si>
    <t>A woman is doing tricks with her jump rope.</t>
  </si>
  <si>
    <t>She does a hand stand while jump roping.</t>
  </si>
  <si>
    <t>She does a front flip while jump roping.</t>
  </si>
  <si>
    <t>She stops and walks forward.</t>
  </si>
  <si>
    <t>v_vnlxIMiHKRQ</t>
  </si>
  <si>
    <t>People are loading inflated tires into the body of water.</t>
  </si>
  <si>
    <t>People are floating on inflated tires.</t>
  </si>
  <si>
    <t>People are spraying elongated water guns.</t>
  </si>
  <si>
    <t>People are paddling canoes down the body of water.</t>
  </si>
  <si>
    <t>A guy present his can of beer.</t>
  </si>
  <si>
    <t>The speed of the video is accelerated.</t>
  </si>
  <si>
    <t>v_YDwHdB6MBrE</t>
  </si>
  <si>
    <t>Kids are playing lacrosse on a field.</t>
  </si>
  <si>
    <t>A woman in a blue jacket is standing on the field watching them.</t>
  </si>
  <si>
    <t>The kids are chasing around a yellow ball.</t>
  </si>
  <si>
    <t>v_EpLRCz5dwb0</t>
  </si>
  <si>
    <t>A woman starts running down a track.</t>
  </si>
  <si>
    <t>She throws a javelin onto the field.</t>
  </si>
  <si>
    <t>She gives someone behind her a high five.</t>
  </si>
  <si>
    <t>v_Rx9SIyFMfcY</t>
  </si>
  <si>
    <t>These people are shown exercising on the exercise bikes.</t>
  </si>
  <si>
    <t>These people are pedaling using only one leg and they're standing in the middle of the bike with the other one holding their hands up.</t>
  </si>
  <si>
    <t>Next they do a different exercise where they put one foot on the pedal, while they have one foot out and they bounce up and down.</t>
  </si>
  <si>
    <t>v_V-kMGMX-l2g</t>
  </si>
  <si>
    <t>A woman stands on front a young lady and talks.</t>
  </si>
  <si>
    <t>Then, the woman and the young lady perform fitness exercise while the woman talks.</t>
  </si>
  <si>
    <t>After, the woman and the young lady stop exercising, and the woman talks while making gestures with her hands.</t>
  </si>
  <si>
    <t>v_LVG7DLzI-GM</t>
  </si>
  <si>
    <t>A lady that works at a casino shows you how to play black jack.</t>
  </si>
  <si>
    <t>the lady deals out two card each 5 times and deals her self one card.</t>
  </si>
  <si>
    <t>the lady then explains what you are allowed to do with the cards that you where dealt with,she also deals out two more cards one each deck.</t>
  </si>
  <si>
    <t>finally she deals out two more cards to her self and shows the outcome from adding chips to the areas she dealt the card from the start.</t>
  </si>
  <si>
    <t>the lady then scoops up all the cards on the table and the round is over.</t>
  </si>
  <si>
    <t>v_oq54_GlzK6A</t>
  </si>
  <si>
    <t>The first clip of the video shows the title sequence.</t>
  </si>
  <si>
    <t>A man is then shown in a bowling store speaking to the camera.</t>
  </si>
  <si>
    <t>Another title slide introduces the next clip.</t>
  </si>
  <si>
    <t>As the man speaks to the camera, several clips are shown of a man rolling a bowling ball down the lane.</t>
  </si>
  <si>
    <t>The video ends with a clip showing the title logo and website information.</t>
  </si>
  <si>
    <t>v_M-PQajs86Bo</t>
  </si>
  <si>
    <t>A man pushes a child on the swing set of a large park area.</t>
  </si>
  <si>
    <t>The man holds the swing and brings the child to a stop.</t>
  </si>
  <si>
    <t>The man pushes the swing to get the child started again.</t>
  </si>
  <si>
    <t>v_MZ4yIxM6snw</t>
  </si>
  <si>
    <t>A man in a yellow construction top is inside painting the wall beige.</t>
  </si>
  <si>
    <t>He goes from the bottom up and grabs more paint on his tool.</t>
  </si>
  <si>
    <t>He is making progress across the wall pretty quickly the way he is doing it.</t>
  </si>
  <si>
    <t>He makes it half way across the wall but the bottom of the wall is still white.</t>
  </si>
  <si>
    <t>v_QvBG_Da97h8</t>
  </si>
  <si>
    <t>A graphic introduces the hand car wash video.</t>
  </si>
  <si>
    <t>The car is washed first gently with soap.</t>
  </si>
  <si>
    <t>Next, the tires are soaped and washed thoroughly.</t>
  </si>
  <si>
    <t>After that, the car's engine is steam cleaned.</t>
  </si>
  <si>
    <t>A final spot free rinse is applied and the car is dried.</t>
  </si>
  <si>
    <t>v_46D3Yvu-BL8</t>
  </si>
  <si>
    <t>A man is seen standing inside a large room and begins hitting a ball against a wall with a tennis racket.</t>
  </si>
  <si>
    <t>More shots of him hitting the ball are shown in the room and the ball rolls back to him in the end.</t>
  </si>
  <si>
    <t>v_NVeTGvwk8y0</t>
  </si>
  <si>
    <t>A glass of tequila sunrise is shown.</t>
  </si>
  <si>
    <t>A man is talking in front of a display of alcoholic drinks.</t>
  </si>
  <si>
    <t>He places the ingredients of alcohol and juice on a table, added the ingredients, as well as grenadine to a tall glass with ice.</t>
  </si>
  <si>
    <t>He displays the beautiful drink on the table.</t>
  </si>
  <si>
    <t>v_2vOBrR0jKgY</t>
  </si>
  <si>
    <t>A boy is talking in front of a camera in his room.</t>
  </si>
  <si>
    <t>He smokes a cigarette, then blows the smoke from his mouth.</t>
  </si>
  <si>
    <t>He begins making rings as he blows the smoke.</t>
  </si>
  <si>
    <t>v_yjUMopRteDc</t>
  </si>
  <si>
    <t>A woman is seated as a person with gloved hands inserts a hole into her tongue.</t>
  </si>
  <si>
    <t>The person clamps her tongue, then inserts a piercing.</t>
  </si>
  <si>
    <t>She is then shown smiling and showing off her stud.</t>
  </si>
  <si>
    <t>v_NQ51aXtD6Q0</t>
  </si>
  <si>
    <t>Several wrestlers are shown lined up in a game with a person choosing his characters.</t>
  </si>
  <si>
    <t>The game loads into people wrestling with one another in a ring.</t>
  </si>
  <si>
    <t>The men continue wrestling in the game and end by looking down at a player.</t>
  </si>
  <si>
    <t>v_EZZMYzY6Pug</t>
  </si>
  <si>
    <t>There's a man demonstrating how to melt wax and coat surfaces with wax using an iron.</t>
  </si>
  <si>
    <t>He melts a piece of wax against the heated surface of the iron.</t>
  </si>
  <si>
    <t>Then he smears the wax and coats on a surface.</t>
  </si>
  <si>
    <t>After the wax cools and solidifies, he scrapes it off the surface.</t>
  </si>
  <si>
    <t>v_IJER0EpbxW4</t>
  </si>
  <si>
    <t>A group of men are running across a gym.</t>
  </si>
  <si>
    <t>They run out into a ring together.</t>
  </si>
  <si>
    <t>They then engage in a wrestling match.</t>
  </si>
  <si>
    <t>v_RQajzyqAcQM</t>
  </si>
  <si>
    <t>A boy talks to the camera at a beach.</t>
  </si>
  <si>
    <t>A man walks from right to left in the background.</t>
  </si>
  <si>
    <t>The boy interacts with a man in front of a sand castle.</t>
  </si>
  <si>
    <t>A woman walks from right to left in the background.</t>
  </si>
  <si>
    <t>Several still images of the boy and the man, sometimes with other people, are shown in front of he sand castle at various stages of completion.</t>
  </si>
  <si>
    <t>The boy, now with two smaller children, interact with the man who is still working on the sand castle.</t>
  </si>
  <si>
    <t>More still images of various groups of people beside the sand castle are shown.</t>
  </si>
  <si>
    <t>v_TUhitcbJ5C4</t>
  </si>
  <si>
    <t>We see kids washing their hands in a class room at kid height sinks.</t>
  </si>
  <si>
    <t>We watch the boy try and get soap.</t>
  </si>
  <si>
    <t>The boy uses the soap dispenser again.</t>
  </si>
  <si>
    <t>The boy looks at the camera and talks.</t>
  </si>
  <si>
    <t>An adult grabs his hand when he attempts to get more soap.</t>
  </si>
  <si>
    <t>v_ZPLbrQ391jg</t>
  </si>
  <si>
    <t>An intro leads into several shots of a bike track as well as people moving along the track to race.</t>
  </si>
  <si>
    <t>The camera continues to capture the people riding around the track in slow motion with one person falling and several watching on the sides.</t>
  </si>
  <si>
    <t>The people then ride through the finish line an throw their arms up into the air.</t>
  </si>
  <si>
    <t>v_sFMa1EP7d2M</t>
  </si>
  <si>
    <t>A bicycle flipped upside down is up against the wall as an orange change is shown.</t>
  </si>
  <si>
    <t>A person then comes and removes the chain from the bike and places it on the ground.</t>
  </si>
  <si>
    <t>The man then takes out a yardstick and begins to measure certain parts of the bike.</t>
  </si>
  <si>
    <t>Pieces are then removed and tightened with the wrench and rings are placed inside by where the chain goes.</t>
  </si>
  <si>
    <t>v_uO9qoK8zGQc</t>
  </si>
  <si>
    <t>A man is doing Tai Chi moves on a beach alone in front of the sun.</t>
  </si>
  <si>
    <t>A group of people all dressed in white joins the man on the beach and does the martial arts moves.</t>
  </si>
  <si>
    <t>The man is alone again doing the moves.</t>
  </si>
  <si>
    <t>The people are with the man doing Tai Chi back on the beach.</t>
  </si>
  <si>
    <t>The man is alone on a hill doing the moves.</t>
  </si>
  <si>
    <t>The man is back on the beach doing the moves as the sun begins to set.</t>
  </si>
  <si>
    <t>The people are doing the moves with him on the beach.</t>
  </si>
  <si>
    <t>Words come across the screen.</t>
  </si>
  <si>
    <t>v_iF9jetQ7OTE</t>
  </si>
  <si>
    <t>A boy in a hat is talking.</t>
  </si>
  <si>
    <t>He smokes something and blows the smoke into the air.</t>
  </si>
  <si>
    <t>He continues talking to the camera.</t>
  </si>
  <si>
    <t>He smokes from the pipe again and blows the smoke out a few more times.</t>
  </si>
  <si>
    <t>v_XPcBV3UatRI</t>
  </si>
  <si>
    <t>A toddler iron a garment on a toy board.</t>
  </si>
  <si>
    <t>The toddler sprays the garment and folds, then she continues ironing it.</t>
  </si>
  <si>
    <t>Then, the toddler fold again the garment and iron it.</t>
  </si>
  <si>
    <t>v_Igm1Mx4Ng1k</t>
  </si>
  <si>
    <t>A person is seen wearing gear and wandering around a grassy area.</t>
  </si>
  <si>
    <t>The man uses a tool to cut along the grass.</t>
  </si>
  <si>
    <t>He continues moving along the grass and showing off the tool in the end.</t>
  </si>
  <si>
    <t>v_s5oN3d77e50</t>
  </si>
  <si>
    <t>A person is riding a dirt bike over a hill.</t>
  </si>
  <si>
    <t>Someone stands on top of a dirt hill.</t>
  </si>
  <si>
    <t>People are standing on the side of the hill.</t>
  </si>
  <si>
    <t>v_ZbS9R9faBQk</t>
  </si>
  <si>
    <t>A man is stirring a pot on a stove.</t>
  </si>
  <si>
    <t>A plate is brought over to the stove.</t>
  </si>
  <si>
    <t>He dishes out what was in the pan onto the plate.</t>
  </si>
  <si>
    <t>v_njPRhj-YgE0</t>
  </si>
  <si>
    <t>Many different women wearing many different shoes are walking a dog on the sidewalk, one wearing wedges walks up some stairs.</t>
  </si>
  <si>
    <t>A man begins to talk about what seems like a dog stylist parlor.</t>
  </si>
  <si>
    <t>There are many dogs being groomed and getting cute fancy hair cuts.</t>
  </si>
  <si>
    <t>One of them is wagging it's tails very excited enjoying the situation.</t>
  </si>
  <si>
    <t>v_NhM6jEV08s4</t>
  </si>
  <si>
    <t>Outside a lumbar jack is standing with an axe, he is dressed up in a coat to stay warm.</t>
  </si>
  <si>
    <t>There are plenty of logs piled up to the side of him.</t>
  </si>
  <si>
    <t>All cut and collected most likely by him for fires to keep the house warm during winter nights.</t>
  </si>
  <si>
    <t>He takes his axe and hits the branch with it.</t>
  </si>
  <si>
    <t>v_KnHUAc20WEU</t>
  </si>
  <si>
    <t>A large arena is shown with a large screen showing the athletes in the field.</t>
  </si>
  <si>
    <t>A man is then shown in a cage spinning around throwing a shot put that people begin to measure.</t>
  </si>
  <si>
    <t>Another man approaches the circle,repeats the action and begins to jump up in glee.</t>
  </si>
  <si>
    <t>More men approach the stand and it continues on until they have completed each of their turns then they turn to the audience and wave.</t>
  </si>
  <si>
    <t>v_wCG7f6naJsQ</t>
  </si>
  <si>
    <t>There's a man working a bicycle wheel with various tools.</t>
  </si>
  <si>
    <t>He starts off by turning the axle of the wheel with a pair of tongs to position the axle in the center.</t>
  </si>
  <si>
    <t>Then he fixes the center nut and uses a wrench to loosen it.</t>
  </si>
  <si>
    <t>Then he uses his hands to remove the axle out.</t>
  </si>
  <si>
    <t>He uses another tool to unscrew a washer out of the axle.</t>
  </si>
  <si>
    <t>Then he uses a tool with a magnetic end to remove tiny metal particles out of the axle.</t>
  </si>
  <si>
    <t>After that he cleans the inside rim of the greasy axle with his finger.</t>
  </si>
  <si>
    <t>Then he takes the washer and cleans it further to fix it back into the axle.</t>
  </si>
  <si>
    <t>v__hzMRy2_q4g</t>
  </si>
  <si>
    <t>A close up of fruit is seen sitting on a plate when a person's hand places them into a container.</t>
  </si>
  <si>
    <t>The person then pushes the fruit around the bowl with a spoon over and over again.</t>
  </si>
  <si>
    <t>The person drops the spoon in the mixture and ends with text across the screen.</t>
  </si>
  <si>
    <t>v_sHxzQu_4edY</t>
  </si>
  <si>
    <t>A woman is shown in a yard, talking to the camera.</t>
  </si>
  <si>
    <t>She is then on horseback, and a woman is shown in several scenes talking about technique.</t>
  </si>
  <si>
    <t>The girl rides the horse alone, then with other people down trails.</t>
  </si>
  <si>
    <t>v_MOOeHWuuxlo</t>
  </si>
  <si>
    <t>There's a man in a gym using an elliptical machine.</t>
  </si>
  <si>
    <t>He is wearing a pair of black track pants, black shirt and a cap.</t>
  </si>
  <si>
    <t>He demonstrates how to use the elliptical correctly to maintain a consistent speed.</t>
  </si>
  <si>
    <t>v_xW1M8k9A-gk</t>
  </si>
  <si>
    <t>A spoon is seen spinning around various foods and liquids and leads into a hand cutting up vegetables on a cutting board.</t>
  </si>
  <si>
    <t>A baby is seen watching from behind and the camera zooms in on various websites and foods present.</t>
  </si>
  <si>
    <t>Pasta is seen sitting in a pot and the person uses a spoon to spin it around.</t>
  </si>
  <si>
    <t>They pour ingredients into a pot to bowl and add more vegetables, ending with all the ingredients put together on a plate to present.</t>
  </si>
  <si>
    <t>v_RgaFRpTYYR4</t>
  </si>
  <si>
    <t>A close up of a man is seen holding an accordion and sitting in front of a camera.</t>
  </si>
  <si>
    <t>The man begins playing the instrument while looking to the camera.</t>
  </si>
  <si>
    <t>He pauses to speak for a moment then continues on playing.</t>
  </si>
  <si>
    <t>v_oOu5vC3EB5E</t>
  </si>
  <si>
    <t>A man wearing a yellow shirt and a man wearing a black shirt play racket ball.</t>
  </si>
  <si>
    <t>The man in black serves the ball.</t>
  </si>
  <si>
    <t>The man in yellow serves the ball.</t>
  </si>
  <si>
    <t>The man in yellow serves the ball again.</t>
  </si>
  <si>
    <t>The man in yellow plays alone while the man in black stands by.</t>
  </si>
  <si>
    <t>A hand covers the camera lens.</t>
  </si>
  <si>
    <t>v_8J_bB1vI0uE</t>
  </si>
  <si>
    <t>A man stands atop a rock formation.</t>
  </si>
  <si>
    <t>Several scenes of individuals rock climbing are shown from various angles and settings, interspersed with brief closeup shots of the climbers.</t>
  </si>
  <si>
    <t>Several credits are shown on a black screen.</t>
  </si>
  <si>
    <t>v_j_e8c6tOQG8</t>
  </si>
  <si>
    <t>Water is rushing between rocks in a river.</t>
  </si>
  <si>
    <t>Rafters appear, paddling through the rushing currents.</t>
  </si>
  <si>
    <t>The rafter continues as he navigates the river.</t>
  </si>
  <si>
    <t>v_e1TfVkNgitY</t>
  </si>
  <si>
    <t>A blue logo appears across the screen with white words in it.</t>
  </si>
  <si>
    <t>A young male gymnast is then shown in a room in front of a balance beam.</t>
  </si>
  <si>
    <t>The gymnast then begins using his hands to describe the motions he is about to do.</t>
  </si>
  <si>
    <t>After,the male grabs the two bars and pulls himself up and holds his body up before going into a hand stand,he comes down,and does another one.</t>
  </si>
  <si>
    <t>The gymnast does several more tricks and then does a flip off of the bars.</t>
  </si>
  <si>
    <t>v_7Ql7Hw6c1-o</t>
  </si>
  <si>
    <t>A woman dressed in a blue shirt and black apron begins talking behind the table.</t>
  </si>
  <si>
    <t>On the table,she has five different kinds of paint, brushes and other supplies needed to complete the task.</t>
  </si>
  <si>
    <t>She then begins talking as she leans on a wooden table stand next to her.</t>
  </si>
  <si>
    <t>The lady begins by taking a screwdriver and removing the knob from the drawer and wiping it down with a wet cloth.</t>
  </si>
  <si>
    <t>Next comes the brown paint as she begins putting various strokes on it to finish it.</t>
  </si>
  <si>
    <t>The stand is done but then goes back and starts add a finish on it.</t>
  </si>
  <si>
    <t>v_ImXRDdhcCgs</t>
  </si>
  <si>
    <t>We see logs in a pile in the woods.</t>
  </si>
  <si>
    <t>A man in a cowboy hat walks up and grabs an ax.</t>
  </si>
  <si>
    <t>The man then goes around hitting the logs with the ax and splitting them in two hits.</t>
  </si>
  <si>
    <t>The man drops the ax and turns off the camera.</t>
  </si>
  <si>
    <t>v_2gc7pCOg-NE</t>
  </si>
  <si>
    <t>A person is walking around a tennis court.</t>
  </si>
  <si>
    <t>Another man appears swinging around a tennis racket.</t>
  </si>
  <si>
    <t>He bounces a tennis ball on the floor while the other man walks into frame.</t>
  </si>
  <si>
    <t>They talk for a bit while walking around and preparing to play.</t>
  </si>
  <si>
    <t>The man run back and fourth and hit the ball off the wall to each other.</t>
  </si>
  <si>
    <t>v_ILARi15rMWI</t>
  </si>
  <si>
    <t>There's a man on stilts jumping and doing stunts in an indoor gym.</t>
  </si>
  <si>
    <t>There are several spectators and judges watching him perform.</t>
  </si>
  <si>
    <t>After the man finishes his stunts, he gets off the stilts and the judges write down the scores.</t>
  </si>
  <si>
    <t>v_RgWvaKWa7YU</t>
  </si>
  <si>
    <t>A band plays drums in a circle around a lead drummer.</t>
  </si>
  <si>
    <t>The female drummers spinner their sticks while playing.</t>
  </si>
  <si>
    <t>The drummers hold up their sticks after completing the song.</t>
  </si>
  <si>
    <t>v_axoyB4pypWY</t>
  </si>
  <si>
    <t>A couple of cages are on the ground.</t>
  </si>
  <si>
    <t>There are dogs sleeping in each cage.</t>
  </si>
  <si>
    <t>A man is shown on a field performing tricks with a dog and a bunch of frisbees.</t>
  </si>
  <si>
    <t>The dog catches, flips, and chases the frisbees.</t>
  </si>
  <si>
    <t>v_N1-TZnH0jy4</t>
  </si>
  <si>
    <t>There's a little baby wearing a purple bib seated on a high chair holding and sucking on a Popsicle.</t>
  </si>
  <si>
    <t>The baby licks the Popsicle several times and then throws it down.</t>
  </si>
  <si>
    <t>v_xx5TLuZmjcE</t>
  </si>
  <si>
    <t>woman wearing black clothes is playing squash in a small wooden room.</t>
  </si>
  <si>
    <t>man with a stripped shirt is standing in a court room playing squash.</t>
  </si>
  <si>
    <t>a man and a woman are standing ni a wooden court playing squash.</t>
  </si>
  <si>
    <t>v_CwvtmoTWNgQ</t>
  </si>
  <si>
    <t>A windsurfer rides along choppy water across a canal with other riders in the background.</t>
  </si>
  <si>
    <t>The makes a turn of direction on his windsurfing board and pumps back and forth to maneuver it.</t>
  </si>
  <si>
    <t>A group of windsurfers ride together around a small dingy boat.</t>
  </si>
  <si>
    <t>v_gwbRqyRZguM</t>
  </si>
  <si>
    <t>A group of children are swinging together on a piece of equipment.</t>
  </si>
  <si>
    <t>They are shown in groups, swinging back and forth on the platform.</t>
  </si>
  <si>
    <t>They are located in an outdoor park.</t>
  </si>
  <si>
    <t>v_oOURAJ7nraU</t>
  </si>
  <si>
    <t>A male athlete is standing outside on a field stretching preparing himself to run.</t>
  </si>
  <si>
    <t>After he is ready,the man takes off running and does several long jumps into the pit.</t>
  </si>
  <si>
    <t>As he ends his last jump,two people come to the pit and start to measure the distance.</t>
  </si>
  <si>
    <t>v_Mv2L6HxB2dk</t>
  </si>
  <si>
    <t>There are several people skating on the main road in the downtown area of a city at night.</t>
  </si>
  <si>
    <t>The street is lit up with street lights and stores along the sidewalk.</t>
  </si>
  <si>
    <t>The people skate through the road where there are no cars driving.</t>
  </si>
  <si>
    <t>v_BJGACTBaU_Y</t>
  </si>
  <si>
    <t>A man is seen walking closer to a pinata while a large group of people stand around him.</t>
  </si>
  <si>
    <t>The man misses the pinata and hits a person behind him, shown again in slow motion.</t>
  </si>
  <si>
    <t>v_ZOczr9WCVig</t>
  </si>
  <si>
    <t>There are many different tiles being shown and there is wooden floors being shown.</t>
  </si>
  <si>
    <t>First the man removes the baseboard, then he gets a drill and puts screws in the floor.</t>
  </si>
  <si>
    <t>Then he draws lines to put tiles on the floor.</t>
  </si>
  <si>
    <t>I then see him with a machine that cuts tiles in half and he puts half of a tile on the floor.</t>
  </si>
  <si>
    <t>Then he smears cement onto the floor and lies the tiles on top of it.</t>
  </si>
  <si>
    <t>He hammers the tiles a little to make them lie flat.</t>
  </si>
  <si>
    <t>Then floor is now finished and he wipes the tiles off making them shiny.</t>
  </si>
  <si>
    <t>v_ZnoSOqba2HM</t>
  </si>
  <si>
    <t>A baby is standing on the carpet.</t>
  </si>
  <si>
    <t>A person brushes the child's teeth with a blue toothbrush.</t>
  </si>
  <si>
    <t>The child reaches for the camera.</t>
  </si>
  <si>
    <t>v_q4M7SsGjFro</t>
  </si>
  <si>
    <t>We see a girl performing with batons.</t>
  </si>
  <si>
    <t>The girl throws her leg in the air and spins.</t>
  </si>
  <si>
    <t>The girl does a cartwheel.</t>
  </si>
  <si>
    <t>The girl kneels down and picks up a baton.</t>
  </si>
  <si>
    <t>The girls finishes and throws her arms in the air.</t>
  </si>
  <si>
    <t>The girl walks over and hugs her dad.</t>
  </si>
  <si>
    <t>v_um2h6O3zjGM</t>
  </si>
  <si>
    <t>A man is watching a game eating an ice cream cone.</t>
  </si>
  <si>
    <t>People are sitting behind a desk laughing.</t>
  </si>
  <si>
    <t>v_lGPUCwHjiK0</t>
  </si>
  <si>
    <t>A man is preparing to run and jump.</t>
  </si>
  <si>
    <t>He runs very quickly down the track.</t>
  </si>
  <si>
    <t>He takes a flying jump over the high bar onto a mat.</t>
  </si>
  <si>
    <t>v_-qtdjw3MYcY</t>
  </si>
  <si>
    <t>A girl is sitting down in a chair.</t>
  </si>
  <si>
    <t>Another person is standing behind her.</t>
  </si>
  <si>
    <t>The woman behind her begins braiding her hair.</t>
  </si>
  <si>
    <t>v_Pd9qzQ2MOE8</t>
  </si>
  <si>
    <t>Two men are seen kneeling and sitting before a wall with one speaking to the camera and beginning to lay metal down on the side.</t>
  </si>
  <si>
    <t>The two line it up as well as drill the metal into place while continuing to drill down more while the man speaks to the camera and shows more shots of his crew working in the end.</t>
  </si>
  <si>
    <t>v_2jpnkf-xgf0</t>
  </si>
  <si>
    <t>A woman bakes cookies on a silicone mat.</t>
  </si>
  <si>
    <t>The ingredients are prepared and cookies are cut.</t>
  </si>
  <si>
    <t>v_KmJFUfqGKZA</t>
  </si>
  <si>
    <t>An underwater coral reef is shown.</t>
  </si>
  <si>
    <t>The scuba diver rides a horse and then looks at rays.</t>
  </si>
  <si>
    <t>v_dffUIntKlGI</t>
  </si>
  <si>
    <t>A young child is seen running up and down a bricked area while standing in front of a hop scotch game drawn out.</t>
  </si>
  <si>
    <t>The girl then hops along the chalk while looking at the camera and holding her hair out of her face.</t>
  </si>
  <si>
    <t>In the end she gives the person holding the camera a high give.</t>
  </si>
  <si>
    <t>v_c9A384zijnk</t>
  </si>
  <si>
    <t>Various clips are shown of food close up as well as people speaking to the camera.</t>
  </si>
  <si>
    <t>Shots are shown of the outside of a restaurant as well as chefs cooking the food and people eating the food.</t>
  </si>
  <si>
    <t>v_8Tyu4-JnfDc</t>
  </si>
  <si>
    <t>A white screen appears with a green logo and green and gray words appear and it says "howdini get yourself a guru".</t>
  </si>
  <si>
    <t>A brunette woman standing in a kitchen is talking and the words on the screen say "Howdini Guru Cricket Azima Chef and Author", then a green screen appears quickly and it say's "Cookie Exchange Recipes", and goes back to the woman talking.</t>
  </si>
  <si>
    <t>Cookies on a plate are shown and the words on the screen say they are "Peanut Butter Blossoms", and begins to show the woman pouring all the ingredients into a bowl to make them, rolling them in sugar, putting them on a tray for baking, and then showing the final product when they're done baking and the website to go to to see the full recipe.</t>
  </si>
  <si>
    <t>The woman is talking again and the next cookie she is shown making is called "cookie snowballs" and it shows all the ingredients needed, a list on how long to cook it for, and she's demonstrating step by step until it's all baked and on a plate next to the other cookies.</t>
  </si>
  <si>
    <t>The video ends with more pictures of other cookies she wasn't shown making, then to a green screen that has white words that include a message to go to their website if you want to see more videos of their cookie recipes.</t>
  </si>
  <si>
    <t>v_F_uouNToDWo</t>
  </si>
  <si>
    <t>A lady on a rowing machine in a gym sits still.</t>
  </si>
  <si>
    <t>The lady leans forward and works out slowly on the machine.</t>
  </si>
  <si>
    <t>The lady starts to row a little faster and the screen fades to black.</t>
  </si>
  <si>
    <t>v_D4zZErqkD6A</t>
  </si>
  <si>
    <t>Two dancers are seen holding a pose in the middle of a large gymnasium and begin performing a routine using batons.</t>
  </si>
  <si>
    <t>The girls continue dancing and spinning around with the sticks and end by holding a pose.</t>
  </si>
  <si>
    <t>v_Th0SMArnWiY</t>
  </si>
  <si>
    <t>We see BMX racers on the field and in various locations and riding their bikes.</t>
  </si>
  <si>
    <t>Two men fall off their bikes.</t>
  </si>
  <si>
    <t>We see the races start high on a platform.</t>
  </si>
  <si>
    <t>A man holds a surfboard and a man carries a bike up steps.</t>
  </si>
  <si>
    <t>We see a laughing man holding a surfboard.</t>
  </si>
  <si>
    <t>A lady throws a hand sign to the camera.</t>
  </si>
  <si>
    <t>We see aerial shots of the fields.</t>
  </si>
  <si>
    <t>A man takes a photo and a man holds a New Zeland flag.</t>
  </si>
  <si>
    <t>A man fall off his bike hard.</t>
  </si>
  <si>
    <t>The video fades to black.</t>
  </si>
  <si>
    <t>v_YCrSiqY-TVw</t>
  </si>
  <si>
    <t>Various clips are shown of the inside and outside of an arena as well as the camera panning out from the ice and two people speaking to one another.</t>
  </si>
  <si>
    <t>Several shots are then shown of people curling and close ups of the pucks.</t>
  </si>
  <si>
    <t>More clips are shown of people playing the game as well as team mates watching.</t>
  </si>
  <si>
    <t>v_MldEr60j33M</t>
  </si>
  <si>
    <t>A man in a white shirt bends over and picks up a large weight.</t>
  </si>
  <si>
    <t>He lifts the weight up to his shoulders.</t>
  </si>
  <si>
    <t>He bends down and lifts the weight over his head.</t>
  </si>
  <si>
    <t>v_LtQTtCplKz0</t>
  </si>
  <si>
    <t>A man by the name of ALEX AL-AMEEN is smiling and talking and the words below his name say that he has been "SELECTED FOR COMMONWEALTH GAMES 2014 110 METRE HURDLES".</t>
  </si>
  <si>
    <t>A man is then shown on the track sitting on the ground prepping his feet for his shoes as he wraps tape around his foot.</t>
  </si>
  <si>
    <t>Three men are now walking to a track where various people are running and taking turns doing hop, skip and jumps.</t>
  </si>
  <si>
    <t>A man briefly stops and talks to the camera while he appears a little out of breath.</t>
  </si>
  <si>
    <t>Another man is now kneeling and applying tape next to the sandy area of the jump while he talks.</t>
  </si>
  <si>
    <t>The man is now standing at a bar bell with very heavy weights and he slowly starts to lift it, then drops it.</t>
  </si>
  <si>
    <t>A woman is now holding dumbbells while she steps on some stairs, and the man is show again but this time he's pulling on an exercise equipment.</t>
  </si>
  <si>
    <t>The white outro screen appears with their logo and the words saying to subscribe to their youtube channel.</t>
  </si>
  <si>
    <t>v_eudqfH7Vz_c</t>
  </si>
  <si>
    <t>Three boys play a game of croquet on a large green lawn with croquet mallets and croquet balls.</t>
  </si>
  <si>
    <t>The boy sit on a bench outside with a bag of croquet mallets and balls and talk to each other.</t>
  </si>
  <si>
    <t>The boys then enter the field and hurt themselves trying to untangle the croquet tools.</t>
  </si>
  <si>
    <t>The boys then start to play, talking to each other through it and end up chasing each other through the field and tackling each other on the ground.</t>
  </si>
  <si>
    <t>The boys finally look at a cell phone together from the field and then layer their croquet mallets on top of one another in a seeming attempt to get the balls through the croquet goal by guiding them through the holes in the layered mallets.</t>
  </si>
  <si>
    <t>v_yOFIXQCbSqc</t>
  </si>
  <si>
    <t>A large group of people are seen swimming around a pool with a man talking on the side.</t>
  </si>
  <si>
    <t>The group begin throwing the ball around while swimming around each other.</t>
  </si>
  <si>
    <t>The group continues swimming and playing ball with each other.</t>
  </si>
  <si>
    <t>v_jqRJM8b4pgE</t>
  </si>
  <si>
    <t>A man is sitting at a booth surrounded by pipes, talking and gesturing.</t>
  </si>
  <si>
    <t>The man holds up one end of the pipe.</t>
  </si>
  <si>
    <t>The man demonstrates how to smoke using the pipe, as he blows ringed smoke out of his mouth.</t>
  </si>
  <si>
    <t>He continues to talk and gesture.</t>
  </si>
  <si>
    <t>v_hg-wVv7XSFo</t>
  </si>
  <si>
    <t>picture of supplies that are needed to do hairstyle .</t>
  </si>
  <si>
    <t>Separate hair into two parts down the middle.</t>
  </si>
  <si>
    <t>French braiding hair from left to right all the way to the end.</t>
  </si>
  <si>
    <t>French braiding hair from the back going right to left all the way to the end.</t>
  </si>
  <si>
    <t>Connect the braids together using a bobby pin.</t>
  </si>
  <si>
    <t>Separate the braids all over to make braids look fuller to form a crown.</t>
  </si>
  <si>
    <t>v_DF9CGVGiKXY</t>
  </si>
  <si>
    <t>Five people are jump roping on a blue mat.</t>
  </si>
  <si>
    <t>They do flips and tricks while jump roping.</t>
  </si>
  <si>
    <t>They finish and hug each other before walking off.</t>
  </si>
  <si>
    <t>v_1fmaEo3wzxg</t>
  </si>
  <si>
    <t>A lady sits in a tattoo chair talking.</t>
  </si>
  <si>
    <t>The lady has a tattoo added to her back.</t>
  </si>
  <si>
    <t>The other lady sits in the chair.</t>
  </si>
  <si>
    <t>The second lady is being tattooed.</t>
  </si>
  <si>
    <t>We see the finished tattoos.</t>
  </si>
  <si>
    <t>v_pQQb2FP1ewE</t>
  </si>
  <si>
    <t>Two men push a small private helicopter out of its shed.</t>
  </si>
  <si>
    <t>They land on a beach, then fly it over the clear ocean water.</t>
  </si>
  <si>
    <t>They skydive, opening their parachutes as they get closer to the water.</t>
  </si>
  <si>
    <t>They then scuba dive to the bottom and put on scuba gear to explore the ocean floor.</t>
  </si>
  <si>
    <t>v_lKCDcLEby-Y</t>
  </si>
  <si>
    <t>A large group of people are seen standing around an area and lead into people playing tug of war.</t>
  </si>
  <si>
    <t>People in costume cheer them on as they continue to play as well as showing people dancing in the city.</t>
  </si>
  <si>
    <t>More pictures are shown of the event as well as people speaking to one another.</t>
  </si>
  <si>
    <t>v_6VD_qwIgTzU</t>
  </si>
  <si>
    <t>A tattoo artist is seen tattooing a girls foot and leads into a man speaking to the camera.</t>
  </si>
  <si>
    <t>The man continues speaking to the camera as well as pointing and looking away.</t>
  </si>
  <si>
    <t>v_vB00ah6E5E4</t>
  </si>
  <si>
    <t>A young boy plays the violin.</t>
  </si>
  <si>
    <t>He stops playing the violin.</t>
  </si>
  <si>
    <t>v_ElXkXNbsZac</t>
  </si>
  <si>
    <t>A man in white apron and pants stands on a ladder holding a pencil and wallpaper.</t>
  </si>
  <si>
    <t>The man applies a strip of wallpaper to a wall and smooths with his hand.</t>
  </si>
  <si>
    <t>The man uses a rag and then a brush to smooth out thee wall paper to the wall surface.</t>
  </si>
  <si>
    <t>The painter uses a spatula and blade to trim a straight line on the wallpapers edge along the ceiling.</t>
  </si>
  <si>
    <t>The man gets down from the ladder and unrolls the wallpaper to the floor.</t>
  </si>
  <si>
    <t>The man continues to smooth out the lower section of the wallpaper with a brush down to the floorboard.</t>
  </si>
  <si>
    <t>The man trims the lower edge of the wall paper with a blade against the floor board.</t>
  </si>
  <si>
    <t>The man trims the corner of the wall paper from the ceiling down the the floor.</t>
  </si>
  <si>
    <t>v_AWAMhmc08Cw</t>
  </si>
  <si>
    <t>Two children are seen sitting in a tub rubbing their faces and another person's hands interacting.</t>
  </si>
  <si>
    <t>The boy continues to rub water all over his face as well as play with toys and smile at the cameraman.</t>
  </si>
  <si>
    <t>v_PpC4kPd5KfA</t>
  </si>
  <si>
    <t>A man walks up to a lane in a bowling alley.</t>
  </si>
  <si>
    <t>He throws the ball and watches it glide down the lane multiple times.</t>
  </si>
  <si>
    <t>It knocks down all but two pins, which he misses the second time.</t>
  </si>
  <si>
    <t>v_8jJdHFW-lys</t>
  </si>
  <si>
    <t>little girl is in stage in a competition and do a jump into a parallel to do gymnastics and somersaults.</t>
  </si>
  <si>
    <t>peolpe is standing behind the stage talking.</t>
  </si>
  <si>
    <t>v_dx5VK79QWlg</t>
  </si>
  <si>
    <t>A woman is knitting in bed.</t>
  </si>
  <si>
    <t>The woman puts her arms down to catch the yarn.</t>
  </si>
  <si>
    <t>The woman shows what she was making.</t>
  </si>
  <si>
    <t>v_AGDsfpZQBIs</t>
  </si>
  <si>
    <t>People are standing on a field of grass.</t>
  </si>
  <si>
    <t>A man holds a ball near his neck and spins around.</t>
  </si>
  <si>
    <t>He throws it onto the field.</t>
  </si>
  <si>
    <t>v_t1MXansbY5s</t>
  </si>
  <si>
    <t>A woman opens a white closet door.</t>
  </si>
  <si>
    <t>She removes some shoes from the closet.</t>
  </si>
  <si>
    <t>She puts on the shoes.</t>
  </si>
  <si>
    <t>She then laces them up.</t>
  </si>
  <si>
    <t>v_X4P9YA6Oabg</t>
  </si>
  <si>
    <t>A young blonde lady is talking to the camera inside her room.</t>
  </si>
  <si>
    <t>She separates her hair into sections.</t>
  </si>
  <si>
    <t>She then shows how to braid the sections and pin it in place.</t>
  </si>
  <si>
    <t>v_NB4IBjUmrcI</t>
  </si>
  <si>
    <t>A man is indoors, wearing boxing gloves.</t>
  </si>
  <si>
    <t>He is kickboxing with a large punching bag, kicking and punching it over and over.</t>
  </si>
  <si>
    <t>v_NzL_uQyQjIw</t>
  </si>
  <si>
    <t>People walk holding surfboards, then they board a boat.</t>
  </si>
  <si>
    <t>A man water ski behind the boat jumping high and spinning.</t>
  </si>
  <si>
    <t>Then, a woman and a man water ski doing acrobatic jumps.</t>
  </si>
  <si>
    <t>A boat sails empty in the river.</t>
  </si>
  <si>
    <t>After, men water ski jumping and turning around.</t>
  </si>
  <si>
    <t>Next, a person surf on the waves created by the boat, after the man water ski jumping and flipping high.</t>
  </si>
  <si>
    <t>v_TYRDXDR5l9U</t>
  </si>
  <si>
    <t>A person is seen standing before a sink with running water and pushing their hands under the water.</t>
  </si>
  <si>
    <t>They then put soap into their hands, scrub for a bit, and then run their hands under the water.</t>
  </si>
  <si>
    <t>Finally she runs her hands under the water and dries her hand off with a paper towel.</t>
  </si>
  <si>
    <t>v_nv22QK8brp4</t>
  </si>
  <si>
    <t>On a river, people gather to watch people on donuts and boats kayaking rough waters.</t>
  </si>
  <si>
    <t>A couple of people on a kayak are flipped over and fall into the river.</t>
  </si>
  <si>
    <t>v_uwxuvGci98g</t>
  </si>
  <si>
    <t>A female with a long blonde pony tale begins running across a large green field throwing a ball.</t>
  </si>
  <si>
    <t>She then continues running across the field and begins looking at the bleachers and anticipating a softball game.</t>
  </si>
  <si>
    <t>As the action continues,she progresses through the bleachers and a url appears on the last screen to watch live cricket games.</t>
  </si>
  <si>
    <t>v_VbzzcpsAPo8</t>
  </si>
  <si>
    <t>A black and white video plays and one of the men is Bruce Lee and he's very skillfully and creatively hitting the ping pong ball back and forth to another man who is holding a ping pong paddle, while Bruce Lee hits the ping pong ball with nanchucks and the man with a paddle can't keep the ball on the table.</t>
  </si>
  <si>
    <t>Now there are two men at the end of the table who are both holding paddles and playing against Bruce Lee as they attempt to keep the ball on the table but ultimately fail.</t>
  </si>
  <si>
    <t>A black screen appears with white Asian lettering in the middle, then a website that say's "www lee35 come cn".</t>
  </si>
  <si>
    <t>v_8qIl-0XOguM</t>
  </si>
  <si>
    <t>The camera follows several people on a walkway from a first person perspective.</t>
  </si>
  <si>
    <t>The camera shows sliding down a snowy slope from a first person perspective alongside others.</t>
  </si>
  <si>
    <t>The camera shows sliding down a snowy slope from a first person perspective looking backwards.</t>
  </si>
  <si>
    <t>The camera shows another slide down the slope from a first person perspective alongside others.</t>
  </si>
  <si>
    <t>The camera watches as multiple other people slide down the slope.</t>
  </si>
  <si>
    <t>The camera catches another slide down the slope from a first person perspective while spinning.</t>
  </si>
  <si>
    <t>The camera catches more slides down the slope from a first person perspective while looking left and right.</t>
  </si>
  <si>
    <t>v_sg5z7jus30w</t>
  </si>
  <si>
    <t>A person is seen sitting in a chair with his arm out getting a tattoo from a male artist.</t>
  </si>
  <si>
    <t>The men speak back and fourth to one another and the camera zooms in on the arm being done.</t>
  </si>
  <si>
    <t>In the end pictures of the men standing together are shown as well as the tattoo.</t>
  </si>
  <si>
    <t>v_gBOWkZBlc8g</t>
  </si>
  <si>
    <t>A large group of people are seen swimming around an ocean while two men pass a soccer ball back and fourth to one another on the shore.</t>
  </si>
  <si>
    <t>More people walk in and out of frame as the men continue to kick the ball back and fourth to one another.</t>
  </si>
  <si>
    <t>v_kkjBLmM6KEg</t>
  </si>
  <si>
    <t>A woman speaks to the camera while holding a card.</t>
  </si>
  <si>
    <t>A couple appears on a professional stage under a spotlight and performs a dance routine.</t>
  </si>
  <si>
    <t>The pair finishes their routine, he kisses her hand and the audience applauds.</t>
  </si>
  <si>
    <t>v_lue8XE3MEe8</t>
  </si>
  <si>
    <t>A man dressed in black shorts, t-shirt, sneakers and red baseball cap walks into an orange walled room with hardwood floors and demonstrates an arm lift exercise with two metal black dumbbells.</t>
  </si>
  <si>
    <t>An orange walled room is empty except for two black dumbbells lying horizontal on the floor.</t>
  </si>
  <si>
    <t>The man walks into the room and stands in front of the dumbbells and then falls to his knees where he talks and shows his profile and then turns, on his knees, again, to face the camera head on.</t>
  </si>
  <si>
    <t>The man then picks up the dumbbells and begins lifting them directly over his head, facing the camera, and then again from a profile angle, before placing the dumbbells down, vertically, and leaving the room.</t>
  </si>
  <si>
    <t>v_Q-dFr9ZS29s</t>
  </si>
  <si>
    <t>A young girl talks to a video camera with a curler in her bangs, occasionally holding a cell phone up to her face and introducing a younger person in the room with her in the background.</t>
  </si>
  <si>
    <t>The girl with curler in her bang talks to camera in a closeup angle.</t>
  </si>
  <si>
    <t>The girl points to the curler in her bang and holds up a cell phone to throw light onto her face which she brings closer to the camera.</t>
  </si>
  <si>
    <t>The girl laughs when a younger girl in the room with a pink wig on is shown in the background, she laughs again when the younger girl puts her pink wig in the camera.</t>
  </si>
  <si>
    <t>v_s7HB851cCrg</t>
  </si>
  <si>
    <t>A bunch of men are inside a green colored gym.</t>
  </si>
  <si>
    <t>They are lobbing a tennis ball back and forth.</t>
  </si>
  <si>
    <t>They are engaged in a game of tennis.</t>
  </si>
  <si>
    <t>v_-JhWjGDPHMY</t>
  </si>
  <si>
    <t>A man is sitting on a roof.</t>
  </si>
  <si>
    <t>He starts pulling up roofing on a roof.</t>
  </si>
  <si>
    <t>A man walks up a ladder onto the roof.</t>
  </si>
  <si>
    <t>v_mo_PhyaQHh0</t>
  </si>
  <si>
    <t>A boy is seen kneeling down before a wall and begins using a tool on the carpet.</t>
  </si>
  <si>
    <t>The man rubs his hand along the carpet and continues cutting.</t>
  </si>
  <si>
    <t>The man continues to cut along the rug while rubbing his hand across.</t>
  </si>
  <si>
    <t>v_Mzt-E6pxuUI</t>
  </si>
  <si>
    <t>A young blonde boy is standing at a kitchen sink with a handheld sprayer in his hand and he's spraying all the dishes.</t>
  </si>
  <si>
    <t>The boy then puts the sprayer in a green pot on the counter and begins spraying the water in there.</t>
  </si>
  <si>
    <t>The boy drops the sprayer then takes a cup from the sink, fills it with water then pours the water into the pot, fills it again and pours it into a bowl on the counter.</t>
  </si>
  <si>
    <t>The boy then picks up a clear glass filled with red liquid, drinks some of it, puts it under the faucet and adds water to it, drinks it a few times then dumps it out into the sink.</t>
  </si>
  <si>
    <t>The boy then takes a dish from the sink that has the red juice and tries to pour it into the pot on the counter but instead it spills all over the counter instead and he gets a sponge and tries to clean it up.</t>
  </si>
  <si>
    <t>v_2qcdjyT7nDY</t>
  </si>
  <si>
    <t>We see cheerleaders standing on the stage.</t>
  </si>
  <si>
    <t>The cheerleaders perform a routine.</t>
  </si>
  <si>
    <t>Four girls are lifted and they hold one girl in between them laying down.</t>
  </si>
  <si>
    <t>Ladies hold ladies who hold and shake their pom poms.</t>
  </si>
  <si>
    <t>Four ladies are lifted and hold two other ladies then a seventh lady.</t>
  </si>
  <si>
    <t>the team finishes and hugs.</t>
  </si>
  <si>
    <t>We see ending credits and still shots.</t>
  </si>
  <si>
    <t>A quote and website appears on the screen.</t>
  </si>
  <si>
    <t>v_YTWXDIMEjpg</t>
  </si>
  <si>
    <t>Several shots of a lake are shown followed by a person climbing behind a boat on a wake board.</t>
  </si>
  <si>
    <t>The person rides the wake board along the water while several cameras capture his movements and jumps behind the boat.</t>
  </si>
  <si>
    <t>The camera captures the person driving the boat as well as following the wake boarder close behind the boat.</t>
  </si>
  <si>
    <t>In the end three boys are riding the boat and driving along.</t>
  </si>
  <si>
    <t>v_I0w8zmcO_Cw</t>
  </si>
  <si>
    <t>A man stops his bike on the sidewalk.</t>
  </si>
  <si>
    <t>He jumps down to look at the wheel, then uses a tool to press into the rubber.</t>
  </si>
  <si>
    <t>He continues talking about the tool before joining in a bike race, then going back to talking on the sidewalk.</t>
  </si>
  <si>
    <t>v_arhhcCWkAoM</t>
  </si>
  <si>
    <t>Men swing around with a hammer throw ball before releasing it.</t>
  </si>
  <si>
    <t>A man does pull ups on a bar.</t>
  </si>
  <si>
    <t>A man lifts a large weight on his shoulders and also shoulder presses it above his head.</t>
  </si>
  <si>
    <t>Two men run track together.</t>
  </si>
  <si>
    <t>v_4o1k3KUHz6E</t>
  </si>
  <si>
    <t>A flag waves on a pole in a field.</t>
  </si>
  <si>
    <t>We see a mascot roll a ball to home plate and fall when its kicked back and hits him.</t>
  </si>
  <si>
    <t>We then see the mascot kick the ball and run a home run.</t>
  </si>
  <si>
    <t>The mascot runs and catches a ball in the field.</t>
  </si>
  <si>
    <t>The mascot high fives a line of people and chest bumps the last man knocking him over.</t>
  </si>
  <si>
    <t>v_ahVeDMNS9ws</t>
  </si>
  <si>
    <t>A close up of sneakers is shown followed by a person holding up various objects and mixing them together in a bowl.</t>
  </si>
  <si>
    <t>The person then uses a tooth brush all around the shoe using the ingredients and showing off the shoe.</t>
  </si>
  <si>
    <t>v_M2ntxFBPaug</t>
  </si>
  <si>
    <t>A person explains holding a racket and making moves with a racket in a tennis court.</t>
  </si>
  <si>
    <t>Then a man wearing black clothes serves a tennis ball that is returned, and he sends it back.</t>
  </si>
  <si>
    <t>Then, the person talks holding two ball, after the man serves again and the person talks.</t>
  </si>
  <si>
    <t>After, the man continues talking.</t>
  </si>
  <si>
    <t>v_y0_lTTdKkro</t>
  </si>
  <si>
    <t>A goalie is seen in several clips running back and fourth and blocking balls from getting by.</t>
  </si>
  <si>
    <t>The player continues running back and fourth while another man sits in front of him.</t>
  </si>
  <si>
    <t>v_r2oMItb5EVM</t>
  </si>
  <si>
    <t>A young man puts in a pan oil, onions, tomatoes, green leaves and salt, then mix to cook the vegetables.</t>
  </si>
  <si>
    <t>After, the man puts aside the vegetables, and cooks an omelette in the pan.</t>
  </si>
  <si>
    <t>After, the man puts the vegetables over the omelette and folds it, then he serves the omelette.</t>
  </si>
  <si>
    <t>v_QLACTCzs0R0</t>
  </si>
  <si>
    <t>A large group of Navy soldiers are shown on a dock playing a game of tug of war.</t>
  </si>
  <si>
    <t>On one side of the rope is a team pulling as hard as they can while being cheered on.</t>
  </si>
  <si>
    <t>Another Navy soldier is shown taking pictures of the game.</t>
  </si>
  <si>
    <t>The other side of the rope is shown.</t>
  </si>
  <si>
    <t>One team is pulled over a red line on the ground, ending the game.</t>
  </si>
  <si>
    <t>The men stand up to relax.</t>
  </si>
  <si>
    <t>v_DQXJ8OU7Ox4</t>
  </si>
  <si>
    <t>An introduction comes onto the screen for a female weight lifting competition.</t>
  </si>
  <si>
    <t>One of the female weight lifters is shown on the screen as she goes through several increasing levels of lifts one by one.</t>
  </si>
  <si>
    <t>When she finally reaches a weight that is too heavy for her to lift, she leaves the challenge.</t>
  </si>
  <si>
    <t>v_4zFiORtQrlA</t>
  </si>
  <si>
    <t>A man in polo shirt stands with a bike on a rack and demonstrates it's different features in a bike shop.</t>
  </si>
  <si>
    <t>The man takes out a tool and makes an adjustment to the wheel sprocket then turns the wheel before adjusting more.</t>
  </si>
  <si>
    <t>The man adjusts a shifter on the handlebars.</t>
  </si>
  <si>
    <t>v_uZCov5TG-Y8</t>
  </si>
  <si>
    <t>A man is ironing a shirt on an ironing board.</t>
  </si>
  <si>
    <t>Bags are shown sitting on the bed.</t>
  </si>
  <si>
    <t>v_tQmsDeu1d6M</t>
  </si>
  <si>
    <t>A small group of people are seen swimming around the wall while the camera pans around and watches them.</t>
  </si>
  <si>
    <t>The kids continue to move around the water as adults walk by as well.</t>
  </si>
  <si>
    <t>More shots are shown of kids playing in the sand.</t>
  </si>
  <si>
    <t>v_GPWXB0wy5dY</t>
  </si>
  <si>
    <t>The video that is shot horizontally shows several people windsurfing in the ocean on a sunny day.</t>
  </si>
  <si>
    <t>One of the surfers is going at very high speed against the waves.</t>
  </si>
  <si>
    <t>One surfer on an orange surf comes at top speed and loses control and falls into the water.</t>
  </si>
  <si>
    <t>The surfer with blue sails manages to stay on board as he surfs in the ocean.</t>
  </si>
  <si>
    <t>v_NRhoHN8x_00</t>
  </si>
  <si>
    <t>An older woman is seen sitting before a drum set playing a set of drums.</t>
  </si>
  <si>
    <t>She spins the drums around through her finger tips and continues playing the instrument while the camera captures her.</t>
  </si>
  <si>
    <t>v_xR9VOguQeKM</t>
  </si>
  <si>
    <t>A man performs high jump with a pole, he jumps over three horizontal lines that touches two of them.</t>
  </si>
  <si>
    <t>The man attempts to jumps higher than while jumping with the pole.</t>
  </si>
  <si>
    <t>Again, the man attempt to jump higher but he makes fall the horizontal line.</t>
  </si>
  <si>
    <t>v_fJyxb59mA-A</t>
  </si>
  <si>
    <t>We see a man sitting on a couch.</t>
  </si>
  <si>
    <t>The man is playing the bagpipe.</t>
  </si>
  <si>
    <t>The man laughs and stops playing.</t>
  </si>
  <si>
    <t>The man starts playing the bagpipe again.</t>
  </si>
  <si>
    <t>The man laughs hard again.</t>
  </si>
  <si>
    <t>The man stops playing the bagpipe.</t>
  </si>
  <si>
    <t>The man waves his hand in front of the camera.</t>
  </si>
  <si>
    <t>v_q0L4clHNIbc</t>
  </si>
  <si>
    <t>A woman is outside shoveling with a robohandle.</t>
  </si>
  <si>
    <t>It is making the process much quicker because it is a decent size and picks up a lot of the snow at once.</t>
  </si>
  <si>
    <t>She is making a lot of progress in such a small window of time using this snow robohandle.</t>
  </si>
  <si>
    <t>The handle honestly just looks like two large shovels though.</t>
  </si>
  <si>
    <t>v_SLv4rEkiYaU</t>
  </si>
  <si>
    <t>Text appears on the screen briefly.</t>
  </si>
  <si>
    <t>An elephant rides past a cow.</t>
  </si>
  <si>
    <t>People are in a tube on a river.</t>
  </si>
  <si>
    <t>v_WRXSn7DyaoI</t>
  </si>
  <si>
    <t>People are dancing on a dance floor at a wedding.</t>
  </si>
  <si>
    <t>A woman in a wedding dress is dancing with a man in a tuxedo.</t>
  </si>
  <si>
    <t>A man in a purple shirt is dancing with a woman.</t>
  </si>
  <si>
    <t>v_6LX02yo9iGo</t>
  </si>
  <si>
    <t>People prepare for a BMX bike race.</t>
  </si>
  <si>
    <t>A person lines up and then goes.</t>
  </si>
  <si>
    <t>v_n33Uv--Lbl4</t>
  </si>
  <si>
    <t>A girl in a yellow shirt is brushing her teeth in a bathroom.</t>
  </si>
  <si>
    <t>A girl next to her in a blue shirt is also brushing her teeth.</t>
  </si>
  <si>
    <t>They are both looking in the mirror.</t>
  </si>
  <si>
    <t>v_ybFvomdhW2Y</t>
  </si>
  <si>
    <t>A woman is speedily riding a recumbent bike in the kitchen.</t>
  </si>
  <si>
    <t>She sits by the stove, cracking eggs into a pan and making an omelet while she rides.</t>
  </si>
  <si>
    <t>She stirs the egg, then plates it while still riding.</t>
  </si>
  <si>
    <t>She then eats while she continues to ride.</t>
  </si>
  <si>
    <t>v_1aCwFDS0j2A</t>
  </si>
  <si>
    <t>A woman is seen kneeling on a mat in a back yard and leads into her bending backwards using her hands.</t>
  </si>
  <si>
    <t>She then puts her hands all the way down on the ground while still continuing to look up.</t>
  </si>
  <si>
    <t>v_iPHZeElXYXU</t>
  </si>
  <si>
    <t>We see a white opening screen.</t>
  </si>
  <si>
    <t>We see a lady ironing a shirt on an ironing board and talking to the camera.</t>
  </si>
  <si>
    <t>The lady irons a sleeve.</t>
  </si>
  <si>
    <t>The lady irons the back of the shirt.</t>
  </si>
  <si>
    <t>The lady finishes and holds the shirt up.</t>
  </si>
  <si>
    <t>We see a bright title closing screen.</t>
  </si>
  <si>
    <t>v_3K62qZ2hGyw</t>
  </si>
  <si>
    <t>We see the title screen for Howcast.</t>
  </si>
  <si>
    <t>A lady is standing in a white room talking to the camera.</t>
  </si>
  <si>
    <t>The lady shows us how to belly dance by dancing.</t>
  </si>
  <si>
    <t>She shifts to her right then back and lifts her hips while belly dancing.</t>
  </si>
  <si>
    <t>The lady shows how to lift your hips one at a time.</t>
  </si>
  <si>
    <t>She pats her head and shakes her hips faster.</t>
  </si>
  <si>
    <t>The lady shakes her hips faster and waves her arms over her head.</t>
  </si>
  <si>
    <t>She stops dancing and stands still.</t>
  </si>
  <si>
    <t>The ending credits load on the screen.</t>
  </si>
  <si>
    <t>v_OEBSls79Ths</t>
  </si>
  <si>
    <t>A gymnast performs on the uneven bars while spectators watch the performance.</t>
  </si>
  <si>
    <t>The gymnast end the performance and great the audience, and then she join her friends to wait for the score.</t>
  </si>
  <si>
    <t>A woman watch the gymnast and applaud.</t>
  </si>
  <si>
    <t>v_u08gU4eQFHY</t>
  </si>
  <si>
    <t>A weight lifter is in a gym, and he lifts a barbell.</t>
  </si>
  <si>
    <t>He lifts it over his head, then drops it to the ground before walking away.</t>
  </si>
  <si>
    <t>v_7TOw39_59xo</t>
  </si>
  <si>
    <t>A close up of several cars are seen that leads into a person cleaning the cars.</t>
  </si>
  <si>
    <t>The person wipes down the front of the cars with a rag including along the tires.</t>
  </si>
  <si>
    <t>The cars are shown lined up afterwards and shown all cleaned off.</t>
  </si>
  <si>
    <t>v_u9JhQ0xSSJI</t>
  </si>
  <si>
    <t>A marching band parades down the street.</t>
  </si>
  <si>
    <t>People on both sides of the street watch the parade and applaud.</t>
  </si>
  <si>
    <t>v_yeUuZ9vk5gE</t>
  </si>
  <si>
    <t>A person is seen placing dough balls onto a pan and then placing them into an oven.</t>
  </si>
  <si>
    <t>She then takes them out of the oven and puts the cookies onto a plate.</t>
  </si>
  <si>
    <t>v_G_Nzm0WkGEI</t>
  </si>
  <si>
    <t>A young child is seen ironing a shirt on a table and looking into the camera.</t>
  </si>
  <si>
    <t>The boy continues pretending to iron the shirt and eventually puts a dress on the table to iron.</t>
  </si>
  <si>
    <t>He irons the dress and swings it around.</t>
  </si>
  <si>
    <t>v_AKQqaMyZtf8</t>
  </si>
  <si>
    <t>A man walks with a leaf blower.</t>
  </si>
  <si>
    <t>He blows leaves on the ground.</t>
  </si>
  <si>
    <t>The leaves move against the asphalt.</t>
  </si>
  <si>
    <t>The man blows another man with the blower.</t>
  </si>
  <si>
    <t>v_IAqNteMxXNk</t>
  </si>
  <si>
    <t>A man is seen standing behind a counter speaking to the camera and holding up cleaning products.</t>
  </si>
  <si>
    <t>He puts the products into a sink and begins scrubbing around the sides.</t>
  </si>
  <si>
    <t>He wipes down the counter and shows off the finished sink.</t>
  </si>
  <si>
    <t>v_SxIJ6MjcgnY</t>
  </si>
  <si>
    <t>A man throwing the frisbee to his dog and the dog catches.</t>
  </si>
  <si>
    <t>One owner does a hand stand a throws the frisbee to his dog, who is able to catch.</t>
  </si>
  <si>
    <t>Many owners and dogs throwing and catching frisbees and doing tricks while doing so.</t>
  </si>
  <si>
    <t>A woman opens her arms and her dogs jumps into them, she catches the dog.</t>
  </si>
  <si>
    <t>v_-YreL-4QCLg</t>
  </si>
  <si>
    <t>A guy holds a lacrosse stick and instructs.</t>
  </si>
  <si>
    <t>A guy moves a ball with the lacrosse stick.</t>
  </si>
  <si>
    <t>A guy tosses a ball into a goal.</t>
  </si>
  <si>
    <t>v_cA2ZLOZcCyc</t>
  </si>
  <si>
    <t>A person is riding the bike on the dirt road.</t>
  </si>
  <si>
    <t>The biker jumped into high ramps.</t>
  </si>
  <si>
    <t>The biker drove to the curve path then drive over the high ramp.</t>
  </si>
  <si>
    <t>v_lydctNDJZ5o</t>
  </si>
  <si>
    <t>There are two teams represented by the color green and color white playing lacrosse against each other in an outdoor field.</t>
  </si>
  <si>
    <t>The player from the green team begins running with his stick alongside his opponent to go towards the ball.</t>
  </si>
  <si>
    <t>The two team come head to head as they scramble to hit the ball in the goal.</t>
  </si>
  <si>
    <t>The green team players run fast to prevent the white team from getting the ball.</t>
  </si>
  <si>
    <t>The white team players try to keep up with their opponents and focus on hitting the ball in the goal.</t>
  </si>
  <si>
    <t>Two players from both team come running towards each other and fight for the ball, causing one of the green team players to fall down.</t>
  </si>
  <si>
    <t>They take a break to before they can restart the game as they walk towards the side of the field.</t>
  </si>
  <si>
    <t>v_DRHW4FvSKdw</t>
  </si>
  <si>
    <t>A dealer at a casino table deals out to several customers while there's a constant stream of activity in the background.</t>
  </si>
  <si>
    <t>One of the players starts laughing.</t>
  </si>
  <si>
    <t>v_NGvote9Y6gI</t>
  </si>
  <si>
    <t>We see cards sitting on table with chips.</t>
  </si>
  <si>
    <t>The dealer deals more cards.</t>
  </si>
  <si>
    <t>The dealer points at two cards.</t>
  </si>
  <si>
    <t>The dealer turns a card over and takes the man's chips.</t>
  </si>
  <si>
    <t>v__wHyOKf_fhc</t>
  </si>
  <si>
    <t>An advertisement display the presentation of two dancers.</t>
  </si>
  <si>
    <t>The couple is dancing holding hands turning both around.</t>
  </si>
  <si>
    <t>The woman turns around holding the hand of the man.</t>
  </si>
  <si>
    <t>v_lq-8Y-YLcNI</t>
  </si>
  <si>
    <t>women are walking on a lakeside and are putting their shoes and harness.</t>
  </si>
  <si>
    <t>women are climbing a rock wall attached to an harness.</t>
  </si>
  <si>
    <t>woman is going down and when is in the floor shake hands with he other woman.</t>
  </si>
  <si>
    <t>v_5rkAMBttgPc</t>
  </si>
  <si>
    <t>A woman is standing behind a counter holding a martini glass.</t>
  </si>
  <si>
    <t>She dumps some ice into the glass.</t>
  </si>
  <si>
    <t>She puts some ice into another glass and adds shots of alcohol.</t>
  </si>
  <si>
    <t>She shakes the drink in a black shaker.</t>
  </si>
  <si>
    <t>She pours the ice out of a martini glass.</t>
  </si>
  <si>
    <t>She pours the drink into the martini glass.</t>
  </si>
  <si>
    <t>She holds up the martini glass in her hand.</t>
  </si>
  <si>
    <t>v_UxhKb-zZoWE</t>
  </si>
  <si>
    <t>Two sumo wrestlers are seen fighting that leads into people walking in and others dancing together.</t>
  </si>
  <si>
    <t>More wrestlers bend down towards one another and begin wrestling while people drum on the side.</t>
  </si>
  <si>
    <t>More people are walked in and continue wrestling on the pit.</t>
  </si>
  <si>
    <t>v__OY-1VtINQQ</t>
  </si>
  <si>
    <t>A man is seen sitting on a piece of exercise equipment moving back and fourth.</t>
  </si>
  <si>
    <t>The man continues moving at different speeds and moving back.</t>
  </si>
  <si>
    <t>v_Cof9eHf7VCI</t>
  </si>
  <si>
    <t>A group of people are standing in the middle of a forest with a trail of pebbles separating them from a beautiful crystal clear body of water.</t>
  </si>
  <si>
    <t>The camera moves across the water and several people on boats and jet-skis are moving in the water near a large wave.</t>
  </si>
  <si>
    <t>More large waves begin to surface and a man begins surfing the waves.</t>
  </si>
  <si>
    <t>The forest is then shown and surf boards appear that are washed up against the banks of the water.</t>
  </si>
  <si>
    <t>v_iEqyqzKSEZ4</t>
  </si>
  <si>
    <t>A car is driving down the highway at a fast speed, he takes an exit to park.</t>
  </si>
  <si>
    <t>Then, they're at the gym and it's a class full of people jumping rope.</t>
  </si>
  <si>
    <t>A woman coach and a child jump rope one on one together, she goes around instructing some other students in the class.</t>
  </si>
  <si>
    <t>The class ends with pictures of the coach and her students.</t>
  </si>
  <si>
    <t>v_hvXMCjJcIqI</t>
  </si>
  <si>
    <t>A man drives a lawn mower over a lawn.</t>
  </si>
  <si>
    <t>The man turns to his left.</t>
  </si>
  <si>
    <t>A wagon behind the man is being pulled with children in tow.</t>
  </si>
  <si>
    <t>The man then circles the lawn.</t>
  </si>
  <si>
    <t>v_H7k8ATbTjzs</t>
  </si>
  <si>
    <t>A woman and a young girl are each walking a dog in a grassy area.</t>
  </si>
  <si>
    <t>They approach another woman sitting in a chair.</t>
  </si>
  <si>
    <t>She pets one of the dogs.</t>
  </si>
  <si>
    <t>Another woman is sitting behind the woman that pets the dog.</t>
  </si>
  <si>
    <t>The woman with the dog walks over and takes the leash of the second dog from the young girl and walks away with both dogs and the young girl still holding part of a leash.</t>
  </si>
  <si>
    <t>A man is standing off to the side watching.</t>
  </si>
  <si>
    <t>The woman and the young girl, each with a dog again, stop in the grassy area, talk and then continue walking.</t>
  </si>
  <si>
    <t>v_W5WfWmISKrk</t>
  </si>
  <si>
    <t>We see a dark title screen.</t>
  </si>
  <si>
    <t>We see titles in the screen and see the men.</t>
  </si>
  <si>
    <t>We see two men fighting MMA in a ring.</t>
  </si>
  <si>
    <t>The large man is losing his grip on the smaller man.</t>
  </si>
  <si>
    <t>The referee comes to the men and waves his arms.</t>
  </si>
  <si>
    <t>We see the outcome of the game on the screen.</t>
  </si>
  <si>
    <t>The smaller fighter hugs another man.</t>
  </si>
  <si>
    <t>We then see the closing ending credits.</t>
  </si>
  <si>
    <t>v_UZPSbNS1LU0</t>
  </si>
  <si>
    <t>A group of people are shown rollerblading in Paris.</t>
  </si>
  <si>
    <t>They are moving slowly and there are a lot of them as some of them look into the camera as they pass.</t>
  </si>
  <si>
    <t>The procession continues as spectators look onward.</t>
  </si>
  <si>
    <t>The video cuts to a side angle of the rollerbladers passing by.</t>
  </si>
  <si>
    <t>Another side shot is shown and a cop car and several escort vehicles come into view as the video fades to black.</t>
  </si>
  <si>
    <t>v_Vq0-j_C-kZc</t>
  </si>
  <si>
    <t>A person is video taping a bull fighting event from his television set.</t>
  </si>
  <si>
    <t>The bull fighting scene is in a large open arena which is filled with thousands of spectators who are cheering.</t>
  </si>
  <si>
    <t>The two raging bulls are butting heads constantly while the matadors are trying to contain the bulls within a specified zone.</t>
  </si>
  <si>
    <t>The crowd continues to cheer as the event goes on.</t>
  </si>
  <si>
    <t>v_i3uRumyN7mg</t>
  </si>
  <si>
    <t>An intro leads into a woman holding an accordion and a woman in a wedding dress beside her.</t>
  </si>
  <si>
    <t>The woman then begins to play the instrument while others stand around her and watch and others play along.</t>
  </si>
  <si>
    <t>v_b3e7PrPNb30</t>
  </si>
  <si>
    <t>A woman is smearing a white cream onto her forehead and cheeks.</t>
  </si>
  <si>
    <t>She spreads it around, smoothing it in.</t>
  </si>
  <si>
    <t>v_GHmxFOXP1Q0</t>
  </si>
  <si>
    <t>A man pierces a woman's cheek.</t>
  </si>
  <si>
    <t>She sticks her tongue out and then the process is completed.</t>
  </si>
  <si>
    <t>v_FtHP0PNqo2s</t>
  </si>
  <si>
    <t>A person is getting their legs waxed on a table.</t>
  </si>
  <si>
    <t>They rub some lotion onto their legs after.</t>
  </si>
  <si>
    <t>They show their clean waxed legs.</t>
  </si>
  <si>
    <t>v_55sP2yXNFxY</t>
  </si>
  <si>
    <t>A man is seen hosting a news segment that leads into him speaking with two other people.</t>
  </si>
  <si>
    <t>Shots are shown of a young man playing pool with his father watching on the side.</t>
  </si>
  <si>
    <t>The man continues to play while his father watches and speaks to the news host.</t>
  </si>
  <si>
    <t>v_ou45_7IdWCE</t>
  </si>
  <si>
    <t>A woman is seen walking to a swingset with a small boy and putting him on the swing.</t>
  </si>
  <si>
    <t>Several women with their children are seen swinging back and fourth with one another as well as dads playing with their kids.</t>
  </si>
  <si>
    <t>v_O-hUa9e9_DE</t>
  </si>
  <si>
    <t>A woman chef demonstrates, in a kitchen, in front of a kitchen counter top and ingredients, how to prepare a salad.</t>
  </si>
  <si>
    <t>A woman stands in front of a kitchen counter top with greens, cheese, vegetables and oils and talks to the camera.</t>
  </si>
  <si>
    <t>The woman begins to cut the greens and put them in a white bowl before turning to pull oven roasted brussel sprouts out of the oven.</t>
  </si>
  <si>
    <t>The woman then squeezes and orange and pours the orange juice on the salad with the brussell sprouts and oil before the scene fades out.</t>
  </si>
  <si>
    <t>v_vSAHWgFjQAY</t>
  </si>
  <si>
    <t>A man is seen dancing in a club and grabs onto a woman.</t>
  </si>
  <si>
    <t>The man and woman then begin dancing around each other in the middle of the club.</t>
  </si>
  <si>
    <t>They continue dancing around one another while other people dance beside them.</t>
  </si>
  <si>
    <t>v_sVk-Br0zfkA</t>
  </si>
  <si>
    <t>A close up of a woman is seen looking off into the distance and holding a dart.</t>
  </si>
  <si>
    <t>She throws the dart onto the board which is show up close.</t>
  </si>
  <si>
    <t>The woman then clenches her fists and her throw is shown again.</t>
  </si>
  <si>
    <t>v_4Rto4Aa6fxw</t>
  </si>
  <si>
    <t>Two teams play hurling in a stadium full of people.</t>
  </si>
  <si>
    <t>A player serves a ball with the stick, and the teams continue playing.</t>
  </si>
  <si>
    <t>Two players dispute the ball in the air, then they continue playing.</t>
  </si>
  <si>
    <t>v_cFJo7Nm2W3Y</t>
  </si>
  <si>
    <t>A large group of people are seen standing around a sand pit shaking hands and speaking with one another.</t>
  </si>
  <si>
    <t>The men then begin a soccer match with one another and cheering when they score a goal.</t>
  </si>
  <si>
    <t>The men continue to play against one another while the audience cheers and the ref stands on the side.</t>
  </si>
  <si>
    <t>v_vzxT-k8dsVs</t>
  </si>
  <si>
    <t>man is unning wearing stilts in a skaet park.</t>
  </si>
  <si>
    <t>another man is jumping along with the first man in the skate park.</t>
  </si>
  <si>
    <t>man in skate park is running while a car is passing in the street.</t>
  </si>
  <si>
    <t>v_VO49rhXzhk4</t>
  </si>
  <si>
    <t>A woman's hands are shown wrapping something.</t>
  </si>
  <si>
    <t>The woman talks to the camera.</t>
  </si>
  <si>
    <t>Closeups of the necessary equipment for this operation are shown.</t>
  </si>
  <si>
    <t>The woman wraps a book with tissue paper and tape.</t>
  </si>
  <si>
    <t>The woman cuts paper to shape for the book.</t>
  </si>
  <si>
    <t>The woman wraps the book with the paper and tape.</t>
  </si>
  <si>
    <t>The woman talks to the camera whole holding the wrapped and ribboned book.</t>
  </si>
  <si>
    <t>A closeup of the wrapped and ribboned book is shown.</t>
  </si>
  <si>
    <t>v_0DEF7Mp7ZP4</t>
  </si>
  <si>
    <t>A small group of people are seen sitting around a casino table speaking to one another and playing a game of poker.</t>
  </si>
  <si>
    <t>Many people watch on the sides while the dealer deals out cards and the people place their chips in the middle.</t>
  </si>
  <si>
    <t>More shots of the game are shown while the camera pans out to a person's face.</t>
  </si>
  <si>
    <t>v_B39pJK4FU1o</t>
  </si>
  <si>
    <t>A lady is talking in an office and holding a pink item.</t>
  </si>
  <si>
    <t>the lady throws the pink item on a game board on the floor.</t>
  </si>
  <si>
    <t>She then jumps hopscotch and picks up the pink item.</t>
  </si>
  <si>
    <t>She throws it again and jumps again and returns picking up the pink item.</t>
  </si>
  <si>
    <t>v_Z3noRsTXGt4</t>
  </si>
  <si>
    <t>A person is running on an excerise machine.</t>
  </si>
  <si>
    <t>The camera zooms in to the feet.</t>
  </si>
  <si>
    <t>The camera pans to the right slowly.</t>
  </si>
  <si>
    <t>v_CsCbJSnAhRs</t>
  </si>
  <si>
    <t>A man puts a chef hat on a girl while a chef teachers her how to cook.</t>
  </si>
  <si>
    <t>She mixes various ingredients together following the chef's orders and paying close attention to his instructions.</t>
  </si>
  <si>
    <t>The girl makes a lovely batch of cookies and finds herself enjoying them in the end, as well as the company of others.</t>
  </si>
  <si>
    <t>v_GKhuh6bha6U</t>
  </si>
  <si>
    <t>Several men stand together for the camera.</t>
  </si>
  <si>
    <t>Scenes of multiple people performing capoeira demonstrations are shown with audiences in the background and foreground.</t>
  </si>
  <si>
    <t>v_2vy0dMXhlWI</t>
  </si>
  <si>
    <t>An older man is shown chopping at a downed tree with an axe.</t>
  </si>
  <si>
    <t>he is trying very hard and not making much progress.</t>
  </si>
  <si>
    <t>He seems to be frustrated and is trying again and again to chop of the tree.</t>
  </si>
  <si>
    <t>He then looks at the camera and slightly smirks before continuing trying to cut the tree up.</t>
  </si>
  <si>
    <t>He stops again and stares at the camera.</t>
  </si>
  <si>
    <t>A closeup is shown of him trying again and again before zooming out.</t>
  </si>
  <si>
    <t>The camera then zooms back in to his face as he continues on.</t>
  </si>
  <si>
    <t>v_KPv8ZGrb78Y</t>
  </si>
  <si>
    <t>Three women show up on the screen doing a tribal dance in a workout studio.</t>
  </si>
  <si>
    <t>One of the women does a solo performance while the music plays in the background.</t>
  </si>
  <si>
    <t>The three women are shown again doing the dance on the stage while other people do the same dance in front of the stage.</t>
  </si>
  <si>
    <t>The trio of women come back onto the screen and continue the dance in the studio.</t>
  </si>
  <si>
    <t>They show up back on the stage doing the dance as the camera films them.</t>
  </si>
  <si>
    <t>The camera goes back and forth between them doing the dance on the stage and off the stage showing different angles.</t>
  </si>
  <si>
    <t>v_gg_F8EtNMW0</t>
  </si>
  <si>
    <t>Two men are inside an indoor gym.</t>
  </si>
  <si>
    <t>They are engaged in a martial art called kickboxing.</t>
  </si>
  <si>
    <t>They kick and punch at each other, trying to hit each other.</t>
  </si>
  <si>
    <t>v_lSX_yj2ohls</t>
  </si>
  <si>
    <t>Two dudes are talking silly into the camera with things wrapped around their heads.</t>
  </si>
  <si>
    <t>Then you see everyone playing beer pong having a great time outside joking and dancing.</t>
  </si>
  <si>
    <t>A group starts taking selfies and everyone is dressed really funny.</t>
  </si>
  <si>
    <t>One of the dudes flick off the camera and everyone continues to play bee pong and be wild enjoying their time.</t>
  </si>
  <si>
    <t>v_IGcalXmWUwA</t>
  </si>
  <si>
    <t>Several shots of people playing basketball are shown and leads into two men demonstrating a move.</t>
  </si>
  <si>
    <t>The same move is shown again from various angles and instructor the user how to do it.</t>
  </si>
  <si>
    <t>More tricks are shown as well as step by step instruction on how to properly do it.</t>
  </si>
  <si>
    <t>v_FwbnNQBzqHw</t>
  </si>
  <si>
    <t>A woman is standing behind an array of confections in a kitchen.</t>
  </si>
  <si>
    <t>Several different cake pops are being shown.</t>
  </si>
  <si>
    <t>Ingredients are displayed next to actions mixing ingredients.</t>
  </si>
  <si>
    <t>The woman crumbles the cake into a bowl, then adds frosting while she talks.</t>
  </si>
  <si>
    <t>She allows them to sit before melting candy coating, which she then dips the cake balls into.</t>
  </si>
  <si>
    <t>She decorates the cake ball in the final stages.</t>
  </si>
  <si>
    <t>A final array of cake pops are shown as she ends the segment.</t>
  </si>
  <si>
    <t>v_cFcrXdvfxoo</t>
  </si>
  <si>
    <t>A woman is lifting and squatting inside a gym with a barbell on her shoulders.</t>
  </si>
  <si>
    <t>She lifts then sits over and over again.</t>
  </si>
  <si>
    <t>v_nDbLtdY66dA</t>
  </si>
  <si>
    <t>A man in a black shirt is holding a saxophone.</t>
  </si>
  <si>
    <t>He begins playing the saxophone.</t>
  </si>
  <si>
    <t>He stops playing and continues talking.</t>
  </si>
  <si>
    <t>v_0-CYG7bH54A</t>
  </si>
  <si>
    <t>An intro leads into several shots of various ingredients laid out on a wooden board, followed by a set of hands cutting up certain ingredients.</t>
  </si>
  <si>
    <t>A person then grades some cheese into a bowl and breaks open the pasta.</t>
  </si>
  <si>
    <t>They put the pasta into a bowl as well as fry the shrimp and puts all the ingredients into one pan together.</t>
  </si>
  <si>
    <t>The person then serves the food onto a plate and text appears across the screen.</t>
  </si>
  <si>
    <t>v_NJQROeaBiVE</t>
  </si>
  <si>
    <t>The title appears and fades out.</t>
  </si>
  <si>
    <t>We see a man pulling weight close to his head.</t>
  </si>
  <si>
    <t>Three men pass by in the mirror.</t>
  </si>
  <si>
    <t>The camera zooms in on the main subject.</t>
  </si>
  <si>
    <t>A man in gray walks past in the mirror.</t>
  </si>
  <si>
    <t>The screen goes black and we see the end credits.</t>
  </si>
  <si>
    <t>v_EVfTWz5GRGw</t>
  </si>
  <si>
    <t>A bottle of deep cleansing gel is shown.</t>
  </si>
  <si>
    <t>A woman holds up the bottle, Then is shown using several different solutions that she lines up together on the counter.</t>
  </si>
  <si>
    <t>She uses each on her face, then rinses them off.</t>
  </si>
  <si>
    <t>v_l7QlSS_li6M</t>
  </si>
  <si>
    <t>We see a blue title screen with white letters.</t>
  </si>
  <si>
    <t>We see two girls standing in a room, then perform a flip.</t>
  </si>
  <si>
    <t>We see 2 different girls do different flips.</t>
  </si>
  <si>
    <t>One girl does a back flip.</t>
  </si>
  <si>
    <t>We then see four girls do a back flip together.</t>
  </si>
  <si>
    <t>v_vlIAZsrj6yk</t>
  </si>
  <si>
    <t>We see a black title screen.</t>
  </si>
  <si>
    <t>We see a man having his facial hair trimmed with an electric shaver.</t>
  </si>
  <si>
    <t>We see a man being shaved with a straight razor.</t>
  </si>
  <si>
    <t>We then see the closing screen.</t>
  </si>
  <si>
    <t>v_PUqHiigzb7A</t>
  </si>
  <si>
    <t>A man walks up to a barbell and bends over, lifting at the knees.</t>
  </si>
  <si>
    <t>He lifts the barbell up to his chest, rests for a moment, then lifts it over his head.</t>
  </si>
  <si>
    <t>He holds the pose for a few seconds before dropping it to the ground.</t>
  </si>
  <si>
    <t>v_qogdv5DWzkQ</t>
  </si>
  <si>
    <t>A shadow is seen in the smoky room.</t>
  </si>
  <si>
    <t>A woman is taking a shower and washing her hair.</t>
  </si>
  <si>
    <t>She pulls it apart in strands, putting conditioner on it.</t>
  </si>
  <si>
    <t>v_suWTtKXXkJU</t>
  </si>
  <si>
    <t>A woman is seen wearing a funny hat while speaking to the camera and sitting in a chair.</t>
  </si>
  <si>
    <t>the woman then knits in her chair while ending with another picture of her.</t>
  </si>
  <si>
    <t>v_tM0BAYylvLA</t>
  </si>
  <si>
    <t>A young boy sits in a chair with protective gown on and gets his hair cut with electric clippers by mom at home.</t>
  </si>
  <si>
    <t>The mother removes clipped hairs from the boys head with fingers.</t>
  </si>
  <si>
    <t>A girl is seen watching in the room.</t>
  </si>
  <si>
    <t>v_9lS5qpgrTmI</t>
  </si>
  <si>
    <t>A woman is seen speaking to the camera while holding up a bobby pin and then flips her hair down and begins braiding.</t>
  </si>
  <si>
    <t>The girl then puts her hair up into a pony tail and wraps her hair around to make a pun.</t>
  </si>
  <si>
    <t>She finally pins her hair down and then shows off her hair while pointing to the camera.</t>
  </si>
  <si>
    <t>v_P8M00PRbI3c</t>
  </si>
  <si>
    <t>A female news reporter is talking in a news room.</t>
  </si>
  <si>
    <t>We see several people riding on horses as a crowd watches.</t>
  </si>
  <si>
    <t>The people are hitting bags with sticks as they ride.</t>
  </si>
  <si>
    <t>The people are then interviewed about the game, and a man is shown shooting arrows.</t>
  </si>
  <si>
    <t>v_UtErhcCYBZk</t>
  </si>
  <si>
    <t>man is in roofed gym weightlifting.</t>
  </si>
  <si>
    <t>woman is walking behind the man watching the man.</t>
  </si>
  <si>
    <t>woman is lifting eights while he man sits to watch her.</t>
  </si>
  <si>
    <t>v_WDvsx_q2h-4</t>
  </si>
  <si>
    <t>A man is standing outside holding a violin.</t>
  </si>
  <si>
    <t>He begins to play the violin.</t>
  </si>
  <si>
    <t>He stops and sets the violin to his side.</t>
  </si>
  <si>
    <t>v_bXrdB5AASAM</t>
  </si>
  <si>
    <t>There are two men dressed in white shirts wearing hats doing freestyle wrestling in an indoor stadium.</t>
  </si>
  <si>
    <t>There are several spectators watching them, some sitting on chairs and some sitting on the ground.</t>
  </si>
  <si>
    <t>There are some people seated on chairs playing various hand instruments and singing to cheer the fighters.</t>
  </si>
  <si>
    <t>The two men continue wrestling in a non aggressive manner by taking turns to attack the opponent.</t>
  </si>
  <si>
    <t>They continue fighting as one man does a front flip.</t>
  </si>
  <si>
    <t>In the final round, they speed up the fight with faster kicks and motion.</t>
  </si>
  <si>
    <t>v_jYphKtLFIUk</t>
  </si>
  <si>
    <t>A group of boys chisel a name in sand on the beach with their hands.</t>
  </si>
  <si>
    <t>The boys leave the art piece leaving just one boy in a red t-shirt to work on it alone.</t>
  </si>
  <si>
    <t>Two boys returns with two balls of sand in circles and sit next to the art piece as they work on rounding out the balls of sand they have gathered while a group of children gather around to watch.</t>
  </si>
  <si>
    <t>v_-8FS4LbXAgE</t>
  </si>
  <si>
    <t>An intro leads into several shots of graffiti on a wall as well as people moving around and talking to one another.</t>
  </si>
  <si>
    <t>A rapper is then seen getting a tattoo from a man while the camera captures several angles and show art work.</t>
  </si>
  <si>
    <t>More people show off their tattoos and the rapper points to the camera and shows the finished tattoo and album cover.</t>
  </si>
  <si>
    <t>v_wz8d9DKMrTc</t>
  </si>
  <si>
    <t>A band is practicing in a gym.</t>
  </si>
  <si>
    <t>People are twirling flags while standing in a line.</t>
  </si>
  <si>
    <t>The drummers are marching around the gym.</t>
  </si>
  <si>
    <t>They get into a line and dance out of the gym.</t>
  </si>
  <si>
    <t>v_lCuMD23jOxo</t>
  </si>
  <si>
    <t>A person is seen speaking to the camera and smoking out of a hookah pipe.</t>
  </si>
  <si>
    <t>The camera pans around the area and continues to speak to the man and leads into a shot of a boat going by and a close fire.</t>
  </si>
  <si>
    <t>v_HoViId2LHl8</t>
  </si>
  <si>
    <t>A woman starts dancing next to a man in front of a gathered crowd.</t>
  </si>
  <si>
    <t>They spin in circles as they dance.</t>
  </si>
  <si>
    <t>She goes between his legs, sliding outward and injuring her neck.</t>
  </si>
  <si>
    <t>She gets up laughing and gives the man a hug.</t>
  </si>
  <si>
    <t>v_3ekMufBfUdw</t>
  </si>
  <si>
    <t>A woman is seen blow drying her hair while using a comb in various fashions and using different products.</t>
  </si>
  <si>
    <t>The woman continues to use the blow dryer on her hair and ends by showing off her finished hair.</t>
  </si>
  <si>
    <t>v_D7ZeRbotot0</t>
  </si>
  <si>
    <t>A man in yellow and black suit welds a steel.</t>
  </si>
  <si>
    <t>He stops the welding job.</t>
  </si>
  <si>
    <t>Then he moves away and inspect it.</t>
  </si>
  <si>
    <t>v_uTVjevTM6V0</t>
  </si>
  <si>
    <t>Three athletes of different countries compete weightlifting on front the jury, during the first round, all the athletes lift the weight successfully.</t>
  </si>
  <si>
    <t>In the second round, the athlete with blue uniform rise successfully and kiss the bar of the weight, also the other athletes are successful.</t>
  </si>
  <si>
    <t>On the third round, the Indian athlete let fall the weight.</t>
  </si>
  <si>
    <t>The athlete with red uniform is congratulated, then stand on the first place of the podium and talks.</t>
  </si>
  <si>
    <t>v_Y1Vop80R9b8</t>
  </si>
  <si>
    <t>A room is covered to avoid paint being splattered on objects in the room.</t>
  </si>
  <si>
    <t>A room is seen with blue tape on its borders and walls.</t>
  </si>
  <si>
    <t>The floors of the room also have bag over the carpet.</t>
  </si>
  <si>
    <t>The staircase of a house has bags over it to avoid paint damage.</t>
  </si>
  <si>
    <t>A sparkly ceiling is seen.</t>
  </si>
  <si>
    <t>v_mOrhfrmmxAQ</t>
  </si>
  <si>
    <t>A boat is seen riding along the water with a person riding on skis behind.</t>
  </si>
  <si>
    <t>The person does a flip and lands backwards into the water.</t>
  </si>
  <si>
    <t>v_2uMG44uNDJ8</t>
  </si>
  <si>
    <t>A woman and a man are inside a car talking, then the man turn his head.</t>
  </si>
  <si>
    <t>A young lady wash a car only wearing a bra and shorts, then she sprinkle water on her head a turn it.</t>
  </si>
  <si>
    <t>After, the man turns to see the angry woman and scream.</t>
  </si>
  <si>
    <t>v_jalqZE5ekho</t>
  </si>
  <si>
    <t>little kid is in the sand doing a castle using a small toy shovel kid leaves.</t>
  </si>
  <si>
    <t>little girl foes into the castle in the sand and start playing while the kid bring more water from the sea.</t>
  </si>
  <si>
    <t>v_E1-eVfnNfXI</t>
  </si>
  <si>
    <t>A woman is sitting with a baby in her arms.</t>
  </si>
  <si>
    <t>She takes licks of an ice cream cone, and the baby laughs hysterically each time.</t>
  </si>
  <si>
    <t>She offers him bites, pulling the cone away and making him laugh.</t>
  </si>
  <si>
    <t>v_sQtT9sUyUwE</t>
  </si>
  <si>
    <t>A man rows a canoe down a river.</t>
  </si>
  <si>
    <t>Several other people are rowing too.</t>
  </si>
  <si>
    <t>His canoe is colored red.</t>
  </si>
  <si>
    <t>He finally passes the point.</t>
  </si>
  <si>
    <t>v_Fia1JynWFBA</t>
  </si>
  <si>
    <t>A woman uses a rolling pin to roll out dough onto the counter.</t>
  </si>
  <si>
    <t>Another woman is taking something off of a baking sheet.</t>
  </si>
  <si>
    <t>v_sQZaEt-ssCs</t>
  </si>
  <si>
    <t>women are standing in a table doing arm wrestling in a competition.</t>
  </si>
  <si>
    <t>two referees on side of tables and watch each other.</t>
  </si>
  <si>
    <t>women are arm wrestling in the table again and at the end high each other.</t>
  </si>
  <si>
    <t>v_YAhMxt-3ciU</t>
  </si>
  <si>
    <t>People are playing croquet on a field of grass.</t>
  </si>
  <si>
    <t>A map of the world is shown.</t>
  </si>
  <si>
    <t>Trophies are shown on the screen.</t>
  </si>
  <si>
    <t>v_5Jo_AWt9fB0</t>
  </si>
  <si>
    <t>A man is wearing a hat and kneeling down on a blue mat.</t>
  </si>
  <si>
    <t>He starts pulling on a rope on a workout machine.</t>
  </si>
  <si>
    <t>v_hxluAHro9bQ</t>
  </si>
  <si>
    <t>A woman in pink top is holding a hoop and talking to the camera.</t>
  </si>
  <si>
    <t>The woman put the hoop to her waist and start to hoop.</t>
  </si>
  <si>
    <t>The woman paused and turned around and start shaking her hips, she changed her hoops into smaller one, but the small one keep falling, then changed the hoops to bigger one and she began shaking her hips with the hoops.</t>
  </si>
  <si>
    <t>v_-CS7U_XrkPI</t>
  </si>
  <si>
    <t>A group of men are inside a dark club.</t>
  </si>
  <si>
    <t>A man begins throwing darts at something off screen.</t>
  </si>
  <si>
    <t>He repeats this many times before giving up, shrugging, and turning the camera toward the dart board.</t>
  </si>
  <si>
    <t>We see that four of the darts have hit the exact same spot.</t>
  </si>
  <si>
    <t>v_WsqMDMOjuN4</t>
  </si>
  <si>
    <t>A small group of people are seen swimming around a pool and leads into several shots of a swimmer throwing a ball into a net.</t>
  </si>
  <si>
    <t>The goalie blocks a few shots and then switches with another team mate while the audience cheers.</t>
  </si>
  <si>
    <t>The people switch out continuously and leads to one team winning and celebrating all together in the water.</t>
  </si>
  <si>
    <t>v_4KqjBUpLQk8</t>
  </si>
  <si>
    <t>Several men are shown at different rodeos riding horses and capturing the calf attached to the string.</t>
  </si>
  <si>
    <t>As more locations are shown,more animals are captured and more people are shown watching the actions taking place.</t>
  </si>
  <si>
    <t>v_extd66Y1tJ8</t>
  </si>
  <si>
    <t>A young lady is making faces at the camera.</t>
  </si>
  <si>
    <t>She holds up a box that has barcodes and reads "Sterling Gray" on it.</t>
  </si>
  <si>
    <t>She shows a bottle of Renew and eye contact lens cases.</t>
  </si>
  <si>
    <t>She applies both of the contact lenses and cries.</t>
  </si>
  <si>
    <t>v_XKuD0F-p6YA</t>
  </si>
  <si>
    <t>man is opening a box with scissors and take out an unarmed bike.</t>
  </si>
  <si>
    <t>man is arming the bike inside a room with wooden floor.</t>
  </si>
  <si>
    <t>v_pHAIrx_cRFU</t>
  </si>
  <si>
    <t>The person holds a blade to sharpen it.</t>
  </si>
  <si>
    <t>The person takes the belt off the machine.</t>
  </si>
  <si>
    <t>The person puts a new belt on the machine.</t>
  </si>
  <si>
    <t>The person sharpents the blade on the second belt.</t>
  </si>
  <si>
    <t>The person takes the second belt off.</t>
  </si>
  <si>
    <t>The person puts on a third belt.</t>
  </si>
  <si>
    <t>The person sharpens the blade on the third belt.</t>
  </si>
  <si>
    <t>The person demonstrates the blade's edge.</t>
  </si>
  <si>
    <t>v_8rHY_Vt2FLA</t>
  </si>
  <si>
    <t>A car is seen driving around and leads into a man pumping air in the tire.</t>
  </si>
  <si>
    <t>The man puts a wire along the tire and continues to spin it around.</t>
  </si>
  <si>
    <t>He pumps more hair into the tire and takes off the jack driving it away.</t>
  </si>
  <si>
    <t>v_Zts8FynhoJs</t>
  </si>
  <si>
    <t>A woman is brushing her teeth in a bathroom.</t>
  </si>
  <si>
    <t>Someone is filming her behind her.</t>
  </si>
  <si>
    <t>She spits the toothpaste out into the sink in front of her.</t>
  </si>
  <si>
    <t>v_XOUyGnr6iTM</t>
  </si>
  <si>
    <t>A small group of men are seen standing around a room holding tennis rackets.</t>
  </si>
  <si>
    <t>The men then begin playing tennis with one another while hitting the ball around.</t>
  </si>
  <si>
    <t>The men continue to hit the ball around the room and ends with several walking out.</t>
  </si>
  <si>
    <t>v_TJ98vfFChfI</t>
  </si>
  <si>
    <t>A man in a white shirt is chopping a piece of wood with an ax.</t>
  </si>
  <si>
    <t>He swings at the wood and misses and hits the ground.</t>
  </si>
  <si>
    <t>Another man carrying a pot walks up behind him.</t>
  </si>
  <si>
    <t>v_KtUshVJ28us</t>
  </si>
  <si>
    <t>We see a young girl gymnast talking to the camera.</t>
  </si>
  <si>
    <t>We see the girl perform flips.</t>
  </si>
  <si>
    <t>The girl flips on a trampoline.</t>
  </si>
  <si>
    <t>She jumps and does a split in the air.</t>
  </si>
  <si>
    <t>We see the bloopers where she falls and a title screen.</t>
  </si>
  <si>
    <t>We then see the ending screens.</t>
  </si>
  <si>
    <t>v_pASyH2NPOOw</t>
  </si>
  <si>
    <t>We see a blue opening screen.</t>
  </si>
  <si>
    <t>We see a man flipping and performing Capoeira cut with blue title screens.</t>
  </si>
  <si>
    <t>The man does a spin kick.</t>
  </si>
  <si>
    <t>The man does a spin and duck.</t>
  </si>
  <si>
    <t>The man does a spin sweep on the floor.</t>
  </si>
  <si>
    <t>v_Cz2ut3p7nw0</t>
  </si>
  <si>
    <t>A small toddler is in the bathroom brushing his teeth.</t>
  </si>
  <si>
    <t>As he frantically brushes,a woman comes to assist him as he points to different things on the counter.</t>
  </si>
  <si>
    <t>The young boy keeps brushing and then they end up switching tooth brushes.</t>
  </si>
  <si>
    <t>Eventually,the woman puts toothpaste on the brush and the boy cleans his teeth.</t>
  </si>
  <si>
    <t>Once he is done,he is given a bar of soap and has to wash hands.</t>
  </si>
  <si>
    <t>Finally he is done and he grabs his toy and runs out of the bathroom.</t>
  </si>
  <si>
    <t>v_StvwTXdXG2U</t>
  </si>
  <si>
    <t>The video leads into several shots of people riding around on skateboards and performing tricks.</t>
  </si>
  <si>
    <t>Many more people riding are shown and leads into a young man speaking to the camera and a picture of a t-shirt.</t>
  </si>
  <si>
    <t>v_meAHw06Mh-Y</t>
  </si>
  <si>
    <t>A man is seen speaking to the camera and leads into him cutting tiles and measuring them along a wall.</t>
  </si>
  <si>
    <t>The man uses a saw to cut the wall as well as the tile while using various other tools to cut around the sides.</t>
  </si>
  <si>
    <t>More tiles are being shown cut out as the man continues to speak and lay them down on the floor.</t>
  </si>
  <si>
    <t>v_moxpALb09zU</t>
  </si>
  <si>
    <t>A girl is talking to the camera while using her hands.</t>
  </si>
  <si>
    <t>The camera does a blurred scene change.</t>
  </si>
  <si>
    <t>The girl points down and wipes her hair.</t>
  </si>
  <si>
    <t>The girl waves at the screen.</t>
  </si>
  <si>
    <t>The scene changes to the girl standing in a shower.</t>
  </si>
  <si>
    <t>The girl shaves her legs in the shower.</t>
  </si>
  <si>
    <t>She shows us her shave product in the can and on her hands.</t>
  </si>
  <si>
    <t>The girl shows us her razor then starts shaving.</t>
  </si>
  <si>
    <t>v_485DjSbjOV8</t>
  </si>
  <si>
    <t>Two people are seen standing up behind a set of drums looking at the camera.</t>
  </si>
  <si>
    <t>The two then begin playing the drums while a small girl walks in and out of frame.</t>
  </si>
  <si>
    <t>The two pause for a moment then continue playing with one stopping and letting the other finish.</t>
  </si>
  <si>
    <t>v_rnPfQuWS4Rk</t>
  </si>
  <si>
    <t>A man in a kilt prepares himself to toss a large hammer in a competition.</t>
  </si>
  <si>
    <t>After his preparations he swings the hammer around in a circle and tosses it as far as he can.</t>
  </si>
  <si>
    <t>v_snG89ed-64M</t>
  </si>
  <si>
    <t>A small group of people are seen playing lacrosse on a field running up and down the field and pushing one another.</t>
  </si>
  <si>
    <t>Several shots of players hitting one another is shown as well as players pushing other people.</t>
  </si>
  <si>
    <t>One team scores several goals and are immediately followed by teammates cheering.</t>
  </si>
  <si>
    <t>v_DWal5PJry6k</t>
  </si>
  <si>
    <t>A doctor went inside the room, then she wash her hands, wipe her hands with paper towel.</t>
  </si>
  <si>
    <t>A medical practitioner is washing her hand with soap and water, while the other medical practitioner in white coat is on her phone.</t>
  </si>
  <si>
    <t>A man in yellow coat is washing his hands, then the man in blue shirt is giving interview.</t>
  </si>
  <si>
    <t>v_EsOajUNpEzU</t>
  </si>
  <si>
    <t>A man talks while holding bagpipes.</t>
  </si>
  <si>
    <t>He then plays the bagpipes.</t>
  </si>
  <si>
    <t>The man moves his fingers to change the sound while he plays.</t>
  </si>
  <si>
    <t>v_YOLDcsX7EiA</t>
  </si>
  <si>
    <t>A person is skiing down a hill of snow.</t>
  </si>
  <si>
    <t>They go off of a jump and fly in the air.</t>
  </si>
  <si>
    <t>They land back on the snow and continue skiing down the hill.</t>
  </si>
  <si>
    <t>v_AtHnNOkaoUk</t>
  </si>
  <si>
    <t>A camera zooms in on a large truck that shows a person walking around from behind as well as another.</t>
  </si>
  <si>
    <t>The men begin pulling a rope and working from the back while the cameraman speaks to the camera.</t>
  </si>
  <si>
    <t>The man continues to pan around the snowy area and watch the men work from behind.</t>
  </si>
  <si>
    <t>v_teemFjum3oU</t>
  </si>
  <si>
    <t>A small child is seen sitting on top of a slide while looking over to another child playing.</t>
  </si>
  <si>
    <t>The boy rides down the slide several more times with the girl's assistance and a man standing holding a baby and watching.</t>
  </si>
  <si>
    <t>v_gU67yCVXHnQ</t>
  </si>
  <si>
    <t>A girl is looking at the camera.</t>
  </si>
  <si>
    <t>She turns around and is getting her hair brushed.</t>
  </si>
  <si>
    <t>She is looking at her phone.</t>
  </si>
  <si>
    <t>v_ifDsS6ZRsRM</t>
  </si>
  <si>
    <t>A woman's feet are shown as she warms up at ballet.</t>
  </si>
  <si>
    <t>A blonde woman is speaking to the camera, which pans out to her performing various dance moves while talking.</t>
  </si>
  <si>
    <t>She moves slowly at each step.</t>
  </si>
  <si>
    <t>She then stops and speaks her final words.</t>
  </si>
  <si>
    <t>v_-2VNLsk1s34</t>
  </si>
  <si>
    <t>A large man is seen stepping up into a circle and throws several shot puts off into the distance.</t>
  </si>
  <si>
    <t>Several more men are seen stepping up to the circle throwing a shot put off into the distance.</t>
  </si>
  <si>
    <t>People in the audience are seen cheering to one another as their scores are shown in the end.</t>
  </si>
  <si>
    <t>v_F_DHgp5hERs</t>
  </si>
  <si>
    <t>A man speaks to the camera while another man sits on a piece of exercise equipment behind him.</t>
  </si>
  <si>
    <t>The instructor continues moving around near the man and has him show how to machine works.</t>
  </si>
  <si>
    <t>He points to his body showing the muscles worked and walks around the man exercising.</t>
  </si>
  <si>
    <t>v_R8-iriCwcyE</t>
  </si>
  <si>
    <t>A gymnasts wipes chalk on his hands while getting ready.</t>
  </si>
  <si>
    <t>The gymnast stands on a platforms and swings himself onto a set of double bars.</t>
  </si>
  <si>
    <t>The gymnast does a double bar routine during a competition.</t>
  </si>
  <si>
    <t>The gymnast strikes his leg accidentally on the bars bringing him to a stop.</t>
  </si>
  <si>
    <t>The gymnast dismounts from the double bars and lands on the mat.</t>
  </si>
  <si>
    <t>A female gymnasts sits in a chair and waits for her turn.</t>
  </si>
  <si>
    <t>The female gymnasts stretches out her arms before the routine.</t>
  </si>
  <si>
    <t>A replay shows the highlights of the gymnasts routine on the double bars.</t>
  </si>
  <si>
    <t>v_mfENhAPlES8</t>
  </si>
  <si>
    <t>A man puts a black lens in his eye.</t>
  </si>
  <si>
    <t>Then, the man takes off the lens and after puts it again.</t>
  </si>
  <si>
    <t>v_92kGXXfm6ok</t>
  </si>
  <si>
    <t>A man is seen bending forward grabbing a large set of weights and lifting it on his shoulders.</t>
  </si>
  <si>
    <t>The man then lifts it up over his head and ends by throwing it back down.</t>
  </si>
  <si>
    <t>v_U_4goX5w_1c</t>
  </si>
  <si>
    <t>A black male athlete run in the field then hopped and jumped and landed on the sandy field.</t>
  </si>
  <si>
    <t>The athlete run around and cheered and kneel down and pray.</t>
  </si>
  <si>
    <t>The athlete run and ripped his shirt off, while he reach of the woman and give her a hug and cheered.</t>
  </si>
  <si>
    <t>v_sGTDKZuG1vE</t>
  </si>
  <si>
    <t>A man is kneeling down in front of a sink.</t>
  </si>
  <si>
    <t>He starts scrubbing the inside of the sink with a sponge.</t>
  </si>
  <si>
    <t>He takes a white towel and wipes off the counter and sink.</t>
  </si>
  <si>
    <t>He sprays the mirror with Windex and wipes the mirror off.</t>
  </si>
  <si>
    <t>v_tkmoslnsmwY</t>
  </si>
  <si>
    <t>A rapid river is running past a tree.</t>
  </si>
  <si>
    <t>A group of rafters don their gear, pushing their raft into the water.</t>
  </si>
  <si>
    <t>The paddle through the rapids, trying to stay upright and together.</t>
  </si>
  <si>
    <t>v_uatIP3FGQXk</t>
  </si>
  <si>
    <t>A large group of kids are seen standing around a field playing a game with one another.</t>
  </si>
  <si>
    <t>One boy throws a ball to another and the other kicks it off into the distance.</t>
  </si>
  <si>
    <t>The kids continue to play with one another as well as run along the field.</t>
  </si>
  <si>
    <t>v_CQweu0ZYNHU</t>
  </si>
  <si>
    <t>Three men stand together wearing heavily padded clothing with suspenders.</t>
  </si>
  <si>
    <t>The two men on the end strike the one in the middle below the belt and he falls to the ground in pain.</t>
  </si>
  <si>
    <t>One of the men is seen from behind walking in a hallway.</t>
  </si>
  <si>
    <t>The man sits on a bmx bike on the top of a ramp getting ready.</t>
  </si>
  <si>
    <t>the man drops into the ramp and falls hard slamming on the bottom.</t>
  </si>
  <si>
    <t>The man does tricks and jumps on the ramp riding a bike.</t>
  </si>
  <si>
    <t>One of the men in purple rides through a skate board park wearing the padded suit.</t>
  </si>
  <si>
    <t>Another man in grey shirt rides a skateboard on the half pipe ramp and does tricks.</t>
  </si>
  <si>
    <t>The three men ride together on the large ramp in formation.</t>
  </si>
  <si>
    <t>The man in purple falls and is struck in the face with his skateboard.</t>
  </si>
  <si>
    <t>v_w_OiqLfRJHI</t>
  </si>
  <si>
    <t>Two men are kneeling down holding paintball guns.</t>
  </si>
  <si>
    <t>They are walking down the street holding their paintball guns.</t>
  </si>
  <si>
    <t>They begin to play a game of paintballing.</t>
  </si>
  <si>
    <t>v_tVIY6uyH3aA</t>
  </si>
  <si>
    <t>A person is seen wearing a blue shirt and standing before a fence.</t>
  </si>
  <si>
    <t>The person bends down in front of the fence and begins spraying it down.</t>
  </si>
  <si>
    <t>The person continues spraying the fence while the camera captures from behind.</t>
  </si>
  <si>
    <t>v_caoMescJ1J4</t>
  </si>
  <si>
    <t>Three men are sitting on a couch with the man in the middle smiling, the man on the right playing a harmonica and the man on the far left holding his finger to his upper lip area and making a noise with his bottom lip by plucking it with his hand.</t>
  </si>
  <si>
    <t>The man on the right taps his foot as the two men play music.</t>
  </si>
  <si>
    <t>The camera pans to an onlooker standing on the side of the room watching and smiling.</t>
  </si>
  <si>
    <t>The two men stop playing and the man in the middle shrugs as the other two men smile.</t>
  </si>
  <si>
    <t>v_OKhVHhchsyI</t>
  </si>
  <si>
    <t>Three young children, 2 girls and a boy, are playing at a beach and piling sand onto a big pile as waves continue to go in and out.</t>
  </si>
  <si>
    <t>The camera person then pans around the beach to show the rest of the beach and various other people that are there.</t>
  </si>
  <si>
    <t>The camera person then focuses on two women talking and standing together.</t>
  </si>
  <si>
    <t>Then focuses back onto the children in the sand that are continuing to dig into the sand and pile sand into a big pile.</t>
  </si>
  <si>
    <t>One of the girls then runs out of the shot and the other girl and the only boy remain near their small pile of sand.</t>
  </si>
  <si>
    <t>v_j73Ks4r5tbg</t>
  </si>
  <si>
    <t>A girl with blonde hair and red nails sits in a chair in bedroom and talks to the camera while smoking and showing off a bottle of blue nailpolish.</t>
  </si>
  <si>
    <t>The girl rolls away from the camera in the chair to get a bottle of blue nail polish and hold it up to the screen.</t>
  </si>
  <si>
    <t>The girl then begins to smoke a cigarette in front of the camera while talking.</t>
  </si>
  <si>
    <t>The girl, finally, takes one long inhale and leans in to exhale into the camera before falling back.</t>
  </si>
  <si>
    <t>v_DgVo1IAVrDM</t>
  </si>
  <si>
    <t>A helmet camera is put on and then a man goes skateboarding.</t>
  </si>
  <si>
    <t>He zooms through the city and goes on a highway.</t>
  </si>
  <si>
    <t>He passes a truck and other people.</t>
  </si>
  <si>
    <t>v_OVRYoPA6h-Y</t>
  </si>
  <si>
    <t>A man stands in a field talking.</t>
  </si>
  <si>
    <t>He hits a bowling ball with a croquet mallet and then hold up a bowling ball with a big 8 on it.</t>
  </si>
  <si>
    <t>A woman with a large chalice is in the same field talking.</t>
  </si>
  <si>
    <t>Cars pass by and people walk around in the background.</t>
  </si>
  <si>
    <t>A bowling ball that is cut in half is on the ground.</t>
  </si>
  <si>
    <t>A couple of kids look at the half bowling ball.</t>
  </si>
  <si>
    <t>A man hits the "8" ball with a croquet mallet and does a little dance.</t>
  </si>
  <si>
    <t>A woman hits 1 bowling ball against another with a mallet.</t>
  </si>
  <si>
    <t>A different man hits a bowling ball with a mallet.</t>
  </si>
  <si>
    <t>A young girl hits the ball with the mallet.</t>
  </si>
  <si>
    <t>Another man hits a bowling ball and does a dance, The young girls play while a man dressed like a joker talks.</t>
  </si>
  <si>
    <t>The game ends and all of the materials for the game are gathered.</t>
  </si>
  <si>
    <t>The woman gives her chalice to the young girls who are very excited.</t>
  </si>
  <si>
    <t>v_RzlX3Ai9AH4</t>
  </si>
  <si>
    <t>Text states the video will show how to chalk paint.</t>
  </si>
  <si>
    <t>An armoire is shown, and a woman is holding one of the drawers.</t>
  </si>
  <si>
    <t>She sands down the wood before applying a coat of chalk paint with a brush.</t>
  </si>
  <si>
    <t>She holds the cans of paint as she talks about the finished product.</t>
  </si>
  <si>
    <t>The painted armoire is shown a final time.</t>
  </si>
  <si>
    <t>v_cV9xeDlKJok</t>
  </si>
  <si>
    <t>A show of a dumpster is shown as well as women in gear standing in front of it.</t>
  </si>
  <si>
    <t>The woman edges herself along the dumpster while other people walk into frame.</t>
  </si>
  <si>
    <t>The woman then moves herself around on roller blades while the camera follows her movements.</t>
  </si>
  <si>
    <t>v_UpmzSgLLj-s</t>
  </si>
  <si>
    <t>We see a quick title screen.</t>
  </si>
  <si>
    <t>We then see a man working on various things in a bike factory.</t>
  </si>
  <si>
    <t>The man puts a bike together quick, puts it in a box, then on a conveyor belt.</t>
  </si>
  <si>
    <t>We then see a person putting tools on the bike box.</t>
  </si>
  <si>
    <t>The man begins to take the pieces part and put the bike together.</t>
  </si>
  <si>
    <t>We see the factory briefly.</t>
  </si>
  <si>
    <t>We return to the man putting the bike together.</t>
  </si>
  <si>
    <t>He finishes and we see the customer service phone number.</t>
  </si>
  <si>
    <t>We then see the end title screen.</t>
  </si>
  <si>
    <t>v_ygHElEUxVwA</t>
  </si>
  <si>
    <t>A group of a man and three women are on a gym floor.</t>
  </si>
  <si>
    <t>They are dancing in unison, performing several moves.</t>
  </si>
  <si>
    <t>When they are done, one woman laughs and runs away.</t>
  </si>
  <si>
    <t>v_Jdtr90RIkHk</t>
  </si>
  <si>
    <t>A man is riding a skateboard indoors and rides it onto a short standing pole on the ground.</t>
  </si>
  <si>
    <t>The same man is now standing outside talking and the words on the bottom of the screen say his name is "Shawn Connelly" and he's the Founder- San Francisco Skate Club and while he's speaking various words appear at the bottom of the screen at various times as well as clips of him skateboarding showing different moves that the words mention.</t>
  </si>
  <si>
    <t>The man ends the video of just him talking, no text on the screen, and no other clips showing while he's talking.</t>
  </si>
  <si>
    <t>v_cc17BiSDn8w</t>
  </si>
  <si>
    <t>A man in a red kayak rolls into the water, and out of the water.</t>
  </si>
  <si>
    <t>He rolls into the water once more.</t>
  </si>
  <si>
    <t>He then is in a blue kayak and rolls into the water and out of the water.</t>
  </si>
  <si>
    <t>He does it once more.</t>
  </si>
  <si>
    <t>v_a7FNzxXWvgU</t>
  </si>
  <si>
    <t>A man wearing a black shirt opens a bag of bread and pulls out three slices of bread.</t>
  </si>
  <si>
    <t>The man raises an empty bottle of Miracle Whip and tosses it backhanded.</t>
  </si>
  <si>
    <t>The man then opens the refrigerator and pulls out a new bottle of Miracle Whip.</t>
  </si>
  <si>
    <t>He then uses a knife to scoop out the miracle whip on to the bread slices.</t>
  </si>
  <si>
    <t>The man then opens a bag of Swiss cheese and places a slice on each bread slice.</t>
  </si>
  <si>
    <t>The man then gets a container of Genoa Salami from the fridge and piles slices onto the bread slices.</t>
  </si>
  <si>
    <t>He then puts the bread slices on top of each other and completes the sandwich.</t>
  </si>
  <si>
    <t>v_RZurdKhOxk0</t>
  </si>
  <si>
    <t>We see a man and a woman standing foreheads together.</t>
  </si>
  <si>
    <t>The people then dance together.</t>
  </si>
  <si>
    <t>The lady holds her legs out at her side.</t>
  </si>
  <si>
    <t>The man swings the woman around.</t>
  </si>
  <si>
    <t>The lady shakes her hips.</t>
  </si>
  <si>
    <t>The lady bends down and the man wraps his arms around her.</t>
  </si>
  <si>
    <t>The people back up from each other.</t>
  </si>
  <si>
    <t>v_BoK5y7jdhzA</t>
  </si>
  <si>
    <t>A lacrosse player wearing a white jersey and holding a lacrosse stick is talking about the positions of lacrosse.</t>
  </si>
  <si>
    <t>He is standing in a field that is next to a busy road with many cars passing by.</t>
  </si>
  <si>
    <t>He is demonstrating the various positions and ways of using the lacrosse stick with another man.</t>
  </si>
  <si>
    <t>He explains how the goals are scored in lacrosse.</t>
  </si>
  <si>
    <t>v_uHmoFLB-PLc</t>
  </si>
  <si>
    <t>A boy holds a guitar in a room.</t>
  </si>
  <si>
    <t>He is sitting on a bed.</t>
  </si>
  <si>
    <t>He begins to play the guitar.</t>
  </si>
  <si>
    <t>Eventually he finishes the song.</t>
  </si>
  <si>
    <t>v_aKhD_bFB7MA</t>
  </si>
  <si>
    <t>There's a person walking on stilts on a sidewalk where several cars are parked.</t>
  </si>
  <si>
    <t>He is demonstrating how to walk on stilts.</t>
  </si>
  <si>
    <t>He is joined by two other men who also join him in the tutorial.</t>
  </si>
  <si>
    <t>The man on stilts shows how fast he can run while on the stilts as well as jump high up.</t>
  </si>
  <si>
    <t>While he's running on the stilts, his friend drives alongside him in a car.</t>
  </si>
  <si>
    <t>The man continues to do stunts on the stilts.</t>
  </si>
  <si>
    <t>v_eJvOgEahkys</t>
  </si>
  <si>
    <t>A young girl is seen standing at a ballet bar performing ballet moves.</t>
  </si>
  <si>
    <t>A girl is seen dancing on stage followed by a large group of girls warming up.</t>
  </si>
  <si>
    <t>The girls continue stretching and lead into the woman pointing her foot.</t>
  </si>
  <si>
    <t>v_gTh9bd9yV9E</t>
  </si>
  <si>
    <t>A teen puts make up to an man on his face.</t>
  </si>
  <si>
    <t>Then, the teen puts mascara, lip sticks and paint the eyelid with an eyeliner.</t>
  </si>
  <si>
    <t>Then, the teen puts color on the cheeks, then she eyeliners the eyelids.</t>
  </si>
  <si>
    <t>After, the teen paint the mouth and put lipstick on the cheeks and paint the eyelids.</t>
  </si>
  <si>
    <t>v_91Wdp_uaWrY</t>
  </si>
  <si>
    <t>Two people are fencing in a room.</t>
  </si>
  <si>
    <t>A person is standing next to a wall watching them.</t>
  </si>
  <si>
    <t>They stop fencing and walk away.</t>
  </si>
  <si>
    <t>v_hlFJj2dT3sU</t>
  </si>
  <si>
    <t>A boy is on a tennis court outside.</t>
  </si>
  <si>
    <t>He serves the ball with a racquet.</t>
  </si>
  <si>
    <t>He serves it a few more times, hitting it each time.</t>
  </si>
  <si>
    <t>v_LYOQ0gVySxE</t>
  </si>
  <si>
    <t>Coffee is ground up in an electric grinder.</t>
  </si>
  <si>
    <t>A cup of coffee and coffee press are set on a table.</t>
  </si>
  <si>
    <t>Milk is poured into the cup of coffee.</t>
  </si>
  <si>
    <t>The cup of coffee is picked up and set back down on the saucer.</t>
  </si>
  <si>
    <t>v_YvIfwsbuiKI</t>
  </si>
  <si>
    <t>A male figure is seen in a gym bending on mat and carrying out instructions to the camera on how to perform an exercise.</t>
  </si>
  <si>
    <t>He demonstrates on how to properly do exercises on an elastic band that is attached to a fixed pole.</t>
  </si>
  <si>
    <t>He grabs the elastic band and pulls it towards himself.</t>
  </si>
  <si>
    <t>Afterwards he pushes the band away from himself as he and demonstrates the proper use of the equipment .</t>
  </si>
  <si>
    <t>v_Vx6vP1oxiAg</t>
  </si>
  <si>
    <t>A woman is seen leading a camel around with two small children riding on the back.</t>
  </si>
  <si>
    <t>The kids waves to the camera while it pans around their ride and the camel spitting into the air.</t>
  </si>
  <si>
    <t>v_8Nv52hFr0tg</t>
  </si>
  <si>
    <t>A female gymnast stands idle while being watched by a crowd.</t>
  </si>
  <si>
    <t>A close up of a second woman saying something is shown.</t>
  </si>
  <si>
    <t>The gymnast performs a routine on a beam.</t>
  </si>
  <si>
    <t>The female gymnast finishes her routine and dismounts.</t>
  </si>
  <si>
    <t>People are shown applauding the gymnast.</t>
  </si>
  <si>
    <t>The gymnast walks away from the beam.</t>
  </si>
  <si>
    <t>v_kH8o0M69KGc</t>
  </si>
  <si>
    <t>A man is seen bending over a large set of weights with another walking behind him.</t>
  </si>
  <si>
    <t>The man lifts the bar up over his head and throws it back down.</t>
  </si>
  <si>
    <t>The man does this again while people watch on the sides.</t>
  </si>
  <si>
    <t>v_arbdFQpe0fk</t>
  </si>
  <si>
    <t>A pinata is seen swinging around the middle of people followed by a girl grabbing a stick.</t>
  </si>
  <si>
    <t>She moves all around the room swinging at the pinata as well as another girl swinging with her dad.</t>
  </si>
  <si>
    <t>A young boy walks up to try to hit it as well as another boy.</t>
  </si>
  <si>
    <t>v_k2gc3YcVjwM</t>
  </si>
  <si>
    <t>A guy waves and then speaks.</t>
  </si>
  <si>
    <t>A male approaches and grabs a plate.</t>
  </si>
  <si>
    <t>The male takes the plate to the sink.</t>
  </si>
  <si>
    <t>The male dips the plate into the water and uses a white rug to wash it.</t>
  </si>
  <si>
    <t>The male rinses the washed plate.</t>
  </si>
  <si>
    <t>The male soaks the white plate and then puts it on a dish drying rack.</t>
  </si>
  <si>
    <t>The male gives a thumbs up.</t>
  </si>
  <si>
    <t>v_6YmZNDXap64</t>
  </si>
  <si>
    <t>A man is seen spinning a rubix cube into his hands followed by more people attempting to solve the puzzle and speak to the camera.</t>
  </si>
  <si>
    <t>More people are shown attempting to solve the puzzle as well as speaking to the camera and smiling.</t>
  </si>
  <si>
    <t>v_YG_jr8Efdxk</t>
  </si>
  <si>
    <t>A large group of people are shown sitting on the sidelines as well as various shots of athletes preparing for an event.</t>
  </si>
  <si>
    <t>One woman is seen lifting a bar several times while her coach yells to encourage her.</t>
  </si>
  <si>
    <t>She finishes her set and walks away with several other people nearby.</t>
  </si>
  <si>
    <t>v_hx0WYKDa7PM</t>
  </si>
  <si>
    <t>A cameraman follows a man as he walks up a diving board.</t>
  </si>
  <si>
    <t>The diver gets to the edge of the board and stretches before falling forwards in the water.</t>
  </si>
  <si>
    <t>The diver dives into the water a second time.</t>
  </si>
  <si>
    <t>The diver gets out of the water and walks away as a cameraman follows him.</t>
  </si>
  <si>
    <t>v__yk7gjnHkjs</t>
  </si>
  <si>
    <t>A man swings and throws the hammer repeatedly.</t>
  </si>
  <si>
    <t>The man hops on one leg at the end and walks away.</t>
  </si>
  <si>
    <t>We switch to a man throwing shot put.</t>
  </si>
  <si>
    <t>Men on the sideline clap and jump.</t>
  </si>
  <si>
    <t>The man in red and blue raises a red flag.</t>
  </si>
  <si>
    <t>We see a man throw the hammer repeatedly.</t>
  </si>
  <si>
    <t>v_GZiG-aSzIJI</t>
  </si>
  <si>
    <t>There are two white cars that arrive in secluded area where there are warehouses.</t>
  </si>
  <si>
    <t>Four men get off the car and walk towards a man wearing a mask to cover his face.</t>
  </si>
  <si>
    <t>There are some people hiding behind trucks with guns in their hands.</t>
  </si>
  <si>
    <t>One of the men comes out and opens fire.</t>
  </si>
  <si>
    <t>He shoots his gun in the air.</t>
  </si>
  <si>
    <t>That provokes the other people and a huge gun fight breaks out.</t>
  </si>
  <si>
    <t>The men randomly begin shooting at each other.</t>
  </si>
  <si>
    <t>During that time, one of the men get shot in the head and he collapses and falls down.</t>
  </si>
  <si>
    <t>v_xgb-qIgWHw0</t>
  </si>
  <si>
    <t>A musician plays a set of drums on an elevated jumbo screen as a camera pans in and out on the performance.</t>
  </si>
  <si>
    <t>A musician with a headset attached to his ears and over his mouth, begins to play a set of drums.</t>
  </si>
  <si>
    <t>As the musician plays the drums the camera pans in for a closeup and then pans out.</t>
  </si>
  <si>
    <t>The musician ends the performance, stands, and waives both sticks at the audience.</t>
  </si>
  <si>
    <t>v_FrDKwP9XaOo</t>
  </si>
  <si>
    <t>Males pull a rope in a tag of war match.</t>
  </si>
  <si>
    <t>The males take steps to the right.</t>
  </si>
  <si>
    <t>The males are being pulled to the left.</t>
  </si>
  <si>
    <t>The males raise and let go of the rope now closer to the left.</t>
  </si>
  <si>
    <t>v_mouMMOraPyw</t>
  </si>
  <si>
    <t>A close up of a person is seen speaking to a person behind them and paddling along the water.</t>
  </si>
  <si>
    <t>The people continue riding along the water as the water splashes around them and the woman stops to wipe her face off.</t>
  </si>
  <si>
    <t>v_8dXbbJWFEJo</t>
  </si>
  <si>
    <t>A group of athletes row on canoes during a race in between buoys on a waterway.</t>
  </si>
  <si>
    <t>The men cross the final numbered buoys and glide while slowing down after the race.</t>
  </si>
  <si>
    <t>v_JJzBlV3p1Wc</t>
  </si>
  <si>
    <t>A woman in an outdoor environment teaches a young boy and girl how to wash clothes using a washboard and a metal bucket.</t>
  </si>
  <si>
    <t>A young boy pulls on a metal lever protruding from a metal bucket with a washboard in it.</t>
  </si>
  <si>
    <t>Two young girls watch as a woman in a white apron demonstrates to the boy and girl how to turn the lever and also hangs clothes on a clothes line.</t>
  </si>
  <si>
    <t>The young girl begins to pull the lever while the boy helps the woman hang clothes, and then all of the children take turns operating different parts of the washboard mechanism.</t>
  </si>
  <si>
    <t>v_eChLCFAGyx0</t>
  </si>
  <si>
    <t>The video takes place in a theater showing a symphony play a song.</t>
  </si>
  <si>
    <t>The video shows close ups of several of the symphony members as they play their instruments.</t>
  </si>
  <si>
    <t>The camera then pans out to show the audience.</t>
  </si>
  <si>
    <t>The symphony continues to play as the conductor leads.</t>
  </si>
  <si>
    <t>The video ends showing the entire symphony.</t>
  </si>
  <si>
    <t>v_XfF30DaqAGU</t>
  </si>
  <si>
    <t>A woman is seen standing before a bar and bends down in front of him.</t>
  </si>
  <si>
    <t>She grabs the weights and lifts it over her head and then back down.</t>
  </si>
  <si>
    <t>She continuously lifts the weight up over her head.</t>
  </si>
  <si>
    <t>v_B4LYBLihttQ</t>
  </si>
  <si>
    <t>The young female is standing in the kitchen talking to the camera.</t>
  </si>
  <si>
    <t>The female put the pasta in boiling water, chopped the garlic and pour olive oil in the pan, she shredded the orange peel and put in the pan and added tomatoes and seafood.</t>
  </si>
  <si>
    <t>The woman drain the pasta, and put it on the sauce and put them in the white bowls.</t>
  </si>
  <si>
    <t>v_txMaVvdALeM</t>
  </si>
  <si>
    <t>A large group of people are riding in a huge raft.</t>
  </si>
  <si>
    <t>They paddle down the rapids, trying to stay upright.</t>
  </si>
  <si>
    <t>They flip over, falling out of the raft.</t>
  </si>
  <si>
    <t>v_g6L-l5sgFEQ</t>
  </si>
  <si>
    <t>We see the title card and a pained dresser.</t>
  </si>
  <si>
    <t>A lady sits on the floor and discusses painting.</t>
  </si>
  <si>
    <t>The lady paints the dresser while talking about it.</t>
  </si>
  <si>
    <t>We see the painted end product.</t>
  </si>
  <si>
    <t>We see the end cards for the video.</t>
  </si>
  <si>
    <t>v_FKAlXR9NkKw</t>
  </si>
  <si>
    <t>A lady walks down a hall while carrying a bucket of cleaning supplies.</t>
  </si>
  <si>
    <t>A lady cleans a window with newspapers.</t>
  </si>
  <si>
    <t>The lady sprays the newspaper.</t>
  </si>
  <si>
    <t>The ingredients to make the spray is shown.</t>
  </si>
  <si>
    <t>The lady sprays the window.</t>
  </si>
  <si>
    <t>v_DTprdtsGCts</t>
  </si>
  <si>
    <t>Pipes are being shown on a rock.</t>
  </si>
  <si>
    <t>A man is walking on a trail.</t>
  </si>
  <si>
    <t>A large structure behind a fence is shown.</t>
  </si>
  <si>
    <t>A boat is in the water surrounding a rock.</t>
  </si>
  <si>
    <t>A man sits on top of a rock.</t>
  </si>
  <si>
    <t>A man starts playing an instrument.</t>
  </si>
  <si>
    <t>A large rock wall is shown.</t>
  </si>
  <si>
    <t>The man continues playing the instrument.</t>
  </si>
  <si>
    <t>v_fpIS8jWoK9w</t>
  </si>
  <si>
    <t>The camera watches a man in a hat talking with someone from a low angle.</t>
  </si>
  <si>
    <t>The setting changes and the man in the hat talks with another man while the two look at papers.</t>
  </si>
  <si>
    <t>The man in the hat sits down and talks to the camera.</t>
  </si>
  <si>
    <t>The man drinks from a bottle of water.</t>
  </si>
  <si>
    <t>A woman applies an ink pattern to the man's body.</t>
  </si>
  <si>
    <t>The man lays on his side as the woman tattoos over the ink pattern.</t>
  </si>
  <si>
    <t>Still images of the completed tattoo are shown.</t>
  </si>
  <si>
    <t>v_s6oXeM9OluM</t>
  </si>
  <si>
    <t>A woman is shown holding a cat while a dog stands by her feet.</t>
  </si>
  <si>
    <t>She talks to the camera and shows off her cat nails.</t>
  </si>
  <si>
    <t>She grabs a tool and begins cutting the cat's claws.</t>
  </si>
  <si>
    <t>She adjusts the cat a bit but finishes her nails and lets her go.</t>
  </si>
  <si>
    <t>v_TS-p15iwQPc</t>
  </si>
  <si>
    <t>A class of children dressed in white gi's are walking, kicking and punching in a classroom while their teacher walks around them.</t>
  </si>
  <si>
    <t>The class stops and the instructor talks and walks around them.</t>
  </si>
  <si>
    <t>The class then turns around and begins to walk, kick and punch in the direction they just came from.</t>
  </si>
  <si>
    <t>The class turns around when they get to the end, stops, and the instructor begins talking and demonstrating a kick and a punch to them, moves out of the way and the class resumes.</t>
  </si>
  <si>
    <t>When they reach the end they turn around again to walk, kick and punch back in the direction they came from and once again the instructor stops them to talk and demonstrate the moves and once again the class resumes their movements and when hey get to the end of the room they turn around and end their routine with their legs apart and arms in front of them.</t>
  </si>
  <si>
    <t>v_uMw7YplUbAM</t>
  </si>
  <si>
    <t>A man is seen holding an accordion while speaking to the camera and smiling.</t>
  </si>
  <si>
    <t>He then plays the instrument while looking at the camera and ends by speaking more to the camera.</t>
  </si>
  <si>
    <t>v_DjyO6zWUiDw</t>
  </si>
  <si>
    <t>A boy is standing on a stool in front of a kitchen sink.</t>
  </si>
  <si>
    <t>He is washing the dishes under the water.</t>
  </si>
  <si>
    <t>He puts the dishes into a black strainer.</t>
  </si>
  <si>
    <t>v_RINsqxGLQdQ</t>
  </si>
  <si>
    <t>Several shots of people riding around kite surfing are shown as well as people speaking to the camera.</t>
  </si>
  <si>
    <t>The kids attempt the wind surfing and are seen moving their arms and legs around and waving to the camera.</t>
  </si>
  <si>
    <t>Two girls are seen dancing as well as people speaking to the camera and kids looking at the camera.</t>
  </si>
  <si>
    <t>v_uE15Mhtj9nE</t>
  </si>
  <si>
    <t>A woman is explaining how to remove wallpaper.</t>
  </si>
  <si>
    <t>She turns around and bends over to pick up a steamer.</t>
  </si>
  <si>
    <t>She shows how to steam the wallpaper in sections.</t>
  </si>
  <si>
    <t>She steps off the ladder and continues to steam the wallpaper.</t>
  </si>
  <si>
    <t>She moves the ladder out of the way then she steams more wallpaper, all the way to the bottom, across and the middle.</t>
  </si>
  <si>
    <t>She moves the ladder, climbs up it and peels the wallpaper from the wall, picking the pieces that stick from the wall.</t>
  </si>
  <si>
    <t>She pulls the residue from the wall.</t>
  </si>
  <si>
    <t>She walks out of camera range and comes back with a scraper to remove the left pieces.</t>
  </si>
  <si>
    <t>She bends down again and walks out of camera range again.</t>
  </si>
  <si>
    <t>She has a sponge and is cleaning the wall.</t>
  </si>
  <si>
    <t>She does more scraping and scrubbing.</t>
  </si>
  <si>
    <t>She turns around and smiles.</t>
  </si>
  <si>
    <t>v_nGOEmEDesPI</t>
  </si>
  <si>
    <t>There are snowflakes falling over a forest.</t>
  </si>
  <si>
    <t>A man in an orange jacket snowmobiles across a snowy field.</t>
  </si>
  <si>
    <t>The man snowboards down the mountain.</t>
  </si>
  <si>
    <t>Two men snowmobile through the forest.</t>
  </si>
  <si>
    <t>A man in a dark jacket snowboards through a route filled with trees.</t>
  </si>
  <si>
    <t>The man in the orange jacket looks at the camera.</t>
  </si>
  <si>
    <t>The man in the orange jacket snowmobiles down a very steep mountain.</t>
  </si>
  <si>
    <t>The man in the orange jacket snowmobiles off a jump and does tricks.</t>
  </si>
  <si>
    <t>The man in the orange jacket starts a fire.</t>
  </si>
  <si>
    <t>The man in the dark jacket continues to ski through treacherous areas filled with trees.</t>
  </si>
  <si>
    <t>v_7wyt_-SoudU</t>
  </si>
  <si>
    <t>man is welding a machine in a dark room.</t>
  </si>
  <si>
    <t>man is welding a metal pot and smoke is spreading out of the pot.</t>
  </si>
  <si>
    <t>man is wearing welding mask in a dark room welding something.</t>
  </si>
  <si>
    <t>v_5aUWT0CmJlc</t>
  </si>
  <si>
    <t>A close up shots of a man riding around is shown and leads into him taking off part of his shows.</t>
  </si>
  <si>
    <t>He shows off several objects and pushes a puck along some ice while the camera sits on the object and the man follows behind.</t>
  </si>
  <si>
    <t>v_0cYB-WFrVxk</t>
  </si>
  <si>
    <t>A boat pulls a person out of the water.</t>
  </si>
  <si>
    <t>They stand up and start water skiing behind the boat.</t>
  </si>
  <si>
    <t>The person falls and lets go of the rope.</t>
  </si>
  <si>
    <t>v_AUwam1VhQm0</t>
  </si>
  <si>
    <t>A large slide is shown with dozens of children climbing up and going down.</t>
  </si>
  <si>
    <t>Children run up and down the side and continue to ride down the slide.</t>
  </si>
  <si>
    <t>The camera pans all around the slides and shows the kids going down.</t>
  </si>
  <si>
    <t>v_OJYajhN1RHs</t>
  </si>
  <si>
    <t>A woman does a hair dressing routine by brushing and blowdrying hair.</t>
  </si>
  <si>
    <t>The woman sits and has the hairdresser work her magic in under ten minutes.</t>
  </si>
  <si>
    <t>v_Jmip8PuILhM</t>
  </si>
  <si>
    <t>A woman paints a square frame with legs.</t>
  </si>
  <si>
    <t>She turns it and paints another side.</t>
  </si>
  <si>
    <t>The camera pans to flowers.</t>
  </si>
  <si>
    <t>v_Y6rHCVo28kM</t>
  </si>
  <si>
    <t>A person is seen sitting in a chair with a woman standing behind him cutting his hair.</t>
  </si>
  <si>
    <t>She continuously combs his hair and measures it along the side.</t>
  </si>
  <si>
    <t>She finally finishes the cut and fades away from his face.</t>
  </si>
  <si>
    <t>v_EBdkGs_jFDw</t>
  </si>
  <si>
    <t>A person cleans a window screen, and then puts detergent on the lower part of the window and brush.</t>
  </si>
  <si>
    <t>Then, the person cleans the borders of the window with a cloth, and shows the dirt in the cloth.</t>
  </si>
  <si>
    <t>After, the person takes a bottle from the sill and continues cleaning the borders of the window screen.</t>
  </si>
  <si>
    <t>v_L9gznB55hhE</t>
  </si>
  <si>
    <t>A young woman is sitting on a step and then a poster saying I can do it is shown.</t>
  </si>
  <si>
    <t>The girl comes back and continues talking about what she is about to do.</t>
  </si>
  <si>
    <t>She then brings up a knife and talks about it as the camera zooms in on it.</t>
  </si>
  <si>
    <t>She then starts cutting a stick and words are displayed at the bottom showing the steps needed to complete the fire.</t>
  </si>
  <si>
    <t>A pocket knife is pulled out and she begins cutting a small piece of tinder.</t>
  </si>
  <si>
    <t>v_xWIKFgygROg</t>
  </si>
  <si>
    <t>A man wearing an earring looks to the side.</t>
  </si>
  <si>
    <t>He is shown holding up a bow and arrow, aiming, then shooting at his target.</t>
  </si>
  <si>
    <t>The scene is repeated several times.</t>
  </si>
  <si>
    <t>v_uVcyJg_3Fj8</t>
  </si>
  <si>
    <t>A time lapse video is shown of people walking around a house.</t>
  </si>
  <si>
    <t>Later, they begin to put up a Christmas tree with two people involved in the process.</t>
  </si>
  <si>
    <t>They put lights on the tree and light them up.</t>
  </si>
  <si>
    <t>Next, they begin to put several different ornaments on the tree.</t>
  </si>
  <si>
    <t>Lastly, they put the skirt under the tree and end the video with a kiss.</t>
  </si>
  <si>
    <t>v_qz47x5-R-BU</t>
  </si>
  <si>
    <t>band is in stage and the front man is singing.</t>
  </si>
  <si>
    <t>woman is playing drums wearing a black cap.</t>
  </si>
  <si>
    <t>v_xRfSkg8j7Dg</t>
  </si>
  <si>
    <t>A garden is shown from the outside of a house.</t>
  </si>
  <si>
    <t>The camera turns to take in various plants and flowers.</t>
  </si>
  <si>
    <t>We then get a good look at the grass.</t>
  </si>
  <si>
    <t>v_wBiRGLLjFVU</t>
  </si>
  <si>
    <t>Boys balance on slack lines and do various tricks.</t>
  </si>
  <si>
    <t>People balances on a slack line in a park and slowly walks across the length of the rope between two trees.</t>
  </si>
  <si>
    <t>Boys balance across a slack line placed over a small pond at a park.</t>
  </si>
  <si>
    <t>v_Bnw54GNBKlU</t>
  </si>
  <si>
    <t>woman is sitting in a sidewalk talking to the camera next to a green bucket.</t>
  </si>
  <si>
    <t>woman is jumping on sidewalk playing trick.</t>
  </si>
  <si>
    <t>another woman is in the sidewalk jumping playing trick.</t>
  </si>
  <si>
    <t>v_xcworhtkwNY</t>
  </si>
  <si>
    <t>A band is seated outside on asphalt.</t>
  </si>
  <si>
    <t>They are playing a series of drums with sticks and their hands.</t>
  </si>
  <si>
    <t>Numerous people pass by on foot and bike.</t>
  </si>
  <si>
    <t>v_fxEcsM0EaA4</t>
  </si>
  <si>
    <t>People are jumping rope on a stage.</t>
  </si>
  <si>
    <t>They switch places and a different person starts jumping.</t>
  </si>
  <si>
    <t>A man stands and holds the jump rope.</t>
  </si>
  <si>
    <t>v_whcxrkF2hws</t>
  </si>
  <si>
    <t>The Province of Albay seal is shown.</t>
  </si>
  <si>
    <t>Several team members are on a court outdoors, playing volleyball.</t>
  </si>
  <si>
    <t>They lob the ball back and forth over the net in front of an audience.</t>
  </si>
  <si>
    <t>Afterward, they celebrate, laughing and smiling.</t>
  </si>
  <si>
    <t>v_LHe5cTzHB3o</t>
  </si>
  <si>
    <t>There are two men boxing in an indoor boxing room that has mirrors on one entire wall.</t>
  </si>
  <si>
    <t>There is another person standing in the same room who is video taping them fight.</t>
  </si>
  <si>
    <t>The boxer in the red shorts punches the boxer in the black shorts.</t>
  </si>
  <si>
    <t>The boxer in black falls down and lands on his back and groans.</t>
  </si>
  <si>
    <t>Then he stands right back up while the boxer in red walks around him.</t>
  </si>
  <si>
    <t>v__4CLYKFzmoY</t>
  </si>
  <si>
    <t>A young man is wearing headphones and standing in front of a microphone.</t>
  </si>
  <si>
    <t>He begins playing the violin.</t>
  </si>
  <si>
    <t>He closes his eyes, listening to himself as he plays.</t>
  </si>
  <si>
    <t>v_sYhUC2uQR7I</t>
  </si>
  <si>
    <t>A gym room with several large boxing bags aligned along the perimeter of the room is shown.</t>
  </si>
  <si>
    <t>A group of guys then come in the building and they start to run around the bags as a warm up.</t>
  </si>
  <si>
    <t>Once they are finished,the men pair up with one another and three groups are shown boxing one another.</t>
  </si>
  <si>
    <t>A bumper sticker then appears saying,"Keep your Eyes on the Prize" and then more pairs of men begin kick boxing.</t>
  </si>
  <si>
    <t>v_ejzgfj6QKB8</t>
  </si>
  <si>
    <t>A man is in a yard with a cricket bat.</t>
  </si>
  <si>
    <t>He flips the bat over and over again.</t>
  </si>
  <si>
    <t>He trips, then kicks the ball into the air, hitting it.</t>
  </si>
  <si>
    <t>v_AzNHZyeXHBM</t>
  </si>
  <si>
    <t>A woman is standing on a track talking.</t>
  </si>
  <si>
    <t>She jumps into a pile of sand.</t>
  </si>
  <si>
    <t>She is sprinting down the track.</t>
  </si>
  <si>
    <t>It shows her stretching and jumping into a pile of sand.</t>
  </si>
  <si>
    <t>v_2EfjOGiEeJs</t>
  </si>
  <si>
    <t>The camera pans around a large group of people wandering around and leads into people playing a soccer match.</t>
  </si>
  <si>
    <t>The players are shown watching on the side and show more shots of the people and the city.</t>
  </si>
  <si>
    <t>v_nHkVfEKklJA</t>
  </si>
  <si>
    <t>A young boy jokes around sitting at a drum set.</t>
  </si>
  <si>
    <t>A boy plays a drum set at home.</t>
  </si>
  <si>
    <t>The parents watch the boy play the drums.</t>
  </si>
  <si>
    <t>v_l4YcjFl6SDc</t>
  </si>
  <si>
    <t>A hand is rubbing a chalk to a blue tip.</t>
  </si>
  <si>
    <t>The man is concentrating on the pool table, slowly hit the ball with the billiard stick.</t>
  </si>
  <si>
    <t>An old man with beard is giving interview.</t>
  </si>
  <si>
    <t>The man is arranging the ball on the table and then hit them and they all went into the holes.</t>
  </si>
  <si>
    <t>v_GQzwzOM9db8</t>
  </si>
  <si>
    <t>The athlete who is wearing gray tights and black shirt with number 2 on it started go on the beam and started to swirl around.</t>
  </si>
  <si>
    <t>When he got of from the beam, he walked towards the yellow container that contains white powder, then went back to the beam and did his tricks by swirling around.</t>
  </si>
  <si>
    <t>v_jxAZc0VgG4w</t>
  </si>
  <si>
    <t>An athletic woman is shown running down a track and jumping into a large sand pit.</t>
  </si>
  <si>
    <t>Her jump is then shown again several times in slow motion and another runner takes a turn at the jump.</t>
  </si>
  <si>
    <t>Her jump is shown again in slow motion and she waves to the audience while smiling.</t>
  </si>
  <si>
    <t>v_ShT4biEuQDo</t>
  </si>
  <si>
    <t>A shirtless man is shoving snow outside at the curb.</t>
  </si>
  <si>
    <t>He waves his hands around and motions at the passing cars.</t>
  </si>
  <si>
    <t>He continues to wave and roll his hands in the air as more cars pass.</t>
  </si>
  <si>
    <t>He continues shoveling the snow.</t>
  </si>
  <si>
    <t>v_XU8FzYcRat4</t>
  </si>
  <si>
    <t>A small group of men are seen standing on a sandy field hitting a ball back and fourth.</t>
  </si>
  <si>
    <t>The men begin a game of volleyball and hit the ball all around the area.</t>
  </si>
  <si>
    <t>The men continue playing while the camera captures them moving around.</t>
  </si>
  <si>
    <t>v_c8LevTVQ5nk</t>
  </si>
  <si>
    <t>A young boy is seen opening up presents with another's help and various shots of him playing a drum he received.</t>
  </si>
  <si>
    <t>The mother is interviewed and shows more shots of the boy playing several different instruments.</t>
  </si>
  <si>
    <t>It finally shows the boy grown up and ends with information for a movie trailer.</t>
  </si>
  <si>
    <t>v_Z3NtsxP6w-g</t>
  </si>
  <si>
    <t>A man is seen speaking to the camera and leads into actors being interviewed about a film.</t>
  </si>
  <si>
    <t>Several shots of the film is shown as well as stills from other movies and appearances together.</t>
  </si>
  <si>
    <t>The couple is then shown performing a tango routine on a large stage and ends by posing on stage with the audience cheering.</t>
  </si>
  <si>
    <t>v_KHOTebb8UC8</t>
  </si>
  <si>
    <t>A woman is talking about an elliptical exercise machine specially designed for women.</t>
  </si>
  <si>
    <t>Alongside her is the pro fitness expert who is demonstrating how the machine works.</t>
  </si>
  <si>
    <t>He shows the buttons that need to be pressed in order to start the elliptical.</t>
  </si>
  <si>
    <t>After he gets the machine started, the lady hops onto the machine and begins using the elliptical.</t>
  </si>
  <si>
    <t>She continues to exercise on the machine as the fitness trainer gives her tips on how the machine will benefit her.</t>
  </si>
  <si>
    <t>v_r1x3hjFWGYM</t>
  </si>
  <si>
    <t>We see an intro screen with contact lenses.</t>
  </si>
  <si>
    <t>We see a man wash his hand and take a contact from a new package.</t>
  </si>
  <si>
    <t>The person holds their eye open and inserts the contact lens.</t>
  </si>
  <si>
    <t>The man smiles and we see his face .</t>
  </si>
  <si>
    <t>We are then shown how to remove the contact lens with instructions.</t>
  </si>
  <si>
    <t>v_Z-kXPcLsxBg</t>
  </si>
  <si>
    <t>A purple rope is attached to a blue one, which is then stretched between two trees.</t>
  </si>
  <si>
    <t>A man bounces and balances on the rope as three other men watch.</t>
  </si>
  <si>
    <t>The other men take turns, some falling and rebalancing.</t>
  </si>
  <si>
    <t>v_hQ4xkr6VpnA</t>
  </si>
  <si>
    <t>First the woman is shown tracing her finger down her neck.</t>
  </si>
  <si>
    <t>Then she moves a part of her hair out of her way and starts to braid a part of her hair.</t>
  </si>
  <si>
    <t>Then she braids another braid that is smaller than the first one, but she connects the hair, by using a couple of strands from the last braid.</t>
  </si>
  <si>
    <t>v_ehO8oXanK1Y</t>
  </si>
  <si>
    <t>A woman does a karate routine with a partner and throws a bunch which is blocked twice.</t>
  </si>
  <si>
    <t>The woman practices a karate chops to her partner who watches and lifts hands.</t>
  </si>
  <si>
    <t>The woman throws a blow to her partner who catches it and throws her to the ground.</t>
  </si>
  <si>
    <t>v_S7RWgSxlZ-M</t>
  </si>
  <si>
    <t>A couple of tools are sitting on the edge of a table.</t>
  </si>
  <si>
    <t>A man adjusts the position of the tools.</t>
  </si>
  <si>
    <t>He uses a knife in the crevices, sharpening the knife.</t>
  </si>
  <si>
    <t>v_r8ZIHLqFPfg</t>
  </si>
  <si>
    <t>Vassen cloud nine red colored contacts are in the container they belong in.</t>
  </si>
  <si>
    <t>A blondish haired woman with brown eyes places one of them in her eye.</t>
  </si>
  <si>
    <t>You can see the difference of the brown and the contact very clearly and it looks pretty great.</t>
  </si>
  <si>
    <t>She then put the other contact in so you are able to see how both lenses look at a distance.</t>
  </si>
  <si>
    <t>v_EzX0FZI6pCg</t>
  </si>
  <si>
    <t>A young man is standing in a netted green circular area.</t>
  </si>
  <si>
    <t>The man is holding a ball and begins to spin himself around and around multiple times and then throws the ball.</t>
  </si>
  <si>
    <t>After he throws the ball he falls hard and quickly onto the ground.</t>
  </si>
  <si>
    <t>v_4j7_nh61bvo</t>
  </si>
  <si>
    <t>The video by TMZ is showing several overweight men as part of the sumo destruction event.</t>
  </si>
  <si>
    <t>It shows a picture of singer George Michael too.</t>
  </si>
  <si>
    <t>There's a panel of people sitting in a studio talking about the event.</t>
  </si>
  <si>
    <t>They are reading a script and laughing.</t>
  </si>
  <si>
    <t>There are pictures of sumo wrestlers shown too.</t>
  </si>
  <si>
    <t>It also shows sumo wrestlers wrestling as spectators watch the event.</t>
  </si>
  <si>
    <t>v_mxZRW_Xy7ks</t>
  </si>
  <si>
    <t>three woman are walking next to a house in a parking lot.</t>
  </si>
  <si>
    <t>people are snowboarding between two fences in a small hall going down a small slope.</t>
  </si>
  <si>
    <t>people are standing in a snowy mountain in snowboards.</t>
  </si>
  <si>
    <t>people are eating sitting outside a tent.</t>
  </si>
  <si>
    <t>people are snwoboarding going down a snowy slope ad doing tricks in mountains.</t>
  </si>
  <si>
    <t>v_DMw9Cb_Xy2A</t>
  </si>
  <si>
    <t>A man shoots an arrow with his bow.</t>
  </si>
  <si>
    <t>He grabs another arrow and shoots again.</t>
  </si>
  <si>
    <t>Once more, he shoots an arrow.</t>
  </si>
  <si>
    <t>He finds another arrow and shoots.</t>
  </si>
  <si>
    <t>He takes another shot of an arrow.</t>
  </si>
  <si>
    <t>Another arrow is grabbed and he shoots.</t>
  </si>
  <si>
    <t>He takes another one and shoots it.</t>
  </si>
  <si>
    <t>He grabs another arrow from his waist and shoots again.</t>
  </si>
  <si>
    <t>He shoots an arrow once more.</t>
  </si>
  <si>
    <t>He grabs a final arrow and shoots.</t>
  </si>
  <si>
    <t>A person walks towards the hay where the arrows have been shot.</t>
  </si>
  <si>
    <t>v_tnXjdv_GM9g</t>
  </si>
  <si>
    <t>A man prepares to run down a track.</t>
  </si>
  <si>
    <t>He runs very fast down the path.</t>
  </si>
  <si>
    <t>He takes a giant leap, landing in the sand.</t>
  </si>
  <si>
    <t>v_7Nj1Y-fyq_c</t>
  </si>
  <si>
    <t>A man dressed in business attire enters a kitchen with some children behind him, he shakes a woman's hand, rubs her shoulder and then introduces the children to the woman, and the whole time black text on the top of the screen reads "'Lying' Ryan has a few minutes to kill before a flight".</t>
  </si>
  <si>
    <t>More clips continue to play of the man in the kitchen, talking, handling cleaning products, and washing dishes, but a lot of negative words about him are appearing on the screen.</t>
  </si>
  <si>
    <t>The man is out of the kitchen now and walking then stops to shake hands and talk to a man, but a negative message about him still appears on the screen.</t>
  </si>
  <si>
    <t>v_ofrkSTRhCE4</t>
  </si>
  <si>
    <t>A woman is seen running down a road while looking at her watch and pointing to things in front of her.</t>
  </si>
  <si>
    <t>She continues running down the street while other people applaud her and she keeps running.</t>
  </si>
  <si>
    <t>v_i-LI4TpJNQ8</t>
  </si>
  <si>
    <t>man is sitting in a kayak next to the sidewalk.</t>
  </si>
  <si>
    <t>man is taking out the kayak from the water.</t>
  </si>
  <si>
    <t>man is in the river holding the row and doing kayaking and other men are beside him.</t>
  </si>
  <si>
    <t>v_b8S0HFHh_p0</t>
  </si>
  <si>
    <t>A man is recording himself in a lever with another man.</t>
  </si>
  <si>
    <t>The ride goes up higher and the man with a hat is talking to the other.</t>
  </si>
  <si>
    <t>The ride reaches the top and the man holds out his arms.</t>
  </si>
  <si>
    <t>He counts down and drops the man down to bungee jump.</t>
  </si>
  <si>
    <t>The man makes it to the bottom safely and the ride comes back down.</t>
  </si>
  <si>
    <t>v_OrVgspx6Axs</t>
  </si>
  <si>
    <t>Outside in oak creek there is some bikers getting ready yo race down the dirt.</t>
  </si>
  <si>
    <t>When the gates go down they all go as fast as they can through the obstacle of dirt.</t>
  </si>
  <si>
    <t>There are a few people sitting by in the stands watching as the bikers go off.</t>
  </si>
  <si>
    <t>They even show some of the kids waiting and having a good time watching the race.</t>
  </si>
  <si>
    <t>v_4vdclFJFrdk</t>
  </si>
  <si>
    <t>A woman practices floor gymnastics while others engage in various activities in the background.</t>
  </si>
  <si>
    <t>A second woman practices floor gymnastics.</t>
  </si>
  <si>
    <t>The two women are shown performing the same action in turn.</t>
  </si>
  <si>
    <t>The first woman is shown practicing more floor gymnastics, with occasional slow motion replays of her action.</t>
  </si>
  <si>
    <t>The second woman is shown performing some sort of pose.</t>
  </si>
  <si>
    <t>The first woman is shown performing gymnastics once again.</t>
  </si>
  <si>
    <t>The second woman is shown stretching her leg in the air.</t>
  </si>
  <si>
    <t>The first woman is shown performing gymnastics once more.</t>
  </si>
  <si>
    <t>The second woman is shown in some sort of pose once again.</t>
  </si>
  <si>
    <t>The first woman is shown performing gymnastics yet again.</t>
  </si>
  <si>
    <t>v_fFWHlFZEm3M</t>
  </si>
  <si>
    <t>A humongous red, black and white ship is shown on the water, then a smaller ship is shown quickly approaching the boat that is filming and suddenly it crashes into the boat and it has black smoke coming from the top of it.</t>
  </si>
  <si>
    <t>A lot of people are shown on the boat with life vests moving quickly about the ship, and men are frantically pulling at rope.</t>
  </si>
  <si>
    <t>A man and a woman are now sweeping the area where the boat was hit and another man is helping to pick up broken pieces.</t>
  </si>
  <si>
    <t>v_VRS48f5tj_c</t>
  </si>
  <si>
    <t>A lady plays the harp and another plays the flute in an orchestra and we see the conductor and return to the flute lady.</t>
  </si>
  <si>
    <t>We see the whole orchestra playing and return to the flute lady and the orchestra cut back and forth.</t>
  </si>
  <si>
    <t>We watch the conductor as he works and see the orchestra.</t>
  </si>
  <si>
    <t>We see the harp again and the orchestra before returning to the harp.</t>
  </si>
  <si>
    <t>v_p2n_FtzA1gk</t>
  </si>
  <si>
    <t>A woman is sitting on the edge of a bath tub.</t>
  </si>
  <si>
    <t>She begins shaving her leg with a razor.</t>
  </si>
  <si>
    <t>She looks at the bottom of the razor.</t>
  </si>
  <si>
    <t>v_aT5S8PcnlXo</t>
  </si>
  <si>
    <t>There's an athlete doing the hammer throw in a large stadium with some spectators and few other players watching him.</t>
  </si>
  <si>
    <t>He begins by swinging the hammer string in his hands while rotating his body.</t>
  </si>
  <si>
    <t>Two people step forward to see where the athlete's ball has landed.</t>
  </si>
  <si>
    <t>The athlete does another hammer throw and the distance of his throw is measured annd his statistics are shown on screen.</t>
  </si>
  <si>
    <t>The spectators in the bleachers watch the sporting event.</t>
  </si>
  <si>
    <t>v_ejkGxGrEdO4</t>
  </si>
  <si>
    <t>A woman and dog are seen standing in a large field performing tricks with a frisbee.</t>
  </si>
  <si>
    <t>The woman and dog are shown in several more clips playing with the frisbee and performing tricks.</t>
  </si>
  <si>
    <t>The dog jumps up and down as well as chases after the frisbee while the woman watches on the side.</t>
  </si>
  <si>
    <t>v_j5WshG7CEYY</t>
  </si>
  <si>
    <t>Two pairs of females are in a room playing a game of Foosball.</t>
  </si>
  <si>
    <t>The girls on the left make two goals and they begin to cheer.</t>
  </si>
  <si>
    <t>v_bRXOj9Jm1_E</t>
  </si>
  <si>
    <t>A man runs and dives into the water on a beach.</t>
  </si>
  <si>
    <t>A man carrying a surf board walks on the beach.</t>
  </si>
  <si>
    <t>People are surfing in the water.</t>
  </si>
  <si>
    <t>A man is sitting in the sand.</t>
  </si>
  <si>
    <t>More people surf in the water.</t>
  </si>
  <si>
    <t>Two ladies in bikinis are on the beach.</t>
  </si>
  <si>
    <t>People are riding waves in the water surfing.</t>
  </si>
  <si>
    <t>v_1MQkI4UafqE</t>
  </si>
  <si>
    <t>The video leads into several clips of young children practicing gymnastic moves in a large gym.</t>
  </si>
  <si>
    <t>The video continues on with the kids flipping and jumping around on the mats.</t>
  </si>
  <si>
    <t>v_ByTL6_iHoIA</t>
  </si>
  <si>
    <t>man is scuba diving under water and saying hi to the camera.</t>
  </si>
  <si>
    <t>people are scuba diving watching the fishes are swimming between rocks.</t>
  </si>
  <si>
    <t>people are under the sea scuba diving recording everything.</t>
  </si>
  <si>
    <t>v_TlwJfzlZZsE</t>
  </si>
  <si>
    <t>A man spins and throws a ball onto the field.</t>
  </si>
  <si>
    <t>Another man spins and throws a ball on the field.</t>
  </si>
  <si>
    <t>People in the stands are huging the athlete.</t>
  </si>
  <si>
    <t>v_kzeKQBi6Rhg</t>
  </si>
  <si>
    <t>An introduction comes onto the screen for a video about how to play different songs on the violin.</t>
  </si>
  <si>
    <t>A man comes onto the screen with a violin and begins to explain different techniques for playing the violin.</t>
  </si>
  <si>
    <t>He moves closer to the camera so that you can see the detail of what he is doing with his hands.</t>
  </si>
  <si>
    <t>He begins to play different notes on the violin as he moves his fingers.</t>
  </si>
  <si>
    <t>The video ends with the closing credits shown across the screen.</t>
  </si>
  <si>
    <t>v_c9mrRiwmhZw</t>
  </si>
  <si>
    <t>A man is standing in front of the camera talking and then moves behind the table.</t>
  </si>
  <si>
    <t>On the table,he has wrapping paper,a yard stick,tape and a pencil and moves them to the other side of the box.</t>
  </si>
  <si>
    <t>The box is then picked up and placed on top of the wrapping paper and the man measures the wrapping paper.</t>
  </si>
  <si>
    <t>The wrapping paper is then taped and the rest is measured before it taped.</t>
  </si>
  <si>
    <t>v_orR865dd2l4</t>
  </si>
  <si>
    <t>A woman and man play shuffleboard outside.</t>
  </si>
  <si>
    <t>The woman goes first and then the man takes his turn.</t>
  </si>
  <si>
    <t>v_Cx6oTdEq40w</t>
  </si>
  <si>
    <t>A man is shown wearing a helmet and climbing up on a rock wall.</t>
  </si>
  <si>
    <t>He continues to work his way up the rock wall while the camera captures his movements and panning around the mountains and water around them.</t>
  </si>
  <si>
    <t>The climber checks his rope and shakes the clip off of his rope.</t>
  </si>
  <si>
    <t>v_pg-DMwEM3K4</t>
  </si>
  <si>
    <t>People load into orange canoes.</t>
  </si>
  <si>
    <t>People row canoes on a body of water.</t>
  </si>
  <si>
    <t>Two guys paddle their canoe.</t>
  </si>
  <si>
    <t>v_RDq85fMq41s</t>
  </si>
  <si>
    <t>A smiling girl wearing braces and glasses lifts a pink bag above her head as she's standing in front of the middle body of a horse, and the words "Grooming with Erin".</t>
  </si>
  <si>
    <t>Now the horse is fully visible and the girl reaches into her pink bag to grab a brush and begins brushing the horse all over its body from front to back and on each side.</t>
  </si>
  <si>
    <t>The girl goes back to the pink bag, grabs another brush and begins brushing the horse again from head to toe and all around its body on each side.</t>
  </si>
  <si>
    <t>The girl once again goes to the pink to return the brush she was using and grabs another brush where she once again begins to brush the horse from head to toe and on all sides.</t>
  </si>
  <si>
    <t>The girls to the bag to drop the brush and then grabs a green tool, walks over to the horses front left foot, picks it up and begins cleaning out the shoe, then walks around the horse and does the rest of its shoes.</t>
  </si>
  <si>
    <t>When the girl is done with cleaning out the shoes, she returns the tool back to the pink bag and grabs a brush from off camera, brushes the mane, kisses the horse, and then returns the brush back to the pink bag, walks towards the camera and smiles big into it.</t>
  </si>
  <si>
    <t>v_mxIsgAmJHsM</t>
  </si>
  <si>
    <t>A woman spins a rod on the air while spinning and dancing, then she throws the rod high and spins before to catch the rod.</t>
  </si>
  <si>
    <t>The woman continues spinning the rod around body, also throw the rod in the air.</t>
  </si>
  <si>
    <t>Then, the woman rolls the rod on her arms, then she throw the rod in the air and and does a cartwheel before catching the rod.</t>
  </si>
  <si>
    <t>Next, the woman rolls the rod on her neck graciously and end her performance.</t>
  </si>
  <si>
    <t>v_HWymkBdgm1M</t>
  </si>
  <si>
    <t>First the elderly woman goes to hug the young man and then a man in a blue shirt plays the piano beautifully of different melodies.</t>
  </si>
  <si>
    <t>Then two little boys run outside the door while the man who's standing by the door looks tired and pitiful.</t>
  </si>
  <si>
    <t>v_Zev1KxIua7o</t>
  </si>
  <si>
    <t>A large group of people are seen standing in a large field holding instruments.</t>
  </si>
  <si>
    <t>One man leads in front as the group walks away and begins playing as a band.</t>
  </si>
  <si>
    <t>The group continues playing together and ends by walking away.</t>
  </si>
  <si>
    <t>v_1OJa2iiFxfk</t>
  </si>
  <si>
    <t>A young man with a backpack is talking and walking through a station.</t>
  </si>
  <si>
    <t>There is a man sitting on the ground shining a shoe.</t>
  </si>
  <si>
    <t>He applies ointment to the shoe and resumes buffing the shoe.</t>
  </si>
  <si>
    <t>The customer moves his right foot down and places his left foot on the stand and the man starts polishing the shoe.</t>
  </si>
  <si>
    <t>Two men on either side of the shoe shiner is observing the crowd.</t>
  </si>
  <si>
    <t>The shiner continues to buff the left shoe.</t>
  </si>
  <si>
    <t>The train is moving along the station as a crowd walks by.</t>
  </si>
  <si>
    <t>The shiner returns to buffing the right shoe.</t>
  </si>
  <si>
    <t>The shiner wipes the shoe with a cloth.</t>
  </si>
  <si>
    <t>The man resumes buffing the left shoe.</t>
  </si>
  <si>
    <t>The man drops his block and resumes buffing.</t>
  </si>
  <si>
    <t>The man takes the cloth to shine the left shoe.</t>
  </si>
  <si>
    <t>The customer observes his shiny shoes.</t>
  </si>
  <si>
    <t>The customer steps away from the shoe shiner.</t>
  </si>
  <si>
    <t>v_dkG9YRNJllQ</t>
  </si>
  <si>
    <t>A man is seen wearing a reef blower and blowing all around a trampoline.</t>
  </si>
  <si>
    <t>Kids are seen jumping on the trampoline while the man blows around them.</t>
  </si>
  <si>
    <t>The man continues to blow as the kids jump around.</t>
  </si>
  <si>
    <t>v_XlR3u3bROWM</t>
  </si>
  <si>
    <t>A lacrosse team huddles and then practices.</t>
  </si>
  <si>
    <t>A baby is shown and then there are people interviewed.</t>
  </si>
  <si>
    <t>A helmet is shown and more interviews are conducted.</t>
  </si>
  <si>
    <t>v_8xm7fWZ0RmE</t>
  </si>
  <si>
    <t>An Asian man is standing by the keyboard, he is wearing a red shirt with black top inside.</t>
  </si>
  <si>
    <t>Two people, one girl and one boy are sitting, the girl is wearing a white top, while the boy is wearing a white stripe sweater.</t>
  </si>
  <si>
    <t>The man started playing on the keyboard, he has his hands shown, he is wearing a black bead bracelet, then he continue playing while the two people in white is listening.</t>
  </si>
  <si>
    <t>When the man finished playing his keyboard, people cheered for him.</t>
  </si>
  <si>
    <t>v__0IkiqDouX8</t>
  </si>
  <si>
    <t>A camera pans around a large body of water followed by people swimming in the water.</t>
  </si>
  <si>
    <t>Clips are shown of people surfing as well as swimming in the water and smiling to the camera.</t>
  </si>
  <si>
    <t>More clips are shown of people close up moving along the water.</t>
  </si>
  <si>
    <t>v_Fe-DUewB8ok</t>
  </si>
  <si>
    <t>A child boxes a gloved adult kneeing on the floor.</t>
  </si>
  <si>
    <t>The child also practices karate kicks.</t>
  </si>
  <si>
    <t>The adult and child high five with gloved hands.</t>
  </si>
  <si>
    <t>The adult starts to get off the floor.</t>
  </si>
  <si>
    <t>v_njsO-Nlwkmg</t>
  </si>
  <si>
    <t>A child plays with a vacuum attachment piece in a bedroom.</t>
  </si>
  <si>
    <t>The mother vacuums the floor of the bedroom.</t>
  </si>
  <si>
    <t>The child brings the vacuum attachment into the next bedroom.</t>
  </si>
  <si>
    <t>v_VFSSZXuMmgg</t>
  </si>
  <si>
    <t>People are rollerblading and doing tricks.</t>
  </si>
  <si>
    <t>A person is skateboarding at a skate park.</t>
  </si>
  <si>
    <t>A white car is in the street.</t>
  </si>
  <si>
    <t>v_DsUbSyRX-B4</t>
  </si>
  <si>
    <t>Outside at the playground a boy has climbed to the top of the swing set while other children are swinging.</t>
  </si>
  <si>
    <t>The boy at the top is just sitting casually while another child is being pushed by a friend on the swing.</t>
  </si>
  <si>
    <t>She is building up a lot of speed and is going really high.</t>
  </si>
  <si>
    <t>She jumps off but does not land very well at all, she crashed down into the grass.</t>
  </si>
  <si>
    <t>v_TQepyWudKYQ</t>
  </si>
  <si>
    <t>A man stands on a field.</t>
  </si>
  <si>
    <t>The crowd in the stadium cheers on.</t>
  </si>
  <si>
    <t>Players on the field prepare to start a game.</t>
  </si>
  <si>
    <t>The pitcher pitches the ball.</t>
  </si>
  <si>
    <t>The batter tries to hit the ball but misses.</t>
  </si>
  <si>
    <t>The pitchers team excitedly exits the field.</t>
  </si>
  <si>
    <t>v_5YsdlM3Stjo</t>
  </si>
  <si>
    <t>There's a brown horse tied in a stable.</t>
  </si>
  <si>
    <t>A woman in a green shirt and brown boots walks in and begins scrubbing the horse.</t>
  </si>
  <si>
    <t>She continues scrubbing and cleaning the horse on his stomach.</t>
  </si>
  <si>
    <t>She scrubs the horse's neck area and back area thoroughly.</t>
  </si>
  <si>
    <t>She then walks to the horse's other side and continues scrubbing.</t>
  </si>
  <si>
    <t>The horse begins moving his neck and head as she continues scrubbing.</t>
  </si>
  <si>
    <t>Then she goes in front of the horse and cleans his mouth.</t>
  </si>
  <si>
    <t>v_auxBRPzLiIo</t>
  </si>
  <si>
    <t>Three girls are riding stationary bikes.</t>
  </si>
  <si>
    <t>A man is standing in front of them holding a camera.</t>
  </si>
  <si>
    <t>Another man walks in front of them.</t>
  </si>
  <si>
    <t>v_cukeWRPJzf8</t>
  </si>
  <si>
    <t>An underwater view is being shown as a woman dressed like a mermaid is swimming.</t>
  </si>
  <si>
    <t>A large nurse whale swims alongside her.</t>
  </si>
  <si>
    <t>Multiple pictures of the swimming mermaid are shown.</t>
  </si>
  <si>
    <t>v_u-YaDbGZoPk</t>
  </si>
  <si>
    <t>A picture of a scrubber is shown followed by a man using the item on a set of windows.</t>
  </si>
  <si>
    <t>He then wipes down the glass with another rag and points to the window and closing it while credits roll.</t>
  </si>
  <si>
    <t>v_W5g1IIAOZqs</t>
  </si>
  <si>
    <t>People gather in an indoor exhibition.</t>
  </si>
  <si>
    <t>A man and a robot play ping pong in the exhibition.</t>
  </si>
  <si>
    <t>People wears lanyards and watch around the exhibits, while a man explains a person holding two discs.</t>
  </si>
  <si>
    <t>Other people sits in a eating area while reading and texting.</t>
  </si>
  <si>
    <t>v_7OcfzMIZsxA</t>
  </si>
  <si>
    <t>People are eating ice cream cones.</t>
  </si>
  <si>
    <t>A person puts ice cream into an ice cream cone.</t>
  </si>
  <si>
    <t>A woman in glasses talks to the camera.</t>
  </si>
  <si>
    <t>v_jbh_K0yyJFo</t>
  </si>
  <si>
    <t>Two very large men are in the middle of a ring wearing sumo wrestling outfits.</t>
  </si>
  <si>
    <t>They are getting in position and waiting for the referee to tell them to start the match.</t>
  </si>
  <si>
    <t>Once the ref says to start they begin the match both running towards one another immediately.</t>
  </si>
  <si>
    <t>The tan skinned man knocks the other man down tot the ground and he wins the match.</t>
  </si>
  <si>
    <t>v__Rcb5kuhn90</t>
  </si>
  <si>
    <t>A woman manipulates a Rubik's cube while a man watches on in a competitive setting.</t>
  </si>
  <si>
    <t>Two men walk through the camera frame in the background.</t>
  </si>
  <si>
    <t>The woman puts the solved Rubik's cube on the table before her.</t>
  </si>
  <si>
    <t>v_7IIi_92vRLo</t>
  </si>
  <si>
    <t>An intro leads into various pictures of girls with long hair as well as girls who have their hair braided together.</t>
  </si>
  <si>
    <t>A girl's hair length is measured followed by more pictures of her long hair and speaking to the camera.</t>
  </si>
  <si>
    <t>A set of hands is then seen cutting the girl's hair and showing her ponytail to the girl.</t>
  </si>
  <si>
    <t>More pictures of the girl's new hair is shown as well as old pictures of her.</t>
  </si>
  <si>
    <t>v_Zk4Ewz3v6aQ</t>
  </si>
  <si>
    <t>A man wearing a black shirt and black shorts is standing next to an exercise machine.</t>
  </si>
  <si>
    <t>He sits on the exercise machine and starts working out.</t>
  </si>
  <si>
    <t>He stops working out and releases the bar.</t>
  </si>
  <si>
    <t>v_jIb_BfiRsQ4</t>
  </si>
  <si>
    <t>A man fry vegetables in a pan and stir with a large spoon.</t>
  </si>
  <si>
    <t>Then the man brake eggs in a bowl and mix well, after the man add the eggs in the pan to do an omelette.</t>
  </si>
  <si>
    <t>He roll the omelette and flip it in the air, then the man serves the omelette on a dish.</t>
  </si>
  <si>
    <t>v_SbX8KDWMhio</t>
  </si>
  <si>
    <t>A woman is dancing along to some music while standing in front of a television.</t>
  </si>
  <si>
    <t>As she is dancing she begins to smoke a hookah pipe.</t>
  </si>
  <si>
    <t>The camera shows two other women in the room as they dance and smoke the hookah pipe with her.</t>
  </si>
  <si>
    <t>the camera turns to a man that is in the room with a camera taking pictures.</t>
  </si>
  <si>
    <t>v_IGcsVPa34Hc</t>
  </si>
  <si>
    <t>A small girl is making cookies with her mother in her kitchen.</t>
  </si>
  <si>
    <t>She wants her mom to pretend that she is Santa Claus.</t>
  </si>
  <si>
    <t>The laughs and rolls the cookie dough on the cutting board.</t>
  </si>
  <si>
    <t>The mother opens the oven and puts the tray full of cookie dough into the oven for baking.</t>
  </si>
  <si>
    <t>The mother then takes the cookie cutter and makes some more cookies for baking, Then both mother and daughter go through the cookie recipe as they place the cookie dough on the tray.</t>
  </si>
  <si>
    <t>After the cookies are baked, they decorate the cookies with sprinkles and frosting.</t>
  </si>
  <si>
    <t>The girl proudly shows the finished cookie after it's done.</t>
  </si>
  <si>
    <t>v_5ohc1_X2W80</t>
  </si>
  <si>
    <t>Two people are shown pushing around a lawn mower and cutting the lawn.</t>
  </si>
  <si>
    <t>The bump into each other when one turns around the other follows close behind.</t>
  </si>
  <si>
    <t>The male walks up to the house and continues coming back around towards the woman.</t>
  </si>
  <si>
    <t>v_n9teiB6FW84</t>
  </si>
  <si>
    <t>A person is seen riding along a bike trail while a person wearing a camera following from behind.</t>
  </si>
  <si>
    <t>More clips are shown of people riding bikes along the trail while the camera captures it from several angles.</t>
  </si>
  <si>
    <t>v_THOVGzbo8w8</t>
  </si>
  <si>
    <t>A close up of a lacrosse game is shown that leads into a man speaking to the camera.</t>
  </si>
  <si>
    <t>More shots are shown of the game with the players running up and down the field as well as many others speaking to the camera.</t>
  </si>
  <si>
    <t>v_Gp5Vos--_0k</t>
  </si>
  <si>
    <t>A man is seen wearing a helmet and kneeling down in a large room.</t>
  </si>
  <si>
    <t>Uses a torch on an object while another person walks into frame.</t>
  </si>
  <si>
    <t>In the end he zooms in on the object he torched.</t>
  </si>
  <si>
    <t>v_7j8cTyXi5a4</t>
  </si>
  <si>
    <t>A woman is standing behind a table.</t>
  </si>
  <si>
    <t>She picks up a rag and a bottle of oil.</t>
  </si>
  <si>
    <t>She puts oil onto the rag and starts to clean her boots with it.</t>
  </si>
  <si>
    <t>v_zdoGEZO5Ldc</t>
  </si>
  <si>
    <t>A boy sits at a table with a girl beside him.</t>
  </si>
  <si>
    <t>He is trying to solve a rubik's cube while she times him.</t>
  </si>
  <si>
    <t>A counter counts quickly as he tries his best to solve the puzzle.</t>
  </si>
  <si>
    <t>He finally solves the cube, and stands up from the table.</t>
  </si>
  <si>
    <t>v_ypf6WHYpeRU</t>
  </si>
  <si>
    <t>A man is helping a boy fly a kite.</t>
  </si>
  <si>
    <t>A woman is standing next to them.</t>
  </si>
  <si>
    <t>The kites are flying in the sky above water.</t>
  </si>
  <si>
    <t>The man walks up the hill.</t>
  </si>
  <si>
    <t>v_ok3Kpgv0PzE</t>
  </si>
  <si>
    <t>The female gymnast raised her arm as the judge raise the flag.</t>
  </si>
  <si>
    <t>The gymnast jump to the beam, balanced herself, did thumbling several times run and balanced herself and did thumbling.</t>
  </si>
  <si>
    <t>The girl jump of the beam landing to the blue mat.</t>
  </si>
  <si>
    <t>v_ZreBacTw5Hw</t>
  </si>
  <si>
    <t>A highway with signs overhead are shown before we see a beach scene and a set of trophies.</t>
  </si>
  <si>
    <t>A bunch of volleyball players gather to start a game.</t>
  </si>
  <si>
    <t>The game commences, the people trying their best to win.</t>
  </si>
  <si>
    <t>v_Tfqln6lL7q0</t>
  </si>
  <si>
    <t>A camera pans around person's faces on a snowy hill as well as them riding down a mountain.</t>
  </si>
  <si>
    <t>The people continue skiing down the snowy path moving back and fourth and ending by stopping at the bottom.</t>
  </si>
  <si>
    <t>v_WdX_4wwtkGg</t>
  </si>
  <si>
    <t>A man wearing a hat is seen holding up a harmonica and begins playing with his hands.</t>
  </si>
  <si>
    <t>He continues playing the instrument to the camera and ends with him putting the instrument down then holding it up again.</t>
  </si>
  <si>
    <t>v_9yktj7NCdFI</t>
  </si>
  <si>
    <t>Two small children are seen drawing with chalk on a side walk while they occasionally looking back to the camera.</t>
  </si>
  <si>
    <t>The girl is then seen play hop scotch jumping down the chalk while the boy watches from behind.</t>
  </si>
  <si>
    <t>A woman then helps the boy jump followed by the young girl helping.</t>
  </si>
  <si>
    <t>The boy jumps on his own and then leads into the two walking on a sidewalk beam.</t>
  </si>
  <si>
    <t>The girl swings her arms up and then the two jump down.</t>
  </si>
  <si>
    <t>v_vPZf3F3bNAA</t>
  </si>
  <si>
    <t>An athletic man steps up before a track while holding a javelin ad standing ready.</t>
  </si>
  <si>
    <t>The man runs down, throws the javelin, and walks back while his throw is shown again several times in slow motion.</t>
  </si>
  <si>
    <t>In the end he is seen celebrating and running around the field.</t>
  </si>
  <si>
    <t>v_yScYLIJ_txA</t>
  </si>
  <si>
    <t>Six people in helmets race on dirt bikes around a circular, paved track surrounded by grass, game tents and onlookers.</t>
  </si>
  <si>
    <t>The people start the race behind a closed and grated fence, which then opens and allows them to start racing from an elevated platform down onto the paved raceway.</t>
  </si>
  <si>
    <t>The racers pedal with one person in a white jacket in the lead.</t>
  </si>
  <si>
    <t>The race ends with the same person in the white jacket remaining in the lead until they approach the end of the track and an orange, white striped cone.</t>
  </si>
  <si>
    <t>v_GEHPJEgMm_I</t>
  </si>
  <si>
    <t>A young man is shown swinging a tennis racket over and over again while hitting a ball at the same time.</t>
  </si>
  <si>
    <t>He continues to perform this swing several times and hits the ball every time.</t>
  </si>
  <si>
    <t>v_s3OxuR2zsZM</t>
  </si>
  <si>
    <t>A grinder machine is shown on a patio.</t>
  </si>
  <si>
    <t>A man talks while he shows the parts of the machine.</t>
  </si>
  <si>
    <t>He then demonstrates how the machine is used.</t>
  </si>
  <si>
    <t>v_JWFJGkUKVfk</t>
  </si>
  <si>
    <t>A man is kneeling down in a garage looking at tools on the ground.</t>
  </si>
  <si>
    <t>He then grabs a metal mask and positions himself correctly on the floor.</t>
  </si>
  <si>
    <t>Once comfortable,the mask is held in position and he begins firing away at the object on the ground.</t>
  </si>
  <si>
    <t>Finally,he takes it off and begins to chisel the object and beating the rust off of it.</t>
  </si>
  <si>
    <t>v_ycYPyXN0CPg</t>
  </si>
  <si>
    <t>A person is seen wearing a mask over their face and holding a hose in their hand.</t>
  </si>
  <si>
    <t>The person then begins spraying down the fence with the hose.</t>
  </si>
  <si>
    <t>The person continuously sprays along the fence while the camera captures it's movements.</t>
  </si>
  <si>
    <t>v_NURIoQoKk1E</t>
  </si>
  <si>
    <t>An introduction comes onto the screen showing a girl who will demonstrate how she blow dries her hair.</t>
  </si>
  <si>
    <t>She puts some mousse into her hand and proceeds to work it through her hair.</t>
  </si>
  <si>
    <t>She takes out a brow dryer and begins to blow dry her hair from the back to the front.</t>
  </si>
  <si>
    <t>She sections her hair, takes out a brush, and begins to blow dry her hair with the brush.</t>
  </si>
  <si>
    <t>When she is finished, the closing credits for the video show on the screen.</t>
  </si>
  <si>
    <t>v_N1JcXEim40g</t>
  </si>
  <si>
    <t>a woman is standing outside a beam.</t>
  </si>
  <si>
    <t>She mounts the beam, then does several flips and hand springs over the bar.</t>
  </si>
  <si>
    <t>She dismounts, raising her arms in the air.</t>
  </si>
  <si>
    <t>v_tRatWgaZ-a0</t>
  </si>
  <si>
    <t>A person is shown swimming through a pool while others swim around her.</t>
  </si>
  <si>
    <t>The people pass a ball around in the water while another team of players play int eh background.</t>
  </si>
  <si>
    <t>v_7_xkhnbnI7M</t>
  </si>
  <si>
    <t>A lady holds a cat in her lap on the floor.</t>
  </si>
  <si>
    <t>The lady then clips the cats claws.</t>
  </si>
  <si>
    <t>The cat tries to escape and the person calms the cat with a hair holder.</t>
  </si>
  <si>
    <t>The cat tries hard to escape.</t>
  </si>
  <si>
    <t>The lady finishes an the cat runs off and we see another cat sitting on a bed surrounded by clutter.</t>
  </si>
  <si>
    <t>v_5yGj9JooT_Q</t>
  </si>
  <si>
    <t>Two men are fighting with bows and arrows in a room.</t>
  </si>
  <si>
    <t>A man jumps off a stack of mats.</t>
  </si>
  <si>
    <t>Another man does a flip off the wall.</t>
  </si>
  <si>
    <t>v_85HxidMLf5Y</t>
  </si>
  <si>
    <t>A man cleans a small board of wood with a cloth in a workshop.</t>
  </si>
  <si>
    <t>Then, the man uses flannel to polish the wood board thoroughly.</t>
  </si>
  <si>
    <t>v_o8n1YnT8ZZ8</t>
  </si>
  <si>
    <t>Lemons are juiced one at a time and then put in a pot with sugar.</t>
  </si>
  <si>
    <t>Sparkling water is added and then the mixture is added to this creating sparkling lemonade.</t>
  </si>
  <si>
    <t>v_2eep4G5Tgho</t>
  </si>
  <si>
    <t>A man is outside of a building.</t>
  </si>
  <si>
    <t>He is using commercial lawn mowing equipment.</t>
  </si>
  <si>
    <t>He walks back and forth as he mows the grass.</t>
  </si>
  <si>
    <t>v_8z8FprjMNbI</t>
  </si>
  <si>
    <t>An elderly woman wearing glasses is standing in front of a car.</t>
  </si>
  <si>
    <t>She walks over to the car, and cannot get the door open at first.</t>
  </si>
  <si>
    <t>She gets inside the car, then gets out and cleans the snow off the car before getting back in and driving away.</t>
  </si>
  <si>
    <t>v_QakbOSMJ0AA</t>
  </si>
  <si>
    <t>A close up of a man's face is seen followed by a razor on the side and the person combing it's hair.</t>
  </si>
  <si>
    <t>The person continues shaving and combing the mans hair as well as shaving his beard covering in shaving cream.</t>
  </si>
  <si>
    <t>The man wipes off the face when he's done and showing off the clean shave.</t>
  </si>
  <si>
    <t>v_1ezOsdHncXo</t>
  </si>
  <si>
    <t>Drawings of hand soap bottles and humans are shown.</t>
  </si>
  <si>
    <t>A little girl is standing next to a white sink, she opened the faucet, wash her hand, rub her hand with soap, rinse her hand thoroughly, turned off the water and smiled at the camera.</t>
  </si>
  <si>
    <t>v_ETZOazHvdZg</t>
  </si>
  <si>
    <t>We see a bowler in front of a crowd stand and hold the ball.</t>
  </si>
  <si>
    <t>the bowler throws a strike and the crowd claps, a lady holds her hands in front of her face and the bowler wipes his hands.</t>
  </si>
  <si>
    <t>The man throws another strike and falls.</t>
  </si>
  <si>
    <t>He rises from the ground as the crowd claps.</t>
  </si>
  <si>
    <t>the man throws a third strike and is seen laying on the ground.</t>
  </si>
  <si>
    <t>He gets up and shakes the hand of men around and we see a lady holding her hands in front of her face.</t>
  </si>
  <si>
    <t>We then see an older man talking alone in a room.</t>
  </si>
  <si>
    <t>v_N7ppHQNikv8</t>
  </si>
  <si>
    <t>There is a boy sitting on a beach building sand castles with a water bottle and a sand bucket.</t>
  </si>
  <si>
    <t>Another little boy wearing a pink float comes running and joins him.</t>
  </si>
  <si>
    <t>The boy pours some water on the sand castle.</t>
  </si>
  <si>
    <t>Then a girls wearing a pink floral bathing suit joins the boys and helps them build the sand castle.</t>
  </si>
  <si>
    <t>v_zTzF5R_VhGk</t>
  </si>
  <si>
    <t>A man in glasses and beret is talking.</t>
  </si>
  <si>
    <t>He is shown playing a harmonica while he also plays a keyboard.</t>
  </si>
  <si>
    <t>He talks about the mechanics of the hormonica in between playing.</t>
  </si>
  <si>
    <t>v_M6sXLVNtTSA</t>
  </si>
  <si>
    <t>A group of men, boys and camels are in a desert area.</t>
  </si>
  <si>
    <t>One man is sitting on a camel.</t>
  </si>
  <si>
    <t>The man explains the correct way to ride a camel.</t>
  </si>
  <si>
    <t>A man in the background holds a video camera.</t>
  </si>
  <si>
    <t>Another man hands the camels reigns to the man riding and the camel starts walking.</t>
  </si>
  <si>
    <t>The camel turns it's head around and yells at the man riding him.</t>
  </si>
  <si>
    <t>The man riding kicks the camel in the side and he starts walking again.</t>
  </si>
  <si>
    <t>v_1KKVWzCwRSA</t>
  </si>
  <si>
    <t>Several different men are seen trying to snow board but, falling down over and over.</t>
  </si>
  <si>
    <t>Many different people are in the background watching and doing different things in the snow.</t>
  </si>
  <si>
    <t>The man that were falling give up and stay in a sitting position.</t>
  </si>
  <si>
    <t>v_1Dpm9kvn3M8</t>
  </si>
  <si>
    <t>A man is seen speaking to the camera while holding up a cigarette.</t>
  </si>
  <si>
    <t>The man takes several puffs out of the cigarette while still looking back to the camera.</t>
  </si>
  <si>
    <t>He continues smoking and looking back up to the camera.</t>
  </si>
  <si>
    <t>v_3HHAEmr0Q34</t>
  </si>
  <si>
    <t>A man is seen standing on a court holding down a tennis racket.</t>
  </si>
  <si>
    <t>The man then bounces the racket down and hits the tennis ball balancing on top.</t>
  </si>
  <si>
    <t>His hit is shown again in slow motion.</t>
  </si>
  <si>
    <t>v_QGZN8aXpXHU</t>
  </si>
  <si>
    <t>We see a boy in a jacket standing outside and talking.</t>
  </si>
  <si>
    <t>The boy goes in a building .</t>
  </si>
  <si>
    <t>The boy sits in a chair and test a haircut.</t>
  </si>
  <si>
    <t>The lady then uses scissors.</t>
  </si>
  <si>
    <t>We see the kid with his new hair cut.</t>
  </si>
  <si>
    <t>The lady give the little boy a red balloon.</t>
  </si>
  <si>
    <t>We see the boy as he walks to the door.</t>
  </si>
  <si>
    <t>v_Xbk1XePzTIA</t>
  </si>
  <si>
    <t>A man introduces himself to the camera and says he will show how to build a fire.</t>
  </si>
  <si>
    <t>He begins to break his starting stick and put leaves at the bottom of his filled fire pit.</t>
  </si>
  <si>
    <t>He turns on the lighter and starts at the bottom with the leaves.</t>
  </si>
  <si>
    <t>We see the full fire at night.</t>
  </si>
  <si>
    <t>v_kgmcYBRYkAk</t>
  </si>
  <si>
    <t>A boy in red overalls is playing hopscotch.</t>
  </si>
  <si>
    <t>A woman walks behind him and sits down.</t>
  </si>
  <si>
    <t>The boy finishes and reaches for the person filming.</t>
  </si>
  <si>
    <t>v_8ao9LZLn0Hs</t>
  </si>
  <si>
    <t>Four little girls , dressed in white dresses with red sashes, stand in a line, on a stage and play the violin together.</t>
  </si>
  <si>
    <t>Four little girls begin to play violin on a stage on a stage with a pink backdrop.</t>
  </si>
  <si>
    <t>The girl play together using both hands to play the violin before ending the performance and taking a bow together.</t>
  </si>
  <si>
    <t>v_5x1diXJ8gME</t>
  </si>
  <si>
    <t>A small group of men are seen riding around on various horses holding sticks in their hand and preparing for a game.</t>
  </si>
  <si>
    <t>The men then throw the ball down and all ride around on horses attempting to hit the ball and one scores a goal.</t>
  </si>
  <si>
    <t>A person holds up a flag and shows other people watching on the sides.</t>
  </si>
  <si>
    <t>A person then scores two more goals and the goalies raise their flag each time.</t>
  </si>
  <si>
    <t>v_Rewtuc-f6wU</t>
  </si>
  <si>
    <t>a boy is holding a very long pole.</t>
  </si>
  <si>
    <t>The camera turns upright suddenly.</t>
  </si>
  <si>
    <t>the boy runs with the pole, vaulting over a bar and onto a mat.</t>
  </si>
  <si>
    <t>v_Rl6US0JizDs</t>
  </si>
  <si>
    <t>An introduction comes onto the screen for a video about mixing a drink called the "Yah Yah".</t>
  </si>
  <si>
    <t>She goes over all the ingredients needed for the drink.</t>
  </si>
  <si>
    <t>She begins by taking a glass and filling it with ice.</t>
  </si>
  <si>
    <t>She add all the ingredients to the glass over the ice.</t>
  </si>
  <si>
    <t>v_VRiUhsafjRM</t>
  </si>
  <si>
    <t>We see a person waving something.</t>
  </si>
  <si>
    <t>A white screen then two boys in the kitchen.</t>
  </si>
  <si>
    <t>We see a counter with ingredient.</t>
  </si>
  <si>
    <t>The boys then mix ingredients in a bowl.</t>
  </si>
  <si>
    <t>We see a person shift flour in a bowl.</t>
  </si>
  <si>
    <t>Someone stirs the cookie dough in a bowl.</t>
  </si>
  <si>
    <t>The dough is put on a sheet.</t>
  </si>
  <si>
    <t>A boy washes the dishes.</t>
  </si>
  <si>
    <t>The cookies are put in an oven.</t>
  </si>
  <si>
    <t>A boy plays a guitar the other boy sings.</t>
  </si>
  <si>
    <t>Each boy eats a cookie and we see them come out of the oven.</t>
  </si>
  <si>
    <t>A poked cookie breaks apart.</t>
  </si>
  <si>
    <t>A boy shakes his head yes and plays with a big black dog.</t>
  </si>
  <si>
    <t>v_61W153jXL3U</t>
  </si>
  <si>
    <t>A man is showing washing his face with water into a sink and putting lotion into his hand.</t>
  </si>
  <si>
    <t>He rubs the soap together in his hands and massages into his face thoroughly.</t>
  </si>
  <si>
    <t>He then wipes his face off with a towel and speaking to the camera and pouring more lotion.</t>
  </si>
  <si>
    <t>He once again presses the lotion into his face and a recap is shown of his face.</t>
  </si>
  <si>
    <t>v_LFiGhD1OEws</t>
  </si>
  <si>
    <t>A group of young people play field hockey on a field while a man watches from a fence bordering the playing field.</t>
  </si>
  <si>
    <t>A man in field hockey goal gear stands in the center of a semi circle formed by young people dressed in field hockey attire.</t>
  </si>
  <si>
    <t>The man interviews from the sidelines while the people play field hockey and at one point is presented with a burgundy jersey by the players.</t>
  </si>
  <si>
    <t>The man then plays a game of field hockey in which he ends standing in the semi circle again tossing a ball up and down and looking into the camera while surrounded by players.</t>
  </si>
  <si>
    <t>v_00Dk03Jr70M</t>
  </si>
  <si>
    <t>A man enters a room and piles plaster onto a base.</t>
  </si>
  <si>
    <t>The man adds swipes the plaster on the wall then gets more and adds it.</t>
  </si>
  <si>
    <t>The man gets more plaster and swipes it on the wall.</t>
  </si>
  <si>
    <t>The man then walks and turns off the camera.</t>
  </si>
  <si>
    <t>v_5xI8T41HejM</t>
  </si>
  <si>
    <t>man and woman are standing on top of a big rock jumping into a lake.</t>
  </si>
  <si>
    <t>wo guys are sitting on a side of the rock talking with a woman on the lake.</t>
  </si>
  <si>
    <t>v_d3crFny-e3E</t>
  </si>
  <si>
    <t>A large cliff is seen near the ocean.</t>
  </si>
  <si>
    <t>Several boats are nearby, and people are kayaking through the area.</t>
  </si>
  <si>
    <t>A man is rappeling up the side of the cliff.</t>
  </si>
  <si>
    <t>He stands triumphantly on the back of a small boat.</t>
  </si>
  <si>
    <t>v_ta4QlTBHTTw</t>
  </si>
  <si>
    <t>A man demonstrates Tai Chi combat with other person.</t>
  </si>
  <si>
    <t>The man performs Tai Chi while talking, then he shows the movements with the man.</t>
  </si>
  <si>
    <t>After, the man moves the body and the hands while explaining.</t>
  </si>
  <si>
    <t>v_pIv2jZdHP0k</t>
  </si>
  <si>
    <t>A pair of shoes is on the floor, and a man wearing socks stands behind them.</t>
  </si>
  <si>
    <t>He takes out a shoestring and begins lacing the shoes.</t>
  </si>
  <si>
    <t>He then puts the shoes on, and shows how they look.</t>
  </si>
  <si>
    <t>v_w1qa9NOiFbE</t>
  </si>
  <si>
    <t>Scenes of a small rural village under a heavy rainstorm are shown.</t>
  </si>
  <si>
    <t>A woman washes items by a container in the rain while other individuals stand around.</t>
  </si>
  <si>
    <t>A close up of a wash basin by the container is shown.</t>
  </si>
  <si>
    <t>v_jC1He93cebg</t>
  </si>
  <si>
    <t>A woman is seen standing on a piece of exercise equipment and moving herself around.</t>
  </si>
  <si>
    <t>The woman moves her feet on the machine as well as showing how the machine works.</t>
  </si>
  <si>
    <t>Another man is seen exercising and ends with text on the screen.</t>
  </si>
  <si>
    <t>v_kTSuw4T-_Nk</t>
  </si>
  <si>
    <t>A woman is seen sitting in a chair looking down with others beside her.</t>
  </si>
  <si>
    <t>The camera pans all around the people sitting and leads to one putting an objects on his leg.</t>
  </si>
  <si>
    <t>She rips off the object showing the hair as well as his leg and others laughing.</t>
  </si>
  <si>
    <t>v_2gV2apTrRHs</t>
  </si>
  <si>
    <t>A police officer spins around while dancing.</t>
  </si>
  <si>
    <t>The boy does a hand stand.</t>
  </si>
  <si>
    <t>The police officer does a disco John Travolta dance.</t>
  </si>
  <si>
    <t>The police officer does a break dancing routine.</t>
  </si>
  <si>
    <t>The group of children walk together on the grass.</t>
  </si>
  <si>
    <t>v_v-qFJJx0bTs</t>
  </si>
  <si>
    <t>A large group of people are seen standing on each side of a rope with many people watching on the sides.</t>
  </si>
  <si>
    <t>The men then begin a game of tug of war with one another with one man helping teams on the side and ends with one team falling down.</t>
  </si>
  <si>
    <t>v_dot-t-Nen_k</t>
  </si>
  <si>
    <t>A man is standing in front of a net.</t>
  </si>
  <si>
    <t>A man is standing in front of a wood fence.</t>
  </si>
  <si>
    <t>Men are playing lacrosse on a field.</t>
  </si>
  <si>
    <t>v_fzwNgtDwgKQ</t>
  </si>
  <si>
    <t>A man drives in circles a four wheels motorcycle in a field with high weeds while dust.</t>
  </si>
  <si>
    <t>Then, the man goes to another place to continue driving in circles.</t>
  </si>
  <si>
    <t>v_DPw74KWZzGY</t>
  </si>
  <si>
    <t>Two people are seen sitting in front of cameras playing instruments while the camera zooms in.</t>
  </si>
  <si>
    <t>The man then sings to the camera while playing his instrument and speaks to the camera, ending with the two playing again.</t>
  </si>
  <si>
    <t>v_4XavNhCs-Do</t>
  </si>
  <si>
    <t>There is man wearing a blue shirt and another man in black seated on a rock, talking about rock climbing.</t>
  </si>
  <si>
    <t>They are seated at a very high altitude in the mountains.</t>
  </si>
  <si>
    <t>The person in blue is demonstrating how the rope is fastened from the rocks.</t>
  </si>
  <si>
    <t>He is also showing tight rope walking from one end to another.</t>
  </si>
  <si>
    <t>Then the person in black also walks on a tight rope.</t>
  </si>
  <si>
    <t>v_Gi1N3FtCZGo</t>
  </si>
  <si>
    <t>a boy is inside a gym.</t>
  </si>
  <si>
    <t>He lifts a barbell up to his chest.</t>
  </si>
  <si>
    <t>He pauses, then lifts it over his head.</t>
  </si>
  <si>
    <t>v_P-YyUw0iuBQ</t>
  </si>
  <si>
    <t>A group of boys are seen sitting around talking to one another and playing various games.</t>
  </si>
  <si>
    <t>The men hit one another while they switch places and continue to play more games.</t>
  </si>
  <si>
    <t>v_xBO66pI09rE</t>
  </si>
  <si>
    <t>A family is shown doing mouthwash.</t>
  </si>
  <si>
    <t>One woman tries to laugh and is successful in not spitting it up.</t>
  </si>
  <si>
    <t>v_0hfKWxuVT5k</t>
  </si>
  <si>
    <t>Several bodies of water are shown and a man appears paddling a small boat.</t>
  </si>
  <si>
    <t>Several other people are then shown paddling throughout the city in a small boats,passing several trees and city buildings.</t>
  </si>
  <si>
    <t>As they continue there journey,they pass under bridges,restaurants and other landmarks and then there names appear across the screen.</t>
  </si>
  <si>
    <t>v_UEtVbSLGhfY</t>
  </si>
  <si>
    <t>A person leads a large dog on a leash back and fourth on a hard wood floor.</t>
  </si>
  <si>
    <t>The dog drags the woman person around behind him and looks out the door and smiles.</t>
  </si>
  <si>
    <t>v_wsmMniNThlI</t>
  </si>
  <si>
    <t>Two people are horseback riding on a snowy trail.</t>
  </si>
  <si>
    <t>As they are riding they pass a set of glass igloos planted on the estate.</t>
  </si>
  <si>
    <t>They reach a clearing where there is open land and several trees.</t>
  </si>
  <si>
    <t>v_2xmu01HHhKY</t>
  </si>
  <si>
    <t>We see a lady slowly playing a drum.</t>
  </si>
  <si>
    <t>We pan right and see a man on drums.</t>
  </si>
  <si>
    <t>We see a person in orange enter.</t>
  </si>
  <si>
    <t>The lady stops drumming and shows her hands.</t>
  </si>
  <si>
    <t>We then see the camera operator.</t>
  </si>
  <si>
    <t>The lady and the boy in orange struggle over an instrument.</t>
  </si>
  <si>
    <t>The lady pretends to bite the boy, then laughs.</t>
  </si>
  <si>
    <t>We see a man enter the room.</t>
  </si>
  <si>
    <t>v_ru7UAr2488M</t>
  </si>
  <si>
    <t>hockey players are getting out the dressers to a field.</t>
  </si>
  <si>
    <t>hockey players are skating in an ice court in a roofed gym.</t>
  </si>
  <si>
    <t>mani s welding something in a dark room and the players are in the court playing.</t>
  </si>
  <si>
    <t>men are sitting on bus looking at his phones and seeing though the window and in the dressers geting ready to play and in the field.</t>
  </si>
  <si>
    <t>v_qXQBHaML9Xg</t>
  </si>
  <si>
    <t>A person flips over another person and gets thrown into the bushes.</t>
  </si>
  <si>
    <t>A person in a red shirt starts running towards them.</t>
  </si>
  <si>
    <t>v_5LveCNjz_zg</t>
  </si>
  <si>
    <t>A woman is holding a black cat snuggled in a purple blanket.</t>
  </si>
  <si>
    <t>The cat is meowing as the woman holds her paws.</t>
  </si>
  <si>
    <t>there's another man with nail clippers, slipping the cat's nails.</t>
  </si>
  <si>
    <t>The cat meows loudly in pain and the woman kisses the cat to calm her down.</t>
  </si>
  <si>
    <t>The man continues to clip the cat's nails as the woman cajoles the cat and kisses the cat's ears.</t>
  </si>
  <si>
    <t>The man continues clipping the nails until he's done.</t>
  </si>
  <si>
    <t>v_BmZwZLKxHCY</t>
  </si>
  <si>
    <t>A little girl is sitting in a rocking chair.</t>
  </si>
  <si>
    <t>She puts on compact makeup from a case.</t>
  </si>
  <si>
    <t>She then applies eye shadow and lipstick.</t>
  </si>
  <si>
    <t>v_DHiFKO68gT8</t>
  </si>
  <si>
    <t>Several shots of riders standing around a sand pit are shown followed by many angles of people riding bikes over jumps.</t>
  </si>
  <si>
    <t>The camera captures several angles of the people riding along a bike track and interviewing them in between shots.</t>
  </si>
  <si>
    <t>In the end all the riders are shown on screen as well as being interviewed and jumping along one last time.</t>
  </si>
  <si>
    <t>v_0p34rFNYj_M</t>
  </si>
  <si>
    <t>An adult female and a young female is in the beach, the adult female is dumping the sand from the pail to the ground.</t>
  </si>
  <si>
    <t>The woman in polka dots is sitting on the ground and showing her pants.</t>
  </si>
  <si>
    <t>The young girl is pointing on to something and waving at the camera.</t>
  </si>
  <si>
    <t>v_zo8XBVxxkmo</t>
  </si>
  <si>
    <t>Three men are seen sitting on the ground speaking to one another and leading into them riding down a road.</t>
  </si>
  <si>
    <t>More shots are shown of people skateboarding down a road performing several tricks and walking away.</t>
  </si>
  <si>
    <t>v_AMU1mHpR6Os</t>
  </si>
  <si>
    <t>A close up of a razor is shown an leads into several clips of dogs getting their cut trimmed.</t>
  </si>
  <si>
    <t>Several tools are shown are then shown on cats and them laying down being pet.</t>
  </si>
  <si>
    <t>v_1FlnQzPzS2Q</t>
  </si>
  <si>
    <t>A man is running down a street.</t>
  </si>
  <si>
    <t>A white car is right behind him on the street.</t>
  </si>
  <si>
    <t>People are riding bicycles next to him.</t>
  </si>
  <si>
    <t>v_ZSLzzrc8pro</t>
  </si>
  <si>
    <t>A camera shows a closet that pans into two girls seen riding on an elliptical.</t>
  </si>
  <si>
    <t>One girl moves up and down on the machine while the other hangs on in front, leading to them jumping and speaking to the camera hiding in the closet.</t>
  </si>
  <si>
    <t>v_yxSBQXuOwuc</t>
  </si>
  <si>
    <t>A logo is shown with water drop sounds playing in the background.</t>
  </si>
  <si>
    <t>A man is then shown wearing scubba gear and giving various hand signals to the camera.</t>
  </si>
  <si>
    <t>The water sounds still play and the man shows you various moves and what they mean under water.</t>
  </si>
  <si>
    <t>The logo then reappears on the screen and the video ends.</t>
  </si>
  <si>
    <t>v_40Sf-iICgzw</t>
  </si>
  <si>
    <t>A small child is shown playing drums while a group of people behind him watch and smile.</t>
  </si>
  <si>
    <t>The boy continues to play the drums and a baby in the arms of a man behind him climbs off his lap.</t>
  </si>
  <si>
    <t>v_GuzLtwhxsxA</t>
  </si>
  <si>
    <t>A close up of a canoe is shown followed by a man pushing the canoe along in various areas.</t>
  </si>
  <si>
    <t>His paddling is slowed down to demonstrate how to properly paddle while more shots of the man paddling in fast motion are shown.</t>
  </si>
  <si>
    <t>The ending shows a beautiful picture of a sun set.</t>
  </si>
  <si>
    <t>v_e5rZPT7BJas</t>
  </si>
  <si>
    <t>A person is peeling a sticker off of a white shoe.</t>
  </si>
  <si>
    <t>They wipe the shoe with a towel.</t>
  </si>
  <si>
    <t>v_aVDVMN9hE8A</t>
  </si>
  <si>
    <t>A person takes out cheese from a box, then he takes a jar that puts on the counter with two napkins, then he opens the fridge.</t>
  </si>
  <si>
    <t>A man puts water on his face while holding a pail, then takes a sponge and throws over the table.</t>
  </si>
  <si>
    <t>The person puts two bottles and two slices of bread on the table, then he slices the cheese.</t>
  </si>
  <si>
    <t>After, the person puts the cheese and jam on the bread, then he eats the sandwich and drink soda from bottle.</t>
  </si>
  <si>
    <t>v_T84iinm8-V0</t>
  </si>
  <si>
    <t>A fencing match is taking place inside an auditorium.</t>
  </si>
  <si>
    <t>Two men in full fencing gear begin fighting.</t>
  </si>
  <si>
    <t>They stab and swing, fencing for the crowd.</t>
  </si>
  <si>
    <t>Several people are shown performing various sports in the closing images.</t>
  </si>
  <si>
    <t>v_HsfrvjsaIDU</t>
  </si>
  <si>
    <t>A man is shown holding a long trimmer.</t>
  </si>
  <si>
    <t>He uses the trimmer to weedeat the bushes.</t>
  </si>
  <si>
    <t>Leaves fall to the ground in droves as he trims.</t>
  </si>
  <si>
    <t>v_r10jGF9lQYM</t>
  </si>
  <si>
    <t>A man and boys standard sit on the snow and ice fish.</t>
  </si>
  <si>
    <t>We see a tittle screen and a plane flys overhead in the sky and we see the people on the ice and a truck in the distance.</t>
  </si>
  <si>
    <t>A kids walks over to the truck where a lady is cooking hot dogs in the truck bed full of food.</t>
  </si>
  <si>
    <t>We see a title screen and see frozen fish sitting in the snow.</t>
  </si>
  <si>
    <t>v_jkn6uvmqwh4</t>
  </si>
  <si>
    <t>A parade procession walks down the street in a parade.</t>
  </si>
  <si>
    <t>A group of members in green uniforms walks waving flags.</t>
  </si>
  <si>
    <t>Members of the procession walk down the street holding small horn brass instruments.</t>
  </si>
  <si>
    <t>A drum line passes by walking down the street playing their instruments.</t>
  </si>
  <si>
    <t>Members of the procession walk down the street holding large flared horn instruments.</t>
  </si>
  <si>
    <t>v_pSdlIsd_vZc</t>
  </si>
  <si>
    <t>The video is very poor quality and it shows a man holding the camera and he is at a park with other people that includes another adult and a small child that looks like a girl.</t>
  </si>
  <si>
    <t>The man climbs onto the park equipment with the little girl.</t>
  </si>
  <si>
    <t>The child and the man then appear on the slide and the little girl goes down the slide alone while smiling the whole time and the man remains at the top of the slide.</t>
  </si>
  <si>
    <t>v_dN9ZPc7NMVQ</t>
  </si>
  <si>
    <t>A woman and young boy are shown smiling and washing their hands in the sink when the woman begins washing his face.</t>
  </si>
  <si>
    <t>The boy smiles with the woman washing his face and the woman dries his face off with a paper towel.</t>
  </si>
  <si>
    <t>v_d0woFZ26Cx0</t>
  </si>
  <si>
    <t>A view is seen of a pool table, balls being triangled, and numerous people shooting the balls into the corner pockets during a competition.</t>
  </si>
  <si>
    <t>A woman walks around holding a scorecard as they play.</t>
  </si>
  <si>
    <t>v_yvzlX5St_Ok</t>
  </si>
  <si>
    <t>People are driving bumper cars on a brown floor.</t>
  </si>
  <si>
    <t>The bumper cars collide with each other.</t>
  </si>
  <si>
    <t>A girl laughs out loud.</t>
  </si>
  <si>
    <t>v_qJrJeICcevI</t>
  </si>
  <si>
    <t>A bunch of people ride camels.</t>
  </si>
  <si>
    <t>The camel gets down and kneels.</t>
  </si>
  <si>
    <t>v_1lu7Sbu3a6o</t>
  </si>
  <si>
    <t>We see a lady and a girl on a raft on a snowy hill.</t>
  </si>
  <si>
    <t>The lady and a man push people down the hill.</t>
  </si>
  <si>
    <t>The people slide in rafts down the hill.</t>
  </si>
  <si>
    <t>The little girl stands and looks behind her.</t>
  </si>
  <si>
    <t>v_j0Iv6dmSw0k</t>
  </si>
  <si>
    <t>A group of people are sitting and clapping while men standing up dressed in gi's along a mirrored wall go through different motions of karate.</t>
  </si>
  <si>
    <t>Elvis Presley is now dressed in his concert clothing, standing on stage doing his karate moves, and then it goes back to him standing in front of the mirrored wall and demonstrating his karate moves while he's wearing his gi.</t>
  </si>
  <si>
    <t>Once again Elvis Presley is back on stage in his concert clothing the video ends with him doing his karate moves on stage.</t>
  </si>
  <si>
    <t>v_ki2kGFwczMg</t>
  </si>
  <si>
    <t>An athlete wearing a white shirt and red shorts is running with a javelin in his hand in a stadium with several spectators.</t>
  </si>
  <si>
    <t>There is a person seated on a white bench wearing a blue uniform, tying his shoelaces.</t>
  </si>
  <si>
    <t>The javelin thrower runs and throws the javelin and falls to the ground.</t>
  </si>
  <si>
    <t>He gets up and raises his hands up high in victory.</t>
  </si>
  <si>
    <t>He comes running again and throws the javelin and falls to the ground.</t>
  </si>
  <si>
    <t>The third time, his action is repeated in slow motion.</t>
  </si>
  <si>
    <t>v_jE2jDJ9WHeE</t>
  </si>
  <si>
    <t>Player practice lacrosse in a field.</t>
  </si>
  <si>
    <t>Then, teams play lacrosse and a player score for his team.</t>
  </si>
  <si>
    <t>A coach takes notes, and then players train lacrosse.</t>
  </si>
  <si>
    <t>Then two teams play lacrosse in a field throwing the call with a stick.</t>
  </si>
  <si>
    <t>v_xT7eQmyr1-Y</t>
  </si>
  <si>
    <t>A man walks through his yard and retrieves a push leaf blower.</t>
  </si>
  <si>
    <t>The man walks the blower around the yard and blows leaves to the side.</t>
  </si>
  <si>
    <t>The man finishes and pushes the leaf blower beside the fence with the other machinery then walks away.</t>
  </si>
  <si>
    <t>v_gCf7wYa4AFA</t>
  </si>
  <si>
    <t>Woman in pink points to the goal.</t>
  </si>
  <si>
    <t>Girl in black shoots and score goal.</t>
  </si>
  <si>
    <t>Teammates congratulate the girl in black for the goal.</t>
  </si>
  <si>
    <t>Players get into their positions.</t>
  </si>
  <si>
    <t>Girl in black runs after the ball.</t>
  </si>
  <si>
    <t>Girl in black hits the ball to her teammate.</t>
  </si>
  <si>
    <t>Girls run after the ball.</t>
  </si>
  <si>
    <t>v_52tZGZGuWP4</t>
  </si>
  <si>
    <t>A man is sitting in a room with two congas in between his legs.</t>
  </si>
  <si>
    <t>One of them is slightly smaller than the other and he tends to play that one and only hitting the larger every couple of beats.</t>
  </si>
  <si>
    <t>His whole face appears in the frame and you can see him bobbing his head and focusing more on his sound.</t>
  </si>
  <si>
    <t>v_WdNtrGxSm1Y</t>
  </si>
  <si>
    <t>An intro leads into a woman holding a dog and frisbee and then throwing the fribee for the dog to catch.</t>
  </si>
  <si>
    <t>The dog brings it back and the girl throws the object several more times, with the dog chaseing and coming back each time.</t>
  </si>
  <si>
    <t>v_55FFh89yqVw</t>
  </si>
  <si>
    <t>The lady puts contents of a bottle in her palms, and the lady rubs it on her face.</t>
  </si>
  <si>
    <t>The lady makes funny faces.</t>
  </si>
  <si>
    <t>The lady washes her face.</t>
  </si>
  <si>
    <t>The lady towel dries her face.</t>
  </si>
  <si>
    <t>The lady puts spots of white lotion on her face and rubs it in.</t>
  </si>
  <si>
    <t>The lady presents a small tube product.</t>
  </si>
  <si>
    <t>v_gOUqdgxwNPw</t>
  </si>
  <si>
    <t>A young person is holding on to a rope as he is boogie boarding through the river.</t>
  </si>
  <si>
    <t>The young person then does a 360 flip in the water and keeps going and shortly after,he does another trick.</t>
  </si>
  <si>
    <t>Then another person is shown and begins doing more rigorous tricks in the water.</t>
  </si>
  <si>
    <t>Next,a series of pictures are shown of other people doing tricks.</t>
  </si>
  <si>
    <t>Next, a snowboarder is shown and then they young person comes back with a still image of him and his awards.</t>
  </si>
  <si>
    <t>v_19SHLOheCmo</t>
  </si>
  <si>
    <t>three women are standing in a park in a field doing yoga.</t>
  </si>
  <si>
    <t>man is running in the park behind the women.</t>
  </si>
  <si>
    <t>an old man is walking fast in the park.</t>
  </si>
  <si>
    <t>v_2l50doS2wB4</t>
  </si>
  <si>
    <t>A man is seen holding onto a pair of shoes while speaking to the camera and spraying them down.</t>
  </si>
  <si>
    <t>The man scrubs the shoes down with a rag while continuing to speak to the camera.</t>
  </si>
  <si>
    <t>In the end he holds up the shoes while still speaking and giving the camera a thumbs up.</t>
  </si>
  <si>
    <t>v_Y76yy0chbhU</t>
  </si>
  <si>
    <t>A couple of teams are on an open field.</t>
  </si>
  <si>
    <t>They are playing lacrosse together.</t>
  </si>
  <si>
    <t>They run around, trying to hit the ball.</t>
  </si>
  <si>
    <t>v_uvs1pb32xZM</t>
  </si>
  <si>
    <t>A small group of children are seen running around an indoor field kicking a soccer ball.</t>
  </si>
  <si>
    <t>The kids move up and down in between poles while still kicking the ball.</t>
  </si>
  <si>
    <t>The kids are then shown kicking balls into a goal one after the other.</t>
  </si>
  <si>
    <t>v_4DCxc6mO864</t>
  </si>
  <si>
    <t>A girl is standing in the back of a room that has paper air ballon, and she begins to dance moving her legs back and forth and slightly moving her arms.</t>
  </si>
  <si>
    <t>The girl then picks it up and begins to move more of her arms along with her legs and dances in a small area in the room while facing the camera.</t>
  </si>
  <si>
    <t>The girl then turns to her side and we see her dancing from the side, she turns to face the back and dances a bit that way, then turns again and again until we've seen her dance in all different directions.</t>
  </si>
  <si>
    <t>v_OgaurUPiWYI</t>
  </si>
  <si>
    <t>Four bikers at the start of the line are wearing different colors of uniforms and helmets, they are about to get start the race.</t>
  </si>
  <si>
    <t>The race started, the bikers bike and race in the race track where they jumped and hopped and went to the curb, the one player, when he reached the finish line, he fell on his side and stood up and walked towards the people.</t>
  </si>
  <si>
    <t>v_kbWQIXFOK54</t>
  </si>
  <si>
    <t>A camera pans around a dresser followed by several objects and ingredients being shown to the camera.</t>
  </si>
  <si>
    <t>A woman is then seen painting the dresser with several coats and sanding it down.</t>
  </si>
  <si>
    <t>She places the pieces together and ends by smiling to the camera.</t>
  </si>
  <si>
    <t>v_qAXE_vqt56g</t>
  </si>
  <si>
    <t>The cartoon of heroes fighting with an evil character.</t>
  </si>
  <si>
    <t>The heroes fight and then sit on front a log.</t>
  </si>
  <si>
    <t>v_qdMjXJTsX94</t>
  </si>
  <si>
    <t>A spinning logo with a purple background then text are seen on the screen.</t>
  </si>
  <si>
    <t>A woman in blue dress plays a drum set in a studio.</t>
  </si>
  <si>
    <t>v_eHxRr7Zhsek</t>
  </si>
  <si>
    <t>The video opens with the host using purple nail tape to create a pattern, slowly applying and making sure it is straight.</t>
  </si>
  <si>
    <t>Next a matte coat is applied over the nail and tape.</t>
  </si>
  <si>
    <t>The tape is gently peeled off the nail, and a top coat is applied to the intersection of lines.</t>
  </si>
  <si>
    <t>Next, a micro bead is placed where the lines meet.</t>
  </si>
  <si>
    <t>The next nail project features a white painted nail and host makes two black C's to mimic the Chanel logo.</t>
  </si>
  <si>
    <t>Gradually the logo is made bolder with more application.</t>
  </si>
  <si>
    <t>Finally a matte top coat is applied to finish it off.</t>
  </si>
  <si>
    <t>v_E6ePEI4UOtU</t>
  </si>
  <si>
    <t>A mop stands upright next to a bucket.</t>
  </si>
  <si>
    <t>A person absorbs all the water from a bowl using a mop.</t>
  </si>
  <si>
    <t>Water is poured into a large bucket.</t>
  </si>
  <si>
    <t>The mop in dunked in the bucket of water then spun dry in the tray.</t>
  </si>
  <si>
    <t>A soiled area of a hardwood floor is mopped clean.</t>
  </si>
  <si>
    <t>A mop is used around various furniture and appliances to get into corners of rooms.</t>
  </si>
  <si>
    <t>v_wrn5qM9aVeo</t>
  </si>
  <si>
    <t>A chef is seen speaking to the camera and leads into him holding a board followed by cutting up dough.</t>
  </si>
  <si>
    <t>The man peels the dough pieces with a machine and lays them flat to roll out dough.</t>
  </si>
  <si>
    <t>The man then rolls out the flattened dough and shows off his finished pasta.</t>
  </si>
  <si>
    <t>v_IvkpOoeCM3A</t>
  </si>
  <si>
    <t>This video shows people participating in the world artistic pool championship.</t>
  </si>
  <si>
    <t>Smooth, but suspenseful music is playing throughout the whole video as people shoot pool balls into the holes by themselves.</t>
  </si>
  <si>
    <t>Not everyone is participating, some people are just watching and others are walking around for some other reasons.</t>
  </si>
  <si>
    <t>v_RK8VF2pL72I</t>
  </si>
  <si>
    <t>A woman is sitting in a chair knitting.</t>
  </si>
  <si>
    <t>She looks up and talks to someone.</t>
  </si>
  <si>
    <t>She continues knitting in her hands.</t>
  </si>
  <si>
    <t>v_gk6NAPqfJoY</t>
  </si>
  <si>
    <t>A person skies and slides on a platform.</t>
  </si>
  <si>
    <t>A person falls on the ice.</t>
  </si>
  <si>
    <t>A person skies and does flips.</t>
  </si>
  <si>
    <t>A person puts their gloved hand on the camera.</t>
  </si>
  <si>
    <t>v_45ymM0irIIY</t>
  </si>
  <si>
    <t>A comedian is seen speaking to the camera and leads into a bull running into a pit and various clips of men fighting bulls.</t>
  </si>
  <si>
    <t>A close up of the bull fighting is shown and pans back to the comedian speaking to the camera.</t>
  </si>
  <si>
    <t>v_iJahVlx_yDE</t>
  </si>
  <si>
    <t>Two people are seen standing at the bottom of a snowy hill speaking to one another when a person comes riding down on a tube.</t>
  </si>
  <si>
    <t>More people are seen flying down the mountain with one crashing into another and the person getting out to drag the tubes.</t>
  </si>
  <si>
    <t>v_XNTy5ZTMqVU</t>
  </si>
  <si>
    <t>A woman is talking inside an office to the camera while displaying sign language.</t>
  </si>
  <si>
    <t>Two hands appear, demonstrating several signs indicating the rock, paper, scissors game.</t>
  </si>
  <si>
    <t>The woman continues talking about the game, then it shows several clips of various people using the game to win or make decisions.</t>
  </si>
  <si>
    <t>It cuts to an article regarding tricks for winning the game before concluding with the woman speaking on last time.</t>
  </si>
  <si>
    <t>v_gN_Kq57w72s</t>
  </si>
  <si>
    <t>An image shows a bag of m&amp;m's and a bag of Maltersers being suspended in midair, appearing to pour onto a cake.</t>
  </si>
  <si>
    <t>A woman bakes a round cake, frosting it and surrounding it by chocolate bars.</t>
  </si>
  <si>
    <t>She then pours maltesers and m&amp;ms into bowls.</t>
  </si>
  <si>
    <t>She prepares the bags, making them look neat before sprinkling the candies onto the top of the cake, completely covering it.</t>
  </si>
  <si>
    <t>She then places sticks into the cake, and runs frosting up the sides of the stucks before adhering the candlies to the sticks.</t>
  </si>
  <si>
    <t>She then balances the bags atop the sticks.</t>
  </si>
  <si>
    <t>v_rpDBtiySZ3o</t>
  </si>
  <si>
    <t>Several people are preparing to play volleyball on the beach.</t>
  </si>
  <si>
    <t>The camera zooms out and the people begin to play the game, tossing the ball back and forth to each other.</t>
  </si>
  <si>
    <t>v_aHKZIUD3wPI</t>
  </si>
  <si>
    <t>A man is seen standing before a hedge holding onto a tool.</t>
  </si>
  <si>
    <t>The man uses the tool all along the hedge while trimming the top.</t>
  </si>
  <si>
    <t>He continues pushing the tool over the hedge while walking away from the camera.</t>
  </si>
  <si>
    <t>v_MFx2omPfM2o</t>
  </si>
  <si>
    <t>A large group of people are seen riding in bumper cars and bumping into one another.</t>
  </si>
  <si>
    <t>The people continue crashing into one another while laughing and beginning to get out of the car.</t>
  </si>
  <si>
    <t>v_a1ltYmbbBYI</t>
  </si>
  <si>
    <t>Two men are sumo wrestling on a ring.</t>
  </si>
  <si>
    <t>A man in a robe is standing behind them.</t>
  </si>
  <si>
    <t>A man trips and falls into the audience.</t>
  </si>
  <si>
    <t>v_rgJ00nNS_r0</t>
  </si>
  <si>
    <t>A group of men play croquet on a large grass covered field at an outdoor social event.</t>
  </si>
  <si>
    <t>The men begin playing croquet with one man making a sexual reference with the croquet stick as people walk by on the grass.</t>
  </si>
  <si>
    <t>The group of men are accompanied by onlookers as they continue to maneuver the croquet ball with their mallets.</t>
  </si>
  <si>
    <t>One croquet goal is accomplished on the grass by one player in brown shoes and a blue pants in the final clip.</t>
  </si>
  <si>
    <t>v_S-4ftlylgig</t>
  </si>
  <si>
    <t>A measuring tape is shown up close.</t>
  </si>
  <si>
    <t>We see a track person preparing to run.</t>
  </si>
  <si>
    <t>He runs, taking a huge leap into the sand, landing on the number 18.</t>
  </si>
  <si>
    <t>v_hSq0yL5AB40</t>
  </si>
  <si>
    <t>Several clips of people are shown waving to the camera and watch people riding bikes.</t>
  </si>
  <si>
    <t>Many people are shown riding around on bikes around a long track and the camera panning around.</t>
  </si>
  <si>
    <t>v_Cb3IonOw0bs</t>
  </si>
  <si>
    <t>A lady sits in a tub and rubs her legs with water while wearing an exfoliater glove.</t>
  </si>
  <si>
    <t>The camera zooms out and we see it's a set with camera equipment around.</t>
  </si>
  <si>
    <t>The lady then shaves her legs with an electric shaver.</t>
  </si>
  <si>
    <t>We see the lady smile and continue to shave her legs.</t>
  </si>
  <si>
    <t>v_h-_dzZ3cCfc</t>
  </si>
  <si>
    <t>A man is shown talking to the camera while walking slowly onto the field with a group of players.</t>
  </si>
  <si>
    <t>Various players are shown one on one with several shots of stadium and cities are shown.</t>
  </si>
  <si>
    <t>The athletes prepare themselves for the match and are shown playing out on the field.</t>
  </si>
  <si>
    <t>The men cheer when they score a goal and sit on the bench after being tired.</t>
  </si>
  <si>
    <t>They run through stadiums and speak to the camera about being a professional athlete.</t>
  </si>
  <si>
    <t>v_n50dwUENM1E</t>
  </si>
  <si>
    <t>There's a woman in her kitchen demonstrating how to use Astra Clean composite sink cleaner She sprays the kitchen sink with the Astra Clean quirt bottle and then uses a brush to scrub the sink.</t>
  </si>
  <si>
    <t>After she's done, she looks impressed at the sparkly clean kitchen sink.</t>
  </si>
  <si>
    <t>She puts the bottle down on the sink and walks away.</t>
  </si>
  <si>
    <t>v_QX-uieRfKgg</t>
  </si>
  <si>
    <t>The man with black apron is brushing the counter.</t>
  </si>
  <si>
    <t>The man in apron smoothen the ski board, then brushed off the dust.</t>
  </si>
  <si>
    <t>The man put polish on the board and continue to scrape and brush the board.</t>
  </si>
  <si>
    <t>v_C8m_dPhMGbg</t>
  </si>
  <si>
    <t>An intro leads into several clips of a person riding down a snowy hill on a snowboard.</t>
  </si>
  <si>
    <t>The person continues riding down through the snow and falling at one point but cleaning off his goggles and speaking to others.</t>
  </si>
  <si>
    <t>v_r0685Fhcfjs</t>
  </si>
  <si>
    <t>A large yard is shown with leaves laid out front and a man speaking to the camera.</t>
  </si>
  <si>
    <t>The man pushes the leaves around the yard.</t>
  </si>
  <si>
    <t>The man holds up the leaves and speaks to the camera.</t>
  </si>
  <si>
    <t>v_46ac33Z6V4E</t>
  </si>
  <si>
    <t>person in a dog costome is walking in the outside of a snowy house.</t>
  </si>
  <si>
    <t>person in the costume and cross the street to a car.</t>
  </si>
  <si>
    <t>man sart cleaning he snow from the driver's window and the back window.</t>
  </si>
  <si>
    <t>v_6E4_XOsT89k</t>
  </si>
  <si>
    <t>A person is standing on top of a high diving board.</t>
  </si>
  <si>
    <t>They jump off and do flips into the water.</t>
  </si>
  <si>
    <t>The crowd watches the person dive.</t>
  </si>
  <si>
    <t>v_ROvaMfVEMSw</t>
  </si>
  <si>
    <t>A man is seen sitting on a horse and riding into a pit swinging a rope.</t>
  </si>
  <si>
    <t>The man throws the rope onto a calf and jumps off the horse.</t>
  </si>
  <si>
    <t>He ties up the calf and ends by running back to the horse.</t>
  </si>
  <si>
    <t>v_8qAdvUvNuts</t>
  </si>
  <si>
    <t>A view of the countryside is seen in multiple images, including buildings, trees, fields and flowers near the ocean.</t>
  </si>
  <si>
    <t>A man is shown mountain climbing up the side of a cliff.</t>
  </si>
  <si>
    <t>v_2n6MvpNewpI</t>
  </si>
  <si>
    <t>man is mopping the floor in a laundry room.</t>
  </si>
  <si>
    <t>man squeeze out the mop in a bucket.</t>
  </si>
  <si>
    <t>v_sFQ7AaId8zg</t>
  </si>
  <si>
    <t>A woman shows a little girl to turn a handle, then, the little girl peels an orange spinning the handle of the machine.</t>
  </si>
  <si>
    <t>The handle gets stuck and the woman tries to help the girl.</t>
  </si>
  <si>
    <t>After, the girl continues turning the handle to peel the orange.</t>
  </si>
  <si>
    <t>v_89S-sQUWIcg</t>
  </si>
  <si>
    <t>A large group of people are seen running around a field playing a game with one another while the camera pans around the area.</t>
  </si>
  <si>
    <t>The games continues on as people cheer on the sides and the men continue playing with one another.</t>
  </si>
  <si>
    <t>v_cqkcRy3k4v0</t>
  </si>
  <si>
    <t>people are riding camels in the sand, the camel kneel down and the man and the woman go down.</t>
  </si>
  <si>
    <t>camel in the back kneel down and people go down in the back are cars and people walking in the parking lot and taking pictures.</t>
  </si>
  <si>
    <t>men go on a camel and the camel stands up.</t>
  </si>
  <si>
    <t>v_bULG65Ec5fo</t>
  </si>
  <si>
    <t>A man is climbing up a mountain trying to find the right spots to pull himself up.</t>
  </si>
  <si>
    <t>He finds a good place to hang his rope on the mountain and starts to climb up again.</t>
  </si>
  <si>
    <t>He decides to move it up a little bit more to a better spot.</t>
  </si>
  <si>
    <t>Then, he starts climbing again struggling a bit before finally making it over the tough spot.</t>
  </si>
  <si>
    <t>v_3eQqgH3PJBo</t>
  </si>
  <si>
    <t>A man in a black shirt and white gloves places billiard balls on a pool table.</t>
  </si>
  <si>
    <t>A man with a light blue shirt inspects the position of the billiard balls up close.</t>
  </si>
  <si>
    <t>The man in the light blue shirt gets into position with the cue stick and breaks the billiards balls and the balls go in many directions.</t>
  </si>
  <si>
    <t>The man in the black shirt returns and inspects the table and then steps back.</t>
  </si>
  <si>
    <t>The man in the light blue shirt prepares for his next shot by walking from one side of the billiard table to the other looking for his next shot.</t>
  </si>
  <si>
    <t>He chalks the tip of the cue stick before taking his shot.</t>
  </si>
  <si>
    <t>He then prepares for his next shot walking around the billiard table.</t>
  </si>
  <si>
    <t>v_hOdSTik8_nw</t>
  </si>
  <si>
    <t>The coach is coaching his team.</t>
  </si>
  <si>
    <t>The guy in the black in the back walks off.</t>
  </si>
  <si>
    <t>The coach is then speaking to the parents.</t>
  </si>
  <si>
    <t>two new guys arrive in the back.</t>
  </si>
  <si>
    <t>The coach is on the field with the teams.</t>
  </si>
  <si>
    <t>the yellow bus drives past.</t>
  </si>
  <si>
    <t>the red team is listening to the coach.</t>
  </si>
  <si>
    <t>The kids are playing the game.</t>
  </si>
  <si>
    <t>The kids are listening to the coach.</t>
  </si>
  <si>
    <t>The game is on again.</t>
  </si>
  <si>
    <t>A white bus drives past.</t>
  </si>
  <si>
    <t>v_ekgfptN7tQk</t>
  </si>
  <si>
    <t>The word Surfer is on the screen.</t>
  </si>
  <si>
    <t>A surfer is taking to the camera.</t>
  </si>
  <si>
    <t>A surfer is walking on the beach.</t>
  </si>
  <si>
    <t>A man is surfing in the water while the man is taking again.</t>
  </si>
  <si>
    <t>There are a crowd of surfers on the island.</t>
  </si>
  <si>
    <t>Several surfers are in the water and the man is still being interviewed.</t>
  </si>
  <si>
    <t>v_03BMaaMEcNo</t>
  </si>
  <si>
    <t>Two people are seen sitting before a wave pool and one leads another out onto the water on a board.</t>
  </si>
  <si>
    <t>The person falls when another attempts to ride the board on the water.</t>
  </si>
  <si>
    <t>The person continues riding along the water and ends with the camera panning around the area and the boy falls.</t>
  </si>
  <si>
    <t>v_5gc896my38M</t>
  </si>
  <si>
    <t>Several couples are shown running outside and doing various activities outside in the sun.</t>
  </si>
  <si>
    <t>More and more people begin talking and each of them has a bottle of sun screen and starts to squirt it on their arms in effort to protect their skin.</t>
  </si>
  <si>
    <t>A small blue bottle of the sun screen is then shown and several more people begin talking about the product.</t>
  </si>
  <si>
    <t>The website to buy the product is shown and the whole video plays again as if its looped.</t>
  </si>
  <si>
    <t>v_EY4YIa-kNgs</t>
  </si>
  <si>
    <t>A young boy holds a dish scrub as he speaks.</t>
  </si>
  <si>
    <t>He turns to the sink behind him where there are dishes sitting in water.</t>
  </si>
  <si>
    <t>He drops the scrub into the sink and lays a glass down.</t>
  </si>
  <si>
    <t>He grabs a towel and cleans the glass and moves on to scrub the glass as well.</t>
  </si>
  <si>
    <t>He puts down the scrub and grabs the glass to place it in the right side of the sink where he wets the glass and puts it away in the dish rack.</t>
  </si>
  <si>
    <t>He moves to grab the towel and clean a dish.</t>
  </si>
  <si>
    <t>He soaks the dish in water and moves it to the dish rack.</t>
  </si>
  <si>
    <t>He returns to use the towel and clean a knife.</t>
  </si>
  <si>
    <t>He soaks the knife in the water and moves it to the dish rack, the boy goes back to clean a fork with the towel.</t>
  </si>
  <si>
    <t>He moves the fork to the water to rinse soap off it.</t>
  </si>
  <si>
    <t>The young boy stands in front of camera, speaking.</t>
  </si>
  <si>
    <t>v_WcQV3OzK_sc</t>
  </si>
  <si>
    <t>A man is seen recording a small child who is having her hair combed by a woman standing behind her.</t>
  </si>
  <si>
    <t>Several people and kids watch on the side and the woman puts the girls hair into ponytails.</t>
  </si>
  <si>
    <t>She speaks to the camera and cuts the girls hair when the dad puts the hair on his head and makes the kids laugh.</t>
  </si>
  <si>
    <t>The woman continues cutting her hair while others watch and speaks to the camera, followed by the woman straightening the hair and showing it off in slow motion.</t>
  </si>
  <si>
    <t>The girl holds her hair and screams in excitement at the camera.</t>
  </si>
  <si>
    <t>v_MNSDK-vCwTM</t>
  </si>
  <si>
    <t>Two girls are seen speaking to the camera while holding cups in their hands and laughing to one another.</t>
  </si>
  <si>
    <t>The camera zooms in on the cups and the girl continue laughing while finally drinking from the cup.</t>
  </si>
  <si>
    <t>They hold the liquid into their mouth and spit it out and laugh in the end.</t>
  </si>
  <si>
    <t>v_TNVdpnrtn5A</t>
  </si>
  <si>
    <t>A man is seen speaking to the camera as well as bowing to the camera.</t>
  </si>
  <si>
    <t>The man kneels down on his knees several times and bows again.</t>
  </si>
  <si>
    <t>He turns himself around still bowing and ends by standing up.</t>
  </si>
  <si>
    <t>v_Bg526A61c1w</t>
  </si>
  <si>
    <t>Before an Olympic weight lifting event, a Chinese competitor is shown preparing by working out in a gym.</t>
  </si>
  <si>
    <t>He then practices for the event by lifting the big Olympic sized weights.</t>
  </si>
  <si>
    <t>At the competition, he picks up the weights from a squatting position before rising up and then throwing the weights down on completion.</t>
  </si>
  <si>
    <t>Various successful lifts are shown and the competitor hugs his trainer.</t>
  </si>
  <si>
    <t>v_UgrOTFBD7tA</t>
  </si>
  <si>
    <t>Mountains are seen in the distance with clouds moving over top during the afternoon.</t>
  </si>
  <si>
    <t>Mountain climbers use ropes and hooks to metal clips up along cracks in a sheer rock face.</t>
  </si>
  <si>
    <t>The climber sets a metal round clips into the crack of the rock face.</t>
  </si>
  <si>
    <t>Clouds move over a mountain range at sunset.</t>
  </si>
  <si>
    <t>v_wJOHmxQZPR4</t>
  </si>
  <si>
    <t>A woman is seen hosting a news segment speaking to the camera and transitions into a group of men walking in a straight line.</t>
  </si>
  <si>
    <t>The people then perform in front of a large group of people and one performer is interviewed in between.</t>
  </si>
  <si>
    <t>The news segment then begins talking to other people in the studio who give their opinions and ends with the host laughing and smiling.</t>
  </si>
  <si>
    <t>v_HqxTRzf11tc</t>
  </si>
  <si>
    <t>A person is seen standing ready in front of a large track with people sitting and standing around watching him.</t>
  </si>
  <si>
    <t>The persons ticks their arms out and runs down the track into the sit pit and flips over.</t>
  </si>
  <si>
    <t>v_MKLoBzvca30</t>
  </si>
  <si>
    <t>A man in a white hat is holding a black ball and talking.</t>
  </si>
  <si>
    <t>People are playing a game of indoor soccer.</t>
  </si>
  <si>
    <t>A man in a white jacket is talking to the camera.</t>
  </si>
  <si>
    <t>v_GrqBqKMW4ps</t>
  </si>
  <si>
    <t>A man is doing a gymnastics routine on parallel bars.</t>
  </si>
  <si>
    <t>He dismounts and lands on a mat.</t>
  </si>
  <si>
    <t>He gives several people high fives as he walks off the mat.</t>
  </si>
  <si>
    <t>v_jl10JmELMqY</t>
  </si>
  <si>
    <t>An older woman is shown talking to the camera and begins knitting on a couch.</t>
  </si>
  <si>
    <t>She continues talking to the camera while the lens zoom in and out of her hands continuing to knit.</t>
  </si>
  <si>
    <t>She shows off her sweater and finally puts her knitting gear down.</t>
  </si>
  <si>
    <t>v_EQK_o1qHx7M</t>
  </si>
  <si>
    <t>There's a young boy standing in his kitchen with a jug of water, some lemons and some apples behind him on the counter.</t>
  </si>
  <si>
    <t>He is pointing to the lemons.</t>
  </si>
  <si>
    <t>His mother comes and helps him squeeze the juice out of the lemons.</t>
  </si>
  <si>
    <t>Both the mother and son use a lemon juicer to squeeze the juice and add it to the jug of water.</t>
  </si>
  <si>
    <t>The mother makes sure that all the juice is properly squeezed out of the lemons, so she uses her hands.</t>
  </si>
  <si>
    <t>Then she adds some food coloring to the lemonade and stirs it well.</t>
  </si>
  <si>
    <t>She then pours the lemonade in a glass with ice and gives it to her son.</t>
  </si>
  <si>
    <t>He takes a sip of the lemonade and smiles.</t>
  </si>
  <si>
    <t>v_L-A8RECKhtQ</t>
  </si>
  <si>
    <t>A picture of a man is seen and leads into a man bending down on a lawn and performing various dance moves.</t>
  </si>
  <si>
    <t>The man sings along while performing his routine and is then seen running across the yard with a lawn mower.</t>
  </si>
  <si>
    <t>More dancing and singing is seen, a picture of holding cards is shown, and ends with him cutting the grass and holding down with a friend.</t>
  </si>
  <si>
    <t>v_al_769KF6Qc</t>
  </si>
  <si>
    <t>A woman walks over to a flower bed and wheelbarrow as she talks.</t>
  </si>
  <si>
    <t>She demonstrates how to mulch, picking up the material and showing how to pack it around plants.</t>
  </si>
  <si>
    <t>v_ac1M42uRXS8</t>
  </si>
  <si>
    <t>Two girls are on an indoor basketball court.</t>
  </si>
  <si>
    <t>They are performing using batons and wearing purple dresses.</t>
  </si>
  <si>
    <t>They spin and toss, throwing the batons into the air as they perform.</t>
  </si>
  <si>
    <t>v_X3hQtXddMd4</t>
  </si>
  <si>
    <t>A camera and logo appear briefly.</t>
  </si>
  <si>
    <t>A person wake boards on a lake while being towed.</t>
  </si>
  <si>
    <t>They pass a person in the water.</t>
  </si>
  <si>
    <t>They come to a stop by a dock.</t>
  </si>
  <si>
    <t>v_sNQQ2Fpxbzw</t>
  </si>
  <si>
    <t>A black screen is shown with green words on it and then the screen moves to a white paper with black words.</t>
  </si>
  <si>
    <t>After, a green Lacrosse team appears and they begin to compete.</t>
  </si>
  <si>
    <t>Someone makes a goal and then the ball is placed back in the middle of the field.</t>
  </si>
  <si>
    <t>When they are finished still images from the game are shown.</t>
  </si>
  <si>
    <t>Finally,a black screen appears and the score is shown in blue and green writing.</t>
  </si>
  <si>
    <t>v_sYAGVE3luRo</t>
  </si>
  <si>
    <t>People are playing instruments marching down a street.</t>
  </si>
  <si>
    <t>They start marching in a circle in a room.</t>
  </si>
  <si>
    <t>A person holding a baton stands in front of the band.</t>
  </si>
  <si>
    <t>v_nfBBazBLQFk</t>
  </si>
  <si>
    <t>A man stands on the roof of a building, and two others appear.</t>
  </si>
  <si>
    <t>They are flying kites in the air over the brick building.</t>
  </si>
  <si>
    <t>The men make the kites dip and dive as they talk and interact.</t>
  </si>
  <si>
    <t>v_tJbScqVWPsU</t>
  </si>
  <si>
    <t>An outdoor scene by the beach shows a large crowd near a resort.</t>
  </si>
  <si>
    <t>They are cheering as several professional skateboarders perform stunts in a ramp pit.</t>
  </si>
  <si>
    <t>The flip and turn in the air, going up and down the ramp.</t>
  </si>
  <si>
    <t>The winners pose for photos with cakes when they are done.</t>
  </si>
  <si>
    <t>v_PUI2Qrn0qbE</t>
  </si>
  <si>
    <t>kids are driving on bumper cars spinning and bumping.</t>
  </si>
  <si>
    <t>kid is wearing blue shirt and clash with the fence holding the handles with both hands.</t>
  </si>
  <si>
    <t>girl is wearing a leather jacket spining in the bumper car in the amusement car.</t>
  </si>
  <si>
    <t>v_lhnhGI-rrzM</t>
  </si>
  <si>
    <t>There's a young man wearing a blue shirt and a black helmet skateboarding on a two way road.</t>
  </si>
  <si>
    <t>He is going at a steady and fast speed as he passes through a few cars and lots of trees.</t>
  </si>
  <si>
    <t>He also passes through some residential areas as he skateboards.</t>
  </si>
  <si>
    <t>He finally slows down as cameraman approaches a gray car.</t>
  </si>
  <si>
    <t>The cameraman gets into the car and takes the skateboard away.</t>
  </si>
  <si>
    <t>The skateboarder is kneeling on the side of the main road.</t>
  </si>
  <si>
    <t>He then gets up and walks away.</t>
  </si>
  <si>
    <t>v_PntiXZ692xM</t>
  </si>
  <si>
    <t>We see a magazine on a black background.</t>
  </si>
  <si>
    <t>People begin running on country roads in a marathon.</t>
  </si>
  <si>
    <t>We see them get drinks at a table.</t>
  </si>
  <si>
    <t>A man is running and holding a camera facing himself.</t>
  </si>
  <si>
    <t>The man who is running is seen again.</t>
  </si>
  <si>
    <t>We see a person point at a lake.</t>
  </si>
  <si>
    <t>We cross the finish line.</t>
  </si>
  <si>
    <t>A man is in a lake cooling off.</t>
  </si>
  <si>
    <t>v_2KYGAq5qQCI</t>
  </si>
  <si>
    <t>A close up is shown of a room with a window.</t>
  </si>
  <si>
    <t>a man is smoothing mud over the wall.</t>
  </si>
  <si>
    <t>He measures and cuts then spreads again.</t>
  </si>
  <si>
    <t>When he is done, the wall is completely smooth.</t>
  </si>
  <si>
    <t>v_W0EN9JeU66A</t>
  </si>
  <si>
    <t>A young child is moving back and fourth on a swing while laughing and smiling to the camera.</t>
  </si>
  <si>
    <t>The child continues pumping their legs and then is stiff while looking off into the distance.</t>
  </si>
  <si>
    <t>v_4w_46rTInXI</t>
  </si>
  <si>
    <t>A bunch of people are playing beer pong in different outfits.</t>
  </si>
  <si>
    <t>Then people bong a beer.</t>
  </si>
  <si>
    <t>A lot of dancing happens at the end.</t>
  </si>
  <si>
    <t>v_wVahCLOq4s0</t>
  </si>
  <si>
    <t>woman is sitting in front of a white table holding a halloween pumpkin.</t>
  </si>
  <si>
    <t>woman holds a knife and and cut the pumpkin head and remove all the seeds from the inside.</t>
  </si>
  <si>
    <t>woman daw the face with black markers and open the holes on the pumpkin.</t>
  </si>
  <si>
    <t>v_5zCY_vezHaU</t>
  </si>
  <si>
    <t>A man in black shirt is stalking in front of the camera, then the calendar and then drawing is shown.</t>
  </si>
  <si>
    <t>The blonde man is talking in front of the camera, while behind him is an empty ramp, then the man skateboard in a wooden ramp, then is is showing how to skateboard, then he skateboard and did tricks on a wooden ramp, then he continue to talk, and then skateboard again.</t>
  </si>
  <si>
    <t>v_PgfUSPHXluA</t>
  </si>
  <si>
    <t>woman wearing a red shirt is arm wretling again anothe woman laying on the floor.</t>
  </si>
  <si>
    <t>a blonde woman wearing grey shirt is arm wrestling with another woman on a room.</t>
  </si>
  <si>
    <t>the winner woman is making poses laying on the floor.</t>
  </si>
  <si>
    <t>v_grvzIljsqcI</t>
  </si>
  <si>
    <t>A young woman is seen looking at the camera while taking a drink and fixing her hair.</t>
  </si>
  <si>
    <t>The woman then holds up a pack of cigarettes and begins smoking a cigarette.</t>
  </si>
  <si>
    <t>The woman continuously smokes and drinks one after the other while continuing to look to the camera.</t>
  </si>
  <si>
    <t>v_LrputIUn4oY</t>
  </si>
  <si>
    <t>There are different athletes in the beginning of the video, but then 2 people are shown diving into the water while a huge crowd watches them.</t>
  </si>
  <si>
    <t>In the end, the men's 10m synchro platform is held.</t>
  </si>
  <si>
    <t>v_r40TuTkt9y4</t>
  </si>
  <si>
    <t>Various shots of landscapes are shown that interments with people riding in a large raft.</t>
  </si>
  <si>
    <t>At one point the raft flips over the men riding down the river.</t>
  </si>
  <si>
    <t>More shots of people riding down the river are shown as well as people speaking to the camera.</t>
  </si>
  <si>
    <t>v_mGsenLq9yEU</t>
  </si>
  <si>
    <t>A news woman is talking in a news room.</t>
  </si>
  <si>
    <t>Bullfighters are shown inside a ring.</t>
  </si>
  <si>
    <t>They are trying to entice the bull with capes.</t>
  </si>
  <si>
    <t>v_VVyE6rVJEuI</t>
  </si>
  <si>
    <t>Two people are dancing in a room.</t>
  </si>
  <si>
    <t>They turn to the side and continue dancing.</t>
  </si>
  <si>
    <t>They finish and pose at the end.</t>
  </si>
  <si>
    <t>v_kJrHvEECvEA</t>
  </si>
  <si>
    <t>A woman standing outside on the roof smoking a cigarette.</t>
  </si>
  <si>
    <t>She blows smoke and plays around with her hair.</t>
  </si>
  <si>
    <t>She keeps smoking and blowing smoking casually all by her lonesome.</t>
  </si>
  <si>
    <t>She exhales one last time and then put her cigarette out on a wall.</t>
  </si>
  <si>
    <t>v_PDaGlIxn6Pk</t>
  </si>
  <si>
    <t>A couple of teams are playing lacrosse on an open field.</t>
  </si>
  <si>
    <t>A crowd watches the game intently.</t>
  </si>
  <si>
    <t>The players run back and forth across the field, hitting the ball into goals.</t>
  </si>
  <si>
    <t>v_x-WGuz3_2Fc</t>
  </si>
  <si>
    <t>A man is seen speaking to the camera while peeling potatoes and looking to the camera.</t>
  </si>
  <si>
    <t>The camera pans around the man continuously as he continues to peel the potatoes and speak.</t>
  </si>
  <si>
    <t>v_IpFsz2xc3sY</t>
  </si>
  <si>
    <t>A woman is speaking to a webcam in her bedroom.</t>
  </si>
  <si>
    <t>She begins to play with her hair, separating part of it and braiding it.</t>
  </si>
  <si>
    <t>She places the first braid into her mouth while creating another one.</t>
  </si>
  <si>
    <t>She criss crosses the braids, and places a rubberband on it.</t>
  </si>
  <si>
    <t>She begins to do the same process with the other side of her hair.</t>
  </si>
  <si>
    <t>The video finishes by cutting a still image of the same girl and panning up and down.</t>
  </si>
  <si>
    <t>v_uHLEUps_ahs</t>
  </si>
  <si>
    <t>A man is standing in front of a white screen.</t>
  </si>
  <si>
    <t>He is talking about the saxophone in his hands and showing the proper hand positions.</t>
  </si>
  <si>
    <t>He demonstrates how to play the instrument.</t>
  </si>
  <si>
    <t>v_vb1CG5i1lEs</t>
  </si>
  <si>
    <t>A person wearing a large, white suit is shown spraying down a fence with water.</t>
  </si>
  <si>
    <t>The person is shown from various angles performing the task and makes the fence look brand new.</t>
  </si>
  <si>
    <t>v_qXUdnj4VN80</t>
  </si>
  <si>
    <t>A female seems to be doing tricks with a hula hooping while being very flexible with her body.</t>
  </si>
  <si>
    <t>the lady also rides a one wheel bike while hula hooping.</t>
  </si>
  <si>
    <t>the girl then hula hoops while standing on a mat then hula hoops with two hula hoops standing in the same spot.</t>
  </si>
  <si>
    <t>the girl then hula hoops hanging upside down,she also hula hoops around her hand while doing a split on a mat.</t>
  </si>
  <si>
    <t>the girl hula hoops a big tire hula hoop then hula hoops with three hula hoops using her two hands and one feet in the air.</t>
  </si>
  <si>
    <t>the girl then's try to hula hoop a lot of hula hoops at one time as other girls keep adding more to her.</t>
  </si>
  <si>
    <t>v_exzuzQLrv7g</t>
  </si>
  <si>
    <t>Three men dressed in fencing gear are standing in a gym.</t>
  </si>
  <si>
    <t>The man in the middle is talking and the other two remain still.</t>
  </si>
  <si>
    <t>The two men begin making movements as the man instructs them to, showing off the different fencing techniques.</t>
  </si>
  <si>
    <t>They fight slowly, showing each step before culminating into the man's final words onscreen.</t>
  </si>
  <si>
    <t>v_xcrGhwE7R5E</t>
  </si>
  <si>
    <t>A man is talking in his kitchen.</t>
  </si>
  <si>
    <t>He shows how to mix a sauce into pasta, and season it.</t>
  </si>
  <si>
    <t>He then shows how to plate and serve the food.</t>
  </si>
  <si>
    <t>v_81F42Yyw_iY</t>
  </si>
  <si>
    <t>A woman pole vaults over a tall bar.</t>
  </si>
  <si>
    <t>She lands on a yellow mat under her.</t>
  </si>
  <si>
    <t>v_D2IDRG8_6To</t>
  </si>
  <si>
    <t>A young man is talking the the camera.</t>
  </si>
  <si>
    <t>The man stands with a stick in his hand.</t>
  </si>
  <si>
    <t>The man points away from himself.</t>
  </si>
  <si>
    <t>The man takes the stick and pushes pucks around the ground.</t>
  </si>
  <si>
    <t>v_3cjtV-ldvto</t>
  </si>
  <si>
    <t>woman put an egg on a bowl and mix it with vanilla.</t>
  </si>
  <si>
    <t>quick oats and baking powder, cocoa powder and salt are mixed in a bowl.</t>
  </si>
  <si>
    <t>a chocolate bar are cut in pieces with nuts and put in a bowl.</t>
  </si>
  <si>
    <t>sugar and butter are mixed in a bowl till cream and put the vanilla and the powder ingredients with the chocolate and he nuts.</t>
  </si>
  <si>
    <t>themix is wrap and put in a refrigerator.</t>
  </si>
  <si>
    <t>batch is in a pan and ar ready to eat.</t>
  </si>
  <si>
    <t>v_gCxLG4hinNw</t>
  </si>
  <si>
    <t>A man is standing on a show playing bagpipes while other around him watch in amazement.</t>
  </si>
  <si>
    <t>The man continues to play and the audience claps when he finishes.</t>
  </si>
  <si>
    <t>He hands the instrument to a man walking in and gives the host a handshake.</t>
  </si>
  <si>
    <t>He talks to the host a bit and strikes a pose before the host finishes with the guest.</t>
  </si>
  <si>
    <t>v_yaWwad6WXVY</t>
  </si>
  <si>
    <t>A person practice dribbling and shooting the ball walking or running in the court, while a man watch the training.</t>
  </si>
  <si>
    <t>The man stands and leave the court.</t>
  </si>
  <si>
    <t>After, several men practice basketball in a court.</t>
  </si>
  <si>
    <t>v_-KjJxkFUhv4</t>
  </si>
  <si>
    <t>The word Happy is written in pebbles on the side of the sand.</t>
  </si>
  <si>
    <t>A large body of crystal blue water is shown and a large boat with people are in it.</t>
  </si>
  <si>
    <t>The individuals began dancing and jumping off the boat and enjoy themselves in the water.</t>
  </si>
  <si>
    <t>As the people continue,three or four people are in the water swimming with goggles on.</t>
  </si>
  <si>
    <t>v_XnctHnlJB4g</t>
  </si>
  <si>
    <t>A man in red stands on a stage.</t>
  </si>
  <si>
    <t>He lifts a barbell over his head.</t>
  </si>
  <si>
    <t>He drops the barbell on the ground.</t>
  </si>
  <si>
    <t>Several people cheer him on.</t>
  </si>
  <si>
    <t>v_x08PpU3uQ6Y</t>
  </si>
  <si>
    <t>The woman in white shirt is standing, then kneel down next to a big plastic bag on the ground.</t>
  </si>
  <si>
    <t>She opened the bag, put the content of the bag in the uneven hole on the ground, and flatten it using her gloved hand.</t>
  </si>
  <si>
    <t>She looked at the camera and talked while she's kneeling next to the plastic bags.</t>
  </si>
  <si>
    <t>She put another bag on the ground, flatten them using her hand until the area is covered.</t>
  </si>
  <si>
    <t>She walks forward, bend sideward to flatten some more dirt.</t>
  </si>
  <si>
    <t>v_xS-F-9E3xKk</t>
  </si>
  <si>
    <t>Two women are on a stand opposite one another at a table beginning to arm wrestle.</t>
  </si>
  <si>
    <t>There is a brief hold up before they begin,because their thumb positing is inaccurate.</t>
  </si>
  <si>
    <t>Once they finally begin,the girl on the left wins but she is quickly stopped and they have to restart and the same girl wins again.</t>
  </si>
  <si>
    <t>v_Kj2SF5bCxJ8</t>
  </si>
  <si>
    <t>A kid spreads peanut butter in two slices of bread.</t>
  </si>
  <si>
    <t>Then, the kid adds on top jelly.</t>
  </si>
  <si>
    <t>After, the kid gives a bite to the peanut butter and jelly sandwich.</t>
  </si>
  <si>
    <t>v_kBDTz-dwQ2k</t>
  </si>
  <si>
    <t>There is a woman in a white blouse along with a man in a white shirt in a studio practicing ballroom dancing.</t>
  </si>
  <si>
    <t>They are in a room with a wall full of mirrors.</t>
  </si>
  <si>
    <t>The lady is explaining the steps of the dance as they both demonstrate the moves and foot work involved in the dance.</t>
  </si>
  <si>
    <t>They go back and forth as they take their steps while holding each other's hands.</t>
  </si>
  <si>
    <t>v_ANB_IQfi9kA</t>
  </si>
  <si>
    <t>A man runs past an approaching storm.</t>
  </si>
  <si>
    <t>Surfers are seen in the water, and people are walking with their surfboards.</t>
  </si>
  <si>
    <t>A group of women gather, and a praying mantis is seen.</t>
  </si>
  <si>
    <t>Numerous surfers are then shown, going through and over various waves.</t>
  </si>
  <si>
    <t>v_qF3EbR8y8go</t>
  </si>
  <si>
    <t>woman is painting in a white paper green leaves in a chinese tree.</t>
  </si>
  <si>
    <t>a red paint is shown and woman put a stamp on the corner of the paper.</t>
  </si>
  <si>
    <t>woman is painting a blue ad purple chinese flower.</t>
  </si>
  <si>
    <t>a red and black flowers are painted on a white paper with very detail for the same woman in a dark room.</t>
  </si>
  <si>
    <t>woman used some black painting for make details, put the red stamp on the corner and finished the painting with yellow and reddetails on the flowers.</t>
  </si>
  <si>
    <t>v_gMV5Mso7758</t>
  </si>
  <si>
    <t>A close up of a man is shown followed by him asking a woman a question on the beach.</t>
  </si>
  <si>
    <t>He then is shown speaking to several different people holding a frisbee and playing a game.</t>
  </si>
  <si>
    <t>Many women laugh with the men and the man gives several of them a kiss.</t>
  </si>
  <si>
    <t>v_tzChPctqAP4</t>
  </si>
  <si>
    <t>Two men are seen jumping and kicking around one another performing various flips and tricks.</t>
  </si>
  <si>
    <t>The men continue spinning around one another as well as performing gymnastics moves in different locations.</t>
  </si>
  <si>
    <t>v_ivBgqENFmt0</t>
  </si>
  <si>
    <t>A planter of flowers is seen in front of a home.</t>
  </si>
  <si>
    <t>A roofer nails tiles into the roof beams of a home.</t>
  </si>
  <si>
    <t>The construction worker slides tiles into place on a roof.</t>
  </si>
  <si>
    <t>A crew of construction workers get tiles up onto a roof.</t>
  </si>
  <si>
    <t>A finished tile roof is seen when the job is done.</t>
  </si>
  <si>
    <t>A worker uses a spatula tool to apply grout in between tiles on the roof.</t>
  </si>
  <si>
    <t>v_YULJjXegG1w</t>
  </si>
  <si>
    <t>A basketball court is shown outdoors.</t>
  </si>
  <si>
    <t>A man runs up, and does several consecutive lay ups.</t>
  </si>
  <si>
    <t>He makes a few baskets, then tries again and again.</t>
  </si>
  <si>
    <t>Some kids run by, waving at the camera.</t>
  </si>
  <si>
    <t>v_Qf6gZtm9BIg</t>
  </si>
  <si>
    <t>A man is standing outside talking.</t>
  </si>
  <si>
    <t>He gets onto a slack line and starts to cross it.</t>
  </si>
  <si>
    <t>He falls off onto the grass.</t>
  </si>
  <si>
    <t>v_Lan3mtnCmlw</t>
  </si>
  <si>
    <t>We see a Santa clause underwater in the ocean.</t>
  </si>
  <si>
    <t>We see white and yellow fish swimming around the man.</t>
  </si>
  <si>
    <t>We sit above the man seeing his bubbles.</t>
  </si>
  <si>
    <t>The man swims under a rock arch.</t>
  </si>
  <si>
    <t>v__0CqozZun3U</t>
  </si>
  <si>
    <t>man is standing in the botom of a stairs and is cleaning the snow hil in the street a snowplow is passing and the man is cleaning the snow and doing a path.</t>
  </si>
  <si>
    <t>man is standing in front of a car and is cleaning the windshield and all the windows.</t>
  </si>
  <si>
    <t>v_FmRLElPPWV8</t>
  </si>
  <si>
    <t>People prepare to go canoeing and then launch their boats.</t>
  </si>
  <si>
    <t>People then go down the stream.</t>
  </si>
  <si>
    <t>v_Pp4U2Ql7bhY</t>
  </si>
  <si>
    <t>A man in a Batman shirt is sitting down talking.</t>
  </si>
  <si>
    <t>A person starts welding a piece of metal.</t>
  </si>
  <si>
    <t>He takes a brush and brushes off the piece of metal.</t>
  </si>
  <si>
    <t>He puts all the pieces in a black bag.</t>
  </si>
  <si>
    <t>v_BdAPzcdrk9g</t>
  </si>
  <si>
    <t>A small group of people are seen standing on two sides of a net.</t>
  </si>
  <si>
    <t>The people then begin playing a game of badminton with one another.</t>
  </si>
  <si>
    <t>They continue to hit the birdie around while serving it to the other side and hitting it back.</t>
  </si>
  <si>
    <t>v_fLCWIE8a4AU</t>
  </si>
  <si>
    <t>A crowd of about one thousand people are outside and in the stadium watching a bull fight.</t>
  </si>
  <si>
    <t>Three young men are in the center and begin to tamper with two black and white bulls.</t>
  </si>
  <si>
    <t>The two bulls are now fighting with one another and the crowd begins to close in on them to see the action.</t>
  </si>
  <si>
    <t>v_VOTBtV0CQ8c</t>
  </si>
  <si>
    <t>A camera pans around a lake and shows a boat moving along the water.</t>
  </si>
  <si>
    <t>A person is seen riding behind the boat on a pair of skis.</t>
  </si>
  <si>
    <t>More shots are shown of the boat riding around with a person skiing in the back.</t>
  </si>
  <si>
    <t>v_Lm7KLQgzQDk</t>
  </si>
  <si>
    <t>A large group of people are seen standing together dressed up with one man speaking into a mic and pointing.</t>
  </si>
  <si>
    <t>The man then busts out into song and dance with another man and pointing to the groom gradually.</t>
  </si>
  <si>
    <t>v_PLWeVDUH_Cw</t>
  </si>
  <si>
    <t>Business men walk through a busy crowd.</t>
  </si>
  <si>
    <t>A business man plays against a table tennis professional.</t>
  </si>
  <si>
    <t>Two businessmen play on a team against the table tennis pro.</t>
  </si>
  <si>
    <t>The match ends and the business men shake hands with the athlete.</t>
  </si>
  <si>
    <t>v_lMFp8FPeDHI</t>
  </si>
  <si>
    <t>A preteen boy is out in an open park filming challenges on monkey bars he points to the left.</t>
  </si>
  <si>
    <t>The camera pans over to the left to show the slide in another part of the jungle gym.</t>
  </si>
  <si>
    <t>The camera pans back to the monkey bars.</t>
  </si>
  <si>
    <t>The boy attempts to climb the monkey bars starting from the second from the top rung of the ladder on the inside and falls, he gets up and goes to the ladder.</t>
  </si>
  <si>
    <t>The boy attempts the climb again, this time from the top rung of the ladder on the inside and falls, he gets up and goes to the ladder again.</t>
  </si>
  <si>
    <t>The boy attempts to climb again, from the top bar on the inside and falls again, he gets up and goes to the ladder again.</t>
  </si>
  <si>
    <t>The boy attempts to climb again, this time he adjusts again standing on the second rung on the inside and falls again when he attempts to climb.</t>
  </si>
  <si>
    <t>The boy attempts to climb again using the same starting point and falls, he gets up and goes toward the ladder but decides he is done and says good-bye.</t>
  </si>
  <si>
    <t>v_zfi8f5NnYaY</t>
  </si>
  <si>
    <t>A man is seen riding around on a horse holding a stick and then pausing to sit.</t>
  </si>
  <si>
    <t>He is then seen again walking with a large group of people drinking water and then shakes hands of several people while walking back.</t>
  </si>
  <si>
    <t>v_kCD0iQFnHA4</t>
  </si>
  <si>
    <t>A close up of a dough is shown and leads into a person spreading frosting on a pastry.</t>
  </si>
  <si>
    <t>She puts the pastry onto the cake and continues putting frosting all around the cake.</t>
  </si>
  <si>
    <t>The camera zooms around the cake and shows the woman putting a face on the cake and showing off the finished result.</t>
  </si>
  <si>
    <t>v_4rv1uLmbyHA</t>
  </si>
  <si>
    <t>Two news anchors are talking in a room.</t>
  </si>
  <si>
    <t>A man is making food in a kitchen.</t>
  </si>
  <si>
    <t>He cooks mushrooms in a pan.</t>
  </si>
  <si>
    <t>He adds the food into a bowl.</t>
  </si>
  <si>
    <t>v_owLQzBg4olo</t>
  </si>
  <si>
    <t>A long colorful scarf is seen running over chairs.</t>
  </si>
  <si>
    <t>A woman is seen knitting the scarf in a purple dress.</t>
  </si>
  <si>
    <t>Three other woman sit together and knit a section of the scarf.</t>
  </si>
  <si>
    <t>v_C7so_y5I_9s</t>
  </si>
  <si>
    <t>We see images of a man opening blinds and carrying a boarding outside.</t>
  </si>
  <si>
    <t>We see a man riding jet skis and performing flips.</t>
  </si>
  <si>
    <t>We see a man sitting on the dock.</t>
  </si>
  <si>
    <t>We see the jet skier ride over a ramp.</t>
  </si>
  <si>
    <t>We see a shoe briefly.</t>
  </si>
  <si>
    <t>v_hf1JuvacaJc</t>
  </si>
  <si>
    <t>Individuals bowl at their lanes and knock down pins.</t>
  </si>
  <si>
    <t>A guy bowls a strike and open his mouth to express anguish.</t>
  </si>
  <si>
    <t>v_nyEcPLZQerc</t>
  </si>
  <si>
    <t>Students are interviewed and then run a race.</t>
  </si>
  <si>
    <t>Everyone seems happy to be involved with the College of Charleston.</t>
  </si>
  <si>
    <t>v_VyD5Z0S9tXU</t>
  </si>
  <si>
    <t>A chef demonstrates how to peel a potato using a potato peeler and a potato, in a kitchen in front of cutting board.</t>
  </si>
  <si>
    <t>The man talks to the camera and begins to peel the potato with the peeler peeling of slices of skin and gesturing at the table.</t>
  </si>
  <si>
    <t>The man peels the potato until it has no more skin on it.</t>
  </si>
  <si>
    <t>v_UmuWttAYfco</t>
  </si>
  <si>
    <t>Two men are standing together on a table with their fist up as the referee holds their wrist.</t>
  </si>
  <si>
    <t>The referee then lets go and almost instantly the arm wrestling match is over and a winner is declared,the winner moves on and several more matches begin to take place and they too are ended abruptly.</t>
  </si>
  <si>
    <t>Near the end however,the opponents finally match and it takes forever to declare a winner as they struggle to move their hands.</t>
  </si>
  <si>
    <t>v_XToVLTbQEm4</t>
  </si>
  <si>
    <t>men are playing basket in a roofed wooden court.</t>
  </si>
  <si>
    <t>man is alone doing lay ups to the basket.</t>
  </si>
  <si>
    <t>another man arrives to the court and start playing together.</t>
  </si>
  <si>
    <t>v_U9b8U-EymNw</t>
  </si>
  <si>
    <t>A company log is on the screen.</t>
  </si>
  <si>
    <t>A boat is floating on the water.</t>
  </si>
  <si>
    <t>A tube has water running through it and there are floats on the water.</t>
  </si>
  <si>
    <t>The camera is scanning the boat.</t>
  </si>
  <si>
    <t>Two women are sitting on the boat, one is poking the other.</t>
  </si>
  <si>
    <t>A plastic seat is inflated then a board is put into the water.</t>
  </si>
  <si>
    <t>A woman is on the board and holding on to a line attached to the boat.</t>
  </si>
  <si>
    <t>A woman is driving the boat while the other woman is boarding behind her.</t>
  </si>
  <si>
    <t>A woman is taking a selfie while on the boat.</t>
  </si>
  <si>
    <t>The woman is doing tricks with the board on the water.</t>
  </si>
  <si>
    <t>She let go of the line and floated freely.</t>
  </si>
  <si>
    <t>v_RA61jh8HwPI</t>
  </si>
  <si>
    <t>A woman is seen putting makeup on her face and leads into several pictures of makeup.</t>
  </si>
  <si>
    <t>Many more pictures of products are shown with text across the screen.</t>
  </si>
  <si>
    <t>More pictures of products are shown that end with more text and a woman pushing away makeup.</t>
  </si>
  <si>
    <t>v_-6prmNqkAN8</t>
  </si>
  <si>
    <t>A large snowy mountain is seen as people gather on the ice.</t>
  </si>
  <si>
    <t>They hit several pucks, sweeping them in a game.</t>
  </si>
  <si>
    <t>v_3sL7fLHM09c</t>
  </si>
  <si>
    <t>A female gymnast is demonstrating a gymnastics performance on bars.</t>
  </si>
  <si>
    <t>Other gymnasts and an instructor are watching the female gymnast perform.</t>
  </si>
  <si>
    <t>Another female gymnast is practicing in the background.</t>
  </si>
  <si>
    <t>v_Z9gstJONME4</t>
  </si>
  <si>
    <t>A man is lifting weights in the gym.</t>
  </si>
  <si>
    <t>The ball goes to the man's chest for the first time.</t>
  </si>
  <si>
    <t>The man takes a break.</t>
  </si>
  <si>
    <t>v_YAPkcWlWmYg</t>
  </si>
  <si>
    <t>A girl is seen listening to music and transitions into her performing a dance routine outside on a walk way.</t>
  </si>
  <si>
    <t>She continues dancing around while smiling to the camera and ends by walking away and giving two peace signs to the camera.</t>
  </si>
  <si>
    <t>v_gGYje5UGLdY</t>
  </si>
  <si>
    <t>A person is seen walking into frame in front of a pair of drums.</t>
  </si>
  <si>
    <t>He then begins playing the drums back and fourth.</t>
  </si>
  <si>
    <t>He continues to play on the drums and ends by turning the camera off.</t>
  </si>
  <si>
    <t>v_QBy64z68s0w</t>
  </si>
  <si>
    <t>A young girl performs her gymnastics routine on the balance beam.</t>
  </si>
  <si>
    <t>The young girl gets on the beam and continues her routine.</t>
  </si>
  <si>
    <t>The young girl falls off the beam.</t>
  </si>
  <si>
    <t>The young girl gets back on the beam and finishes her routine.</t>
  </si>
  <si>
    <t>v_KSu59HUet3E</t>
  </si>
  <si>
    <t>A man with white shirt is standing in front of a machine.</t>
  </si>
  <si>
    <t>He turned around and pointed the machine.</t>
  </si>
  <si>
    <t>The machine is being shown.</t>
  </si>
  <si>
    <t>A man who is wearing a white shirt keeps talking, while behind him a man in gray shirt walked and reach something in the machine.</t>
  </si>
  <si>
    <t>The man in gray shirt put a powdery stuff in the machine.</t>
  </si>
  <si>
    <t>He is shaking the bag.</t>
  </si>
  <si>
    <t>The man in white shirt is putting cement on the wall.</t>
  </si>
  <si>
    <t>The man is holding a blue long tube pointing on the wall.</t>
  </si>
  <si>
    <t>The man in gray uniform used the tube/pump and spray the cement on the wall.</t>
  </si>
  <si>
    <t>An old man is smoothing the cement on the wall.</t>
  </si>
  <si>
    <t>v_NiQaDgj8Z10</t>
  </si>
  <si>
    <t>A lady hula hoop with five hula hoops and one by one she takes on off of her and tosses it until she tossed away all five hula hoops she was hula hooping with.</t>
  </si>
  <si>
    <t>the lady then hula hoops with 300 hula hoops with will be a world record.</t>
  </si>
  <si>
    <t>the lady starts by putting the 300 hula hoops around her body as she bend over to get a good grip on them,she then stands straight up and starts to twirl all 300 hula hoops around her body.</t>
  </si>
  <si>
    <t>finally she manages to twirl all the hula hoop around her hole body and finishes with the hula hoops on the ground and she bows to the people who is watching her.</t>
  </si>
  <si>
    <t>v_NKQehrewXlM</t>
  </si>
  <si>
    <t>A man is seen jogging on the side of the road as well as speaking to the camera.</t>
  </si>
  <si>
    <t>Clips are shown of him warming up on the side and running up along mountainsides.</t>
  </si>
  <si>
    <t>He continues speaking to the camera while running around a neighborhood and people showing off his movements.</t>
  </si>
  <si>
    <t>v_06eyqLosXjU</t>
  </si>
  <si>
    <t>A man is standing behind two inverted drums.</t>
  </si>
  <si>
    <t>He begins to play them with small sticks.</t>
  </si>
  <si>
    <t>He finishes playing and walks away.</t>
  </si>
  <si>
    <t>v_8W-x068F4tE</t>
  </si>
  <si>
    <t>An athletic man is seen standing before a beam and begins performing a gymnastics routine.</t>
  </si>
  <si>
    <t>He swings himself around and around performing flips and tricks and ends by kissing the crowd and walking away.</t>
  </si>
  <si>
    <t>v_Zrv8_-Y-jSM</t>
  </si>
  <si>
    <t>A special effect intro screen appears which is mainly blue and white words in the middle of the screen appear and they read "ROPE SKIPPING".</t>
  </si>
  <si>
    <t>Behind the words there are 4 girls with their own jump ropes and they're all rope skipping separately and eventually they jump in unison.</t>
  </si>
  <si>
    <t>White words appear on the screen that read "Klasse 7c/Fr Leifels", the girls drop to the ground to end their routine and they smile and look around.</t>
  </si>
  <si>
    <t>v_VTFIAQVjHv8</t>
  </si>
  <si>
    <t>A man in a grey print hoodie is standing against a wall introducing himself and then explaining that he is going to give a tutorial for some tricks.</t>
  </si>
  <si>
    <t>A stop start animation with a desk calendar is shown with flip animation drawings blending into framed animation leading to the title of the group and the skateboard tutorial they are about to explain.</t>
  </si>
  <si>
    <t>Footage of a skateboarder doing a trick in front of a camera is followed by the man in the grey hoodie explaining that he is going to show how to do a frontside 180 on a skateboard and what it can be used for as well as the fundamentals befor learning the trick.</t>
  </si>
  <si>
    <t>He then goes into the explanation of how to do the trick in depth as well as footage being shown while he's talking about the trick.</t>
  </si>
  <si>
    <t>The camera pans up and a black screen appears with white letters and a website address followed by a film company and a site channel.</t>
  </si>
  <si>
    <t>v_rteN6_HkMkI</t>
  </si>
  <si>
    <t>A man is shown smoking a cigarette while walking several dogs attached to chains on his belt.</t>
  </si>
  <si>
    <t>A man is talking from behind a table.</t>
  </si>
  <si>
    <t>Several scenes are then shown of the actor while the news person talks about him.</t>
  </si>
  <si>
    <t>v_rojFvhZw_z8</t>
  </si>
  <si>
    <t>A woman is getting ready to bath her dog in her front yard.</t>
  </si>
  <si>
    <t>She takes a hose and wets the dog first.</t>
  </si>
  <si>
    <t>There is another little puppy running around the dog and a little kitten too.</t>
  </si>
  <si>
    <t>The woman takes some liquid soap and scrubs it on the dog.</t>
  </si>
  <si>
    <t>After she's done washing, she wipes him dry with a towel.</t>
  </si>
  <si>
    <t>then she bathes the little puppy the same way with soap and water.</t>
  </si>
  <si>
    <t>The dog is playing on a rug after the bath is over with wet fur on his body.</t>
  </si>
  <si>
    <t>The little puppy is running around the dog with wet fur too.</t>
  </si>
  <si>
    <t>v_aCSG6pfivy4</t>
  </si>
  <si>
    <t>A tray of cookies is shown, followed by butter being beaten in a bowl.</t>
  </si>
  <si>
    <t>Ingredients are added one at a time, mixing them all together.</t>
  </si>
  <si>
    <t>The dough is piped onto the tray, then baked.</t>
  </si>
  <si>
    <t>v_DuDF7hkrjYo</t>
  </si>
  <si>
    <t>A woman is standing in a room talking.</t>
  </si>
  <si>
    <t>She picks up a plastic bottle.</t>
  </si>
  <si>
    <t>She starts dusting a dresser.</t>
  </si>
  <si>
    <t>She wipes it off with a towel.</t>
  </si>
  <si>
    <t>She dumps olive oil onto a rag and rubs it onto the dresser.</t>
  </si>
  <si>
    <t>v_W34A9wUi-4g</t>
  </si>
  <si>
    <t>team is in a court playing futsal, running through the court, while people is siting on stands watchin the game.</t>
  </si>
  <si>
    <t>team are standing on sides charging a penalty.</t>
  </si>
  <si>
    <t>people are in a roofed gym playing and waching the game.</t>
  </si>
  <si>
    <t>v_ZoKZTceDTLA</t>
  </si>
  <si>
    <t>We see a man talking while walking through a house.</t>
  </si>
  <si>
    <t>We see another man working on the floor.</t>
  </si>
  <si>
    <t>We see a man laying tile in another room.</t>
  </si>
  <si>
    <t>Two men are in the same room working on different projects.</t>
  </si>
  <si>
    <t>We see the man talking to the camera again.</t>
  </si>
  <si>
    <t>v_eJnSC8C3OIw</t>
  </si>
  <si>
    <t>A website address is typed in.</t>
  </si>
  <si>
    <t>Skateboards skate and do tricks down stairs and on benches throughout a city.</t>
  </si>
  <si>
    <t>A skateboarder rides a concrete ramp in a skate park.</t>
  </si>
  <si>
    <t>Skateboarders ride the banks of a drainage ditch.</t>
  </si>
  <si>
    <t>Different skateboarders ride in a concrete ramp doing tricks.</t>
  </si>
  <si>
    <t>The city lights are seen at night with passing traffic in fast motion.</t>
  </si>
  <si>
    <t>v_vNyXwHA_k5A</t>
  </si>
  <si>
    <t>People are dancing on a stage.</t>
  </si>
  <si>
    <t>People in the audience are raising their hands.</t>
  </si>
  <si>
    <t>A man in a white shirt starts singing and dancing on the stage.</t>
  </si>
  <si>
    <t>v_KyDS9Zg76Jg</t>
  </si>
  <si>
    <t>A chef demonstrates how to cut and chop several vegetables as he prepares an asian inspired meal.</t>
  </si>
  <si>
    <t>A chef in a white chefs outfit in a kitchen, boils potatoes and onions in a pot.</t>
  </si>
  <si>
    <t>The chef talks to the camera and takes a series of vegetables and chops them up on a counter.</t>
  </si>
  <si>
    <t>The chef then puts the vegetables along with some oil into a bowl and sticks two large chopsticks in to showcase the finished product.</t>
  </si>
  <si>
    <t>v_x5MPJnwJrfE</t>
  </si>
  <si>
    <t>A woman is seen laying down on a table with a man tattooing her from behind.</t>
  </si>
  <si>
    <t>A woman watches on the side as the man continues tattooing and the woman having him stop.</t>
  </si>
  <si>
    <t>The woman continues trying to get the tattoo but stopping and speaking to the camera because it hurt so bad.</t>
  </si>
  <si>
    <t>v_N5J9Zb07uuQ</t>
  </si>
  <si>
    <t>A man is seen standing on a ladder and leads into several pictures of him on the ladder and then painting the wall with another.</t>
  </si>
  <si>
    <t>They're seen hanging up posters, climbing up and down ladders, and finally cutting carious foods on a large stick afterwards.</t>
  </si>
  <si>
    <t>v_qYpb_3oAM0k</t>
  </si>
  <si>
    <t>A man is sitting down on a chair.</t>
  </si>
  <si>
    <t>He starts playing an accordion in his lap.</t>
  </si>
  <si>
    <t>He stops playing and looks at the camera.</t>
  </si>
  <si>
    <t>v_QZCBVJHF81w</t>
  </si>
  <si>
    <t>A man is seen walking forward speaking to the camera and begins washing a car.</t>
  </si>
  <si>
    <t>The man scrubs all around the car while still speaking to the camera.</t>
  </si>
  <si>
    <t>He continues to wash the car and stops for a moment to speak to the camera.</t>
  </si>
  <si>
    <t>v_9_wuEvN2OnQ</t>
  </si>
  <si>
    <t>A woman is trying to play bad-mitten.</t>
  </si>
  <si>
    <t>She is hitting the shuttle cock.</t>
  </si>
  <si>
    <t>She is walking around the court, looking around.</t>
  </si>
  <si>
    <t>She is trying to play the game with not much effort.</t>
  </si>
  <si>
    <t>She hands another racket to a friend.</t>
  </si>
  <si>
    <t>She is not really playing.</t>
  </si>
  <si>
    <t>The other player is a more serious player as she serves.</t>
  </si>
  <si>
    <t>The game of bad-mitten continues as the first player missed again and again.</t>
  </si>
  <si>
    <t>People walk in front of the camera.</t>
  </si>
  <si>
    <t>The camera shows the other two players.</t>
  </si>
  <si>
    <t>The game goes on for a while longer before it ends.</t>
  </si>
  <si>
    <t>v_UoGoOznvKew</t>
  </si>
  <si>
    <t>A woman is seen looking at the camera and holding up a piece of makeup.</t>
  </si>
  <si>
    <t>She then takes out her contacts and holds up another container.</t>
  </si>
  <si>
    <t>She then puts another set of contacts in and smiles to the camera.</t>
  </si>
  <si>
    <t>v_FMUaey1tigI</t>
  </si>
  <si>
    <t>A man adjust his camera and captures a close up of his hand and face.</t>
  </si>
  <si>
    <t>A young child wearing a green shirt is playing some conga percussion instruments.</t>
  </si>
  <si>
    <t>An older boy wearing a burgundy shirt moves into the picture behind the child who is playing the Conga's and begins to dance.</t>
  </si>
  <si>
    <t>The boy in the burgundy shirt walks out of the picture as the young conga player also walks away as the camera follows him.</t>
  </si>
  <si>
    <t>The young child returns to continue playing the conga's as a child wearing a blue shirt walks behind the young conga player.</t>
  </si>
  <si>
    <t>v_4E40jmmc2N8</t>
  </si>
  <si>
    <t>A large man is seen sitting in the middle of a circle looking away from the camera.</t>
  </si>
  <si>
    <t>The man then spins himself around with a discuss in his hands.</t>
  </si>
  <si>
    <t>Finally he throws the object off into the distance.</t>
  </si>
  <si>
    <t>v_XCwPsQwzfiA</t>
  </si>
  <si>
    <t>A woman is pouring ingredients into a Kitchen aid.</t>
  </si>
  <si>
    <t>She turns it on and mixes the ingredients together.</t>
  </si>
  <si>
    <t>She pours the mixture into to cake pans.</t>
  </si>
  <si>
    <t>A piece of cake is shown on a plate.</t>
  </si>
  <si>
    <t>v_eECoZPqsTYI</t>
  </si>
  <si>
    <t>A man is seen playing drums on a set of buckets while several people walk past him and others record him.</t>
  </si>
  <si>
    <t>The man continues to play as the camera pans all around him and people continue to walk around him and show off the area.</t>
  </si>
  <si>
    <t>v_pcrNMrBmy1I</t>
  </si>
  <si>
    <t>Two teams are playing lacrosse outdoors.</t>
  </si>
  <si>
    <t>Players score and jump and run to celebrate the scores.</t>
  </si>
  <si>
    <t>A player take the ball on the stick and run to the goal to score, where a player scores.</t>
  </si>
  <si>
    <t>The board shows the winner.</t>
  </si>
  <si>
    <t>v_bKVrokdj7HM</t>
  </si>
  <si>
    <t>There's a man wearing s white shirt playing the drum set in a room.</t>
  </si>
  <si>
    <t>He begins by playing the snare drum and the bass drum.</t>
  </si>
  <si>
    <t>Then he continues playing by hitting the cymbals and the hi-hat.</t>
  </si>
  <si>
    <t>He stops for a bit and then resumes playing the drum set.</t>
  </si>
  <si>
    <t>He plays rhythmically as he picks up speed and plays the drum set.</t>
  </si>
  <si>
    <t>Then he stops and gets up to turn off the camera.</t>
  </si>
  <si>
    <t>v_8M_RipfsJI8</t>
  </si>
  <si>
    <t>A man is reaching into water and washing his face.</t>
  </si>
  <si>
    <t>A woman is working on the otherside of the water.</t>
  </si>
  <si>
    <t>The man splashes the worker with water.</t>
  </si>
  <si>
    <t>A woman looks on and laughs at the man.</t>
  </si>
  <si>
    <t>v_Da9uVKDLwVY</t>
  </si>
  <si>
    <t>A small collie is standing on top of a table.</t>
  </si>
  <si>
    <t>He is tied in place, and a man begins brushing him all over.</t>
  </si>
  <si>
    <t>He stands still as he is being groomed.</t>
  </si>
  <si>
    <t>v_ndGz8-hHSt4</t>
  </si>
  <si>
    <t>A person puts on a welding helmet.</t>
  </si>
  <si>
    <t>Then, the person weld a piece of metal.</t>
  </si>
  <si>
    <t>Then, the person finish to weld and rise his helmet but it folds down.</t>
  </si>
  <si>
    <t>v_BfSqo9ONd6g</t>
  </si>
  <si>
    <t>There's a dirt biking event going on which is sponsored by Monster energy drink.</t>
  </si>
  <si>
    <t>There are several contestants participating in the event.</t>
  </si>
  <si>
    <t>One of the contestants falls off his bike and seems like he's injured.</t>
  </si>
  <si>
    <t>He gets up right away and walks to the corner.</t>
  </si>
  <si>
    <t>v_dZMMhVx7yY4</t>
  </si>
  <si>
    <t>A man is seen speaking to the camera followed by him talking to random women on the beach.</t>
  </si>
  <si>
    <t>They play a game together and when he wins the girl gives him a kiss.</t>
  </si>
  <si>
    <t>When they lose the girl smacks him.</t>
  </si>
  <si>
    <t>Several girls laugh and play along while getting a kiss or slapping the man.</t>
  </si>
  <si>
    <t>v_Lg-mJS-BZZo</t>
  </si>
  <si>
    <t>A person is seen wearing a funny costume while holding onto a piece of machinery.</t>
  </si>
  <si>
    <t>The man pushes the machinery around the lawn while looking into the camera.</t>
  </si>
  <si>
    <t>The man continues using the machine while looking off into the camera.</t>
  </si>
  <si>
    <t>v_zUt53fHpqc8</t>
  </si>
  <si>
    <t>A group of men are shown cheering and jumping around in slow motion.</t>
  </si>
  <si>
    <t>Many people are present as trophies are displayed.</t>
  </si>
  <si>
    <t>A bunch of people gather to play beer pong and drink.</t>
  </si>
  <si>
    <t>Various shots of the action at different tables is shown and then the video cuts to an internet address to find out more information.</t>
  </si>
  <si>
    <t>v_KsKUIIHiMg0</t>
  </si>
  <si>
    <t>There are two women in a bathroom washing clothes in blue buckets filled with foamy soap water.</t>
  </si>
  <si>
    <t>The women soak the clothes in the soap water and rinse them out to clean them.</t>
  </si>
  <si>
    <t>Then she put the clothes in a large metal drum that spins rapidly to drain off excess water.</t>
  </si>
  <si>
    <t>They then go on top of their building in an open terrace where ropes are tied across the walls.</t>
  </si>
  <si>
    <t>They begin hanging the clothes on the clothesline for drying.</t>
  </si>
  <si>
    <t>v_UXc2y7lR5t0</t>
  </si>
  <si>
    <t>A boy hangs on monkey bars.</t>
  </si>
  <si>
    <t>He crosses the obstacle easily.</t>
  </si>
  <si>
    <t>He looks proud of himself.</t>
  </si>
  <si>
    <t>He smiles at the camera.</t>
  </si>
  <si>
    <t>v_hKE7vI--XGU</t>
  </si>
  <si>
    <t>A woman wearing a shawl stands in front of a tropical plant outdoors.</t>
  </si>
  <si>
    <t>A woman presents a band on stage for a performance.</t>
  </si>
  <si>
    <t>A flute player plays a part of a song during the performance.</t>
  </si>
  <si>
    <t>The band plays a song together during the performance.</t>
  </si>
  <si>
    <t>v_93jSVyXW5gc</t>
  </si>
  <si>
    <t>woman is standing in a shooting room holding a bow and throwing the arrow into a board.</t>
  </si>
  <si>
    <t>woman stands in a bg large field holding a bow and thowing arrow to baloons.</t>
  </si>
  <si>
    <t>woman is standing in a small court holding a bow and throwing an arow to an apple in a man's head.</t>
  </si>
  <si>
    <t>man is standing in a alrge green field showing a woman how to shoot an arrow and the woman pulls out a gun from the pockets and shot to the board.</t>
  </si>
  <si>
    <t>man is standing next to a tree holding a camera.</t>
  </si>
  <si>
    <t>woman is throwing arros to a watermelon.</t>
  </si>
  <si>
    <t>woman is throwing arrows to movie posters and talking to the camera.</t>
  </si>
  <si>
    <t>v_oLrkd6M2WRY</t>
  </si>
  <si>
    <t>man is talking to the camera standing next to a box.</t>
  </si>
  <si>
    <t>man is assembling a shuffleboard court in a sidewalk.</t>
  </si>
  <si>
    <t>man start playing the suffleboard hitting the pucks.</t>
  </si>
  <si>
    <t>v_CIJp-SG3sWE</t>
  </si>
  <si>
    <t>A girl walks to the edge of the diving board.</t>
  </si>
  <si>
    <t>The girl extends her hands.</t>
  </si>
  <si>
    <t>The girl dives into pool.</t>
  </si>
  <si>
    <t>The girl swims to the edge of the pool.</t>
  </si>
  <si>
    <t>v_5nvximBXhFI</t>
  </si>
  <si>
    <t>A tall garage building is shown in the dark and then several teen age boys appear skateboarding in the inside of it.</t>
  </si>
  <si>
    <t>As they come around the corner,they hold on to each others shirts and come down the slanted road in a single file line and a boy is shown holding a camera with a selfie stick recording the action.</t>
  </si>
  <si>
    <t>After,a black male appears talking in the car and the boys are then shown walking up a set of stairs.</t>
  </si>
  <si>
    <t>The action continues and all the boys join one another back in the garage and the male that was talking in the video is seen skating with the rest of the boys.</t>
  </si>
  <si>
    <t>v_WmQC309JCAI</t>
  </si>
  <si>
    <t>Men in a jerseys are standing around with their arms crossed just kind of staring into space.</t>
  </si>
  <si>
    <t>Then, you see them on the field playing a game and later talking a little bit about it.</t>
  </si>
  <si>
    <t>They each seem to recall their own memories of times they won medal and stare at their medals.</t>
  </si>
  <si>
    <t>they stand around in a small group talking and then you see an audience cheering and clapping.</t>
  </si>
  <si>
    <t>v_BaJwohtZMtA</t>
  </si>
  <si>
    <t>A person shows up on a stage dancing in the dark with an LED hula hoop.</t>
  </si>
  <si>
    <t>As the person dances the LED lights on the hula hoop begin to change colors.</t>
  </si>
  <si>
    <t>The closing credits show up on the screen as the video ends.</t>
  </si>
  <si>
    <t>v_NfjeG6AsoJA</t>
  </si>
  <si>
    <t>kids are playing on the playground in the school ground.</t>
  </si>
  <si>
    <t>kids are swingin in the swing on a side.</t>
  </si>
  <si>
    <t>little kid stands on the edge of the slide.</t>
  </si>
  <si>
    <t>v_rBsRSdPFOww</t>
  </si>
  <si>
    <t>A chef dressed in a white chef's outfit is demonstrating how to sharpen kitchen knives using a tool called Rada knife sharpener.</t>
  </si>
  <si>
    <t>He is standing in a kitchen in front of the counter that has a variety of raw vegetables displayed.</t>
  </si>
  <si>
    <t>He places a kitchen towel on the counter and then places the knife on top of it.</t>
  </si>
  <si>
    <t>He then demonstrates how to use the Rada sharpening tool to sharpen the kitchen knife by running iit back and forth in gentle and steady motion.</t>
  </si>
  <si>
    <t>v_HfpCQGe9eA0</t>
  </si>
  <si>
    <t>A guy rises to his feet.</t>
  </si>
  <si>
    <t>The guy walks on a tight rope.</t>
  </si>
  <si>
    <t>The guy turns to walk back.</t>
  </si>
  <si>
    <t>The guy walks backwards on the tight rope.</t>
  </si>
  <si>
    <t>The guy steps off the tight rope and smiles.</t>
  </si>
  <si>
    <t>v_hZRgO5Kd-rE</t>
  </si>
  <si>
    <t>A man is seen speaking to the camera and leads into various ingredients begin shown and a person slicing up cheese.</t>
  </si>
  <si>
    <t>The person mixes ingredients together and lays them on slices of bread to create a sandwich.</t>
  </si>
  <si>
    <t>The person presses the food into a presser and takes a large bite afterwards.</t>
  </si>
  <si>
    <t>v_EML3BvJxknA</t>
  </si>
  <si>
    <t>An older man is sitting in a tube while an older woman climbs on the back.</t>
  </si>
  <si>
    <t>The man in the tube is wearing skiis and eventually rides behind the boat with the woman on top.</t>
  </si>
  <si>
    <t>The couple continue riding on top of each other on the skis while the camera zooms in and out to capture the movement.</t>
  </si>
  <si>
    <t>v_3OGD7if0zs8</t>
  </si>
  <si>
    <t>A woman stands in a kitchen, staring at the camera.</t>
  </si>
  <si>
    <t>The person opens an oven and pulls out a tray of chocolate chip cookies.</t>
  </si>
  <si>
    <t>The woman stares at the cookies, and a second batch is checked.</t>
  </si>
  <si>
    <t>The woman scoops the cookies off the tray, loosening them.</t>
  </si>
  <si>
    <t>v_OVpvpvmV2pg</t>
  </si>
  <si>
    <t>A little boy is smiling close to the camera.</t>
  </si>
  <si>
    <t>He uses a wrench to remove the bolts from a kids' bike tires.</t>
  </si>
  <si>
    <t>When he is done, he laughs loudly.</t>
  </si>
  <si>
    <t>v_huI9TvxZxmM</t>
  </si>
  <si>
    <t>A man and woman dressed up on stage waiting to start their performance.</t>
  </si>
  <si>
    <t>The performance begins and the start dancing very beautifully.</t>
  </si>
  <si>
    <t>They work very well together, he picks her up on his shoulders.</t>
  </si>
  <si>
    <t>They use the chair as a prop and dance until it time to stop and then they hug.</t>
  </si>
  <si>
    <t>v_TADJh_DZOfE</t>
  </si>
  <si>
    <t>A female athlete claps her hands.</t>
  </si>
  <si>
    <t>The female athlete runs and elevates her body over a heighten hurdle.</t>
  </si>
  <si>
    <t>The female athlete rises and yells in joy.</t>
  </si>
  <si>
    <t>The female athlete dances and spins.</t>
  </si>
  <si>
    <t>The female athlete walks away.</t>
  </si>
  <si>
    <t>v_9o2iojC7gSw</t>
  </si>
  <si>
    <t>A indoor course is panned with camera in a warehouse setting.</t>
  </si>
  <si>
    <t>An athlete runs down a track and pole vaults over a high bar and onto a cushioned landing pad.</t>
  </si>
  <si>
    <t>The pole vaulter discusses events and sets down some wooden pools before use.</t>
  </si>
  <si>
    <t>The athlete discusses more and is seen on television screens doing previous pole vaults.</t>
  </si>
  <si>
    <t>The athlete sits with a coach and watches a tv screen.</t>
  </si>
  <si>
    <t>The athlete stands and talks on the track and does a warm up run jumping on the mats.</t>
  </si>
  <si>
    <t>The athlete lays on a mat next to a female athlete and stretches.</t>
  </si>
  <si>
    <t>The athlete does multiple pole vaults during practice onto the mat.</t>
  </si>
  <si>
    <t>The outside of the warehouse is seen in a city setting.</t>
  </si>
  <si>
    <t>v_x1Z_3-X49HY</t>
  </si>
  <si>
    <t>A close up of a cat is seen sitting in a person's lap.</t>
  </si>
  <si>
    <t>The person then grabs a pair of clippers and begins cutting the nails of the cat.</t>
  </si>
  <si>
    <t>He continues cutting the nails and shows off the cat paws in the end.</t>
  </si>
  <si>
    <t>v_MCnvxOLnbsg</t>
  </si>
  <si>
    <t>A silver car is parked in the street.</t>
  </si>
  <si>
    <t>A man power washes the car in the street.</t>
  </si>
  <si>
    <t>He then dries it off.</t>
  </si>
  <si>
    <t>The car is now completely clean.</t>
  </si>
  <si>
    <t>v_AyYpsQ4xOo8</t>
  </si>
  <si>
    <t>A woman talks to the camera in a street environment while pedestrians and cars pass by.</t>
  </si>
  <si>
    <t>The woman peeks out from behind a wall.</t>
  </si>
  <si>
    <t>The woman looks at a laptop screen with a man.</t>
  </si>
  <si>
    <t>The man applies a tattoo pattern to the woman's upper arm, with the video sometimes passing in accelerated time.</t>
  </si>
  <si>
    <t>The woman shows the completed tattoo while talking to the camera.</t>
  </si>
  <si>
    <t>v_O0uVjGlOW8M</t>
  </si>
  <si>
    <t>A vast ocean view is shown as a wave crashes in.</t>
  </si>
  <si>
    <t>This is repeated from several different angles.</t>
  </si>
  <si>
    <t>People are then shown surfing through the waves.</t>
  </si>
  <si>
    <t>v_ZeugCIqbsD4</t>
  </si>
  <si>
    <t>A man is standing in front of a table.</t>
  </si>
  <si>
    <t>He is holding a potato and peeler over a bowl.</t>
  </si>
  <si>
    <t>He peels the potato one strip at a time.</t>
  </si>
  <si>
    <t>v_YpA8T0ZjRIo</t>
  </si>
  <si>
    <t>Cars are getting washed at a car wash.</t>
  </si>
  <si>
    <t>A play room in the car wash is being shown.</t>
  </si>
  <si>
    <t>The outside of the car wash building is shown.</t>
  </si>
  <si>
    <t>v_vr0Wi359kWM</t>
  </si>
  <si>
    <t>An intro shows off the products of the video.</t>
  </si>
  <si>
    <t>The host shows off each product and how they help clean a shoe.</t>
  </si>
  <si>
    <t>First we see the sneaker get cleaned.</t>
  </si>
  <si>
    <t>A basketball shoe is cleaned next.</t>
  </si>
  <si>
    <t>Some ads play to close the video.</t>
  </si>
  <si>
    <t>v_j5cmc3cnLeU</t>
  </si>
  <si>
    <t>A couple dances in red outfits on a stage for a large audience on a stage lit with colorful lighting.</t>
  </si>
  <si>
    <t>A man and a woman passionately hold each other standing still in an embrace.</t>
  </si>
  <si>
    <t>The man dips his female partner down who does the splits at the end of the dance.</t>
  </si>
  <si>
    <t>v_08uNrWxxHGY</t>
  </si>
  <si>
    <t>A woman with long hair paints on a large panel in time lapse video.</t>
  </si>
  <si>
    <t>The woman is still painting the panel, but now with a change of clothing.</t>
  </si>
  <si>
    <t>The woman is still painting the panel, but with yet another change of clothing.</t>
  </si>
  <si>
    <t>The woman paints with a fourth different set of clothing.</t>
  </si>
  <si>
    <t>The woman continues to paint with a fifth different set of clothing.</t>
  </si>
  <si>
    <t>The woman continues to paint with a sixth different set of clothing.</t>
  </si>
  <si>
    <t>A closeup of the completed picture is shown.</t>
  </si>
  <si>
    <t>v_8Mdnvm8olC0</t>
  </si>
  <si>
    <t>An "IAAF" logo appears with the words "Long Jump Men".</t>
  </si>
  <si>
    <t>Several men run down a track and perform a long jump in a professional sports venue.</t>
  </si>
  <si>
    <t>A scoreboard graphic is shown for all the participating players.</t>
  </si>
  <si>
    <t>v_ScWdvpS6epQ</t>
  </si>
  <si>
    <t>People are standing on a blue mat.</t>
  </si>
  <si>
    <t>They begin doing a cheerleading routine on the mat.</t>
  </si>
  <si>
    <t>They hold up signs in front of the mat.</t>
  </si>
  <si>
    <t>v_xoXTlNWkC7w</t>
  </si>
  <si>
    <t>A black screen is shown and various white words are shown.</t>
  </si>
  <si>
    <t>After,a Caucasian man is shown playing the hand drums and stomping his foot.</t>
  </si>
  <si>
    <t>v_6YvF2YHee5I</t>
  </si>
  <si>
    <t>A shovel rakes along the snow covered ground of a yard.</t>
  </si>
  <si>
    <t>It pulls up the snow in large amounts.</t>
  </si>
  <si>
    <t>A man pulls up the shovel, and sets it aside.</t>
  </si>
  <si>
    <t>v_NurRl6_NLbg</t>
  </si>
  <si>
    <t>We see a blue intro screen.</t>
  </si>
  <si>
    <t>We see kids riding dirt bikes.</t>
  </si>
  <si>
    <t>We see another title screen and the intermediate riders are seen.</t>
  </si>
  <si>
    <t>We see the screen go blue again and we see the experts.</t>
  </si>
  <si>
    <t>Another title screen is shown and we see the credits.</t>
  </si>
  <si>
    <t>v_OixwThoO8z4</t>
  </si>
  <si>
    <t>A black screen appears and handwritten looking white text appears on the screen and it say's "Bart Rollin".</t>
  </si>
  <si>
    <t>A man is outdoors in a city skating with and without a shirt on in different locations, falling a few times and skating both at day and night while people look on at different locations, and sometimes he's alone.</t>
  </si>
  <si>
    <t>When the man is done skating the outro appears and it includes a screenshot of what looks like a bloody finger, a white screen with a male faintly drawn on it and black words scroll from bottom to top until just the white screen with the male drawing is only visible.</t>
  </si>
  <si>
    <t>v_3UOWHwwxczI</t>
  </si>
  <si>
    <t>A man is seen speaking to the camera and leads into clips of him climbing along a wall.</t>
  </si>
  <si>
    <t>The man continues climbing along the rock wall and ends by looking back to the camera.</t>
  </si>
  <si>
    <t>v_IJUokB_p3Yo</t>
  </si>
  <si>
    <t>Two boys are sitting in a booth inside a building.</t>
  </si>
  <si>
    <t>They are talking about doing clips.</t>
  </si>
  <si>
    <t>They then talk while eating bowls of vanilla ice cream.</t>
  </si>
  <si>
    <t>v_GsNyn-6DDJM</t>
  </si>
  <si>
    <t>A woman is sitting down in a chair.</t>
  </si>
  <si>
    <t>A boy is brushing her long hair.</t>
  </si>
  <si>
    <t>She laughs and covers her mouth with her hand.</t>
  </si>
  <si>
    <t>v_Z_F01eV0Iqw</t>
  </si>
  <si>
    <t>The video begins with a little boy in a motorcycle helmet, in a restaurant.</t>
  </si>
  <si>
    <t>The cameraman hands him skis.</t>
  </si>
  <si>
    <t>A woman and baby come sit near him and he attempts to walk, only to fall.</t>
  </si>
  <si>
    <t>Next are clips of the little boy skiing with his father down a snowy slope.</t>
  </si>
  <si>
    <t>At one point, he glides on a small ramp.</t>
  </si>
  <si>
    <t>He also faces a tumble.</t>
  </si>
  <si>
    <t>Soon the boy and his family load their vehicle to leave.</t>
  </si>
  <si>
    <t>The video ends with a picture of the little boy and his dad.</t>
  </si>
  <si>
    <t>v_3JNNjd9fv7U</t>
  </si>
  <si>
    <t>A woman is seen kneeling down next to a vacuum followed by several pictures of her vacuuming and moving around the carpet.</t>
  </si>
  <si>
    <t>More pictures are shown of the carpet as well as her kneeling down and she empties out a vacuum while still speaking to the camera.</t>
  </si>
  <si>
    <t>v_YnvefOl6a7k</t>
  </si>
  <si>
    <t>A man is shown standing next to a tree holding christmas decorations in his hands.</t>
  </si>
  <si>
    <t>He then hangs the decorations all around the tree while looking back and speaking to the camera.</t>
  </si>
  <si>
    <t>v_QvP8tPp8Wog</t>
  </si>
  <si>
    <t>There's a young man in a red shirt playing an acoustic guitar.</t>
  </si>
  <si>
    <t>He strums the guitar using his pick and moves his fingers along the chords.</t>
  </si>
  <si>
    <t>After he is done playing, he looks up and smiles.</t>
  </si>
  <si>
    <t>v_u3qNB8GDOzY</t>
  </si>
  <si>
    <t>A ladder is leaning against a house.</t>
  </si>
  <si>
    <t>A piece of wood goes up and down the ladder.</t>
  </si>
  <si>
    <t>v_dth916VxJUw</t>
  </si>
  <si>
    <t>A man stands in front of a set of pull up and double bars at a park.</t>
  </si>
  <si>
    <t>The man does shoulder dips on the set of parallel bars.</t>
  </si>
  <si>
    <t>The man does push ups with his feet up on the parallel bars.</t>
  </si>
  <si>
    <t>The man does pull ups on one of the bars.</t>
  </si>
  <si>
    <t>The man walks back up in front of the equipment after the routine.</t>
  </si>
  <si>
    <t>v_hOcP06xuKFg</t>
  </si>
  <si>
    <t>A person grabs a disk from a pile of disks.</t>
  </si>
  <si>
    <t>They throw it down a shuffle board.</t>
  </si>
  <si>
    <t>The continue to throw disks down the shuffleboard.</t>
  </si>
  <si>
    <t>v_gDexNGeZln0</t>
  </si>
  <si>
    <t>A person is seen speaking to the camera and leads into a close up of the ground and another person sitting on the side.</t>
  </si>
  <si>
    <t>More shots are shown of logs and sticks as well as a fire pit and a boy cutting a stick.</t>
  </si>
  <si>
    <t>v_YZacstLO0XA</t>
  </si>
  <si>
    <t>A man is demonstrating how to make a three egg omelette in his kitchen.</t>
  </si>
  <si>
    <t>He starts by cracking the eggs in a clear glass bowl.</t>
  </si>
  <si>
    <t>He then beats the eggs well and adds some butter into the saucepan.</t>
  </si>
  <si>
    <t>He pours the raw egg batter into the pan.</t>
  </si>
  <si>
    <t>He lifts the pan and moves it around to shuffle the eggs.</t>
  </si>
  <si>
    <t>He then tops is off with some grated cheese.</t>
  </si>
  <si>
    <t>He takes a fork and slides the omelette into a white plate.</t>
  </si>
  <si>
    <t>He then garnishes it with some greens on top for a healthy touch.</t>
  </si>
  <si>
    <t>v_z4qaGiWt-bo</t>
  </si>
  <si>
    <t>A team is on a field as a runner throws the ball, which the batter hits and is caught.</t>
  </si>
  <si>
    <t>The coach instructs the players as they continue the game.</t>
  </si>
  <si>
    <t>The players walk away, then a view of the ball coming at the bat is shown.</t>
  </si>
  <si>
    <t>v_mqa1ptnQWWo</t>
  </si>
  <si>
    <t>A wall is shown, covered in hanging tools.</t>
  </si>
  <si>
    <t>A man is in a workshop, talking about roofing shingles.</t>
  </si>
  <si>
    <t>He demonstrates how to apply glue, tile, and then hammer and nail the tiles into place.</t>
  </si>
  <si>
    <t>v_bQVMoeBK7XU</t>
  </si>
  <si>
    <t>A bottle of aging cream is shown and a woman begins to apply it on her face in her T-zone.</t>
  </si>
  <si>
    <t>Once it is evenly displayed,several paragraphs begin to show about the use of the product and what each week should be.</t>
  </si>
  <si>
    <t>After,a short sentence appears and tells you to go on their web page to get more details.</t>
  </si>
  <si>
    <t>v_ExMpLopi9ug</t>
  </si>
  <si>
    <t>Gymasts are standing in a competition room.</t>
  </si>
  <si>
    <t>A man mounts a beam.</t>
  </si>
  <si>
    <t>He begins to spin, flips, and do several tricks.</t>
  </si>
  <si>
    <t>He dismounts, raising his arms into the air and bowing.</t>
  </si>
  <si>
    <t>v_uzgIBU9arcU</t>
  </si>
  <si>
    <t>A baby is seen swinging back and fourth on a swing while laughing and smiling to the camera.</t>
  </si>
  <si>
    <t>The baby continues moving back and fourth while looking up to the camera and smiling.</t>
  </si>
  <si>
    <t>v_r9xmgB116dE</t>
  </si>
  <si>
    <t>An Asian woman is sitting, then she ride the skateboard and began skating on the empty road.</t>
  </si>
  <si>
    <t>The girl is skateboarding side to side, and while holding a selfie stick.</t>
  </si>
  <si>
    <t>The girl skateboard on the sidewalk, near the water, in a narrow path, and park.</t>
  </si>
  <si>
    <t>v_feYYvRmqCgI</t>
  </si>
  <si>
    <t>A group of people sitting on elevated bleachers, watch a man on a horse lasso a small black calf in a, dirt covered, indoor, rodeo ring.</t>
  </si>
  <si>
    <t>The man emerges into the ring from a floor level door, on a horse, chasing after a small black calf.</t>
  </si>
  <si>
    <t>The man simultaneously throws a rope around the calfs neck and dismounts the horse, while the horse is in motion.</t>
  </si>
  <si>
    <t>Upon landing on the ground after the dismount, the man runs to the calf and ties the calf up in the rope, and then walks back to the horse and mounts the horse again while two men enter the ring and grab for the tied up calf.</t>
  </si>
  <si>
    <t>v_iPXyExgGD5Q</t>
  </si>
  <si>
    <t>A man is shown in a bathroom choosing a toothbrush.</t>
  </si>
  <si>
    <t>He then brushes his teeth and sees blood.</t>
  </si>
  <si>
    <t>He uses listerine mouth wash for thirty seconds to kill the germs.</t>
  </si>
  <si>
    <t>v_NZ5iioSnCO8</t>
  </si>
  <si>
    <t>A close up of a table is shown as well as a man standing around the table and pointing to the side.</t>
  </si>
  <si>
    <t>Two men are watching on the side as the game continues and another man records on his phone.</t>
  </si>
  <si>
    <t>v_TlDkQ8SNG64</t>
  </si>
  <si>
    <t>A boy sits a top a camel.</t>
  </si>
  <si>
    <t>The camel begins to move with the help of a handler.</t>
  </si>
  <si>
    <t>People appear in the background.</t>
  </si>
  <si>
    <t>v_2WvbAEMG5DU</t>
  </si>
  <si>
    <t>A mother and child in swim suits build sand castles on the beach.</t>
  </si>
  <si>
    <t>The child destroys the sand castles.</t>
  </si>
  <si>
    <t>The mother throws the plastic mold frustrated.</t>
  </si>
  <si>
    <t>v_7KYj4FQUESo</t>
  </si>
  <si>
    <t>A person is shown vacuuming a large rug with a green vacuum cleaner.</t>
  </si>
  <si>
    <t>A caption comes up on the screen while the man continues to use the vacuum all over the rug.</t>
  </si>
  <si>
    <t>v_6Epn-R6sg5U</t>
  </si>
  <si>
    <t>A close up of a pool table is shown followed by a person walking around the sides.</t>
  </si>
  <si>
    <t>The person then hits a pool ball continuously around the table.</t>
  </si>
  <si>
    <t>The man then sinks the last ball and celebrates with a group of people.</t>
  </si>
  <si>
    <t>v_JUvqA51RX0Y</t>
  </si>
  <si>
    <t>A man throws a ball onto the sidewalk.</t>
  </si>
  <si>
    <t>He plays hopscotch to pick it up.</t>
  </si>
  <si>
    <t>A little kid runs around in front of him.</t>
  </si>
  <si>
    <t>v_7lNAmkaMyyg</t>
  </si>
  <si>
    <t>A man holding an ice scraper is pushing ice off of his car while the camera zoom in.</t>
  </si>
  <si>
    <t>The camera shows his hands mutiple times close up gradually pushing piece by piece of ice off.</t>
  </si>
  <si>
    <t>v_X7-1DRvX-LU</t>
  </si>
  <si>
    <t>A woman is in a living room in front of a fire.</t>
  </si>
  <si>
    <t>She cuts wrapping paper in strips, then wraps it neatly around a box.</t>
  </si>
  <si>
    <t>She tapes the box, then lays it down gently on the table.</t>
  </si>
  <si>
    <t>v_2Xfigl8xrXc</t>
  </si>
  <si>
    <t>A woman wearing a black shirt begins talking and then someone getting their legs waxed appears.</t>
  </si>
  <si>
    <t>As she talks,a layer of wax if placed on the leg and then a white piece of paper.</t>
  </si>
  <si>
    <t>v_8dhDEj0Dd5s</t>
  </si>
  <si>
    <t>A gymnast is standing at a pose waiting to begin her performance.</t>
  </si>
  <si>
    <t>She starts to twirl her baton and move her body a long with it doing flips and everything.</t>
  </si>
  <si>
    <t>She begins to do one handed cartwheels and swinging the baton around her neck.</t>
  </si>
  <si>
    <t>She does a stunning performance and once it is over she freezes in place.</t>
  </si>
  <si>
    <t>v_eoOzE3cpqVg</t>
  </si>
  <si>
    <t>A man in gear is shown pointing two guns.</t>
  </si>
  <si>
    <t>He is hiding behind rocks, sneaking up on other paintball players.</t>
  </si>
  <si>
    <t>They shoot at each other as he goes back behind the rocks to hide.</t>
  </si>
  <si>
    <t>v_FCFSLuCZKj4</t>
  </si>
  <si>
    <t>A person is using a large armed window washing mechanism to wash the exterior, front, glass window of a sandwich store.</t>
  </si>
  <si>
    <t>The person is a man with grey hair and glasses and he uses the tool to wash the very top of the window all the way to the base of the glass.</t>
  </si>
  <si>
    <t>The man continues to wash all four glass panes one by one using squiggly motions before leaving the window and walking away from the store.</t>
  </si>
  <si>
    <t>v_anO5Xhewrsw</t>
  </si>
  <si>
    <t>A little girl is sitting at a drum set with headphones on.</t>
  </si>
  <si>
    <t>She plays the drums and cymbals, keeping a fast beat.</t>
  </si>
  <si>
    <t>She bangs her head back and forth as she plays.</t>
  </si>
  <si>
    <t>v_MFfJ4V9Dqvg</t>
  </si>
  <si>
    <t>A little girl is playing in the sand.</t>
  </si>
  <si>
    <t>The girl grabs a shovel.</t>
  </si>
  <si>
    <t>A person walks in front of the camera.</t>
  </si>
  <si>
    <t>The camera pans to the water.</t>
  </si>
  <si>
    <t>The girl walks to the water.</t>
  </si>
  <si>
    <t>The girl walks into the water.</t>
  </si>
  <si>
    <t>v_RUv9YPd_0Zc</t>
  </si>
  <si>
    <t>An introduction comes onto the screen for a presentation about auto repair.</t>
  </si>
  <si>
    <t>The video displays several different parts of the car that is being worked on.</t>
  </si>
  <si>
    <t>The a dent fixing mechanism is attached to the cars to show how it works to repair one wheel.</t>
  </si>
  <si>
    <t>Then it shows another wheel being repaired by the same mechanism.</t>
  </si>
  <si>
    <t>Next, the closing credits for the video appear on the screen.</t>
  </si>
  <si>
    <t>v_Z4KErmUO3gw</t>
  </si>
  <si>
    <t>We see two ladies dancing in a field.</t>
  </si>
  <si>
    <t>We switch to ladies dancing around a bull in a rind.</t>
  </si>
  <si>
    <t>We see the ladies stand next to each other.</t>
  </si>
  <si>
    <t>We see the ladies on their knees in the field.</t>
  </si>
  <si>
    <t>We see three ladies on the field.</t>
  </si>
  <si>
    <t>We see two ladies dancing.</t>
  </si>
  <si>
    <t>We see the closing screens.</t>
  </si>
  <si>
    <t>v_r8MwPAJWPDk</t>
  </si>
  <si>
    <t>People are rock climbing up rocks.</t>
  </si>
  <si>
    <t>A person falls off of the rock into the water below.</t>
  </si>
  <si>
    <t>v_tg6HOGy0BBQ</t>
  </si>
  <si>
    <t>A man sits down with his leg on a chair.</t>
  </si>
  <si>
    <t>A person puts waxing strips on his leg and pulls off the hair.</t>
  </si>
  <si>
    <t>He puts his shirt over his face.</t>
  </si>
  <si>
    <t>v_SSldR9yOJq8</t>
  </si>
  <si>
    <t>A person wearing a costume is seen standing and posing inside a canoe and eventually pushes themselves down the river.</t>
  </si>
  <si>
    <t>The person moves in the canoe slowly and the camera follows him moving along the water in the canoe.</t>
  </si>
  <si>
    <t>v_ubR7XPBJQH8</t>
  </si>
  <si>
    <t>Two men are seen performing martial arts moves against one another and leads into a man speaking.</t>
  </si>
  <si>
    <t>The man then demonstrates several martial arts moves with another man while still speaking to the camera.</t>
  </si>
  <si>
    <t>The man continues these motions while stopping to demonstrate how it's properly done.</t>
  </si>
  <si>
    <t>v_KKEyKFmatq0</t>
  </si>
  <si>
    <t>People are playing a game of soccer in an indoor arena.</t>
  </si>
  <si>
    <t>A man picks up the ball and throws it someone else.</t>
  </si>
  <si>
    <t>People fall onto the arena floor.</t>
  </si>
  <si>
    <t>v_KujAY-AST9M</t>
  </si>
  <si>
    <t>Guys stand around in an indoor court.</t>
  </si>
  <si>
    <t>Two guys play relay soccer, an athlete touches the hands of his opponent and a goalie before he kicks a served ball.</t>
  </si>
  <si>
    <t>A player kicks the ball towards the goalie from center court.</t>
  </si>
  <si>
    <t>The guys pause for a short while.</t>
  </si>
  <si>
    <t>v_3X2CY79a0X8</t>
  </si>
  <si>
    <t>A man pushes a lawnmower cutting down a high patch of weeds in a yard.</t>
  </si>
  <si>
    <t>The man turns over the lawnmower on its side then clears out tangled grass.</t>
  </si>
  <si>
    <t>The man backs up and swings the lawnmower around in a circle and turns the lawnmower in the opposite direction.</t>
  </si>
  <si>
    <t>v_9g1omTdpoYs</t>
  </si>
  <si>
    <t>Various cupcakes are shown sitting on a plate and lettering comes up stating how to make them.</t>
  </si>
  <si>
    <t>Several ingredients are shown and the person mixing the ingredients together in a bowl.</t>
  </si>
  <si>
    <t>The person blends all the ingredients and puts them in a pan to cook.</t>
  </si>
  <si>
    <t>The cupcakes are finally cooked and set out on a plate to enjoy.</t>
  </si>
  <si>
    <t>v_s6pFNNnub80</t>
  </si>
  <si>
    <t>Several pictures are shown of nails close up and leads into a person painting text onto a nail.</t>
  </si>
  <si>
    <t>The person shows close ups of nail polish and continues painting on the nail.</t>
  </si>
  <si>
    <t>The woman finishes her design and shows off another picture of nails.</t>
  </si>
  <si>
    <t>v_2bEr09bbqAA</t>
  </si>
  <si>
    <t>A man sits in a kayak and holds his oar in a river showing how to use it properly.</t>
  </si>
  <si>
    <t>The man leans back in his kayak to show balance techniques.</t>
  </si>
  <si>
    <t>The kayak rider paddles into the white wash below a water fall and flips over then rights himself again.</t>
  </si>
  <si>
    <t>v_yyUmEgvq3B0</t>
  </si>
  <si>
    <t>A man is seen walking with a chair and puts it in the middle of a bowling lane.</t>
  </si>
  <si>
    <t>He high fives the audience and throws the ball over the chair and hits all the pins.</t>
  </si>
  <si>
    <t>He same shot is shown several times and he sits down in his chair laughing.</t>
  </si>
  <si>
    <t>v_5Z5DAI4Grb0</t>
  </si>
  <si>
    <t>A title page pans into hands holding a paint brush with a portrait in the background.</t>
  </si>
  <si>
    <t>She holds another picture beside her and pushes the brush into paint.</t>
  </si>
  <si>
    <t>She then begins painting the picture and adding more color to the portrait.</t>
  </si>
  <si>
    <t>v_6V6XB0KmYkk</t>
  </si>
  <si>
    <t>A large group of people are seen playing hockey around an arena performing various tricks with the puck.</t>
  </si>
  <si>
    <t>The men continue to hit the puck around one another as the camera captures them from several sides.</t>
  </si>
  <si>
    <t>The man push the puck around more over and under obstacles.</t>
  </si>
  <si>
    <t>v_2i_rotAjuoE</t>
  </si>
  <si>
    <t>First there is a screen shown for a small amount of time letting viewers know what this video is about.</t>
  </si>
  <si>
    <t>Then there is a man riding different horses in different settings where people watch them.</t>
  </si>
  <si>
    <t>In the first one, the horse runs with him on his back and he tries to jump over a wooden obstacle, but fails and there are many more fails.</t>
  </si>
  <si>
    <t>v_4wiLmu1yTZI</t>
  </si>
  <si>
    <t>A man with curly hair is seen speaking to the camera with a serious conviction.</t>
  </si>
  <si>
    <t>He then brushes through his hair with a dog in frame and shows off his poofy hair.</t>
  </si>
  <si>
    <t>He then is seen again with wet hair and closes his eyes to the camera.</t>
  </si>
  <si>
    <t>v_eyWerZITH1Y</t>
  </si>
  <si>
    <t>A man jumps onto a balance beam.</t>
  </si>
  <si>
    <t>They begin to do a gymnastics routine on the balance beam.</t>
  </si>
  <si>
    <t>They jump off onto a mat next to it.</t>
  </si>
  <si>
    <t>v_-4Q_zG9EChY</t>
  </si>
  <si>
    <t>A man is seen standing on a rope and begins walking across the rope.</t>
  </si>
  <si>
    <t>The man continues walking while the camera captures his movements.</t>
  </si>
  <si>
    <t>He walks all along the rope to the end and jumps off.</t>
  </si>
  <si>
    <t>v_hhHiBeL08-M</t>
  </si>
  <si>
    <t>A close up of a porch is shown with the camera panning all around.</t>
  </si>
  <si>
    <t>The camera walks to the end of the porch.</t>
  </si>
  <si>
    <t>The camera turns around while still looking at the porch.</t>
  </si>
  <si>
    <t>v_ZbFyGkfGFcE</t>
  </si>
  <si>
    <t>Children are playing on the beach.</t>
  </si>
  <si>
    <t>They are building a sand castle.</t>
  </si>
  <si>
    <t>A girl dumps a bucket full of sand in front of her.</t>
  </si>
  <si>
    <t>v_wIthr5w6RV4</t>
  </si>
  <si>
    <t>A man in a hat is talking to a camera.</t>
  </si>
  <si>
    <t>He is dressed up in a sumo wrestling outfit and playing curling.</t>
  </si>
  <si>
    <t>He is playing tennis on a tennis court.</t>
  </si>
  <si>
    <t>v_uaqcvxz_5fY</t>
  </si>
  <si>
    <t>A city view is seen from a skyscraper.</t>
  </si>
  <si>
    <t>Two men are shown cleaning windows on the side of the building.</t>
  </si>
  <si>
    <t>They squeegee and wipe down the glass professionally.</t>
  </si>
  <si>
    <t>They then check their work before finishing.</t>
  </si>
  <si>
    <t>v_ZGSi-QAkf5A</t>
  </si>
  <si>
    <t>There some geese flying in the sky above a park.</t>
  </si>
  <si>
    <t>A man is talking in his microphone as some men are playing cricket behind him in the park.</t>
  </si>
  <si>
    <t>It is a sunny day with geese walking around the park and people enjoying a casual game of cricket.</t>
  </si>
  <si>
    <t>There's a man hitting the ball with his cricket bat and another person trying to catch his ball.</t>
  </si>
  <si>
    <t>A squirrel is sitting on the park bench and enjoying the sunshine as well.</t>
  </si>
  <si>
    <t>v_CB0yYGVNcOk</t>
  </si>
  <si>
    <t>A man is seen playing a saxophone into the camera and leads into him speaking.</t>
  </si>
  <si>
    <t>More shots are shown of him playing the instrument while pausing to play more.</t>
  </si>
  <si>
    <t>He continues playing along and ends by smiling to the camera.</t>
  </si>
  <si>
    <t>v_fkUnZB6NTT8</t>
  </si>
  <si>
    <t>Several people are shown in photos, gathered together in winter gear in the snow.</t>
  </si>
  <si>
    <t>They ride in intertubes down a hill together, laughing and talking with each other.</t>
  </si>
  <si>
    <t>They are then shown in after even celebratory photos, posing together.</t>
  </si>
  <si>
    <t>v_s3HhNlysFDs</t>
  </si>
  <si>
    <t>A cross appears in the style of the tile under the water in a pool.</t>
  </si>
  <si>
    <t>A man in a swim cap swims through the water toward the camera.</t>
  </si>
  <si>
    <t>He is shown swimming from numerous angles.</t>
  </si>
  <si>
    <t>v_o4_Vi7asvxg</t>
  </si>
  <si>
    <t>Two people are dressed in all black riding their bicycles down the road.</t>
  </si>
  <si>
    <t>The two boys are then pictured on a split screen against each other putting on their helmets.</t>
  </si>
  <si>
    <t>The two then put on their green biking gloves and get back on the bikes.</t>
  </si>
  <si>
    <t>A skate park is then shown and one of the boys begin doing tricks over the bumps.</t>
  </si>
  <si>
    <t>Once completed,the bikes are walked over and the boys begin to shake each others hand.</t>
  </si>
  <si>
    <t>After the tricks continue and they keep jumping and doing tricks over the hills.</t>
  </si>
  <si>
    <t>v_Xr8zB1aIBzg</t>
  </si>
  <si>
    <t>People wait in an indoor gym as the instructor walks out.</t>
  </si>
  <si>
    <t>The class starts a stepercize class using black boxes.</t>
  </si>
  <si>
    <t>The class finishes by waving their arms and the instructor walks away.</t>
  </si>
  <si>
    <t>v_ZA_XYgP4fMA</t>
  </si>
  <si>
    <t>Two men are seen arm wrestling with one another while holding their arms down to the sides.</t>
  </si>
  <si>
    <t>They keep starting again until one of them eventually wins.</t>
  </si>
  <si>
    <t>v_y3Wfx-RvTpk</t>
  </si>
  <si>
    <t>A man is standing under a basketball goal.</t>
  </si>
  <si>
    <t>A group of boys is listening to the coach.</t>
  </si>
  <si>
    <t>They begin warming up by doing lay ups.</t>
  </si>
  <si>
    <t>The boys line up, prepared to play the game.</t>
  </si>
  <si>
    <t>v_OVpila9fAaQ</t>
  </si>
  <si>
    <t>people are in a lake wakeboarding being pulled by a boat.</t>
  </si>
  <si>
    <t>a lot of people are standing on a dock watching the wakeboarding competition.</t>
  </si>
  <si>
    <t>people are walking on the dock wearing winter clothes.</t>
  </si>
  <si>
    <t>v_ZXEc0cahpuw</t>
  </si>
  <si>
    <t>There is a woman whose wearing nothing but shorts and a tshirt.</t>
  </si>
  <si>
    <t>She is shown sitting on a rock while washing the little bit of clothes she has in the river.</t>
  </si>
  <si>
    <t>v_LOINRpWGrlw</t>
  </si>
  <si>
    <t>Someone is at the bowling alley on a lane with a red ball.</t>
  </si>
  <si>
    <t>He throws the ball, his foot goes up and the ball rolls to hit the pins.</t>
  </si>
  <si>
    <t>Multiple people take their turns doing the same stance and everything more or less.</t>
  </si>
  <si>
    <t>You never see the balls hit the pins just everyone throwing the ball.</t>
  </si>
  <si>
    <t>v_-1IlTIWPNs4</t>
  </si>
  <si>
    <t>A cameraman walks down a snowy driveway to capture a young child shoveling up snow.</t>
  </si>
  <si>
    <t>The boy speaks into the camera and continues pushing the snow around with a shovel.</t>
  </si>
  <si>
    <t>v_nYlAXMmPWw0</t>
  </si>
  <si>
    <t>Five women are in a room dancing.</t>
  </si>
  <si>
    <t>They dance around in a circle.</t>
  </si>
  <si>
    <t>They continue dancing together in the room.</t>
  </si>
  <si>
    <t>v_-ntEh6HpeX0</t>
  </si>
  <si>
    <t>A woman wearing gloves is in front of a sink.</t>
  </si>
  <si>
    <t>She sprays it down with a cleaning solution.</t>
  </si>
  <si>
    <t>She then scrubs the sink until it is clean.</t>
  </si>
  <si>
    <t>v_ct3uprBbPHw</t>
  </si>
  <si>
    <t>A man stands in front of the camera, then starts combing his hair forward.</t>
  </si>
  <si>
    <t>He then focuses on the sides and back of his hair, again combing down.</t>
  </si>
  <si>
    <t>He brings the brush all around his hair, adding his left hand to swipe along.</t>
  </si>
  <si>
    <t>v_NSegylr0MBg</t>
  </si>
  <si>
    <t>We see a man adjust the camera and shake his hair.</t>
  </si>
  <si>
    <t>We see commentary on the screen.</t>
  </si>
  <si>
    <t>The image is in color and the man blow drys his hair.</t>
  </si>
  <si>
    <t>The man uses a brush and instructions appear.</t>
  </si>
  <si>
    <t>We see more instructions on the screen.</t>
  </si>
  <si>
    <t>Instruction tell views to mold hair.</t>
  </si>
  <si>
    <t>More instructions appear on the screen.</t>
  </si>
  <si>
    <t>The man adds pomades to his hair.</t>
  </si>
  <si>
    <t>The man brushes his hair with a brush.</t>
  </si>
  <si>
    <t>We see the scene go dark and the writing appears on the screen.</t>
  </si>
  <si>
    <t>v_L-rPS8tlAy4</t>
  </si>
  <si>
    <t>A horse runs wild with a trainer chasing after it.</t>
  </si>
  <si>
    <t>A horse runs after and bucks a bull that charges it with its horns.</t>
  </si>
  <si>
    <t>The horse is let out of the coral by the cowboys.</t>
  </si>
  <si>
    <t>The horses intestines hang from its body from the injury.</t>
  </si>
  <si>
    <t>The horse lies on the ground having a seizure.</t>
  </si>
  <si>
    <t>A bull chases after a cowboy on a horse carrying a lasso.</t>
  </si>
  <si>
    <t>v_dm5WXFiQZUQ</t>
  </si>
  <si>
    <t>A motorcyclist is in the bed and is woken up by an alarm clock.</t>
  </si>
  <si>
    <t>The motorcyclist gets out of bed and prepares to leave by bathing using the bathroom and reading the newspaper.</t>
  </si>
  <si>
    <t>He rides the motorcycle down the hall and into the elevator.</t>
  </si>
  <si>
    <t>He exits the building and rides the motorcycle into a casino where he performs several tricks as people watch.</t>
  </si>
  <si>
    <t>He exits the casino and the closing credits show up on the screen.</t>
  </si>
  <si>
    <t>v_k7nuduqYOdQ</t>
  </si>
  <si>
    <t>A close up of a weight is shown.</t>
  </si>
  <si>
    <t>Several individuals are shown lifting barbells with weights in various ways in a gym while other individuals watch or exercise in the background.</t>
  </si>
  <si>
    <t>A screen with a logo and contact information is shown.</t>
  </si>
  <si>
    <t>v_HxenZkvSkPc</t>
  </si>
  <si>
    <t>We see a lady walking a dog.</t>
  </si>
  <si>
    <t>We see a man walking the dog.</t>
  </si>
  <si>
    <t>We return to the lady walking the dog.</t>
  </si>
  <si>
    <t>The dog pulls the lady down the street.</t>
  </si>
  <si>
    <t>We see the lady and the man talking.</t>
  </si>
  <si>
    <t>The man walks the dog up the stairs and in the driveway.</t>
  </si>
  <si>
    <t>We see the lady put a harness son the dog and walk him as the man watches.</t>
  </si>
  <si>
    <t>We then see the black closing screen.</t>
  </si>
  <si>
    <t>v_2b_hjshny54</t>
  </si>
  <si>
    <t>Female swimmer jump off into the water at a swim meet.</t>
  </si>
  <si>
    <t>They quickly race down the swim lanes.</t>
  </si>
  <si>
    <t>The swimmers repeatedly go back and forth down the swim lanes using various swimming techniques.</t>
  </si>
  <si>
    <t>v_RuBLAghI1vE</t>
  </si>
  <si>
    <t>There are some people curling in an indoor ice rink.</t>
  </si>
  <si>
    <t>There are some girls getting ready with the curling sticks and prepping the rink to play curling.</t>
  </si>
  <si>
    <t>Two girls dressed in black gear are playing the game as they go through the rink with their curling sticks pushing the rock.</t>
  </si>
  <si>
    <t>One of the players glides through the floor and pushes the rock to the end of the rink.</t>
  </si>
  <si>
    <t>The two players continue playing as they go through the rink and slide the rocks till the end of the line.</t>
  </si>
  <si>
    <t>Two other players wearing pink play the game as they slide the rocks through the rink.</t>
  </si>
  <si>
    <t>v_1FMjfLRpXwM</t>
  </si>
  <si>
    <t>The lady in black is doing a hairstyle tutorial and demonstrating on another woman who is seated next to her.</t>
  </si>
  <si>
    <t>She shows the hairspray that she has used on the model.</t>
  </si>
  <si>
    <t>She uses the hairspray on the model's hair and sprays it.</t>
  </si>
  <si>
    <t>She then takes a pair of scissors and cuts the rubber band off and spray her hair again.</t>
  </si>
  <si>
    <t>She pulls her braid apart and rubs her fingers over it.</t>
  </si>
  <si>
    <t>She then twists the braid and pins it up on the model's head.</t>
  </si>
  <si>
    <t>She twists it again and tightens it up and secures it with a pin again.</t>
  </si>
  <si>
    <t>She also makes a bun out of the braid to complete the hairstyle.</t>
  </si>
  <si>
    <t>She shows the hairspray bottle again that she has used on the model.</t>
  </si>
  <si>
    <t>v_jCw0kBph-v4</t>
  </si>
  <si>
    <t>A man and woman are standing in a starkly white room.</t>
  </si>
  <si>
    <t>They lay plastic on the ground and fill a tub with white paint.</t>
  </si>
  <si>
    <t>They then demonstrate how to hang a strip of wallpaper onto the wall.</t>
  </si>
  <si>
    <t>v_6azNzt8rXAs</t>
  </si>
  <si>
    <t>A man is seen practicing his ping pong abilities followed by him playing the game against another person.</t>
  </si>
  <si>
    <t>A man watches on the side as the men continue to play with more people stopping to watch.</t>
  </si>
  <si>
    <t>v_hKLDr9ZaDb8</t>
  </si>
  <si>
    <t>A woman in a bikini is standing in a room.</t>
  </si>
  <si>
    <t>She begins to hula hoop with a lit up hula hoop.</t>
  </si>
  <si>
    <t>The hula hoop is seen sitting next to a shirt.</t>
  </si>
  <si>
    <t>v_O67GDqPk_ug</t>
  </si>
  <si>
    <t>A person walks into frame holding a tool and cutting a tree up and down.</t>
  </si>
  <si>
    <t>The person continues using the tool on the tree and uses a small one to finish out the sides, presenting a small tree in the end.</t>
  </si>
  <si>
    <t>v_fKbrGn6c3us</t>
  </si>
  <si>
    <t>A woman is standing in front of an ironing board while talking.</t>
  </si>
  <si>
    <t>She shows off a white shirt, which she sprays with something in a can.</t>
  </si>
  <si>
    <t>She arranges the shirt on the ironing board, then begins to iron the shirt.</t>
  </si>
  <si>
    <t>After she irons the shirt, the screen goes to an advertisement for Expert Village.</t>
  </si>
  <si>
    <t>v_I8doQJXPqwo</t>
  </si>
  <si>
    <t>Two women are at the carwash.</t>
  </si>
  <si>
    <t>A car is covered in soap suds.</t>
  </si>
  <si>
    <t>The women begin to use a water hose to clean off the soap.</t>
  </si>
  <si>
    <t>They work the hose and brush all over the car.</t>
  </si>
  <si>
    <t>They finish hosing it off.</t>
  </si>
  <si>
    <t>v_dj_GBrR5N4E</t>
  </si>
  <si>
    <t>A young man prepares to complete a routine on the parallel bars.</t>
  </si>
  <si>
    <t>Many people are in bleachers in the background walking around, sitting and watching.</t>
  </si>
  <si>
    <t>The young man uses a spring board to mount the bars.</t>
  </si>
  <si>
    <t>A man standing nearby pulls the spring board out of the way.</t>
  </si>
  <si>
    <t>Several judges sit at a table in front of the bleachers watching.</t>
  </si>
  <si>
    <t>The young man completes his parallel bar routine.</t>
  </si>
  <si>
    <t>The young man then dismounts, lands and bows.</t>
  </si>
  <si>
    <t>He walks away as another man in the same uniform approaches.</t>
  </si>
  <si>
    <t>v_Lg6QZST92xo</t>
  </si>
  <si>
    <t>A close up of a log is seen and a person swinging an ax up and down.</t>
  </si>
  <si>
    <t>The person swings the ax against the dog and cuts it in half.</t>
  </si>
  <si>
    <t>The person performs this several more times.</t>
  </si>
  <si>
    <t>v_tydn-vo3DaY</t>
  </si>
  <si>
    <t>Various people are seen doing sit ups with other's help and transitions into several shots of people performing grueling tasks.</t>
  </si>
  <si>
    <t>One man climbs a wall and does push ups while another is interviewed by the camera and several people climb a wall.</t>
  </si>
  <si>
    <t>More shots of the people exercising are shown as well as climbing rock walls and several push ups.</t>
  </si>
  <si>
    <t>v_C6OmnTWhsEc</t>
  </si>
  <si>
    <t>A man wearing a white shirt and frog pattern headgear touches his nipples while holding a recorder.</t>
  </si>
  <si>
    <t>The man brings the recorder to his right nostril.</t>
  </si>
  <si>
    <t>The man begins to play the recorder.</t>
  </si>
  <si>
    <t>The scene cuts to the man, having finished playing, bowing while touching his nipples.</t>
  </si>
  <si>
    <t>v_bqA-WmqF19E</t>
  </si>
  <si>
    <t>People are playing pool in a room.</t>
  </si>
  <si>
    <t>A man shoots at the ball and makes it into the pocket.</t>
  </si>
  <si>
    <t>People are standing behind him playing pool on another table.</t>
  </si>
  <si>
    <t>v_OhpILjGpQTs</t>
  </si>
  <si>
    <t>We see the title card fade out.</t>
  </si>
  <si>
    <t>We see two kids on a camel at a carnival.</t>
  </si>
  <si>
    <t>The man leads the camel out of the pen as he smokes a cigarette.</t>
  </si>
  <si>
    <t>They pass the petting zoo.</t>
  </si>
  <si>
    <t>We see the mom taking pictures of the kids.</t>
  </si>
  <si>
    <t>The ending card is shown.</t>
  </si>
  <si>
    <t>v_5CtecK635eI</t>
  </si>
  <si>
    <t>There is one man who's in the room with two other men and he lifts up a weigh that weighs over 400 pounds.</t>
  </si>
  <si>
    <t>Next he lifts up a weight that is heavier than the last one.</t>
  </si>
  <si>
    <t>He gets, a handshake and a hug from an elderly man.</t>
  </si>
  <si>
    <t>Then someone gives him money and someone else who's sitting in a chair gives him a highfive.</t>
  </si>
  <si>
    <t>v_RO5WKh6dViA</t>
  </si>
  <si>
    <t>A group of children play on playground equipment watched by parents.</t>
  </si>
  <si>
    <t>A child swings across the monkey bars.</t>
  </si>
  <si>
    <t>The child gets to the other side bows and runs back to the monkey bars jumping and laughing.</t>
  </si>
  <si>
    <t>The child jumps around happily and falls down but get right back up.</t>
  </si>
  <si>
    <t>v_8874vqLm958</t>
  </si>
  <si>
    <t>A woman is seen on an elliptical trainer in an ad.</t>
  </si>
  <si>
    <t>Then we see the various components and options for using the machine.</t>
  </si>
  <si>
    <t>A woman scrolls through a digital screen, then is seen riding the elliptical.</t>
  </si>
  <si>
    <t>v_ZG4ApSk5iKw</t>
  </si>
  <si>
    <t>A man is doing various tasks while doing crunches.</t>
  </si>
  <si>
    <t>He raises the back on his work out machine and starts doing crunches again.</t>
  </si>
  <si>
    <t>He sits up and continues talking to the camera.</t>
  </si>
  <si>
    <t>v_FrVitupq7sQ</t>
  </si>
  <si>
    <t>Two men are seen standing on a tennis court holding rackets and speaking to the camera.</t>
  </si>
  <si>
    <t>Several slow motion scenes are shown performing a correct tennis serve with the men demonstrating right after.</t>
  </si>
  <si>
    <t>The men do this for several turns with one slow motion of a man performing the trick done afterwards.</t>
  </si>
  <si>
    <t>v_eUvvxpAK3_8</t>
  </si>
  <si>
    <t>A man is seen speaking to the camera and begins polishing a black shoe with a brush.</t>
  </si>
  <si>
    <t>He points around the shoe and flips the shoe around with his hands.</t>
  </si>
  <si>
    <t>v_HVmZOfkh8Pk</t>
  </si>
  <si>
    <t>A boy talks in a field, then he plays with a person using a stick to hit a ball.</t>
  </si>
  <si>
    <t>The boy throws the ball to the other boy and score.</t>
  </si>
  <si>
    <t>The boys talk in the field.</t>
  </si>
  <si>
    <t>v_AItKK-a8eEI</t>
  </si>
  <si>
    <t>We see people surfing in the ocean Two men are taking images.</t>
  </si>
  <si>
    <t>We see a title screen then two men stand on the beach with a camera.</t>
  </si>
  <si>
    <t>We see the surfers in the ocean.</t>
  </si>
  <si>
    <t>We see the third title screen and two men on the beach with a camera.</t>
  </si>
  <si>
    <t>We then see the surfers in the ocean.</t>
  </si>
  <si>
    <t>We see a man on a boat with a camera.</t>
  </si>
  <si>
    <t>We then see the closing title screen.</t>
  </si>
  <si>
    <t>v_7LhgGs4TrYA</t>
  </si>
  <si>
    <t>a man is seated, talking to the camera.</t>
  </si>
  <si>
    <t>He is wearing a suit and tie with a colorful background.</t>
  </si>
  <si>
    <t>He continues talking, using his hands as he goes.</t>
  </si>
  <si>
    <t>v_fruimvo90vA</t>
  </si>
  <si>
    <t>A woman is seen running down a long track and jumping into a pit.</t>
  </si>
  <si>
    <t>The camera watches her as she walks away and sticks her tongue out to another person.</t>
  </si>
  <si>
    <t>v__Yt94ffXcCE</t>
  </si>
  <si>
    <t>A boy welds a piece of metal in an indoor shop while wearing a protective coat, helmet, goggles and gloves.</t>
  </si>
  <si>
    <t>A boy in a shop talks to the camera while standing in front of a piece of metal and handling welding tools in preparation to weld.</t>
  </si>
  <si>
    <t>The boy begins to weld creating extreme sparks of fire like reactions in front of him over the material being welded.</t>
  </si>
  <si>
    <t>The boy shows a close up of the red hot tip of the tool, finishes welding, and pans the camera to another young boy dressed in the same protective welding gear behind him.</t>
  </si>
  <si>
    <t>v__AuJBnTClQ8</t>
  </si>
  <si>
    <t>Several close ups are shown of a razor that leads into a man shaving another's face.</t>
  </si>
  <si>
    <t>The man shows his face again with the shaver putting cream on and beginning to shave.</t>
  </si>
  <si>
    <t>The man uses various tools on the other to shave as well as speaks to the camera.</t>
  </si>
  <si>
    <t>v_iCveBOc8JzM</t>
  </si>
  <si>
    <t>A young lady shows a a beauty cream bottle.</t>
  </si>
  <si>
    <t>Then, the young girl puts cream on hrs finger and rubs her shoulder.</t>
  </si>
  <si>
    <t>v_v0NEZPgjcXI</t>
  </si>
  <si>
    <t>A video game for WWE professional wrestling starts, showing a three on one match.</t>
  </si>
  <si>
    <t>The player controlling Roman Reigns hits a big move on his opponent, and his team comes in for a big coordinated attack.</t>
  </si>
  <si>
    <t>v_S9KUHyvFuGc</t>
  </si>
  <si>
    <t>man is riding a horse inside a barn and with a rope catch a bull.</t>
  </si>
  <si>
    <t>man is standing on side of te barn.</t>
  </si>
  <si>
    <t>v_v7OW60YncY4</t>
  </si>
  <si>
    <t>A man is seen speaking to a camera and leads into he pouring liquid into a bowl and rubbing it into a wooden object.</t>
  </si>
  <si>
    <t>He then paints down the area with a brush and nails fabric to the back, creating a chair and having the camera pan down.</t>
  </si>
  <si>
    <t>v_z60D7p37Lws</t>
  </si>
  <si>
    <t>A woman spins a young boy in circles.</t>
  </si>
  <si>
    <t>The boy is holding a long stick and wearing a blindfold.</t>
  </si>
  <si>
    <t>The woman stops spinning the boy and aims him at a pinata hanging from the ceiling.</t>
  </si>
  <si>
    <t>The boy swings and hits the pinata once.</t>
  </si>
  <si>
    <t>He then swings and misses many times.</t>
  </si>
  <si>
    <t>The boy finally gives up and takes the blindfold off.</t>
  </si>
  <si>
    <t>A different woman walks in and stops near the pinata.</t>
  </si>
  <si>
    <t>v_eNq-jGrQuV0</t>
  </si>
  <si>
    <t>A small young boy is outside running across a green field,he then reappears wearing a green helmet and a stick in his hand that is shaped like a paddle.</t>
  </si>
  <si>
    <t>The boy then gathers with the rest of his team,they stand in a line, and begins scrimmaging against one another.</t>
  </si>
  <si>
    <t>As the game continues,the kids run back and forth across the field and the coaches trail behind them.</t>
  </si>
  <si>
    <t>v_l_36uVP3LnI</t>
  </si>
  <si>
    <t>A screen says triple jump on it.</t>
  </si>
  <si>
    <t>A man is standing in a field before running and jumping into a square of dirt.</t>
  </si>
  <si>
    <t>He walks away from the jump and talks to the camera.</t>
  </si>
  <si>
    <t>It is shown again in slow motion.</t>
  </si>
  <si>
    <t>v_-ux1hQSR1AM</t>
  </si>
  <si>
    <t>An athletic man dressed in blue approaches the gymnastic horse and stands there and stares at it for a few seconds.</t>
  </si>
  <si>
    <t>The man then approaches it and puts his two hands on it and begins doing various moves on it where he twists, turns and maneuvers his body very skillfully all around the gymnastic horse.</t>
  </si>
  <si>
    <t>The the man finishes the end of his routine and jumps off of the gymnastic horse landing on his two feet, holds his two arms up in the air, claps his hands once and then takes a bow.</t>
  </si>
  <si>
    <t>v_x7M1yRFtnxY</t>
  </si>
  <si>
    <t>People are running around obstacles playing a game of paintball.</t>
  </si>
  <si>
    <t>A boy looks around a corner and gets down on the ground.</t>
  </si>
  <si>
    <t>An American flag is shown on the screen.</t>
  </si>
  <si>
    <t>v_vF-XFROSmv4</t>
  </si>
  <si>
    <t>There's a man wearing a white colored vest and blue hard hat rowing in a yellow row boat with double sided oar.</t>
  </si>
  <si>
    <t>He is demonstrating the correct way to row the boat while staying afloat.</t>
  </si>
  <si>
    <t>He is in a water body that has some strong waves.</t>
  </si>
  <si>
    <t>He is showing how to do the strokes with the oars to go against the water current.</t>
  </si>
  <si>
    <t>He goes in circles as he demonstrates how to row against powerful waves.</t>
  </si>
  <si>
    <t>v_7ezC4N3ArmQ</t>
  </si>
  <si>
    <t>men are at sides of table playing beerpong.</t>
  </si>
  <si>
    <t>a man is sitting in a chair next to the table watching the men while are playing.</t>
  </si>
  <si>
    <t>the men are Accommodating the cups on the table.</t>
  </si>
  <si>
    <t>v_Marb8CMxPV0</t>
  </si>
  <si>
    <t>Various people are seen standing in an open area performing several tricks with their dogs.</t>
  </si>
  <si>
    <t>Many people watch on the sidelines and more people continue to show tricks with their dogs.</t>
  </si>
  <si>
    <t>Several people are interviewed by the camera and leads into even more tricks being shown.</t>
  </si>
  <si>
    <t>v_6ZUHLsyJ6yo</t>
  </si>
  <si>
    <t>A line of drummers play inside a superdome.</t>
  </si>
  <si>
    <t>Several bass drummers appear wearing jerseys.</t>
  </si>
  <si>
    <t>They all play a beat as people with cameras walk between them.</t>
  </si>
  <si>
    <t>v__gnMuU1UJnM</t>
  </si>
  <si>
    <t>A black screen appears with white words that read "SPORT BEZ BARIER CURLING NA WOZKACH".</t>
  </si>
  <si>
    <t>An ice cleaner is now riding on an ice rink, and then people on wheelchairs start wheeling onto the rink.</t>
  </si>
  <si>
    <t>A woman on a wheelchair begins speaking and the words on the screen say her name is "Agnieszka Kachel".</t>
  </si>
  <si>
    <t>The rink is shown again and it shows gray objects with colorful tops are being pushed on the ice with sticks that the people in wheelchairs are holding and it switches back and forth to the woman talking alone and to the people on the ice playing.</t>
  </si>
  <si>
    <t>A white outro screen appears with black letters that include a list of names, websites and logos.</t>
  </si>
  <si>
    <t>v_dXLhYjRSNcs</t>
  </si>
  <si>
    <t>A gymnast is seen climbing onto a set of uneven bars and performing a routine while many watch on the side.</t>
  </si>
  <si>
    <t>He performs various flips and tricks and ends by jumping down and putting his arms up.</t>
  </si>
  <si>
    <t>v_w_PJ9N8CMo8</t>
  </si>
  <si>
    <t>A man washes his face in front of a mirror.</t>
  </si>
  <si>
    <t>He laughs at the camera.</t>
  </si>
  <si>
    <t>He rubs his face some more.</t>
  </si>
  <si>
    <t>He bends into the sink to rinse it.</t>
  </si>
  <si>
    <t>v_iBpyYbLv1WU</t>
  </si>
  <si>
    <t>A man is strumming away on his guitar aggressively.</t>
  </si>
  <si>
    <t>Another man with a blue guitar is playing and knocking around all over his guitar.</t>
  </si>
  <si>
    <t>A man in a red shirt who has an electric guitar is tapping his foot keeping tempo and playing a tune.</t>
  </si>
  <si>
    <t>He plays up and down a scale or tune.</t>
  </si>
  <si>
    <t>v_azCsE98qwus</t>
  </si>
  <si>
    <t>A woman wearing a red outfit raises her hands and feet, alternating them in a slow and methodical fashion.</t>
  </si>
  <si>
    <t>She puts on a show on a stage, going back and forth fluidly.</t>
  </si>
  <si>
    <t>The woman turns in several different directions, providing different actions before standing straight and still as her finale.</t>
  </si>
  <si>
    <t>v_Z5lRHCRBA_E</t>
  </si>
  <si>
    <t>A black screen with white zooming text of a girls performance on the uneven bars.</t>
  </si>
  <si>
    <t>A gymnast strides to the uneven bars jumps off a board and grabs on to the bars and goes through her routine.</t>
  </si>
  <si>
    <t>There is text that appears on the screen describing what she has to do.</t>
  </si>
  <si>
    <t>She ends her routine and lands on the mat as the crowd cheers.</t>
  </si>
  <si>
    <t>A black screen with white text appears followed by the gymnasts score.</t>
  </si>
  <si>
    <t>v_IC-Rd7ouQmE</t>
  </si>
  <si>
    <t>A group of people are seen sitting on bikes and waiting before a track.</t>
  </si>
  <si>
    <t>A bar let's go and the men ride around a long track on the bikes behind one another.</t>
  </si>
  <si>
    <t>v_x3WVWHn3teI</t>
  </si>
  <si>
    <t>A man is seen standing in front of a bike speaking to the camera and leads into shots of him riding around.</t>
  </si>
  <si>
    <t>The man continues to speak to the camera as more shots are shown of him riding the dirt bike around a track.</t>
  </si>
  <si>
    <t>v__gO4UzCTqhk</t>
  </si>
  <si>
    <t>A woman is seen speaking to the camera in front of a large bush.</t>
  </si>
  <si>
    <t>The woman then uses a shovel along some dirt.</t>
  </si>
  <si>
    <t>The camera pans around the plant when she is finished.</t>
  </si>
  <si>
    <t>v_UIH5arBo3-Y</t>
  </si>
  <si>
    <t>An older man with glasses and gray hairs sits and sings as he plays the guitar.</t>
  </si>
  <si>
    <t>The man pauses for a second.</t>
  </si>
  <si>
    <t>The man finishes his song and stops.</t>
  </si>
  <si>
    <t>We see the ending title screen with a cat on it.</t>
  </si>
  <si>
    <t>v_cNCrFL2l83o</t>
  </si>
  <si>
    <t>A bald man is standing next to the counter with glass and stirrer in front of him.</t>
  </si>
  <si>
    <t>The man put ice in the glass, put clear liquid in the glass, added orange juice, he mix the contents as he pour the orange juice, then add red liquid that fell under the orange juice.</t>
  </si>
  <si>
    <t>v_FutaoYIC4Ok</t>
  </si>
  <si>
    <t>A young lady roller skate on the road in the forest.</t>
  </si>
  <si>
    <t>Then she arrives pass on front of an abandoned car.</t>
  </si>
  <si>
    <t>v_d1doBRc_hAM</t>
  </si>
  <si>
    <t>A man is seen riding on a treadmill followed by several images of the treadmill and a man taking pictures.</t>
  </si>
  <si>
    <t>A person undoes the machine and then rides on the machine and leads into more people taking pictures of the machine and people riding.</t>
  </si>
  <si>
    <t>v_LAU_pVRs9RQ</t>
  </si>
  <si>
    <t>Two men are sitting at the table with their arms on the table, they are positioned for arm wrestling.</t>
  </si>
  <si>
    <t>A in blue shirt is standing at the center holding both hands of the player.</t>
  </si>
  <si>
    <t>The man with the bear broke his arm after the other man push it down.</t>
  </si>
  <si>
    <t>v_iPPfX25MUQ0</t>
  </si>
  <si>
    <t>Tourists rides camels while people pull the camels with a rope.</t>
  </si>
  <si>
    <t>Men helps a couple to unload the camels and feed them.</t>
  </si>
  <si>
    <t>v_eD2SW7ibzmM</t>
  </si>
  <si>
    <t>Two men start dancing on a stage.</t>
  </si>
  <si>
    <t>They put their hands up next to their face.</t>
  </si>
  <si>
    <t>An album of a woman is shown on the screen.</t>
  </si>
  <si>
    <t>v_blCvgADz8LY</t>
  </si>
  <si>
    <t>A man bends down and picks up a large weight.</t>
  </si>
  <si>
    <t>He lifts it up over his head.</t>
  </si>
  <si>
    <t>He then drops it onto the ground.</t>
  </si>
  <si>
    <t>v_3792wPKkdXI</t>
  </si>
  <si>
    <t>a man and a woman are arm wrestling on top of a table in middle of stage and the woman wins.</t>
  </si>
  <si>
    <t>people are in stands around the stage watching the competition.</t>
  </si>
  <si>
    <t>v_tokwDYW6rS0</t>
  </si>
  <si>
    <t>A Howcast logo is the opening scene of the video.</t>
  </si>
  <si>
    <t>A woman is showing paintings of her work.</t>
  </si>
  <si>
    <t>An instructional slide is shown.</t>
  </si>
  <si>
    <t>The woman is explaining the materials used.</t>
  </si>
  <si>
    <t>She then describes the brushes she uses.</t>
  </si>
  <si>
    <t>She shows the paint pallet and various colors of paint.</t>
  </si>
  <si>
    <t>She explains the bottles of paint.</t>
  </si>
  <si>
    <t>She then instructs on how to clean the brushes with liquid and paper towels.</t>
  </si>
  <si>
    <t>The video ends with the same logo it started with.</t>
  </si>
  <si>
    <t>v_n04N7AuqZsY</t>
  </si>
  <si>
    <t>A group of girls in field hockey outfits walks onto a green field in a line.</t>
  </si>
  <si>
    <t>The girls are then seen in front of a male coach talking to them and pointing to spots on the field.</t>
  </si>
  <si>
    <t>Several girls are interviewed from the field and bleachers before and as video of the girls practicing field hockey are shown.</t>
  </si>
  <si>
    <t>The girls are then shown playing field hockey on a large green field interspersed with an interview from the coach.</t>
  </si>
  <si>
    <t>v_tww0AR8NanU</t>
  </si>
  <si>
    <t>man is standing talking to the camera showing a big metal piece.</t>
  </si>
  <si>
    <t>te man in the room is playing the harmonica.</t>
  </si>
  <si>
    <t>the man stops playing and keeps talking to the camera in a small white room.</t>
  </si>
  <si>
    <t>v_Scjxbdh6b54</t>
  </si>
  <si>
    <t>A white BMW 3 series is in a garage being cleaned by two men wearing safety jackets.</t>
  </si>
  <si>
    <t>Once the front is cleaned,the men move towards the back spraying the vehicle and come back to spray the rim and go back to the trunk to get all of the spots.</t>
  </si>
  <si>
    <t>v_1P_BTFhNZFo</t>
  </si>
  <si>
    <t>There are two girls wearing sparkly blue tank tops and black skirts doing a coordinated dance with sticks in their hands in a gym.</t>
  </si>
  <si>
    <t>They begin by facing their backs to the camera and break into a dance move by raising their sticks up in the air.</t>
  </si>
  <si>
    <t>Then they fling their sticks in the air and catch it and turn around to face the camera.</t>
  </si>
  <si>
    <t>They continue dancing in coordination by going in circles and twirling their bodies simultaneously.</t>
  </si>
  <si>
    <t>Then they do front flips together and continue twirling their bodies in circular motion.</t>
  </si>
  <si>
    <t>One of the dancers does a front flip while the other throws the stick in the air and catches it.</t>
  </si>
  <si>
    <t>They continue dancing as they fling their sticks and catch them in their hands as they coordinate themselves.</t>
  </si>
  <si>
    <t>After they're finished with the dancing, they stand together and wave to the camera.</t>
  </si>
  <si>
    <t>v_4WNso9fVJG8</t>
  </si>
  <si>
    <t>A woman with short hair is wearing an earphone and eyeglasses is showing two clips, then she clipped both sides of her hair, showed her blue and white contact lenses containers and removed her eyeglasses.</t>
  </si>
  <si>
    <t>She showed her hand, then showed a sclera lenses, and put it on her right eye pupil, went closer to the camera to show her eye, then removed the contact lens from her eye by pinching it.</t>
  </si>
  <si>
    <t>v_pT2fO9vlVn0</t>
  </si>
  <si>
    <t>A man is shown in a gym class leading at as the people step up and down on thier steppers.</t>
  </si>
  <si>
    <t>The man is very enthusiastically jumping up and down trying to keep the motivation going.</t>
  </si>
  <si>
    <t>He is very into it as is the class and they are dancing in sync with each other.</t>
  </si>
  <si>
    <t>They conclude the routine by clapping and celebrating their hard work.</t>
  </si>
  <si>
    <t>v_TZ9JbvClnZA</t>
  </si>
  <si>
    <t>A close up of a bowling lane is seen with a man standing in front.</t>
  </si>
  <si>
    <t>The man throws a ball down the lane and hits several pins.</t>
  </si>
  <si>
    <t>He finally walks back up the lane.</t>
  </si>
  <si>
    <t>v_TvlCdfubl9Y</t>
  </si>
  <si>
    <t>man wearing a green shirt is assembling a bicycle on the middle of a living room.</t>
  </si>
  <si>
    <t>another man wearing a blue sweater is helping the other man assembling the bicycles.</t>
  </si>
  <si>
    <t>men are assembling three bicycles on living room.</t>
  </si>
  <si>
    <t>v_8sTJGmY-SGQ</t>
  </si>
  <si>
    <t>A man is seen standing with his arms up and walks in between a set of uneven bars.</t>
  </si>
  <si>
    <t>The man then hopes up on the bars and begins spinning himself around.</t>
  </si>
  <si>
    <t>He continues spinning on the bars and ends by jumping down on the sides.</t>
  </si>
  <si>
    <t>v_5Chl3x_mx40</t>
  </si>
  <si>
    <t>The players are playing curling in an ice court.</t>
  </si>
  <si>
    <t>The players pushed the stone and two people are brushing the front of the stone until it reached the target.</t>
  </si>
  <si>
    <t>An Asian girl pushed the stone and the other girl is brushing the front of the stone until it hit other stones.</t>
  </si>
  <si>
    <t>v_gY-8BUnSgf4</t>
  </si>
  <si>
    <t>A Man is shown throwing a bowling ball down a lane.</t>
  </si>
  <si>
    <t>It then intercuts to a bunch of different throws of the ball towards the pins.</t>
  </si>
  <si>
    <t>A woman interview the professional bowler and put on an apparatus on his wrist.</t>
  </si>
  <si>
    <t>He then is shown gripping the ball and makes a throw in slow motion.</t>
  </si>
  <si>
    <t>This is shown several times from different angles.</t>
  </si>
  <si>
    <t>After a series of these action shots, the video then moves to a man speaking directly into the camera, with the logo of the show appearing as it ends.</t>
  </si>
  <si>
    <t>v_QNKjKB4k4D0</t>
  </si>
  <si>
    <t>A man on a horse goes through a rodeo fence.</t>
  </si>
  <si>
    <t>He dismounts, roping and tying a calf.</t>
  </si>
  <si>
    <t>When he is done, he walks back to his horse and gets back on.</t>
  </si>
  <si>
    <t>v_DlE6Rtuo__o</t>
  </si>
  <si>
    <t>A close up of a tattoo artist is seen drawing along a person's leg.</t>
  </si>
  <si>
    <t>The artist continues drawing all over the person's leg while looking up every once in a while to the camera.</t>
  </si>
  <si>
    <t>v_h1bdAd1cXSw</t>
  </si>
  <si>
    <t>A young child is seen walking to the end of a diving board and looking off into the camera.</t>
  </si>
  <si>
    <t>The boy then dives into the water and the camera captures him moving from underwater.</t>
  </si>
  <si>
    <t>v_wqThk38AdEA</t>
  </si>
  <si>
    <t>woman is standing in the middle of stage playing the flute.</t>
  </si>
  <si>
    <t>women are standing in sage behind the woman with the flute standing holding microphones.</t>
  </si>
  <si>
    <t>men are standing behind the women playing different instruments.</t>
  </si>
  <si>
    <t>v_nDggAkf1ulc</t>
  </si>
  <si>
    <t>There's a little girl in a pink shirt and black tights and pink shoes playing hop scotch in a playground.</t>
  </si>
  <si>
    <t>She jumps around on the colorful squares as she has fun.</t>
  </si>
  <si>
    <t>Then she goes around a small water fountain that is next to the hop scotch squares.</t>
  </si>
  <si>
    <t>She is enjoying herself running around in the playground.</t>
  </si>
  <si>
    <t>v_Tg1G0EtWw9s</t>
  </si>
  <si>
    <t>A man is seated at a black jack table.</t>
  </si>
  <si>
    <t>He is talking about the game and showing the cards and chips.</t>
  </si>
  <si>
    <t>He shows how to deal each hand, and how to dispense the chips to the winners.</t>
  </si>
  <si>
    <t>v_gtd2Ye-raxE</t>
  </si>
  <si>
    <t>A male gymnast hops up onto bars and begins performing a gymnastics routine.</t>
  </si>
  <si>
    <t>He swings around the bars over and over again while the judges watch and critique.</t>
  </si>
  <si>
    <t>The man eventually jumps off and the video fades away into an effect.</t>
  </si>
  <si>
    <t>v_fQDj7pnGdVY</t>
  </si>
  <si>
    <t>A man wearing boxing gloves is seen hitting a bag in an empty room.</t>
  </si>
  <si>
    <t>He continuously hits the bag over and over again while pausing in between punches to catch his breath.</t>
  </si>
  <si>
    <t>v_WlYhEPyLcBc</t>
  </si>
  <si>
    <t>Two couples play badminton in a court.</t>
  </si>
  <si>
    <t>A man enter in the court and goes to sit left the court with other person.</t>
  </si>
  <si>
    <t>v_h8cXVe6N6Oc</t>
  </si>
  <si>
    <t>There's a woman long black hair looking in a mirror and brushing her hair.</t>
  </si>
  <si>
    <t>There's another woman with blond hair that makes a face looking angry and disgusted.</t>
  </si>
  <si>
    <t>v_EsYsshh2CyA</t>
  </si>
  <si>
    <t>A bartender begins speaking to the camera and pours ice into a glass.</t>
  </si>
  <si>
    <t>She think instructs to mix rum and lemon juice into the glass and an ounce of different rum.</t>
  </si>
  <si>
    <t>Finally she mixes grenadine with some sweet and sour mix with soda water.</t>
  </si>
  <si>
    <t>Finally she mixes all the components together and creates a nice alcoholic beverage.</t>
  </si>
  <si>
    <t>v_Z3jo5hbPo1Q</t>
  </si>
  <si>
    <t>A young girl is standing on a stage in front of 4 judges that are sitting along a table and they are talking to her.</t>
  </si>
  <si>
    <t>The girl then begins her performance where she is dancing ballet and singing and when they pan to the judges and the audience they seem pleased with her performance.</t>
  </si>
  <si>
    <t>When the girl is done performing, she gets a standing ovation from the audience and some of the judges.</t>
  </si>
  <si>
    <t>The judges then take turns speaking with her expressing their approval, and the girl is very happy about it.</t>
  </si>
  <si>
    <t>The girl then runs off the stage and behind the curtains she gives a man who is possibly her dad, a kiss and a hug.</t>
  </si>
  <si>
    <t>v_FC5FsugGt8o</t>
  </si>
  <si>
    <t>A group of women are seen walking around a sandy area and begin playing a match of volleyball with one another.</t>
  </si>
  <si>
    <t>The girls continue playing the match while others watch on the sidelines and walk back slowly in the end.</t>
  </si>
  <si>
    <t>v_m210FwMsnTQ</t>
  </si>
  <si>
    <t>A girl does a balance beam routine and jumps around.</t>
  </si>
  <si>
    <t>After stretching, the woman does four flips.</t>
  </si>
  <si>
    <t>The woman dismounts and finishes the routine.</t>
  </si>
  <si>
    <t>v_oFtwNVuasmU</t>
  </si>
  <si>
    <t>On a river outside the boys are walking down the street as cars pass by.</t>
  </si>
  <si>
    <t>There are many people out doing many different activities on the water.</t>
  </si>
  <si>
    <t>Some of the boys do jumps off the bridge and other are riding behind a boat.</t>
  </si>
  <si>
    <t>it's a nice summer day to be out and enjoy fun in the sun by the water.</t>
  </si>
  <si>
    <t>v_fYQTAuBS7zw</t>
  </si>
  <si>
    <t>A guy shows you how to hold a small sharp ending stick in your hand and between your fingers to use as a weapon.</t>
  </si>
  <si>
    <t>The man shows you how to throw the sharp ended stick into the wall and make it stick from different distances.</t>
  </si>
  <si>
    <t>v_zKYqEsVfEnU</t>
  </si>
  <si>
    <t>Two men are seen standing together with one speaking to the camera and the other laying on the floor.</t>
  </si>
  <si>
    <t>The man kneels behind him and points to his body while the man laying door moves his arms and legs to demonstrate proper exercises.</t>
  </si>
  <si>
    <t>v_bj4nkWPdqIY</t>
  </si>
  <si>
    <t>A close up of a track is shown followed by a woman walking slowly away.</t>
  </si>
  <si>
    <t>Several shots are then shown of her performing long jumps in various places.</t>
  </si>
  <si>
    <t>She continues jumping in slow motion and ends with her landing in one last pit.</t>
  </si>
  <si>
    <t>v_Wm1CL_g91G4</t>
  </si>
  <si>
    <t>There's a lady in green sanding the counter giving out tickets to people who are purchasing them for snow tubing.</t>
  </si>
  <si>
    <t>Several people are out snow tubing down a snow caped slope.</t>
  </si>
  <si>
    <t>People are going downhill on their snow tubes wearing winter gear and goggles.</t>
  </si>
  <si>
    <t>Some of them are snow tubing in groups of threes.</t>
  </si>
  <si>
    <t>They are enjoying themselves coming down the slope rapidly.</t>
  </si>
  <si>
    <t>v_PXBcPu2_KOo</t>
  </si>
  <si>
    <t>An athlete climbs on the pommel horse to perform jumps and flips.</t>
  </si>
  <si>
    <t>The athlete flips backwards and then continues with her routine.</t>
  </si>
  <si>
    <t>The athlete stands on the border on the pommel horse and runs to jump, then flips and fall stand on the floor.</t>
  </si>
  <si>
    <t>v_dyLGepr7VR0</t>
  </si>
  <si>
    <t>Two men and a woman are seen walking up onto a stage while a group of people are seen behind them in mirrors.</t>
  </si>
  <si>
    <t>The three then perform a dance routine while the people in the audience follow from behind.</t>
  </si>
  <si>
    <t>The man pump up the crowd and continue dancing as the others follow along in the mirror.</t>
  </si>
  <si>
    <t>v_ShozMaLUS20</t>
  </si>
  <si>
    <t>Old man is raking leaves outside his home in the fall.</t>
  </si>
  <si>
    <t>Man is narrating the action.</t>
  </si>
  <si>
    <t>There is a bike parked next to the house.</t>
  </si>
  <si>
    <t>v_50MmJszF2XM</t>
  </si>
  <si>
    <t>A female coach and cheer director talks to the camera.</t>
  </si>
  <si>
    <t>She then spots a little girl through a backflip.</t>
  </si>
  <si>
    <t>She helps her do several different tasks, explaining the process as they go.</t>
  </si>
  <si>
    <t>v_7Ozl-ud1zTo</t>
  </si>
  <si>
    <t>A large group of people are seen standing on a beach looking off into the distance.</t>
  </si>
  <si>
    <t>Several shots are shown of people riding a surf board and others watching on the side.</t>
  </si>
  <si>
    <t>More people are seen riding the waves in various shots.</t>
  </si>
  <si>
    <t>v_7XGimCWcafc</t>
  </si>
  <si>
    <t>A large off-roading truck drives by along a dirt track next to a body of water and comes to a stop.</t>
  </si>
  <si>
    <t>Many spectators approach the vehicle, while the driver climbs out of the vehicle and attempts to remove a tire from the back of the truck.</t>
  </si>
  <si>
    <t>A worker and some assistants approaches the vehicle with a spare tire, and some men begin to jack up the rear of the truck to try to replace the rear passenger side tire.</t>
  </si>
  <si>
    <t>While the tire is being replaced, the driver climbs back into the truck, and a specator takes a picture of the vehicle.</t>
  </si>
  <si>
    <t>Other spectators come to the driver side to talk with the driver.</t>
  </si>
  <si>
    <t>The tire is replaced and the truck drives off.</t>
  </si>
  <si>
    <t>A detailed look at the tire that was replaced is shown.</t>
  </si>
  <si>
    <t>v_Uw_4gKpmAhI</t>
  </si>
  <si>
    <t>There are three contractors remodeling a house that is torn down for renovation.</t>
  </si>
  <si>
    <t>One of the contractors is cementing a brick wall.</t>
  </si>
  <si>
    <t>The other contractor is breaking an existing wall in the living room.</t>
  </si>
  <si>
    <t>The entire house is under renovation with furniture and boxes lying around the house with dust.</t>
  </si>
  <si>
    <t>v_5Q8ltS84BBg</t>
  </si>
  <si>
    <t>kid is sitting in a red room talkin to the camera.</t>
  </si>
  <si>
    <t>the kid grabs a guitar and start playing it and singing.</t>
  </si>
  <si>
    <t>kid is playing the guitar and talking to the camera in a small room.</t>
  </si>
  <si>
    <t>v_MOH9q_3Z9zg</t>
  </si>
  <si>
    <t>A little girl is shown in several images receiving a haircut.</t>
  </si>
  <si>
    <t>She is then shown in video form as her long hair is cut off in the style of a ponytail, meant to be donated to a group called Locks of Love.</t>
  </si>
  <si>
    <t>The girl is shown in various photos, holding the hair she is going to donate.</t>
  </si>
  <si>
    <t>v_J8Ziy8QR8WQ</t>
  </si>
  <si>
    <t>Guys throw balls on a field.</t>
  </si>
  <si>
    <t>A guy holds a few balls and talks.</t>
  </si>
  <si>
    <t>A man holding a flat bat walks across the field followed by a male holding one ball in each hand.</t>
  </si>
  <si>
    <t>Two men sit with one man holding a flat bat.</t>
  </si>
  <si>
    <t>Guys hit balls with the flat bat.</t>
  </si>
  <si>
    <t>v__9v34KLET0g</t>
  </si>
  <si>
    <t>A man is seen speaking to the camera behind a table with various ingredients and glasses laid out.</t>
  </si>
  <si>
    <t>The man mixes the ingredients into a glass together and juices a lime into the glass.</t>
  </si>
  <si>
    <t>He then pushes the ingredients around and pours liquids into the glass, creating an alcoholic drink.</t>
  </si>
  <si>
    <t>He presents the glass while the ingredients list is laid out and he walks away from the frame.</t>
  </si>
  <si>
    <t>v_n8gFxENOyR0</t>
  </si>
  <si>
    <t>A man is wearing a contraption which holds his small son on his back as he hikes in the woods.</t>
  </si>
  <si>
    <t>We see the boy playing in an indoor porch at the house.</t>
  </si>
  <si>
    <t>The boy runs into the yard and his dad puts a helmet on him and helps him skateboard.</t>
  </si>
  <si>
    <t>The dad skateboards and holds the boy.</t>
  </si>
  <si>
    <t>We then see the ending screen and switch to the boy sitting on a rock high five his dad and we return to the close screen.</t>
  </si>
  <si>
    <t>v_P4dx0xrr6fM</t>
  </si>
  <si>
    <t>An athlete walks onto a field.</t>
  </si>
  <si>
    <t>He spins in circles around a platform.</t>
  </si>
  <si>
    <t>He tosses a ball a great distance, and walks away.</t>
  </si>
  <si>
    <t>v_tuhEnqKmUKg</t>
  </si>
  <si>
    <t>There's a teenage boy wearing a black beanie hat skateboarding through the city streets.</t>
  </si>
  <si>
    <t>He skateboards wearing a white shirt while jumping over a small cement wall.</t>
  </si>
  <si>
    <t>Then he jumps over another wall while skateboarding.</t>
  </si>
  <si>
    <t>Then in a green shirt, he skateboards past a school, straight into a basketball court and then jumps over a metal railing.</t>
  </si>
  <si>
    <t>Then back in a white shirt, he tries stunts by jumping up to a metal hand rail on his skateboard.</t>
  </si>
  <si>
    <t>v_YAWoigyJ9sA</t>
  </si>
  <si>
    <t>A person is drinking from a coffee cup and looking away from the camera.</t>
  </si>
  <si>
    <t>His eyes pand up to the camera at the last second and he smiles.</t>
  </si>
  <si>
    <t>v_uWJUoJyvFF0</t>
  </si>
  <si>
    <t>A woman is sitting in a living room on a couch talking to the camera explaining what she is about to do.</t>
  </si>
  <si>
    <t>The camera pans down and the lady begins showing important aspects of the object she is knitting.</t>
  </si>
  <si>
    <t>When she is done,she grabs the needle,puts the thread in it and finishes knitting.</t>
  </si>
  <si>
    <t>v_0_GpcrCLdag</t>
  </si>
  <si>
    <t>First a boy is shown eating a thin waffle.</t>
  </si>
  <si>
    <t>then an elderly lady is shown drinking water from a small glass.</t>
  </si>
  <si>
    <t>Next there is a little boy shown dipping his hand into a parfait and then grabbing a spoon from another boy and then eating the parfait.</t>
  </si>
  <si>
    <t>Finally a boy is shown eating a spoonful of a milkshake from a glass that has waffles in it.</t>
  </si>
  <si>
    <t>v_Ygt3z-K-ZMQ</t>
  </si>
  <si>
    <t>Women mix a variety of alcoholic drinks for consumption.</t>
  </si>
  <si>
    <t>Steps are shown for a beautiful whiskey sour.</t>
  </si>
  <si>
    <t>v_tmBTO0cA_qw</t>
  </si>
  <si>
    <t>A man stands in front of a counter with his hands down in front of equipment.</t>
  </si>
  <si>
    <t>He uses the surface to rub a knife blade back and forth, sharpening it.</t>
  </si>
  <si>
    <t>When he is done, he checks the blade before lying the knife back down.</t>
  </si>
  <si>
    <t>v_o7z-u08tc-Y</t>
  </si>
  <si>
    <t>A small group of people are seen holding onto a rope and playing tug of war.</t>
  </si>
  <si>
    <t>The camera pans around the other team playing with the group while others watch on the side.</t>
  </si>
  <si>
    <t>The people continue playing back and fourth and end by smiling to the camera.</t>
  </si>
  <si>
    <t>v_W0dCIs9Y8yg</t>
  </si>
  <si>
    <t>The camera follows a small child on skis as he or she maneuvers past a crowd of people.</t>
  </si>
  <si>
    <t>The child skis down a slope with other people at various points along the trail.</t>
  </si>
  <si>
    <t>The child stops as the cameraperson approaches.</t>
  </si>
  <si>
    <t>v_R2qPyJVTUlI</t>
  </si>
  <si>
    <t>Women are dressed up in fancy clothing.</t>
  </si>
  <si>
    <t>A woman is putting something onto another woman's body.</t>
  </si>
  <si>
    <t>v_T8nteSe3U9Q</t>
  </si>
  <si>
    <t>A man and a woman stand outside while he sprays her with sunblock.</t>
  </si>
  <si>
    <t>They are both laughing and having a good time.</t>
  </si>
  <si>
    <t>She turns around so he can get her back thoroughly as they both playfully flirt with each other.</t>
  </si>
  <si>
    <t>He starts to spray her and she gives him directions as to where he missed applying it.</t>
  </si>
  <si>
    <t>She then turns around for him to get her arms, face and any of the other areas that he missed.</t>
  </si>
  <si>
    <t>v_OLRDf3vO8lw</t>
  </si>
  <si>
    <t>Family day at the beach, father and son are walking around and then they start to play in the sand.</t>
  </si>
  <si>
    <t>They have a sand in buckets trying to build sand castles.</t>
  </si>
  <si>
    <t>When they take the bucket up the sand isn't very stable at all.</t>
  </si>
  <si>
    <t>The little boy goes and kick down all the castle parts that they were creating.</t>
  </si>
  <si>
    <t>v_gvHQDDF7EGU</t>
  </si>
  <si>
    <t>A man is seen playing a saxophone and transitions from various locations of the person playing the instrument.</t>
  </si>
  <si>
    <t>The man is then seen side by side with himself and more shots of him playing in a room.</t>
  </si>
  <si>
    <t>v_30y8Uy0B_uk</t>
  </si>
  <si>
    <t>A man is hanging on a rock wall and talking to the camera.</t>
  </si>
  <si>
    <t>The man swings back and fourth and how to keep your balance when rock climbing.</t>
  </si>
  <si>
    <t>He begins climbing up the wall and talking about keeping straight arms.</t>
  </si>
  <si>
    <t>He continues climbing up the wall and where to position your feet and how to push.</t>
  </si>
  <si>
    <t>He finally makes it to the top of the rock wall and faces the camera.</t>
  </si>
  <si>
    <t>v_YED3l3gkrk4</t>
  </si>
  <si>
    <t>A tutorial is given on how to make a perfect french manicure.</t>
  </si>
  <si>
    <t>An advertisement is shown at the end.</t>
  </si>
  <si>
    <t>v_RGVDeXqN1ao</t>
  </si>
  <si>
    <t>A woman dressed in a black shirt representing the company Bents is standing in a garden and demonstrating how to use Cellophane to wrap a plant for gift purposes.</t>
  </si>
  <si>
    <t>She cuts a rectangular piece of the Cellophane and place the pot over it in the center.</t>
  </si>
  <si>
    <t>Then she brings to together the edges of the Cellophane towards the top of the plant.</t>
  </si>
  <si>
    <t>She takes a decorate piece of ribbon to tie the scrunched up cellophane together to make it look like a bow on top.</t>
  </si>
  <si>
    <t>v_vBdm15wRqig</t>
  </si>
  <si>
    <t>Boys get out a train and walk in the street holding surfboards.</t>
  </si>
  <si>
    <t>They, the boys surf in a choppy river in a city.</t>
  </si>
  <si>
    <t>A boy put his surfboard on the rives,jump on and surf, then fell, also other boys surf.</t>
  </si>
  <si>
    <t>After, the boys are inside a train.</t>
  </si>
  <si>
    <t>v_ysbUc6WS12k</t>
  </si>
  <si>
    <t>There's a bon fire lit in an open ground next to some tents and bikes.</t>
  </si>
  <si>
    <t>There's a person dressed in a biker's suit who comes up and sets fire to a pile of wood sticks.</t>
  </si>
  <si>
    <t>The fire begins to spread through the twigs and wood sticks and bursts into large flames.</t>
  </si>
  <si>
    <t>v_-YjGbsbDoxs</t>
  </si>
  <si>
    <t>A lady named Linda, creator of Paint Along is demonstrating how to do an acrylic painting.</t>
  </si>
  <si>
    <t>She starts with a one inch flat brush and yellow and white acrylic paint.</t>
  </si>
  <si>
    <t>She makes X patterns across the canvas with the yellow color.</t>
  </si>
  <si>
    <t>She continues the same pattern on the top part of the canvas.</t>
  </si>
  <si>
    <t>Then she draws straight lines across the canvas with an orange color.</t>
  </si>
  <si>
    <t>She then takes a liner brush to do some finer detailing on the painting such as branches of a tree.</t>
  </si>
  <si>
    <t>She takes a flatter brush to demonstrate a dabbing technique with excess paint to show flower petals.</t>
  </si>
  <si>
    <t>She ends the video with the abstract painting technique.</t>
  </si>
  <si>
    <t>v_jdAJ7cJBxnQ</t>
  </si>
  <si>
    <t>We see a man in a pool playing a game while a man in white stands on the sideline waving his arm.</t>
  </si>
  <si>
    <t>The ball is thrown and the goalie in front of the net jumps to stop the ball.</t>
  </si>
  <si>
    <t>The goalie then dips deep underwater.</t>
  </si>
  <si>
    <t>v_hHpcr5tYWso</t>
  </si>
  <si>
    <t>An Asian woman with black hair in beige jacket and printed blouse, is talking in front of the camera.</t>
  </si>
  <si>
    <t>Four black and white kites with blue and yellow diamond print on them are flying from the ground, a green octopus, dragons and other shapes of kites are flying in the sky, while men in red pull the kites.</t>
  </si>
  <si>
    <t>v_r5NqGSZsN0E</t>
  </si>
  <si>
    <t>A young woman is shown sitting down and speaking to the camera white holding a shirt.</t>
  </si>
  <si>
    <t>She ties the shirt around her arm and dips it into the water and scrubs it with her hands.</t>
  </si>
  <si>
    <t>v_bF55ewgaJLA</t>
  </si>
  <si>
    <t>A man is seated in a chair, holding a saxophone.</t>
  </si>
  <si>
    <t>He stands as he plays, his fingers moving up and down the instrument.</t>
  </si>
  <si>
    <t>The screen cuts to black and white text.</t>
  </si>
  <si>
    <t>v_hZD-CjWt0Rg</t>
  </si>
  <si>
    <t>A player's stats show on the screen.</t>
  </si>
  <si>
    <t>Montages of several indoor soccer games show.</t>
  </si>
  <si>
    <t>The stats of the player are shown again.</t>
  </si>
  <si>
    <t>v_8H3Wy96BwHM</t>
  </si>
  <si>
    <t>We see numbers slots on asphalt.</t>
  </si>
  <si>
    <t>We then see kids riding BMX bikes cut with scenes of other things.</t>
  </si>
  <si>
    <t>We see kids talking to the camera.</t>
  </si>
  <si>
    <t>We see a gate open and kids start riding.</t>
  </si>
  <si>
    <t>We see a coach standing with kids.</t>
  </si>
  <si>
    <t>We see another coach standing with kids.</t>
  </si>
  <si>
    <t>We see kids pass the finish line.</t>
  </si>
  <si>
    <t>We see the emblem on the screen with kids sitting on their bikes.</t>
  </si>
  <si>
    <t>We then see the close screen.</t>
  </si>
  <si>
    <t>v_OCQ9OyMKQKw</t>
  </si>
  <si>
    <t>A man wearing a hat is standing outside.</t>
  </si>
  <si>
    <t>He picks up a chainsaw off of the ground.</t>
  </si>
  <si>
    <t>He begins to chop down a bush next to him.</t>
  </si>
  <si>
    <t>v_YKzVHb16eUk</t>
  </si>
  <si>
    <t>There are a bunch of children standing around a table and the main focus is a boy who is cutting stuff on a blue tray.</t>
  </si>
  <si>
    <t>The boy walks away from the tray and an adult starts cutting.</t>
  </si>
  <si>
    <t>The adult stops cutting and another boy begins to cut the objects very slowly,the adult interrupts the child to demonstrate how to cut and the child walks away.</t>
  </si>
  <si>
    <t>v__f0S0vQZ9JM</t>
  </si>
  <si>
    <t>Two people are seen speaking to the camera followed by several drinks laid out.</t>
  </si>
  <si>
    <t>The people then begin mixing ingredients with one another and speaking to one another.</t>
  </si>
  <si>
    <t>The people continue mixing drinks with one another and presenting them to the camera.</t>
  </si>
  <si>
    <t>v_2gc5VDx2xY8</t>
  </si>
  <si>
    <t>There is a man on a horse waiting for the time to get going to start.</t>
  </si>
  <si>
    <t>Once the gates open a cow starts running and the man on the horse chases after it with a tassel.</t>
  </si>
  <si>
    <t>He swings the tassel in the air a few times and throws it catching the cow and then tying him down.</t>
  </si>
  <si>
    <t>There is an audience in the stands watching the man do this and there is another man on a different horse at the side waiting.</t>
  </si>
  <si>
    <t>v_lJeJ2LFna5o</t>
  </si>
  <si>
    <t>A crowd gathers watching a volleyball game.</t>
  </si>
  <si>
    <t>A volleyball player hits the ball.</t>
  </si>
  <si>
    <t>The player's teammate also hits the ball.</t>
  </si>
  <si>
    <t>The player hits the ball three more times.</t>
  </si>
  <si>
    <t>The players teammate hits the ball.</t>
  </si>
  <si>
    <t>The other player hits the ball over the net.</t>
  </si>
  <si>
    <t>The ball returns and one of the players hits the ball.</t>
  </si>
  <si>
    <t>The players teammate dives to hit the ball.</t>
  </si>
  <si>
    <t>The other player hits the ball to the other team.</t>
  </si>
  <si>
    <t>The ball returns and one of the players hits the ball out of bounds.</t>
  </si>
  <si>
    <t>v_aw89asgFHbs</t>
  </si>
  <si>
    <t>A girl does flips across a mat.</t>
  </si>
  <si>
    <t>The mat is black and red.</t>
  </si>
  <si>
    <t>Several girls watch her and clap.</t>
  </si>
  <si>
    <t>She then does some backflips.</t>
  </si>
  <si>
    <t>v_B2HIj_QWaG0</t>
  </si>
  <si>
    <t>A woman is playing a violin on the street while various people walk around here and behind her.</t>
  </si>
  <si>
    <t>She smiles into the camera while playing and continues playing the song while several people bend down to tip her and walk around her.</t>
  </si>
  <si>
    <t>v_Tv3v-UpBJ2Y</t>
  </si>
  <si>
    <t>A small group of people are seen standing on a field holding onto a rope.</t>
  </si>
  <si>
    <t>A man stands in front as the group begins pulling the rope to one side.</t>
  </si>
  <si>
    <t>The people continue pulling until one falls down afterwards.</t>
  </si>
  <si>
    <t>v_N_FbnDY_2j8</t>
  </si>
  <si>
    <t>A person ski on the pent of a hill covered with snow.</t>
  </si>
  <si>
    <t>Then, the person arrives to a flat area where there are four people.</t>
  </si>
  <si>
    <t>v_hXBeu7o9uUM</t>
  </si>
  <si>
    <t>A man is standing in a room holding a large instrument.</t>
  </si>
  <si>
    <t>He begins to play the instrument behind a microphone.</t>
  </si>
  <si>
    <t>A man in a green shirt is talking into a microphone.</t>
  </si>
  <si>
    <t>v_a9ItMklOTyE</t>
  </si>
  <si>
    <t>It looks like this is an arabic language that is being written or something.</t>
  </si>
  <si>
    <t>Then on a field there is men playing a game throwing the ball.</t>
  </si>
  <si>
    <t>Some coaches are walking around with hats to keep the sun out of their eyes.</t>
  </si>
  <si>
    <t>The game looks pretty intense, one man puts all of his might into one of the throws he make.</t>
  </si>
  <si>
    <t>v_Yp-NJgTAOCc</t>
  </si>
  <si>
    <t>The scene comes into focus showing the outside of a building, with some text at the bottom that says it is a school for breakdancing.</t>
  </si>
  <si>
    <t>A man is doing some paperwork while some other men are standing in the background next to a projector screen.</t>
  </si>
  <si>
    <t>A large number of kids inside a gym are practicing breakdancing.</t>
  </si>
  <si>
    <t>The kids are inside a classroom watching a presentation by the man seen earlier.</t>
  </si>
  <si>
    <t>The kids are seen once again inside the gym practicing their breakdancing moves.</t>
  </si>
  <si>
    <t>The screen goes black and a graphic appears on screen showing the company's logo and youtube channel information.</t>
  </si>
  <si>
    <t>v_qlbuekEsXL4</t>
  </si>
  <si>
    <t>A boy on a horse is released from a gate.</t>
  </si>
  <si>
    <t>He ropes a calf, dragging it to the ground.</t>
  </si>
  <si>
    <t>He dismounts, tying the calf with rope before getting back on his horse.</t>
  </si>
  <si>
    <t>v_UAgb3FEjBN8</t>
  </si>
  <si>
    <t>An intro leads into a small child riding a dirt bike on a dirt path.</t>
  </si>
  <si>
    <t>Several shots of the boy grown up are shown followed by more footage of the boy riding a dirt bike.</t>
  </si>
  <si>
    <t>v_iiyYRmc1YiA</t>
  </si>
  <si>
    <t>We see a crowd of people watching an event.</t>
  </si>
  <si>
    <t>The men fiddle with a metal handle.</t>
  </si>
  <si>
    <t>They hold hands in preparation for the match and the judge touches their hands.</t>
  </si>
  <si>
    <t>The men begin their arm wrestling match, and the guy on the right wins.</t>
  </si>
  <si>
    <t>The guys shake hands and hug.</t>
  </si>
  <si>
    <t>We see a shot of one of the contestants.</t>
  </si>
  <si>
    <t>v_517rgTzIobE</t>
  </si>
  <si>
    <t>Two men are playing racket ball in an indoor court.</t>
  </si>
  <si>
    <t>The two men, one in black and the other in a red shirt playing racket ball against each other.</t>
  </si>
  <si>
    <t>The man in black begins the first serve and the man in the red shirt returns his serve.</t>
  </si>
  <si>
    <t>They continue playing racket ball.</t>
  </si>
  <si>
    <t>Then the same players play racket ball on a different occasion wearing black and the other wearing a yellow shirt.</t>
  </si>
  <si>
    <t>They continue serving and hitting the ball against the wall.</t>
  </si>
  <si>
    <t>They play several rounds on the game.</t>
  </si>
  <si>
    <t>They are back again in the red and black shirts playing racket ball.</t>
  </si>
  <si>
    <t>They run to hit and the ball served by the opponent as they continue to play.</t>
  </si>
  <si>
    <t>v_mkF3Rlj3JSs</t>
  </si>
  <si>
    <t>A girl gives tips on how to brush your hair with a round brush.</t>
  </si>
  <si>
    <t>She strokes the hair in front of her, covering her face.</t>
  </si>
  <si>
    <t>She flips her hair up and then finishes what she needs to do.</t>
  </si>
  <si>
    <t>v_t04jE7d0Obw</t>
  </si>
  <si>
    <t>We see a man give a lady a rose.</t>
  </si>
  <si>
    <t>The man and the woman then perform a dance in front of a crowd.</t>
  </si>
  <si>
    <t>35 The man spins the lady making her dress flounce and looks at her chest.</t>
  </si>
  <si>
    <t>The dance repeats over and over again many times.</t>
  </si>
  <si>
    <t>The man bends the woman forward looking at her chest two times and almost puts his hand on her neck.</t>
  </si>
  <si>
    <t>v_bVMxBXeYMr0</t>
  </si>
  <si>
    <t>A black man caresses his beard and face in a loving way.</t>
  </si>
  <si>
    <t>The black man uses a clipper trimmer to trim his beard and face.</t>
  </si>
  <si>
    <t>The black man attaches an orange attachment to the clippers and continues trimming his beard.</t>
  </si>
  <si>
    <t>The black man washes his face and beard and displays an array of accessories and applies them to his face and beard.</t>
  </si>
  <si>
    <t>v_Gr5jGxLEp70</t>
  </si>
  <si>
    <t>A large group of people are seen wandering around a festival with shots of people speaking are shown as well as playing crochet.</t>
  </si>
  <si>
    <t>More people are seen playing the game as several others watch on the sidelines and critique.</t>
  </si>
  <si>
    <t>v_5Bo0gFXxDQk</t>
  </si>
  <si>
    <t>A person wearing a blue shirt is sitting on the floor welding.</t>
  </si>
  <si>
    <t>He is wearing protective gear to cover his face and eyes.</t>
  </si>
  <si>
    <t>He also has protective gloves on that are brown in color.</t>
  </si>
  <si>
    <t>He continues welding a long metal rod with welding tool directed towards the rod.</t>
  </si>
  <si>
    <t>v_s2PFIKG5PYI</t>
  </si>
  <si>
    <t>A large piece of machinery is seen sitting in a room.</t>
  </si>
  <si>
    <t>A robot arm then moves into frame attempting to push things around.</t>
  </si>
  <si>
    <t>The robot fails and pulls it's arm back in.</t>
  </si>
  <si>
    <t>v_iOpoR0UeJNg</t>
  </si>
  <si>
    <t>The scene transitions to various people training in gymnastics.</t>
  </si>
  <si>
    <t>Two women are interviewed on camera sequentially.</t>
  </si>
  <si>
    <t>The scene transitions to more gymnastic practice segments.</t>
  </si>
  <si>
    <t>v_2U_BUV8PLtk</t>
  </si>
  <si>
    <t>A pair of handlebars are detached from the bike and is laying down flat on a table.</t>
  </si>
  <si>
    <t>The man then picks up the handlebars and sticks them back into the bike tightening them with a key.</t>
  </si>
  <si>
    <t>v_toS-_4Ik5us</t>
  </si>
  <si>
    <t>A person is seen dealing cards as well as several shots of a casino table and poker chips being dealt.</t>
  </si>
  <si>
    <t>A band is playing, a person is seen smoking a cigarette, as well as people bartending and speaking to one another.</t>
  </si>
  <si>
    <t>In the end more people are seen enjoying the casino and moving around.</t>
  </si>
  <si>
    <t>v_tbOIyG1RCUI</t>
  </si>
  <si>
    <t>A blindfolded man wearing boxing gloves is seen hitting a punching bag while many watch him on the sides.</t>
  </si>
  <si>
    <t>He continues punching when a person on the roof pulls the bag up higher.</t>
  </si>
  <si>
    <t>v_UIZkQUo8VtA</t>
  </si>
  <si>
    <t>A truck is seen parked in front of a house with several shots of the house shown.</t>
  </si>
  <si>
    <t>A man is then seen standing on the roof hosing down the top and again standing in front of the house watering.</t>
  </si>
  <si>
    <t>The camera shows the truck parked out front again and the final product of the roof.</t>
  </si>
  <si>
    <t>v_8gKV8f3qSOg</t>
  </si>
  <si>
    <t>A woman in a purple dress is seated, speaking to the camera.</t>
  </si>
  <si>
    <t>She is shown massaging cream into her face, then rinsing it off with water and patting dry with a towel.</t>
  </si>
  <si>
    <t>She then speaks to the camera again.</t>
  </si>
  <si>
    <t>v_A-Oz6mBBBZQ</t>
  </si>
  <si>
    <t>Three girls are sitting on the beach, making a mound with sand and water.</t>
  </si>
  <si>
    <t>They use a bowl to form a mold.</t>
  </si>
  <si>
    <t>v_aHzNMe-VKfE</t>
  </si>
  <si>
    <t>A little boy is in the house playing in his shirt and diaper.</t>
  </si>
  <si>
    <t>He has a little hockey stick and he is using it to swing at a rolling back.</t>
  </si>
  <si>
    <t>The ball keeps coming toward him and he keeps swinging trying to hit it.</t>
  </si>
  <si>
    <t>He is having a lot of fun and staying entertained playing inside alone.</t>
  </si>
  <si>
    <t>v_xgIxKDm9M38</t>
  </si>
  <si>
    <t>The man walks out from his house and opens his car door on a snowy day.</t>
  </si>
  <si>
    <t>The man lifts up the windshield wipers of his car.</t>
  </si>
  <si>
    <t>The man uses a house broom to sweep snow off of his car.</t>
  </si>
  <si>
    <t>The dog plays with the owners.</t>
  </si>
  <si>
    <t>The man gets in his car and backs it towards the house into a parking spot.</t>
  </si>
  <si>
    <t>v_vFRSso8WQfY</t>
  </si>
  <si>
    <t>A woman is standing in a kitchen at the island in front of a blender and various ingredients.</t>
  </si>
  <si>
    <t>She places apples and sugar into the blender with ice, and blends them together.</t>
  </si>
  <si>
    <t>She then pours the mixture into two glasses while she continues talking.</t>
  </si>
  <si>
    <t>v_USCVBB97pOc</t>
  </si>
  <si>
    <t>A man has a tool he uses to trim cat claws, he messes around with it a little bit and then he gets up to find his cat.</t>
  </si>
  <si>
    <t>He pets the cat a little bit as to not make it so suspicious and scared.</t>
  </si>
  <si>
    <t>He gets the kitty in a good position and starts feeling for her claws and one by one starts to clip them.</t>
  </si>
  <si>
    <t>Then he moves her the other arms and pets her some more, showing the difference between her clawed and declawed nails.</t>
  </si>
  <si>
    <t>v_MhO48WnApoM</t>
  </si>
  <si>
    <t>There are people standing on a frozen body of water and are looking into a small hole that has a fishing wire in it and they watch it as it bobs up and down.</t>
  </si>
  <si>
    <t>The standing man pulls the pole and wire up higher and the man kneeling on the ice pulls the fish out of the ice water and puts it onto the ice.</t>
  </si>
  <si>
    <t>Another man takes a picture of the fish, the kneeling man unhooks it and the standing man picks it up, holds it by its gills and poses with it.</t>
  </si>
  <si>
    <t>v_LvbM6zv8XVc</t>
  </si>
  <si>
    <t>People are dancing on the beach.</t>
  </si>
  <si>
    <t>A woman is laying down on a red towel.</t>
  </si>
  <si>
    <t>A man is laying on a green towel.</t>
  </si>
  <si>
    <t>Two dogs are next to them on the beach.</t>
  </si>
  <si>
    <t>v_IV5llWEEfAw</t>
  </si>
  <si>
    <t>A sailboat sails through rough waters in the ocean.</t>
  </si>
  <si>
    <t>The skipper is seen manning the steering wheel at the back of the boat.</t>
  </si>
  <si>
    <t>The mast of the ship is seen in full view.</t>
  </si>
  <si>
    <t>v_o00AfbAIOlA</t>
  </si>
  <si>
    <t>The boy is opening the box.</t>
  </si>
  <si>
    <t>He then removes the bike.</t>
  </si>
  <si>
    <t>He is removing the packaging.</t>
  </si>
  <si>
    <t>He is assembling the bike.</t>
  </si>
  <si>
    <t>We see images of the bike.</t>
  </si>
  <si>
    <t>The Subscribe page shows up.</t>
  </si>
  <si>
    <t>v_g6tF83rCXh0</t>
  </si>
  <si>
    <t>A female weight lifter is preparing to lift a barbell.</t>
  </si>
  <si>
    <t>She lifts with her knees, raising the bar to her chest.</t>
  </si>
  <si>
    <t>She then stands, lifting it over her head before dropping the barbell back to the ground.</t>
  </si>
  <si>
    <t>v_okC18bPTils</t>
  </si>
  <si>
    <t>The man is standing above water before he goes scuba diving.</t>
  </si>
  <si>
    <t>He's underwater along with a few other people where there's shells and rocks in the sand.</t>
  </si>
  <si>
    <t>There is also wooden logs and small lobsters crawling around.</t>
  </si>
  <si>
    <t>v_JBnL0T2XzGs</t>
  </si>
  <si>
    <t>A group is playing ice hockey for fun in an indoor rink as a man speaks to the camera.</t>
  </si>
  <si>
    <t>Two women sweep, fighting over the puck, as a woman talks to the camera.</t>
  </si>
  <si>
    <t>v_FGKdmKX1z64</t>
  </si>
  <si>
    <t>A man is seen speaking to the camera wearing a microphone and begins wiping down a window.</t>
  </si>
  <si>
    <t>He uses several tools and objects to clean the glass and continues wiping down while looking at the camera.</t>
  </si>
  <si>
    <t>v_8EyYHnijfnI</t>
  </si>
  <si>
    <t>A woman sits in a chair.</t>
  </si>
  <si>
    <t>Another woman puts something up her nose.</t>
  </si>
  <si>
    <t>She then pierces it with a needle.</t>
  </si>
  <si>
    <t>She puts a piece of jewelry on it next.</t>
  </si>
  <si>
    <t>v_yjd9UOJdes8</t>
  </si>
  <si>
    <t>A girl is shown speaking to the camera as well as dancing and then is seen playing the violin.</t>
  </si>
  <si>
    <t>She plays the instrument while dancing at the same time and ends with her speaking to the camera.</t>
  </si>
  <si>
    <t>v_pULb9WvZwU4</t>
  </si>
  <si>
    <t>Multiple men are loaded onto a crane boom bucket.</t>
  </si>
  <si>
    <t>When three men are safely aboard, the crane begins to lift them up in the air slowly.</t>
  </si>
  <si>
    <t>Once they reach the top of the crane, the view switches and they can be seen looking over the landscape.</t>
  </si>
  <si>
    <t>The man that is preparing to bungee jump is at the edge of the boom looking around nervously.</t>
  </si>
  <si>
    <t>One at a time the men jump out of the boom and hang above a small body of water.</t>
  </si>
  <si>
    <t>There certificate of accomplishment ends the video.</t>
  </si>
  <si>
    <t>v_DPsa28MmdoI</t>
  </si>
  <si>
    <t>The words "The Shotover River In Flood" appear on screen.</t>
  </si>
  <si>
    <t>First person video shows a raft full of people heading down and extremely rough river in-between rocky cliffs.</t>
  </si>
  <si>
    <t>The words "Big thanks to River Guide J-Rod" appear on screen.</t>
  </si>
  <si>
    <t>v_JqFFXs0RAnI</t>
  </si>
  <si>
    <t>A person competes solving a cube puzzle behind a chronometer, while a woman takes notes and watch the person.</t>
  </si>
  <si>
    <t>The person solves the puzzle, then he stands, raise his arms and walk.</t>
  </si>
  <si>
    <t>The person shake hands with people in the room.</t>
  </si>
  <si>
    <t>Suddenly, the person runs making thumps up and pose for a picture.</t>
  </si>
  <si>
    <t>v_eypKc4FyZ2s</t>
  </si>
  <si>
    <t>A boy with a gardening pot is watering her bush outside in the yard.</t>
  </si>
  <si>
    <t>He and another boy get together and the other boy begins to start playing croquet while he talks.</t>
  </si>
  <si>
    <t>Another taller boy comes and joins them and talks about the game.</t>
  </si>
  <si>
    <t>Then, They start to hit balls rying to make it through the obstacles.</t>
  </si>
  <si>
    <t>v_ReOsTqcQBmY</t>
  </si>
  <si>
    <t>Three people are jumping rope and doing tricks.</t>
  </si>
  <si>
    <t>Other people sit and stand at tables in the background and watch or film the jump ropers.</t>
  </si>
  <si>
    <t>Four different people are now jumping rope and doing tricks.</t>
  </si>
  <si>
    <t>Another group of three people shows off their jump rope skills.</t>
  </si>
  <si>
    <t>Another group of three in red shorts jumps rope.</t>
  </si>
  <si>
    <t>People in the background walk around.</t>
  </si>
  <si>
    <t>A group of four girls jump rope.</t>
  </si>
  <si>
    <t>The first group of people jumps rope with a fourth person.</t>
  </si>
  <si>
    <t>A different group of four in red and black jump rope.</t>
  </si>
  <si>
    <t>A different team of jump ropers watches in the background.</t>
  </si>
  <si>
    <t>A team of four in black and yellow jump rope.</t>
  </si>
  <si>
    <t>v_IKeV3kdX-_I</t>
  </si>
  <si>
    <t>A cowboy in a horse ran towards the field and chase a cattle.</t>
  </si>
  <si>
    <t>The cowboy got off the horse and chase after the cattle, when he catched the cattle he tied the cattle.</t>
  </si>
  <si>
    <t>v_G7zChU3ma0M</t>
  </si>
  <si>
    <t>A man is standing in front of a lane with his legs spread apart, and then another man goes to roll a bowling ball between his legs and he does so, but he accidentally hits his fist into the man's private parts and they both begin to laugh.</t>
  </si>
  <si>
    <t>A blue screen appears and text on the screen appears and say's "Bowling Fails FailCorporation".</t>
  </si>
  <si>
    <t>Various clips of various different people falling while trying to roll the ball, laughing, and even accidentally throwing the ball into the ceiling plays.</t>
  </si>
  <si>
    <t>A blue screen appears with logos, and text that say "FailCorporation Subscribe Next video" appear.</t>
  </si>
  <si>
    <t>v_jCVi9xt3GUY</t>
  </si>
  <si>
    <t>A woman is washing dishes with soap and a scrub in her kitchen sink.</t>
  </si>
  <si>
    <t>She takes the scrub that is soaked in liquid soap and scrubs it on the bowl to thoroughly clean it.</t>
  </si>
  <si>
    <t>She places the plates and bowls on top of each other in the sink as she washes them.</t>
  </si>
  <si>
    <t>v_UCOn2HkJJt8</t>
  </si>
  <si>
    <t>A man rides a four wheeler in a field.</t>
  </si>
  <si>
    <t>The man stands up on the four wheeler and hits his break lights to inspect a target.</t>
  </si>
  <si>
    <t>A man holding a bow and arrow is talking and demonstrating features on the bow he's holding.</t>
  </si>
  <si>
    <t>A website scrolls across the screen while the man fires the bow at a target.</t>
  </si>
  <si>
    <t>The camera then zooms in on the target.</t>
  </si>
  <si>
    <t>The website scrolls across the screen again and the man fires three more arrows.</t>
  </si>
  <si>
    <t>The screen changes to gray and the man shows the brand of bow is a Bowtech.</t>
  </si>
  <si>
    <t>v_RztM-NVwV5o</t>
  </si>
  <si>
    <t>woman is in studio talking in the news holding a paintball gun and shot a wall.</t>
  </si>
  <si>
    <t>a man and a woman are in a field doing shots and playing with the small pain balls.</t>
  </si>
  <si>
    <t>they recharge the guns and are playing in a green backyard paintball practicing shots and wearing masks.</t>
  </si>
  <si>
    <t>v_bnItfkwBogY</t>
  </si>
  <si>
    <t>A woman performs a dance routine with a hoop on a stage.</t>
  </si>
  <si>
    <t>The woman performs the routine with two hoops.</t>
  </si>
  <si>
    <t>The woman returns to performing with one hoop.</t>
  </si>
  <si>
    <t>v__sgg_QEjcEE</t>
  </si>
  <si>
    <t>A black screen appears with red and white letters on it that say "DISCUS THROW Example of CORRECTION of a DELIVERY PROBLEM for a beginner".</t>
  </si>
  <si>
    <t>A young lady is now standing on a concrete circle and she begins swinging her red discus, then swings her body and then throws it.</t>
  </si>
  <si>
    <t>A black screen appears with white letters that say "Out of several faults we select ONE problem", and the video continues to show the problem and words appear on the screen to explain them.</t>
  </si>
  <si>
    <t>The same young lady is now standing in a different area holding a hand towel as she practices her swings and words on the screen give tips.</t>
  </si>
  <si>
    <t>The girl is back on the concrete circle swinging her disc and she then throws the disc.</t>
  </si>
  <si>
    <t>A black screen appears again with red and white words that say "OTHER SIMILAR EXERCISES ON THE SAME IDEA: FOCUS ON THE LOW POINT OF THE IMPLEMENT TRAJECTORY.</t>
  </si>
  <si>
    <t>A boy is now standing on the concrete circle and he's practicing his swings with a shirt.</t>
  </si>
  <si>
    <t>A man is now indoors and he's practicing his swings with a golf club.</t>
  </si>
  <si>
    <t>The outro screen is mainly white with a black design on it and the name of the company and a person.</t>
  </si>
  <si>
    <t>v_o8PA6XW32oI</t>
  </si>
  <si>
    <t>a person begins to solve a rubix cube.</t>
  </si>
  <si>
    <t>They start turning it in all directions.</t>
  </si>
  <si>
    <t>They have solved the rubix cube.</t>
  </si>
  <si>
    <t>v_M0ygYlmTHy4</t>
  </si>
  <si>
    <t>A group of people play water volleyball in an outdoor pool.</t>
  </si>
  <si>
    <t>The people begin to play competitively with volleyball in the water.</t>
  </si>
  <si>
    <t>the camera changes angle and catches the people playing from behind with the net between the people and the camera.</t>
  </si>
  <si>
    <t>v_U-mwyUsNOMU</t>
  </si>
  <si>
    <t>A person is seen kneeling down next to a hole of ice and reeling in a fish.</t>
  </si>
  <si>
    <t>The person continues reeling in on the rod while the camera zooms in on the hole.</t>
  </si>
  <si>
    <t>Finally the person grabs the fish and presents it to the camera.</t>
  </si>
  <si>
    <t>v_hW25ecQ1GUc</t>
  </si>
  <si>
    <t>A close up of a chair is seen followed by a woman walking into frame.</t>
  </si>
  <si>
    <t>The woman sits in the chair and begins putting a pair of shoes on.</t>
  </si>
  <si>
    <t>She puts both on and stands up to move her feet around.</t>
  </si>
  <si>
    <t>v_6WlnhNQOWFA</t>
  </si>
  <si>
    <t>A man is seen standing before a game of hopscotch drawn out and begins jumping down the path while others follow.</t>
  </si>
  <si>
    <t>The camera continues to follow the man as he jumps down the path and captures several others doing the same as well.</t>
  </si>
  <si>
    <t>v_TPqgLJpxyvY</t>
  </si>
  <si>
    <t>A person rolls over in bed and looks at their phone.</t>
  </si>
  <si>
    <t>They sit up on their bed and rub their face.</t>
  </si>
  <si>
    <t>They wash their hands and face.</t>
  </si>
  <si>
    <t>They start rollerblading and doing tricks.</t>
  </si>
  <si>
    <t>v_g1lqpONbOKY</t>
  </si>
  <si>
    <t>We see a girl gymnast on a balance beam performing.</t>
  </si>
  <si>
    <t>The girl prepares to do a flip and falls on the bar and hurts herself.</t>
  </si>
  <si>
    <t>The girl stands crying and a lady comes to help her.</t>
  </si>
  <si>
    <t>v_aSPPD0fDI3g</t>
  </si>
  <si>
    <t>Make up is shown on a table.</t>
  </si>
  <si>
    <t>A woman sits on her bed and applies makeup to her face.</t>
  </si>
  <si>
    <t>She uses a large brush to apply powder to her face.</t>
  </si>
  <si>
    <t>She puts a backpack on and walks out the door.</t>
  </si>
  <si>
    <t>v_UvIS1-hwgaQ</t>
  </si>
  <si>
    <t>A man approaches a large mountain, with friends, and climbs it while attached to a green rope until he reaches the top.</t>
  </si>
  <si>
    <t>A group of young people approach the base of a mountain and set down their things where they smile and prepare to climb the mountain.</t>
  </si>
  <si>
    <t>A long green rope is shown on a large rock after which a man in glasses begins to climb a mountain using metal hooks in the mountain and his feet to climb the mountain.</t>
  </si>
  <si>
    <t>The man smiles and gives the camera a thumbs up when he gets to the top of the mountain.</t>
  </si>
  <si>
    <t>v_Z_lah8-xYx8</t>
  </si>
  <si>
    <t>A man and woman walk out onto the pier of a boat.</t>
  </si>
  <si>
    <t>They are playing a sweeping game.</t>
  </si>
  <si>
    <t>The woman pushes the puck, which slides into the camera.</t>
  </si>
  <si>
    <t>The scene is repeated in slow motion.</t>
  </si>
  <si>
    <t>v_RmTDHszp1v0</t>
  </si>
  <si>
    <t>A man in a white shirt is standing next to parallel bars.</t>
  </si>
  <si>
    <t>A boy jumps onto the parallel bars and starts swinging back and forth.</t>
  </si>
  <si>
    <t>The boy starts doing a routine on the parallel bars.</t>
  </si>
  <si>
    <t>v_zNMLz9GIQLk</t>
  </si>
  <si>
    <t>A man is seen using a wet rag on a window and moving the cleaner all around the glass.</t>
  </si>
  <si>
    <t>He continuously dips the object in cleaner and cleans all around the glass while using a rag close behind.</t>
  </si>
  <si>
    <t>v_v8jzbjQqNhE</t>
  </si>
  <si>
    <t>A man holding his kayak talk to the camera.</t>
  </si>
  <si>
    <t>He is in his kayak paddling downstream.</t>
  </si>
  <si>
    <t>Another rower passes him and does a flip.</t>
  </si>
  <si>
    <t>He talks to the camera again.</t>
  </si>
  <si>
    <t>We see the parking lot off camera.</t>
  </si>
  <si>
    <t>Back in the water passing a waterfall.</t>
  </si>
  <si>
    <t>Talking head to camera again.</t>
  </si>
  <si>
    <t>Point of view shots from his kayak.</t>
  </si>
  <si>
    <t>Talking head as he very animatedly talks to the camera.</t>
  </si>
  <si>
    <t>Point of view from the boat following another rower.</t>
  </si>
  <si>
    <t>Talking head interspersed with shots from the water illustrating the technques he talks about in his talking head shots.</t>
  </si>
  <si>
    <t>v_Yh9eGll8fYQ</t>
  </si>
  <si>
    <t>Two people are seen speaking to one another and leads into a man standing on the edge and jumping.</t>
  </si>
  <si>
    <t>The man's jump is shown several times from different camera as he jumps off the side and back up again.</t>
  </si>
  <si>
    <t>v_l7nsRRyzD4k</t>
  </si>
  <si>
    <t>A group of people is building sand castles on the beach.</t>
  </si>
  <si>
    <t>A girl waves to the camera.</t>
  </si>
  <si>
    <t>A man is seen digging in the sand.</t>
  </si>
  <si>
    <t>A girl is seen looking through a beach bag.</t>
  </si>
  <si>
    <t>The girl finds what she is looking for.</t>
  </si>
  <si>
    <t>v_bTE3HEy_kVk</t>
  </si>
  <si>
    <t>We see two roof images side by side.</t>
  </si>
  <si>
    <t>We then see images of one roof.</t>
  </si>
  <si>
    <t>We see the roof up close and see moss growing on it.</t>
  </si>
  <si>
    <t>we see the insulation and the roof as it is being installed.</t>
  </si>
  <si>
    <t>A man is screwing the roof into place.</t>
  </si>
  <si>
    <t>We see the finished new roof.</t>
  </si>
  <si>
    <t>We see the ending screen credits.</t>
  </si>
  <si>
    <t>v_XSDIekFXkv0</t>
  </si>
  <si>
    <t>A person stands on his hands on a trampoline above a swimming pool, then the boy flips in the air and dives into the water.</t>
  </si>
  <si>
    <t>After, the boy stands on the trampoline with the back facing the pool, then jumps, flips and dive in the water.</t>
  </si>
  <si>
    <t>Now, the boy stands on the trampoline facing the pool, then jumps, flips and dive in the water, then do the same but this time with the back facing the pool.</t>
  </si>
  <si>
    <t>At the end, the boy enters the trampoline running and flip in the air, then he stands on the trampoline and flips and end diving in the water.</t>
  </si>
  <si>
    <t>v_7rd23-3wEyU</t>
  </si>
  <si>
    <t>A man is seen speaking to the camera while leading into various pictures of speaking as well as smoking.</t>
  </si>
  <si>
    <t>The man continues speaking while showing pictures intermittently of smoking and cigarettes close up.</t>
  </si>
  <si>
    <t>v_rzomS2gZGQ4</t>
  </si>
  <si>
    <t>A man stands by his ice ridden car.</t>
  </si>
  <si>
    <t>He rakes the entire sheet onto the ground, watching it shatter.</t>
  </si>
  <si>
    <t>v_YIb8sArOPww</t>
  </si>
  <si>
    <t>A gymnast performs a balance beam gymnastic routine in a professional sports event with an audience in the bleachers.</t>
  </si>
  <si>
    <t>A girl stands in front of a balance beam in a gymnast outfit and jumps on the beam where she begins to execute a gymnastic routine on the balance beam.</t>
  </si>
  <si>
    <t>The girl stands on the beam and performs back flips on the beam before landing one final back flip off of the beam where she lands on a mat and exits the area in front of an audience in bleachers.</t>
  </si>
  <si>
    <t>v_zyPisOj2Tdo</t>
  </si>
  <si>
    <t>A woman peforms before a court on a basketball gym.</t>
  </si>
  <si>
    <t>She is a majorette, flipping and throwing her baton into the air.</t>
  </si>
  <si>
    <t>The crowd watches as she flips, throws, and turns.</t>
  </si>
  <si>
    <t>v_jMQgOcM9vZA</t>
  </si>
  <si>
    <t>Multiple short clips play of different hockey moves and the names of the moves appear on the screen with it.</t>
  </si>
  <si>
    <t>When the clips are done in intro screen appears with a cloud and the hockey ground as backdrop, the NHL logo and the words "HOCKEY SKILLS".</t>
  </si>
  <si>
    <t>A group of people wearing all of their hockey gear are standing or kneeling on the ground while the look at a man who is standing and talking without a helmet on his head and the words on the screen say his name is "KEVIN WEEKES".</t>
  </si>
  <si>
    <t>The man begins to demonstrate multiple different moves near the goal and he continues to talk throughout all of the demonstrations as the rest of the people watch him.</t>
  </si>
  <si>
    <t>When the man is done talking and demonstrating other people in the group go up to the goal separately and they each do what they man was demonstrating.</t>
  </si>
  <si>
    <t>A screen appears with a backdrop of clouds on top and hockey rink at the bottom with the logo in the middle and the words "HOCKEY SKILLS".</t>
  </si>
  <si>
    <t>v_SaBcTNvRA6g</t>
  </si>
  <si>
    <t>A woman is seen showing off a glass of honey.</t>
  </si>
  <si>
    <t>She shows off the bottle of honey as well as a bowl of water and a towel.</t>
  </si>
  <si>
    <t>She shows her hair pulled back.</t>
  </si>
  <si>
    <t>She opens the bottle of honey and lathers it all over her face.</t>
  </si>
  <si>
    <t>She holds up a cat.</t>
  </si>
  <si>
    <t>She returns to lathering her face and waits in anticipation.</t>
  </si>
  <si>
    <t>While she waits, she plays some instruments and with her cat.</t>
  </si>
  <si>
    <t>Finally, she rinses her face with water and dries her face off with a towel.</t>
  </si>
  <si>
    <t>She proudly shows off her bottle of honey.</t>
  </si>
  <si>
    <t>v_V5MvrOzQWZo</t>
  </si>
  <si>
    <t>A gymnast is standing near a bar with her hands in the air.</t>
  </si>
  <si>
    <t>The girl gets on the bar and performs.</t>
  </si>
  <si>
    <t>The girl flips on the bar.</t>
  </si>
  <si>
    <t>The girl performs 2 flips and almost falls off the bar.</t>
  </si>
  <si>
    <t>The girl does 2 perfect flips.</t>
  </si>
  <si>
    <t>The girls flips, then runs, flips and dismounts.</t>
  </si>
  <si>
    <t>The cloud claps as she walks away.</t>
  </si>
  <si>
    <t>v_EwzkySgI6CQ</t>
  </si>
  <si>
    <t>A blonde woman is lying on a table as a tattoo artist is putting a design on her pelvis.</t>
  </si>
  <si>
    <t>She cringes in pain as he works.</t>
  </si>
  <si>
    <t>We see a temporary close up of her heaving abdomen as he continues.</t>
  </si>
  <si>
    <t>v_g_KbloQigw8</t>
  </si>
  <si>
    <t>Text is shown across the screen followed by a man kneeling down in dirt.</t>
  </si>
  <si>
    <t>The man using a torch to light a spark on the machine in front of him.</t>
  </si>
  <si>
    <t>He stops to look back at the camera.</t>
  </si>
  <si>
    <t>v_p6ea3QpXryw</t>
  </si>
  <si>
    <t>A dart board is shown against a wall.</t>
  </si>
  <si>
    <t>A man lifts his arm in slow motion, throwing darts one after another at the board.</t>
  </si>
  <si>
    <t>He walks up to the board and reaches for it.</t>
  </si>
  <si>
    <t>v_P-ENnGQ_FuU</t>
  </si>
  <si>
    <t>A red car is shown with the words Unique Car Wash.</t>
  </si>
  <si>
    <t>Men are shown inside a car garage, soaping down a car with a sponge.</t>
  </si>
  <si>
    <t>They are then seen using a sprayer to clean the tires and spray the residue off the vehicle.</t>
  </si>
  <si>
    <t>They use rags to wipe it clean and detail the inside of the car.</t>
  </si>
  <si>
    <t>v_jto8_gMKUjE</t>
  </si>
  <si>
    <t>The Pinta rowing team works together to make it down the whitewater.</t>
  </si>
  <si>
    <t>They have a refreshing dip under a waterfall to cool off.</t>
  </si>
  <si>
    <t>They pose together with other rafters.</t>
  </si>
  <si>
    <t>Falling underwater can be a scary undertaking.</t>
  </si>
  <si>
    <t>All in all it is a fun and relaxing time.</t>
  </si>
  <si>
    <t>v_MiTTWddOuaM</t>
  </si>
  <si>
    <t>Two men walk in the street holding a box, then they assemble a soccer table.</t>
  </si>
  <si>
    <t>People plays soccer table in the street.</t>
  </si>
  <si>
    <t>After, the men carry the table and enters a train where they continue playing.</t>
  </si>
  <si>
    <t>After the man carry the soccer table to a park and other places where people play and paint it.</t>
  </si>
  <si>
    <t>v_mW9iDH07j40</t>
  </si>
  <si>
    <t>A woman is seen putting on a jacket followed by her cutting parts of the vest off and holding up an iron.</t>
  </si>
  <si>
    <t>She then irons the shirts and finishes by putting the vest on.</t>
  </si>
  <si>
    <t>v_19fGZFUE7yE</t>
  </si>
  <si>
    <t>A man in a black tuxedo is speaking to the camera.</t>
  </si>
  <si>
    <t>A person walks by in the background.</t>
  </si>
  <si>
    <t>A group of people walk by in the background.</t>
  </si>
  <si>
    <t>We see a game of poker being played.</t>
  </si>
  <si>
    <t>An odd man appears in front of the camera.</t>
  </si>
  <si>
    <t>We see the first man, then cards being dealt and we fade to a black screen.</t>
  </si>
  <si>
    <t>v_KBfCXpgGhdw</t>
  </si>
  <si>
    <t>a lot of people are sitting on terraces in a big field and people is walking in the entrance of a big stadium.</t>
  </si>
  <si>
    <t>men are standing on a sandy area walking.</t>
  </si>
  <si>
    <t>man are talking to the camera standing on the sand.</t>
  </si>
  <si>
    <t>men are standing on motorbikes getting ready for a motocross competition.</t>
  </si>
  <si>
    <t>man is talking to the camera and standing on a podium.</t>
  </si>
  <si>
    <t>v_huo2ldsQHUI</t>
  </si>
  <si>
    <t>A bunch of people are inside a dimly lit gym.</t>
  </si>
  <si>
    <t>They are riding recumbent bikes while being led.</t>
  </si>
  <si>
    <t>They clap their hands and pedal quickly.</t>
  </si>
  <si>
    <t>v_ibDWgL2D2l4</t>
  </si>
  <si>
    <t>A young child is seen holding a stick and hitting the pinata with the stick.</t>
  </si>
  <si>
    <t>Older women the bring hr back and have her hand the stick to another child.</t>
  </si>
  <si>
    <t>v_JW5P5FdOrcw</t>
  </si>
  <si>
    <t>A woman is standing up talking and holding a blue mop.</t>
  </si>
  <si>
    <t>She is showing the bottom of the mop.</t>
  </si>
  <si>
    <t>A bottle of vinegar is shown on a table next to alcohol and soap.</t>
  </si>
  <si>
    <t>She begins mopping the hardwood floor.</t>
  </si>
  <si>
    <t>A dog is laying down on a bed.</t>
  </si>
  <si>
    <t>v_5AoshxUQv0U</t>
  </si>
  <si>
    <t>A man in a blue shirt picks up a child.</t>
  </si>
  <si>
    <t>He lifts him up to sit on his shoulder.</t>
  </si>
  <si>
    <t>He throws the kid on his back onto a bed.</t>
  </si>
  <si>
    <t>v_zLVNSgR4IoA</t>
  </si>
  <si>
    <t>The man is jumped to the two white poles and stand on his arms.</t>
  </si>
  <si>
    <t>The man in red shirt outside the court is watching the athlete as he swing on the pole.</t>
  </si>
  <si>
    <t>The athlete swing and then jumped of the pole and swing up and the air and landed on the mat.</t>
  </si>
  <si>
    <t>v_-h3NbdE8N9M</t>
  </si>
  <si>
    <t>A team is on a field, trying to get the ball from their opponents.</t>
  </si>
  <si>
    <t>They are playing a game of lacrosse.</t>
  </si>
  <si>
    <t>They fight over the ball, trying to get it into a goal.</t>
  </si>
  <si>
    <t>v_cudeag10U7Q</t>
  </si>
  <si>
    <t>A woman is riding a bike down the street, then others are shown as well.</t>
  </si>
  <si>
    <t>The people speak to the camera in between takes of riding their bikes on city roads.</t>
  </si>
  <si>
    <t>The bike is called an elliptico, enabling them to stand and pedal as they ride.</t>
  </si>
  <si>
    <t>v_R7vb6cuP6GE</t>
  </si>
  <si>
    <t>A person is seen speaking to the camera while holding a snowboard and leads into him riding down a snowy hill.</t>
  </si>
  <si>
    <t>The man continues riding the snowboard down the hill and ends with him stopping at the bottom.</t>
  </si>
  <si>
    <t>v_7VWp-Dfvqkg</t>
  </si>
  <si>
    <t>A man is seen speaking into a microphone with another man on stage.</t>
  </si>
  <si>
    <t>One man then leads into playing harmonica on the stage while others watch on the side.</t>
  </si>
  <si>
    <t>The man continues playing while others walk in and out of frame as well as play.</t>
  </si>
  <si>
    <t>v_dla6qDuAXTw</t>
  </si>
  <si>
    <t>An older man is shown standing behind a swing set while pushing a small girl back and fourth.</t>
  </si>
  <si>
    <t>He grabs and holds the girl and gives her several pushes while the girl sticks her head back and smiles.</t>
  </si>
  <si>
    <t>v_TgantuXBiJg</t>
  </si>
  <si>
    <t>A young girl is seen putting makeup on outside while other people on the side watch and also play with makeup.</t>
  </si>
  <si>
    <t>The girls continue to attempt to put makeup on as the camera pans back and fourth between the two.</t>
  </si>
  <si>
    <t>v_Ggw7rtn3J-8</t>
  </si>
  <si>
    <t>A commercial exhibits a varied array of welding equipment and demonstrates how to weld using the equipment.</t>
  </si>
  <si>
    <t>A welding helmet, clamps,welding kit and gloves are shown in line on a white background.</t>
  </si>
  <si>
    <t>A person begins to use the welding tools to weld inside of a car producing fire sparks as the welding takes place.</t>
  </si>
  <si>
    <t>a closeup of the welded area is shown before a marketing template presents across the screen.</t>
  </si>
  <si>
    <t>v_R6INcHHxlNs</t>
  </si>
  <si>
    <t>A person is seen shirtless standing in a kitchen and holding a mop.</t>
  </si>
  <si>
    <t>The man looks back and laughs to the camera while holding the mop.</t>
  </si>
  <si>
    <t>He continues to laugh and dance around while pushing the mop around.</t>
  </si>
  <si>
    <t>v_xTEXsZO-PVI</t>
  </si>
  <si>
    <t>A small sail boat with two men in it is pulling a water skier behind it.</t>
  </si>
  <si>
    <t>A wind surfer goes by.</t>
  </si>
  <si>
    <t>A man in the sail boat leans back to pull on the sail in the boat.</t>
  </si>
  <si>
    <t>Another wind surfer goes by.</t>
  </si>
  <si>
    <t>v_xAaHXwTz1Ug</t>
  </si>
  <si>
    <t>A kite is flying in the sky.</t>
  </si>
  <si>
    <t>A little girl is holding the string of the kite.</t>
  </si>
  <si>
    <t>She's walking backwards and talking to someone while watching the kite.</t>
  </si>
  <si>
    <t>v_P7lUYSLtErY</t>
  </si>
  <si>
    <t>A man is in a dance room that has mirrors along the walls, wooden floors, and he's dancing alone.</t>
  </si>
  <si>
    <t>There is a woman that is standing in the corner and recording him the whole time.</t>
  </si>
  <si>
    <t>When he moves more to the other side of the room as he's dancing, more people watching and recording him are revealed.</t>
  </si>
  <si>
    <t>The man does he last dance move, smiles, takes a few steps and then takes a bow.</t>
  </si>
  <si>
    <t>v_cNCkHqOnJV0</t>
  </si>
  <si>
    <t>The sky is shown that leads into a man speaking to the camera with his friend.</t>
  </si>
  <si>
    <t>Several people are then seen sitting in tubes riding down a river past one another.</t>
  </si>
  <si>
    <t>The people continuing riding down the river through tunnels and paths while the man still speaks to the camera.</t>
  </si>
  <si>
    <t>v_F4GwrEQUvDc</t>
  </si>
  <si>
    <t>An athlete runs with a stick, then he shoot the javelin and walks away in a stadium.</t>
  </si>
  <si>
    <t>Then, a man holds a javelin and runs to throw the javelin, then another athlete also shoot the javelin.</t>
  </si>
  <si>
    <t>v_lhdro5SnxU0</t>
  </si>
  <si>
    <t>A man is sitting on the stairs talking.</t>
  </si>
  <si>
    <t>He is standing over a sink.</t>
  </si>
  <si>
    <t>He sprays the sink with a cleaning agent.</t>
  </si>
  <si>
    <t>He takes a sponge and scrubs the inside of the sinks.</t>
  </si>
  <si>
    <t>He turns the water on and sprays the hose around the sink.</t>
  </si>
  <si>
    <t>He wipes the sink off with a towel.</t>
  </si>
  <si>
    <t>The man is sitting on the stairs again.</t>
  </si>
  <si>
    <t>v_SqfB4ohs2Ro</t>
  </si>
  <si>
    <t>We see an opening screen a map and still images.</t>
  </si>
  <si>
    <t>Men hammering roof tiles on a panel of roof inside.</t>
  </si>
  <si>
    <t>We see a man tap a hook into the wood.</t>
  </si>
  <si>
    <t>We see a title screen again.</t>
  </si>
  <si>
    <t>We see the men working on roofs.</t>
  </si>
  <si>
    <t>We see two screens with men working on roofs side by side.</t>
  </si>
  <si>
    <t>We see the ending title screens.</t>
  </si>
  <si>
    <t>v_IsVpeZoK5FI</t>
  </si>
  <si>
    <t>A large group of people are seen exercising in a class together with a man leading them in front.</t>
  </si>
  <si>
    <t>The group continues to move around together over a bar and ends with text across the screen.</t>
  </si>
  <si>
    <t>v_CbfgZlo0Ut4</t>
  </si>
  <si>
    <t>A man talks inside a car dealer.</t>
  </si>
  <si>
    <t>After, a car exits a car wash.</t>
  </si>
  <si>
    <t>A crew of people clean a car by hand.</t>
  </si>
  <si>
    <t>v_ggNmtMAdqe0</t>
  </si>
  <si>
    <t>A man welds a section of a steel beam in a workshop.</t>
  </si>
  <si>
    <t>The tip of the welding gun is adjusted using pliers.</t>
  </si>
  <si>
    <t>The man marks and measures pieces of plate metal in between making welds on it.</t>
  </si>
  <si>
    <t>The man demonstrates the angle to make a weld on the piece of plate metal.</t>
  </si>
  <si>
    <t>v_fVtiM88rOJI</t>
  </si>
  <si>
    <t>A telescopic view of multiple people dressed in biking gear is shown.</t>
  </si>
  <si>
    <t>The crowd spreads out, walking around with guns in hand.</t>
  </si>
  <si>
    <t>They aim at various objects.</t>
  </si>
  <si>
    <t>The men hide behind a wall, shooting at each other as they run by.</t>
  </si>
  <si>
    <t>v__1JGrGGCY9k</t>
  </si>
  <si>
    <t>A large group of people are seen wandering around a dance studio with a man in front.</t>
  </si>
  <si>
    <t>The man then begins to lead a dance class in front of the group of people.</t>
  </si>
  <si>
    <t>The people continue dancing around following the man and moving their arms and legs around.</t>
  </si>
  <si>
    <t>v_SID0y9y6Uk4</t>
  </si>
  <si>
    <t>Two men prepare for a fencing match.</t>
  </si>
  <si>
    <t>The video shows several highlights of people fencing each other in various matches.</t>
  </si>
  <si>
    <t>Some win the matches quite quickly.</t>
  </si>
  <si>
    <t>Two men constantly go back and fourth towards each other.</t>
  </si>
  <si>
    <t>The man wins over and over again.</t>
  </si>
  <si>
    <t>He is shown practicing for his upcoming matches against another.</t>
  </si>
  <si>
    <t>He seems to win over and over again.</t>
  </si>
  <si>
    <t>v_IaRYt0J7pHI</t>
  </si>
  <si>
    <t>people are standing in a hair salon sitting on chairs.</t>
  </si>
  <si>
    <t>woman is standing behind anoter drying her hair combing it and talking to the camera.</t>
  </si>
  <si>
    <t>woman is sitting on a chair while woman behind her is drying her hair.</t>
  </si>
  <si>
    <t>v_hWZ3B28_fAs</t>
  </si>
  <si>
    <t>The leads into a man playing a long guitar in front of a home while moving his fingers up and down.</t>
  </si>
  <si>
    <t>The man continues playing and the video leads out to text above his head.</t>
  </si>
  <si>
    <t>v_aR05GUXDiYg</t>
  </si>
  <si>
    <t>A male player in yellow and black shirt is carrying a small kid who is wearing the same shirt while they are being interviewed by the reporter who is wearing white shirt and holding a microphone.</t>
  </si>
  <si>
    <t>Different teams in different uniform colors are playing soccer in the table.</t>
  </si>
  <si>
    <t>v_MERZe5qdfWc</t>
  </si>
  <si>
    <t>Various shots of a snowy mountain are shown as well as a person riding up a hill.</t>
  </si>
  <si>
    <t>The person looks to others around him and is seen riding down mountain.</t>
  </si>
  <si>
    <t>The person rides down several times more with people attached on the sides.</t>
  </si>
  <si>
    <t>v_I58i4uJkHJ0</t>
  </si>
  <si>
    <t>A female Russian gymnast is on a mat in front of a large arena with several people watching her.</t>
  </si>
  <si>
    <t>The girl then starts doing a series of cartwheels and ends up jumping on the balance beam to do her routine.</t>
  </si>
  <si>
    <t>Once she is done,the girl ends doing several tricks and walks off to the side.</t>
  </si>
  <si>
    <t>People begin to cheer for her and her replay is shown,and her score of approximately 28 is shown across the bottom of the screen.</t>
  </si>
  <si>
    <t>v_EO9ZKeBSGSw</t>
  </si>
  <si>
    <t>A girl in a baseball uniform is standing at the end of a hopscotch game.</t>
  </si>
  <si>
    <t>A girl in a red shirt is playing hopscotch.</t>
  </si>
  <si>
    <t>A ball player is playing hopscotch.</t>
  </si>
  <si>
    <t>The girls laugh at each other.</t>
  </si>
  <si>
    <t>v_D-BRqQhL74Q</t>
  </si>
  <si>
    <t>Three girls are seen holding a rope with one walking away and two playing tug of war.</t>
  </si>
  <si>
    <t>Two girls switch places and the final two compete against one another playing tug of war back and fourth.</t>
  </si>
  <si>
    <t>v_Fhk2t6beztU</t>
  </si>
  <si>
    <t>A girl is seen rollerblading down a long road with several people walking around her.</t>
  </si>
  <si>
    <t>The camera zooms in on her face and shows all the people around the area followed by the cameraman's feet.</t>
  </si>
  <si>
    <t>v_8GJWokVCzUM</t>
  </si>
  <si>
    <t>This man is wearing a red tank top, black shorts, and shoes.</t>
  </si>
  <si>
    <t>He runs on the race track and the he does the triple jump in which he almost makes it to the end.</t>
  </si>
  <si>
    <t>v_JH-Q5JNTgwE</t>
  </si>
  <si>
    <t>A camera pans around a city and leads into several clips of people playing in a casino.</t>
  </si>
  <si>
    <t>A man is seen speaking to the camera as well as being interviewed by the news.</t>
  </si>
  <si>
    <t>More men are seen being interviewed while showing off clips of the casino.</t>
  </si>
  <si>
    <t>v_AHd87Cn-NkU</t>
  </si>
  <si>
    <t>A close up of a sink is seen with cleaner on top while the camera zooms in on the sink.</t>
  </si>
  <si>
    <t>A woman is then seen rubbing down the sink with a rag and shows off the sink in the end.</t>
  </si>
  <si>
    <t>v_MlkXsUDCoww</t>
  </si>
  <si>
    <t>A person is seen pushing a lawn mower all across the yard.</t>
  </si>
  <si>
    <t>The person pushes the mower along the edge of the grass and throughout the rest of the grass.</t>
  </si>
  <si>
    <t>The man then grabs a weed wacker and cuts the weeds along the edge.</t>
  </si>
  <si>
    <t>v_UGCn1zgYboQ</t>
  </si>
  <si>
    <t>One man is seen moving a fooseball table around quickly as possible while another man watches on the side.</t>
  </si>
  <si>
    <t>The men then play a game against one another while one continues to move the poles quickly.</t>
  </si>
  <si>
    <t>v_xsRNDo8Upys</t>
  </si>
  <si>
    <t>A large group of dancers are seen standing on a stage and beginning to perform a routine.</t>
  </si>
  <si>
    <t>The girls continue dancing with one another and ending by holding a pose.</t>
  </si>
  <si>
    <t>v_9qOfesI3bGE</t>
  </si>
  <si>
    <t>A man is seated with an accordian on his lap.</t>
  </si>
  <si>
    <t>He pulls it in and out as he plays the keyboard with his other hand.</t>
  </si>
  <si>
    <t>He is shown with two different accordians as he continues to play.</t>
  </si>
  <si>
    <t>v_w4QM4nztkkE</t>
  </si>
  <si>
    <t>A wrestler is in the middle of the ring waiting for his opponent.</t>
  </si>
  <si>
    <t>Once he comes in they grab a hold of a rope and begin to play tug of war with it, pulling each other.</t>
  </si>
  <si>
    <t>They struggle trying to beat the other when finally the red head wrestler makes the other fall.</t>
  </si>
  <si>
    <t>He gloats, jumping up and down and banging his hands against his chest.</t>
  </si>
  <si>
    <t>v_ctHNLEOtgPY</t>
  </si>
  <si>
    <t>A man crouches in a dance studio.</t>
  </si>
  <si>
    <t>He lifts himself onto his hands.</t>
  </si>
  <si>
    <t>He holds his feet up in the air.</t>
  </si>
  <si>
    <t>He then lays on his back on the ground.</t>
  </si>
  <si>
    <t>v_fmdG9uPnWHQ</t>
  </si>
  <si>
    <t>a blonde woman is playing with dogs, she is kissing them and giiving them a shower, the woman is holding a scissor and is cutting the dog's hair.</t>
  </si>
  <si>
    <t>blonde woman is with a beatiful white dog in a table a veterinarian's office.</t>
  </si>
  <si>
    <t>the woman is with the black dog and is styling the dog's hair.</t>
  </si>
  <si>
    <t>woman shows their diplomas and awards and is with a white puddle combing her hair.</t>
  </si>
  <si>
    <t>woman comb the black dog's hair and plays with it.</t>
  </si>
  <si>
    <t>woman holds the white dog paw and cut her nails.</t>
  </si>
  <si>
    <t>woman is with the black dog giving him a shower and styling his hair.</t>
  </si>
  <si>
    <t>woman is talking while in the bottom a blonde woman is combing a white puddle.</t>
  </si>
  <si>
    <t>blonde woman holds the white puddle and is talking to the camera giving the web adress to the dog salon white shows how comb and shower the dogs.</t>
  </si>
  <si>
    <t>v_8_RfK2rp2To</t>
  </si>
  <si>
    <t>An athlete is seen standing ready holding a pole and begins running down a large track over a beam.</t>
  </si>
  <si>
    <t>The woman then jumps over the beam and throws her arms in the air to celebrate and run around the field.</t>
  </si>
  <si>
    <t>The woman does flips on the mat while celebrating and ends with her jump shown again and her sitting in front of her score.</t>
  </si>
  <si>
    <t>v_FjZKKAEEHbY</t>
  </si>
  <si>
    <t>A young woman is seen standing next to a horse and speaking to a small group.</t>
  </si>
  <si>
    <t>She pushes the horse a bit and begins brushing it's tail while still speaking to the group.</t>
  </si>
  <si>
    <t>She stops brushing while speaking to the group and walking away.</t>
  </si>
  <si>
    <t>v_p1-APric9UM</t>
  </si>
  <si>
    <t>A slightly rotund man is shown standing in a kitchen while holding a can of drink.</t>
  </si>
  <si>
    <t>The man is laughing and speaking to the camera about the can in his hand.</t>
  </si>
  <si>
    <t>He pours the drink into a glass, and proceeds to drink it alongside a male friend.</t>
  </si>
  <si>
    <t>The two men drink the contents of their glasses while they talk.</t>
  </si>
  <si>
    <t>v_5MnHirHxqkA</t>
  </si>
  <si>
    <t>A woman is seen speaking to the camera and laying her hands across a pair of pants on an ironing table.</t>
  </si>
  <si>
    <t>She begins ironing the pants and ends by showing the crease she made in the middle.</t>
  </si>
  <si>
    <t>v_LSCQ1yqocHg</t>
  </si>
  <si>
    <t>There's a man standing in a kitchen and washing his hands in steel kitchen sink.</t>
  </si>
  <si>
    <t>He takes a pump from the liquid hand soap from the sink counter.</t>
  </si>
  <si>
    <t>He then turns on the water and and washes his hands.</t>
  </si>
  <si>
    <t>After he's done washing, he uses a white hand towel that is lying next to the sink on the counter.</t>
  </si>
  <si>
    <t>v_lgWH94ea3-U</t>
  </si>
  <si>
    <t>A man is using a hookah inside a room.</t>
  </si>
  <si>
    <t>He turns and blows a pillar of smoke.</t>
  </si>
  <si>
    <t>Another man takes the hookah and takes a hit as well.</t>
  </si>
  <si>
    <t>v_oN_5o1t_Lvk</t>
  </si>
  <si>
    <t>A girl demonstrates several advanced dance, and gymnastic moves in many different locations throughout a city.</t>
  </si>
  <si>
    <t>A girl stands on a grass covered field and paved sidewalk and performs several gymnastic flips and cheerleading moves.</t>
  </si>
  <si>
    <t>The girl then returns to the grass and does several more advanced backflips.</t>
  </si>
  <si>
    <t>The girl advances to a wooden walkway and performs dance moves and performs a walking handstand in another location.</t>
  </si>
  <si>
    <t>The video finally ends with the girl performing dance moves in a tunnel and sidewalk.</t>
  </si>
  <si>
    <t>v_nxs4o4S43oY</t>
  </si>
  <si>
    <t>A man is cutting his beard with scissors.</t>
  </si>
  <si>
    <t>He uses a shaver to shave off the beard.</t>
  </si>
  <si>
    <t>He collects the hair in the sink.</t>
  </si>
  <si>
    <t>He puts shaving cream on his face and uses a razor to finish shaving.</t>
  </si>
  <si>
    <t>He wipes his face with a towel.</t>
  </si>
  <si>
    <t>He smiles and gives a thumbs up.</t>
  </si>
  <si>
    <t>v_mYrTrVCYSY0</t>
  </si>
  <si>
    <t>A man runs down two streets in a marathon, in a city setting, as onlookers from the sideline cheer and clap.</t>
  </si>
  <si>
    <t>A man in black shorts with a number pinned to his chest is running down a city street in a marathon.</t>
  </si>
  <si>
    <t>People on the sidelines are clapping for the man and smiling as he continues to run.</t>
  </si>
  <si>
    <t>The man runs down another street where he runs for a short time behind a bicycler, and as a motorcyclist comes up from behind him near the sidewalk which has a metal barrier running the length of it.</t>
  </si>
  <si>
    <t>v_fwqDDFkOaCc</t>
  </si>
  <si>
    <t>A violinist, Lindsay Stirling is performing live with some other participants on a stage in front of an audience.</t>
  </si>
  <si>
    <t>She begins by playing the violin while the other performers dance in a choreographed fashion.</t>
  </si>
  <si>
    <t>The violinist dances as she plays the instrument along with five other dancers.</t>
  </si>
  <si>
    <t>They dance in a modern and hip hop style of dancing.</t>
  </si>
  <si>
    <t>Then only two of the dancers stay on the stage with the violinist and dance in a Salsa style.</t>
  </si>
  <si>
    <t>After they leave the stage, one of the male dancers does some modern style of dancing as he rotates on his knees.</t>
  </si>
  <si>
    <t>Then the entire dance team comes on stage and continues dancing in coordinated steps as the violinist plays and dances along with them.</t>
  </si>
  <si>
    <t>Then they leave the stage with only the violinist performing as she continues to dance and play the instrument.</t>
  </si>
  <si>
    <t>v_58he7Xcwfws</t>
  </si>
  <si>
    <t>A weightlifter prepares for his first lift.</t>
  </si>
  <si>
    <t>Friends are watching and one films.</t>
  </si>
  <si>
    <t>He squats and he lifts the bar.</t>
  </si>
  <si>
    <t>He holds it for a moment, then drops it.</t>
  </si>
  <si>
    <t>He starts all over again and completes a second lift.</t>
  </si>
  <si>
    <t>v_wUg9S2xx850</t>
  </si>
  <si>
    <t>A group of people are seen standing on a field when a man runs towards a woman with a soccer ball.</t>
  </si>
  <si>
    <t>one girls swing another around while a man grabs a ball and throws it to another.</t>
  </si>
  <si>
    <t>v_gEOVtyRAaFY</t>
  </si>
  <si>
    <t>A woman is holding a cat in her lap.</t>
  </si>
  <si>
    <t>The cat is slapping at the pair of trimmers in her hand.</t>
  </si>
  <si>
    <t>She uses the trimmers to cut the cat's nails, one at a time.</t>
  </si>
  <si>
    <t>v_LKeQMeUZFso</t>
  </si>
  <si>
    <t>A person walks up to a vacuum cleaner and picks up the wand.</t>
  </si>
  <si>
    <t>The person vacuums a carpet in the hallway of a home.</t>
  </si>
  <si>
    <t>The person turns off the vacuum then replaces the attachment with a larger one for carpets.</t>
  </si>
  <si>
    <t>The person adjusts a knob on the vacuum cleaner.</t>
  </si>
  <si>
    <t>v_ZWlh8sQE2Z4</t>
  </si>
  <si>
    <t>A man kneels on one knee in a room and talks to the camera.</t>
  </si>
  <si>
    <t>The man raises his right arm and reaches to the ground with his left hand.</t>
  </si>
  <si>
    <t>The man switches and does the other side.</t>
  </si>
  <si>
    <t>v_BCzsVKHrN5Y</t>
  </si>
  <si>
    <t>A large yard is seen covered in snow with a person walking into frame.</t>
  </si>
  <si>
    <t>The man is seen holding a shovel and begins pushing it around the area.</t>
  </si>
  <si>
    <t>The man clears out all the snow and shows off a path in the end.</t>
  </si>
  <si>
    <t>v_4BRCZaaITn0</t>
  </si>
  <si>
    <t>A man is mowing his lawn around a tree in front of his house.</t>
  </si>
  <si>
    <t>He walks back and forth, avoiding the rocks.</t>
  </si>
  <si>
    <t>He turns at the driveway and returns again.</t>
  </si>
  <si>
    <t>v_UFfi0gxL6_Y</t>
  </si>
  <si>
    <t>A woman in a dress holding a violin addresses an audience.</t>
  </si>
  <si>
    <t>The woman plays the violin as other musicians look on.</t>
  </si>
  <si>
    <t>The woman finishes her playing and everyone applauds.</t>
  </si>
  <si>
    <t>v_WmOTDAim7XM</t>
  </si>
  <si>
    <t>A man is holding a chain saw over his head.</t>
  </si>
  <si>
    <t>He starts clipping the top of the hedge.</t>
  </si>
  <si>
    <t>People are walking on the sidewalk behind him.</t>
  </si>
  <si>
    <t>v_7edBQl3VD1o</t>
  </si>
  <si>
    <t>A man in an orange jacket holding skis is walking on the snow to a hill.</t>
  </si>
  <si>
    <t>The person holding the camera puts their skis down and holds the poles.</t>
  </si>
  <si>
    <t>The man in the orange jacket skis down the hill.</t>
  </si>
  <si>
    <t>The man holding the camera follows.</t>
  </si>
  <si>
    <t>They ski down the snowy hill.</t>
  </si>
  <si>
    <t>The man in the orange jacket can be seen in front of him skiing.</t>
  </si>
  <si>
    <t>They both stop and talk to a lady at the bottom of the hill.</t>
  </si>
  <si>
    <t>He takes off his glove and pulls his cell phone out.</t>
  </si>
  <si>
    <t>A man in a blue coat walks up to them and talks to them.</t>
  </si>
  <si>
    <t>v_TmA7xnrULME</t>
  </si>
  <si>
    <t>A small group of kids are seen playing with two adults on a beach pushing sand into a pile.</t>
  </si>
  <si>
    <t>The kids continue grabbing water while the camera pans around the other people swimming in the area.</t>
  </si>
  <si>
    <t>v_GdrutQ4RrDs</t>
  </si>
  <si>
    <t>A woman is seated in front of a camera.</t>
  </si>
  <si>
    <t>Her hair is in spiral curlers.</t>
  </si>
  <si>
    <t>She demonstrates how to remove them, showing the final result.</t>
  </si>
  <si>
    <t>v_mQHY2uMOMP4</t>
  </si>
  <si>
    <t>The video instructor, Stephanie is talking about a hair tutorial.</t>
  </si>
  <si>
    <t>She is demonstrating how to cut long hair on men.</t>
  </si>
  <si>
    <t>Her model is seated in a chair next to her as she combs his wet hair.</t>
  </si>
  <si>
    <t>She shows how the hair is parted and sectioned before cutting the hair She uses scissors to point cut the tips of the model's hair.</t>
  </si>
  <si>
    <t>She continues the procedure on the model's hair.</t>
  </si>
  <si>
    <t>She then explains how to blow dry the hair to get the finished look on the model.</t>
  </si>
  <si>
    <t>She finally gives information about her website.</t>
  </si>
  <si>
    <t>v_2NAbdlHXcTI</t>
  </si>
  <si>
    <t>A man does a disk throw.</t>
  </si>
  <si>
    <t>He spins around and throws the disk.</t>
  </si>
  <si>
    <t>v_9YnYdsmjkIY</t>
  </si>
  <si>
    <t>A man sits in a chair and talks while holding a harmonica and occasionally playing it while sitting in a front of green cloth backdrop.</t>
  </si>
  <si>
    <t>A bald man sits in a wooden chair and talks to the camera while holding, pointing to and occasionally playing a harmonica in his hands.</t>
  </si>
  <si>
    <t>The camera zooms in for a tighter shot of the man as he talks and before the man pulls the harmonica directly up to his face and plays the harmonica briefly before pulling the harmonica away and looking into the camera.</t>
  </si>
  <si>
    <t>v_xICaX0kCCF4</t>
  </si>
  <si>
    <t>A man in Sesame Street costume is riding a recumbent bike.</t>
  </si>
  <si>
    <t>A man dressed as Ernie soon joins Bert.</t>
  </si>
  <si>
    <t>They bike together, as if in a race.</t>
  </si>
  <si>
    <t>They both get up and walk away.</t>
  </si>
  <si>
    <t>v_Aq2w52hpwig</t>
  </si>
  <si>
    <t>A person is seen sitting along the water with a close up of a paddle is shown.</t>
  </si>
  <si>
    <t>The camera pans around to another group of people sitting in a canoe across from them.</t>
  </si>
  <si>
    <t>More people are seen sitting in the water as well as boats along the water.</t>
  </si>
  <si>
    <t>v_ouv2veXexVw</t>
  </si>
  <si>
    <t>A group of soccer players await the return of a soccer ball to the field.</t>
  </si>
  <si>
    <t>One soccer player kicks the ball into the field.</t>
  </si>
  <si>
    <t>Another soccer player takes hold of the ball and passes it to another soccer player.</t>
  </si>
  <si>
    <t>The soccer players kicks it to the goalie.</t>
  </si>
  <si>
    <t>The goalie kicks it to a nearby soccer player.</t>
  </si>
  <si>
    <t>The soccer player kicks it to another soccer player.</t>
  </si>
  <si>
    <t>v_kr4RUFi1UGs</t>
  </si>
  <si>
    <t>Two men are rappeling up the side of a steep rock cliff.</t>
  </si>
  <si>
    <t>One of the men climbs about halfway up, before letting go and releasing himself back toward the ground.</t>
  </si>
  <si>
    <t>v_S-mMmPO6a9s</t>
  </si>
  <si>
    <t>A man pushes a lawnmower on a lawn.</t>
  </si>
  <si>
    <t>Two children help him push it.</t>
  </si>
  <si>
    <t>They make several passes on the lawn.</t>
  </si>
  <si>
    <t>Several cars drive by them.</t>
  </si>
  <si>
    <t>v_1RMNLqb8OWI</t>
  </si>
  <si>
    <t>man carrying a lawn blower is blowing the dust in the sidewalk walking in street.</t>
  </si>
  <si>
    <t>man is cleaning the sidewalk from the dry leaves pouring out the sidewalk.</t>
  </si>
  <si>
    <t>man is walking in sidewalk watching the man that is carrying the blower.</t>
  </si>
  <si>
    <t>v_G3cINUdHdGo</t>
  </si>
  <si>
    <t>A man in a red shirt speaks and demonstrates how to throw darts against a dart board while three other people in red shirts watch behind him.</t>
  </si>
  <si>
    <t>A man in a red shirt faces the camera and begins to talk while holding darts in his hand and while three men behind him watch.</t>
  </si>
  <si>
    <t>The man turns away from the camera, standing at a profile view and facing a dartboard attached to a wall, he starts aiming at the dartboard with the darts in his hand.</t>
  </si>
  <si>
    <t>The man then throws three darts against the dartboard, two of which stick to the board, the man goes to retrieve a dart from the board and gestures with his fist and a smile.</t>
  </si>
  <si>
    <t>v_WSGXoKV9vLs</t>
  </si>
  <si>
    <t>A hand is pouring liquid into a martini glass and white words on the left of the screen appear and they say "Girls Mixing Drinks dot com" and "Keylime Pie with Lee".</t>
  </si>
  <si>
    <t>A blonde woman appears at a bar and the website appears at random times while the woman is grabbing cups, alcohol and ice as she makes her drink in a martini glass.</t>
  </si>
  <si>
    <t>The woman fills the martini glass with ice and water.</t>
  </si>
  <si>
    <t>The woman then moves onto a large silver silver shaker and begins putting alcohol and other liquids in it, covers it with a small clear cup and begins shaking the contents.</t>
  </si>
  <si>
    <t>When she's done shaking the liquids, she empties the ice and water from the martini cup, then fills it with the liquid from the shaker, puts a lime on the edge, pushes the martini glass forward and smiles.</t>
  </si>
  <si>
    <t>The last screen appears with a red background and the website displayed in the middle.</t>
  </si>
  <si>
    <t>v_Sx3YbcKbuYk</t>
  </si>
  <si>
    <t>A pile of kindling flanked by rocks is shown.</t>
  </si>
  <si>
    <t>The kindling is lit with a torch.</t>
  </si>
  <si>
    <t>The fire is started, and we watch as it begins to burn.</t>
  </si>
  <si>
    <t>v_S24MDjduWIY</t>
  </si>
  <si>
    <t>A man is seen speaking to the camera while people practice basketball drills intermittently.</t>
  </si>
  <si>
    <t>The man ties a rope around a ball and continues having him perform layups on the court.</t>
  </si>
  <si>
    <t>More clips are shown of them practicing while the man speaks to the camera.</t>
  </si>
  <si>
    <t>v_10uSu442cOE</t>
  </si>
  <si>
    <t>A girl plays a brass flute standing on stage during a performance.</t>
  </si>
  <si>
    <t>The girl finishes the performance and lowers her instrument.</t>
  </si>
  <si>
    <t>v_mtC3trP8ahY</t>
  </si>
  <si>
    <t>Two teams of boys are in a grass field playing a game.</t>
  </si>
  <si>
    <t>They have little poles with nets that they use to catch the balls in and throw.</t>
  </si>
  <si>
    <t>One of the boys from the red team throws the ball over to the other side.</t>
  </si>
  <si>
    <t>Then one of the kids int he black uniform comes running back and throws the ball.</t>
  </si>
  <si>
    <t>v_2NITA0d4vqo</t>
  </si>
  <si>
    <t>Two men play pingpong using different tricks.</t>
  </si>
  <si>
    <t>A man shows off a camera box, and the ping pong player uses it.</t>
  </si>
  <si>
    <t>The box busts open so the player uses a camera part to play.</t>
  </si>
  <si>
    <t>He uses a battery to hit back, and then uses a different tool.</t>
  </si>
  <si>
    <t>Various strange objects are used to play the game.</t>
  </si>
  <si>
    <t>The man breaks an egg with the ball.</t>
  </si>
  <si>
    <t>More strange items including a bat, watch and candy bar are used.</t>
  </si>
  <si>
    <t>The man is filmed uploading the video to YouTube.</t>
  </si>
  <si>
    <t>v_674t-jyyKeg</t>
  </si>
  <si>
    <t>A woman tries to eat ice cream to a child, but the child refuses to eat the ice cream, then the woman eats the ice cream in the spoon.</t>
  </si>
  <si>
    <t>After, the woman gives ice cream to the child, and then the woman cleans the child's mouth.</t>
  </si>
  <si>
    <t>An old woman feeds a boy ice cream.</t>
  </si>
  <si>
    <t>v_PIGH5p2iMoI</t>
  </si>
  <si>
    <t>A marching band is playing on a field.</t>
  </si>
  <si>
    <t>A man in a trench coat is talking into a microphone.</t>
  </si>
  <si>
    <t>A team is playing lacrosse on a field of grass.</t>
  </si>
  <si>
    <t>v_zxm4KYn7r8c</t>
  </si>
  <si>
    <t>A man is seen speaking to the camera in various clips as well as shooting a bow and arrow.</t>
  </si>
  <si>
    <t>The man demonstrates several times how to properly shoot a bow in different locations while looking back to speak to the camera.</t>
  </si>
  <si>
    <t>v_-deoJLN27hE</t>
  </si>
  <si>
    <t>Two soccer teams play a game of soccer in front of a crowded audience in bleachers, in which the team with the blue and white uniforms makes a series of goals.</t>
  </si>
  <si>
    <t>The team with the yellow and blue uniforms wins a goal on the field against the black and white team and reacts by hugging and smiling each other.</t>
  </si>
  <si>
    <t>The yellow and blue team go on to make a series of goals, sometimes sliding after the final kick, with the audience standing for them each time a goal is made and wearing yellow shirts.</t>
  </si>
  <si>
    <t>A digital scoreboard is shown with the score as the yellow and blue team goes on to make more goals.</t>
  </si>
  <si>
    <t>v_BD4i-g3U5Kw</t>
  </si>
  <si>
    <t>An ice rink is shown with a hockey game in progress with the first long shot goal is made followed by a replay.</t>
  </si>
  <si>
    <t>A goal by the other team in red shows twice.</t>
  </si>
  <si>
    <t>A heated battle of two teams ends with an orange team player scoring.</t>
  </si>
  <si>
    <t>Two more teams make long scoring shots from left to right.</t>
  </si>
  <si>
    <t>A white teams scores after a player falls on the ice rink.</t>
  </si>
  <si>
    <t>Another few games and a second player falls before a goal.</t>
  </si>
  <si>
    <t>A higher aerial view is seen of the last game to show.</t>
  </si>
  <si>
    <t>v_7t666Y8cLGk</t>
  </si>
  <si>
    <t>A lady uses a Shisha pipe while sitting.</t>
  </si>
  <si>
    <t>The lady blows the smoke into a cut, soapy bottle half.</t>
  </si>
  <si>
    <t>The bubble pops releasing the smoke.</t>
  </si>
  <si>
    <t>The bubble float away with the smoke still enclosed and falls to the floor.</t>
  </si>
  <si>
    <t>v_QPKJDlQSO6c</t>
  </si>
  <si>
    <t>A camera pans all around a beer pong table as well as people talking and speaking into a microphone.</t>
  </si>
  <si>
    <t>More people step up to play the beer pong while a man raps into the mic and others react.</t>
  </si>
  <si>
    <t>Several shots are shown of people playing the game and cheering with one another.</t>
  </si>
  <si>
    <t>v_zJquKzopJuI</t>
  </si>
  <si>
    <t>A group of men standing beside each other are all bent forward chugging beer through very long straws.</t>
  </si>
  <si>
    <t>There are people in front of them watching them and pointing at them as they chug.</t>
  </si>
  <si>
    <t>They made it a game they are racing to see who can finish first.</t>
  </si>
  <si>
    <t>They all stop around the same time and the people watching continue to be very rowdy.</t>
  </si>
  <si>
    <t>v_-v-Zail6TNw</t>
  </si>
  <si>
    <t>An eight year old girl is playing a harmonica on a stage.</t>
  </si>
  <si>
    <t>The camera zooms in on the girl as the girl begins to play harder and harder, taking deeper and deeper breaths.</t>
  </si>
  <si>
    <t>The girl stops playing, takes a look to her left really quickly, then beings to smile while looking at the camera and clapping.</t>
  </si>
  <si>
    <t>v_ITVfOVR34Jo</t>
  </si>
  <si>
    <t>The army are lined up, they are divided into four groups, they started to do war practice by shooting by group with paint gun, they hide among the stone walls and vacant cars.</t>
  </si>
  <si>
    <t>The army grab their paint guns on the table and loaded them with paint balls.</t>
  </si>
  <si>
    <t>v_Ek2OvKMdvys</t>
  </si>
  <si>
    <t>A girl is dressed in a pink and black outfit talking in a room laying on a blue yoga mat.</t>
  </si>
  <si>
    <t>The lady then lays on her back and puts her hand across her chest.</t>
  </si>
  <si>
    <t>Before she begins,she talks about her stomach and how to put your hands behind your neck the correct way.</t>
  </si>
  <si>
    <t>Finally,she does about four crunches and shows that your head should be up and as well as your body before she finishes her crunches.</t>
  </si>
  <si>
    <t>v_TY4-gh8DV04</t>
  </si>
  <si>
    <t>A woman work out in a cardio machine pulling a handle in a gym.</t>
  </si>
  <si>
    <t>A person enters the gym.</t>
  </si>
  <si>
    <t>v_uZk7ciOa5aE</t>
  </si>
  <si>
    <t>A male and female dance duo are in the middle of a ballroom floor surrounded by people preparing to dance; however,the music doesn't start and they are delayed.</t>
  </si>
  <si>
    <t>They then begin to dance and shuffle their feet across the tile and spin each other around.</t>
  </si>
  <si>
    <t>The both then do a split,finish the routine and go out to mingle with the crowd.</t>
  </si>
  <si>
    <t>v_c4f6d1GRDEw</t>
  </si>
  <si>
    <t>A man is seen standing in front of a table holding up a bar of wax and other objects.</t>
  </si>
  <si>
    <t>He pushes the wax into a sander and begins using it on a ski board.</t>
  </si>
  <si>
    <t>He moves the sander all along the board and ends by showing it off to the camera.</t>
  </si>
  <si>
    <t>v_rua32XjJh54</t>
  </si>
  <si>
    <t>We see a man throwing a curling stone.</t>
  </si>
  <si>
    <t>We see a man, 2 girls, then an older man interviewed.</t>
  </si>
  <si>
    <t>We see a man throwing the stone.</t>
  </si>
  <si>
    <t>We see the older man interviewed.</t>
  </si>
  <si>
    <t>We see two boys talking in the rink.</t>
  </si>
  <si>
    <t>We see a young man with longer hair being interviewed followed by two girls.</t>
  </si>
  <si>
    <t>We see the boy curl, then be interviewed and a girl interviewed.</t>
  </si>
  <si>
    <t>We see the people curling, a girl speaks, and a group of girls talks before they walk away.</t>
  </si>
  <si>
    <t>v_99KPQLxH4cw</t>
  </si>
  <si>
    <t>Several shots are shown of various snow boarders grinding down rails into snow with one falling and hurting himself.</t>
  </si>
  <si>
    <t>More shots of people wiping out in the end are shown as well as people talking to one another in a circle.</t>
  </si>
  <si>
    <t>v_P00O62PPzNU</t>
  </si>
  <si>
    <t>A large group of people seen pulling a rope away from one another.</t>
  </si>
  <si>
    <t>More games are shown of people playing tug of war.</t>
  </si>
  <si>
    <t>People watch on the sides as the men continue to play with one another.</t>
  </si>
  <si>
    <t>v_CB41iJu4ZVY</t>
  </si>
  <si>
    <t>A gymnast is seen standing ready with her arms up in the air in front of a large crowd.</t>
  </si>
  <si>
    <t>The girl then jumps up onto a beam and begins performing gymnastic tricks.</t>
  </si>
  <si>
    <t>The girl continues flipping and spinning around and ends with her jumping off to the side.</t>
  </si>
  <si>
    <t>v_T5GVJRbvNb8</t>
  </si>
  <si>
    <t>A young man runs and jumps over a bar onto a mat multiple times.</t>
  </si>
  <si>
    <t>People run and walk around a track in the background.</t>
  </si>
  <si>
    <t>The same young man then jumps over the bar using a springboard landing on the mat several times.</t>
  </si>
  <si>
    <t>People walk around a field house near the track.</t>
  </si>
  <si>
    <t>v_SsW-IeF0bzE</t>
  </si>
  <si>
    <t>Several kids are driving bumper cars in a group at a fair.</t>
  </si>
  <si>
    <t>A younger girl gets stuck and a man walks over to help her.</t>
  </si>
  <si>
    <t>The groups time runs out and all of the kids stand up and exit the bumper car area.</t>
  </si>
  <si>
    <t>The kids all go down the stairs and back to the fair area.</t>
  </si>
  <si>
    <t>There are lots of people of all ages around doing different things at the fair.</t>
  </si>
  <si>
    <t>v_ggDfJLB8jTk</t>
  </si>
  <si>
    <t>Shooting targets are shown on the grass.</t>
  </si>
  <si>
    <t>A man uses a bow and arrow to hit the targets.</t>
  </si>
  <si>
    <t>A man shoots a bow behind a pile of sticks.</t>
  </si>
  <si>
    <t>v_B92SbWzu8yI</t>
  </si>
  <si>
    <t>A young child is seen standing behind a set of drums and then begins playing the drums.</t>
  </si>
  <si>
    <t>The boys continues playing on the drums and ends with him kissing his fingers and giving a peace sign.</t>
  </si>
  <si>
    <t>v_Jifw8dC5yTM</t>
  </si>
  <si>
    <t>A young man in blue t-shirt walks through small dance studio room.</t>
  </si>
  <si>
    <t>The young man sets his stereo down on a chair.</t>
  </si>
  <si>
    <t>The man young man warms up and does a one handed handstand.</t>
  </si>
  <si>
    <t>The man does a break dance routine doing hand stands and spins.</t>
  </si>
  <si>
    <t>End credits are shown with names written in cursive.</t>
  </si>
  <si>
    <t>v_Coctj-3Yzic</t>
  </si>
  <si>
    <t>There are people in a garage standing around a long wooden table that has a lot of red solo cups on it.</t>
  </si>
  <si>
    <t>They all start throwing ping pong balls in attempt to get them to land in a red solo cup.</t>
  </si>
  <si>
    <t>Suddenly, one of them falls backwards into the table and the table falls.</t>
  </si>
  <si>
    <t>All the men start laughing, pull the table off of the man, and only one of the men go to help the person up.</t>
  </si>
  <si>
    <t>v_tOiPx5Veyd8</t>
  </si>
  <si>
    <t>A man is seen interviewing another man on camera and leads into several groups of people playing shuffle board.</t>
  </si>
  <si>
    <t>The camera pans back to the man being interviewed and ends with the host having one final word to the camera.</t>
  </si>
  <si>
    <t>v_6iwKUJUUlaQ</t>
  </si>
  <si>
    <t>Two woman are outdoors outside of a building and are playing hopscotch on cemented ground.</t>
  </si>
  <si>
    <t>There is white text on the screen.</t>
  </si>
  <si>
    <t>The younger woman in shorts jumps on the squares and an older woman wearing a dress also jumps on the squares.</t>
  </si>
  <si>
    <t>The young girl falls over.</t>
  </si>
  <si>
    <t>The older woman walks and celebrates raising her arms.</t>
  </si>
  <si>
    <t>The two look at the camera and give a thumbs up.</t>
  </si>
  <si>
    <t>v_78UikTQkGgg</t>
  </si>
  <si>
    <t>A close up of subway is seen and leads into a woman speaking to the camera and cutting up a piece of bread.</t>
  </si>
  <si>
    <t>The woman then lays out various ingredients on the bread and rolls it up in a wrap.</t>
  </si>
  <si>
    <t>Several pictures are then shown in the end of the sandwich all ready and people enjoying the sandwich.</t>
  </si>
  <si>
    <t>v_1Xav7gMRCOQ</t>
  </si>
  <si>
    <t>A man is standing inside a gym.</t>
  </si>
  <si>
    <t>He jumps on and off an exercise stepper, front to back and side to side.</t>
  </si>
  <si>
    <t>He spins as he climbs on and off.</t>
  </si>
  <si>
    <t>v_G72bQBMZmzs</t>
  </si>
  <si>
    <t>Two sumo wrestlers are shown on a set with hundreds of people watching in the back taking pictures.</t>
  </si>
  <si>
    <t>The video continues to show several different athletes fighting in a ring and pulling the other down within a matter of seconds.</t>
  </si>
  <si>
    <t>v_xQcJ8gTPRSU</t>
  </si>
  <si>
    <t>Two people are seen speaking to the camera and leads into the man peel a pear and scoping out the sides.</t>
  </si>
  <si>
    <t>The man then cuts the fruit and presents it onto a plate while still speaking to the camera.</t>
  </si>
  <si>
    <t>v_UOF3w4T-bBE</t>
  </si>
  <si>
    <t>A group of guy friends are in the bathroom talking and having fun daring on of the boys to shave his leg.</t>
  </si>
  <si>
    <t>The camera pans over to the boy's leg showing one of his friends shaving the hair off his leg with an electric razor.</t>
  </si>
  <si>
    <t>v_-YVhOi8vt_Q</t>
  </si>
  <si>
    <t>A person places down a rubik's cube on a folder.</t>
  </si>
  <si>
    <t>The puzzle is then solved in 11 seconds.</t>
  </si>
  <si>
    <t>v_eGA5tbX8oH0</t>
  </si>
  <si>
    <t>A family is in the living room I'm trying to get out after being snowed in.</t>
  </si>
  <si>
    <t>A man opens the door and tries to jump over the snow that is in the way.</t>
  </si>
  <si>
    <t>He gets stuck in the snow and his family tries to help him get out.</t>
  </si>
  <si>
    <t>Once he gets out he throws them a shovel to shovel the snow on the floor.</t>
  </si>
  <si>
    <t>The video ends with the credits shown on the screen.</t>
  </si>
  <si>
    <t>v_Z1POv1Qeno0</t>
  </si>
  <si>
    <t>People are floating down a river in rafts.</t>
  </si>
  <si>
    <t>We then see people getting rafts at a building.</t>
  </si>
  <si>
    <t>A man is in a boat people floating in a raft.</t>
  </si>
  <si>
    <t>A bus sits in front of the rafting facility and men stack rafts as other men walk with their rafts.</t>
  </si>
  <si>
    <t>A man and a woman are floating down the river in separate rafts.</t>
  </si>
  <si>
    <t>v_TpB_zMG3XBA</t>
  </si>
  <si>
    <t>We see a lady and two men standing in a lake.</t>
  </si>
  <si>
    <t>The lady then jet skis.</t>
  </si>
  <si>
    <t>We see the head of the person on the boat on the left bob in and out of the shot.</t>
  </si>
  <si>
    <t>The boat turns and we no longer see land in the background.</t>
  </si>
  <si>
    <t>The lady falls off the ski.</t>
  </si>
  <si>
    <t>A man walks over to help the lady in the lake.</t>
  </si>
  <si>
    <t>v_SiqB6_9kNQU</t>
  </si>
  <si>
    <t>At the fair the bumper cars are being used.</t>
  </si>
  <si>
    <t>A bunch of different people are riding around bumping into each other.</t>
  </si>
  <si>
    <t>They are just driving around aimlessly in circles as they hit and get hot by other riders.</t>
  </si>
  <si>
    <t>This is innocent fun during summer nights when you're bored and the fair is in town.</t>
  </si>
  <si>
    <t>v_AnRYS02tvRA</t>
  </si>
  <si>
    <t>A man and woman play rock paper scissors.</t>
  </si>
  <si>
    <t>The woman wins and smiles.</t>
  </si>
  <si>
    <t>The woman puts a blind fold on.</t>
  </si>
  <si>
    <t>The woman gives the man a hug.</t>
  </si>
  <si>
    <t>v_k0w1lMRoqYk</t>
  </si>
  <si>
    <t>A young girl is seen talking to the camera and leads into her browsing the internet then raking up leads in a yard.</t>
  </si>
  <si>
    <t>The girl is then seen sitting in the leaves and transitions into speaking with her mother in the kitchen.</t>
  </si>
  <si>
    <t>She is shown speaking to the camera one more time and ends with various pictures of kids.</t>
  </si>
  <si>
    <t>v_XftM9eALPy0</t>
  </si>
  <si>
    <t>A large arena houses many people.</t>
  </si>
  <si>
    <t>Poles are set up in the arena.</t>
  </si>
  <si>
    <t>Gymnasts perform on the poles.</t>
  </si>
  <si>
    <t>They do many tricks on them.</t>
  </si>
  <si>
    <t>v_1Xt1gZfZ2Rw</t>
  </si>
  <si>
    <t>A man is brushing the bottom of a ski.</t>
  </si>
  <si>
    <t>He melts wax onto the bottom of the ski and irons it.</t>
  </si>
  <si>
    <t>He then scrapes the wax off with a tool.</t>
  </si>
  <si>
    <t>He uses a brush to brush the bottom of the ski.</t>
  </si>
  <si>
    <t>v_FRag7CCTP4k</t>
  </si>
  <si>
    <t>An athlete is shown warming up in front of a pole while several others in the background run around a track.</t>
  </si>
  <si>
    <t>The man eventually prepares for his jump and jumps over the pole.</t>
  </si>
  <si>
    <t>He swings his arms up to celebrate and others around him clap for him.</t>
  </si>
  <si>
    <t>v_3xEonDbWxTM</t>
  </si>
  <si>
    <t>A lady stands with a pot and shows an area of a wall.</t>
  </si>
  <si>
    <t>The wall is cleaned with a wet towel using the solution in the pot.</t>
  </si>
  <si>
    <t>The lady points to an area of the wall that is discolored.</t>
  </si>
  <si>
    <t>v__gJFrtUQDLw</t>
  </si>
  <si>
    <t>An image is shown of an album cover that leads into a young man playing a harmonica slowly.</t>
  </si>
  <si>
    <t>The man rocks back and fourth to the song and interments between pictures of a band and himself playing.</t>
  </si>
  <si>
    <t>v__wqhA-Ceqwc</t>
  </si>
  <si>
    <t>man is standing in front of a counter showing how to sharpening a knife.</t>
  </si>
  <si>
    <t>in the background man is cooking in the back counter.</t>
  </si>
  <si>
    <t>man is explaining and checking the areas of the knife.</t>
  </si>
  <si>
    <t>v_9Hw3xvJJTy0</t>
  </si>
  <si>
    <t>Three wrestlers were in the ring and crowd iswatching intently.</t>
  </si>
  <si>
    <t>One wrestler named, East of Angeles, back away and climb the ladder.</t>
  </si>
  <si>
    <t>Another wrestler, TandumisGreat, gets up and starts climbing the other side of the ladder.</t>
  </si>
  <si>
    <t>They started hitting each other on top of the ladder.</t>
  </si>
  <si>
    <t>TandumisGreat climb on the back of East of Angeles and they both fall off the ladder, knocking East of Angeles.</t>
  </si>
  <si>
    <t>TandumISGReat climbs once again on the top of the ladder and holds the hanging money bank.</t>
  </si>
  <si>
    <t>v_pZZVzBD8bZY</t>
  </si>
  <si>
    <t>Various shots are shown of large crowd celebrating in the distance and people riding motorcycles around.</t>
  </si>
  <si>
    <t>The people continue riding around in slow motion as the camera captures their movements.</t>
  </si>
  <si>
    <t>v_w83HV_L4AiU</t>
  </si>
  <si>
    <t>A cartoon animation is shown with various hands and lobsters and demonstrating how to play rock paper scissors.</t>
  </si>
  <si>
    <t>More text is shown as well as hands and animals and shows steps on how to play the game.</t>
  </si>
  <si>
    <t>v_OCT2h1kmZoA</t>
  </si>
  <si>
    <t>We see an animated opening sequence.</t>
  </si>
  <si>
    <t>We see men riding snowboards on a ski slope.</t>
  </si>
  <si>
    <t>We see a man riding on the back part of the snowboard.</t>
  </si>
  <si>
    <t>We see a person in a bright pink jacket .</t>
  </si>
  <si>
    <t>A man is snowboarding with bare arms.</t>
  </si>
  <si>
    <t>Another man with no coat on is snowboarding.</t>
  </si>
  <si>
    <t>We see the ending sequence.</t>
  </si>
  <si>
    <t>v_6koP53YFNjg</t>
  </si>
  <si>
    <t>People are throwing balls into plastic cups.</t>
  </si>
  <si>
    <t>A hand knocks over a red plastic cup and wastes the liquid inside.</t>
  </si>
  <si>
    <t>A male reaches for a ball that rolls under a table.</t>
  </si>
  <si>
    <t>A plastic cup has a white suspension inside.</t>
  </si>
  <si>
    <t>A man welds and machine carves a wooden board.</t>
  </si>
  <si>
    <t>A guy carries a lady as they gesture and cheer.</t>
  </si>
  <si>
    <t>v__Xydl5mYkQ8</t>
  </si>
  <si>
    <t>A counter is shown with beer cans on it.</t>
  </si>
  <si>
    <t>A man is in a bathroom, using a toilet.</t>
  </si>
  <si>
    <t>He flushes, then smiles and talks to the camera.</t>
  </si>
  <si>
    <t>v_w69pipCSlM4</t>
  </si>
  <si>
    <t>The skier adjusts the rope with his red and black skis extending in front of him over the water as he prepares to ski.</t>
  </si>
  <si>
    <t>The boat pulls him off the dock and into the water as he rests upright, his skis out in front of him.</t>
  </si>
  <si>
    <t>As the boat picks up speed, the skier rises, and holds onto the rope, steering left and right.</t>
  </si>
  <si>
    <t>He just seems to miss a buoy as he cuts through water and the boat's wake.</t>
  </si>
  <si>
    <t>The boat turns towards the land with large buildings coming into view, and slowly he is taken back to the dock.</t>
  </si>
  <si>
    <t>v_Wi9bm9omdoM</t>
  </si>
  <si>
    <t>A small group of children are seen playing hand games with one another and finally hitting the loser on the head with a bottle.</t>
  </si>
  <si>
    <t>The kids continue to play the hand game with one another that leads into the beating another with a bottle.</t>
  </si>
  <si>
    <t>v_RatbnDSuY7w</t>
  </si>
  <si>
    <t>A man claps after performing a high jump on the field.</t>
  </si>
  <si>
    <t>We are shown the instant replay in slow motion a couple of times.</t>
  </si>
  <si>
    <t>He walks onto the field, shaking hands with his competitors.</t>
  </si>
  <si>
    <t>v_uFtP9Z_K87U</t>
  </si>
  <si>
    <t>Several shots of people are shown in water as well as landscapes around an island and people riding and moving around a boat.</t>
  </si>
  <si>
    <t>More shots of people scuba diving are shown as well as fish swimming around and people in the ocean.</t>
  </si>
  <si>
    <t>In the end the camera shows several shots of the boat and people moving away on a smaller boat.</t>
  </si>
  <si>
    <t>v_B3YfGd4Wt24</t>
  </si>
  <si>
    <t>A group of kids are seen practicing various cheer leading moves in a gym as well as woman speaking to the camera.</t>
  </si>
  <si>
    <t>Several shots are shown of the girl's outfits as well as them demonstrating moves.</t>
  </si>
  <si>
    <t>v_-Q03gEypilg</t>
  </si>
  <si>
    <t>This woman is walking, jumping, and flipping on the balance beam.</t>
  </si>
  <si>
    <t>When she's done she walks off the stage and goes to her dad.</t>
  </si>
  <si>
    <t>v_MYWnPFGvxwQ</t>
  </si>
  <si>
    <t>A backyard is shown as a man sitting on an electric lawn mower begins to cut the grass.</t>
  </si>
  <si>
    <t>He makes it to the other side but then starts to run into the tree.</t>
  </si>
  <si>
    <t>After,he back up,runs into the tree again and cuts around it.</t>
  </si>
  <si>
    <t>v_VEXswbPrwxE</t>
  </si>
  <si>
    <t>A bull comes out of the gate at a rodeo and man in the ring jumps on then off his back.</t>
  </si>
  <si>
    <t>The man picks up his fallen hat in the ring.</t>
  </si>
  <si>
    <t>The man runs around dodging the charging bull.</t>
  </si>
  <si>
    <t>The man drops his hat in the ring.</t>
  </si>
  <si>
    <t>The man jumps on the wall to avoid the bull.</t>
  </si>
  <si>
    <t>Another man opens the gate and calls to the bull to enter the pin.</t>
  </si>
  <si>
    <t>v_m2DOej6tPNs</t>
  </si>
  <si>
    <t>We see people doing a dance routine in a basketball court.</t>
  </si>
  <si>
    <t>The people wave their hands in the air.</t>
  </si>
  <si>
    <t>The camera pans left to show others.</t>
  </si>
  <si>
    <t>The camera pans right and we see others.</t>
  </si>
  <si>
    <t>The lades stand still and wave their arms in the air.</t>
  </si>
  <si>
    <t>The camera pans down to the ground.</t>
  </si>
  <si>
    <t>v_8nj8tlvLyUo</t>
  </si>
  <si>
    <t>Someone is running on the beach towards so sand castle competitions.</t>
  </si>
  <si>
    <t>A dog jumps in some sand dirt and is so happy about it.</t>
  </si>
  <si>
    <t>There are so many awesome and different things being made out of sand, it looks like it takes a lot of time and energy.</t>
  </si>
  <si>
    <t>There are people walking around and looking at all of them.</t>
  </si>
  <si>
    <t>v_wBODR3P39Nw</t>
  </si>
  <si>
    <t>A few pictures of a high school field hockey team are shown.</t>
  </si>
  <si>
    <t>Two teams of young girls are playing field hockey.</t>
  </si>
  <si>
    <t>The goalie is shown falling to the ground while making a save.</t>
  </si>
  <si>
    <t>The goalie makes another sliding save.</t>
  </si>
  <si>
    <t>The goalie kicks the ball away from the net.</t>
  </si>
  <si>
    <t>The game ends and the girls give high fives.</t>
  </si>
  <si>
    <t>v_TLQFjTXZ58E</t>
  </si>
  <si>
    <t>A man is standing outside in his front lawn with his mower.</t>
  </si>
  <si>
    <t>He talks about different lengths of grass for a while and then bends down to his mower.</t>
  </si>
  <si>
    <t>He uses a ruler to show more detailed and then moves the mower to the sidewalk to talk some more.</t>
  </si>
  <si>
    <t>He starts mowing his lawn finally going up and down the lawn.</t>
  </si>
  <si>
    <t>v_ae-aDWHvAGc</t>
  </si>
  <si>
    <t>Two women are shown standing behind a shuffle board table when one pushes a puck across the board.</t>
  </si>
  <si>
    <t>The other woman prepares her push and send it to a man standing on the other side.</t>
  </si>
  <si>
    <t>They push the puck several more times while the camera follows their movements.</t>
  </si>
  <si>
    <t>v_xmAcpNTJUxo</t>
  </si>
  <si>
    <t>A person with a white mask and a sheet over his head walks back from the camera and grabs a pumpkin.</t>
  </si>
  <si>
    <t>The min then starts to carve the pumpkin and takes out the pumpkin sees.</t>
  </si>
  <si>
    <t>When they are all cleaned and taken out and placed in the oven as the man takes a sip of alcohol.</t>
  </si>
  <si>
    <t>v_onW5hJXnI5s</t>
  </si>
  <si>
    <t>This is a documentary on horseback riding.</t>
  </si>
  <si>
    <t>They explain the power, thrill, fun, grace, flying, friends, freedom, and love of horseback riding.</t>
  </si>
  <si>
    <t>They then show the difficulties of training horses, the dangers of riding them, and the downside of competition.</t>
  </si>
  <si>
    <t>Then they show the highlights of competitive riding.</t>
  </si>
  <si>
    <t>v_MLU2wreEGIg</t>
  </si>
  <si>
    <t>A small child is seen standing before a set of monkey bars.</t>
  </si>
  <si>
    <t>The boy then pushes himself along across the monkey bars.</t>
  </si>
  <si>
    <t>He jumps down in the end and begins walking across a bridge.</t>
  </si>
  <si>
    <t>v_sV6NoTdFaPE</t>
  </si>
  <si>
    <t>A young woman is seen speaking to the camera while holding onto a field hockey stick.</t>
  </si>
  <si>
    <t>The girl then hits the ball all around the yard while the camera follows.</t>
  </si>
  <si>
    <t>She continues to hit the ball around and stops to look at the camera.</t>
  </si>
  <si>
    <t>v_ibHRKaD5MbM</t>
  </si>
  <si>
    <t>A pinata is hanging from a tree, and a woman brings a girl with a stick over to it.</t>
  </si>
  <si>
    <t>She helps her whack the pinata several times.</t>
  </si>
  <si>
    <t>v_L61yQxW8HVE</t>
  </si>
  <si>
    <t>An intro screen appears that include a logo and the words "Expert Village Presents".</t>
  </si>
  <si>
    <t>A woman is now sitting and talking while holding a clarinet.</t>
  </si>
  <si>
    <t>The woman then puts the clarinet to her mouth and begins playing for a few seconds.</t>
  </si>
  <si>
    <t>The woman stops playing and resumes talking and using a lot of hand motioning, then resumes playing.</t>
  </si>
  <si>
    <t>The woman once again stops playing and begins talking while using her hands a lot and holding it in front of her face and etc.</t>
  </si>
  <si>
    <t>The woman begins playing once more until the outro of a white screen appears and it include a logo, and information for:copyright, rights and website.</t>
  </si>
  <si>
    <t>v_M_OPqcaCDYI</t>
  </si>
  <si>
    <t>A group of six are on a little boat sitting waiting for the whistle to blow.</t>
  </si>
  <si>
    <t>Once it is blown they begin to paddle as quickly as they possibly can, working very well together.</t>
  </si>
  <si>
    <t>They almost hit a wall of rocks but are able to turn in time not to and are able to continue in route.</t>
  </si>
  <si>
    <t>Waves, pick up and then they do hit a different wall of rock, where they turn around at to go back.</t>
  </si>
  <si>
    <t>v_fp0dd844oUU</t>
  </si>
  <si>
    <t>A man in gray long sleeves talks in a stage of Ultimate Guinness World Records.</t>
  </si>
  <si>
    <t>A young table tennis player is standing in front of table with spectators behind her.</t>
  </si>
  <si>
    <t>Two players play table tennis and continue playing for a minute and record 173 hits.</t>
  </si>
  <si>
    <t>The play is reviewed and the young player was introduced as Ai Fukuhara, with a record of most table tennis counter hits .</t>
  </si>
  <si>
    <t>The man in stage talks again while walking around the stage.</t>
  </si>
  <si>
    <t>v_s7ajQRC7w9w</t>
  </si>
  <si>
    <t>A woman is holding onto a wind surfboard in the water.</t>
  </si>
  <si>
    <t>She steps onto the board and starts wind surfing.</t>
  </si>
  <si>
    <t>She holds onto the kite of the wind surf.</t>
  </si>
  <si>
    <t>v_jmWtHelsblo</t>
  </si>
  <si>
    <t>A large group of people are shown performing a dance routine together with one woman leading in front.</t>
  </si>
  <si>
    <t>The people continue moving their arms and legs around together to move their bodies and obtain exercise.</t>
  </si>
  <si>
    <t>v_oNN6NE8fq0U</t>
  </si>
  <si>
    <t>A man talks to the audience while seated on stage before a performance.</t>
  </si>
  <si>
    <t>A man plays the keys of an accordion while opening and closing the air box.</t>
  </si>
  <si>
    <t>The man sings a few verses loudly with excitement.</t>
  </si>
  <si>
    <t>The man finishes the song and gathers up his notes from the podium.</t>
  </si>
  <si>
    <t>v_7AtINKDyH2Q</t>
  </si>
  <si>
    <t>There is a team of players playing hurling in an outdoor field.</t>
  </si>
  <si>
    <t>A person named Donal Cusack explains what hurling is and what is comprises of.</t>
  </si>
  <si>
    <t>The team players are playing a game of hurling with their bats as they try to hit the ball into the goal.</t>
  </si>
  <si>
    <t>v___c8enCfzqw</t>
  </si>
  <si>
    <t>A lady in black jacket is posing for the camera, then a man with medium length hair is shown, the man touched her hair to check on it, then the girl blow dry her hair.</t>
  </si>
  <si>
    <t>The lady sat at the center of the studio with her wet hair, she put a white cream on her hand then rub it on her hair.</t>
  </si>
  <si>
    <t>The girl blow dry her hair with white blower, sectioned her hair, brushed her hair with roller brush while blow drying it at the same time, she roll the brush downwards and upwards.</t>
  </si>
  <si>
    <t>She styled her hair by brushing and combing it to give more volume.</t>
  </si>
  <si>
    <t>v_tIaNvRDp0eE</t>
  </si>
  <si>
    <t>Several people are seen sitting in tubes at the top of a hill.</t>
  </si>
  <si>
    <t>The men speak to one another while one climbs in.</t>
  </si>
  <si>
    <t>The men all finally ride down the hill together while getting out in the end and laughing with one another.</t>
  </si>
  <si>
    <t>v_u0WgmhffTyI</t>
  </si>
  <si>
    <t>A male toddler is sitting on the floor near a female toddler and they are playing miniature floor foosball.</t>
  </si>
  <si>
    <t>The young male takes his hand and reaches inside to grab the soccer ball.</t>
  </si>
  <si>
    <t>As they keep playing, a set of feet appear and hold down the end of the board.</t>
  </si>
  <si>
    <t>Once they are removed,the two kids continue playing the game and moving the handles on the bars.</t>
  </si>
  <si>
    <t>The camera then zooms in on the boy and then the girl expressing their emotions.</t>
  </si>
  <si>
    <t>Each of them continues to play and adjust their body position as they become more focused.</t>
  </si>
  <si>
    <t>A goal is finally made and the girl goes into the goal and picks the ball out.</t>
  </si>
  <si>
    <t>v_Cul7VFkLTMc</t>
  </si>
  <si>
    <t>A group of surfers are on their boards surfing waves.</t>
  </si>
  <si>
    <t>One of the surfers is swallowed by one of the waves.</t>
  </si>
  <si>
    <t>Two surfers surf close to each other and are knocked down by a wave.</t>
  </si>
  <si>
    <t>A surfer is casually swimming when a wave crashes straight into him.</t>
  </si>
  <si>
    <t>A surfer attempts to surf but is quickly thrown off his board by a wave.</t>
  </si>
  <si>
    <t>v__LKFGLH8XxI</t>
  </si>
  <si>
    <t>A little girl is playing with a toy hair dryer.</t>
  </si>
  <si>
    <t>She continues playing with the toy hair dryer and talking.</t>
  </si>
  <si>
    <t>She picks up a toy curler and sets it down on the desk in front of her.</t>
  </si>
  <si>
    <t>v_TCFDMNSYTVw</t>
  </si>
  <si>
    <t>Two people are skiing, holding a rope.</t>
  </si>
  <si>
    <t>Waves are opened in their crest.</t>
  </si>
  <si>
    <t>They move under a small bridge.</t>
  </si>
  <si>
    <t>The boy in green bends over.</t>
  </si>
  <si>
    <t>The boy in green zooms out to the side.</t>
  </si>
  <si>
    <t>The boy moves to the side of the boat and then flips over the second skier.</t>
  </si>
  <si>
    <t>The boy leans back on his board and flips back over the other skier.</t>
  </si>
  <si>
    <t>The boy in green swings out again and flips over the skier giving him a high five.</t>
  </si>
  <si>
    <t>The two skiers have a conversation while riding.</t>
  </si>
  <si>
    <t>Both skiers swing out and swing to the other side of the boat.</t>
  </si>
  <si>
    <t>The boys continue to wave and talk.</t>
  </si>
  <si>
    <t>v_tEnhhhWqnWQ</t>
  </si>
  <si>
    <t>A woman does a dance with a hulahoop.</t>
  </si>
  <si>
    <t>She throws it up, catches it, and dances around the room.</t>
  </si>
  <si>
    <t>v_gPofktt3hUw</t>
  </si>
  <si>
    <t>A young man puts cement to the ceiling and even with a flat tool.</t>
  </si>
  <si>
    <t>the man wears stilts on his feet.</t>
  </si>
  <si>
    <t>The man puts cement on the empty spaces and strokes with the tool to even the ceiling.</t>
  </si>
  <si>
    <t>v_dxgeEdlt7do</t>
  </si>
  <si>
    <t>Dirt bikes race across a bumpy track.</t>
  </si>
  <si>
    <t>A rider falls off his bike and a trailing bike hits him and knocks him back to the ground.</t>
  </si>
  <si>
    <t>The words "2014 FIM MOTOCROSS WORLD CHAMPIONSHIP MXGP" appear on screen followed by social links.</t>
  </si>
  <si>
    <t>v_kBUDMFgWO9I</t>
  </si>
  <si>
    <t>A view of a very large diving platform with different heights is shown and people around the pool are walking.</t>
  </si>
  <si>
    <t>A person on one of the platforms dive into the pool.</t>
  </si>
  <si>
    <t>The diver hitting the pool causes a small splash.</t>
  </si>
  <si>
    <t>Video then freezes and there are no movements.</t>
  </si>
  <si>
    <t>v_YxUNzzrgJnI</t>
  </si>
  <si>
    <t>A car is driving down a road with passengers.</t>
  </si>
  <si>
    <t>The men gather on a bridge, adorning equipment.</t>
  </si>
  <si>
    <t>A man in a gorilla costume walks along the bridge.</t>
  </si>
  <si>
    <t>The men take turns bungee jumping from the bridge.</t>
  </si>
  <si>
    <t>The people wave as they drive away, then are shown posing for a picture.</t>
  </si>
  <si>
    <t>v_v05j8FVewPc</t>
  </si>
  <si>
    <t>A woman is talking and is excited.</t>
  </si>
  <si>
    <t>She pulls out a pink sweater to iron.</t>
  </si>
  <si>
    <t>She irons the pink sweater.</t>
  </si>
  <si>
    <t>v_9qNM5tNMxK4</t>
  </si>
  <si>
    <t>There are two players wearing a red and white shirt and the other wearing black and white shirt, playing racket ball in an indoor court with a few spectators.</t>
  </si>
  <si>
    <t>The player in red hits the ball with a front hand swing and his opponent leaps forward to return the ball.</t>
  </si>
  <si>
    <t>The player in red continues to swing his racket in a front hand as he never fails to miss a single shot.</t>
  </si>
  <si>
    <t>The player in black misses one shot, but he immediately grabs the ball and they continue to play again.</t>
  </si>
  <si>
    <t>Both the players continue on a great rally without missing a shot.</t>
  </si>
  <si>
    <t>The player in red runs swiftly across the court to hit the ball back.</t>
  </si>
  <si>
    <t>Then they play five rounds continuously using back hand swings until the player in black misses a shot.</t>
  </si>
  <si>
    <t>Then they begin their final round where the player in black and white ends the final shot.</t>
  </si>
  <si>
    <t>They end the game by shaking hands and walk out of the court.</t>
  </si>
  <si>
    <t>v_mwGs9TeYpM0</t>
  </si>
  <si>
    <t>A man is seen speaking to the camera in a large field while holding a lacrosse stick.</t>
  </si>
  <si>
    <t>He points to himself while holding up the stick and continues to speak to the camera and how to properly hold the stick.</t>
  </si>
  <si>
    <t>v_XuwqWdp-u2M</t>
  </si>
  <si>
    <t>A girl swings her stick away at a pinata.</t>
  </si>
  <si>
    <t>A group of people watch her from behind and cheer her on.</t>
  </si>
  <si>
    <t>She continues to swing away at the pinata and the object moves back and fourth in the wind.</t>
  </si>
  <si>
    <t>v_K8Fq9kjfK_U</t>
  </si>
  <si>
    <t>A camera pans around a large gymnasium and leads into two performers walking to the middle of the stage.</t>
  </si>
  <si>
    <t>The girls perform a dance routine use batons and end by holding a pose.</t>
  </si>
  <si>
    <t>v_MF3VcmCCgzY</t>
  </si>
  <si>
    <t>One woman and two men, wearing white pants, white shirt and black and white belts demonstrate martial arts moves, barefoot, on a large patch of grass in front of a body of water and a city scape of buildings.</t>
  </si>
  <si>
    <t>A woman with blonde hair in a ponytail and a black belt, demonstrates martial arts moves first exhibiting shoulder and arm moves and footwork.</t>
  </si>
  <si>
    <t>A man in a white belt demonstrates martial arts moves using knee bends.</t>
  </si>
  <si>
    <t>A third man in a black belt demonstrates martial arts moves exhibiting floor work, leg swipes and high kicks.</t>
  </si>
  <si>
    <t>v_LMxfRVcBrD8</t>
  </si>
  <si>
    <t>A woman chef is demonstrating how to make restaurant style pasta.</t>
  </si>
  <si>
    <t>She begins with adding spaghetti in a large pot of boiling water.</t>
  </si>
  <si>
    <t>She sautes chopped onions and some Italian dressing along with garlic on a saucepan.</t>
  </si>
  <si>
    <t>She then adds a cup of grape tomatoes.</t>
  </si>
  <si>
    <t>She checks the pasta for it's softness.</t>
  </si>
  <si>
    <t>She removes the cooked pasta off of the gas and pours it into a plate.</t>
  </si>
  <si>
    <t>Then she adds the cooked sauce right over the pasta.</t>
  </si>
  <si>
    <t>She chops fresh basil with a pair of scissors and garnishes it over the pasta along with some cheese Then she shows an Alfredo sauce recipe.</t>
  </si>
  <si>
    <t>She sprinkles grated Parmesan cheese over the Alfredo pasta to finish off.</t>
  </si>
  <si>
    <t>v_8HY9CPl9CqE</t>
  </si>
  <si>
    <t>A group of swimmers are getting ready to perform.</t>
  </si>
  <si>
    <t>The crowd watches the girls get ready.</t>
  </si>
  <si>
    <t>A girl dives off the diving board and people cheer.</t>
  </si>
  <si>
    <t>She climbs out of the pool while another swimmer gets ready to jump.</t>
  </si>
  <si>
    <t>v_2PCZkpF1_wU</t>
  </si>
  <si>
    <t>A large multilayer red velvet cake is shown, along with the multitude of ingredients.</t>
  </si>
  <si>
    <t>A hand turns on an oven, before mixing the ingredients together in a bowl.</t>
  </si>
  <si>
    <t>Throughout, some random tidbits and facts are shared.</t>
  </si>
  <si>
    <t>v_Z47Ig2AqKfg</t>
  </si>
  <si>
    <t>A man is on a stage amongst bright flashing lights and music.</t>
  </si>
  <si>
    <t>He is quickly playing a violin for the audience.</t>
  </si>
  <si>
    <t>He pauses to dance, then goes back to playing as they clap and cheer.</t>
  </si>
  <si>
    <t>v_wbrnTczxvVw</t>
  </si>
  <si>
    <t>There are two women dressed in black and blue tank tops demonstrating how to use the hula hoop.</t>
  </si>
  <si>
    <t>They both begin spinning with blue and silver hula hoops.</t>
  </si>
  <si>
    <t>They are in a spacious room with little furniture and hardwood floors.</t>
  </si>
  <si>
    <t>The woman in the blue tank top shows how to hula hoop in fast motion.</t>
  </si>
  <si>
    <t>Then both the women show how to twirl the hoop by raising it high up above their heads.</t>
  </si>
  <si>
    <t>They bend their backs to lower themselves down as the continue to hula hoop.</t>
  </si>
  <si>
    <t>They talk to each other as they share tips about ways to hula hoop.</t>
  </si>
  <si>
    <t>v_CF6Q5ojrAJo</t>
  </si>
  <si>
    <t>The men are taking turns chopping a log in two.</t>
  </si>
  <si>
    <t>The chop over and over again.</t>
  </si>
  <si>
    <t>The log breaks in two.</t>
  </si>
  <si>
    <t>v_D_zM6YmlUnw</t>
  </si>
  <si>
    <t>A woman wearing a tan apron is holding a knife and talking.</t>
  </si>
  <si>
    <t>She then shows an appliance on the table and tilts it upwards.</t>
  </si>
  <si>
    <t>She turns a dial on the appliance and sets it back down.</t>
  </si>
  <si>
    <t>She picks the knife back up and places it on the appliance.</t>
  </si>
  <si>
    <t>She turns the dial again on the appliance.</t>
  </si>
  <si>
    <t>She picks the knife back up and places it in the appliance and slowly draws it back several times.</t>
  </si>
  <si>
    <t>She slices a tomato on a wood block with the knife.</t>
  </si>
  <si>
    <t>She grabs a second knife and puts it in the appliance.</t>
  </si>
  <si>
    <t>v_pbTzltaBByk</t>
  </si>
  <si>
    <t>A close up of a hedge is shown followed by a man walking into frames with tools and beginning to cut the hedge.</t>
  </si>
  <si>
    <t>The man continues cutting all along the hedge while moving in and out of frame.</t>
  </si>
  <si>
    <t>v_woLR9wHe0Vs</t>
  </si>
  <si>
    <t>We see a man in a yard raking with a title on the screen.</t>
  </si>
  <si>
    <t>We see a tree trunk and leaves falling.</t>
  </si>
  <si>
    <t>We see the man talking and see the yard as he rakes.</t>
  </si>
  <si>
    <t>We then see the man as he blows it with a leaf blower and a vacuum.</t>
  </si>
  <si>
    <t>v_9-hrNWXnuY8</t>
  </si>
  <si>
    <t>Several images of dogs are shown outside in the field.</t>
  </si>
  <si>
    <t>A young woman then appears in a grassy field and play with her dog and throwing a red Frisbee to him.</t>
  </si>
  <si>
    <t>The girl then kneels down in the grass and holds the Frisbee over her head and congratulates her dog as the trick is completed and they continue to do it over and over again.</t>
  </si>
  <si>
    <t>v_lpZytCK-g1M</t>
  </si>
  <si>
    <t>A young boy kneels outside and washes his face and hands from small dishes, in front of him, filled with water and soap.</t>
  </si>
  <si>
    <t>A boy kneels in a corner of an outdoor patio in front of a row of bowls.</t>
  </si>
  <si>
    <t>The boy splashes water on his face and lathers his hands with soapy water from the dishes.</t>
  </si>
  <si>
    <t>The boy continues washing his face as a woman in a light colored dress garment walks past him.</t>
  </si>
  <si>
    <t>v_nT1-fINd4nA</t>
  </si>
  <si>
    <t>A person uses a leaf blows and blows leafs.</t>
  </si>
  <si>
    <t>The dog runs to the right and out of the path.</t>
  </si>
  <si>
    <t>The dog runs back and fort in front of the leaf blower.</t>
  </si>
  <si>
    <t>v_y7tActqdm9A</t>
  </si>
  <si>
    <t>Two wildebeests lock horns in a fight for dominance.</t>
  </si>
  <si>
    <t>The fight continues with the rest of the wildebeest herd looking on.</t>
  </si>
  <si>
    <t>The fight continues on as one wildabeast pushes the other away from the herd near a river.</t>
  </si>
  <si>
    <t>One wildebeest gives up and runs off as the other wildebeest chases.</t>
  </si>
  <si>
    <t>v_K7rfN2W0ts4</t>
  </si>
  <si>
    <t>A person's hands are seen at a poker table grabbing cards while another deals.</t>
  </si>
  <si>
    <t>The dealer continuously throws out cards while also putting chips in.</t>
  </si>
  <si>
    <t>The person playing does the same several times.</t>
  </si>
  <si>
    <t>v_cufmgoo7E_k</t>
  </si>
  <si>
    <t>An intro leads into a horse tied up to a calf with a man roping a rope around the animal.</t>
  </si>
  <si>
    <t>A man is then shown being interviewed on camera as well as an other woman beside him.</t>
  </si>
  <si>
    <t>v_oofh5aSJUSc</t>
  </si>
  <si>
    <t>A man wearing a ghost shirt is playing a game of beer pong.</t>
  </si>
  <si>
    <t>He lines up four cups, throwing the balls into the cups.</t>
  </si>
  <si>
    <t>He continues until all the balls have gone into the cups perfectly.</t>
  </si>
  <si>
    <t>v_r-rNYo8ju4k</t>
  </si>
  <si>
    <t>A group of men are all seen standing around one another on a beach while speaking and laughing to one another.</t>
  </si>
  <si>
    <t>Then men the begin putting sunscreen on one another down a line.</t>
  </si>
  <si>
    <t>v_p1pkFRHG7UY</t>
  </si>
  <si>
    <t>A tall building is shown with a tower.</t>
  </si>
  <si>
    <t>People are applauding for people that are jumping off of the top of the building.</t>
  </si>
  <si>
    <t>v_n5xfkpQ8PWM</t>
  </si>
  <si>
    <t>A woman wraps several Christmas gifts.</t>
  </si>
  <si>
    <t>A woman smiles and cuts a wrapping paper with a scissor.</t>
  </si>
  <si>
    <t>The woman places a teddy bear in a bowl.</t>
  </si>
  <si>
    <t>A woman puts two crystal presents in a white and pink box.</t>
  </si>
  <si>
    <t>A woman holds up a covered gift wrapped in silver wrapping paper.</t>
  </si>
  <si>
    <t>A woman places a jewelry box in a box.</t>
  </si>
  <si>
    <t>The woman presents a gold bowl.</t>
  </si>
  <si>
    <t>The woman holds out stacked, wrapped gifts with her hands.</t>
  </si>
  <si>
    <t>The woman blows glitter papers from the palm of her hand.</t>
  </si>
  <si>
    <t>The sponsor of the clips is introduced and displayed on the screen.</t>
  </si>
  <si>
    <t>v_bfZZdTPYmos</t>
  </si>
  <si>
    <t>There's a man wearing a white graphic shirt, sitting with bongo drums drumming a beat on the drums.</t>
  </si>
  <si>
    <t>He is wearing headphones as he drums a beat on the drums.</t>
  </si>
  <si>
    <t>He continues playing the drums.</t>
  </si>
  <si>
    <t>After a while he changes the beat after pausing for a little time.</t>
  </si>
  <si>
    <t>Then continues playing another beat on the drums.</t>
  </si>
  <si>
    <t>Then he stops for a little bit and rearranges the drums to play again.</t>
  </si>
  <si>
    <t>Another person is drumming beats on an electrical drum set that has several drums.</t>
  </si>
  <si>
    <t>v_kHyEIbBnzYM</t>
  </si>
  <si>
    <t>A man is seen walking over to a young girl who stands on a stage and begins performing martial arts.</t>
  </si>
  <si>
    <t>She performs several flips and tricks and bows to a man in the end while everyone claps for her.</t>
  </si>
  <si>
    <t>v_rBQO0Nf05vg</t>
  </si>
  <si>
    <t>The man in black shirt and blue jeans is rolling an old red carpet and vacuum the floor.</t>
  </si>
  <si>
    <t>He then unroll the new gray carpet, install it by cutting it and nailing the carpet on the floor, he removed the excess carpet on the wall, flattened it with a tool, then vacuum once the installation is complete.</t>
  </si>
  <si>
    <t>v_jXARa4T2G8o</t>
  </si>
  <si>
    <t>An intro leads into a camera panning around various snow locations with people moving and plows moving.</t>
  </si>
  <si>
    <t>The camera shows several different people stretching and warming up followed by two people falling over and standing up.</t>
  </si>
  <si>
    <t>Several clips are shown of snow boarders doing tricks on a mountain as well as jumps and grinds.</t>
  </si>
  <si>
    <t>v_8Yfm6gbKRho</t>
  </si>
  <si>
    <t>A man runs onto the field of a sporting game.</t>
  </si>
  <si>
    <t>Cricket players are pitched balls during a game in a large stadium.</t>
  </si>
  <si>
    <t>The cricket player hits a high pop fly that is caught.</t>
  </si>
  <si>
    <t>The cricket players pose for photos.</t>
  </si>
  <si>
    <t>The players all line up for a race on the adjacent track.</t>
  </si>
  <si>
    <t>v_xmGucghu2FI</t>
  </si>
  <si>
    <t>An intro of text leads into several clips of athletes throwing javelins off into the distance.</t>
  </si>
  <si>
    <t>The video continues with several more athletes being shown performing impressive throws with the Javelin.</t>
  </si>
  <si>
    <t>v_zh2Thxc6NVI</t>
  </si>
  <si>
    <t>A man in a red jacket is talking on a hockey rink.</t>
  </si>
  <si>
    <t>Several people start playing hockey on the ice.</t>
  </si>
  <si>
    <t>He gives another player a hug.</t>
  </si>
  <si>
    <t>v_3nLA8R3ULSE</t>
  </si>
  <si>
    <t>man is riding a motorbike in a dusty path inside a dome.</t>
  </si>
  <si>
    <t>motorbikes are riding bikes doing motocross in a field inside a dome.</t>
  </si>
  <si>
    <t>people are in bikes in a competition.</t>
  </si>
  <si>
    <t>v_5sYPXv0RkiM</t>
  </si>
  <si>
    <t>A man stands next to a pile of wood holding tools on his shoulders.</t>
  </si>
  <si>
    <t>The man uses a large ax to chop logs standing upright in a grassy forested area area.</t>
  </si>
  <si>
    <t>v_3dR4MEUDHa0</t>
  </si>
  <si>
    <t>Two men are playing ping pong together, one guy is wearing a black suit, the guy in the black suit has a unique style.</t>
  </si>
  <si>
    <t>The man in the black suit spikes the ping pong ball and celebrates.</t>
  </si>
  <si>
    <t>The camera scene switches to show the players from another perspective, the player in the black suit makes another spike on the ball.</t>
  </si>
  <si>
    <t>Now two players proceed to play the player in the black suit at once, he spiked the ball on both players.</t>
  </si>
  <si>
    <t>The man in the black suit is using nunchucks to play ping pong, they now have 4 players playing against him, the man in the black suit taunts them by reading a book while playing, he also pauses the ping pong balls, takes a sip of water and resumes The man starts laughing at them, and the men are frustrated.</t>
  </si>
  <si>
    <t>A final challenger arrives and walks towards him.</t>
  </si>
  <si>
    <t>The challenger spikes the ball so hard it kills him.</t>
  </si>
  <si>
    <t>v_MEwGjGcV_Ik</t>
  </si>
  <si>
    <t>Two people front to front push discs on the floor with a stick in a gym.</t>
  </si>
  <si>
    <t>A man pass on front a clock.</t>
  </si>
  <si>
    <t>v_FkQ1V0V_XCs</t>
  </si>
  <si>
    <t>A lady sits and discusses, indoors.</t>
  </si>
  <si>
    <t>The lady shows off her painted nails.</t>
  </si>
  <si>
    <t>The lady presents her nail polishes.</t>
  </si>
  <si>
    <t>The lady paints her fingernail.</t>
  </si>
  <si>
    <t>The puts nail polish on a folder and uses them to embellish her fingernail.</t>
  </si>
  <si>
    <t>The lady raises her foot and shows off her sock.</t>
  </si>
  <si>
    <t>v_OUY4TkdjnyA</t>
  </si>
  <si>
    <t>The topic of the video shows how to play foosball.</t>
  </si>
  <si>
    <t>It begins with a title screen.</t>
  </si>
  <si>
    <t>Then a clip is shown of a little boy who puts a ball shaped like an eyeball on a foosball table.</t>
  </si>
  <si>
    <t>A screen with words shows up.</t>
  </si>
  <si>
    <t>Then, a clip is shown of two boys playing with the foosball table, one of whom is reading a magazine while playing.</t>
  </si>
  <si>
    <t>Several additional clips appear showing the boys playing foosball in different ways.</t>
  </si>
  <si>
    <t>The video ends with one of the boys falling asleep while playing.</t>
  </si>
  <si>
    <t>v_tuhHQ-lHIs4</t>
  </si>
  <si>
    <t>A group of kids poses with the arms in the air.</t>
  </si>
  <si>
    <t>Another group of kids poses holding up peace signs.</t>
  </si>
  <si>
    <t>A third group of kids poses with their arms around each other.</t>
  </si>
  <si>
    <t>A fourth group of kids poses with their mouths open.</t>
  </si>
  <si>
    <t>A fifth group of kids poses smiling.</t>
  </si>
  <si>
    <t>A group of kids stands on a line in a gym.</t>
  </si>
  <si>
    <t>A girl flips across the gym.</t>
  </si>
  <si>
    <t>A young boy bounces a dodge ball.</t>
  </si>
  <si>
    <t>A group of kids in blue all run toward the center of the gym.</t>
  </si>
  <si>
    <t>A young boy aims a dodge ball at a group of kids on the opposite side of the gym and throws the ball hitting one of them.</t>
  </si>
  <si>
    <t>A young boy in blue celebrates.</t>
  </si>
  <si>
    <t>Another older boy in blue throws a dodge ball.</t>
  </si>
  <si>
    <t>A little boy runs to the line holding two balls and throws one of them.</t>
  </si>
  <si>
    <t>A boy in blue throws a ball while a boy behind him runs.</t>
  </si>
  <si>
    <t>A boy in pink throws a ball.</t>
  </si>
  <si>
    <t>A young boy in white dips down and a ball flies over his head.</t>
  </si>
  <si>
    <t>A boy in pink and then a girl in pink throw a ball.</t>
  </si>
  <si>
    <t>several kids in white celebrate.</t>
  </si>
  <si>
    <t>A group of kids runs toward the center of the gym.</t>
  </si>
  <si>
    <t>The white team plays and a very young player throws the ball.</t>
  </si>
  <si>
    <t>A boy in green throws the ball and the blue team runs to throw several balls back.</t>
  </si>
  <si>
    <t>Another boy and girl run and throw a ball at the same time.</t>
  </si>
  <si>
    <t>A boy in white throws a ball.</t>
  </si>
  <si>
    <t>A group of adults stands on the line on the gym floor.</t>
  </si>
  <si>
    <t>The adults play do0dge ball.</t>
  </si>
  <si>
    <t>A group of kids and adults hold up trophy's and wave.</t>
  </si>
  <si>
    <t>v_6Pj1Ocz8MUo</t>
  </si>
  <si>
    <t>A teen skateboard down a road while turning around and spinning.</t>
  </si>
  <si>
    <t>Another youth skateboard on the road while making turns.</t>
  </si>
  <si>
    <t>A boy holds a skateboard on his hand.</t>
  </si>
  <si>
    <t>A young man skateboard until a busy street, then the teen continue skateboarding.</t>
  </si>
  <si>
    <t>v_hzU9--vcDMY</t>
  </si>
  <si>
    <t>A man puts on paintball gear in a mirror grabs his gun and runs through the snow.</t>
  </si>
  <si>
    <t>Men duck behind trees, plywood walls and fences on a paintball field.</t>
  </si>
  <si>
    <t>Men shoot back and forth at each other.</t>
  </si>
  <si>
    <t>Men run and duck looking for a place to hide.</t>
  </si>
  <si>
    <t>The men sit on either side of the wall looking for each other then stand up and face each other.</t>
  </si>
  <si>
    <t>A man talks in front of a paintball park sign.</t>
  </si>
  <si>
    <t>v_QBlveXzAZsY</t>
  </si>
  <si>
    <t>Several bikes are in a shop lined up.</t>
  </si>
  <si>
    <t>We see people looking at the bikes, and a large box containing one.</t>
  </si>
  <si>
    <t>A man opens the box and removes the bike, He shows the pieces to the camera.</t>
  </si>
  <si>
    <t>v_OYMGPkucZYI</t>
  </si>
  <si>
    <t>Ehow and Style are on the screen.</t>
  </si>
  <si>
    <t>A woman is standing at a table with a shoe and a can of hairspray.</t>
  </si>
  <si>
    <t>The woman sprays hairspray on a scuff mark on the shoe and takes a cotton tip and rubs the scuff mark out.</t>
  </si>
  <si>
    <t>The scuff mark is gone and she talks to the camera.</t>
  </si>
  <si>
    <t>The video ends with a ehow promo.</t>
  </si>
  <si>
    <t>v_cTbkhIaj_Xc</t>
  </si>
  <si>
    <t>A group of men are standing a field and a man rolls a red ball to the other team and it is kicked out.</t>
  </si>
  <si>
    <t>After,the team switches and continue to play games of kickball.</t>
  </si>
  <si>
    <t>Now two more teams approach and the captains play Rock,Paper,Scissor to determine who will start the game.</t>
  </si>
  <si>
    <t>The woman loses and the men begin to play kicking the ball and running to the bases.</t>
  </si>
  <si>
    <t>v_xF7etZzLFbY</t>
  </si>
  <si>
    <t>A man walks alongside a boy who is mowing the lawn.</t>
  </si>
  <si>
    <t>He instructs the boy on how to turn the mower and go around a small tree.</t>
  </si>
  <si>
    <t>He continues walking and guiding the boy.</t>
  </si>
  <si>
    <t>v_RQwgREUcreI</t>
  </si>
  <si>
    <t>A woman holding a doll undoes curlers from the dolls hair.</t>
  </si>
  <si>
    <t>The woman shoes off the dolls hair.</t>
  </si>
  <si>
    <t>The woman turns the doll around to show off the back of the dolls head.</t>
  </si>
  <si>
    <t>The woman continues to show off the dolls hair.</t>
  </si>
  <si>
    <t>v_D1x5KVBdiuI</t>
  </si>
  <si>
    <t>A person is seen putting a weight on followed by a woman lifting a bar up over her head.</t>
  </si>
  <si>
    <t>Another person is seen after her lifting up a large set of weights over their heads.</t>
  </si>
  <si>
    <t>Several more people are seen lifting heavy weights over their heads while others watch on the side.</t>
  </si>
  <si>
    <t>v_J5xPmg3tmtg</t>
  </si>
  <si>
    <t>A man is seen speaking to the camera while holding sponge and a sander in each hand.</t>
  </si>
  <si>
    <t>The man then wets the sander and uses it along a set of skis.</t>
  </si>
  <si>
    <t>He guides it along the ski and stops to speak to the camera and smile.</t>
  </si>
  <si>
    <t>v_Yfg0bZbxjVg</t>
  </si>
  <si>
    <t>A lady sits on a bathtub and talks while playing with a dog.</t>
  </si>
  <si>
    <t>The lady puts the dog in the water and washes him.</t>
  </si>
  <si>
    <t>The lady adds more soap.</t>
  </si>
  <si>
    <t>The lady rinses the dog and wraps in him in a mustard orange towel.</t>
  </si>
  <si>
    <t>the lady sits and talks as the dog sits in her lap.</t>
  </si>
  <si>
    <t>The ending credits roll up the screen.</t>
  </si>
  <si>
    <t>v_P62B_iDlQXM</t>
  </si>
  <si>
    <t>A circle of green grass is shown with a trail of rocks surrounding it,a brick wall,and some trees.</t>
  </si>
  <si>
    <t>A man then comes and starts to cut the grass going around its perimeter.</t>
  </si>
  <si>
    <t>After,he takes the lawn mower and starts going vertically across the grass until the whole thing has been completed.</t>
  </si>
  <si>
    <t>v_-ucwgrxTBEg</t>
  </si>
  <si>
    <t>Two people are demonstrating Tai Chi.</t>
  </si>
  <si>
    <t>There is a garden with colorful flowers shown outside the Tai Chi school building.</t>
  </si>
  <si>
    <t>The instructors wearing blue robes are showing the basic moves used in Tai Chi.</t>
  </si>
  <si>
    <t>They are swaying their hands above their heads from left to right.</t>
  </si>
  <si>
    <t>Then the instructor demonstrates arm strength by tapping his right arm over his extended left arm.</t>
  </si>
  <si>
    <t>Both the instructors stand facing each other as they demonstrate slow and gradual hand movements.</t>
  </si>
  <si>
    <t>v_FbvTQ1-FCag</t>
  </si>
  <si>
    <t>A man is shooting a bow and arrow.</t>
  </si>
  <si>
    <t>The dart board that they are shooting at is shown.</t>
  </si>
  <si>
    <t>People are celebrating and clapping hands.</t>
  </si>
  <si>
    <t>v_j7rvKBvvvRg</t>
  </si>
  <si>
    <t>A man is on front a sink talking and wash a dish, then he puts it on the counter.</t>
  </si>
  <si>
    <t>The man put dish soap on a dish and scrub it while rinsing with water.</t>
  </si>
  <si>
    <t>Then the man shows his tattooed arms, then continues washing dishes.</t>
  </si>
  <si>
    <t>v_SNuH7bpgHuY</t>
  </si>
  <si>
    <t>The two bulls run into each other and they bump heads fighting until they knock each other down.</t>
  </si>
  <si>
    <t>Then the people run over to them and some are holding rope, while one checks on it's bloody head.</t>
  </si>
  <si>
    <t>v_16T82DHJClA</t>
  </si>
  <si>
    <t>The door opens and another man comes in and arm wrestles.</t>
  </si>
  <si>
    <t>They start fighting in the room.</t>
  </si>
  <si>
    <t>They arm wrestle again at the table.</t>
  </si>
  <si>
    <t>v_g0ns-bQ4PjE</t>
  </si>
  <si>
    <t>The lady in pink is belly dancing on the stage.</t>
  </si>
  <si>
    <t>The man is playing a keyboard, while the other man is playing the drum.</t>
  </si>
  <si>
    <t>The lady turned around, swirling around the stage and shake her hips.</t>
  </si>
  <si>
    <t>v_8GeLWWLIar4</t>
  </si>
  <si>
    <t>We see a dancing man on the cover of a book then on a street.</t>
  </si>
  <si>
    <t>We see the man sitting on the floor talking to a camera.</t>
  </si>
  <si>
    <t>We see the man illustrating break dance moves.</t>
  </si>
  <si>
    <t>The man is talking and sitting still.</t>
  </si>
  <si>
    <t>We see the man dance fast.</t>
  </si>
  <si>
    <t>We see the man perform a leg sweep move.</t>
  </si>
  <si>
    <t>We see an animated close scene and a subscribe page.</t>
  </si>
  <si>
    <t>v_kUxz_SPi72U</t>
  </si>
  <si>
    <t>A man is seen kneeling down beside a tire while holding up various tools.</t>
  </si>
  <si>
    <t>The man then takes off a hubcap and places it back on the tire.</t>
  </si>
  <si>
    <t>He turns to speak to the camera.</t>
  </si>
  <si>
    <t>v_xSMmdsV65Bc</t>
  </si>
  <si>
    <t>A White plastering tool is shown with a brown wooden handle on it.</t>
  </si>
  <si>
    <t>A person then picks it up and begins to bend it showing how the object works.</t>
  </si>
  <si>
    <t>After,the object is demonstrated on the corner of the walls and then the plaster is washed off in the grass.</t>
  </si>
  <si>
    <t>v_xr64cSwpNOM</t>
  </si>
  <si>
    <t>A man competes in a strong man competition and stands on a log chopping it with an ax in hand.</t>
  </si>
  <si>
    <t>The man finally splits the log below his feet.</t>
  </si>
  <si>
    <t>A second man in the competition in vest picks up and drops a large spherical weight on a tire repeatedly.</t>
  </si>
  <si>
    <t>A A man in red steps onto a log and receives an ax by a referee.</t>
  </si>
  <si>
    <t>v_wAt_OsQe-qM</t>
  </si>
  <si>
    <t>A man is talking inside a room in a house.</t>
  </si>
  <si>
    <t>He is holding a stick and violin.</t>
  </si>
  <si>
    <t>He then demonstrates how to play the violin.</t>
  </si>
  <si>
    <t>v_1G3rv9ssDY4</t>
  </si>
  <si>
    <t>Two professional bikers are biking at the Peckham BMX Club.</t>
  </si>
  <si>
    <t>The bikers are going over a curbed surface at full speed.</t>
  </si>
  <si>
    <t>There are several other bikers doing the same activity on another curved surface.</t>
  </si>
  <si>
    <t>There are five bikers wearing helmets standing ready to start a race.</t>
  </si>
  <si>
    <t>They begin racing at high speed over a curved road.</t>
  </si>
  <si>
    <t>Two more batches of racers start the same race.</t>
  </si>
  <si>
    <t>A single biker is going through the curved road at very high speed.</t>
  </si>
  <si>
    <t>v_hHxEBnhLsXs</t>
  </si>
  <si>
    <t>A person perform wake board holding a ski water rope.</t>
  </si>
  <si>
    <t>The man jumps an obstacle several times and lands in the water.</t>
  </si>
  <si>
    <t>Then, the man jumps the obstacle and spin around.</t>
  </si>
  <si>
    <t>Then, the man slides on ramps while flipping in the air.</t>
  </si>
  <si>
    <t>v_w8gNl6HWctA</t>
  </si>
  <si>
    <t>A man exercises by doing animated stretches in a doorway while holding a tennis racket.</t>
  </si>
  <si>
    <t>A woman approaches him and the two begin to talk.</t>
  </si>
  <si>
    <t>The man and woman begin to play tennis in a closed gym room by hitting the tennis ball against a wall with their tennis racket.</t>
  </si>
  <si>
    <t>The man becomes irate as he plays and begins stomping, yelling, wildly gesturing and pushing the woman down on the floor when she falls as they play the game.</t>
  </si>
  <si>
    <t>When the game ends the woman leaves, looking upset and the man looks satisfied as he begins doing wild stretches in front of the doorway and talking to another person.</t>
  </si>
  <si>
    <t>v__aEA1UuTai8</t>
  </si>
  <si>
    <t>A girl is standing on top of a balance beam.</t>
  </si>
  <si>
    <t>She does forward flips on the beam.</t>
  </si>
  <si>
    <t>She watches as other girls do the same.</t>
  </si>
  <si>
    <t>v_bAD_-DEgubk</t>
  </si>
  <si>
    <t>There's a young boy playing lacrosse in his front yard.</t>
  </si>
  <si>
    <t>he is holding a yellow lacrosse stick.</t>
  </si>
  <si>
    <t>He is excited as he plays the game while his mother cheers him up to play.</t>
  </si>
  <si>
    <t>He picks up the yellow ball and throws it across to his father.</t>
  </si>
  <si>
    <t>When his father throws the ball to him, he catches it with the lacrosse stick.</t>
  </si>
  <si>
    <t>His mother gets excited and shouts out for him.</t>
  </si>
  <si>
    <t>v_XFlWVBU4z9E</t>
  </si>
  <si>
    <t>A woman attempts to remove her coffee from a glove compartment, but it won't budge.</t>
  </si>
  <si>
    <t>She leans forward, waving away the camera man as she tries to take a drink.</t>
  </si>
  <si>
    <t>She finally is able to remove the cup.</t>
  </si>
  <si>
    <t>v_yE5euaQmcXw</t>
  </si>
  <si>
    <t>A man is seen grabbing a puck and curling along the ice in front of others.</t>
  </si>
  <si>
    <t>The people push the puck down the ice and celebrate with one another.</t>
  </si>
  <si>
    <t>People on the sidelines cheer and the men walk away.</t>
  </si>
  <si>
    <t>v_c7fu7RcM2iE</t>
  </si>
  <si>
    <t>A group of men do freestyle running jumps throughout the city.</t>
  </si>
  <si>
    <t>The men run together in a group.</t>
  </si>
  <si>
    <t>Each man does a set of multiple jumps in a continuous line.</t>
  </si>
  <si>
    <t>The filming is interrupted by building staff.</t>
  </si>
  <si>
    <t>v_wiflxvRl04M</t>
  </si>
  <si>
    <t>A woman is seen walking into frame and nodding at the camera that leads into her pouring mouthwash out and into her mouth.</t>
  </si>
  <si>
    <t>She rinses the mouthwash around, gurgles the liquid into her mouth, then spits it out and smiles.</t>
  </si>
  <si>
    <t>v_po_mfZ5LUVo</t>
  </si>
  <si>
    <t>A young man stands on the start line of a swimming pool.</t>
  </si>
  <si>
    <t>Then, the young man gets in the water and swims to the other side of the pull.</t>
  </si>
  <si>
    <t>After, the young man gets off the pool.</t>
  </si>
  <si>
    <t>v_wfUKi83iJCU</t>
  </si>
  <si>
    <t>Two men are showering in an outside shower.</t>
  </si>
  <si>
    <t>People are playing water polo in the water.</t>
  </si>
  <si>
    <t>They get out of the water and are walking next to the pool.</t>
  </si>
  <si>
    <t>v_fUivipdikFU</t>
  </si>
  <si>
    <t>A group of women are gathered in an indoor gym.</t>
  </si>
  <si>
    <t>They are being led by an instructor.</t>
  </si>
  <si>
    <t>They are doing zumba dances using steppers.</t>
  </si>
  <si>
    <t>v_g_qHPA0RkAY</t>
  </si>
  <si>
    <t>A line of knives and cutting utensils are on a table.</t>
  </si>
  <si>
    <t>A woman is cutting the top off of a pumpkin and raking the seeds into a bowl.</t>
  </si>
  <si>
    <t>Then she begins gutting the seeds from the pumpkin.</t>
  </si>
  <si>
    <t>She draws a face on the outside before using a knife to begin carving out the face of her pumpkin.</t>
  </si>
  <si>
    <t>Finally she places the top back in place, and puts a candle inside.</t>
  </si>
  <si>
    <t>v_fqOp0uhdEyM</t>
  </si>
  <si>
    <t>Michele Obama and another woman are hula hooping outside on a sunny day.</t>
  </si>
  <si>
    <t>As the camera zooms out a young boy and another woman to the side are also seen hula hooping while people behind run past.</t>
  </si>
  <si>
    <t>A closeup back to Michele Obama's face where she looks like she is getting quite the workout, making a smirk on her face.</t>
  </si>
  <si>
    <t>The camera angles down to just the two women's hips with the hula hoops as in the beginning and back up to mostly just seeing Michele's face.</t>
  </si>
  <si>
    <t>Michele now runs and jumps into a jumprope where she fails to successfully jump in the jump rope twice, both times looking embarrassed.</t>
  </si>
  <si>
    <t>The third time she prepares herself and runs towards the jump rope successfully jumping a couple times before being unable to do anymore.</t>
  </si>
  <si>
    <t>Now Michele is running through a foot course on the ground, while a young man trails behind.</t>
  </si>
  <si>
    <t>She is now going back and forth through another obstacle of sticks and runs towards the woods where she stops and points.</t>
  </si>
  <si>
    <t>She runs all the way back down the field, giving high fives to random people on the field at her arrival.</t>
  </si>
  <si>
    <t>v_YFIkhFEtD8w</t>
  </si>
  <si>
    <t>A person's hands are seen close up solving a rubix cube followed by a man speaking to the camera.</t>
  </si>
  <si>
    <t>The man then solves a rubix cube blind folded while a timer captures his score.</t>
  </si>
  <si>
    <t>He finishes the cube and takes off the headpiece in the end.</t>
  </si>
  <si>
    <t>v_i7L1KNGeEqU</t>
  </si>
  <si>
    <t>snowboarder is in big field in white snow.</t>
  </si>
  <si>
    <t>a cubicle in the mountain and slip down the mountain in snowboard.</t>
  </si>
  <si>
    <t>people is in cubicle and moving down the mountain in snowboard and pass by a parking lot.</t>
  </si>
  <si>
    <t>v_Is0_Qv6NLm0</t>
  </si>
  <si>
    <t>Two young guys stand together and hold up money.</t>
  </si>
  <si>
    <t>The young guys talk to a homeless man and shake his hand.</t>
  </si>
  <si>
    <t>The men talk with a homeless youth sitting outside a store.</t>
  </si>
  <si>
    <t>The group all walks together down a street.</t>
  </si>
  <si>
    <t>The men hold an arm wrestling contest standing on an outside patio.</t>
  </si>
  <si>
    <t>The man wins and both contestants are given prize money.</t>
  </si>
  <si>
    <t>v_99dCcB5Unmo</t>
  </si>
  <si>
    <t>A dancer's feet are shown in a classroom as well as a ballet class occurring in the background.</t>
  </si>
  <si>
    <t>The teacher instructs the girls how to perform proper ballet moves, as the students follow.</t>
  </si>
  <si>
    <t>The girls move their arms in the correct position and eventually turn to one side.</t>
  </si>
  <si>
    <t>Finally the instructor teaches the girls to extend their legs and perform a proper move.</t>
  </si>
  <si>
    <t>v_V1CX5B7ih6c</t>
  </si>
  <si>
    <t>Two men are on a padded surface, fighting.</t>
  </si>
  <si>
    <t>They jump and kick at each other.</t>
  </si>
  <si>
    <t>They roll around on the mat until one of them pins the other.</t>
  </si>
  <si>
    <t>v_-kAlrG4jS9M</t>
  </si>
  <si>
    <t>A man is shown bullfighting in front of a crowd.</t>
  </si>
  <si>
    <t>The man falls and is run over by the bull.</t>
  </si>
  <si>
    <t>The man is escorted out of the arena.</t>
  </si>
  <si>
    <t>The man falling over and being run over is replayed.</t>
  </si>
  <si>
    <t>Two people are shown reacting to the incident.</t>
  </si>
  <si>
    <t>Slow motion video and still images of the man's injury are shown.</t>
  </si>
  <si>
    <t>The video content repeats starting from the two people reacting.</t>
  </si>
  <si>
    <t>v_b82y7f7TFbw</t>
  </si>
  <si>
    <t>A woman talks about playing pool.</t>
  </si>
  <si>
    <t>She explains the right way to stand and how to shoot a ball when playing pool.</t>
  </si>
  <si>
    <t>v_y5wu5pysE14</t>
  </si>
  <si>
    <t>A guy runs and jumps over a pole without touching it and lands on mats,as some people in the back ground watch and others do there practices.</t>
  </si>
  <si>
    <t>the guy seems to be practicing how high he can jump by jumping over the pole many times,each time a person raises the pole higher and higher to see if the guy can jump over it.</t>
  </si>
  <si>
    <t>one jump the guy knocked the pole down when he tried to hump over it.</t>
  </si>
  <si>
    <t>the guy knock the pole down six time out of all his jumps.</t>
  </si>
  <si>
    <t>v_dpU5CcFqAPU</t>
  </si>
  <si>
    <t>Players are pulling the rope in a tug of war match.</t>
  </si>
  <si>
    <t>A man squats on the floor and rises.</t>
  </si>
  <si>
    <t>Guys pulling the left side of the rope falls to the ground.</t>
  </si>
  <si>
    <t>The guys let go of the rope, get off the lawn, and hug in celebration.</t>
  </si>
  <si>
    <t>v_tvzl11XL01k</t>
  </si>
  <si>
    <t>There's a woman dressed in a beige sweater demonstrating how to wrap Christmas gifts.</t>
  </si>
  <si>
    <t>she begins with cutting the gift wrapping paper neatly to fit the size of the box.</t>
  </si>
  <si>
    <t>She folds the paper evenly to cover the entire box.</t>
  </si>
  <si>
    <t>Then she uses scotch tape to seal the ends securely.</t>
  </si>
  <si>
    <t>She takes some decorative ribbon and other decorative items to top the box to add a special touch to the presents.</t>
  </si>
  <si>
    <t>v_MO8Dfz2Lp3w</t>
  </si>
  <si>
    <t>A group of young men play volleyball on a sandy beach in front of the ocean.</t>
  </si>
  <si>
    <t>A group of men in swim trunks and bikini briefs play volleyball in the sand at the beach in front of a tall green volley ball net.</t>
  </si>
  <si>
    <t>The men are competitive as they play using feet and head and chest to move the ball around.</t>
  </si>
  <si>
    <t>One man is lying on the sand and then gets up to play more volleyball.</t>
  </si>
  <si>
    <t>v_lO2Y1vkpyNc</t>
  </si>
  <si>
    <t>A man is seen hosting a news segment that leads into a player standing on a field.</t>
  </si>
  <si>
    <t>A person hits a ball and teammates cheer followed by more people playing the game.</t>
  </si>
  <si>
    <t>The sport continues on with people throwing balls an hitting them as well as teammates cheering and the host finishes speaking.</t>
  </si>
  <si>
    <t>v_iVGGeRlJekQ</t>
  </si>
  <si>
    <t>a stands woman by a ball and sets it in place.</t>
  </si>
  <si>
    <t>Another woman appears and they wrap the ball in wrapping paper.</t>
  </si>
  <si>
    <t>They finish wrapping and taping the ball.</t>
  </si>
  <si>
    <t>they take the camera and start to talk into it.</t>
  </si>
  <si>
    <t>v_ClE77VhGQsk</t>
  </si>
  <si>
    <t>A woman is seen speaking to the camera while people use exercise equipment around her.</t>
  </si>
  <si>
    <t>More shots are shown of people using the machine as well as people speaking to the camera and close ups of the machine.</t>
  </si>
  <si>
    <t>v_AJtJcV2_l1Q</t>
  </si>
  <si>
    <t>A construction man introduces the video and talks about placing shingles on a roof.</t>
  </si>
  <si>
    <t>He places some shingles down and nails them in.</t>
  </si>
  <si>
    <t>He nails in a metal piece that runs along the corner of the roof and building to help keep things in place.</t>
  </si>
  <si>
    <t>He repeats this process before closing the video.</t>
  </si>
  <si>
    <t>v_JAO5R6VA8r4</t>
  </si>
  <si>
    <t>A shot of a room is shown when a man walks into frame.</t>
  </si>
  <si>
    <t>The man then begins jump roping over and over again.</t>
  </si>
  <si>
    <t>He continues to jump rope and ends by walking out of frame.</t>
  </si>
  <si>
    <t>v_J8VMY1SPJaY</t>
  </si>
  <si>
    <t>A woman is seen speaking to the camera that leads into clips of people riding in kayaks and camels wandering around.</t>
  </si>
  <si>
    <t>More clips are shown of people riding around the water in a kayak.</t>
  </si>
  <si>
    <t>The person paddles themselves along the water with other people riding near him.</t>
  </si>
  <si>
    <t>v_35Xzs3Bz1hQ</t>
  </si>
  <si>
    <t>A working man carried a tray of coffee to a table with guest.</t>
  </si>
  <si>
    <t>Another man is talking to some reporters with the microphone.</t>
  </si>
  <si>
    <t>Another entrepreneur talks with the the reporters about the coffee business.</t>
  </si>
  <si>
    <t>Then they are in the coffee shop them making coffee and working around.</t>
  </si>
  <si>
    <t>v_ojQdrhHT_gE</t>
  </si>
  <si>
    <t>People are driving in bumper cars and bump into one another and are forced to stop.</t>
  </si>
  <si>
    <t>The three bumper cars break away and begin to drive in different directions as they continue to bump into one another.</t>
  </si>
  <si>
    <t>Two girls in a bumper car bump into a wall and briefliy have a hard time getting back to moving.</t>
  </si>
  <si>
    <t>People are constantly driving their bumper cars and bumping into things until the ride is over.</t>
  </si>
  <si>
    <t>v_kC8DS6b76yI</t>
  </si>
  <si>
    <t>There's a man wearing a black shirt and a green bandana demonstrating how to spray paint a microfiber sofa.</t>
  </si>
  <si>
    <t>He is using a red can of spray paint to demonstrate how to paints a cream colored sofa with red paint.</t>
  </si>
  <si>
    <t>He continues to spray paint the back and the arm rests of the sofa.</t>
  </si>
  <si>
    <t>He then places one unpainted of the seat cushions back on the sofa.</t>
  </si>
  <si>
    <t>v_coK0QVLhuj0</t>
  </si>
  <si>
    <t>Several shots of people grooming dogs are shown as well as a woman speaking to the camera in several settings.</t>
  </si>
  <si>
    <t>Dogs are seen being scrubbed, nails clipped, and brushed down with combs by several people and another woman showing off the collars they have in store.</t>
  </si>
  <si>
    <t>More shots of the store are shown as well as many dogs being groomed.</t>
  </si>
  <si>
    <t>v_5VHqMj5iikc</t>
  </si>
  <si>
    <t>A bike is pulled up to a stop in a park.</t>
  </si>
  <si>
    <t>A rider takes off from a gate on the dirt bike.</t>
  </si>
  <si>
    <t>He takes the turns and curves sharply, going over hills.</t>
  </si>
  <si>
    <t>v_eu3CLlQ9c2s</t>
  </si>
  <si>
    <t>A man replaces a tire on his bike rim using tools.</t>
  </si>
  <si>
    <t>The man reattaches the bicycle wheel to the frame of the bike.</t>
  </si>
  <si>
    <t>The sun goes down as the day gets later.</t>
  </si>
  <si>
    <t>The man stands up his bike and gets ready to depart.</t>
  </si>
  <si>
    <t>v_uZpVDAd7da8</t>
  </si>
  <si>
    <t>person with scissors kneels in the grass.</t>
  </si>
  <si>
    <t>We see the shadow of the cameraman over the person.</t>
  </si>
  <si>
    <t>The person is cutting grass with child proof scissors.</t>
  </si>
  <si>
    <t>v_hyv8OkQcgEA</t>
  </si>
  <si>
    <t>Men blows dead leaves pushing a leaf blower machine on the ground or holding a machine on the back.</t>
  </si>
  <si>
    <t>Then, a man explains how to operate a leaf blow machine while men continue blowing the leaves.</t>
  </si>
  <si>
    <t>Another man explains while other men vacuum and blows leaves.</t>
  </si>
  <si>
    <t>v_U2u9JboK97A</t>
  </si>
  <si>
    <t>We see an image and a title card.</t>
  </si>
  <si>
    <t>We see a man playing basketball.</t>
  </si>
  <si>
    <t>The shot he made is seen in reverse.</t>
  </si>
  <si>
    <t>We see a gym with teenagers shooting basketball.</t>
  </si>
  <si>
    <t>We see a title card on black.</t>
  </si>
  <si>
    <t>A man is shooting basketball in a gym.</t>
  </si>
  <si>
    <t>We see a man dunk the ball twice.</t>
  </si>
  <si>
    <t>We see the ending title card on black.</t>
  </si>
  <si>
    <t>v_9YxgMsdO9GE</t>
  </si>
  <si>
    <t>Two people are seen riding down a road with a dog.</t>
  </si>
  <si>
    <t>One person is riding a bike and the other a skateboard while the camera follows close behind.</t>
  </si>
  <si>
    <t>Several other dogs run by and the people continue riding down the road path.</t>
  </si>
  <si>
    <t>v_tTIsHfF0UgA</t>
  </si>
  <si>
    <t>man is holding a pole with an ice cream and giving it to a little child.</t>
  </si>
  <si>
    <t>people are standing and walking behind the boy in a amusement park.</t>
  </si>
  <si>
    <t>v_O9crPOB_9tE</t>
  </si>
  <si>
    <t>A man is surfing in rough ocean water, riding on and against, massive high waves while onlookers on motorboats watch and commentate.</t>
  </si>
  <si>
    <t>The man, in a wetsuit, is standing and riding on a yellow surfboard and a red surfboard first on a calm wave and then on a series of large and high waves.</t>
  </si>
  <si>
    <t>The man rides the rough waves on the surfboard with the waves at time covering his entire body and surfboard.</t>
  </si>
  <si>
    <t>The man hugs and shakes hands with people upon completing the rough surf episode and rides one last lone, high wave before fading to black.</t>
  </si>
  <si>
    <t>v_GZsplhHXQy0</t>
  </si>
  <si>
    <t>A man performs a kettle throw in front of an outdoor stadium filled with spectators in the audience.</t>
  </si>
  <si>
    <t>A man on a round dirt area on a field swings a ball around and around while standing in place.</t>
  </si>
  <si>
    <t>The man lets the ball go, where it flies in the air ahead of him.</t>
  </si>
  <si>
    <t>The man stops and bends with his knees as he watches the ball fly in the air.</t>
  </si>
  <si>
    <t>v_PG3f3Wkkptk</t>
  </si>
  <si>
    <t>A man guides a camel with kids riding on the back along a beach shoreline.</t>
  </si>
  <si>
    <t>Beach goers stand and walk along the shoreline in bathing suits.</t>
  </si>
  <si>
    <t>v_lAa8tS962Qg</t>
  </si>
  <si>
    <t>A teen explains how to flip and turn a surfboard with the feet.</t>
  </si>
  <si>
    <t>Then, the teen shows how to rise the tips of the surfboard.</t>
  </si>
  <si>
    <t>Then, the teen stands on the surfboard and demonstrates how to turn it to the side.</t>
  </si>
  <si>
    <t>After, the teen puts his hand in shoes on the surfboard and demonstrates a turn.</t>
  </si>
  <si>
    <t>Next, the teen make the turn with his feet.</t>
  </si>
  <si>
    <t>v_Quj1J31xQFM</t>
  </si>
  <si>
    <t>People are rowing down a body of water.</t>
  </si>
  <si>
    <t>A guy rinses his face with water from the body of water.</t>
  </si>
  <si>
    <t>The guy runs his water fingers through this hair.</t>
  </si>
  <si>
    <t>A man with a mustache leans over, wets his hand, and whips his face.</t>
  </si>
  <si>
    <t>v_EJr0qHpy77g</t>
  </si>
  <si>
    <t>A guy stands in a court holding a colorful stick and touches a pinata.</t>
  </si>
  <si>
    <t>A guy swings a stick at a pinata.</t>
  </si>
  <si>
    <t>The guy stops and puts the stick besides him.</t>
  </si>
  <si>
    <t>v_gXVjjjvjVf4</t>
  </si>
  <si>
    <t>A man is seated in front of a small canvas.</t>
  </si>
  <si>
    <t>He uses a long pointed brush to create an image.</t>
  </si>
  <si>
    <t>He then fills the image with paints.</t>
  </si>
  <si>
    <t>v_8v4NoUJMssI</t>
  </si>
  <si>
    <t>A man pours coffee into a mug.</t>
  </si>
  <si>
    <t>The man grabs open a beer bottle with the use of a jug.</t>
  </si>
  <si>
    <t>The man pours the beer into the mug.</t>
  </si>
  <si>
    <t>The man drinks the drink.</t>
  </si>
  <si>
    <t>v_rWoSJ9YBy5E</t>
  </si>
  <si>
    <t>We see a man talking to a camera then hold a curling stone then people laughing at the man.</t>
  </si>
  <si>
    <t>The man throws the curling stone as people sweep brooms in front of the stone.</t>
  </si>
  <si>
    <t>Three ladies throw the stone and slides down the track.</t>
  </si>
  <si>
    <t>We see people partying an lights flashing.</t>
  </si>
  <si>
    <t>Images flash of people curing again, and a group of people jump in the air.</t>
  </si>
  <si>
    <t>We see a title screen for curling.</t>
  </si>
  <si>
    <t>v_DuLweixeP8I</t>
  </si>
  <si>
    <t>Two people are sword fighting on a stage for an audience.</t>
  </si>
  <si>
    <t>A guy gestures the the result of each match.</t>
  </si>
  <si>
    <t>The audience members look on.</t>
  </si>
  <si>
    <t>v_HtuDZLsOK6M</t>
  </si>
  <si>
    <t>Various shots of scenery are shown and leads to a person scratching a dog and pulling a rope.</t>
  </si>
  <si>
    <t>More shots of people riding a boat are shown, seagulls flying, and people playing music.</t>
  </si>
  <si>
    <t>Next a person is seen drawing on a map and ends with an anchor and pictures of people.</t>
  </si>
  <si>
    <t>v_Kz6I9Zx5E_0</t>
  </si>
  <si>
    <t>A team of young cheerleaders are in a gym doing toss ups and flips.</t>
  </si>
  <si>
    <t>The owner then comes along and begins to talk as the video goes over the materials each person will need.</t>
  </si>
  <si>
    <t>After,three girls are shown standing in a straddle position and begins to clap and lunge with their right hand to the side and go down.</t>
  </si>
  <si>
    <t>The girls continue to do the cheer and when they are done, the owner joins in.</t>
  </si>
  <si>
    <t>Once the coach disappears,the girls continue the cheer and the video ends.</t>
  </si>
  <si>
    <t>v_SzLlB2SgtQo</t>
  </si>
  <si>
    <t>The video leads into several shots of different people riding around windsurfing while passing one another.</t>
  </si>
  <si>
    <t>A man is seen talking to the camera and leads into a shot of a person wind surfing and waving to the camera.</t>
  </si>
  <si>
    <t>More people are shown surfing and waving to the camera while moving around the ocean continuously.</t>
  </si>
  <si>
    <t>v_LHiui4s2X1s</t>
  </si>
  <si>
    <t>Two people are seen standing in front of a large crowd with one cheering and shoving his arms back and fourth.</t>
  </si>
  <si>
    <t>The men throw the ball back and fourth and switch places with another, ending with the same man cheering and hugging another.</t>
  </si>
  <si>
    <t>v_AjSFqqfzml0</t>
  </si>
  <si>
    <t>We see a play button on a screen.</t>
  </si>
  <si>
    <t>We sees a lady shave her legs with a pink razor.</t>
  </si>
  <si>
    <t>We then see the ending screen play button.</t>
  </si>
  <si>
    <t>v_N7z9_g196z0</t>
  </si>
  <si>
    <t>Titles in bold lettering are seen on the page against still images and a dark background.</t>
  </si>
  <si>
    <t>Men play a game of croquet in a grassy yard.</t>
  </si>
  <si>
    <t>Men kneels down and hits the croquet ball like a billiard shot.</t>
  </si>
  <si>
    <t>The man runs holding up his stick celebrating.</t>
  </si>
  <si>
    <t>A man skips on the grass holding his stick smiling.</t>
  </si>
  <si>
    <t>v_YLT7YEwUCwI</t>
  </si>
  <si>
    <t>A man is seen speaking to the camera and leads into him sitting still in a pool.</t>
  </si>
  <si>
    <t>The man then begins swimming around the pool back and fourth with others.</t>
  </si>
  <si>
    <t>Several shots are shown of him swimming around people as well as moving in the water.</t>
  </si>
  <si>
    <t>v_UyThFVEvNsI</t>
  </si>
  <si>
    <t>Two women are playing badminton on a stage.</t>
  </si>
  <si>
    <t>People are playing the game of the price is right.</t>
  </si>
  <si>
    <t>A woman wins and walks on the stage to give the host a hug.</t>
  </si>
  <si>
    <t>v_jDlF26-Uu2I</t>
  </si>
  <si>
    <t>Two girls are standing on a grass field.</t>
  </si>
  <si>
    <t>One of the girls starts doing cheerleading moves.</t>
  </si>
  <si>
    <t>The other girl stands next to her talking.</t>
  </si>
  <si>
    <t>v__I1DKeGg_w8</t>
  </si>
  <si>
    <t>A man is practicing throwing darts at his dart board.</t>
  </si>
  <si>
    <t>He throws them all and then he has to get over to get them all off.</t>
  </si>
  <si>
    <t>Once he has them all off he starts to throw them again.</t>
  </si>
  <si>
    <t>He repeats this cycle a few times over and over again.</t>
  </si>
  <si>
    <t>v_H5TETCI731k</t>
  </si>
  <si>
    <t>A man talks indoors, then a lady talks in a field while girls runs on her side.</t>
  </si>
  <si>
    <t>The lady talks with girls who plays a game hitting a ball with a stick.</t>
  </si>
  <si>
    <t>Girls take turns to talk, while other players practice shooting balls to the goal and display the city of Baltimore, the players of the Ravens and the roads of the city.</t>
  </si>
  <si>
    <t>v_r1ZhBGLfRWY</t>
  </si>
  <si>
    <t>A boy is twirled around and prepared to break a pinata.</t>
  </si>
  <si>
    <t>Instead he hits a girl in the face.</t>
  </si>
  <si>
    <t>v_kAmDOTsp5cs</t>
  </si>
  <si>
    <t>A man skip rope in a drive way, then the man jumps and skip rope.</t>
  </si>
  <si>
    <t>After, the man holds the rope on his left hand and skip while turning the rope.</t>
  </si>
  <si>
    <t>Next, the man alternate skipping rope and flip the rope side to side on front.</t>
  </si>
  <si>
    <t>Also, the man jump rope criss cross and jumps rope double.</t>
  </si>
  <si>
    <t>Then the man jumps rope doing squatting jumps and jump lunges.</t>
  </si>
  <si>
    <t>v_Tu1oKxyfHTs</t>
  </si>
  <si>
    <t>A male is wearing black and white swimming shorts, standing at the edge of a diving board, bounces a few times and then jumps out of view and into the water.</t>
  </si>
  <si>
    <t>An older shirtless man wearing black shorts begins to walk on the same board of the male who previously jumped but then stops.</t>
  </si>
  <si>
    <t>On a shorter board a male wearing blue swim underwear walks to the edge of the board jumps a few times, stops, turns around and walks back.</t>
  </si>
  <si>
    <t>The male walks to the edge of the board again, jumps a few times, then once again turns around and walks back.</t>
  </si>
  <si>
    <t>The male tries one more time and walks to the edge of the diving board and finally jumps and does a few flips before landing in the water and then swims to the edge of the pool.</t>
  </si>
  <si>
    <t>v_K-t4tUTq_Ik</t>
  </si>
  <si>
    <t>People are standing on a tennis court.</t>
  </si>
  <si>
    <t>They are playing a game of tennis.</t>
  </si>
  <si>
    <t>A man in a white shirt hits the tennis ball.</t>
  </si>
  <si>
    <t>v_vpu4Bwq-xHI</t>
  </si>
  <si>
    <t>There are lots of adults in the room (elderly or young) and they're all watching this girl play the clarinet.</t>
  </si>
  <si>
    <t>First the girl walks to the front of the classroom as she holds her clarinet and the man who plays the piano gets up from his seat to play the piano.</t>
  </si>
  <si>
    <t>Then he starts playing the piano and she plays the clarinet along with the piano, when she's done everyone claps for her.</t>
  </si>
  <si>
    <t>v_uqzy1FAUpPM</t>
  </si>
  <si>
    <t>A man gets ready to to preform an event.</t>
  </si>
  <si>
    <t>He begins to start running fast.</t>
  </si>
  <si>
    <t>He is running down the lane and the he jumps 3 times into the sand.</t>
  </si>
  <si>
    <t>He runs out of the pit happily.</t>
  </si>
  <si>
    <t>He continues to walk around cheering as it cuts to the crowd and announcers.</t>
  </si>
  <si>
    <t>He blows a kiss to the crowd.</t>
  </si>
  <si>
    <t>He goes and starts hugging fans.</t>
  </si>
  <si>
    <t>v_Nc71GzZhAHE</t>
  </si>
  <si>
    <t>cars are driving in a snowy highway.</t>
  </si>
  <si>
    <t>a sign to a sugar mountain is shown and peolpe practicing snowboard.</t>
  </si>
  <si>
    <t>people is snowboarding down a snowy hill.</t>
  </si>
  <si>
    <t>snowy cars are riding in snowy hill.</t>
  </si>
  <si>
    <t>men are snowboarding in a hill.</t>
  </si>
  <si>
    <t>v_FEGf7ejk8Fc</t>
  </si>
  <si>
    <t>A young child is seen sitting in a chair in front of a table with a large body.</t>
  </si>
  <si>
    <t>The hands are then seen writing a note and rubbing against the face while the child laughs and the hands continue moving.</t>
  </si>
  <si>
    <t>v_qbUQVhjQJ48</t>
  </si>
  <si>
    <t>A man pushes a disc in front of a hopscotch game.</t>
  </si>
  <si>
    <t>Another person pushes a disc towards the hopscotch.</t>
  </si>
  <si>
    <t>The first man makes a funny face.</t>
  </si>
  <si>
    <t>v_XzNMQl0EdEo</t>
  </si>
  <si>
    <t>A lone man in a room with a green screen backdrop performs a break dancing move on a patch of hardwood floors, using his back to spin.</t>
  </si>
  <si>
    <t>The man stops dancing and stands in front of the camera talking to it before demonstrating basic break dance moves including using the hands and knees to perform spins from the floor.</t>
  </si>
  <si>
    <t>The man continues to demonstrate break dance moves and talk to the camera until he gives a peace sign to the camera and the screen fades to a marketing graphic.</t>
  </si>
  <si>
    <t>v_M6i-5nzy5Bk</t>
  </si>
  <si>
    <t>Clips of women and men are pole vaulting indoors while a lot of people are moving about around them or just watching, and a banner at the bottom reads that it's at "Texas Elite Pole Vaulting Competition Bell County Expo Center on 12 28 13".</t>
  </si>
  <si>
    <t>As various clips of different people are pole vaulting, a man and woman are standing indoors next to one another and talking to the camera with the words at the bottom of the screen say their names are Kaitlin Petrillose &amp; Jack Chapman Competitor &amp; Chairman".</t>
  </si>
  <si>
    <t>The view blurs and white words on the screen appear in the middle and say "Killeen Daily Herald By Marianne Gish".</t>
  </si>
  <si>
    <t>v_Yd0q08-cpJU</t>
  </si>
  <si>
    <t>A curtain is seen, and a belly dancer walks onto the stage.</t>
  </si>
  <si>
    <t>She performs for the audience, shaking her hips and sucking her belly in and out.</t>
  </si>
  <si>
    <t>When she finishes, she throws her arms into the air and the screen goes black.</t>
  </si>
  <si>
    <t>v_lUrHCNqVl-A</t>
  </si>
  <si>
    <t>An athletic man is seen standing in a circle followed by spinning around and throwing an object off into the distance.</t>
  </si>
  <si>
    <t>More people are seen stepping up throwing the object while the camera watches.</t>
  </si>
  <si>
    <t>Several people watch on the sidelines.</t>
  </si>
  <si>
    <t>v_9peoWGfb9jc</t>
  </si>
  <si>
    <t>A man is seen putting tape on a set of skis on each end and begins rubbing wax on the ski.</t>
  </si>
  <si>
    <t>The man then takes a sander and runs it all along the length of the ski.</t>
  </si>
  <si>
    <t>The man then takes a board and rubs it along the ski and ends by taking it off.</t>
  </si>
  <si>
    <t>v_a7DEFV0_nCE</t>
  </si>
  <si>
    <t>A large beach is shown as well as people standing around on the beach and looking at the sky.</t>
  </si>
  <si>
    <t>People are seen flying kites up in the air while people look around and watch.</t>
  </si>
  <si>
    <t>More people are seen flying kites up in the air with some grabbing them off the ground.</t>
  </si>
  <si>
    <t>v_QHF28_yGOV8</t>
  </si>
  <si>
    <t>A man in a black wet suit and carrying a surfboard is talking to the camera man, about to get in the water.</t>
  </si>
  <si>
    <t>Dramatic music plays while showing various clips of surfers in the water, riding waves.</t>
  </si>
  <si>
    <t>The video ends as the man in the black wet suit comes on shore after riding a wave and smiling.</t>
  </si>
  <si>
    <t>v_-YMpwZkNc2A</t>
  </si>
  <si>
    <t>A man walks into frame and speaks to the camera while holding a razor and razor heads in his hands.</t>
  </si>
  <si>
    <t>A scene appears over the man's video and he is seen rubbing cream on his face and shaving off the hair.</t>
  </si>
  <si>
    <t>He leaves a bit of hair on his chin and is seen again speaking to the camera and walks away.</t>
  </si>
  <si>
    <t>v_x7lP6GKepco</t>
  </si>
  <si>
    <t>Various people are shown in a workshop working while pushing objects, driving machinery, working machinery and etcetera.</t>
  </si>
  <si>
    <t>A woman is shown putting a long metal piece into a large machinery and the words "TODAY'S TOPIC: WELDING" appears on the screen followed by a person wearing a mask and welding with a torch.</t>
  </si>
  <si>
    <t>A woman is now standing at a machine and she is grabbing various metal objects and putting them into a machine that welds them together.</t>
  </si>
  <si>
    <t>The outro appears and it's a white screen with a red and blue logo, website and hashtag information.</t>
  </si>
  <si>
    <t>v_bwcgMTHFRV8</t>
  </si>
  <si>
    <t>A large band is walking down a parade and there a lot of people walking alongside, and standing on the sidelines watching or taking photos and videos.</t>
  </si>
  <si>
    <t>The view changes to women carrying and swinging flags on a pole and then switches back to the large band that comes to a stop and continues to play for the crowd.</t>
  </si>
  <si>
    <t>The band resumes walking and so does the crowd around and behind them.</t>
  </si>
  <si>
    <t>v_G-xh30e4s8E</t>
  </si>
  <si>
    <t>A man sits in a room in front of a flag.</t>
  </si>
  <si>
    <t>He is playing a black wind instrument.</t>
  </si>
  <si>
    <t>His fingers position over the holes.</t>
  </si>
  <si>
    <t>He is wearing sunglasses as he plays.</t>
  </si>
  <si>
    <t>v_Jy9kiITFsjI</t>
  </si>
  <si>
    <t>People are in the stands of an arena.</t>
  </si>
  <si>
    <t>A bull gets drug out of the arena by horses.</t>
  </si>
  <si>
    <t>A woman is talking to the camera.</t>
  </si>
  <si>
    <t>v_CDWHstJThJA</t>
  </si>
  <si>
    <t>A group of young Asian men are indoors with a lot of spectators in the stands holding signs and cheering them on.</t>
  </si>
  <si>
    <t>Two young Asian men stand up with their bow and arrows and they each take turns at shooting at their bulls eye target while the crowd cheers them on after each shot is made, and occasionally 3 suited people are shown making commentaries.</t>
  </si>
  <si>
    <t>When the men are done shooting at the target,one of them raise their arm in victory, they shake each others hands,hug, take a bow and wave to the cheering crowd.</t>
  </si>
  <si>
    <t>v_zm8gZpwZkRE</t>
  </si>
  <si>
    <t>A woman is in a room with chairs.</t>
  </si>
  <si>
    <t>She is playing the violin.</t>
  </si>
  <si>
    <t>Two men are playing drums with her.</t>
  </si>
  <si>
    <t>The camera pans between them.</t>
  </si>
  <si>
    <t>v_dVLIfsEMD8Y</t>
  </si>
  <si>
    <t>A man is throwing darts on to a dart board.</t>
  </si>
  <si>
    <t>He throws one and makes it to the center of the board.</t>
  </si>
  <si>
    <t>He throws again and also makes it to the center.</t>
  </si>
  <si>
    <t>Every single shot makes it right in the center of the board.</t>
  </si>
  <si>
    <t>v_-cwPzzcNpGs</t>
  </si>
  <si>
    <t>Two men sit together at a booth and compete in an arm wrestling match.</t>
  </si>
  <si>
    <t>The friends gathered around watching make challenges with the arm wrestlers after the match.</t>
  </si>
  <si>
    <t>The men shake hands and talk after the match.</t>
  </si>
  <si>
    <t>v_I5N4rwhRa0o</t>
  </si>
  <si>
    <t>The title and logo appear on the screen.</t>
  </si>
  <si>
    <t>A man holding a saxophone plays and talks to the camera in between.</t>
  </si>
  <si>
    <t>A man holds the saxophone up to show the bottom.</t>
  </si>
  <si>
    <t>The man takes the mouthpiece off his saxophone, and replaces it.</t>
  </si>
  <si>
    <t>We see a closeup of the man playing the saxophone, it zooms out and in on him again.</t>
  </si>
  <si>
    <t>We see a closeup of the opening of the horn.</t>
  </si>
  <si>
    <t>The screen goes black and we see the end screen.</t>
  </si>
  <si>
    <t>v_uYLYJABDubw</t>
  </si>
  <si>
    <t>We see two ladies arm wrestling.</t>
  </si>
  <si>
    <t>The right lady looks at the camera.</t>
  </si>
  <si>
    <t>The right lady wins the match.</t>
  </si>
  <si>
    <t>The left lady drops her head to the table.</t>
  </si>
  <si>
    <t>The right lady throws her arms in the air and talks to the camera.</t>
  </si>
  <si>
    <t>v_wqM6TdjBCfs</t>
  </si>
  <si>
    <t>A man chops wood with an ax on the snow.</t>
  </si>
  <si>
    <t>A person stands behind the man.</t>
  </si>
  <si>
    <t>A person handles the spliced firewood to a man.</t>
  </si>
  <si>
    <t>The man continues chopping firewood with the ax.</t>
  </si>
  <si>
    <t>The ax gets stack in a piece of wood, but the man get it off and continues cutting the firewood.</t>
  </si>
  <si>
    <t>v_ZksAXEVmFrg</t>
  </si>
  <si>
    <t>An elderly white woman with short blonde hair and glasses begins talking in the corner of the gymnasium.</t>
  </si>
  <si>
    <t>The small girls then enter the gym and a male coach begins assisting them as they walk across the balance beam.</t>
  </si>
  <si>
    <t>v_fm4ZaId1sL0</t>
  </si>
  <si>
    <t>An Asian woman wearing a blue shirt and begins talking and throwing her hands up at the camera.</t>
  </si>
  <si>
    <t>She then grabs an iron and continues to iron a yellow piece of cloth on the ironing board.</t>
  </si>
  <si>
    <t>Once the front is finished,she grabs it and flips it over so she can complete the ironing.</t>
  </si>
  <si>
    <t>v_qPZwXF1Xcpw</t>
  </si>
  <si>
    <t>The camera pans over a grass field surrounded by a track, with people doing indistinct things in the background.</t>
  </si>
  <si>
    <t>A man is shown engaging in shot put.</t>
  </si>
  <si>
    <t>Judges measure the man's throw.</t>
  </si>
  <si>
    <t>The audience is shown clapping as the man receives congratulations from people nearby.</t>
  </si>
  <si>
    <t>A replay of the throw is shown.</t>
  </si>
  <si>
    <t>v_4aiE_-yQWZE</t>
  </si>
  <si>
    <t>Several people are dressed in sweatsuits rolling out mats in a large gym.</t>
  </si>
  <si>
    <t>After the mats are rolled out,other individuals begin walking across the floor dressed in fencing uniforms.</t>
  </si>
  <si>
    <t>The athletes then begin walking around and talking to each other as a small mascot walks across the mat.</t>
  </si>
  <si>
    <t>Finally,a match begins and once it is over about five of the individuals pose for a picture.</t>
  </si>
  <si>
    <t>The camera then speeds up and shows several teams and people entering and leaving the gym.</t>
  </si>
  <si>
    <t>Next,fencing matches are shown between about 12 pairs of people and they line up and give each other a high five before huddling up and having a talk with their coach.</t>
  </si>
  <si>
    <t>v_W8eqlIPRWCk</t>
  </si>
  <si>
    <t>A black screen appears with blue letters that say "Jayne Clarke Field Hockey Clips 2009".</t>
  </si>
  <si>
    <t>The clips begin to play and there are a series of small clips put together of the girl playing with a team, practicing alone, and practicing on a course.</t>
  </si>
  <si>
    <t>The video ends with the girl practicing alone on a empty and large blue indoor court.</t>
  </si>
  <si>
    <t>v_6tdIiKzMVcg</t>
  </si>
  <si>
    <t>We see strong men arm wrestling.</t>
  </si>
  <si>
    <t>We see two men hug after the match.</t>
  </si>
  <si>
    <t>A host in a white suit narrates.</t>
  </si>
  <si>
    <t>We see a camera man right behind the table.</t>
  </si>
  <si>
    <t>The final match starts and ends very quickly and the men hug.</t>
  </si>
  <si>
    <t>We see a mirage of images.</t>
  </si>
  <si>
    <t>v_R8RrOgz9hj8</t>
  </si>
  <si>
    <t>A large group of people are seen riding down multiple rafts down a rigorous river while paddling continuously.</t>
  </si>
  <si>
    <t>Several shots are shown of the people riding down while holding their sticks up into the air and ends with people stopping to eat.</t>
  </si>
  <si>
    <t>v_iODCh_DsGak</t>
  </si>
  <si>
    <t>A man in a suit and a woman in a dress are standing in front of an audience.</t>
  </si>
  <si>
    <t>They begin to dance on the floor.</t>
  </si>
  <si>
    <t>They finish dancing and the audience claps.</t>
  </si>
  <si>
    <t>v_WreRcthWXv8</t>
  </si>
  <si>
    <t>A person is holding onto a motorcycle wearing roller blades and being dug along a street.</t>
  </si>
  <si>
    <t>A man is standing by a fountain of water.</t>
  </si>
  <si>
    <t>People are doing roller skating tricks.</t>
  </si>
  <si>
    <t>v_7FtSO6hPcxU</t>
  </si>
  <si>
    <t>A man talks to the camera in a close up view.</t>
  </si>
  <si>
    <t>Scenes of the man's daily activities are shown.</t>
  </si>
  <si>
    <t>Scenes of the man getting serviced at a hair salon is shown, usually with other individuals in the background.</t>
  </si>
  <si>
    <t>Scenes of the man talking to the camera with various others are shown.</t>
  </si>
  <si>
    <t>More scenes from the hair salon are shown.</t>
  </si>
  <si>
    <t>v_47SHPAe0s0k</t>
  </si>
  <si>
    <t>Three men are seen riding on top of horses around one another and leads into a bull running in and chasing a man on a horse.</t>
  </si>
  <si>
    <t>The man rides around the bull and shows several more shots of the riders riding around the bull.</t>
  </si>
  <si>
    <t>At one point more men run into the pit and the bull lays down on it's side while the audience cheers and the man holds his arms up.</t>
  </si>
  <si>
    <t>v_CAa74sedG9A</t>
  </si>
  <si>
    <t>Kids are on a field, kicking a ball back and forth.</t>
  </si>
  <si>
    <t>A girl runs up and kicks at the boy.</t>
  </si>
  <si>
    <t>She runs down the sideline and tries to take the ball while other girls watch from the sidelines.</t>
  </si>
  <si>
    <t>The kids continue playing until the clip ends.</t>
  </si>
  <si>
    <t>v_WlsVDIIo2dk</t>
  </si>
  <si>
    <t>Several couples of men and women are shown performing a tango routine in front of a group of people.</t>
  </si>
  <si>
    <t>Many people watch on the sides and one couple laughs and walk away in the end.</t>
  </si>
  <si>
    <t>v_Ib1xMq2aUl0</t>
  </si>
  <si>
    <t>These 3 men are shown rollerblading outdoors in the middle of the street.</t>
  </si>
  <si>
    <t>They are dancing, going in circles, and spinning around.</t>
  </si>
  <si>
    <t>v__7JooVc_sCQ</t>
  </si>
  <si>
    <t>A group of bike riders are awaiting to start a race, eventually all falling down when the gate open.</t>
  </si>
  <si>
    <t>A close up shot of a bike is done while a man puts his gear on to ride.</t>
  </si>
  <si>
    <t>One rider is shown riding around while another does various tricks.</t>
  </si>
  <si>
    <t>Several different bikers are shown riding up and down tracks and flying through at record speeds.</t>
  </si>
  <si>
    <t>v__vVKdZM5Cy8</t>
  </si>
  <si>
    <t>A man is shown holding a volleyball talking to the camera and leads into showing various jumps.</t>
  </si>
  <si>
    <t>He continues talking to the camera and moving around the gym hitting the ball.</t>
  </si>
  <si>
    <t>v_gsfIHiBB6xE</t>
  </si>
  <si>
    <t>The men on the field grab their tools.</t>
  </si>
  <si>
    <t>We see men in a field cutting tall grass as other watch.</t>
  </si>
  <si>
    <t>The left man uses a sickle and takes the lead over the man with the weed wacker.</t>
  </si>
  <si>
    <t>The man with the sickle finishes.</t>
  </si>
  <si>
    <t>The crowd claps for the man.</t>
  </si>
  <si>
    <t>The shirtless man walks away.</t>
  </si>
  <si>
    <t>The camera pans right to show the other man working on the grass.</t>
  </si>
  <si>
    <t>v_xrbKvttgcMA</t>
  </si>
  <si>
    <t>A boy is standing on a court holding a racquet in his right hand, a ball comes his way and he hits it very hard.</t>
  </si>
  <si>
    <t>The boy walks towards the left and a man is there hitting the ball and he and the boy go back and forth taking turns hitting the ball very hard against the wall in front of them.</t>
  </si>
  <si>
    <t>The ball rolls on the ground, the boy picks it up and hits it to the wall and once more the man hits the ball and the camera points to the ground.</t>
  </si>
  <si>
    <t>v_WC3GCmEqCBc</t>
  </si>
  <si>
    <t>A chef is seen standing behind a counter speaking to the camera.</t>
  </si>
  <si>
    <t>The man is then seen holding up several tools and presenting them to the camera.</t>
  </si>
  <si>
    <t>The man then uses the tool in a bowl of salad and presents it to the camera.</t>
  </si>
  <si>
    <t>v_84g4J1rxkQc</t>
  </si>
  <si>
    <t>A man is in the woods, balancing on a tight rope.</t>
  </si>
  <si>
    <t>He walks back and forth on the rope, then jumps.</t>
  </si>
  <si>
    <t>v_rs7er4e67ec</t>
  </si>
  <si>
    <t>The video begins with details of a field hockey team's victory in the final championship game.</t>
  </si>
  <si>
    <t>The stadium shows the two teams competing in the game hockey.</t>
  </si>
  <si>
    <t>The crowd is loudly cheering as one team becomes victorious.</t>
  </si>
  <si>
    <t>The players jump on each other with joy as they celebrate.</t>
  </si>
  <si>
    <t>There is a stage of singers performing live music as they celebrate the victory of the winning team.</t>
  </si>
  <si>
    <t>v_0FTaJwbFdZI</t>
  </si>
  <si>
    <t>A woman is doing a dance routine on a stage.</t>
  </si>
  <si>
    <t>She twirls and kicks her legs around.</t>
  </si>
  <si>
    <t>She moves all around the stages and bends her body in numerous ways.</t>
  </si>
  <si>
    <t>She continues shaking her body for the audience to see.</t>
  </si>
  <si>
    <t>She shakes her hips back and fourth while moving her arms in various ways.</t>
  </si>
  <si>
    <t>v_mnS-nMZne3I</t>
  </si>
  <si>
    <t>A man walks onto a diving board.</t>
  </si>
  <si>
    <t>He jumps on the diving board several times and jumps into a pool.</t>
  </si>
  <si>
    <t>The man surfaces and stands up in the pool.</t>
  </si>
  <si>
    <t>v_rq-Xyoo5Rs0</t>
  </si>
  <si>
    <t>People are doing flips by running and jumping to the wall.</t>
  </si>
  <si>
    <t>boys do back flips on a blue mat.</t>
  </si>
  <si>
    <t>A kid jumps over several other kids laying on the mat.</t>
  </si>
  <si>
    <t>Two guys body roll with each other on the mat.</t>
  </si>
  <si>
    <t>v_BTtMoBOHrlQ</t>
  </si>
  <si>
    <t>Two men are posing in a photo for martial arts.</t>
  </si>
  <si>
    <t>A group is gathered inside a room, shown in various martial arts poses.</t>
  </si>
  <si>
    <t>They change movements, text on the screen showing what they are doing.</t>
  </si>
  <si>
    <t>It ends with an ad for the school.</t>
  </si>
  <si>
    <t>v_mwndGBRpOPg</t>
  </si>
  <si>
    <t>A person is seen riding a surfboard with a kite on top along the water.</t>
  </si>
  <si>
    <t>The person pushes themselves up into the air and flips back down.</t>
  </si>
  <si>
    <t>He continues riding along the water.</t>
  </si>
  <si>
    <t>v_CrCtYGvG9Uw</t>
  </si>
  <si>
    <t>A man is talking to a camera about his hair.</t>
  </si>
  <si>
    <t>Another man comes in and begins cutting the first boy's fair.</t>
  </si>
  <si>
    <t>He brushes his hair and cuts through it with a fine comb.</t>
  </si>
  <si>
    <t>The stylist performs various styles and techniques on the hair.</t>
  </si>
  <si>
    <t>The stylist puts gel in the hair and the boy is finished with his cut.</t>
  </si>
  <si>
    <t>v_fYuJdh9gqr0</t>
  </si>
  <si>
    <t>A man in a hard hat is looking at a building.</t>
  </si>
  <si>
    <t>A second man walks up and shakes the first mans hand.</t>
  </si>
  <si>
    <t>Both men acknowledge the building and discuss.</t>
  </si>
  <si>
    <t>Three men are spackling the wall as two comparisons are shown.</t>
  </si>
  <si>
    <t>The two men inspect the wall.</t>
  </si>
  <si>
    <t>Another man walks up and is introduced to the other man.</t>
  </si>
  <si>
    <t>The man walks away as the first two continue talking.</t>
  </si>
  <si>
    <t>v_vMdSEzQkRTg</t>
  </si>
  <si>
    <t>A person stands on front a wood fire in the woods.</t>
  </si>
  <si>
    <t>Then, the person light a match and throw it in the wood fire, then a fire lit.</t>
  </si>
  <si>
    <t>v_WsHzMciP5X8</t>
  </si>
  <si>
    <t>A large audience is seen watching a sports game and leads into a coin toss.</t>
  </si>
  <si>
    <t>The audience cheers more and leads into people throwing a ball and others hitting it.</t>
  </si>
  <si>
    <t>More shots of the game being played are shown as well as others watching on the sides.</t>
  </si>
  <si>
    <t>v_QBJelFFVJu0</t>
  </si>
  <si>
    <t>The harmonica is held up and shown.</t>
  </si>
  <si>
    <t>A person holds a harmonica between his hands a plays a song.</t>
  </si>
  <si>
    <t>The person finishes the song and holds up the harmonica.</t>
  </si>
  <si>
    <t>v_XgaEYidtX6E</t>
  </si>
  <si>
    <t>Walking down the street holding onto a skate board the boy puts his board down and begins to skate.</t>
  </si>
  <si>
    <t>Then three friends join him and they skate down the road.</t>
  </si>
  <si>
    <t>While on the board they bend down with their hands behind their backs to build up some more momentum.</t>
  </si>
  <si>
    <t>They ride around all over from one area to another enjoying their free time boarding.</t>
  </si>
  <si>
    <t>v_wqZzLAPmr9k</t>
  </si>
  <si>
    <t>An image is shown of a plate of sardine pasta, along with a list of ingredients.</t>
  </si>
  <si>
    <t>Water is salted and boiled for the pasta, and vegetables are sauteed in olive oil.</t>
  </si>
  <si>
    <t>Sardines are added, then mixed with the spaghetti noodles, creating a finished dish.</t>
  </si>
  <si>
    <t>v_YcxPoVlukf4</t>
  </si>
  <si>
    <t>A hockey player talks in an interview on tv.</t>
  </si>
  <si>
    <t>Several stills of him playing ice hockey are shown as he talks.</t>
  </si>
  <si>
    <t>He continues talking as the pictures flash across the screen.</t>
  </si>
  <si>
    <t>v_Y-1QkIGm81w</t>
  </si>
  <si>
    <t>The man wearing gray sweater is playing guitar.</t>
  </si>
  <si>
    <t>The man looked on the guitar.</t>
  </si>
  <si>
    <t>The man in blue shirt play his guitar, then poke the threads.</t>
  </si>
  <si>
    <t>v_zVMDHCnT-d4</t>
  </si>
  <si>
    <t>Two men are seated in a room in front of a robotic arm.</t>
  </si>
  <si>
    <t>One of the men is using a controller to make the arm pick up a bottle.</t>
  </si>
  <si>
    <t>The arm brings the bottle to the man's face, so he can take a drink.</t>
  </si>
  <si>
    <t>Then the robot returns the bottle to the table.</t>
  </si>
  <si>
    <t>v_cRBnLFujD3g</t>
  </si>
  <si>
    <t>Performers sings and dancers on a concert stage.</t>
  </si>
  <si>
    <t>A performer climbs down the stairs.</t>
  </si>
  <si>
    <t>Several performers pose, gesture, and point towards the audience.</t>
  </si>
  <si>
    <t>A performer break dances on stage.</t>
  </si>
  <si>
    <t>The break dancer lays on the stage floor.</t>
  </si>
  <si>
    <t>A performer raises the standing break dancer's hand in the air.</t>
  </si>
  <si>
    <t>The break dancer gives a performer five.</t>
  </si>
  <si>
    <t>A performer squats and gestures.</t>
  </si>
  <si>
    <t>v_M8aDrPK7D94</t>
  </si>
  <si>
    <t>A man jumps off of a bridge and bungee jumps.</t>
  </si>
  <si>
    <t>It shows him climbing back up onto the ledge.</t>
  </si>
  <si>
    <t>He jumps again off the bridge.</t>
  </si>
  <si>
    <t>v_b-p57jzkrQI</t>
  </si>
  <si>
    <t>A man in a chefs outfit is standing in a kitchen.</t>
  </si>
  <si>
    <t>He flips something that is in a pan.</t>
  </si>
  <si>
    <t>He uses a spoon to stir what is in the pan.</t>
  </si>
  <si>
    <t>v_gCxLSh-cgng</t>
  </si>
  <si>
    <t>An introduction comes onto the screen for a video about playing tennis.</t>
  </si>
  <si>
    <t>And man comes on to talk about the lessons that he will be teaching in the video.</t>
  </si>
  <si>
    <t>He swings the racket several times to demonstrate a good form for swinging the tennis racket.</t>
  </si>
  <si>
    <t>Another man comes onto the screen and performs the several tennis wings while the other man narrates.</t>
  </si>
  <si>
    <t>As the video ends the closing credits are displayed on the screen.</t>
  </si>
  <si>
    <t>v_nuqxJvTbG9w</t>
  </si>
  <si>
    <t>A woman is seen kicking a ball out into a field of people and then running back to the home plate.</t>
  </si>
  <si>
    <t>She then kicks the ball again while others around her run and grab the ball from the field.</t>
  </si>
  <si>
    <t>v_2j-DRUk2yCs</t>
  </si>
  <si>
    <t>A close up is shown of an image on a cell phone.</t>
  </si>
  <si>
    <t>A male gymnast runs, flipping back and forth across a mat.</t>
  </si>
  <si>
    <t>He is then shown flipping far into the air before standing before the cheering crowd.</t>
  </si>
  <si>
    <t>v_tV_1whw_S4g</t>
  </si>
  <si>
    <t>Two people are wrestling in a ring.</t>
  </si>
  <si>
    <t>A referee is standing on the side of the ring watching them.</t>
  </si>
  <si>
    <t>The crowd behind them is cheering.</t>
  </si>
  <si>
    <t>v_BMzspHz04Q8</t>
  </si>
  <si>
    <t>A gymnast in a pink outfit stretches before starting routine.</t>
  </si>
  <si>
    <t>She jumps on the balance beam and balances herself.</t>
  </si>
  <si>
    <t>She begins her balance beam routine.</t>
  </si>
  <si>
    <t>She does several flips and somersaults.</t>
  </si>
  <si>
    <t>She is getting ready to dismount.</t>
  </si>
  <si>
    <t>She flips several times in the air during her dismount and lands perfectly.</t>
  </si>
  <si>
    <t>v_Y1kCMRoDjWk</t>
  </si>
  <si>
    <t>A man stands by a row of hedges.</t>
  </si>
  <si>
    <t>He then begins to trim them with sheers.</t>
  </si>
  <si>
    <t>He trims the top of a bush.</t>
  </si>
  <si>
    <t>Several different groomed bushes are shown.</t>
  </si>
  <si>
    <t>v_8XB_0x_erho</t>
  </si>
  <si>
    <t>A little chinese boy sits in a room on the floor with books and toys around him while he looks into the camera.</t>
  </si>
  <si>
    <t>the little chinese boy then goes outside and start playing in a park,having fun by his self while the camera man record him.</t>
  </si>
  <si>
    <t>the boy little slides down the slide,climb steps while smiling and having fun.</t>
  </si>
  <si>
    <t>v_Ib3XqmBqy10</t>
  </si>
  <si>
    <t>Various shots of people are shown followed by several shots of kids jumping rope.</t>
  </si>
  <si>
    <t>A man then speakers to various kids on a court and shows more shots of the kids jumping rope together.</t>
  </si>
  <si>
    <t>The man then jumps rope while more kids perform tricks with their jump ropes and ends with the man speaking to one more jumper.</t>
  </si>
  <si>
    <t>v_PZjWkB_q2lE</t>
  </si>
  <si>
    <t>Cars are being washed at a car wash.</t>
  </si>
  <si>
    <t>A man in a red shirt talks to a man in a black shirt.</t>
  </si>
  <si>
    <t>The car is going through an automatic car wash.</t>
  </si>
  <si>
    <t>Someone is now scrubbing a car to wash it.</t>
  </si>
  <si>
    <t>They walk into a garage and inspect the cars.</t>
  </si>
  <si>
    <t>v_yNwdhK5UKec</t>
  </si>
  <si>
    <t>Four men in the studio are playing different instrument.</t>
  </si>
  <si>
    <t>The man with big guitar is singing while playing his guitar.</t>
  </si>
  <si>
    <t>The man playing harmonica stopped playing and looked at the man singing, then he continue to play his harmonica.</t>
  </si>
  <si>
    <t>Two men behind the four men are playing instruments.</t>
  </si>
  <si>
    <t>The man with guitar pull out a white cloth and wave it.</t>
  </si>
  <si>
    <t>v_WUTHTWQb-5g</t>
  </si>
  <si>
    <t>A young girl is standing in a room with a grey sweater,black tights,and pink shoes.</t>
  </si>
  <si>
    <t>In her hand she has a croquet stick and is fiddling with the small ball.</t>
  </si>
  <si>
    <t>She does it for quite some times keeping it still until eventually walking with the ball and ending the video.</t>
  </si>
  <si>
    <t>v_nFfMY4CQq50</t>
  </si>
  <si>
    <t>A guy standing in a bathroom speaks and gestures.</t>
  </si>
  <si>
    <t>A person shaving his chin is shown.</t>
  </si>
  <si>
    <t>A guy puts cream from a blue tube in his palm and applies it to his chin.</t>
  </si>
  <si>
    <t>A guy puts gel from a blue tube in his palm and applies it to his chin.</t>
  </si>
  <si>
    <t>A guy washes his face.</t>
  </si>
  <si>
    <t>v_Eh0OoXQDLVc</t>
  </si>
  <si>
    <t>A woman talks to the camera while young girls stand behind her.</t>
  </si>
  <si>
    <t>The woman continues to talk to the camera while demonstrating individual dance movements, as the young girls follow along.</t>
  </si>
  <si>
    <t>The woman leads the girls in practicing the entire sequence.</t>
  </si>
  <si>
    <t>The girls perform the sequence on their own.</t>
  </si>
  <si>
    <t>v_jsu65VwKf74</t>
  </si>
  <si>
    <t>A player of a read team performs a free shot on front a soccer goal, and the players scores.</t>
  </si>
  <si>
    <t>Again a player wearing red t-shirt scores, and the players jumps and hug to celebrate.</t>
  </si>
  <si>
    <t>Then, a player with white t-shirt scores, and the teams continue playing.</t>
  </si>
  <si>
    <t>The red team scores again, and people celebrate.</t>
  </si>
  <si>
    <t>v_7LmSZAoD6-c</t>
  </si>
  <si>
    <t>woman is running to make a high jump and start walking and the woman makes the same high jump 3 times.</t>
  </si>
  <si>
    <t>woman loose the hair sits on the floor and untie the shoes.</t>
  </si>
  <si>
    <t>v_n913aoCh1IQ</t>
  </si>
  <si>
    <t>People stand on a slack rope and cross it on a beach.</t>
  </si>
  <si>
    <t>A man falls off into the dirt.</t>
  </si>
  <si>
    <t>A man takes his shirt off and throws it on the sand.</t>
  </si>
  <si>
    <t>A man continues doing tricks on the slack rope.</t>
  </si>
  <si>
    <t>v_xhyCKLKaG0c</t>
  </si>
  <si>
    <t>Dragon ball z characters are yelling at one another standing in front of each other.</t>
  </si>
  <si>
    <t>They start to play paper scissors rock to see who will win.</t>
  </si>
  <si>
    <t>They have watchers standing by very stressed about how it will end up.</t>
  </si>
  <si>
    <t>They just keep playing and one of the other characters starts to get really angry.</t>
  </si>
  <si>
    <t>v_xbWAmySRE88</t>
  </si>
  <si>
    <t>Two women are standing behind a young woman who is sitting in a chair getting her hair done.</t>
  </si>
  <si>
    <t>The video begins with a title page showing that a video of a versatile sew-in is about to be done.</t>
  </si>
  <si>
    <t>First image,the braid pattern is shown on the individuals head as some of her hair is left out around the perimeter of her head.</t>
  </si>
  <si>
    <t>A lady then grabs weave, a needle and begins to sew in the hair.</t>
  </si>
  <si>
    <t>Once she shows how the sew-in is secured,the finished product is shown and the girl now has long curly hair.</t>
  </si>
  <si>
    <t>v_CEQqdt0vV0o</t>
  </si>
  <si>
    <t>A man is standing and talking inside a gym to the camera.</t>
  </si>
  <si>
    <t>He stands on the open surface, dancing back and forth.</t>
  </si>
  <si>
    <t>He demonstrates several moves as he goes.</t>
  </si>
  <si>
    <t>v_bay60VGnTls</t>
  </si>
  <si>
    <t>A woman in a tan suit is talking.</t>
  </si>
  <si>
    <t>A man in a green shirt is playing tennis while sitting on the ground.</t>
  </si>
  <si>
    <t>People walk along a sidewalk.</t>
  </si>
  <si>
    <t>The man in the green shirt is talking into a microphone.</t>
  </si>
  <si>
    <t>A man in a purple shirt then talks into the microphone.</t>
  </si>
  <si>
    <t>The man in green shirt continues to play tennis.</t>
  </si>
  <si>
    <t>v_6ciZ58xAV9I</t>
  </si>
  <si>
    <t>A gymnast wearing a red and white uniform prepares to mount a pommel horse for his exercise.</t>
  </si>
  <si>
    <t>The gymnast jumps onto the pommel horse and starts with scissor moves.</t>
  </si>
  <si>
    <t>The gymnast moves into a spinning exercise while on the pommel horse.</t>
  </si>
  <si>
    <t>The gymnast moves into a hand stand while walking with his hands.</t>
  </si>
  <si>
    <t>The gymnast goes from the hand stand to his dismount.</t>
  </si>
  <si>
    <t>v_ErEr4Sxdprw</t>
  </si>
  <si>
    <t>A man is in the gym in tight he bends over picks up a weight over his head and drops it back down.</t>
  </si>
  <si>
    <t>He walks back and loosens up before walking back up and doing it again adding more weight.</t>
  </si>
  <si>
    <t>He does this multiple times adding more and more weight to the rack.</t>
  </si>
  <si>
    <t>He finally lifts 374 pounds and calls it quits.</t>
  </si>
  <si>
    <t>v_8oI4xGqkzSE</t>
  </si>
  <si>
    <t>A man kicks a Frisbee to a dog.</t>
  </si>
  <si>
    <t>The dog does various tricks while catching the Frisbee.</t>
  </si>
  <si>
    <t>The dog jumps off the man to catch the toy.</t>
  </si>
  <si>
    <t>Several other dogs also do a tricks to catch the toy.</t>
  </si>
  <si>
    <t>A man swings a dog around on a toy.</t>
  </si>
  <si>
    <t>v_rYrO0KnZ7F0</t>
  </si>
  <si>
    <t>We see steps to carve a pumpkin.</t>
  </si>
  <si>
    <t>A person cleans a pumpkin.</t>
  </si>
  <si>
    <t>We see step and a person carves the pumpkin.</t>
  </si>
  <si>
    <t>We see another step and person uses carved bits to make cat ears.</t>
  </si>
  <si>
    <t>v_Tu9QF2ALd2s</t>
  </si>
  <si>
    <t>A close up of a blender is seen with various ingredients on the inside.</t>
  </si>
  <si>
    <t>A person's hand then blends the mixture together and moves their hand away from the camera.</t>
  </si>
  <si>
    <t>v_MEU83dUao4g</t>
  </si>
  <si>
    <t>A woman is seen with markings on her tongue and a person placing paper towels on her tongue.</t>
  </si>
  <si>
    <t>The man then pierces the girls tongue and she looks at the camera smiling.</t>
  </si>
  <si>
    <t>v_5TV-V6Cxero</t>
  </si>
  <si>
    <t>A shirtless man is standing on porch while instructing how to build a redneck fire.</t>
  </si>
  <si>
    <t>He shows a beer bottle and some other alcohol cans.</t>
  </si>
  <si>
    <t>He demonstrates a campfire that he has set up in a pit.</t>
  </si>
  <si>
    <t>There are three men standing near the campfire pit to demonstrate step three.</t>
  </si>
  <si>
    <t>One of the men picks up a gasoline can and ours some of it into the campfire pit.</t>
  </si>
  <si>
    <t>Another man lights the bonfire up to start the fire.</t>
  </si>
  <si>
    <t>The bonfire continues burning as the fireworks crackle in the pit.</t>
  </si>
  <si>
    <t>One of the instructors comes back and point to the redneck campfire.</t>
  </si>
  <si>
    <t>v_q2JRY6-riYA</t>
  </si>
  <si>
    <t>People are sitting in blue bumper cars.</t>
  </si>
  <si>
    <t>They drive around and bump into each other.</t>
  </si>
  <si>
    <t>A little boy in a hat waves at the camera.</t>
  </si>
  <si>
    <t>v_WE9Md637nbc</t>
  </si>
  <si>
    <t>A pair of dirty nike sneakers are seen on a counter.</t>
  </si>
  <si>
    <t>A man fills a bowl with water, then adds a cleaning solution.</t>
  </si>
  <si>
    <t>He uses a brush to scrub the shoes clean.</t>
  </si>
  <si>
    <t>v_6180cMhkWJA</t>
  </si>
  <si>
    <t>A man is seated in front of some video monitors and related equipment.</t>
  </si>
  <si>
    <t>He reminds us that when we were young we weren't afraid to try because we liked it.</t>
  </si>
  <si>
    <t>We then see some kids playing soccer along with some older players, obviously enjoying themselves.</t>
  </si>
  <si>
    <t>We see the man once again, who advises us not to ever grow up.</t>
  </si>
  <si>
    <t>v_t1s7ST4FRJc</t>
  </si>
  <si>
    <t>There are four women dancing to a choreographed dance to some Hip Hop music in a studio.</t>
  </si>
  <si>
    <t>They follow a synchronized and rhythmic beat to follow the same steps as the rest of the dancers.</t>
  </si>
  <si>
    <t>They continue following the steps one after the other in a structured manner where everybody is shaking their hands and legs rhythmically.</t>
  </si>
  <si>
    <t>Their dance moves change as the music changes and they slow down or move faster according to the beat of the song.</t>
  </si>
  <si>
    <t>v_Qs0hIRhHPVM</t>
  </si>
  <si>
    <t>A still picture of a man caught in mid-air about to attack a punching bag, a black and white picture of woman kicking the punching bag, two bare chested men in a boxing position, a silhouette of a man kicking a blurry person, two men in a boxing ring, two men holding a championship belt with their hand covered with boxing gloves.</t>
  </si>
  <si>
    <t>One man in blue shorts is kicking the kicking pad worn by the other man in black shorts.</t>
  </si>
  <si>
    <t>Two men that are barechested are boxing each other outside the boxing ring.</t>
  </si>
  <si>
    <t>v_D-y_N4u0uRQ</t>
  </si>
  <si>
    <t>A man enters a car holding a briefcase.</t>
  </si>
  <si>
    <t>Then, the man smokes a cigarette in office, and a nurse gives him papers.</t>
  </si>
  <si>
    <t>After, an elegant woman smokes and then smile.</t>
  </si>
  <si>
    <t>v_UbVTGLlR0L8</t>
  </si>
  <si>
    <t>People raft down a stony river on inflatable boats.</t>
  </si>
  <si>
    <t>Two men are in the water and other men help get in the boat.</t>
  </si>
  <si>
    <t>The men pass between high mountains.</t>
  </si>
  <si>
    <t>v_yslzj3NGuLU</t>
  </si>
  <si>
    <t>A woman removes the snow on the top of a car using a brush, also removes snow on the side windows and back window.</t>
  </si>
  <si>
    <t>After, the woman continues taking snow from the hood of the car and the front window that has a lot of snow.</t>
  </si>
  <si>
    <t>v_Eaq95CTpfZI</t>
  </si>
  <si>
    <t>A person is mixing drinks behind a bar.</t>
  </si>
  <si>
    <t>A person is playing a game of shuffleboard.</t>
  </si>
  <si>
    <t>v_7x5oY2Myd7I</t>
  </si>
  <si>
    <t>A team is playing ice hockey in front of a crowded stadium.</t>
  </si>
  <si>
    <t>The players are shown crashing into each other.</t>
  </si>
  <si>
    <t>A countdown of ten is being shown as we see bloopers from different sporting events, from hockey, to baseball, to football and basketball as people fall down and make mistakes.</t>
  </si>
  <si>
    <t>v_l5HNvNpRTpk</t>
  </si>
  <si>
    <t>Words are being displayed across the screen that read how to make the perfect sandwich.</t>
  </si>
  <si>
    <t>The ingredients you will need are bread, cheese, ham, turkey sub kit deli meat, kraft real mayo, spicy brown mustard, seasoning and a knife.</t>
  </si>
  <si>
    <t>Spread mayo on both slices of bread then put on mustard and cheese on both slices of bread put ham then turkey meat and add other seasoning to your taste.</t>
  </si>
  <si>
    <t>v_T98RJsOiQWc</t>
  </si>
  <si>
    <t>A small child is seen holding a stick and swinging at a pinata.</t>
  </si>
  <si>
    <t>A girl is seen blindfolding another while a man plays with the camera on the side.</t>
  </si>
  <si>
    <t>The man holds the stick and gestures to the girl on the side.</t>
  </si>
  <si>
    <t>v_uY0ngQlbIZc</t>
  </si>
  <si>
    <t>Two men that are matching each other are playing a game of racket ball.</t>
  </si>
  <si>
    <t>They are in an indoor enclosed court area playing the game.</t>
  </si>
  <si>
    <t>They are moving around all over the court trying to hit the ball.</t>
  </si>
  <si>
    <t>The bald man begins to walk out of the court smiling.</t>
  </si>
  <si>
    <t>v_mIi5fkvHDAo</t>
  </si>
  <si>
    <t>A female news anchor is talking about a clip that will be shown.</t>
  </si>
  <si>
    <t>Monkeys are skiing behind a boat in the water.</t>
  </si>
  <si>
    <t>Another monkey is seen driving a speed boat pulling a skiing monkey.</t>
  </si>
  <si>
    <t>Several people watch and take photos and video from the shore.</t>
  </si>
  <si>
    <t>The monkey driving the speed boat is shown again.</t>
  </si>
  <si>
    <t>The monkey circles the steering wheel with the boat moving.</t>
  </si>
  <si>
    <t>The monkey then drives the boat to a set of buoys where three people are waiting for him.</t>
  </si>
  <si>
    <t>Three news anchors discuss the monkeys.</t>
  </si>
  <si>
    <t>v_XRb38sJzuY4</t>
  </si>
  <si>
    <t>A young boy is seen grabbing a ball and walking forward speaking to the camera.</t>
  </si>
  <si>
    <t>He is then seen in a shot holding on a stick and hitting a ball.</t>
  </si>
  <si>
    <t>He continues hitting the ball into a goal wile looking back to the camera.</t>
  </si>
  <si>
    <t>v_RI-l0tK8Ok0</t>
  </si>
  <si>
    <t>A man and a woman are standing by a piano.</t>
  </si>
  <si>
    <t>The man and the woman play the piano together.</t>
  </si>
  <si>
    <t>They switch places and continue playing the piano.</t>
  </si>
  <si>
    <t>They switch places again, rapidly.</t>
  </si>
  <si>
    <t>They do it again, laughing away together.</t>
  </si>
  <si>
    <t>Finally they finish and walk away together happily.</t>
  </si>
  <si>
    <t>v_Xpb1Lup1GAU</t>
  </si>
  <si>
    <t>A woman sits by a window knitting a white piece.</t>
  </si>
  <si>
    <t>The woman holds up a pattern book with an image of the piece she is working on.</t>
  </si>
  <si>
    <t>The woman continues her knitting.</t>
  </si>
  <si>
    <t>The woman shows off her work so far and continues knitting.</t>
  </si>
  <si>
    <t>v_aK0238Rz6UA</t>
  </si>
  <si>
    <t>A large bow is laying on a table.</t>
  </si>
  <si>
    <t>The close up details of the archery set are being shown.</t>
  </si>
  <si>
    <t>A man is shown pulling back and arrow and letting it go.</t>
  </si>
  <si>
    <t>v_Q6XjxUlbP2M</t>
  </si>
  <si>
    <t>A group of people ride in bumper cars in a huge bumper car ride at an amusement park.</t>
  </si>
  <si>
    <t>Two yellow bumper cars are stuck in the middle of the track until they get bumped by another car.</t>
  </si>
  <si>
    <t>The rest of the bumper car drivers continue to follow the course.</t>
  </si>
  <si>
    <t>v_X6IoTFqaegc</t>
  </si>
  <si>
    <t>A woman's hand is shown wiping a glass screen followed by various objects sitting on a table.</t>
  </si>
  <si>
    <t>The woman sprays the glass and follows the object down the glass.</t>
  </si>
  <si>
    <t>She does this several times and shows where to plug in and how to use the tool.</t>
  </si>
  <si>
    <t>v_xcSWHI3K0KA</t>
  </si>
  <si>
    <t>A man is running on a track with a javelin.</t>
  </si>
  <si>
    <t>We see him throw again in slow motion.</t>
  </si>
  <si>
    <t>v_ZGnnFIDJjaY</t>
  </si>
  <si>
    <t>A man is sitting in a chair on the beach and is approached by another man, the first man gets up and applies lotion to the second man.</t>
  </si>
  <si>
    <t>A woman and a man are sitting on a towel at the beach and a man approaches.</t>
  </si>
  <si>
    <t>The sitting man gets up and puts lotion on the man who approached.</t>
  </si>
  <si>
    <t>Five guys are laying on the beach when a woman approaches them.</t>
  </si>
  <si>
    <t>One man gets up and applies lotion to the womans back.</t>
  </si>
  <si>
    <t>Five guys are laying on towels at the beach and a man approaches them.</t>
  </si>
  <si>
    <t>v_YkqO2oi9SIk</t>
  </si>
  <si>
    <t>A group of swimmers cliff dive into a body of water surrounded by onlookers, large rocks, buildings and boats, in a judged competition.</t>
  </si>
  <si>
    <t>The swimmers jump off a man made metal cliff wrapped in sponsored advertisement art and graphics.</t>
  </si>
  <si>
    <t>A group of judges hold up scorecards with numbers on them as car drive by on a nearby street and onlookers sit side by side on a raised wall watching.</t>
  </si>
  <si>
    <t>Two swimmers hug while one swimmer jumps up and down and three more hold up trophies.</t>
  </si>
  <si>
    <t>v_XB139ATiXuk</t>
  </si>
  <si>
    <t>A well attended classical concert is shown.</t>
  </si>
  <si>
    <t>The composer speaks to the audience about music.</t>
  </si>
  <si>
    <t>The crowd applauds and smiles.</t>
  </si>
  <si>
    <t>The composer talks about music and the orchestra behind him.</t>
  </si>
  <si>
    <t>One member comes out to play the saxophone for a solo as the crowd claps along.</t>
  </si>
  <si>
    <t>The orchestra gradually joins in for a full performance.</t>
  </si>
  <si>
    <t>The song slows and builds as the crowd joins back in with claps.</t>
  </si>
  <si>
    <t>The song ends and the crowd applauds thunderously.</t>
  </si>
  <si>
    <t>The saxophonist bows and returns to her seat.</t>
  </si>
  <si>
    <t>v_Vg5Vfb16Kb8</t>
  </si>
  <si>
    <t>A little girl wearing a pink blouse sits on a bed squinting her eyes.</t>
  </si>
  <si>
    <t>The little girl then puts on purple lipstick on her lips.</t>
  </si>
  <si>
    <t>The little girl continues putting on lipstick while speaking to the camera man about putting on makeup.</t>
  </si>
  <si>
    <t>v_KZ-6u3MUp44</t>
  </si>
  <si>
    <t>A game is in progress in front of a crowd.</t>
  </si>
  <si>
    <t>A man spins, throwing a disc through the air.</t>
  </si>
  <si>
    <t>He walks around the field afterward.</t>
  </si>
  <si>
    <t>v_J5wZTdD4XeU</t>
  </si>
  <si>
    <t>Two men are on a platform, fencing.</t>
  </si>
  <si>
    <t>They jab at each other with their swords.</t>
  </si>
  <si>
    <t>A woman watches as they parlay back and forth.</t>
  </si>
  <si>
    <t>v_uyp6t45rOD8</t>
  </si>
  <si>
    <t>An athlete performs high jump and lands on the mat while person takes notes.</t>
  </si>
  <si>
    <t>Then, the athlete performs high jump successfully.</t>
  </si>
  <si>
    <t>After, the man perform high jump but drops the horizontal pole.</t>
  </si>
  <si>
    <t>The athlete perform high jumps successfully.</t>
  </si>
  <si>
    <t>The athlete perform a high jump, but the pole falls.</t>
  </si>
  <si>
    <t>v_7A7XJLhRVVE</t>
  </si>
  <si>
    <t>A large pontoon boat is sailing across an ocean and runs into a large wave that covers the people as well as the boat in water.</t>
  </si>
  <si>
    <t>The people on the boat continue walking around but the water knocks them over and they start to hold onto the wheels to steer the boat back in the right direction.</t>
  </si>
  <si>
    <t>v_Dutm5TiFBqQ</t>
  </si>
  <si>
    <t>A very muscular shirtless man is about to arm wrestle with a man in an orange hoodie.</t>
  </si>
  <si>
    <t>Another man in a yellow hoodie comes over.</t>
  </si>
  <si>
    <t>They begin the match, the man in the orange hoodie looks to be struggling.</t>
  </si>
  <si>
    <t>The shirtless man wins and then wrestles the man in the yellow, he wins and they all stand around talking.</t>
  </si>
  <si>
    <t>v_p4cQt5On74M</t>
  </si>
  <si>
    <t>Several people are outside in a large field on segways playing a game.</t>
  </si>
  <si>
    <t>They continue to move around and hitting the ball with a long racket.</t>
  </si>
  <si>
    <t>As they game goes on,the referee walks on the field and watches them.</t>
  </si>
  <si>
    <t>v_JYh2Oejg_lQ</t>
  </si>
  <si>
    <t>A person with long hair shows a rubik's cube.</t>
  </si>
  <si>
    <t>The person begins to solve it .</t>
  </si>
  <si>
    <t>They toss it up and it is magically solved.</t>
  </si>
  <si>
    <t>v_fFu37ig0pkY</t>
  </si>
  <si>
    <t>A woman is dancing outside on the sidewalk.</t>
  </si>
  <si>
    <t>She grabs a baton and starts twirling it around.</t>
  </si>
  <si>
    <t>She starts juggling the batons in the air.</t>
  </si>
  <si>
    <t>She does a back flip and goes into the splits.</t>
  </si>
  <si>
    <t>v_OG7-gtjRaEg</t>
  </si>
  <si>
    <t>Several children stand in front of a cage.</t>
  </si>
  <si>
    <t>A women is inside with a tiger.</t>
  </si>
  <si>
    <t>The children pull on a rope that against the tiger.</t>
  </si>
  <si>
    <t>They let go of the rope at the end.</t>
  </si>
  <si>
    <t>v_SGdhHAZHwmI</t>
  </si>
  <si>
    <t>A woman in a suit is talking to a camera.</t>
  </si>
  <si>
    <t>A woman is putting contact lenses into her eyes.</t>
  </si>
  <si>
    <t>Contact lenses are shown on a hand.</t>
  </si>
  <si>
    <t>The woman in the suit continues talking to the camera.</t>
  </si>
  <si>
    <t>v_te1znGPS_Vw</t>
  </si>
  <si>
    <t>guys are having a paint ball fight with each other.</t>
  </si>
  <si>
    <t>A guy explain how to hide and protect yourself when in the filed,How to crawl ,where to place your foot and hands when crawling.</t>
  </si>
  <si>
    <t>v_wSGrM1nrWq4</t>
  </si>
  <si>
    <t>A hair dryer and advertisement are shown with some info about the dryer.</t>
  </si>
  <si>
    <t>A woman shows how to use the dryer with different brushes.</t>
  </si>
  <si>
    <t>The same woman then shows how to use the dryer with different attachments for different kinds of hair.</t>
  </si>
  <si>
    <t>The dryer and advertising info are shown again.</t>
  </si>
  <si>
    <t>v_lHVn-5OwXMw</t>
  </si>
  <si>
    <t>man is in a big stadium waking in the field.</t>
  </si>
  <si>
    <t>men are playing criquet in a field rnning on side to side with a lot of audience sitting on stands.</t>
  </si>
  <si>
    <t>v_hjtGItcwkQA</t>
  </si>
  <si>
    <t>A group of sail boats sail together through choppy water on a windy day.</t>
  </si>
  <si>
    <t>Two men pull on the rigging seated on the small sailboat.</t>
  </si>
  <si>
    <t>The sail boat makes a turn in front of the bow of another boat only partly seen.</t>
  </si>
  <si>
    <t>v_kzm9ckZ5gU0</t>
  </si>
  <si>
    <t>Two men on a ladder fight in a professional wrestling match.</t>
  </si>
  <si>
    <t>The men flip off the ladder on to the mat.</t>
  </si>
  <si>
    <t>The referee kneels near by.</t>
  </si>
  <si>
    <t>The man in red crawls to the man in blue and pins him winning the match.</t>
  </si>
  <si>
    <t>We see a replay of the match.</t>
  </si>
  <si>
    <t>v_d3VVwwVkJBs</t>
  </si>
  <si>
    <t>This elderly man is blowing the leaves out of the way using a leaf blower.</t>
  </si>
  <si>
    <t>First the camera is giving viewers a close up view only showing the man's face.</t>
  </si>
  <si>
    <t>Then the camera zooms out and shows the man blowing the leaves using a machine and when he's done half doing his job, he turns the leaf blower off.</t>
  </si>
  <si>
    <t>v_bV_vdBbOubE</t>
  </si>
  <si>
    <t>little kid is holding a red tennis racket close to her face but then put it on the floor and jump on top.</t>
  </si>
  <si>
    <t>little kid is standing in a small room playing in a Hopscotch.</t>
  </si>
  <si>
    <t>the girl is grabing toys from the floor.</t>
  </si>
  <si>
    <t>v_Xm23RMCpDd8</t>
  </si>
  <si>
    <t>A man stands on a field in an outdoor game surrounded by bleachers with people in them and performs a hammer throw.</t>
  </si>
  <si>
    <t>The man spins the hammer around many times and then lets the hammer go to fly into the hair and land in the field.</t>
  </si>
  <si>
    <t>A slow motion video of the hammer landing appears as the man looks happy with the score and dries off with a towel.</t>
  </si>
  <si>
    <t>v_IkXuooaGnCc</t>
  </si>
  <si>
    <t>Letters are shown on a screen.</t>
  </si>
  <si>
    <t>A blue bucket is put into a sink.</t>
  </si>
  <si>
    <t>A man starts mopping the hardwood floors.</t>
  </si>
  <si>
    <t>He mops the tile in the bathroom.</t>
  </si>
  <si>
    <t>v_d83YCo6xLkk</t>
  </si>
  <si>
    <t>A person is seen standing on a beach looking down at sand.</t>
  </si>
  <si>
    <t>The person then begins building a large sand castle in front of them.</t>
  </si>
  <si>
    <t>The person continues working around the sand and ends by walking out of frame.</t>
  </si>
  <si>
    <t>v_gNFrILoB8LY</t>
  </si>
  <si>
    <t>A man dances and pulls his pants, which are falling down, back up, as he sweeps a cafe floor.</t>
  </si>
  <si>
    <t>A man, with his back to an elevated camera, begins to dance while sweeping a coffee shop floor.</t>
  </si>
  <si>
    <t>The man begins to pulls his pants up as his blue underwear shows from the twisting of the dance, which has pulled down his pants.</t>
  </si>
  <si>
    <t>The man then turns to face the camera and smiles while pulling his pants up.</t>
  </si>
  <si>
    <t>v_SlT6OBmQqpc</t>
  </si>
  <si>
    <t>A young man is seen standing in front of the camera and begins spinning in circles.</t>
  </si>
  <si>
    <t>He continues spinning and then does several kicks and punches while also throwing darts.</t>
  </si>
  <si>
    <t>v_3DDo37BcChI</t>
  </si>
  <si>
    <t>An ax rests in a fallen tree.</t>
  </si>
  <si>
    <t>A man picks up the ax, and chops the trunk of the tree.</t>
  </si>
  <si>
    <t>He continues chopping until the log is in half, then walks away.</t>
  </si>
  <si>
    <t>v_QdTUPBtxAV0</t>
  </si>
  <si>
    <t>A smiling young boy slides down a red slide that has netting on each side and a brand name, website, email and telephone appear on the screen when he reaches the bottom.</t>
  </si>
  <si>
    <t>Then two other children behind him that are little girls slide down.</t>
  </si>
  <si>
    <t>Just as the girls are reaching the bottom of the slide boy gets up and leaves the slide and the girls follow right behind him.</t>
  </si>
  <si>
    <t>v_6BKkSQ7uGco</t>
  </si>
  <si>
    <t>We see the title card on black.</t>
  </si>
  <si>
    <t>We see a lady riding slowly on an elliptical machine and pulling the handles.</t>
  </si>
  <si>
    <t>We switch to the lady riding without holding the handles.</t>
  </si>
  <si>
    <t>We then see the bike in stair stepper mode and using the handles.</t>
  </si>
  <si>
    <t>We then see her using the bike in stair stepper mode without the handles.</t>
  </si>
  <si>
    <t>v_p-lwebxSYyo</t>
  </si>
  <si>
    <t>People are painting a wooden fence in a yard.</t>
  </si>
  <si>
    <t>A dog walks behind them.</t>
  </si>
  <si>
    <t>They continue painting the fence.</t>
  </si>
  <si>
    <t>v_cau489T9DLE</t>
  </si>
  <si>
    <t>woman is standing in a small room doing tricks with a baton.</t>
  </si>
  <si>
    <t>men are running on a side of the woman.</t>
  </si>
  <si>
    <t>women enter to a room.</t>
  </si>
  <si>
    <t>v_xbEI98IA-XU</t>
  </si>
  <si>
    <t>Title credits are shown on the screen.</t>
  </si>
  <si>
    <t>A woman talks to the camera in a gym.</t>
  </si>
  <si>
    <t>The woman demonstrates a lifting exercise.</t>
  </si>
  <si>
    <t>The woman turns back to the camera and talks again.</t>
  </si>
  <si>
    <t>End credits roll on the screen.</t>
  </si>
  <si>
    <t>v_uFMlVrTUoR8</t>
  </si>
  <si>
    <t>A man dumps a wheelbarrow of mulch on the lawn.</t>
  </si>
  <si>
    <t>He rakes it out over the ground.</t>
  </si>
  <si>
    <t>He brings another wheelbarrow full of mulch and rakes it out over the lawn.</t>
  </si>
  <si>
    <t>v_LE05u6TR9MI</t>
  </si>
  <si>
    <t>A large group of people are seen standing in a crowd yelling and playing a game of volleyball.</t>
  </si>
  <si>
    <t>The group of girls continue to play while people cheer on the sides as well as cheerleaders.</t>
  </si>
  <si>
    <t>v_1Y3BV0Awjuo</t>
  </si>
  <si>
    <t>We see an Asian script on the title screen.</t>
  </si>
  <si>
    <t>We see food on a table and a lady picking at a potato.</t>
  </si>
  <si>
    <t>The potato is cut, then dropped in a pot.</t>
  </si>
  <si>
    <t>It's transferred to cold water and the skin just slides off when pulled.</t>
  </si>
  <si>
    <t>We see a red illustration on a potato and a potato is mashed.</t>
  </si>
  <si>
    <t>Two more potatoes are peeled easily, Another potato is boiled and dropped in cold water.</t>
  </si>
  <si>
    <t>v_-ap649M020k</t>
  </si>
  <si>
    <t>Several clips are shown of people wandering around areas, looking to the camera, and skateboarding down a hill.</t>
  </si>
  <si>
    <t>Several more people are shown skateboarding own various areas as well as swimming, rolling joints, and and surfing on the water.</t>
  </si>
  <si>
    <t>The men perform tricks, get naked, swim underwater, cut open a watermelon, as well as various other activities that lead back into skateboarding.</t>
  </si>
  <si>
    <t>v_PfNtxlM1QHw</t>
  </si>
  <si>
    <t>A crowd of people are at a stadium watching a bull fight.</t>
  </si>
  <si>
    <t>A petite man is standing in front of the bull with a red cloth and taunting the bull.</t>
  </si>
  <si>
    <t>Once the bull moves,three more men come out with pink cloths and begin taunting the bulls and he hits them with his horns.</t>
  </si>
  <si>
    <t>The men finally leave the bull alone and he lays down on his side and they begin giving him something in the mouth.</t>
  </si>
  <si>
    <t>Once laid to rest, another man comes and wraps something around his mouth to secure him as another set of men walk out guiding horses.</t>
  </si>
  <si>
    <t>v_DpoIgaZ1m_U</t>
  </si>
  <si>
    <t>Two men spar in a karate practice match inside a gym studio.</t>
  </si>
  <si>
    <t>The instructor trips the student after catching the punches.</t>
  </si>
  <si>
    <t>The instructor does a sliding kick on the student.</t>
  </si>
  <si>
    <t>The instructor catches the kicks of the student.</t>
  </si>
  <si>
    <t>v_LpTVTiu8oro</t>
  </si>
  <si>
    <t>A shirtless man with a machete walks out into the front yard.</t>
  </si>
  <si>
    <t>He starts hitting the grass repeatedly over and over cutting the grass.</t>
  </si>
  <si>
    <t>Instead of using a lawnmower he is cutting the grass with a machete.</t>
  </si>
  <si>
    <t>He stands right up and walks up to a patch and then starts to use the machete towards it also.</t>
  </si>
  <si>
    <t>v_zlXvqnBqVvI</t>
  </si>
  <si>
    <t>The two people take shots with their pucks down the board.</t>
  </si>
  <si>
    <t>The person changes the score on the board posted on a pole.</t>
  </si>
  <si>
    <t>A player walks down the board to retrieve the pucks.</t>
  </si>
  <si>
    <t>Two people play a leisurely game of shuffle board on an outdoor court.</t>
  </si>
  <si>
    <t>v_F6BJoTLozoc</t>
  </si>
  <si>
    <t>An empty stage with four lights are shown as a crowd of people stand waiting for something to happen.</t>
  </si>
  <si>
    <t>A lady with a orange and yellow cape and skirt then comes out from the side and starts to belly dance.</t>
  </si>
  <si>
    <t>The woman then drops the cape and begins walking towards the crowd moving her chest and smiling at the people.</t>
  </si>
  <si>
    <t>v_B4zPg1ftxf4</t>
  </si>
  <si>
    <t>We see people playing paintball on a football field.</t>
  </si>
  <si>
    <t>The people take off and head out into the field.</t>
  </si>
  <si>
    <t>The man is crawling on the ground.</t>
  </si>
  <si>
    <t>He fills his gun with orange balls.</t>
  </si>
  <si>
    <t>A person walks up to the bag near the man.</t>
  </si>
  <si>
    <t>The man reloads his gun with blue balls.</t>
  </si>
  <si>
    <t>We see a man behind a fence and the man is walking.</t>
  </si>
  <si>
    <t>v_4FGdbFzq-8I</t>
  </si>
  <si>
    <t>A man is seen sitting in the back of a car waxing down a surf board and another man speaking to the camera.</t>
  </si>
  <si>
    <t>Slow motion shots of a man surfing are shown and the man continues speaking.</t>
  </si>
  <si>
    <t>v_GKpeX_lWMgg</t>
  </si>
  <si>
    <t>People are riding in sailboats from the view of a large ocean liner.</t>
  </si>
  <si>
    <t>A woman leans against the edge, watching the boats.</t>
  </si>
  <si>
    <t>v_krUhklOpyQU</t>
  </si>
  <si>
    <t>A man is filming inside of am apartment looking around at several different things.</t>
  </si>
  <si>
    <t>A little boy comes into the scene and quickly exits out of the view of the camera.</t>
  </si>
  <si>
    <t>The boy comes onto the camera again doing karate moves with a stick.</t>
  </si>
  <si>
    <t>The man gets a close up of the boy while he talks to the boy in another language.</t>
  </si>
  <si>
    <t>the boy does a bow and the video ends.</t>
  </si>
  <si>
    <t>v_iFTYM1Ez5ZM</t>
  </si>
  <si>
    <t>An athlete in a white and blue uniform prepares to compete in a Triple Jump competition in a track and field tournament.</t>
  </si>
  <si>
    <t>The competitor gradually begins by running slowly then picking up speed to a sprint and landing one foot on the white marker line and two more hops on each foot and then jumps over the sand course.</t>
  </si>
  <si>
    <t>The competitor skips and runs off of the track and goes to the spectator stands and celebrates his jump.</t>
  </si>
  <si>
    <t>A close up of the competitors foot position landing on the white marker line is shown on a close up and the jump is shown in slow motion and at regular speed multiple times.</t>
  </si>
  <si>
    <t>v_xGpaEqbVgBI</t>
  </si>
  <si>
    <t>The camera pans around a large group of people playing a soccer match on a field with many people watching on the sides.</t>
  </si>
  <si>
    <t>The players walk around the field a bit and lead into them playing the game.</t>
  </si>
  <si>
    <t>A person's hand then covers the camera and moves all around the area.</t>
  </si>
  <si>
    <t>v_SvM0twHYsus</t>
  </si>
  <si>
    <t>A woman looks through a large pile of clothing and begins throwing at the camera man.</t>
  </si>
  <si>
    <t>She miles his direction while talking and irons some clothes on the table.</t>
  </si>
  <si>
    <t>v_8leZKBY0B6I</t>
  </si>
  <si>
    <t>A person is seen turning her neck to the side and a person wearing gloves holding a needle.</t>
  </si>
  <si>
    <t>The person then pierces the ear of the girl sitting down.</t>
  </si>
  <si>
    <t>He puts an earring through the piercing and makes sure it's in place.</t>
  </si>
  <si>
    <t>v_1ILXipBgbTs</t>
  </si>
  <si>
    <t>There are several people dressed in safety vests and helmets sailing in a speed boat to go tubing in water.</t>
  </si>
  <si>
    <t>They travel through the lake and arrive at a spot where they get off the boat and jump into the water with their tubes.</t>
  </si>
  <si>
    <t>They get onto the yellow tubes and float along the water.</t>
  </si>
  <si>
    <t>v_tgnyGoKM2tM</t>
  </si>
  <si>
    <t>We see a man talking in a bike shop.</t>
  </si>
  <si>
    <t>The man touches the handle bars of a bike then grabs a wire off a table.</t>
  </si>
  <si>
    <t>The man strings the wire through the bikes brake system.</t>
  </si>
  <si>
    <t>The man adds a black plastic sheath over the wire and attaches it to the wheel brace.</t>
  </si>
  <si>
    <t>v_diZvvLb46O8</t>
  </si>
  <si>
    <t>The team in white and red uniform danced in the court.</t>
  </si>
  <si>
    <t>The team individually do jumping rope, danced on the ground.</t>
  </si>
  <si>
    <t>The team do jumping ropes where two females hold the end of the jumping rope, rotating them as the other team member jumped inside the rope and dance.</t>
  </si>
  <si>
    <t>v_6ITE3hona-4</t>
  </si>
  <si>
    <t>a person is assembling a vacuum on the carpet.</t>
  </si>
  <si>
    <t>They plug the vacuum in.</t>
  </si>
  <si>
    <t>They turn the vacuum on and begin vacuuming the floor.</t>
  </si>
  <si>
    <t>They take the attachment hose off and vacuum the base boards and stairs.</t>
  </si>
  <si>
    <t>They take the filter out and empty it.</t>
  </si>
  <si>
    <t>They unplug the vacuum and put it in the closet.</t>
  </si>
  <si>
    <t>v_nTsXn3oHf_8</t>
  </si>
  <si>
    <t>A small boy plays on a stair stepper in a store.</t>
  </si>
  <si>
    <t>We back up and see the boys legs.</t>
  </si>
  <si>
    <t>The camera zooms in on the boy again.</t>
  </si>
  <si>
    <t>v_E4AoMNfsuaw</t>
  </si>
  <si>
    <t>A little girl in a diaper uses a small vacuum.</t>
  </si>
  <si>
    <t>She is vacuuming dirt out from under a chair in a living room.</t>
  </si>
  <si>
    <t>She uses the brush to suck up dirt on the floor.</t>
  </si>
  <si>
    <t>v_xfyoEDb6kVg</t>
  </si>
  <si>
    <t>A boy spins around a gym with a tennis racket and pushes a ball around to another boy.</t>
  </si>
  <si>
    <t>The boys run back and fourth bouncing balls against a wall with their hands and a tennis racket.</t>
  </si>
  <si>
    <t>They slide around the floor pushing the ball and continue hitting the ball back and fourth across the gym.</t>
  </si>
  <si>
    <t>v_bMRx3vSVZUQ</t>
  </si>
  <si>
    <t>A man is seen in several shots looking off into the distance followed by others riding around on boards.</t>
  </si>
  <si>
    <t>The men gear up on the sides while speaking to the camera and ride around on the water.</t>
  </si>
  <si>
    <t>The people continue to ride around while others watch on the side.</t>
  </si>
  <si>
    <t>v_xs4MvE_uAtU</t>
  </si>
  <si>
    <t>A person uses a brush to scrub a shoe over a sink.</t>
  </si>
  <si>
    <t>They wipe the shoe off with a white towel.</t>
  </si>
  <si>
    <t>He lifts up the shoe to show the camera.</t>
  </si>
  <si>
    <t>v_q_eRxmeGJBY</t>
  </si>
  <si>
    <t>We see an image of a male gymnast in mid swing.</t>
  </si>
  <si>
    <t>We see a title card with a family on it.</t>
  </si>
  <si>
    <t>A man swings around on a pommel horse.</t>
  </si>
  <si>
    <t>A man in blue plan swing his legs back and forth.</t>
  </si>
  <si>
    <t>The man in red shorts is spinning wildly.</t>
  </si>
  <si>
    <t>He then spins on a round device.</t>
  </si>
  <si>
    <t>v_C2KzNljiTIU</t>
  </si>
  <si>
    <t>A woman is seated, brushing her hair with her back to the camera.</t>
  </si>
  <si>
    <t>She continues brushing with long strokes.</t>
  </si>
  <si>
    <t>She leans her head to one side, continuing to brush.</t>
  </si>
  <si>
    <t>v_vXOT_VXWOqo</t>
  </si>
  <si>
    <t>Several shots are shown of large groups of people running around a field.</t>
  </si>
  <si>
    <t>Audience members are seen cheering while people play soccer on the side.</t>
  </si>
  <si>
    <t>People continue playing up and down the field while others watch them play.</t>
  </si>
  <si>
    <t>v_UlddctIswqo</t>
  </si>
  <si>
    <t>A girl wearing an orange hoodie and a girl wearing a black blouse enter a home and go into the kitchen.</t>
  </si>
  <si>
    <t>The girls are preparing to bake cookies.</t>
  </si>
  <si>
    <t>The cell phone rings and both girls get excited.</t>
  </si>
  <si>
    <t>Some one is at the front door and the girl in the orange hoodie runs through the house to go answer the door.</t>
  </si>
  <si>
    <t>The girl in the black blouse is at the door disguised as a man.</t>
  </si>
  <si>
    <t>The girl in the orange hoodie squeezes a bar of butter and it falls to the floor and slams the door shut.</t>
  </si>
  <si>
    <t>The girl in the black blouse turns and walks away dejected.</t>
  </si>
  <si>
    <t>v_zCND0HJq6Iw</t>
  </si>
  <si>
    <t>A white man is on the stage with long dreads throwing up the piece sign to the audience.</t>
  </si>
  <si>
    <t>After their interaction,the man begins to play the wind pipes on his back as he walks back and forth across the stage.</t>
  </si>
  <si>
    <t>The crowd is shown and the camera goes back to the stage and several lights come on as the guitarist begins to play.</t>
  </si>
  <si>
    <t>v_3boxQwSpv-8</t>
  </si>
  <si>
    <t>A little girl smiles and talks to the camera.</t>
  </si>
  <si>
    <t>She and other children are then shown washing their hands at sinks.</t>
  </si>
  <si>
    <t>They talk about singing the birthday song or counting to know how long they should wash their hands.</t>
  </si>
  <si>
    <t>v_xM5OQYON59w</t>
  </si>
  <si>
    <t>We see a man with a ball he is preparing to throw shotput.</t>
  </si>
  <si>
    <t>The man lifts his arm.</t>
  </si>
  <si>
    <t>The man spins and throws the ball.</t>
  </si>
  <si>
    <t>We see men in the distance measure.</t>
  </si>
  <si>
    <t>We see the thrower grab his jacket and walk away.</t>
  </si>
  <si>
    <t>v_G-giwt-TN8A</t>
  </si>
  <si>
    <t>We see a tractor and a title screen.</t>
  </si>
  <si>
    <t>We see a tractor blowing leaves.</t>
  </si>
  <si>
    <t>We see the tractor up close.</t>
  </si>
  <si>
    <t>We then see flowers on trees.</t>
  </si>
  <si>
    <t>v_7tdlcmbuLOA</t>
  </si>
  <si>
    <t>A man is seen speaking to the camera that leads into several clips of people wake boarding.</t>
  </si>
  <si>
    <t>The man then speaks to a woman and helps demonstrate how to properly ride the wake board.</t>
  </si>
  <si>
    <t>The boat then takes off and helps the girl ride along while she falls the first time then successfully rides.</t>
  </si>
  <si>
    <t>v_nxNJNn8blDw</t>
  </si>
  <si>
    <t>An old man with eyeglasses is standing in front of model tiles talking to the camera.</t>
  </si>
  <si>
    <t>A group of men in black started to removed the first half of the carpet in the living room, then replaced it with lighter, newer carpet.</t>
  </si>
  <si>
    <t>The group of men in black shirts moved the couch from the wall to other side and removed the other half of the carpet, exposing the green floor.</t>
  </si>
  <si>
    <t>The group of men put the carpet on the floor, they measure it, cut it and taped it.</t>
  </si>
  <si>
    <t>When the new carpet is properly installed, the men vacuum the carpet while the lady walked in the living room.</t>
  </si>
  <si>
    <t>The men and the old man and the woman removed the TV from the wall and installed a wooden TV set furniture, while the other men and the lady arranged the couch and put the pillows on it.</t>
  </si>
  <si>
    <t>v_XBbSLB3Ov0w</t>
  </si>
  <si>
    <t>A group of eight people are white rafting in somewhat calm water as the two people in the back paddle them down the water.</t>
  </si>
  <si>
    <t>The two people in the back continue paddling and the camera zooms in on them but the water is too calm for them to get the full experience and nothing is happening.</t>
  </si>
  <si>
    <t>Lastly, a blue screen flashes and white words appear.</t>
  </si>
  <si>
    <t>v_2VYQ4q24D-4</t>
  </si>
  <si>
    <t>Two cars are parked on the side of the road as train passes by.</t>
  </si>
  <si>
    <t>All of a sudden,the angle shifts and a boy begins skateboarding down the hill and throughout the city.</t>
  </si>
  <si>
    <t>v_vOI3hJ45lag</t>
  </si>
  <si>
    <t>A man sits on a table with accordions.</t>
  </si>
  <si>
    <t>Then the man holds an accordion while touching the buttons and talking.</t>
  </si>
  <si>
    <t>v_iOgmO3MMeH4</t>
  </si>
  <si>
    <t>A woman plays piano in a room decorated with candles.</t>
  </si>
  <si>
    <t>Katty Perry walks with a man in street, they she plays the piano, then she talks with the man.</t>
  </si>
  <si>
    <t>v_-5KAycAQlC4</t>
  </si>
  <si>
    <t>A man is being pulled on a water ski as he floats in the water casually.</t>
  </si>
  <si>
    <t>He mounts the water ski and tears through the water at fast speeds.</t>
  </si>
  <si>
    <t>Two men are shown sitting in the boat, before cutting back to the turbulent water skiing.</t>
  </si>
  <si>
    <t>v_uR-o9wILN6U</t>
  </si>
  <si>
    <t>The man in blue shirt with cap is hitting the thick rope.</t>
  </si>
  <si>
    <t>The man get on the rope and the crowd applauded.</t>
  </si>
  <si>
    <t>The man in blue shirt started to bounced on the rope doing some tricks like sitting on the rope, bouncing on his chest, cartwheel and walking on the rope.</t>
  </si>
  <si>
    <t>v_Jk3oA2mhPD8</t>
  </si>
  <si>
    <t>A young girl is doing gymnastics on a blue mat.</t>
  </si>
  <si>
    <t>She does several back flips on a trampoline.</t>
  </si>
  <si>
    <t>She does a flip into a pile of foam pieces.</t>
  </si>
  <si>
    <t>v_MduMjuxuIac</t>
  </si>
  <si>
    <t>Men walk out on a stage clap and high five.</t>
  </si>
  <si>
    <t>The men perform a cheerleader routine.</t>
  </si>
  <si>
    <t>They hold five men in the air and flip them and flip four men in groups.</t>
  </si>
  <si>
    <t>One man is lifted high and swings two men on his arms to the other side then five men make a star like shape.</t>
  </si>
  <si>
    <t>the men kneel and dance and pose for the finish.</t>
  </si>
  <si>
    <t>The men jump and cheer as they leave the stage.</t>
  </si>
  <si>
    <t>A person in the front row stands in front of the camera.</t>
  </si>
  <si>
    <t>v_Ga-204sSRoc</t>
  </si>
  <si>
    <t>A man is seen kneeling of a roof while holding a piece of wood.</t>
  </si>
  <si>
    <t>He begins hammering down the piece of wood while the camera pans around.</t>
  </si>
  <si>
    <t>He continues hammering around and looks back at the camera.</t>
  </si>
  <si>
    <t>v_KeTYxQkYfQw</t>
  </si>
  <si>
    <t>A man is seen looking to the camera and snapping his fingers.</t>
  </si>
  <si>
    <t>This leads into a man playing an instrument while the camera watches.</t>
  </si>
  <si>
    <t>The man continues to play moving his hands up and down and looking back to the camera.</t>
  </si>
  <si>
    <t>v_rtJTJ10ppRc</t>
  </si>
  <si>
    <t>A group of people are outside at the beach playing sand volley ball.</t>
  </si>
  <si>
    <t>The ball falls and a fat boy with yellow shirts takes the ball and tries to serve it.</t>
  </si>
  <si>
    <t>However,the ball doesn't make it over the net,rolls back and he goes to get it.</t>
  </si>
  <si>
    <t>v_Cx1614E1Mgk</t>
  </si>
  <si>
    <t>A man is talking and playing drums in a split screen.</t>
  </si>
  <si>
    <t>As he explains the process, he uses his hands to beat out a tune.</t>
  </si>
  <si>
    <t>He continues talking and playing until it switches exclusively to him playing the drums.</t>
  </si>
  <si>
    <t>v_LlhgIOYsxsE</t>
  </si>
  <si>
    <t>People are sitting work out machines.</t>
  </si>
  <si>
    <t>They begin pulling a rope to work out.</t>
  </si>
  <si>
    <t>A woman is standing next to a work out machine.</t>
  </si>
  <si>
    <t>v_yRD0WDE5IG0</t>
  </si>
  <si>
    <t>Several people exercise in a room.</t>
  </si>
  <si>
    <t>The step on and off of a platform in rhythm.</t>
  </si>
  <si>
    <t>They are very dancing intensely.</t>
  </si>
  <si>
    <t>Some of them spin in circles.</t>
  </si>
  <si>
    <t>v__tPDUYSu1IQ</t>
  </si>
  <si>
    <t>There are two men elbow wrestling on a table.</t>
  </si>
  <si>
    <t>There are several people are watching them wrestle.</t>
  </si>
  <si>
    <t>In another scene, there are two more men elbow wrestling.</t>
  </si>
  <si>
    <t>There are a series of elbow wrestling events shown in the video where one man is more forceful than the other and ends up winning the wrestling game.</t>
  </si>
  <si>
    <t>There are some over dramatized scenes where people are elbow wrestling and over reacting to the game.</t>
  </si>
  <si>
    <t>There are also some referees seen acting as moderators in the elbow wrestling match.</t>
  </si>
  <si>
    <t>v_MO37MVz4uuA</t>
  </si>
  <si>
    <t>A brunette woman is sitting in a room and has her left arm raised and is looking at her armpit.</t>
  </si>
  <si>
    <t>The woman puts her arm down and talks into the camera and a black cat climbs on furniture behind her while she's still talking.</t>
  </si>
  <si>
    <t>The woman is now standing in her shower fully clothed and she's applying a lot of shaving cream to her right leg that's propped on a wall.</t>
  </si>
  <si>
    <t>The woman is now standing upright and has a lot of shaving cream on her left armpit and falls, then she's standing with shaving cream all over her and then claps her hands.</t>
  </si>
  <si>
    <t>The woman is back in the room talking, then appears back in the shower with a razor and shaving her legs.</t>
  </si>
  <si>
    <t>The woman is talking in the room again and her black cat goes up to her and the woman continues to talk and ends with a clip of her carefully getting out of the bathtub.</t>
  </si>
  <si>
    <t>v_MFvdMVCzfB0</t>
  </si>
  <si>
    <t>A girl wearing a red shirt and white shorts is standing in her bathroom at the sink with a toothbrush in her hand.</t>
  </si>
  <si>
    <t>She takes some toothpaste and puts it on her brush and begins brushing.</t>
  </si>
  <si>
    <t>She starts to dance as she brushes her teeth and wiggles her body too.</t>
  </si>
  <si>
    <t>She continues brushing and dances faster and laughs.</t>
  </si>
  <si>
    <t>Then she realizes that her mouth is full of toothpaste foam and that it is coming out, she spits it out in the sink.</t>
  </si>
  <si>
    <t>v_DZVJtWJrWTU</t>
  </si>
  <si>
    <t>A young woman with red and black hair is shown using a hair dryer.</t>
  </si>
  <si>
    <t>She uses a large round brush to brush her hair straight as it dries.</t>
  </si>
  <si>
    <t>When she is done, she rakes her hand through her hair and brushes it into place.</t>
  </si>
  <si>
    <t>v_sfeUXTuKMs8</t>
  </si>
  <si>
    <t>Photos of horses are shown followed by the "Equestrian Life" logo.</t>
  </si>
  <si>
    <t>A woman stands outside with a brown horse and puts on a helmet.</t>
  </si>
  <si>
    <t>The woman talks to the camera and mounts the horse.</t>
  </si>
  <si>
    <t>She continues to speak to the camera and then walks the horse in a circle.</t>
  </si>
  <si>
    <t>v_e9R62cyqW4A</t>
  </si>
  <si>
    <t>A person is seen riding a bike down a long road followed by a large camel off in the distance.</t>
  </si>
  <si>
    <t>The animal moves closer while the camera zooms in the three people riding on the top the camel and passing by more riding camels.</t>
  </si>
  <si>
    <t>v_tqanHyXTFFw</t>
  </si>
  <si>
    <t>A woman is seen speaking to the camera that leads into a man speaking to a group.</t>
  </si>
  <si>
    <t>Another man speaks to the camera while the demonstrator points to a bike and takes off a wheel.</t>
  </si>
  <si>
    <t>More people speak to the camera while the man demonstrates how to put air in a tire and well as taking it apart.</t>
  </si>
  <si>
    <t>v_XCejO7RyWdA</t>
  </si>
  <si>
    <t>A woman in a pink shirt is standing outside.</t>
  </si>
  <si>
    <t>A brown dog is playing with a frisbee.</t>
  </si>
  <si>
    <t>The dog is standing on the woman's back.</t>
  </si>
  <si>
    <t>v_l12QfUhRLLc</t>
  </si>
  <si>
    <t>stadium is shown with a lot of people in the audience sitting on stands watching a criquet game.</t>
  </si>
  <si>
    <t>men are being interviewed in the field.</t>
  </si>
  <si>
    <t>v_aQAAzVQ_gSA</t>
  </si>
  <si>
    <t>A man is standing at a toy machine before he looks up and runs, jumping over a counter.</t>
  </si>
  <si>
    <t>He grabs a bowling ball and begins bowling.</t>
  </si>
  <si>
    <t>The men do backflips and slide as they bowl, sometimes rolling the balls under each other.</t>
  </si>
  <si>
    <t>One is blindfolded before making a strike, then the other does hand stands on the equipment.</t>
  </si>
  <si>
    <t>v_5yqHTGQm2B0</t>
  </si>
  <si>
    <t>Men on these robotic looking pogo sticks are playing basketball inside of a court.</t>
  </si>
  <si>
    <t>They are walking on the pogo sticks and jumping a bit too.</t>
  </si>
  <si>
    <t>They try to get the ball in the hoop and continue bouncing around the court.</t>
  </si>
  <si>
    <t>A man in green does a flip in the air and shoots the ball into the hoop.</t>
  </si>
  <si>
    <t>v_kTJDylL6pCU</t>
  </si>
  <si>
    <t>A dog is seen standing in a bath tub chained to a tub and a woman walks into frame and grabs the dog.</t>
  </si>
  <si>
    <t>She hold up a bottle and sprays it around the dog, rubbing it into it's fur while speaking to the camera.</t>
  </si>
  <si>
    <t>She then takes a hose and sprays the dog with water and ends by looking back to the camera.</t>
  </si>
  <si>
    <t>v_yr_ZOq9ZB9E</t>
  </si>
  <si>
    <t>Three teenage boys carry their skateboards up a paved park trail.</t>
  </si>
  <si>
    <t>A camera mounted on the skateboard captures scenes of the young skaters cruising in different directions and performing different tricks.</t>
  </si>
  <si>
    <t>A skateboarder in a green hoodie skates on a narrow dirt trail lined with trees.</t>
  </si>
  <si>
    <t>v_U0mKdo2-Gfc</t>
  </si>
  <si>
    <t>A weather map is shown for a second, then two news women sitting at a desk.</t>
  </si>
  <si>
    <t>Several people are shown warming up for a race.</t>
  </si>
  <si>
    <t>A gun is fired, and the race begins.</t>
  </si>
  <si>
    <t>We go back to the women in the news room, talking.</t>
  </si>
  <si>
    <t>v_fBbjlXgtd50</t>
  </si>
  <si>
    <t>A woman wearing classes dances in front of the camera.</t>
  </si>
  <si>
    <t>The woman turns around while raising an arm.</t>
  </si>
  <si>
    <t>The woman turns around again.</t>
  </si>
  <si>
    <t>v_VLg5XqBRorY</t>
  </si>
  <si>
    <t>We see a chef at an omelette bar making multiple omelets at the same time.</t>
  </si>
  <si>
    <t>We see the man pour more egg into the pans.</t>
  </si>
  <si>
    <t>The man sprinkles seasonings on the omelets.</t>
  </si>
  <si>
    <t>The man pours the omelettes on plates.</t>
  </si>
  <si>
    <t>We see photos of the chef.</t>
  </si>
  <si>
    <t>v_zaPxNw11llc</t>
  </si>
  <si>
    <t>An individual stands behind a netted area.</t>
  </si>
  <si>
    <t>The individual begins to swing for a hammer throw.</t>
  </si>
  <si>
    <t>The individual releases the weight.</t>
  </si>
  <si>
    <t>v_QjKmQO_9TaA</t>
  </si>
  <si>
    <t>A man is dancing in a room.</t>
  </si>
  <si>
    <t>He steps up and down on a small black stepping stool.</t>
  </si>
  <si>
    <t>He then dances with a woman in the room.</t>
  </si>
  <si>
    <t>v_54VcTlhF2H8</t>
  </si>
  <si>
    <t>man is standing on a race track ready to make gymnastics in parallels in the midle of a stadium.</t>
  </si>
  <si>
    <t>a lot of people are sitting or walking on stands.</t>
  </si>
  <si>
    <t>the man lands in the floor, greets and people applauds.</t>
  </si>
  <si>
    <t>v_0vCynjlkM5A</t>
  </si>
  <si>
    <t>A green race car comes into a pit stop.</t>
  </si>
  <si>
    <t>The man with the jack lifts the car up.</t>
  </si>
  <si>
    <t>The pit crew begins to work on the car by changing the front and rear tires of the car.</t>
  </si>
  <si>
    <t>The jack man then takes the jack out as a man in a pink shirt comes in front of the camera.</t>
  </si>
  <si>
    <t>v_wOwWidUOaxc</t>
  </si>
  <si>
    <t>A man is seen kneeling down in a picture followed by two men bending down towards one another.</t>
  </si>
  <si>
    <t>They begin wrestling and one man pushes the other down and their clip is shown again.</t>
  </si>
  <si>
    <t>v_ZX8sFpq471A</t>
  </si>
  <si>
    <t>A man and a woman are in a room with several targets behind them talking.</t>
  </si>
  <si>
    <t>The lady is then shown in another room demonstrating the proper technique to be efficient in archery.</t>
  </si>
  <si>
    <t>Two pattern continues and then the girl comes back and is shown with bows behind her back before shooting at a target on the wall.</t>
  </si>
  <si>
    <t>v_W5jswt09V3s</t>
  </si>
  <si>
    <t>A group of men are playing instruments outside a building.</t>
  </si>
  <si>
    <t>Two men crouch in front of each other as they play.</t>
  </si>
  <si>
    <t>The men jump up, and begin doing martial arts moves around each other, simulating kicks and flips.</t>
  </si>
  <si>
    <t>v__n0cR3Oshxg</t>
  </si>
  <si>
    <t>A man sits on front a bowl, then a woman shows cookie dough in bowls, then review a cookbook.</t>
  </si>
  <si>
    <t>Then, the woman make dough balls and putsion a baking pan, also a teen makes dough balls and puts in baking pan.</t>
  </si>
  <si>
    <t>After, the man put the cookies in the oven.</t>
  </si>
  <si>
    <t>v_R2cL7miVEwA</t>
  </si>
  <si>
    <t>A large group of people are seen running along a field and leads into them playing a field hockey game.</t>
  </si>
  <si>
    <t>The game continues on with arrows pointing to various players as well as shots of people falling down.</t>
  </si>
  <si>
    <t>v_lx83HHNNrlc</t>
  </si>
  <si>
    <t>A man holds the handle of a cleaning tool.</t>
  </si>
  <si>
    <t>The man cleans the kitchen floor.</t>
  </si>
  <si>
    <t>A lady discusses with the man.</t>
  </si>
  <si>
    <t>The man takes the mop out of the red bucket and moves the bucket aside.</t>
  </si>
  <si>
    <t>The lady stands next to a male.</t>
  </si>
  <si>
    <t>The lady gestures with her hands.</t>
  </si>
  <si>
    <t>The man hands the mop to the lady and empties the red bucket in the sink.</t>
  </si>
  <si>
    <t>The male grabs alcohol, while the lady mops.</t>
  </si>
  <si>
    <t>The man hands the bucket and mop to the male.</t>
  </si>
  <si>
    <t>The man waves and salutes.</t>
  </si>
  <si>
    <t>The lady laughs out loud.</t>
  </si>
  <si>
    <t>The man washes his hand.</t>
  </si>
  <si>
    <t>v_uOmCwWVJnLQ</t>
  </si>
  <si>
    <t>A bar of exercise equipment is shown in a living room.</t>
  </si>
  <si>
    <t>The different details of the equipment are being shown.</t>
  </si>
  <si>
    <t>The man holds on to the bar of the machine as he talks about it.</t>
  </si>
  <si>
    <t>v_U6KrVIJSeDo</t>
  </si>
  <si>
    <t>A close up of an exercise equipment is shown followed by a man walking into frame and begins using the machine.</t>
  </si>
  <si>
    <t>The man moves back and fourth on the machine while the camera continues to capture his movements.</t>
  </si>
  <si>
    <t>v_UmU8dx36O9w</t>
  </si>
  <si>
    <t>A woman is seen sitting in front of the camera and begins putting a contact lens in her eyes.</t>
  </si>
  <si>
    <t>The woman keeps attempting to put the lens in her eye while looking around trying again.</t>
  </si>
  <si>
    <t>She succeeds the last time and is seen cheering to the camera.</t>
  </si>
  <si>
    <t>v_BsSZDCHPjtY</t>
  </si>
  <si>
    <t>A large lake is seen with a man sitting in a tube as well as others looking around the area.</t>
  </si>
  <si>
    <t>The men crash with one hitting up against a log and leads into the tube being moved around and the person sitting back on.</t>
  </si>
  <si>
    <t>v_5Ra6milBrOM</t>
  </si>
  <si>
    <t>An introduction animation is shown with the title of video.</t>
  </si>
  <si>
    <t>A female coach in sweats gives instructions to a group of students in a gym for a physical activity by acting out the routine.</t>
  </si>
  <si>
    <t>The students mimic the instructors motions.</t>
  </si>
  <si>
    <t>The coach points to different areas of the gym and individual groups of students.</t>
  </si>
  <si>
    <t>A student in black shorts runs across the gym.</t>
  </si>
  <si>
    <t>A group of students plays rock paper sissor.</t>
  </si>
  <si>
    <t>Students run around the perimeter of the gym to different stations.</t>
  </si>
  <si>
    <t>A student wearing a hat sits on the bench and looks sick.</t>
  </si>
  <si>
    <t>A animated page shows credits for the video.</t>
  </si>
  <si>
    <t>v_Bvry1S-bYXU</t>
  </si>
  <si>
    <t>A girl competes vault gymnastic in front the judges while spectators observe from the bleachers.</t>
  </si>
  <si>
    <t>The gymnast approach to her coaches to talk and then they leave.</t>
  </si>
  <si>
    <t>After, the a flashback of the performance of the gymnast is show.</t>
  </si>
  <si>
    <t>v_uThAYmmxBFk</t>
  </si>
  <si>
    <t>A large group of people are seen moving around a room performing an exercise routine.</t>
  </si>
  <si>
    <t>The people move up and down on beams while moving their arms around and a woman leading in front.</t>
  </si>
  <si>
    <t>The group continue dancing with one another and end by holding a pose.</t>
  </si>
  <si>
    <t>v_OyV4eki18GE</t>
  </si>
  <si>
    <t>A baby in a hat is sitting on a chair.</t>
  </si>
  <si>
    <t>A man is holding the baby playing with a ball.</t>
  </si>
  <si>
    <t>A baby is sleeping on a couch.</t>
  </si>
  <si>
    <t>v_D-XCWhvStd4</t>
  </si>
  <si>
    <t>We see the title screens for the video.</t>
  </si>
  <si>
    <t>We see a person skiing.</t>
  </si>
  <si>
    <t>We switch to a workshop and a list of tools.</t>
  </si>
  <si>
    <t>We see a man adds a band on a ski and the ski sits on a contraption.</t>
  </si>
  <si>
    <t>A man brushes and rubs the ski.</t>
  </si>
  <si>
    <t>We see colorful wax and a man turning a dial.</t>
  </si>
  <si>
    <t>The man pours wax and we get instructions before he irons the wax on the ski.</t>
  </si>
  <si>
    <t>The man scrapes the wax and brushes the ski.</t>
  </si>
  <si>
    <t>We get a ski fact and the video end card shows.</t>
  </si>
  <si>
    <t>v_SXwCedd4MKg</t>
  </si>
  <si>
    <t>A person is seen throwing a frisbee off into the distance and a dog chasing after it.</t>
  </si>
  <si>
    <t>Several shots are shown of dogs running after frisbees after their owner throws them.</t>
  </si>
  <si>
    <t>More dogs are seen chasing after the frisbees while the owner watches from behind.</t>
  </si>
  <si>
    <t>v_tQT-iQIv-KY</t>
  </si>
  <si>
    <t>A group of coaches, gymnasts and parents stand and sit around a gym while a few of the gymnasts perform or practice.</t>
  </si>
  <si>
    <t>A young girl in purple does a balance beam routine.</t>
  </si>
  <si>
    <t>A girl in the back ground does a floor routine.</t>
  </si>
  <si>
    <t>When the floor routine ends the crowd all claps and several young gymnasts get up and walk around.</t>
  </si>
  <si>
    <t>A woman hold up a sign that says 965.</t>
  </si>
  <si>
    <t>The girl on the balance beam ends her routine and walks over and hugs a woman in purple.</t>
  </si>
  <si>
    <t>v__zR5wVbz3xU</t>
  </si>
  <si>
    <t>A man jumps onto bars and starts swinging on them.</t>
  </si>
  <si>
    <t>He does a flip off them and lands on a mat.</t>
  </si>
  <si>
    <t>v_uXX2lSVAXq8</t>
  </si>
  <si>
    <t>A medical processional puts a device and needle in someones face.</t>
  </si>
  <si>
    <t>It is actually a piercing.</t>
  </si>
  <si>
    <t>He cleans it and then she gets up.</t>
  </si>
  <si>
    <t>v_YK5n3YTf8pI</t>
  </si>
  <si>
    <t>A group of photographers take pictures as a weight lifter shows up on stage and prepares his hands.</t>
  </si>
  <si>
    <t>He lifts a barbell at the knees, then pauses at his chest.</t>
  </si>
  <si>
    <t>He lifts the barbell over his head before dropping it back to the ground.</t>
  </si>
  <si>
    <t>v_COx5Bf0PsQs</t>
  </si>
  <si>
    <t>A platter with lemonade drinks sits on a counter top.</t>
  </si>
  <si>
    <t>A woman squeezes a lemon.</t>
  </si>
  <si>
    <t>She adds sugar to a large pitcher.</t>
  </si>
  <si>
    <t>She stirs the sugar with a large wooden spoon.</t>
  </si>
  <si>
    <t>She proceeds to add water to the pitcher in order to dilute.</t>
  </si>
  <si>
    <t>Afterwards, she adds more sugar to the pitcher.</t>
  </si>
  <si>
    <t>She pours the finished lemonade into a cup.</t>
  </si>
  <si>
    <t>The steps of making lemonade are presented once more.</t>
  </si>
  <si>
    <t>v_VFUk9WX8y5w</t>
  </si>
  <si>
    <t>A group of people holding skateboards stand on the start line, then people skateboard down the road.</t>
  </si>
  <si>
    <t>They get in a school bus, then, they skateboard on the road.</t>
  </si>
  <si>
    <t>A boy falls on the ground, and other people continue skateboarding.</t>
  </si>
  <si>
    <t>Two, people fall on the road.</t>
  </si>
  <si>
    <t>After, a man gives the start to people who skateboard on the road until reach the finish line to receive their trophies.</t>
  </si>
  <si>
    <t>A person skateboard jumping on a ramp.</t>
  </si>
  <si>
    <t>v_Rh2UGc42X0M</t>
  </si>
  <si>
    <t>A woman smiles before sledding down a hill on an intertube.</t>
  </si>
  <si>
    <t>She laughs and waves at the camera on the way down the hill.</t>
  </si>
  <si>
    <t>Several people are then shown sledding together before coming to a stop on a snowy slope.</t>
  </si>
  <si>
    <t>v_M0UsJ31h64U</t>
  </si>
  <si>
    <t>A large group of people are shown swimming around in a pool playing water polo.</t>
  </si>
  <si>
    <t>The match continues on with people passing the ball around the pool while many sit along the sidelines and watch.</t>
  </si>
  <si>
    <t>v_PUzd4mfmzqo</t>
  </si>
  <si>
    <t>A man in an outdoor basketball court explains how to do layup drills with both arms, over hand, underhand, right and left hand layup with two steps.</t>
  </si>
  <si>
    <t>He then goes to the hash marks on the court and shows various variations of a layup from various distances and how to do the drills for practice.</t>
  </si>
  <si>
    <t>He then comes back to the camera and explains what he did.</t>
  </si>
  <si>
    <t>v_W07hi9Y37Jg</t>
  </si>
  <si>
    <t>A man plays the accordion on a stage in front of a music stand while wearing a red suit jacket.</t>
  </si>
  <si>
    <t>A man sits on a chair on a stage and plays the accordion in front of a music stands.</t>
  </si>
  <si>
    <t>The man runs his fingers up and down the keys and pulls the accordion open and closed with a free hands before ending the performance and rubbing his hair with his hand.</t>
  </si>
  <si>
    <t>v_tJSF2GAp9TU</t>
  </si>
  <si>
    <t>A man jumps on parallel bars and does a gymnastics routine.</t>
  </si>
  <si>
    <t>The audience is watching him in the stands.</t>
  </si>
  <si>
    <t>He jumps off and lands on the mat with his hands raised.</t>
  </si>
  <si>
    <t>v_QePg4GKh3rw</t>
  </si>
  <si>
    <t>A gymnast is seen standing ready and waves one arm into the air.</t>
  </si>
  <si>
    <t>She jumps onto a set of uneven bars and performs a gymnastics routine consisting on flips and tricks.</t>
  </si>
  <si>
    <t>She jumps off the bars in the end and waves her arms in the air while her coach claps for her.</t>
  </si>
  <si>
    <t>v_CEEJ1gzdmAk</t>
  </si>
  <si>
    <t>Guys are playing hockey on an ice arena.</t>
  </si>
  <si>
    <t>Some players are laid out.</t>
  </si>
  <si>
    <t>A pile of players lay on a fallen athlete.</t>
  </si>
  <si>
    <t>A player gets knocked to the ice and his helmet too.</t>
  </si>
  <si>
    <t>A guy has a head injury and is blooding on the ice after he falls.</t>
  </si>
  <si>
    <t>v_6yD5jZn6SEs</t>
  </si>
  <si>
    <t>A gymnast is seen leaning over a long bar with a person standing next to her on the ground.</t>
  </si>
  <si>
    <t>The girl then hops herself up on the beam.</t>
  </si>
  <si>
    <t>Finally the girl begins to swing down around.</t>
  </si>
  <si>
    <t>v_UaiKJ_7mKIA</t>
  </si>
  <si>
    <t>A group stands at a train station.</t>
  </si>
  <si>
    <t>A man shovels snow from the sidewalk.</t>
  </si>
  <si>
    <t>A man in a wheelchair goes down a sidewalk on a cold winter day.</t>
  </si>
  <si>
    <t>A woman in snow jacket shovels snow from a sidewalk.</t>
  </si>
  <si>
    <t>A man breaks up ice with a spade.</t>
  </si>
  <si>
    <t>A man shovels snow from a sidewalk into a tree lined planter.</t>
  </si>
  <si>
    <t>v_mhqfGS59FG0</t>
  </si>
  <si>
    <t>Two people are seen holding tennis rackets and hitting a ball around in a small room.</t>
  </si>
  <si>
    <t>The men continue to hit the ball back and fourth to one another and run around the hit the ball.</t>
  </si>
  <si>
    <t>v_rIqITS6qMB0</t>
  </si>
  <si>
    <t>A guy stands in the fields and lights a piece of paper.</t>
  </si>
  <si>
    <t>A guy tosses the piece of paper towards stack wood and then runs.</t>
  </si>
  <si>
    <t>The wood catches on fire.</t>
  </si>
  <si>
    <t>The guy walks towards a man.</t>
  </si>
  <si>
    <t>v_HPv-d6qybdE</t>
  </si>
  <si>
    <t>A camera pans all around an indoor gym and leads into clips of people pole volting over a bar.</t>
  </si>
  <si>
    <t>Several people are shown running with a pole over a beam and onto a mat one after the other.</t>
  </si>
  <si>
    <t>More people take their turns while others walk around the gym and watch them on the sides.</t>
  </si>
  <si>
    <t>v_lRRBeGRTpdc</t>
  </si>
  <si>
    <t>the word BRENMAR is in the center of the screen going around, then change to the word UNiiQU3 and Hoola Hoop.</t>
  </si>
  <si>
    <t>three women wearing all black are standing holding a white hoola hoope on her hands.</t>
  </si>
  <si>
    <t>a man is bending on the floor srronded by hoola hoops.</t>
  </si>
  <si>
    <t>woman wearing black pants and white shirt starts dancing with a hoola hoop arond his neck.</t>
  </si>
  <si>
    <t>second woman with yellow hair starts dancing two people appears and a set of dancing women appears doing tricks with a hoola hoop while the man is watching them, woman with green jacket is singing the song.</t>
  </si>
  <si>
    <t>women appears in a dark room with brilliant hoola hoops dancing and doing tricks, woman with yellow hair keeps dancing alone.</t>
  </si>
  <si>
    <t>v_m6w3Skrc89s</t>
  </si>
  <si>
    <t>The man in black shirt is kneeling and reached for his back leg.</t>
  </si>
  <si>
    <t>The man slightly moved forward.</t>
  </si>
  <si>
    <t>The man paused forward while he is holding his ankle.</t>
  </si>
  <si>
    <t>v_NSi8DorB6L0</t>
  </si>
  <si>
    <t>This man is water skiing and he does it sitting down and standing up, except he's holding onto the handle bars backwards.</t>
  </si>
  <si>
    <t>While he's skiing he tries to around to stand forward like normal, but he goes flying when he tries to turn around.</t>
  </si>
  <si>
    <t>v_voaGOm-rl9Y</t>
  </si>
  <si>
    <t>A person is shoveling snow off their sidewalk.</t>
  </si>
  <si>
    <t>A dog is jumping in the snow he is throwing.</t>
  </si>
  <si>
    <t>Words come onto the screen.</t>
  </si>
  <si>
    <t>v_nQjxgOz1WYo</t>
  </si>
  <si>
    <t>A man is seen acting crazy towards a camera while sitting at a poker table with another man.</t>
  </si>
  <si>
    <t>The men stick their tongues out at the camera and the camera moves in on another table with people playing.</t>
  </si>
  <si>
    <t>In the end he faces the camera towards himself.</t>
  </si>
  <si>
    <t>v_4EQYvkfMUWw</t>
  </si>
  <si>
    <t>A teen holds a violin and then plays on front of other teens that talk and laugh.</t>
  </si>
  <si>
    <t>Teens talk and make comments and a woman laugh.</t>
  </si>
  <si>
    <t>Then people in the room applauds.</t>
  </si>
  <si>
    <t>v_rDlPcW_2nG0</t>
  </si>
  <si>
    <t>Two women standing in the kitchen, one girl is wearing a black top and the other one is wearing a beige top.</t>
  </si>
  <si>
    <t>The woman in beige showed a sandwich on the kitchen counter, then started peeing the green cucumber using a peeler, then start slicing the cucumber.</t>
  </si>
  <si>
    <t>She then spread butter on the bread, placed the sliced cucumber on the bread, sprinkle some salt, cut the edges of the bread then sliced it into triangle, then placed in on the white plate, then both of the women ate the sandwich.</t>
  </si>
  <si>
    <t>v_6w4OWjY6k_k</t>
  </si>
  <si>
    <t>A young child is seen walking forward with a stick in his hand and pushing a puck down a track.</t>
  </si>
  <si>
    <t>He walks back while another boy hits the puck and several people watch on the sidelines.</t>
  </si>
  <si>
    <t>The young boy continues to walk back and fourth.</t>
  </si>
  <si>
    <t>v_qJYp25ni6tg</t>
  </si>
  <si>
    <t>A man is seen speaking to the camera followed by various ingredients laid out and him chopping up vegetables.</t>
  </si>
  <si>
    <t>The man continues cutting and mixes the ingredients into a bowl.</t>
  </si>
  <si>
    <t>He pours liquid into the bowl and ends by presenting it on a plate.</t>
  </si>
  <si>
    <t>v_DR2sW3Wd8fo</t>
  </si>
  <si>
    <t>A video of the swan lake ballet is shown.</t>
  </si>
  <si>
    <t>They perform the act and interview some of the cast.</t>
  </si>
  <si>
    <t>v_-rJVr9sQ1h8</t>
  </si>
  <si>
    <t>The video leads into several shots of dogs walking around and leads into a woman petting a dogs fur.</t>
  </si>
  <si>
    <t>The woman continues brushing and shows clips of the dog running along a park.</t>
  </si>
  <si>
    <t>v_Q8Y9pmhvJqE</t>
  </si>
  <si>
    <t>Two adult men in helmets are teaching little boys how to play ice hockey.</t>
  </si>
  <si>
    <t>The boys gather in a circle, hitting their sticks on the ground.</t>
  </si>
  <si>
    <t>They then cheer and skate away.</t>
  </si>
  <si>
    <t>v_F1-PnXa9SwQ</t>
  </si>
  <si>
    <t>A woman in a white dress starts a lawn mower.</t>
  </si>
  <si>
    <t>She starts mowing the lawn.</t>
  </si>
  <si>
    <t>She turns around and goes back the other way.</t>
  </si>
  <si>
    <t>v_QQfH0FDsYPc</t>
  </si>
  <si>
    <t>A man is seen standing on a field and begins swinging an object around and around.</t>
  </si>
  <si>
    <t>He continues swinging and finishes by standing on the field.</t>
  </si>
  <si>
    <t>v_o1DCCTev0CQ</t>
  </si>
  <si>
    <t>A sign says superfresco easy on the screen.</t>
  </si>
  <si>
    <t>A man is shown painting a wall with grey paint.</t>
  </si>
  <si>
    <t>He uses broad sweeps to completely cover the wall.</t>
  </si>
  <si>
    <t>v_96krk6Ka9Vc</t>
  </si>
  <si>
    <t>Several views are seen from the inside of a stadium.</t>
  </si>
  <si>
    <t>A group of teams walk onto the field, cheering.</t>
  </si>
  <si>
    <t>The crowd cheers as the teams make goals during the game.</t>
  </si>
  <si>
    <t>v_pi4p4zdoqmw</t>
  </si>
  <si>
    <t>A man in surfing attire is featured with his name and size of his board.</t>
  </si>
  <si>
    <t>The video cuts to the beach and the man begins to surf.</t>
  </si>
  <si>
    <t>He catches waves but wipes out early on most of them.</t>
  </si>
  <si>
    <t>A bird appears to divebomb into the ocean.</t>
  </si>
  <si>
    <t>Other surfers further out appear.</t>
  </si>
  <si>
    <t>v_jwyLw2n_YVw</t>
  </si>
  <si>
    <t>A woman walks into the kitchen and turns the knobs on the oven.</t>
  </si>
  <si>
    <t>A blender is then put on the counter and the lever is pulled down followed by a tea bag being placed in a cup.</t>
  </si>
  <si>
    <t>The lady then moves to a counter and adds a piece of baking paper over two large racks.</t>
  </si>
  <si>
    <t>She then grabs the boiling hot water and pours it into the mug.</t>
  </si>
  <si>
    <t>She returns back to the counter and begins placing rolls of cookie dough on the racks.</t>
  </si>
  <si>
    <t>Its finally time for the cookies to be in put in the oven and she sets the timer on her phone so she won't burn them.</t>
  </si>
  <si>
    <t>After the time is up,she takes them out of the oven adds one on a plate and takes it to a girl down the hall.</t>
  </si>
  <si>
    <t>v_bNR0MmJ9d8I</t>
  </si>
  <si>
    <t>A man speaks to the camera.</t>
  </si>
  <si>
    <t>He rolls a big box into the room and proceeds to open a box where a bicycle sits inside.</t>
  </si>
  <si>
    <t>From the inside of the box, he takes out a small box full of tools for the use of assembling the bicycle.</t>
  </si>
  <si>
    <t>He's seen speaking to the camera again.</t>
  </si>
  <si>
    <t>He removes all of the boxes sitting around the bicycle and assembles the bike.</t>
  </si>
  <si>
    <t>Again, he speaks to the camera.</t>
  </si>
  <si>
    <t>He removes two pedals from bags and attaches both pedals onto the bicycle.</t>
  </si>
  <si>
    <t>He takes the bicycle for a ride.</t>
  </si>
  <si>
    <t>Briefly, he speaks to the camera.</t>
  </si>
  <si>
    <t>v_28GYivx4lyk</t>
  </si>
  <si>
    <t>We see two people playing foosball.</t>
  </si>
  <si>
    <t>A man in a black shirt leave the room and turns before leaving.</t>
  </si>
  <si>
    <t>A man puts his face in front of the camera.</t>
  </si>
  <si>
    <t>v_bkRQgwbP0WM</t>
  </si>
  <si>
    <t>A man is showing a boy trying to solve a rubix cube.</t>
  </si>
  <si>
    <t>A timer is going to time the boy and other people around him are trying as well.</t>
  </si>
  <si>
    <t>On lookers are going from table to table to watch.</t>
  </si>
  <si>
    <t>A boy grabs a pen and the man solves the puzzle.</t>
  </si>
  <si>
    <t>v_fU2mbWwVSXU</t>
  </si>
  <si>
    <t>A man in white uniform is standing at the kitchen counter.</t>
  </si>
  <si>
    <t>The man pull out a knife and sharpener, he touched the edge of the knife.</t>
  </si>
  <si>
    <t>The man hold the metal knife sharpener and slowly sharpen the knife from side to side.</t>
  </si>
  <si>
    <t>The man use different types of tools to sharpen the knife such as machine and water stone.</t>
  </si>
  <si>
    <t>v_wlO7PcigY-s</t>
  </si>
  <si>
    <t>A man drops a tennis racquet with ball then hits the ball.</t>
  </si>
  <si>
    <t>Another person does the same trick and then shows that he is from Serbia.</t>
  </si>
  <si>
    <t>v_TKGjHAmCaRo</t>
  </si>
  <si>
    <t>A man is playing with a dog on the grass.</t>
  </si>
  <si>
    <t>he then flips and throws a Frisbee.</t>
  </si>
  <si>
    <t>The dog runs side to side and chases it.</t>
  </si>
  <si>
    <t>He grabs two other Frisbees and tosses them around while the dog jumps.</t>
  </si>
  <si>
    <t>He throws the Frisbee some more while the dog runs.</t>
  </si>
  <si>
    <t>The dog continues jumping side to side and running in all directions as they get thrown.</t>
  </si>
  <si>
    <t>v_q23IYtwNOkE</t>
  </si>
  <si>
    <t>A man and an woman sip a blue liquid and rinse his mouth.</t>
  </si>
  <si>
    <t>Then, the woman bend and throw the liquid while the man continues rinsing his mouth.</t>
  </si>
  <si>
    <t>v__nBOWe_VhXg</t>
  </si>
  <si>
    <t>A woman is shown talking to the camera and leads into her beginning to paint a picture.</t>
  </si>
  <si>
    <t>She moves her brush back and fourth on the canvas and putting various colors and swirls around the sides.</t>
  </si>
  <si>
    <t>v_0wwx4wnHv-U</t>
  </si>
  <si>
    <t>A person is seen standing on a tennis court bouncing a ball.</t>
  </si>
  <si>
    <t>Another man is seen standing ready on the other side in front of a large audience.</t>
  </si>
  <si>
    <t>The man then hits the ball over the net and bounces back on the other side.</t>
  </si>
  <si>
    <t>v__kG3DxvGnnQ</t>
  </si>
  <si>
    <t>A girl is seen sitting in a chair with another person wiping her face and handing her a mirror to look in.</t>
  </si>
  <si>
    <t>He then pierces the girl's cheeks and the camera zooms in on the girl's face when he's done.</t>
  </si>
  <si>
    <t>v_9LraB2HBC0g</t>
  </si>
  <si>
    <t>A woman is seen speaking to the camera while standing in a shower and holding various objects.</t>
  </si>
  <si>
    <t>The woman then rubs lotions all over her legs and begins shaving her legs and ending by speaking to the camera.</t>
  </si>
  <si>
    <t>v__g2D5oXLCZI</t>
  </si>
  <si>
    <t>A man is seen speaking to the camera holding a basketball.</t>
  </si>
  <si>
    <t>The man then begins throwing the ball in the hoop several times.</t>
  </si>
  <si>
    <t>He walks back to the camera and continues speaking while moving his hands.</t>
  </si>
  <si>
    <t>v_2OPk79DNQdM</t>
  </si>
  <si>
    <t>A young woman is seen speaking to the camera and transitions into her with her hair in front of her face.</t>
  </si>
  <si>
    <t>She slowly brushes and parts her hair and flips her hair back in the end.</t>
  </si>
  <si>
    <t>v_3gc3nddr8TE</t>
  </si>
  <si>
    <t>A small group of girls are seen huddled up and begin moving around the field.</t>
  </si>
  <si>
    <t>More women are seen running around the large field playing field hockey.</t>
  </si>
  <si>
    <t>The girls continue to play against one another and end by waling away.</t>
  </si>
  <si>
    <t>v_6iTymXuGFhg</t>
  </si>
  <si>
    <t>A close up is shown of a young child moving around on a swing and people standing around him to push.</t>
  </si>
  <si>
    <t>The camera continues to follow the boy around the yard while the mom lays in the grass and then the daughter swinging around.</t>
  </si>
  <si>
    <t>The parents play with the kids more, give them a kiss, and the dad walks away with the daughter.</t>
  </si>
  <si>
    <t>v_jG1kgKJkf8c</t>
  </si>
  <si>
    <t>A street performer is sitting down on a crate and drumming on buckets and pans with drum sticks.</t>
  </si>
  <si>
    <t>He busts on of the buckets and in frustration, stabs it with the stick.</t>
  </si>
  <si>
    <t>He replaces the bucket and starts over in his beat as a crowd gathers.</t>
  </si>
  <si>
    <t>He rearranges the buckets once again and continues drumming.</t>
  </si>
  <si>
    <t>v_l0Sz7dqLzqs</t>
  </si>
  <si>
    <t>A large crowd is seen sitting in front of a pool followed by several shots of two people diving into a pool.</t>
  </si>
  <si>
    <t>More shots are shown of divers performing impressive stunts into the pool and ends with them walking away and their score being shown.</t>
  </si>
  <si>
    <t>A man speaks off into the distance and the divers stand together to get their medals.</t>
  </si>
  <si>
    <t>v_22n4w0uferc</t>
  </si>
  <si>
    <t>A screen appears with a snowy mountain with pine trees and an overlay on the screen of a logo and words that say "Efficient Hot Waxing Tips Reduces time material waste, cost and mess".</t>
  </si>
  <si>
    <t>A pair of skis are in a workshop and a man is doing some work on them that included rounds rubbing wax on the skis, ironing the skis, scraping skis while words on the bottom appear throughout the entire process as it explains what is being done.</t>
  </si>
  <si>
    <t>The man is now sharpening the edges of a file then begins to scrape the skis, then finishes up by ironing it with different clothes between the iron and skis.</t>
  </si>
  <si>
    <t>The outro screen appears and it's the exact picture like the intro but the words now say "Checkout our video Scraping &amp; Brushing" and it also includes the company logo.</t>
  </si>
  <si>
    <t>v_9K97gmkVbyQ</t>
  </si>
  <si>
    <t>A woman is seen speaking to the camera while grabbing various bags and laying them out.</t>
  </si>
  <si>
    <t>She puts and object into a bag while pointing to a box next to her.</t>
  </si>
  <si>
    <t>She stuffs paper into the bag and ends by tying a bow on top.</t>
  </si>
  <si>
    <t>v_r3H_75-lRjE</t>
  </si>
  <si>
    <t>A man plays the harmonica on front a microphone, then he ends and say goodbye.</t>
  </si>
  <si>
    <t>Then, a girl steps on the stage and speaks with the microphone.</t>
  </si>
  <si>
    <t>v_nJMS8jN3uU4</t>
  </si>
  <si>
    <t>There are four kids of varying ages playing kick ball in their backyard.</t>
  </si>
  <si>
    <t>The girl in pink kicks the ball to her brother in the orange shirt while the little kids run around and play.</t>
  </si>
  <si>
    <t>There's a little baby sitting on the ground in a baby bouncer watching them play.</t>
  </si>
  <si>
    <t>v_V2PhVadSbpQ</t>
  </si>
  <si>
    <t>A man talks to the camera while intermittently raking leaves.</t>
  </si>
  <si>
    <t>A closeup of a pile of leaves is shown.</t>
  </si>
  <si>
    <t>v_yDCZNNI3tDo</t>
  </si>
  <si>
    <t>A lady is talking to the camera then she laughs and looks down and the camera focuses elsewhere.</t>
  </si>
  <si>
    <t>The camera is back to the lady and a man is now cutting her hair as her mouth is open in disbelief and the man is laughing as he cuts her hair in one quick motion around her head.</t>
  </si>
  <si>
    <t>The lady is so in shock and drops hair from her lap and looks down at the ground at all the hair, touches her hair, stands up to look in the mirror, screams, cries, starts freaking out, sits back down and stands back up to look in the mirror.</t>
  </si>
  <si>
    <t>The lady looks in the mirror and is smiling but you can tell she's not happy.</t>
  </si>
  <si>
    <t>v_omuYi2Vhgjo</t>
  </si>
  <si>
    <t>A young boy is seen smiling and laughing into the camera and beginning to play piano.</t>
  </si>
  <si>
    <t>The boy plays furiously on the piano at a fast pace and leads into him wearing a different shirt and still playing.</t>
  </si>
  <si>
    <t>He finishes by putting his body onto the piano and then smiling into the camera.</t>
  </si>
  <si>
    <t>v_8UJ5PGzu1PE</t>
  </si>
  <si>
    <t>A man lays a Coca Cola bottle on a bundle of hay.</t>
  </si>
  <si>
    <t>The man shots an arrow from a bow.</t>
  </si>
  <si>
    <t>The arrow uncaps the bottle.</t>
  </si>
  <si>
    <t>v_mCdKLZGnKxk</t>
  </si>
  <si>
    <t>Someone is placing a vent on the roof of a house.</t>
  </si>
  <si>
    <t>They seal the vent with glue.</t>
  </si>
  <si>
    <t>v_jKPgBtesr74</t>
  </si>
  <si>
    <t>Two boys are standing behind a table.</t>
  </si>
  <si>
    <t>They have a glass and a lemon on the table.</t>
  </si>
  <si>
    <t>They pour it into a pitcher of water and make a drink.</t>
  </si>
  <si>
    <t>They pour the drink into two glasses.</t>
  </si>
  <si>
    <t>They both take a drink out of the straw.</t>
  </si>
  <si>
    <t>v_74MEdLMrXAQ</t>
  </si>
  <si>
    <t>Boys play indoor soccer while kicking the ball and passing it to playmates, then the referee enter to the center and gives instructions.</t>
  </si>
  <si>
    <t>Then, the referee puts the ball on the goal area and a boy kick the ball, but the goalkeeper stop the ball.</t>
  </si>
  <si>
    <t>The boys play shooting the ball to the goalkeeper stops the ball.</t>
  </si>
  <si>
    <t>After, a player scores and the teams continue playing.</t>
  </si>
  <si>
    <t>v_bpfak_VIJ8o</t>
  </si>
  <si>
    <t>Several shots of landscapes are shown that leads into a man and woman speaking to the camera.</t>
  </si>
  <si>
    <t>The couple walk onto a sandy pit and pan around a group of players.</t>
  </si>
  <si>
    <t>More people are seen speaking to the camera that shows shots of them playing volleyball and ending with the couple.</t>
  </si>
  <si>
    <t>v_NVnjzpoY1O8</t>
  </si>
  <si>
    <t>An elderly priest is sitting down in his chair indoors in a large building and 3 different men break dance on the ground in front of him as the people around him start clapping and lights go off from all the flashes.</t>
  </si>
  <si>
    <t>When the men are done dancing they stand up together in front of the people and the priest, and they take their bow to the priest and to the people.</t>
  </si>
  <si>
    <t>The men then walk over to the priest and each kiss his hand and white words appear on the screen and say "Bilder: Reuters Redigering: Malin Lagerlof".</t>
  </si>
  <si>
    <t>v_AU3_oU1_rfA</t>
  </si>
  <si>
    <t>An eHow intro comes onto the screen with music in the background.</t>
  </si>
  <si>
    <t>I man appears on the screen narrating the video about how to shave.</t>
  </si>
  <si>
    <t>A man is shown getting his skin moisturized and having shaving cream buffed onto his face.</t>
  </si>
  <si>
    <t>The video ends with the eHow closing credits.</t>
  </si>
  <si>
    <t>v_-0NfmccuL9Q</t>
  </si>
  <si>
    <t>A man has a few tools and is pumping his car up some so he can take off the tire.</t>
  </si>
  <si>
    <t>He uses the tool to take off all of the nuts one by one.</t>
  </si>
  <si>
    <t>Then he grabs the tire off and moves it over and he puts on another tire.</t>
  </si>
  <si>
    <t>He does everything he did before but the opposite, putting the nuts back on in place to tighten the tire on, he then brings the car back down.</t>
  </si>
  <si>
    <t>v_sFKOnFMJF2Q</t>
  </si>
  <si>
    <t>A teen skateboards in a road, then he walks with a friend holding his skateboard, then they skateboard.</t>
  </si>
  <si>
    <t>A car enters the street where the teen skateboard.</t>
  </si>
  <si>
    <t>A youth wearing a pink t-shirt skateboard on the street.</t>
  </si>
  <si>
    <t>The teen walks holding his skateboard.</t>
  </si>
  <si>
    <t>Teens skateboard in the street making tricks and turn.</t>
  </si>
  <si>
    <t>After, two teens walk in the street, and then they skateboard.</t>
  </si>
  <si>
    <t>v_l6a56j87obQ</t>
  </si>
  <si>
    <t>A man is standing on a stage at night time with a lot of stage lights, a band behind him, and a crowd in front of him and he's playing a bag pipe.</t>
  </si>
  <si>
    <t>Another man comes onto the stage playing the guitar and the lights go flashing.</t>
  </si>
  <si>
    <t>When the man is done playing the bagpipe another man runs on the stage to grab it from him, and the man who was playing the bagpipe gets something to drink, then grabs a mic and starts singing and waving his right arm in the air.</t>
  </si>
  <si>
    <t>v_EMgWolnolDg</t>
  </si>
  <si>
    <t>Two men outside in the woods while one man wearing a knit cap balances on a rope tied across two trees while one man with a black beard supports the man with the knit cap.</t>
  </si>
  <si>
    <t>The man with the beard releases the man on the rope and moves away.</t>
  </si>
  <si>
    <t>A man in a green hoodie balances on the rope while the man in the beard supports the man on the rope.</t>
  </si>
  <si>
    <t>A Man in a grey shirt pushes off of a man wearing a black shirt and performs a back somersault and lands firmly on the leaf covered ground.</t>
  </si>
  <si>
    <t>v_wlx5YuEHsO8</t>
  </si>
  <si>
    <t>A white intro screen appears with special effects and a lot of coloring that include words, numbers, and logos.</t>
  </si>
  <si>
    <t>Men are then shown in a dark room filled with people as they put on shirts, shakes hands with others, pose and then they begin a game of Foosball while images of their flag briefly show up on the screen and a lot of people around them watch as different men team up against one another.</t>
  </si>
  <si>
    <t>When they are done playing a man and a woman are standing and talking at a mic while one man hands over a box to another man and they walk off the stage.</t>
  </si>
  <si>
    <t>The same white screen from the beginning appears with special effects and lot of colored words then it fades to black.</t>
  </si>
  <si>
    <t>v_v79nh_3vpVk</t>
  </si>
  <si>
    <t>A man in a white shirt is talking to the camera.</t>
  </si>
  <si>
    <t>A girl then talks to the camera.</t>
  </si>
  <si>
    <t>Pink water bottles are in a box.</t>
  </si>
  <si>
    <t>They walk onto the field and start playing.</t>
  </si>
  <si>
    <t>v_mFSdzT5gXQs</t>
  </si>
  <si>
    <t>A computer generated game of a man, he starts spinning.</t>
  </si>
  <si>
    <t>He turns around quickly and lets go of the frisbee and the refs run up to mark where it lands.</t>
  </si>
  <si>
    <t>The man starts to do it again, he spins and throws again.</t>
  </si>
  <si>
    <t>The score shows up on the screen before he spins and throws again and then he cheers in excitment.</t>
  </si>
  <si>
    <t>v_Vp63nbOfxgs</t>
  </si>
  <si>
    <t>Some is carrying an instrument case walking around outside, they put the case down on the ground and take out a violin.</t>
  </si>
  <si>
    <t>The woman plays the violin everywhere she goes and she dances while she plays too.</t>
  </si>
  <si>
    <t>She does some movements of her body making her back bend down almost touching the ground while still jamming out on the violin.</t>
  </si>
  <si>
    <t>She is very intense about it, she plays and plays and when she is done she walks away casually.</t>
  </si>
  <si>
    <t>v_8729_qnILMM</t>
  </si>
  <si>
    <t>A woman plays flute sit on a piano while moving her feet.</t>
  </si>
  <si>
    <t>The woman finish playing bow and smiles.</t>
  </si>
  <si>
    <t>v_Ie7DREiXp08</t>
  </si>
  <si>
    <t>A woman is seen speaking to the camera and pouring out liquids into a case.</t>
  </si>
  <si>
    <t>She then pulls contacts into the case and then places one in each eye.</t>
  </si>
  <si>
    <t>She holds up the case in the end followed by her putting the contacts back into the case.</t>
  </si>
  <si>
    <t>v_AXA-G5DdNrU</t>
  </si>
  <si>
    <t>People raft down a rocky river.</t>
  </si>
  <si>
    <t>Suddenly, the boat turn over and all men fall in the water.</t>
  </si>
  <si>
    <t>Then, people reach the shore, while a man climbs a rock.</t>
  </si>
  <si>
    <t>After, persons in a boat rescue a man in the water and recover the boat.</t>
  </si>
  <si>
    <t>two men stand in the shore next to a ladder.</t>
  </si>
  <si>
    <t>Rafters are still in the water waiting.</t>
  </si>
  <si>
    <t>v_K-rEA43wOS0</t>
  </si>
  <si>
    <t>People play beer pong while other persons watch.</t>
  </si>
  <si>
    <t>People get happy when the ball get inside a cup.</t>
  </si>
  <si>
    <t>Then, a man throw a ball inside a cup, and a person drink the liquid in the cup.</t>
  </si>
  <si>
    <t>A man throw a ball inside a cup and people congratulates and hug the man.</t>
  </si>
  <si>
    <t>v_6VNFwlzQiuc</t>
  </si>
  <si>
    <t>A person is seen speaking to the camera and walking into a tattoo shop, followed by a person getting tattooed by an artist.</t>
  </si>
  <si>
    <t>The man continues speaking to the camera while another is being tattooed in the background and continues speaking to the camera.</t>
  </si>
  <si>
    <t>v_JKCwcCMAnxg</t>
  </si>
  <si>
    <t>We see a blue title card.</t>
  </si>
  <si>
    <t>A man and a woman begin dancing in a ballroom.</t>
  </si>
  <si>
    <t>They pause and the lady sweeps her leg.</t>
  </si>
  <si>
    <t>The man dips the lady.</t>
  </si>
  <si>
    <t>The lady slides to the ground.</t>
  </si>
  <si>
    <t>The lady does the splits.</t>
  </si>
  <si>
    <t>The man lifts the lady in the air.</t>
  </si>
  <si>
    <t>We switch and see people dancing in different locations.</t>
  </si>
  <si>
    <t>We see the blue ending screen.</t>
  </si>
  <si>
    <t>v_fhXVqPPDjN8</t>
  </si>
  <si>
    <t>A man is seen dancing in a nightclub with two women around him.</t>
  </si>
  <si>
    <t>The three continue dancing with one another while others dance on the side.</t>
  </si>
  <si>
    <t>The people dance around one another while the camera captures their movements.</t>
  </si>
  <si>
    <t>v_5RKzXZ-0xQ8</t>
  </si>
  <si>
    <t>A person paint nails to a woman using purple nail polish.</t>
  </si>
  <si>
    <t>A woman is looking down.</t>
  </si>
  <si>
    <t>v_PQgydNnSggw</t>
  </si>
  <si>
    <t>A woman is seen sitting in a chair speaking and waving to the camera and looks into a mirror showing her and the camera man.</t>
  </si>
  <si>
    <t>A tattoo artist then steps into frame and begins tattooing a symbol on the girl's neck.</t>
  </si>
  <si>
    <t>In the end pictures of the girl's tattoo are shown.</t>
  </si>
  <si>
    <t>v_ulJxGEx2r7o</t>
  </si>
  <si>
    <t>An intro leads to a small group of small children standing on a stage holding instruments.</t>
  </si>
  <si>
    <t>They begin playing the instruments while the camera zooms in out of each of them playing.</t>
  </si>
  <si>
    <t>v_BZK8b0xCkB0</t>
  </si>
  <si>
    <t>A woman wearing a santa hat is talking.</t>
  </si>
  <si>
    <t>She puts Christmas lights onto the tree.</t>
  </si>
  <si>
    <t>She puts ribbon around the tree.</t>
  </si>
  <si>
    <t>She strings decorations around the tree.</t>
  </si>
  <si>
    <t>She puts bulbs on the Christmas tree.</t>
  </si>
  <si>
    <t>She puts small stuffed animals on the tree.</t>
  </si>
  <si>
    <t>She puts candy canes on the tree.</t>
  </si>
  <si>
    <t>She puts a star on the tree.</t>
  </si>
  <si>
    <t>The star falls off the tree.</t>
  </si>
  <si>
    <t>She puts cotton underneath the tree.</t>
  </si>
  <si>
    <t>v_rkgeHZjFskY</t>
  </si>
  <si>
    <t>A young girl in a room talks to a camera and shows off her hair style.</t>
  </si>
  <si>
    <t>She then goes back to before it was braided and combs it out, sectioning it off.</t>
  </si>
  <si>
    <t>She then takes two sections and intertwines them, and grabs more lengths of hair as she goes down the braid.</t>
  </si>
  <si>
    <t>She then tucks the braid to the side and grabs lengths of hair to secure it to the side and incorporates lengths from the back of her hair.</t>
  </si>
  <si>
    <t>Her hair is succesfully braided and she shows off the finished look.</t>
  </si>
  <si>
    <t>v_pbeQcGC3nXY</t>
  </si>
  <si>
    <t>A man in fencing gear begins to talk about fencing gear getting ready to talk about his fencing experiences.</t>
  </si>
  <si>
    <t>He gets dressed in his gear and goes to the studio for practice.</t>
  </si>
  <si>
    <t>He and another man practice with one another while a timer is running.</t>
  </si>
  <si>
    <t>There is a certain stance and way you move your feet when you fence that helps with moving towards and from the opponet .</t>
  </si>
  <si>
    <t>v_uCLUexLKpnU</t>
  </si>
  <si>
    <t>A camera pans all around a sky showing kites in the air.</t>
  </si>
  <si>
    <t>A person is then seen riding a kite board on the water.</t>
  </si>
  <si>
    <t>The person continues to ride around while the camera watches.</t>
  </si>
  <si>
    <t>v_eeD2_hKG7zE</t>
  </si>
  <si>
    <t>A young girl is seen standing before a set of monkey bars and smiling while speaking to the camera.</t>
  </si>
  <si>
    <t>She then carries herself along the set of monkey bars and moves back and fourth on the play set.</t>
  </si>
  <si>
    <t>She makes her way back to the start and climbs down the ladder finally looking at the camera.</t>
  </si>
  <si>
    <t>v_TXq9MO-dYhI</t>
  </si>
  <si>
    <t>A woman talks on front the blinds.</t>
  </si>
  <si>
    <t>Then, the woman plays four tam-tams, she mainly plays the tam-tam on front her.</t>
  </si>
  <si>
    <t>Then, the woman stops playing and smile.</t>
  </si>
  <si>
    <t>v_28QW8P1x_LE</t>
  </si>
  <si>
    <t>A man and two women are doing an aerobic dance inside a building.</t>
  </si>
  <si>
    <t>They perform several moves, speeding up with time.</t>
  </si>
  <si>
    <t>They stop, clapping and wiping the hair out of their faces when they are done.</t>
  </si>
  <si>
    <t>v_tSR4Pj_muN0</t>
  </si>
  <si>
    <t>A man is walking in a field.</t>
  </si>
  <si>
    <t>We see his back and see blood and a harness in his skin and another two men one who has the skin harness.</t>
  </si>
  <si>
    <t>We see the men climbing and standing on a crane high in the sky.</t>
  </si>
  <si>
    <t>The men with the skin harness jump off a crane high above a forest.</t>
  </si>
  <si>
    <t>We see the ground below.</t>
  </si>
  <si>
    <t>v_Relgb880pRI</t>
  </si>
  <si>
    <t>A cartoon of an archway is shown and leads into a man placing tomatoes onto a plate.</t>
  </si>
  <si>
    <t>He puts onions and other ingredients onto a plate and cuts up several more ingredients.</t>
  </si>
  <si>
    <t>He places the final ingredients into the bowl while talking to the camera and pans out on the meal he made.</t>
  </si>
  <si>
    <t>v_cKFTf1vZQOw</t>
  </si>
  <si>
    <t>Two male kids are outside on a driveway talking to one another.</t>
  </si>
  <si>
    <t>Once they have finished their conversation,they begin skateboarding down the road into an open park.</t>
  </si>
  <si>
    <t>The two boys arrive at their destination stop and talk then one takes off and the other boy follows him and they keep rollerblading.</t>
  </si>
  <si>
    <t>v_WXMb7XF6k8o</t>
  </si>
  <si>
    <t>A series of women are shown in close up of their faces.</t>
  </si>
  <si>
    <t>A stylist is standing beside a girl seated in his chair.</t>
  </si>
  <si>
    <t>He gives instructions on how to style her hair.</t>
  </si>
  <si>
    <t>He uses a dryer to blow her hair, then clips it.</t>
  </si>
  <si>
    <t>v_v13d7g_uUXM</t>
  </si>
  <si>
    <t>A man is seen walking into frame bending down to grab a set of weights and begins to lift himself upward.</t>
  </si>
  <si>
    <t>He then lifts the weight up over his shoulder several times while jumping to give himself momentum.</t>
  </si>
  <si>
    <t>v_FBqtQ3HCk48</t>
  </si>
  <si>
    <t>A man carves a pumpkin and a piece of ice, then the man holds a carved pumpkin and put it on a bench.</t>
  </si>
  <si>
    <t>A young man takes pictures of artistic ice sculptures, while a person carves a piece of ice in the street.</t>
  </si>
  <si>
    <t>The man shows how to carve a pumpkin using carving tools to make faces.</t>
  </si>
  <si>
    <t>The carved pumpkins with scary faces and an ice sculptures are displayed in a room.</t>
  </si>
  <si>
    <t>v_EDEFxLnf_Wk</t>
  </si>
  <si>
    <t>People are spinning on exercise bikes.</t>
  </si>
  <si>
    <t>v_OOKHi7EBNKk</t>
  </si>
  <si>
    <t>An individual wearing face covering drags an inner tube type device along the snow, surrounded by other people doing the same thing.</t>
  </si>
  <si>
    <t>The individual walks towards another individual wearing a red jacket.</t>
  </si>
  <si>
    <t>The individual hands the rein for the device to the person in the red jacket and sits on the device.</t>
  </si>
  <si>
    <t>The person in the red jacket pulls the device downhill and the first individual rides down the slope.</t>
  </si>
  <si>
    <t>The first individual dismounts and resumes pulling the device.</t>
  </si>
  <si>
    <t>The individual pulls the device along some sort of covered walkway with a moving floor.</t>
  </si>
  <si>
    <t>v_ryZuSiZNN2o</t>
  </si>
  <si>
    <t>A field of two teams are shown fighting over a lacrosse ball in the middle of a large green field.</t>
  </si>
  <si>
    <t>They then get up and continue playing across the large field.</t>
  </si>
  <si>
    <t>Shortly after,a small brawl begins in the middle of the pool and a man in a black uniform nose begins to bleed and the game is at a halt and replays are shown.</t>
  </si>
  <si>
    <t>v__IlyE43ZUH8</t>
  </si>
  <si>
    <t>An ad for Beckon Call services appears.</t>
  </si>
  <si>
    <t>A man is standing in a backyard speaking.</t>
  </si>
  <si>
    <t>He picks up several window screens while he talks about them.</t>
  </si>
  <si>
    <t>He adds them to the stack and walks away.</t>
  </si>
  <si>
    <t>v_ll4HKY9ZBOA</t>
  </si>
  <si>
    <t>A marching band stands ready on a street while an audience watches.</t>
  </si>
  <si>
    <t>The conductor conducts the band.</t>
  </si>
  <si>
    <t>The band plays on the street while the audience watches.</t>
  </si>
  <si>
    <t>v_Tb875ldI6AY</t>
  </si>
  <si>
    <t>A young man is seen speaking to the camera and begins holding a cigarette.</t>
  </si>
  <si>
    <t>The man takes a puff from the cigarette while still speaking to the camera.</t>
  </si>
  <si>
    <t>The man continues smoking while looking off and speaking to the camera.</t>
  </si>
  <si>
    <t>v_AHXcJCpvkAQ</t>
  </si>
  <si>
    <t>A title screen leads into two women stepping up and down on a block.</t>
  </si>
  <si>
    <t>They perform several different exercises on the beam and move together in a synchronized motion.</t>
  </si>
  <si>
    <t>The girls spin round and round then hope back up and then down on the beam.</t>
  </si>
  <si>
    <t>v_VmD2k_dtddc</t>
  </si>
  <si>
    <t>Two teams are on a field with referees.</t>
  </si>
  <si>
    <t>They are involved in a game of lacrosse.</t>
  </si>
  <si>
    <t>They run across the field, trying to keep the ball out of the opponent's goal.</t>
  </si>
  <si>
    <t>v_p-JFdMUWVvU</t>
  </si>
  <si>
    <t>An older man is seen standing before two pucks while another person pushes them along the ice.</t>
  </si>
  <si>
    <t>The man bends down several times and then glides along the ice with the pucks.</t>
  </si>
  <si>
    <t>v_53tCYiyAyf0</t>
  </si>
  <si>
    <t>An intro leads into a man throwing darts onto a board.</t>
  </si>
  <si>
    <t>He looks closely off into the distance and continues throwing darts.</t>
  </si>
  <si>
    <t>The camera shows the board in the end and the man throwing it.</t>
  </si>
  <si>
    <t>v_38qpTblXDTw</t>
  </si>
  <si>
    <t>A woman sits on a riding lawnmower in the distance.</t>
  </si>
  <si>
    <t>The woman drives the lawnmower towards the camera.</t>
  </si>
  <si>
    <t>The woman begins to turn the mower at a fence corner.</t>
  </si>
  <si>
    <t>v_cMndipw7_As</t>
  </si>
  <si>
    <t>A person mends steel with a welding equipment.</t>
  </si>
  <si>
    <t>A person uses a hammer and a flat equipment to remove debris.</t>
  </si>
  <si>
    <t>A person uses a flat equipment to remove melted steel debris.</t>
  </si>
  <si>
    <t>The person places two dumbbell shaped steel in opening that he is welding.</t>
  </si>
  <si>
    <t>A person uses a flat equipment to clean the welded opening.</t>
  </si>
  <si>
    <t>A person uses a flat equipment to move the dumbbell shaped steels and then removes them with his hand.</t>
  </si>
  <si>
    <t>The credits of the video is shown.</t>
  </si>
  <si>
    <t>v_gmPoDbH-odg</t>
  </si>
  <si>
    <t>A woman hands from a red bar and does several arm pull ups.</t>
  </si>
  <si>
    <t>She then uncrosses her legs and jumps down with her hands at her side.</t>
  </si>
  <si>
    <t>A Life Fitness logo then flashes on the screen.</t>
  </si>
  <si>
    <t>v_LxwKUIJdt_4</t>
  </si>
  <si>
    <t>A person is seen blow leaves around a yard using a leaf blower sitting on his back.</t>
  </si>
  <si>
    <t>The camera follows him as the man moves up and down the yard blowing leaves all around the area.</t>
  </si>
  <si>
    <t>v_gOKkjA2yvGo</t>
  </si>
  <si>
    <t>A man is sitting on a cycle bike working out.</t>
  </si>
  <si>
    <t>A man is standing up next to him talking.</t>
  </si>
  <si>
    <t>A black and white logo comes onto the screen.</t>
  </si>
  <si>
    <t>v_KvscV2XxyTE</t>
  </si>
  <si>
    <t>Gymnast Micah Ross mounts the balance beam before a celebrated audience as the crowd cheers and shouts her name.</t>
  </si>
  <si>
    <t>Her routine begins with a flip, split, and summersault.</t>
  </si>
  <si>
    <t>She then performs two backwards flips and a pirouette.</t>
  </si>
  <si>
    <t>A forward flip and jump follows along with a sideways flip.</t>
  </si>
  <si>
    <t>After briefly wobbling on the bar, Micah regains her composure and performs a forward summersault.</t>
  </si>
  <si>
    <t>Ross successfully dismounts with a double flip to the applause of the audience.</t>
  </si>
  <si>
    <t>v_KX-vl2o8U1w</t>
  </si>
  <si>
    <t>A drummer is drumming, then the stick broke.</t>
  </si>
  <si>
    <t>A boy in blue shirt hit the drum, but the big drum keeps moving, then it fell.</t>
  </si>
  <si>
    <t>A boy with earphones is drumming and the stick got stuck in the instrument.</t>
  </si>
  <si>
    <t>The band is playing, while the man is singing, the drummer fell off the his chair.</t>
  </si>
  <si>
    <t>The marching band play their drums, then one of the drummers fell on the ground, a person came to help him.</t>
  </si>
  <si>
    <t>A drummer on stage fell of the stage.</t>
  </si>
  <si>
    <t>v_3am00ii0n-o</t>
  </si>
  <si>
    <t>A guy and a lady interact.</t>
  </si>
  <si>
    <t>The lady holds up papers and books.</t>
  </si>
  <si>
    <t>The guy claps and cheers.</t>
  </si>
  <si>
    <t>The lady plays a flute while looking down a the notes on the papers.</t>
  </si>
  <si>
    <t>The lady stops playing the flute and presents it.</t>
  </si>
  <si>
    <t>The guy plays a harmonica.</t>
  </si>
  <si>
    <t>The guy looks angry, and the lady look apologetic.</t>
  </si>
  <si>
    <t>The guy puts his head down.</t>
  </si>
  <si>
    <t>The guy and lady wave bye.</t>
  </si>
  <si>
    <t>The guy takes the flute from the lady and pretends to hit her on her chin.</t>
  </si>
  <si>
    <t>v_u7dfBgc_SqU</t>
  </si>
  <si>
    <t>A woman is standing in the sunlight, posing and modeling for the camera.</t>
  </si>
  <si>
    <t>She shows off her natural hair, then demonstrates how to style it using a blow out.</t>
  </si>
  <si>
    <t>v_xcDAjcRX93A</t>
  </si>
  <si>
    <t>A man is seen standing with his arms up and then begins a gymnasts routine.</t>
  </si>
  <si>
    <t>The man continues swinging around on the uneven bars and jumping off to finish.</t>
  </si>
  <si>
    <t>The man walks away while his score is shown and his routine is shown again in slow motion.</t>
  </si>
  <si>
    <t>v_a_EkYuPdaJ0</t>
  </si>
  <si>
    <t>A man talks stand on front a fence of a backyard.</t>
  </si>
  <si>
    <t>Then, the man talks a person in a paint shop, and the person shows him tools in a showcase.</t>
  </si>
  <si>
    <t>After, the man shows the buttons of the painting machine in the backyard.</t>
  </si>
  <si>
    <t>After, the man puts blue tape on the side of the fence and covers a rail.</t>
  </si>
  <si>
    <t>Then, the man paint the fence with the hose of the machine while wearing a mask.</t>
  </si>
  <si>
    <t>The man continues explaining on front the machine and buckets of paint.</t>
  </si>
  <si>
    <t>v_DjY-7jEpxZ0</t>
  </si>
  <si>
    <t>A group of kids are in a classroom like setting standing in a circle.</t>
  </si>
  <si>
    <t>In the middle of the circle,a woman is hitting a pinata wrapped in blue wall paper.</t>
  </si>
  <si>
    <t>v_q8mReXud6fE</t>
  </si>
  <si>
    <t>little kid is jumping on dry leaves.</t>
  </si>
  <si>
    <t>woman is raking dry leaves on a yard.</t>
  </si>
  <si>
    <t>kid kneels and grabs a dry leaf to put it in the trash bin.</t>
  </si>
  <si>
    <t>v_pKV8lrvbX6Q</t>
  </si>
  <si>
    <t>A little girl swings across the monkey bars on a play ground.</t>
  </si>
  <si>
    <t>She goes across each bar before jumping to the ground.</t>
  </si>
  <si>
    <t>She goes back to the beginning, and swings across the bars again.</t>
  </si>
  <si>
    <t>v_x99PS_O6JW8</t>
  </si>
  <si>
    <t>A young man is talking to the camera outside while taking puffs off of a hookah.</t>
  </si>
  <si>
    <t>He puts the pipe away and takes a swing out of an energy drink.</t>
  </si>
  <si>
    <t>He moves the camera to show another man and continues smoking the hookah next to the other man.</t>
  </si>
  <si>
    <t>Both look into the camera while smoking and the boy still continues drinking the energy drink.</t>
  </si>
  <si>
    <t>v_X-xQLFHZIOU</t>
  </si>
  <si>
    <t>a lot of people are sitting on stands on a bullring.</t>
  </si>
  <si>
    <t>bullfighters are holding red cloth nad running to a bull.</t>
  </si>
  <si>
    <t>v_Ly21QMQ4kGA</t>
  </si>
  <si>
    <t>Several awards are pictured over a fire place and then moves to the wall on the left.</t>
  </si>
  <si>
    <t>A table of food is shown and the person recording grabs a cookie and leaves the room.</t>
  </si>
  <si>
    <t>The next room he enters,there are several people standing around playing beer pong and he proceeds to walk through the house.</t>
  </si>
  <si>
    <t>v_yyvc2OSPx1Y</t>
  </si>
  <si>
    <t>A woman is shown in wal-mart, laughing and choosing earrings from a rack.</t>
  </si>
  <si>
    <t>She sits in a chair, and an employee shoots an earring into her lobe with a piercing gun.</t>
  </si>
  <si>
    <t>She cringes in pain as it enters her ear.</t>
  </si>
  <si>
    <t>v_6TxGVSw6Ayw</t>
  </si>
  <si>
    <t>We see three separate intro screens.</t>
  </si>
  <si>
    <t>We see a man making shots in hockey with title screens in between.</t>
  </si>
  <si>
    <t>A man shoots a shot at hockey and makes it and we see a slow motion recap.</t>
  </si>
  <si>
    <t>The man takes another shot and makes it and we see a recap of that as well.</t>
  </si>
  <si>
    <t>We see the shot from above, and a recap.</t>
  </si>
  <si>
    <t>v_FqlXey9KFZA</t>
  </si>
  <si>
    <t>A guy is operating a electric presser.</t>
  </si>
  <si>
    <t>A man is whipping with a dark rug.</t>
  </si>
  <si>
    <t>The guy is gesturing at the machine's work.</t>
  </si>
  <si>
    <t>v_xeFS0RuvVGA</t>
  </si>
  <si>
    <t>A group of boys play water catch with a yellow ball in an outdoor pool surrounded by a fence and tall trees and foliage.</t>
  </si>
  <si>
    <t>A group of boys play catch in an outdoor pool with a yellow ball , throwing the ball to each other and and then throwing the ball out of the pool to an unseen party.</t>
  </si>
  <si>
    <t>The ball is thrown back into the pool and the boys proceed to throw it back out again.</t>
  </si>
  <si>
    <t>v_mi6wetIKq2w</t>
  </si>
  <si>
    <t>An intro filled with special effects of different screens coming together appear and the end result is a square sign that reads "GETITSWEET GET IT SWEET 2014" and the color them is white, pink, dark pink, and brown with the effect of chocolate dripping from the top portion of the sign.</t>
  </si>
  <si>
    <t>A batch of cinnamon roll cookies on a tray appear and a quick list of the ingredients appear along with the actual ingredients in different bowls.</t>
  </si>
  <si>
    <t>The ingredients are now shown being poured into a large clear bowl getting mixed up with a hand mixer, and instructions occasionally pop up on the screen.</t>
  </si>
  <si>
    <t>When the ingredients are thoroughly mixed the person flattens it between plastic, cools it, then puts it on a cutting board to roll it out, then adds sugar and cinnamon to the flat surface.</t>
  </si>
  <si>
    <t>The person then rolls it and puts it on a piece of saran wrap that's next to the cutting board then wraps the saran wrap around it, rolls it a little where the instructions say to cool it for 30 minutes.</t>
  </si>
  <si>
    <t>Once it's done being cooled it's removed,sliced on the cutting board, placed on a cooking sheet, and then cooked.</t>
  </si>
  <si>
    <t>The cooked products are then shown on white plates with a cup of coffee and the person picks it up and bites it.</t>
  </si>
  <si>
    <t>The last screen is a youtube promotion of the person's channel that has 2 small videos you can click on, and wording encouraging you to subscribe.</t>
  </si>
  <si>
    <t>v_CzXF0CQn2Fk</t>
  </si>
  <si>
    <t>people are in a small room dancing doing a choreography.</t>
  </si>
  <si>
    <t>the man stops dancing and keep doing the choreography.</t>
  </si>
  <si>
    <t>man wearing red shorts and grey shirt leading the choreography in front of the people in the room.</t>
  </si>
  <si>
    <t>v_Z-gDuGMpClo</t>
  </si>
  <si>
    <t>A window on a car is tolled down and a shirtless man walks to the are.</t>
  </si>
  <si>
    <t>We see shirtless men in small tight underwear washing cars.</t>
  </si>
  <si>
    <t>The men walk in the parking lot in a line with only underwear on.</t>
  </si>
  <si>
    <t>A man shakes his wet hair.</t>
  </si>
  <si>
    <t>A man washes another man's butt.</t>
  </si>
  <si>
    <t>A man wipes the water back and looks at the camera.</t>
  </si>
  <si>
    <t>Men do dances in a line and scenes of washing the car.</t>
  </si>
  <si>
    <t>v_Rc_pWU_3WLk</t>
  </si>
  <si>
    <t>Two sumo wrestlers stand in an arena.</t>
  </si>
  <si>
    <t>One knocks the other one out.</t>
  </si>
  <si>
    <t>The winner stands tall on the arena.</t>
  </si>
  <si>
    <t>The crowd looks at the winner.</t>
  </si>
  <si>
    <t>v_WwDGutCfElc</t>
  </si>
  <si>
    <t>The video shows a man in glasses and headphones, wearing a brown hat and shirt doing a tutorial on how to play a PVC flute.</t>
  </si>
  <si>
    <t>He takes the flute in his hands and begins playing by moving his fingers along the holes as he blows into the flute.</t>
  </si>
  <si>
    <t>He continues playing the flute till he finishes the tune.</t>
  </si>
  <si>
    <t>v_BlfFKVGQbi8</t>
  </si>
  <si>
    <t>A man plays many games of shuffleboard in a room occupied by other people and many other shuffle boards.</t>
  </si>
  <si>
    <t>A man in a collared shirt and glasses plays shuffleboard with metal pucks and a long wooden shuffleboard in front of a lit scoreboard in a room.</t>
  </si>
  <si>
    <t>The man puts paper towels over his eyes and under his glasses to absorb sweat from the intensity of the shuffleboard game.</t>
  </si>
  <si>
    <t>The man continues to play shuffleboard with a few onlookers in a room with a final visual shot of all but one of the pucks off of the shuffleboard.</t>
  </si>
  <si>
    <t>v_OzjjQ4SZ8PY</t>
  </si>
  <si>
    <t>A woman wearing scuba diving gear is under the water.</t>
  </si>
  <si>
    <t>She explores the ocean floor, looking at the fish and wildlife as a man swims behind her.</t>
  </si>
  <si>
    <t>They give ok signals to the person with the camera.</t>
  </si>
  <si>
    <t>v_Yr6Oyltj6Eo</t>
  </si>
  <si>
    <t>An athletic woman is shown jumping in slow motion over a pole, followed by several more women attempting the same jump.</t>
  </si>
  <si>
    <t>Several more women follow behind performing the jump while the camera captures them in slow motion.</t>
  </si>
  <si>
    <t>v_0tJ7eW6TKKM</t>
  </si>
  <si>
    <t>The people are shown slowly jogging in this marathon.</t>
  </si>
  <si>
    <t>There is only one man who juggles white balls in his hands while jogging backwards throughout the whole thing.</t>
  </si>
  <si>
    <t>In the end, the number of people lessens and there is just one person running and the man who juggles balls.</t>
  </si>
  <si>
    <t>v_SLfZUqfyfjs</t>
  </si>
  <si>
    <t>A man is outside trying to shovel off snow off of their windshield.</t>
  </si>
  <si>
    <t>The man then goes inside and starts talking.</t>
  </si>
  <si>
    <t>Once finished,he walks outside from his garage and test the product of the IceScreen.</t>
  </si>
  <si>
    <t>v_uy7WAwrrNiA</t>
  </si>
  <si>
    <t>People are standing on a field looking up at kites in the sky.</t>
  </si>
  <si>
    <t>A kite is shown in the sky by a tree.</t>
  </si>
  <si>
    <t>A boy chases after the kite and catches is.</t>
  </si>
  <si>
    <t>v_KxWvKN_kGMY</t>
  </si>
  <si>
    <t>Various pictures show people bring canoes off a truck and loading them into the water.</t>
  </si>
  <si>
    <t>The people are then seen fishing as well as riding down the river shown in several pictures.</t>
  </si>
  <si>
    <t>v_WTOTYZOu3MQ</t>
  </si>
  <si>
    <t>The barefoot man serve the ball but missed it.</t>
  </si>
  <si>
    <t>The man served the ball and hit the wall but it just bounced so low that the man can't hit it.</t>
  </si>
  <si>
    <t>The man chase after the ball picke it up and hit, then a shirtless man came up to him and teach him how to serve the ball.</t>
  </si>
  <si>
    <t>v_eS445rQ9SBo</t>
  </si>
  <si>
    <t>A woman is smiling at the camera.</t>
  </si>
  <si>
    <t>The woman takes an iron and starts ironing a white shirt in small circular patterns.</t>
  </si>
  <si>
    <t>The woman uses both hands to push the iron.</t>
  </si>
  <si>
    <t>She resumes ironing with one hand in the same spot.</t>
  </si>
  <si>
    <t>The woman inspects the star on the shirt.</t>
  </si>
  <si>
    <t>The woman then resumes ironing the pattern.</t>
  </si>
  <si>
    <t>The woman peels the paper away from the pattern and then resumes ironing.</t>
  </si>
  <si>
    <t>The woman holds up the the shirt after she is done.</t>
  </si>
  <si>
    <t>v_Gl8HTsP7Jfk</t>
  </si>
  <si>
    <t>A boy speaks to a camera while holding a lacrosse stick and hitting balls into a net.</t>
  </si>
  <si>
    <t>The boy throws several balls into the net over and over again hitting directly into the net.</t>
  </si>
  <si>
    <t>v_I9HV59QQkNw</t>
  </si>
  <si>
    <t>A man is sitting on a couch, drinking a beer from a bottle.</t>
  </si>
  <si>
    <t>He drops the bottle from his mouth, smiling.</t>
  </si>
  <si>
    <t>v_pG0uYjcjBR8</t>
  </si>
  <si>
    <t>People are standing around in a circle.</t>
  </si>
  <si>
    <t>Two people begin fighting in the circle.</t>
  </si>
  <si>
    <t>A man is doing flips outside on the grass.</t>
  </si>
  <si>
    <t>They continue to flight inside the circle.</t>
  </si>
  <si>
    <t>A man is standing outside talking in front of a street.</t>
  </si>
  <si>
    <t>A man does several back flips on the grass.</t>
  </si>
  <si>
    <t>v_u4nL6NXfsak</t>
  </si>
  <si>
    <t>A woman stands talking to the camera, with a dog in front of her.</t>
  </si>
  <si>
    <t>The woman holds the dog's front leg as she talks.</t>
  </si>
  <si>
    <t>The woman brushes the dog with a blue brush.</t>
  </si>
  <si>
    <t>v_B_NQ_U2JEp4</t>
  </si>
  <si>
    <t>A ad for premier packaging appears.</t>
  </si>
  <si>
    <t>A woman is standing in an office in front of a basket filled with small gifts.</t>
  </si>
  <si>
    <t>She shows how she used cellophane and a hair dryer to shrink wrap the gifts in the basket and keep the safe and presentable.</t>
  </si>
  <si>
    <t>v_r1v5fEOypSM</t>
  </si>
  <si>
    <t>A person rides a wake board behind a boat through the choppy water.</t>
  </si>
  <si>
    <t>The wake boarder jumps over the wake of the boat and does flips.</t>
  </si>
  <si>
    <t>The wake boarder does a final jump and falls into the water.</t>
  </si>
  <si>
    <t>v_9N1525JmqZQ</t>
  </si>
  <si>
    <t>A close up of a fireplace is seen with the camera moving around the front.</t>
  </si>
  <si>
    <t>The camera zooms in on the pit and shows a man kneeling own in front.</t>
  </si>
  <si>
    <t>The man lays plaster out on the front and begins putting tiling down over the plaster.</t>
  </si>
  <si>
    <t>v_q7Pp1TAgv3I</t>
  </si>
  <si>
    <t>The video pans into several shots of people performing arm wrestling matches and screaming afterwards.</t>
  </si>
  <si>
    <t>Many people are seen playing with one another and screaming to the crowd after their performance.</t>
  </si>
  <si>
    <t>v_TwQQPCjT_A4</t>
  </si>
  <si>
    <t>A man and a woman are sitting behind a table.</t>
  </si>
  <si>
    <t>Players are playing soccer on dirt, outside.</t>
  </si>
  <si>
    <t>Fans and players cheer or celebrate.</t>
  </si>
  <si>
    <t>v_Uru0CastJqU</t>
  </si>
  <si>
    <t>A person is seen walking forward and jumping up and down and diving in a pool.</t>
  </si>
  <si>
    <t>The same person is shown several more times performing various dives off a high board while the camera captures him from several angles.</t>
  </si>
  <si>
    <t>v_1GXQLnTalcg</t>
  </si>
  <si>
    <t>A video tutorial plays with a woman talking in the background about how to brush your teeth.</t>
  </si>
  <si>
    <t>She lists out the tools you need and steps to brush.</t>
  </si>
  <si>
    <t>A man opens a bottle and puts toothpaste on it.</t>
  </si>
  <si>
    <t>He begins brushing his teeth following the woman's instructions.</t>
  </si>
  <si>
    <t>The man rinses his mouth out with water and smiles with the woman's voice.</t>
  </si>
  <si>
    <t>v_d1JA5V3hO3Q</t>
  </si>
  <si>
    <t>A man talks in a blue room then sprays a toy car and pretends to wash it.</t>
  </si>
  <si>
    <t>We see a title screen and people in suits wash cars as a joke.</t>
  </si>
  <si>
    <t>A man and a small boy with high powered hoses wash cars followed by cheerleaders.</t>
  </si>
  <si>
    <t>We see a black van with people getting out and a man in a top hat touch the car.</t>
  </si>
  <si>
    <t>The people get in the black van and drive away adn teh car owners stand on the street.</t>
  </si>
  <si>
    <t>We then see the ending scene.</t>
  </si>
  <si>
    <t>v_FsQWaEejutU</t>
  </si>
  <si>
    <t>A man is smoking a pipe and blowing smoke rings.</t>
  </si>
  <si>
    <t>The man uses profanity and flips the camera off.</t>
  </si>
  <si>
    <t>Another man is standing by watching him.</t>
  </si>
  <si>
    <t>v_ZwDfAhQVKLQ</t>
  </si>
  <si>
    <t>A person is seen walking into frame in a dark room and walks down a long set of stairs.</t>
  </si>
  <si>
    <t>A man is seen in the corner moving back and fourth on exercise equipment.</t>
  </si>
  <si>
    <t>A woman then speaks to the man as he continues rowing and showing a close up of the machine.</t>
  </si>
  <si>
    <t>v_aEyTdUOp-qs</t>
  </si>
  <si>
    <t>A man walks up with a mop and bucket.</t>
  </si>
  <si>
    <t>He takes them up out of the bucket and begins to mop the floor.</t>
  </si>
  <si>
    <t>After a moment she begins to pretend that he is dancing with the mop.</t>
  </si>
  <si>
    <t>v_jfnFrt9nfSo</t>
  </si>
  <si>
    <t>A man in a blue shirt is playing basketball on a court.</t>
  </si>
  <si>
    <t>He shoots at the hoop and misses it.</t>
  </si>
  <si>
    <t>A person in a white shirt is standing behind them on a tennis court.</t>
  </si>
  <si>
    <t>v_CCL8kqQMCRw</t>
  </si>
  <si>
    <t>A young boy attempts to break open a pinata at his birthday party inside a garage.</t>
  </si>
  <si>
    <t>Another boy nearly walks into the range of the boy's stick but is saved by an adult.</t>
  </si>
  <si>
    <t>The boy continues bashing the pinata before taking a break and handing the stick to another boy.</t>
  </si>
  <si>
    <t>v_M-IRMq2DmY0</t>
  </si>
  <si>
    <t>A brunette woman is sitting in a bubble bath with one leg out shaving it with a pink razor.</t>
  </si>
  <si>
    <t>The woman goes up one stroke of the razor and begins again.</t>
  </si>
  <si>
    <t>She repeats this process shaving up the leg and beginning again a few times around her leg.</t>
  </si>
  <si>
    <t>v__4wEUsTft44</t>
  </si>
  <si>
    <t>In a blue room two men are using tools and fixing up the carpet.</t>
  </si>
  <si>
    <t>It seems like they just put in new carpet and now they are making sure it is held down correctly.</t>
  </si>
  <si>
    <t>They use a nail gun of some type to nail the ends of the corner.</t>
  </si>
  <si>
    <t>One of the men walks around checking to see if anything is missed.</t>
  </si>
  <si>
    <t>v_ZLXhlWhrkno</t>
  </si>
  <si>
    <t>We see a clearing in the woods.</t>
  </si>
  <si>
    <t>We zoom in on a buck walking in the woods.</t>
  </si>
  <si>
    <t>The buck stops and looks left, then right.</t>
  </si>
  <si>
    <t>The buck is drinking from a puddle the runs off startled.</t>
  </si>
  <si>
    <t>The buck stands in the clearing.</t>
  </si>
  <si>
    <t>A man is working with a bow while another films the animal.</t>
  </si>
  <si>
    <t>The hunter shoots the animal with a bow and it dies slowly.</t>
  </si>
  <si>
    <t>The hunter is photographed with the dead animal.</t>
  </si>
  <si>
    <t>v_eCd8x8KqxKQ</t>
  </si>
  <si>
    <t>Several shots of a casino are shown as well as people getting passes and walking around the inside.</t>
  </si>
  <si>
    <t>The camera pans around several tables of games being played as well as slot machines and people playing with one another.</t>
  </si>
  <si>
    <t>v_ISJodiRZ_uo</t>
  </si>
  <si>
    <t>A girl with braided hair asks a worker at an equestrian center some questions.</t>
  </si>
  <si>
    <t>The woman responds and talks about horse care.</t>
  </si>
  <si>
    <t>The girl brushes the horse's mane.</t>
  </si>
  <si>
    <t>The two continue going over horse care.</t>
  </si>
  <si>
    <t>The girl and woman both work on brushing techniques.</t>
  </si>
  <si>
    <t>The woman brushes the horses tail is lots of care as the girl watches.</t>
  </si>
  <si>
    <t>v_xZdCmghMcvU</t>
  </si>
  <si>
    <t>A woman stands by watching a chef removing leaves from a piece of lettuce.</t>
  </si>
  <si>
    <t>The chef shows the woman how to cut some parts of the lettuce.</t>
  </si>
  <si>
    <t>The chef and the woman have a long conversation regarding the lettuce.</t>
  </si>
  <si>
    <t>v_AjohJX4RedM</t>
  </si>
  <si>
    <t>A woman is sitting on a rowing machine.</t>
  </si>
  <si>
    <t>The woman places her feet into the straps of the rowing machine.</t>
  </si>
  <si>
    <t>The woman holds onto the rowing cables and rows.</t>
  </si>
  <si>
    <t>The woman stops and demonstrates the motor area of the machine.</t>
  </si>
  <si>
    <t>Back sitting on the rowing machine, she rows one more time and places the cables down.</t>
  </si>
  <si>
    <t>The woman removes her feet from the straps.</t>
  </si>
  <si>
    <t>v_C4QrTmNDADY</t>
  </si>
  <si>
    <t>A man is seen laying on the floor and begins demonstrating how to properly perform dance moves as well as the wrong way to perform them.</t>
  </si>
  <si>
    <t>The man continues moving all around the floor and leads into several clips of people performing the move.</t>
  </si>
  <si>
    <t>v_dXTfrVz9A9o</t>
  </si>
  <si>
    <t>A man cleans the snow with a self lifted shovel that has a rod to impulse up the shovel.</t>
  </si>
  <si>
    <t>The man puts the shovel in the snow and it lifts and throws snow.</t>
  </si>
  <si>
    <t>The man shovel heavy hardened snow from the ground effortlessly.</t>
  </si>
  <si>
    <t>The person shows the shovel that has behind a weight lifter.</t>
  </si>
  <si>
    <t>v_TSVdiNxLu50</t>
  </si>
  <si>
    <t>Several shots are shown of people walking on a beach and leads into many people surfing on the water.</t>
  </si>
  <si>
    <t>Dozens of people are shown in various clips riding along waves in the water as well as people sitting in the water from behind.</t>
  </si>
  <si>
    <t>v_MMnTMB6AmuU</t>
  </si>
  <si>
    <t>A woman stands up and starts jump roping.</t>
  </si>
  <si>
    <t>The rest of the women stand up and join her jump roping.</t>
  </si>
  <si>
    <t>They do a hand stand on the ground in front of them.</t>
  </si>
  <si>
    <t>v_Lv6ypQZWIEg</t>
  </si>
  <si>
    <t>A young child walks across some sand carrying equipment around her waist.</t>
  </si>
  <si>
    <t>While on a school field, she throws a stick.</t>
  </si>
  <si>
    <t>Back on the sand, she continues walking with the equipment attached to her waist.</t>
  </si>
  <si>
    <t>She throws a pebble into the beach.</t>
  </si>
  <si>
    <t>On a school track, she throws a stick.</t>
  </si>
  <si>
    <t>She throws another stick in a grassy field, where her coaches watch on.</t>
  </si>
  <si>
    <t>A man gives her a medal.</t>
  </si>
  <si>
    <t>In a grassy field, she throws a stick.</t>
  </si>
  <si>
    <t>v_MXbwIfqSq_Q</t>
  </si>
  <si>
    <t>A picture of a man is shown and then drawings of human vertebrae.</t>
  </si>
  <si>
    <t>The man in gray out is standing in a room and started to rotate his hands forward and backward.</t>
  </si>
  <si>
    <t>The man is swaying side to side and move his arms in front of him.</t>
  </si>
  <si>
    <t>v_V9ktV85lA9E</t>
  </si>
  <si>
    <t>A man is standing in front of a cat who keeps walking on his wrapping paper.</t>
  </si>
  <si>
    <t>The man pushes the cat down on the paper and folds it around the cat.</t>
  </si>
  <si>
    <t>He then tapes the paper onto the cat, leaving only the head sticking out.</t>
  </si>
  <si>
    <t>He then places a bow on the cat's head.</t>
  </si>
  <si>
    <t>v_S1bEYnNyLZE</t>
  </si>
  <si>
    <t>A mother tries to brush a baby's teeth.</t>
  </si>
  <si>
    <t>The baby takes the toothbrush and tries herself.</t>
  </si>
  <si>
    <t>The baby spits out some of this toothpaste but keeps trying.</t>
  </si>
  <si>
    <t>v_E2sbaDQabkA</t>
  </si>
  <si>
    <t>A black and yellow jump rope lies on the floor while three people are in the background.</t>
  </si>
  <si>
    <t>The title, "Jump Rope Steffisburg", appears on the screen while several people in green shirts run behind.</t>
  </si>
  <si>
    <t>Two young women perform a somersault.</t>
  </si>
  <si>
    <t>A large group of people in green shirts perform various jump rope stunts in a large gymnasium.</t>
  </si>
  <si>
    <t>Someone picks up a yellow and black jump rope from the floor and walks off with it.</t>
  </si>
  <si>
    <t>v_kq7KVmvkYPc</t>
  </si>
  <si>
    <t>A black screen advertises the video.</t>
  </si>
  <si>
    <t>A man is shown lying down while someone shaves his beard.</t>
  </si>
  <si>
    <t>The blade is shown very close to the skin as the man shaves him carefully, rinsing between scrapings.</t>
  </si>
  <si>
    <t>The screen fades to black as the man finishes the shaving.</t>
  </si>
  <si>
    <t>v_sI7qq85QaA0</t>
  </si>
  <si>
    <t>Two males play table tennis in a small room.</t>
  </si>
  <si>
    <t>Another man walks in the background.</t>
  </si>
  <si>
    <t>v_kbK-9Me0BnA</t>
  </si>
  <si>
    <t>A group of women are standing around as one of them is on a camel .</t>
  </si>
  <si>
    <t>The camel lifts up an the trainers and other friends stare on.</t>
  </si>
  <si>
    <t>They seem to be having a great time as the camera pulls back to show them all.</t>
  </si>
  <si>
    <t>They move ahead with the camel very slowly an the lady riding it waves.</t>
  </si>
  <si>
    <t>The video then cuts, showing the camel come to a stop before dropping down to the ground to let the woman off.</t>
  </si>
  <si>
    <t>She pets it and the video ends.</t>
  </si>
  <si>
    <t>v_U-ApHGUtLMA</t>
  </si>
  <si>
    <t>Guys are standing around near a stall.</t>
  </si>
  <si>
    <t>A guy horseback riding chases a cattle.</t>
  </si>
  <si>
    <t>The guy lassoes the cattle and gets off his horse to tie up the cattle's legs.</t>
  </si>
  <si>
    <t>Two men remove the rope around the cattle's neck and legs.</t>
  </si>
  <si>
    <t>The cattle rises and runs away.</t>
  </si>
  <si>
    <t>v_8xYzQMbI5fM</t>
  </si>
  <si>
    <t>A person is seen making marks on a paper using a tool as well as a pencil.</t>
  </si>
  <si>
    <t>He then screws the tools in place of the holes and the camera pans down the finished area.</t>
  </si>
  <si>
    <t>He then wipes down the area, measures out more area, and then rolling the paper down over a tool.</t>
  </si>
  <si>
    <t>Finally he takes a sharp object and runs it all along the paper.</t>
  </si>
  <si>
    <t>v_kRMskyrrRcA</t>
  </si>
  <si>
    <t>A person in a holding a Rubik's Cube.</t>
  </si>
  <si>
    <t>The person starts to solve the Rubik's Cube.</t>
  </si>
  <si>
    <t>The person places the solved Rubik's Cube on the desk and hurriedly click something.</t>
  </si>
  <si>
    <t>The person shows his computer screen.</t>
  </si>
  <si>
    <t>The person picks up the Rubik's Cube and shows each face of the solved Rubik's Cube.</t>
  </si>
  <si>
    <t>v_rC24UspQv14</t>
  </si>
  <si>
    <t>The boy is standing under the tree with blindfold thing to hit the pinata but missed it.</t>
  </si>
  <si>
    <t>A man came up to him and assist him, the boy hit the pinata once.</t>
  </si>
  <si>
    <t>The man rotate the little girl and then let walk a little and the girl hit the pinata.</t>
  </si>
  <si>
    <t>A young man hit the pinata ad the kids are lined up to take their turns to hit the pinata.</t>
  </si>
  <si>
    <t>v_qcaaF0SqVss</t>
  </si>
  <si>
    <t>A wrestler in maroon brief is provoking the black man.</t>
  </si>
  <si>
    <t>The black man attacked the other wrestler but he was knocked down.</t>
  </si>
  <si>
    <t>The wrestler with maroon brief carried the black man and slam him on the floor.</t>
  </si>
  <si>
    <t>v_KNpeiKm3xyM</t>
  </si>
  <si>
    <t>There's a man sitting with the Olympics logo behind him, talking about sports.</t>
  </si>
  <si>
    <t>A group photograph of a many people of different age groups is shown.</t>
  </si>
  <si>
    <t>There are some people playing beach volley ball in the sand on a sunny day with several people watching them.</t>
  </si>
  <si>
    <t>One of the players hits the ball to his opponent by punching it with his fist.</t>
  </si>
  <si>
    <t>Another player returns the ball by kicking it across the net.</t>
  </si>
  <si>
    <t>The players continue playing the game by punching the ball across the net.</t>
  </si>
  <si>
    <t>v_8KxL1itwI3Q</t>
  </si>
  <si>
    <t>An open field is covered in snow and then suddenly a large bear appears on a table and is then put in a box.</t>
  </si>
  <si>
    <t>Martha Stewart then begins taping the box.</t>
  </si>
  <si>
    <t>The box is then placed on top of the counter and wrapping paper is put on both ends to about six inches up the box.</t>
  </si>
  <si>
    <t>More wrapping paper is then pulled out and wrapped around the now covered box in the center.</t>
  </si>
  <si>
    <t>After being taped,several red glitter bows are placed on top of the wrapping paper.</t>
  </si>
  <si>
    <t>On the counter,appears several more rows of rapping paper and tubes.</t>
  </si>
  <si>
    <t>The socks are then placed in a tube and covered in the silver wrapping paper.</t>
  </si>
  <si>
    <t>The woman then takes a circular shaped object and traces it with a pencil and makes squiggles in the middle of it.</t>
  </si>
  <si>
    <t>After they are cut out,they are placed on the end of the tubes and stacked together to give the illusion of fire wood.</t>
  </si>
  <si>
    <t>v_bKEvJveN6k4</t>
  </si>
  <si>
    <t>A group of kids are throwing balls at one another in a bouncy room where the floors are inflatable bounce platforms.</t>
  </si>
  <si>
    <t>The children on the right side of the room throw balls at the children on the left side of the room as balls come flying onto their side of the mat in an effort to hit them.</t>
  </si>
  <si>
    <t>The children hurl and dodge with one child in a blue t-shirt retreating into the far right corner of the bounce room to try to avoid a ball which comes hurling at him from the other side.</t>
  </si>
  <si>
    <t>v_zW_8T8w7304</t>
  </si>
  <si>
    <t>A young child is seen mopping a floor with a mop and moving around all areas of the room.</t>
  </si>
  <si>
    <t>He stops to play with the mop a bit and pushes a box back under a stand.</t>
  </si>
  <si>
    <t>v_a68k87VXX1c</t>
  </si>
  <si>
    <t>A woman in a black shirt is dancing in a room.</t>
  </si>
  <si>
    <t>A small dog on the floor next to her watches.</t>
  </si>
  <si>
    <t>She claps her hands together at the end.</t>
  </si>
  <si>
    <t>v_45Bscg4Qe-I</t>
  </si>
  <si>
    <t>A group of people go to a bowling alley and fail hilariously.</t>
  </si>
  <si>
    <t>A woman talks to the pins and figures out how the pins are set up and replaced.</t>
  </si>
  <si>
    <t>v_XptFota2__4</t>
  </si>
  <si>
    <t>A small group of people are seen sitting around a table speaking to one another while using a hookah and vapor pen at the same time.</t>
  </si>
  <si>
    <t>The men continue smoking and looking into the camera when one starts showing off his body and panning around the room.</t>
  </si>
  <si>
    <t>v_M1hPI8WvySo</t>
  </si>
  <si>
    <t>A tutorial on how to wrap a gift, first you put doe enough wrapping paper and place the gift on top of it to make sure it is a decent size.</t>
  </si>
  <si>
    <t>Then, You fold one of the corners of the wrapping paper into triangles and press it out repeatedly.</t>
  </si>
  <si>
    <t>You would then cut the edges and tape doen the outside of the wrapping so it sticks down.</t>
  </si>
  <si>
    <t>Finally, You put the gift inside of the paper and fold the paper around it nicely and tape it down and you have a pretty wrapped present.</t>
  </si>
  <si>
    <t>v__cZD6JN-SYg</t>
  </si>
  <si>
    <t>Various pictures of men are shown in the beginning of the video followed by several lines of text shown.</t>
  </si>
  <si>
    <t>The men are then seen kicking soccer balls into a goal while they save some and the goalie blocks.</t>
  </si>
  <si>
    <t>v_W4XaqnwD6gU</t>
  </si>
  <si>
    <t>A man is seen playing a violin while the camera pans all around him moving his arms up and down.</t>
  </si>
  <si>
    <t>The man continues to play while others play behind him and the violinist playing and looking at the audience.</t>
  </si>
  <si>
    <t>v_kl_JsmJ84PI</t>
  </si>
  <si>
    <t>A group of people are seen playing a game of soccer in an indoor field while a group of people watch on the sides.</t>
  </si>
  <si>
    <t>People shown fighting in the stands and players walk around watching the fight and the paramedics take a man away.</t>
  </si>
  <si>
    <t>v_L2MfC4jcRo0</t>
  </si>
  <si>
    <t>A screen with text gives details of an event.</t>
  </si>
  <si>
    <t>Boys faces are seen up close in an intense facial expression.</t>
  </si>
  <si>
    <t>Two boys play an intense game of table soccer.</t>
  </si>
  <si>
    <t>The boy wins the game and the other strikes him with a handle of the table tennis game.</t>
  </si>
  <si>
    <t>v_avBlEff5U5U</t>
  </si>
  <si>
    <t>A man is in his front yard going back and forth mowing his lawn.</t>
  </si>
  <si>
    <t>The video then shows him mowing the lawn in a different location than the first location.</t>
  </si>
  <si>
    <t>v_DfpUMDpSbS4</t>
  </si>
  <si>
    <t>A man is seen speaking to the camera while standing behind a set of weights and pointing to his body.</t>
  </si>
  <si>
    <t>The man then bends down and grabs the bar while still speaking to the camera.</t>
  </si>
  <si>
    <t>The man lifts the bar up then back down again while still speaking to the camera.</t>
  </si>
  <si>
    <t>v_yCPeF59MOEk</t>
  </si>
  <si>
    <t>A man in a white tuxedo is led to a pinata by a woman in a wedding dress.</t>
  </si>
  <si>
    <t>He hits at the pinata that keeps moving up and down.</t>
  </si>
  <si>
    <t>v_1RQOgX36Z2E</t>
  </si>
  <si>
    <t>A man is working inside a shop.</t>
  </si>
  <si>
    <t>He rolls a tire over to a piece of equipment.</t>
  </si>
  <si>
    <t>He shows how to mount the tire onto the equipment.</t>
  </si>
  <si>
    <t>v_xlPpP0eVL9A</t>
  </si>
  <si>
    <t>A woman is talking inside an office.</t>
  </si>
  <si>
    <t>She is shown giving a facial treatment to an older woman.</t>
  </si>
  <si>
    <t>She wipes her face down with substances and lotions.</t>
  </si>
  <si>
    <t>v_q53Ajkll_kw</t>
  </si>
  <si>
    <t>A woman in a black dress is playing a bag pipe on stage.</t>
  </si>
  <si>
    <t>The word "Ilbo" is in a red font and scrolls down on the left hand side of the screen.</t>
  </si>
  <si>
    <t>The camera zooms into the woman's fingers.</t>
  </si>
  <si>
    <t>The camera shifts to somebody playing a piano.</t>
  </si>
  <si>
    <t>A band is also playing musical instruments in the background.</t>
  </si>
  <si>
    <t>The camera zooms into the face of the woman playing the bag pipe.</t>
  </si>
  <si>
    <t>The woman finishes playing and the audience applause.</t>
  </si>
  <si>
    <t>v_hYBctolxeqQ</t>
  </si>
  <si>
    <t>a boy sits in his room behind a large drum set.</t>
  </si>
  <si>
    <t>He plays the drums and cymbals gently.</t>
  </si>
  <si>
    <t>He speeds up his tempo and strength as he builds confidence.</t>
  </si>
  <si>
    <t>v_ABMVo0NDhKo</t>
  </si>
  <si>
    <t>A guy is standing on a beach flying a kite.</t>
  </si>
  <si>
    <t>The guy continuously looks away from the kite's position.</t>
  </si>
  <si>
    <t>A man approaches the guy.</t>
  </si>
  <si>
    <t>v_T3XGYHEFVIQ</t>
  </si>
  <si>
    <t>A man is wearing protective gear.</t>
  </si>
  <si>
    <t>He is using a welder and creating a bright light as he works on metal.</t>
  </si>
  <si>
    <t>When he is done, he stops and looks at the camera, showing off the completed welding.</t>
  </si>
  <si>
    <t>v_It2fslENHXs</t>
  </si>
  <si>
    <t>An large outdoor sports field is shown.</t>
  </si>
  <si>
    <t>A man runs and does a successful pole vault.</t>
  </si>
  <si>
    <t>He stands up from the pad and picks up the pole.</t>
  </si>
  <si>
    <t>v_FT_34R0dZnA</t>
  </si>
  <si>
    <t>A camera pans around a park as well as a lake and a man speaking to the camera.</t>
  </si>
  <si>
    <t>The camera pans around a canoe filled with objects and leads into the man padding down and speaking to the camera.</t>
  </si>
  <si>
    <t>More shots are shown of animals nearby as well as a man and woman speaking to the camera.</t>
  </si>
  <si>
    <t>v_b02GzZM5iGI</t>
  </si>
  <si>
    <t>People are playing volleyball on a beach.</t>
  </si>
  <si>
    <t>A girl falls down onto the sand.</t>
  </si>
  <si>
    <t>A girl raises her hands in the air.</t>
  </si>
  <si>
    <t>v_IjKWgD0y4rc</t>
  </si>
  <si>
    <t>A white screen appears with black text that comes in twice on the screen and then scrolls off screen while fading out.</t>
  </si>
  <si>
    <t>Three children in life vests and two supervising adults are on a raft waiting to go rafting.</t>
  </si>
  <si>
    <t>The group rafting down a river with all it's bumps and water splashing.</t>
  </si>
  <si>
    <t>There is a yellow text that comes on screen showing the locations they are at.</t>
  </si>
  <si>
    <t>The children are at the destination as one young girl comes close to the cam and waves at it.</t>
  </si>
  <si>
    <t>A white screen appears and two words appear one in yellow at the top of the sceeen and one in blue at the bottom on the screen and both then move off screen.</t>
  </si>
  <si>
    <t>v_dQs2-z3TIes</t>
  </si>
  <si>
    <t>A woman is on stage speaking to a little girl while holding a microphone.</t>
  </si>
  <si>
    <t>The girl speaks into the microphone, then performs a ballet piece.</t>
  </si>
  <si>
    <t>She dances around the stage for the audience.</t>
  </si>
  <si>
    <t>She falls onto one knee as she completes her performance.</t>
  </si>
  <si>
    <t>v_uug0bhnLgHs</t>
  </si>
  <si>
    <t>A person stirs a large bowl of lemonade.</t>
  </si>
  <si>
    <t>A woman is chopping up a potato.</t>
  </si>
  <si>
    <t>She adds the potato to a large pot of water.</t>
  </si>
  <si>
    <t>She adds lemons and lettuce and cucumbers to the bowl.</t>
  </si>
  <si>
    <t>She mixes it all together in a bowl.</t>
  </si>
  <si>
    <t>v_bM7Tgb1mJfc</t>
  </si>
  <si>
    <t>We see a man instructing another man on shooting arrow.</t>
  </si>
  <si>
    <t>The mans first arrow misses.</t>
  </si>
  <si>
    <t>The man loads another arrow.</t>
  </si>
  <si>
    <t>We see the targets in front of a backdrop.</t>
  </si>
  <si>
    <t>The man hits the backdrop and it collapses.</t>
  </si>
  <si>
    <t>The people all stand around laughing.</t>
  </si>
  <si>
    <t>The instructor walks over to the targets.</t>
  </si>
  <si>
    <t>v_rJKrXQ4v-9s</t>
  </si>
  <si>
    <t>A plume of smoke is shown going across a pair of skis.</t>
  </si>
  <si>
    <t>A man is carving designs, burning them into the wood.</t>
  </si>
  <si>
    <t>He then rakes an iron across the boards, setting the image.</t>
  </si>
  <si>
    <t>v_yATxB9giT34</t>
  </si>
  <si>
    <t>A man is seen speaking into a mike that transitions into a close up of a beer pong table as well as people playing.</t>
  </si>
  <si>
    <t>Shots of beer are poured, people playing rock, paper, scissors, dealing money, and computer screens for music.</t>
  </si>
  <si>
    <t>More people are shown playing beer pong while being interviewed on camera and walking around a room.</t>
  </si>
  <si>
    <t>Several more shots are shown of people dancing, playing pong, fighting, and speaking to one another.</t>
  </si>
  <si>
    <t>v_veaxOUe_8HE</t>
  </si>
  <si>
    <t>Two people are seen speaking to the camera and leads into several clips of people playing volleyball with one another.</t>
  </si>
  <si>
    <t>The people continue to play the sport while others speak to the camera as well as watch on the sides and high five each other.</t>
  </si>
  <si>
    <t>v_WaWkDf6b_j4</t>
  </si>
  <si>
    <t>A man walks along a bare field while a woman walks around beside him.</t>
  </si>
  <si>
    <t>He walks back and fourth preparing to jump and eventually jumps over a pole.</t>
  </si>
  <si>
    <t>A girl claps for him and the same move is shown again in slow motion.</t>
  </si>
  <si>
    <t>v_DVZCBD8-y2I</t>
  </si>
  <si>
    <t>A video shows how to clean snow off a car.</t>
  </si>
  <si>
    <t>A person folds a blue cloth, wrapping it around a snow brush neatly.</t>
  </si>
  <si>
    <t>He then uses the brush to gently wipe snow off a vehicle.</t>
  </si>
  <si>
    <t>The video ends with an advertisement for an auto shop.</t>
  </si>
  <si>
    <t>v_q1e275n6R3c</t>
  </si>
  <si>
    <t>A pregnant lady prepares a pumpkin for decoration and carving.</t>
  </si>
  <si>
    <t>The lady places wax paper over the pumpkin and pokes holes over the wax paper drawing.</t>
  </si>
  <si>
    <t>The lady removes the wax paper and proceeds to cut out the the hole tracings of the mouth and eyes that was traced with the punched out holes from the wax paper.</t>
  </si>
  <si>
    <t>The completed carved pumpkins are displayed.</t>
  </si>
  <si>
    <t>v_IFmtu3Sd7iI</t>
  </si>
  <si>
    <t>Several scuba divers are seen swimming around the ocean while sharks move around them underneath.</t>
  </si>
  <si>
    <t>The camera continuously follows the sharks around the water and the scuba divers interact with one another while they move.</t>
  </si>
  <si>
    <t>v_aINlF3UDJ7s</t>
  </si>
  <si>
    <t>A blue screen appears and on the left side a clear bottle is pouring liquid into a clear martini glass and white words appear on the left side of the screen that say "Girls Mixing Drinks dot com Notre Dame Pick-Me-Up with Stacey".</t>
  </si>
  <si>
    <t>A brunette woman wearing all black is standing in a bar talking, she picks up a clear drinking glass, puts ice in it and touches all the ingredients she's going to use while talking about them.</t>
  </si>
  <si>
    <t>The woman then begins to measure out each alcohol into a shot glass, pours them into the cup, squirts liquid from a clear bottle into the cup, pours some soda from a can into the cup, pours juice from a box into the cup, then adds a straw to the cup and pushes the cup to the front of the counter.</t>
  </si>
  <si>
    <t>Throughout the whole time she's making the drink the website pops up from time to time at the bottom of the screen, then the outro screen appears with a two tone red diagonal background of thick stripes and the website in the middle reads www dot GirlsMakingDrinks dot com.</t>
  </si>
  <si>
    <t>v_1SQAnbh_lcM</t>
  </si>
  <si>
    <t>A woman is standing behind a counter sharpening a knife.</t>
  </si>
  <si>
    <t>She pours water on the knife sharpener and continues sharpening the knife.</t>
  </si>
  <si>
    <t>She picks up a knife sharpener and sharpens the knife.</t>
  </si>
  <si>
    <t>v_sCTmSj_tsDQ</t>
  </si>
  <si>
    <t>Men appear in a field with bulls and the words "Bullfight Laos" appear on screen.</t>
  </si>
  <si>
    <t>The men gather around the field where two bulls are.</t>
  </si>
  <si>
    <t>The bulls are encouraged to fight with their horns while the people watch.</t>
  </si>
  <si>
    <t>v_NK0WynwKc34</t>
  </si>
  <si>
    <t>A small baby hits a bongo in a room.</t>
  </si>
  <si>
    <t>The baby stops and takes something off his hand.</t>
  </si>
  <si>
    <t>The baby goes back to playing the drum.</t>
  </si>
  <si>
    <t>v_jGoW5WVAtX4</t>
  </si>
  <si>
    <t>We see the outside of a restaurant with a snow like graphic on the bottom.</t>
  </si>
  <si>
    <t>We see men inside the bar and one man speaking into a microphone.</t>
  </si>
  <si>
    <t>We then see ladies playing beer pong against a team of men.</t>
  </si>
  <si>
    <t>Two teams of men play beer pong together as a man stands behind them holding a camera in the air.</t>
  </si>
  <si>
    <t>We switch and see other teams in the room playing and see two ladies talking.</t>
  </si>
  <si>
    <t>We then see a lady toss a ball across a table.</t>
  </si>
  <si>
    <t>v_uavao6fYoMM</t>
  </si>
  <si>
    <t>A drawing of a court is shown on the screen.</t>
  </si>
  <si>
    <t>We see a game of soccer in progress on an outdoor field.</t>
  </si>
  <si>
    <t>The men are kicking the ball away from each other.</t>
  </si>
  <si>
    <t>They try to get the ball into the opposing goals.</t>
  </si>
  <si>
    <t>v_8C6iIFY47Kc</t>
  </si>
  <si>
    <t>Two wrestlers meet at a table inside a wrestling ring.</t>
  </si>
  <si>
    <t>They sit at the table and hold each other's hands, prepared to arm wrestle.</t>
  </si>
  <si>
    <t>The men try hard to beat each other, pushing hard on each side.</t>
  </si>
  <si>
    <t>One wins, then they get up and start fighting inside the ring.</t>
  </si>
  <si>
    <t>One is kicked out of the ring, leaving the giant as the victor.</t>
  </si>
  <si>
    <t>v_4bw6ocN0jGU</t>
  </si>
  <si>
    <t>A dog is running by a lake.</t>
  </si>
  <si>
    <t>A man is wake boarding behind a boat.</t>
  </si>
  <si>
    <t>A person is sitting in the water.</t>
  </si>
  <si>
    <t>v_k2vkwy2vdP4</t>
  </si>
  <si>
    <t>A man is riding a water motorboat in the ocean.</t>
  </si>
  <si>
    <t>Beside him appears a man on a surfboard.</t>
  </si>
  <si>
    <t>The man on the surfboard speeds past, leaving him in his wake.</t>
  </si>
  <si>
    <t>v_aS6Qv9N5mG0</t>
  </si>
  <si>
    <t>A small group of people are seen playing games with one another in a large gymnasium.</t>
  </si>
  <si>
    <t>Many people watch on the sidelines an the people pass a bad mitten back and fourth to one another.</t>
  </si>
  <si>
    <t>v_gCx-ucvPhDY</t>
  </si>
  <si>
    <t>A man in a black Speedo is standing on a diving board with his hand down on his sides.</t>
  </si>
  <si>
    <t>He then begins running and does two hops to get to the end of the board.</t>
  </si>
  <si>
    <t>Finally,he is at the end of the diving board and does a flip into the water as the crowd on the side watches.</t>
  </si>
  <si>
    <t>v_6dJrQV3Jzbw</t>
  </si>
  <si>
    <t>A large group of people are seen running down a field playing a game of lacrosse.</t>
  </si>
  <si>
    <t>The people hit the ball all along the field while a ref watches them on the side.</t>
  </si>
  <si>
    <t>The group continue to play together while the camera moves back and fourth.</t>
  </si>
  <si>
    <t>v_BNa85xIhNqA</t>
  </si>
  <si>
    <t>A large kite is seen flying over a beach with people wandering around on the sides.</t>
  </si>
  <si>
    <t>A man is seen flying the large kite while others watch him on the side.</t>
  </si>
  <si>
    <t>Another kite is shown flying beside his and leads into a show of the ocean.</t>
  </si>
  <si>
    <t>v_ZN9kbYULUtw</t>
  </si>
  <si>
    <t>A young boy is seen stretching in a circle while taking his shirt off and looking off into the distance.</t>
  </si>
  <si>
    <t>The boy then begins performing various martial arts in front of a large crowd.</t>
  </si>
  <si>
    <t>The boy continues kicking and spinning around while ending to bow to the camera.</t>
  </si>
  <si>
    <t>v_Gi9aPJOgn6M</t>
  </si>
  <si>
    <t>A car commercial begins with numerous people washing a vehicle as it goes through a professional car wash.</t>
  </si>
  <si>
    <t>The people stand in a group, waving their rags in the air at the camera, as if to say goodbye.</t>
  </si>
  <si>
    <t>Then it cuts to a final screen advertising the name of the service.</t>
  </si>
  <si>
    <t>v_N1c3C_Npr-E</t>
  </si>
  <si>
    <t>A police officer is riding a horse down the street very slowly.</t>
  </si>
  <si>
    <t>Many bystanders are walking by, cars are passing and casually moving along.</t>
  </si>
  <si>
    <t>its just a normal day riding down the street protecting serving, making sure no crimes are being committed.</t>
  </si>
  <si>
    <t>He rides with one of his hands on his gun and the other steering the horse.</t>
  </si>
  <si>
    <t>v_vjVtKL3xd8w</t>
  </si>
  <si>
    <t>We see a green opening screen.</t>
  </si>
  <si>
    <t>We see a ladies hair in a close up.</t>
  </si>
  <si>
    <t>A lady speaks while sitting on a couch.</t>
  </si>
  <si>
    <t>We see a lady putting a roller in her hair.</t>
  </si>
  <si>
    <t>We then see the finished product.</t>
  </si>
  <si>
    <t>v_yeQDfh6K6Sc</t>
  </si>
  <si>
    <t>A man turns on a camera.</t>
  </si>
  <si>
    <t>A man in a black shirt is squatting on a couch and smoking hookah.</t>
  </si>
  <si>
    <t>The man attempts to blow smoke rings.</t>
  </si>
  <si>
    <t>The man blows smoke directly at the camera.</t>
  </si>
  <si>
    <t>The man again proceeds to blow smoke directly at the camera.</t>
  </si>
  <si>
    <t>The man reaches to turn the camera off.</t>
  </si>
  <si>
    <t>v_QJmoA3byOzo</t>
  </si>
  <si>
    <t>The camera zooms in to show the car's front right wheel.</t>
  </si>
  <si>
    <t>The camera zooms out to show the man spraying the car with soap.</t>
  </si>
  <si>
    <t>The camera zooms in again to show the soap running down the back of the car, then the camera moves to show the left side of the car.</t>
  </si>
  <si>
    <t>Then two men spray water on the car to wash the soap off.</t>
  </si>
  <si>
    <t>v_J_SD_hhGET8</t>
  </si>
  <si>
    <t>A woman walks to the middle of the room.</t>
  </si>
  <si>
    <t>She performs belly dancing moves.</t>
  </si>
  <si>
    <t>She extends her fingers out and finishes her dancing.</t>
  </si>
  <si>
    <t>v_Us795clHJmw</t>
  </si>
  <si>
    <t>A woman spins a blindfold person holding a stick on front a piñata.</t>
  </si>
  <si>
    <t>Then, the person hits the strong, while the piñata is moving.</t>
  </si>
  <si>
    <t>The person laugh and the woman approach her.</t>
  </si>
  <si>
    <t>v_w8rTULZCkzk</t>
  </si>
  <si>
    <t>An introduction is shown for a video about how to clean running spikes.</t>
  </si>
  <si>
    <t>A guy explains that he will clean the spikes while showing the dirt on the spikes.</t>
  </si>
  <si>
    <t>He begins by brushing mud off the spikes into a sink.</t>
  </si>
  <si>
    <t>He puts a small amount of water into the sink and continues scrubbing.</t>
  </si>
  <si>
    <t>He takes them out of the sink and puts some newspaper inside the shows to help them dry.</t>
  </si>
  <si>
    <t>v_k5vE0ehf5TA</t>
  </si>
  <si>
    <t>An individual uses a vacuum cleaner hose to play with a dog.</t>
  </si>
  <si>
    <t>The camera switches to a more side view of the dog.</t>
  </si>
  <si>
    <t>The camera switches to a more top down view of the dog.</t>
  </si>
  <si>
    <t>v_cvuSpqwxRYE</t>
  </si>
  <si>
    <t>A man dips a sponge into a bucket.</t>
  </si>
  <si>
    <t>He uses the sponge to wipe black mud all over a boy.</t>
  </si>
  <si>
    <t>Other people are covering people in paint.</t>
  </si>
  <si>
    <t>They are preparing for the running of the bulls in spain.</t>
  </si>
  <si>
    <t>v_8ycO15nH8YM</t>
  </si>
  <si>
    <t>We see a title screen on white.</t>
  </si>
  <si>
    <t>A lady has a cake turned upside down she puts back in the tray.</t>
  </si>
  <si>
    <t>The lady slices parts of the cake and flips it again.</t>
  </si>
  <si>
    <t>The lady cuts the edges off the cake.</t>
  </si>
  <si>
    <t>The lady moves everything and brings it back.</t>
  </si>
  <si>
    <t>v_4EoFt8F3_nw</t>
  </si>
  <si>
    <t>A man is seen walking beside a hedge in a public area with a dog beside him.</t>
  </si>
  <si>
    <t>The dog is seen walking on it's two legs and hops down in the end.</t>
  </si>
  <si>
    <t>v_cjFHlsWZY4c</t>
  </si>
  <si>
    <t>Someone is drawing on tape and cutting it out.</t>
  </si>
  <si>
    <t>They dip a paint brush in paint and paint it put it on a sponge.</t>
  </si>
  <si>
    <t>They put that on their nail and put a top coat on.</t>
  </si>
  <si>
    <t>They put glitter over the heart on the nail.</t>
  </si>
  <si>
    <t>v_r8RJSDKy9iA</t>
  </si>
  <si>
    <t>A young girl has several people holding her eye open while another tries to put in a contact lens.</t>
  </si>
  <si>
    <t>They cannot get the lens in at the eye at first and try over and over again.</t>
  </si>
  <si>
    <t>They eventually succeed in getting the lens in but the girl stands up as thers laugh.</t>
  </si>
  <si>
    <t>v_4mRdgV8t4KY</t>
  </si>
  <si>
    <t>People are riding horses in an indoor arena.</t>
  </si>
  <si>
    <t>People are sitting outside the arena watching them.</t>
  </si>
  <si>
    <t>They stop the horses and the girl turns around.</t>
  </si>
  <si>
    <t>v_H8aW-6HhMBA</t>
  </si>
  <si>
    <t>A man and a woman are sitting in Hooters the restaurant,the female is an employee and the guy is a regular customer.</t>
  </si>
  <si>
    <t>He grabs a beer and then kisses the girls.</t>
  </si>
  <si>
    <t>He tries three more times and he is successful but the third girl was by accident and she hits the guy and becomes extremely upset by it.</t>
  </si>
  <si>
    <t>The male does it again and more girls in the restaurant begins to kiss him.</t>
  </si>
  <si>
    <t>v_hANXaoStVR0</t>
  </si>
  <si>
    <t>There's a man in the swimming pool playing water polo.</t>
  </si>
  <si>
    <t>He is in the pool playing water polo with a yellow ball and two other people.</t>
  </si>
  <si>
    <t>He throws the ball across and the people sitting by the pool and watching him play cheer loudly.</t>
  </si>
  <si>
    <t>v_6mrjcnKVJyY</t>
  </si>
  <si>
    <t>Two men are seen wearing boxing gloves and punching and kicking one another.</t>
  </si>
  <si>
    <t>The men continue going back and fourth with each other and a text appears at the end of the video.</t>
  </si>
  <si>
    <t>v_VshQp9mHeh4</t>
  </si>
  <si>
    <t>A boy runs into the shot and kicks a soccer ball.</t>
  </si>
  <si>
    <t>The ball lobs toward a crowd in a park.</t>
  </si>
  <si>
    <t>Few other boys try to catch the moving ball.</t>
  </si>
  <si>
    <t>One boy eventually kicks the ball back toward the camera.</t>
  </si>
  <si>
    <t>A girl comes in from the sidelines and kicks the ball back toward the crowd of boys and the kids continue this cycle of kicking.</t>
  </si>
  <si>
    <t>v_SOkS5d8GjZ4</t>
  </si>
  <si>
    <t>A man and a woman are shown sitting at a table with a cigarette in her mouth and their arms crossed at one another.</t>
  </si>
  <si>
    <t>They begin arm wrestles and the girl with the cigarette beats the man.</t>
  </si>
  <si>
    <t>v_ZVKUKjVYwF8</t>
  </si>
  <si>
    <t>A person is seen moving down a set of stairs and holding out various measuring items.</t>
  </si>
  <si>
    <t>The man kneels down and begins putting carpeting down on the floor as well as on the stairs.</t>
  </si>
  <si>
    <t>The man finishes putting the carpet down and the camera zooming in on his work.</t>
  </si>
  <si>
    <t>v_jNGa0jPAMjI</t>
  </si>
  <si>
    <t>A seated man looks at a clipboard.</t>
  </si>
  <si>
    <t>The man begins smoking from a large pipe.</t>
  </si>
  <si>
    <t>The camera pans down to show the various items on the table before him.</t>
  </si>
  <si>
    <t>The camera pans back up to the man.</t>
  </si>
  <si>
    <t>v_aEWVDbV76_Q</t>
  </si>
  <si>
    <t>People sail in a boat in a river, and a man pulls a string of a person that sets up to perform water ski.</t>
  </si>
  <si>
    <t>Then, the person water ski behind the boat while people watch.</t>
  </si>
  <si>
    <t>The person falls in the water, but stands again and continues doing water ski.</t>
  </si>
  <si>
    <t>A boat appears in the river behind the person, while the person water ski.</t>
  </si>
  <si>
    <t>The person falls again in the water, the people in the boat laugh and a man does thumbs up.</t>
  </si>
  <si>
    <t>v_1TWdrO8cCxA</t>
  </si>
  <si>
    <t>A girl with a jump rope is in athletic shorts and a t-shirt, holding a jump-rope.</t>
  </si>
  <si>
    <t>She begins to preform complicated stunts, such as hand-stands, flips, and the splits while jumping rope.</t>
  </si>
  <si>
    <t>She has a brief mishap as she drops the jump rope and then picks it up to resume her performance.</t>
  </si>
  <si>
    <t>Many people are sitting on the sidelines, some watching as an audience, some are judges, some are filming the event.</t>
  </si>
  <si>
    <t>v_p3LvCbxC_ZE</t>
  </si>
  <si>
    <t>A camera pans around a large yard to show two people moving a wooden bar.</t>
  </si>
  <si>
    <t>One man then steps on the bar and begins using a tool to cut down hedges.</t>
  </si>
  <si>
    <t>The man looks back to the speak to the camera and the men move the bar.</t>
  </si>
  <si>
    <t>v_cWU5059m_1Q</t>
  </si>
  <si>
    <t>We see a guy in a gym holding a jump rope.</t>
  </si>
  <si>
    <t>The guy does a jump rope routine.</t>
  </si>
  <si>
    <t>The guy does a flip with the rope.</t>
  </si>
  <si>
    <t>The guy does two push ups.</t>
  </si>
  <si>
    <t>The guys leg gets caught on the rope.</t>
  </si>
  <si>
    <t>The guy jumps high and the rope gets tangled again.</t>
  </si>
  <si>
    <t>The guy finishes and lays on the ground.</t>
  </si>
  <si>
    <t>The guy gets up and walks away.</t>
  </si>
  <si>
    <t>v_Qz_PtO18pXE</t>
  </si>
  <si>
    <t>A woman is posing on a diving board.</t>
  </si>
  <si>
    <t>She springs backward into the water in front of a watching group.</t>
  </si>
  <si>
    <t>v_IIAg_MFuCoY</t>
  </si>
  <si>
    <t>We see a couple dance on a dance floor in a club.</t>
  </si>
  <si>
    <t>We see a man looks in the camera and opens his mouth as a group of people walk past.</t>
  </si>
  <si>
    <t>A man in a black shirt walks past the camera and stands their for a moment.</t>
  </si>
  <si>
    <t>The lady shimmy's and bends down to the ground and back up.</t>
  </si>
  <si>
    <t>The man dips the woman and the smile at the camera.</t>
  </si>
  <si>
    <t>v_wEgt41AJaU4</t>
  </si>
  <si>
    <t>A small group of people are seen running around an outdoor arena and playing paintball with one another.</t>
  </si>
  <si>
    <t>One man runs forward and a large cloud of smoke spins around and a man waves his arms in the air while another helps.</t>
  </si>
  <si>
    <t>v_UaCSf-kW2Ho</t>
  </si>
  <si>
    <t>People are sitting down in chairs playing drums.</t>
  </si>
  <si>
    <t>People are walking past on the sidewalk.</t>
  </si>
  <si>
    <t>A person pushing a stroller walks behind them.</t>
  </si>
  <si>
    <t>v_Ac_8KQGAe0c</t>
  </si>
  <si>
    <t>A cat is standing on a table getting petted.</t>
  </si>
  <si>
    <t>A person takes the cats paw and starts clipping its nails.</t>
  </si>
  <si>
    <t>The person picks the cat up to clip their back paws.</t>
  </si>
  <si>
    <t>The person pets the cat after clipping its nails.</t>
  </si>
  <si>
    <t>v_cM67XJS7yM8</t>
  </si>
  <si>
    <t>A woman is seen looking at the camera then crying and hugging a group of people.</t>
  </si>
  <si>
    <t>Shots of people playing shuffle board are shown followed by people celebrating and the woman speaking to the camera.</t>
  </si>
  <si>
    <t>More shots of celebrating are shown and the team mates all hug one another.</t>
  </si>
  <si>
    <t>v_s4pnHlWlt5k</t>
  </si>
  <si>
    <t>A young boy is standing in the grass swinging a bat at a pinata.</t>
  </si>
  <si>
    <t>People are watching the boy.</t>
  </si>
  <si>
    <t>A girl in a blue swimsuit takes the bat and starts swinging at the pinata.</t>
  </si>
  <si>
    <t>v_fEsTL9tYOVc</t>
  </si>
  <si>
    <t>We see a GoPro and the title card.</t>
  </si>
  <si>
    <t>We see the water and a boat full of people riding on the water and put on wet suits and enter the water.</t>
  </si>
  <si>
    <t>We see the people underwater swimming around.</t>
  </si>
  <si>
    <t>A person is swimming in a crevasse.</t>
  </si>
  <si>
    <t>We see an animal on a rock.</t>
  </si>
  <si>
    <t>We see part of a ship.</t>
  </si>
  <si>
    <t>We are shown various sea life.</t>
  </si>
  <si>
    <t>We see the people near the ship.</t>
  </si>
  <si>
    <t>People are holding a large sea-slug.</t>
  </si>
  <si>
    <t>We see a large underwater turtle on the ground.</t>
  </si>
  <si>
    <t>Bubble float to the surface and the video ends.</t>
  </si>
  <si>
    <t>v_zX9DZ_x9rJ4</t>
  </si>
  <si>
    <t>A black intro screen with white words appear and it notes the location, the people, and the cake they are going to make.</t>
  </si>
  <si>
    <t>A man and woman wearing red aprons appear in a kitchen with a white kitchen aid mixer in front of them and a banner on the screen displaying all the ingredients.</t>
  </si>
  <si>
    <t>The view then changes to a shot from above to show what the man is doing, and the banner on the screen is still showing the ingredients that are being used.</t>
  </si>
  <si>
    <t>The view changes from front to a top angle as the man is mixing the ingredients.</t>
  </si>
  <si>
    <t>The view then changes back to a front view and the man moves the kitchen aid to the side and grabs from the counter behind them, a baked cake and a plate with a slice of cake on it.</t>
  </si>
  <si>
    <t>The outro includes a picture of the man and woman standing together, their names, the name of the cake they made, their address and the news station that aired it.</t>
  </si>
  <si>
    <t>The credits then begin to scroll from bottom to top on a black screen with white letters.</t>
  </si>
  <si>
    <t>v_2NAs35b7fck</t>
  </si>
  <si>
    <t>A group of men are playing soccer.</t>
  </si>
  <si>
    <t>One player kicks the ball into the goal before going for the opposing goal.</t>
  </si>
  <si>
    <t>They continue fighting over the ball for an extended period.</t>
  </si>
  <si>
    <t>v_DzCk5xjSF9o</t>
  </si>
  <si>
    <t>A lady in white stripes shirt is standing next to a young boy, they are standing at the counter, they cut the side of the bread, put spread on it, roll the bread in a plastic, cut the side of the bread, put meat on the bread, shredded the cheese, roll the bread in the plastic.</t>
  </si>
  <si>
    <t>The woman sliced the plastic with bread in it then put it in a rectangle plate.</t>
  </si>
  <si>
    <t>v_VOnP9N7FAT8</t>
  </si>
  <si>
    <t>A woman is sitting down in a chair playing an accordion.</t>
  </si>
  <si>
    <t>She stops playing and puts her arm down.</t>
  </si>
  <si>
    <t>Words flash onto the screen.</t>
  </si>
  <si>
    <t>v_ORVjNqVSLe0</t>
  </si>
  <si>
    <t>A person shaves the back legs of a man using a shaver while he is lying face down.</t>
  </si>
  <si>
    <t>Then the man turns face up, and the person starts to shave the legs.</t>
  </si>
  <si>
    <t>After, the person uses a machine on the legs, and then a picture shows the legs before and after shave.</t>
  </si>
  <si>
    <t>v_Tp4g0ErB2oQ</t>
  </si>
  <si>
    <t>A woman behind a fence watch a group of players in a field.</t>
  </si>
  <si>
    <t>An old lady pass behind the woman.</t>
  </si>
  <si>
    <t>People play hurling in a field.</t>
  </si>
  <si>
    <t>v_nxFbmoV3Idk</t>
  </si>
  <si>
    <t>A man puts a tire over a machine and rotates the rime.</t>
  </si>
  <si>
    <t>Then,the man uses a tool to loose the rime, then the machine removes the rubber tire.</t>
  </si>
  <si>
    <t>After, the man takes glue and brush the tire, and then using the machine he puts the rubber tire in the rim.</t>
  </si>
  <si>
    <t>v_YDz0pyc26Ss</t>
  </si>
  <si>
    <t>Several people are outdoors, one of which is riding and performing tricks on a skateboard.</t>
  </si>
  <si>
    <t>The man goes into a group of people before another man, then another are shown going downhill on the street riding their skateboards.</t>
  </si>
  <si>
    <t>They perform several tricks and flips as they go.</t>
  </si>
  <si>
    <t>The people clap as the winner is announced.</t>
  </si>
  <si>
    <t>v_7NMds32-lMc</t>
  </si>
  <si>
    <t>Men are lifting heavy weights over their head several times.</t>
  </si>
  <si>
    <t>A man in a blue shirt is watching one of the men.</t>
  </si>
  <si>
    <t>A man in a gray shirt is mimicking the person lifting the weight.</t>
  </si>
  <si>
    <t>v_lGRZ3F7tW2c</t>
  </si>
  <si>
    <t>A large group of kids are seen practicing basketball drills on a court and passing the ball quickly to one another.</t>
  </si>
  <si>
    <t>Several boys make baskets while still speaking to one another an the coach moves in and speaks to the boys.</t>
  </si>
  <si>
    <t>He walks away and more drills are shown with the boys.</t>
  </si>
  <si>
    <t>v_Tz3OXEWBSVA</t>
  </si>
  <si>
    <t>Several close ups of plants are shown with a man walking into frame and speaking to the camera.</t>
  </si>
  <si>
    <t>The man continues to speak while pointing to the camera and begins laying out mulch to put all over the plants.</t>
  </si>
  <si>
    <t>The man continues pushing dirt around and ends by watering all the plants.</t>
  </si>
  <si>
    <t>v_YoXZfvf5Teg</t>
  </si>
  <si>
    <t>The intro is a white screen, the website on the top left,the words "Howcast original" appear and afterwards another set of words describing the lesson appear and it reads "Vibrato Beginner Violin Lessons".</t>
  </si>
  <si>
    <t>A woman named Julie Artzt Becker is holding her violin is sitting and talking in front of a blue screen.</t>
  </si>
  <si>
    <t>The woman puts the violin up to her chin and continues to talk.</t>
  </si>
  <si>
    <t>The woman then puts her fingers onto the strings and with her other hand she touches and points on her fingers on the strings as well as taking the bow to her strings every now and then.</t>
  </si>
  <si>
    <t>The woman talks throughout the entire video as she's demonstrating her movements or pointing towards her finger motions.</t>
  </si>
  <si>
    <t>Eventually the woman stops talking and ends with a smile and the words "Howcast original" appear on the white screen.</t>
  </si>
  <si>
    <t>v_nUghBtcrTPA</t>
  </si>
  <si>
    <t>Two men are fighting in an asian art form outside.</t>
  </si>
  <si>
    <t>They are taking swings and hits as well as kicks at each other throughout.</t>
  </si>
  <si>
    <t>v_9IIcG8AiUnA</t>
  </si>
  <si>
    <t>A man is standing inside a kitchen in front of a small table.</t>
  </si>
  <si>
    <t>He shows and talks about olive oil and lemon juice.</t>
  </si>
  <si>
    <t>He uses the items to clean and polish the table of scratches.</t>
  </si>
  <si>
    <t>v_7Iy7Cjv2SAE</t>
  </si>
  <si>
    <t>An intro leads into a woman using a brush to push hair off a large dog.</t>
  </si>
  <si>
    <t>She continues brushing on several other dogs and giving them pets before sitting down and petting them.</t>
  </si>
  <si>
    <t>v_GAEavSUmQRk</t>
  </si>
  <si>
    <t>A man in glasses speaks to the camera.</t>
  </si>
  <si>
    <t>He demonstrates a key around his neck and points to his trumpet.</t>
  </si>
  <si>
    <t>He attaches the key to the trumpet and continues to speak and demonstrate important features of the trumpet.</t>
  </si>
  <si>
    <t>v_PQkambF3iEk</t>
  </si>
  <si>
    <t>Two people are seen fixing up a car and changing the tires on a vehicle.</t>
  </si>
  <si>
    <t>Another man walks into frame as well as several others recording the incident.</t>
  </si>
  <si>
    <t>A person climbs into the car and drives away with everyone watching.</t>
  </si>
  <si>
    <t>v_tPZYyaX63yE</t>
  </si>
  <si>
    <t>A person is holding a red leaf blower.</t>
  </si>
  <si>
    <t>They begin to blow the leaves in the yard.</t>
  </si>
  <si>
    <t>They show the leaf blower again.</t>
  </si>
  <si>
    <t>v_6lyXvR5VtTQ</t>
  </si>
  <si>
    <t>An older man and young woman are seen spinning around a stick while the girl is blindfolded and people sitting around her watch.</t>
  </si>
  <si>
    <t>The girl then swings the stick around the air aiming for the pinata and hitting the object several times.</t>
  </si>
  <si>
    <t>She continues to swing around the air until the end when she finally hits it.</t>
  </si>
  <si>
    <t>v_qZvP5BvVbcg</t>
  </si>
  <si>
    <t>Some people are skiing down a mountain and following each other.</t>
  </si>
  <si>
    <t>They finish by going faster and faster until they finish.</t>
  </si>
  <si>
    <t>v_RWir3muDHg0</t>
  </si>
  <si>
    <t>A lot of men are standing outdoors on a dirt field and there are two teams standing along a rope while a lot of people are standing around watching them.</t>
  </si>
  <si>
    <t>The men wearing yellow and blue shirts pick up the rope and are getting in position to play tug o war.</t>
  </si>
  <si>
    <t>Suddenly the men start pulling on the rope as other men are instructing them and the spectators are cheering.</t>
  </si>
  <si>
    <t>The men in the yellow and blue shirts are easily pulling the rope and they have won while the people around them cheer.</t>
  </si>
  <si>
    <t>v_S-VSs8o98Ho</t>
  </si>
  <si>
    <t>Cigarettes are placed down on a table.</t>
  </si>
  <si>
    <t>Someone shuffles cards onto the table.</t>
  </si>
  <si>
    <t>A man pushes a broom behind them.</t>
  </si>
  <si>
    <t>They continue playing cards at the table.</t>
  </si>
  <si>
    <t>v_tCkHrK6mRME</t>
  </si>
  <si>
    <t>A video leads into several clips of a man performing tricks with a dog.</t>
  </si>
  <si>
    <t>The man continues performing tricks with the dog as the camera captures him from several angles as well as others doing tricks with their dogs.</t>
  </si>
  <si>
    <t>v_Jy8JurvYlH4</t>
  </si>
  <si>
    <t>A little girl walks into a bathroom and starts talking to the camera.</t>
  </si>
  <si>
    <t>The bathroom transforms into a factory.</t>
  </si>
  <si>
    <t>The girl picks up a toothbrush and continues to talk.</t>
  </si>
  <si>
    <t>Toothpaste is applied to a tooth brush.</t>
  </si>
  <si>
    <t>The girl brushes her teeth and the factory changes back to a bathroom.</t>
  </si>
  <si>
    <t>v_HadTAlDM5YM</t>
  </si>
  <si>
    <t>A man is speaking into a microphone.</t>
  </si>
  <si>
    <t>A man wearing a black cape is getting his beard shaved.</t>
  </si>
  <si>
    <t>A person puts a white towel over the man's face.</t>
  </si>
  <si>
    <t>He puts shaving cream on the man's face.</t>
  </si>
  <si>
    <t>He then puts a towel over the mans face again.</t>
  </si>
  <si>
    <t>He then shaves the mans beard with a razor.</t>
  </si>
  <si>
    <t>The man puts a towel on the other man's face again.</t>
  </si>
  <si>
    <t>He takes the cape off and stands up.</t>
  </si>
  <si>
    <t>v_4L0mci9CTPg</t>
  </si>
  <si>
    <t>A couple dances on a ballroom floor with people seated at tables nearby.</t>
  </si>
  <si>
    <t>People nearby take photos of the couple.</t>
  </si>
  <si>
    <t>The couple finishes and leaves the dance floor.</t>
  </si>
  <si>
    <t>v_CbQPrRwG2BM</t>
  </si>
  <si>
    <t>A young girl shows his long hair until the waist.</t>
  </si>
  <si>
    <t>Then, a hairdresser cuts short the hair of the the young girl.</t>
  </si>
  <si>
    <t>After, the girl shows her short and long hair and two braids.</t>
  </si>
  <si>
    <t>v_IjBMVPd2Rcs</t>
  </si>
  <si>
    <t>There's a person dressed in a blue track suit demonstrating how to use a rowing machine.</t>
  </si>
  <si>
    <t>He sits on the bar of the machine and secures his feet into the foot rest.</t>
  </si>
  <si>
    <t>Then he begins by pulling the rope towards his chest while straightening his legs.</t>
  </si>
  <si>
    <t>Then he continues to use the machine in back and forth motion.</t>
  </si>
  <si>
    <t>Then comes to a rest by releasing the rope and leaning backwards.</t>
  </si>
  <si>
    <t>v_uqlErIm56Jg</t>
  </si>
  <si>
    <t>A close up of a sneaker is shown followed by a person turning on a faucet and letting the water run over the shoe.</t>
  </si>
  <si>
    <t>The person then takes show polish and begins scrubbing the shoe with a toothbrush while still running it under the water.</t>
  </si>
  <si>
    <t>The person turns off the water and presents the shoe in the sink.</t>
  </si>
  <si>
    <t>v_spAlIMm8jSg</t>
  </si>
  <si>
    <t>A woman jumps onto two bars and does a gymnastics routine.</t>
  </si>
  <si>
    <t>The audience is watching her perform.</t>
  </si>
  <si>
    <t>She jumps off the bars and lands on the mat with her hands in the air.</t>
  </si>
  <si>
    <t>A replay of her performance is shown.</t>
  </si>
  <si>
    <t>Words are then shown on the screen.</t>
  </si>
  <si>
    <t>v_8ohisLftwZ4</t>
  </si>
  <si>
    <t>Two men play squash in a room.</t>
  </si>
  <si>
    <t>A player goes to find the ball and throw it to his partner.</t>
  </si>
  <si>
    <t>Then, the two men continues playing squash.</t>
  </si>
  <si>
    <t>A man pick up a ball from the floor and continues squash.</t>
  </si>
  <si>
    <t>v__ucD-3rUWWE</t>
  </si>
  <si>
    <t>Two sets of people are in the middle of the woods kayaking,in vibrant white water surrounded by large rocks.</t>
  </si>
  <si>
    <t>They begin to move to their left and fall over the first hill of large rocks and meet in the corner and begin talking.</t>
  </si>
  <si>
    <t>The second person begins to kayak and goes ferociously down the next steep hill of rocks and waits.</t>
  </si>
  <si>
    <t>Shortly after,the man in the blue jacket follows suit and comes behind them.</t>
  </si>
  <si>
    <t>Lastly,they take two pictures with the forest as back drop near a brown sign with white words reading Great Falls Overlook.</t>
  </si>
  <si>
    <t>v_W8ILh7ickB4</t>
  </si>
  <si>
    <t>The person is squeezing the lemons in the squeezer.</t>
  </si>
  <si>
    <t>The person pour the lemon into the white spray bottle and added water.</t>
  </si>
  <si>
    <t>The person spray the lemon juice in a bow and rub the bowl with sponge.</t>
  </si>
  <si>
    <t>v_0xxl3iG3VKY</t>
  </si>
  <si>
    <t>An sportsman launch a javelin in a stadium.</t>
  </si>
  <si>
    <t>The javelin flies in the air and lands in the green track, then a man runs toward it.</t>
  </si>
  <si>
    <t>The sportsman walk raising his hands and clap his hands.</t>
  </si>
  <si>
    <t>A cameraman film the athlete.</t>
  </si>
  <si>
    <t>The gymnast launch a javelin in the stadium.</t>
  </si>
  <si>
    <t>v_ir759AX1EYY</t>
  </si>
  <si>
    <t>Several pictures are shown of people shining shoes for others in various locations using rags and brushes on their shoes.</t>
  </si>
  <si>
    <t>The video continues with many more pictures being shown of people shining shoes and a man standing with an apron in the end.</t>
  </si>
  <si>
    <t>v_keFBEoBy0zY</t>
  </si>
  <si>
    <t>A door with red signs are covering it.</t>
  </si>
  <si>
    <t>A fireman runs outside carrying a board.</t>
  </si>
  <si>
    <t>He sleds down the road behind a car, going around turns and falling down a few times.</t>
  </si>
  <si>
    <t>v_JGxSaJ7XoPQ</t>
  </si>
  <si>
    <t>A girl in a purple blouse sits on a fence post as she is brushing a horse who is tied to the fence.</t>
  </si>
  <si>
    <t>The girl stands on the fence post while reaching to brush the horses mane.</t>
  </si>
  <si>
    <t>The girl continues standing on the fence post leans onto the horses back and brushes the back of the horse as she smile at the camera.</t>
  </si>
  <si>
    <t>The girl mounts onto the horses back as she continues to brush the horses neck and mane.</t>
  </si>
  <si>
    <t>The girl in the purple blouse dismounts the horse and stands on the fence post brushes the horses hind quarter.</t>
  </si>
  <si>
    <t>v_bf3ac4bkIIo</t>
  </si>
  <si>
    <t>Various pictures of ingredients are shown with text across the screen and leads into a woman washing and peeling lemons.</t>
  </si>
  <si>
    <t>She rolls the lemons on a table and cut them into halves.</t>
  </si>
  <si>
    <t>Then she juices the lemon and pours the mixture into a large pot with sugar.</t>
  </si>
  <si>
    <t>She boils the pot and pours the final result into several glasses, enjoying a sip in the end.</t>
  </si>
  <si>
    <t>v_uvnrLngXHh8</t>
  </si>
  <si>
    <t>A boar bristle brush is shown, then a video dvd of how to shave.</t>
  </si>
  <si>
    <t>A man is lying down, lather on his face while a barber shaves his beard.</t>
  </si>
  <si>
    <t>The man then lathers his head and shaves it with a straight razor as well.</t>
  </si>
  <si>
    <t>An image of the dvd is shown again.</t>
  </si>
  <si>
    <t>v_xv6h1JNMX8g</t>
  </si>
  <si>
    <t>A man and a dog are standing in a field surrounded by a group of people.</t>
  </si>
  <si>
    <t>The dog goes on and then the man is seen walking off of the field.</t>
  </si>
  <si>
    <t>However,a lady remains and her and her dog begin doing Frisbee and tricks at the Purina Dog challenge.</t>
  </si>
  <si>
    <t>v_bFm6E4cz5tM</t>
  </si>
  <si>
    <t>A man water ski on front a glacier.</t>
  </si>
  <si>
    <t>The man watch a seal and a whale in the cold water.</t>
  </si>
  <si>
    <t>The man water ski in the water holding a rope pulled by a boat.</t>
  </si>
  <si>
    <t>The man bends to pass a glacier, then he pass over an iceberg.</t>
  </si>
  <si>
    <t>A whale swim in the ocean.</t>
  </si>
  <si>
    <t>After, the man passes over an iceberg and spins, then snowboard over a big iceberg.</t>
  </si>
  <si>
    <t>The man slide from an iceberg and falls in the water, and people stand to watch an iceberg falls.</t>
  </si>
  <si>
    <t>v_8rimo9x4qqw</t>
  </si>
  <si>
    <t>A snowboarder gives a tutorial for how to hit a jump.</t>
  </si>
  <si>
    <t>A few techniques are shown in four parts.</t>
  </si>
  <si>
    <t>v_jVM8v6uJx8c</t>
  </si>
  <si>
    <t>The intro comes onto the screen introducing a video about ho to climb rocks.</t>
  </si>
  <si>
    <t>A man appears on the screen hanging from a harness to give some instructions.</t>
  </si>
  <si>
    <t>The video cuts to him climbing the wall while he continues his narration.</t>
  </si>
  <si>
    <t>The video cuts to another person in a green shirt getting help to try to climb the wall.</t>
  </si>
  <si>
    <t>The video shows a split screen with two views of a man climbing the wall.</t>
  </si>
  <si>
    <t>Then, a woman is shown trying to climb the wall.</t>
  </si>
  <si>
    <t>A warning is displayed on the screen at the end of the video.</t>
  </si>
  <si>
    <t>v_8hrRE3_sWXo</t>
  </si>
  <si>
    <t>We see the opening credits on a black screen.</t>
  </si>
  <si>
    <t>We then see a man coaching a man in a garage and talking to the camera.</t>
  </si>
  <si>
    <t>The man in gray gets on his knee on the blue mat.</t>
  </si>
  <si>
    <t>The man stands and gets on both of his knees.</t>
  </si>
  <si>
    <t>The kneeling man stands up again.</t>
  </si>
  <si>
    <t>We see a title screen and see the kneeling man holding a machine which he pulls down and out.</t>
  </si>
  <si>
    <t>He releases the cord, The credits on the video run.</t>
  </si>
  <si>
    <t>v_rBCf1qjOwCc</t>
  </si>
  <si>
    <t>litle kids are standing in front of a ouse talking to the camera and making lemonade.</t>
  </si>
  <si>
    <t>the kid opens a pot and grab sugar and poured into a cup of water, lemon juice and mix it with a spoon.</t>
  </si>
  <si>
    <t>v_XgbTh1BCciA</t>
  </si>
  <si>
    <t>A man is seen standing ready with a set of bagpipes and begins playing them for the camera.</t>
  </si>
  <si>
    <t>The man continues playing and then stops to look at the camera.</t>
  </si>
  <si>
    <t>v_XqxJsWQqKRk</t>
  </si>
  <si>
    <t>A white screen with blue and white shapes and black words flash across the screen.</t>
  </si>
  <si>
    <t>A smiling black man is in a residential kitchen and he's wearing a santa hat and pouring ingredients into a large bowl.</t>
  </si>
  <si>
    <t>A hand pushes a clear bowl filled with dark figs and a cutting board appears immediately afterwards and the instructions on the screen say to cut the stems off of 1lb of figs and quarter them.</t>
  </si>
  <si>
    <t>While the list of ingredients are shown that include: 1lb Figs, 1lb Raisins, 1lb Cherries, 1lb Currants, 1lb Prunes, Port Wine and Angostura Bitters; they are all poured into a white bucket.</t>
  </si>
  <si>
    <t>Stirring begins immediately and the instructions on the screen say to let it soak for at least two weeks to up to 30 days.</t>
  </si>
  <si>
    <t>30 days later the contents are stirred and put into a food processor and turned into a paste.</t>
  </si>
  <si>
    <t>The man greases a 10x3 round cake pan and covers it with parchment paper.</t>
  </si>
  <si>
    <t>A list and bowls of more ingredients are prepared and poured into a large metal pot and stirred vigorously.</t>
  </si>
  <si>
    <t>A large rectangular metal pan appears with instructions that say to fill it with a pan of hot water.</t>
  </si>
  <si>
    <t>The circular cake pan that was previous greased appears, and the stirred contents are poured into it and placed into the pan of hot water where they're all placed into the oven.</t>
  </si>
  <si>
    <t>When it's done baking and cooled the cake is put on a plate where it's glazed, cut and a slice is put on another plate.</t>
  </si>
  <si>
    <t>v_e_X0K2t8API</t>
  </si>
  <si>
    <t>A blindfolded man swings at a pinata with a bat while others look on from nearby seats.</t>
  </si>
  <si>
    <t>The man succeeds in breaking the pinata.</t>
  </si>
  <si>
    <t>The man removes his blindfold as some of the others approach him.</t>
  </si>
  <si>
    <t>v_WUSEdPfHPoY</t>
  </si>
  <si>
    <t>two men enter a squash court to compete in a game of squash.</t>
  </si>
  <si>
    <t>One man is wearing a white shirt and the other man is wearing a dark shirt.</t>
  </si>
  <si>
    <t>The men begin playing while the game progresses each man serves from the serving box.</t>
  </si>
  <si>
    <t>The game finishes with a hand shake and a wave to the crowd.</t>
  </si>
  <si>
    <t>A girl in a pink blouse enters the squash court as another man enters the court.</t>
  </si>
  <si>
    <t>v_AAQp3iEJxJc</t>
  </si>
  <si>
    <t>Several pictures lead into clips of people riding down a river on canoes and kayaks.</t>
  </si>
  <si>
    <t>Several people are shown riding along the rough rivers while paddling themselves along.</t>
  </si>
  <si>
    <t>The people continue to push themselves along the water while the camera follows their movements.</t>
  </si>
  <si>
    <t>v_X1pGJqP89Nk</t>
  </si>
  <si>
    <t>Women sit outside in small chairs and hand wash clothes in plastic tubs.</t>
  </si>
  <si>
    <t>The lady scrubs a garment on a wooden board.</t>
  </si>
  <si>
    <t>The lady rings out the water from a garment then tosses it aside when done washing it.</t>
  </si>
  <si>
    <t>v_18k_K9cFFJg</t>
  </si>
  <si>
    <t>A boy is skating in a parking lot.</t>
  </si>
  <si>
    <t>He does several moves, dancing and talking.</t>
  </si>
  <si>
    <t>The boy skates around the parking lot on inline skates.</t>
  </si>
  <si>
    <t>v_Z3bPr9odxpw</t>
  </si>
  <si>
    <t>A large group of people are seen walking on a stage with a man speaking to the crowd and leads into the group dancing with one another.</t>
  </si>
  <si>
    <t>The people continue dancing together as the camera captures them from several angles.</t>
  </si>
  <si>
    <t>v_l7EktV5FYGk</t>
  </si>
  <si>
    <t>The camera focuses on a man piloting a sailboat in a harbor environment.</t>
  </si>
  <si>
    <t>The boat's sail dips into the water.</t>
  </si>
  <si>
    <t>The man rights the sailboat and continues.</t>
  </si>
  <si>
    <t>v_AdnLY0a6yn0</t>
  </si>
  <si>
    <t>A man is practicing indoors, he is doing intervals of jumping while running.</t>
  </si>
  <si>
    <t>Once he lands in the sand he goes back to start again.</t>
  </si>
  <si>
    <t>He does this over and over each time starting farther back.</t>
  </si>
  <si>
    <t>Then the practice is over and it's done.</t>
  </si>
  <si>
    <t>v_qRmaZNDyDhA</t>
  </si>
  <si>
    <t>A van drives down a country road and pulls to the side of the road with a flat tire.</t>
  </si>
  <si>
    <t>The driver fumbles with a hand jack and is frustrated.</t>
  </si>
  <si>
    <t>The driver then uses an electric car jack to lift the car wheel up instead.</t>
  </si>
  <si>
    <t>The woman plugs in a an electric hand drill that and uses it to remove the lug nuts.</t>
  </si>
  <si>
    <t>The woman puts a new tire on the car and bolts it in place.</t>
  </si>
  <si>
    <t>The woman lowers the car wheel off of the jack.</t>
  </si>
  <si>
    <t>A man points to the different tools in a tool box.</t>
  </si>
  <si>
    <t>The man hooks a charger up to the car battery.</t>
  </si>
  <si>
    <t>v_iKH8FgONbVw</t>
  </si>
  <si>
    <t>A man kneel on a ball and holds a rod.</t>
  </si>
  <si>
    <t>The man push her body forward pushing the rod.</t>
  </si>
  <si>
    <t>Then, the man bring his body to a straight position, then again bring his body forward.</t>
  </si>
  <si>
    <t>v_5sdUW55eS4M</t>
  </si>
  <si>
    <t>A woman is mopping the white tiled floor with a mop.</t>
  </si>
  <si>
    <t>The woman put the mop in a green bucket, and put it in a strainer to squeeze out the excess water, then she pushed the floor map handle as she squeeze out the water and began mopping the floor, and under the chairs, side of the couch, the liquid on the floor.</t>
  </si>
  <si>
    <t>v_56sQMnSUWaI</t>
  </si>
  <si>
    <t>A black woman does a routine on the balance beam.</t>
  </si>
  <si>
    <t>She spins, jumps, twirls, and flips.</t>
  </si>
  <si>
    <t>She falls off, finishes her routine, and them dismounts to a clapping audience.</t>
  </si>
  <si>
    <t>v_CSk99DHanfg</t>
  </si>
  <si>
    <t>People on a boat suit up in scuba gear then jump into the water.</t>
  </si>
  <si>
    <t>Scuba divers swim through a cave area.</t>
  </si>
  <si>
    <t>A tropical beach is seen.</t>
  </si>
  <si>
    <t>Sea turtles graze and swim in the ocean.</t>
  </si>
  <si>
    <t>Various fish are seen swimming through the reef.</t>
  </si>
  <si>
    <t>A manta ray swims in the ocean over a reef.</t>
  </si>
  <si>
    <t>v_X1E7i3ocxKY</t>
  </si>
  <si>
    <t>A tattoo parlor is shown from the outside then inside.</t>
  </si>
  <si>
    <t>An array of tattoo choices are shown on a wall.</t>
  </si>
  <si>
    <t>An artist is shown drawing and coloring in tattoos on a piece of paper.</t>
  </si>
  <si>
    <t>v_nYxjWwJrHwk</t>
  </si>
  <si>
    <t>A group of people are gathered on a snowy hill.</t>
  </si>
  <si>
    <t>They are walking around with intertubes.</t>
  </si>
  <si>
    <t>They ride the intertubes down the snowy mountainside.</t>
  </si>
  <si>
    <t>v_zqqiiZCmPLw</t>
  </si>
  <si>
    <t>A young ballerina wearing a tutu is seen standing at a ballet barr performing various ballet moves and moving to the floor.</t>
  </si>
  <si>
    <t>She continues moving around the floor dancing and leads to her holding a razor and putting lotion on her legs.</t>
  </si>
  <si>
    <t>She shaves her legs while moving her legs around and continues dancing with the razor in sight.</t>
  </si>
  <si>
    <t>v_vZVnMzH4pkc</t>
  </si>
  <si>
    <t>A man throws a ball into a cup.</t>
  </si>
  <si>
    <t>Another man throws a ball into a cup.</t>
  </si>
  <si>
    <t>The two men pick up a cup and drink it.</t>
  </si>
  <si>
    <t>v_yacDrjVTUak</t>
  </si>
  <si>
    <t>A man is standing in front of wires and puts on a welding helmet.</t>
  </si>
  <si>
    <t>He starts to weld the corner of the room.</t>
  </si>
  <si>
    <t>The man sands the corner where he was welding.</t>
  </si>
  <si>
    <t>He continues to weld in the same corner.</t>
  </si>
  <si>
    <t>The man pushes his helmet up and replaces the wires and sands the same area again.</t>
  </si>
  <si>
    <t>He places his gloves down and shows the weld he finished.</t>
  </si>
  <si>
    <t>v_4YGuIycW_IA</t>
  </si>
  <si>
    <t>A man stands outside holding a bottle of sun screen and talking.</t>
  </si>
  <si>
    <t>He sprays the sun screen on his arm and rubs it in.</t>
  </si>
  <si>
    <t>v_pZsHrSHAOqs</t>
  </si>
  <si>
    <t>A man wearing a blue shirt throws a bowling ball down a bowling alley.</t>
  </si>
  <si>
    <t>The ball strikes both pins and bounces into the adjoining alley striking the pin down there too.</t>
  </si>
  <si>
    <t>A seated man in a red shirt shakes his head.</t>
  </si>
  <si>
    <t>The man in the blue shirt walks back.</t>
  </si>
  <si>
    <t>v_sOL5ksIFX50</t>
  </si>
  <si>
    <t>An introduction comes onto the screen for a video about the winter sport curling.</t>
  </si>
  <si>
    <t>Curlers ar shown as they take different shot and sweep down the ice.</t>
  </si>
  <si>
    <t>The video ends with the closing credits and graphics.</t>
  </si>
  <si>
    <t>v_UO9bRJmfMzI</t>
  </si>
  <si>
    <t>A man scrapes snow off of the side of a car.</t>
  </si>
  <si>
    <t>He then scrapes snow off the hood.</t>
  </si>
  <si>
    <t>He then moves to the other side to remove more snow.</t>
  </si>
  <si>
    <t>Finally he finishes clearing the car.</t>
  </si>
  <si>
    <t>v_qlP8qKtGE7U</t>
  </si>
  <si>
    <t>A little baby boy is sitting in his high chair dipping a fork into a glass of chocolate milk being held by an adult.</t>
  </si>
  <si>
    <t>The adult takes several turn dipping the fork in the cup and licking it.</t>
  </si>
  <si>
    <t>Then he pauses for a minute and starts to play with the fork.</t>
  </si>
  <si>
    <t>v_aVHmi3Kjr_Q</t>
  </si>
  <si>
    <t>A christmas tree is shown followed by several people moving in fast motion hanging up a set of lights.</t>
  </si>
  <si>
    <t>The people move all around the house up and down the ladder and end by turning off the lights to see.</t>
  </si>
  <si>
    <t>v_kI6maggAugg</t>
  </si>
  <si>
    <t>A very slow playing video of a very strong man is shown as he picks up a barbell that has a lot of heavy weights on it, and he squats for a little bit with it at his chest.</t>
  </si>
  <si>
    <t>The man then stands up and holds the barbell to his chest.</t>
  </si>
  <si>
    <t>The man then tries to hold the barbell above his head while he squats but he ends up dropping the barbell and then looks at his hands as if they failed him.</t>
  </si>
  <si>
    <t>v_e1bHYT-G__8</t>
  </si>
  <si>
    <t>A special effect bowling theme intro appears and the text in the middle read "CHRIS HARDWICK'S ALL STAR Celebrity Bowling".</t>
  </si>
  <si>
    <t>There are four men posing in a bowling alley, all are wearing yellow shirts and their team name text say's "nerdist".</t>
  </si>
  <si>
    <t>A group of 4 people appear next and there are 3 men and 1 woman and the team name text say's "WWE Superstars".</t>
  </si>
  <si>
    <t>Clips begin to play and it includes various people bowling, talking, demonstrating bowling, giving interviews, hanging out, laughing, playing around, shaving facial hair, doing pushups, eating, feeding one another and etcetera.</t>
  </si>
  <si>
    <t>Large yellow words on the screen appear and it say's "Team Nerdist Wins!" and the entire team gets up and celebrates.</t>
  </si>
  <si>
    <t>A nerdist team member happily speaks into the camera, and then unhappy member from another team unhappily speaks to the camera.</t>
  </si>
  <si>
    <t>v_q-mpNUe0JNo</t>
  </si>
  <si>
    <t>We see a title card on a black screen.</t>
  </si>
  <si>
    <t>It changes to skateboarding performing tricks.</t>
  </si>
  <si>
    <t>We see a photographer taking pictures.</t>
  </si>
  <si>
    <t>A man jumps a fire hydrant.</t>
  </si>
  <si>
    <t>We see a man jump over stairs up close.</t>
  </si>
  <si>
    <t>A man rides with lots of cameras flashing.</t>
  </si>
  <si>
    <t>The camera slows down and the scene ends.</t>
  </si>
  <si>
    <t>We see a black screen and credits.</t>
  </si>
  <si>
    <t>v_U6Xnw2RGjsI</t>
  </si>
  <si>
    <t>A young man pumps up and down kneeling on both legs.</t>
  </si>
  <si>
    <t>The student jumps up from the kneeling position and lands on top of a stack of mat then lands on the ground.</t>
  </si>
  <si>
    <t>v_HIIUd1osd_I</t>
  </si>
  <si>
    <t>People and dogs are walking down a trail.</t>
  </si>
  <si>
    <t>Pink flowers on a bush are shown.</t>
  </si>
  <si>
    <t>People are walking dogs on leashes down a street.</t>
  </si>
  <si>
    <t>v_ojVY8I3GPa4</t>
  </si>
  <si>
    <t>A bull is in a ring, looking at the bullfighters on the outside.</t>
  </si>
  <si>
    <t>A bunch of fighters walk up behind it.</t>
  </si>
  <si>
    <t>They begin to fight with the bull, sometimes pulling his tail and waving the cape in front of him to make him charge.</t>
  </si>
  <si>
    <t>v_EsGpVb1-W0E</t>
  </si>
  <si>
    <t>A man is seen speaking to the camera while holding a tennis racket and begins hitting the ball against the wall.</t>
  </si>
  <si>
    <t>He continues speaking to the camera and transitions to him hitting the ball.</t>
  </si>
  <si>
    <t>v_eQ9cmxPKvT8</t>
  </si>
  <si>
    <t>A man in a gray sweat shirt is standing at a bus stop.</t>
  </si>
  <si>
    <t>He starts roller blading down a street and doing tricks.</t>
  </si>
  <si>
    <t>The man is skating backwards.</t>
  </si>
  <si>
    <t>v_r7E7cVoJ0JE</t>
  </si>
  <si>
    <t>A man in black pants is standing on a roof and nailing a long shingle onto the roof.</t>
  </si>
  <si>
    <t>A man in blue shorts appears on the right and is also nailing long shingles on the roof.</t>
  </si>
  <si>
    <t>The zoom goes in on the an wearing long black pants and he's nailing shingles onto the outside perimeter of the roof.</t>
  </si>
  <si>
    <t>v_AYhduTuI_zM</t>
  </si>
  <si>
    <t>A woman is seen playing a flute while a man speaks into a microphone and two people play the piano behind her.</t>
  </si>
  <si>
    <t>The woman pauses to speak to the man and the man takes the flute from her and plays.</t>
  </si>
  <si>
    <t>The man hands her back the flute to play and ends by still speaking to her.</t>
  </si>
  <si>
    <t>v_UCZGbQFg6io</t>
  </si>
  <si>
    <t>An athletic man is seen running down a track into a pit.</t>
  </si>
  <si>
    <t>Several more people are seen running down the track into a pit.</t>
  </si>
  <si>
    <t>One after another more people jump.</t>
  </si>
  <si>
    <t>v_9bFevj6bomQ</t>
  </si>
  <si>
    <t>A news anchor in white coat is talking in front of the camera.</t>
  </si>
  <si>
    <t>The player kicked the ball and hit the goal.</t>
  </si>
  <si>
    <t>Two players in the court started to argue and pushed each other and fight, one of the player threw the ball to the other person, the players started to chase and pushed each other, then team in blue uniforms walked away.</t>
  </si>
  <si>
    <t>Team in white uniforms stayed at the court and cheered.</t>
  </si>
  <si>
    <t>v_sN1MPx9hb1I</t>
  </si>
  <si>
    <t>An intro is shown of a woman knitting with her hands while various pictures of cats are shown in the background.</t>
  </si>
  <si>
    <t>Text on how to knit appears while her hands continue moving to demonstrate how to properly knit.</t>
  </si>
  <si>
    <t>v_SH0t2-GgwiQ</t>
  </si>
  <si>
    <t>A woman talks and lie down on the floor, then she bend her legs and lift both.</t>
  </si>
  <si>
    <t>Then, the woman lifts the two legs straight.</t>
  </si>
  <si>
    <t>After, the woman lifts only one leg and the other leg rest bend on the floor.</t>
  </si>
  <si>
    <t>v_JY-H1u1hJZw</t>
  </si>
  <si>
    <t>The little boy sits in the blue kayak holding paddles.</t>
  </si>
  <si>
    <t>Then someone else is shown paddling in the water and there are people standing on shore.</t>
  </si>
  <si>
    <t>The camera turns around a few times to show the trees and the sky.</t>
  </si>
  <si>
    <t>v_0z_dyY_89ys</t>
  </si>
  <si>
    <t>A female news woman is talking to the camera in a news room.</t>
  </si>
  <si>
    <t>Another woman shows off a series of cleaning supplies.</t>
  </si>
  <si>
    <t>She instructs on how to use them, but not to mix certain elements.</t>
  </si>
  <si>
    <t>She pours the liquids into cups and changes into a sprayer bottle for cleaning a kitchen.</t>
  </si>
  <si>
    <t>v_lmYmYYXs1mo</t>
  </si>
  <si>
    <t>A man is standing at a counter with a Smith knife.</t>
  </si>
  <si>
    <t>He demonstrates how to sharpen the knife.</t>
  </si>
  <si>
    <t>He pours oil on the sharpening tool and runs the knife over it.</t>
  </si>
  <si>
    <t>He cleans the tool and puts it away.</t>
  </si>
  <si>
    <t>v_YnFDzvuDJSQ</t>
  </si>
  <si>
    <t>A woman in red is standing beside a table explaining some things.</t>
  </si>
  <si>
    <t>she puts her hand on the christmas tree and talks some more about it.</t>
  </si>
  <si>
    <t>She grabs some red ribbon and begins to tie into a bow.</t>
  </si>
  <si>
    <t>She then goes to place it on to the christmas tree and continues to speak about it.</t>
  </si>
  <si>
    <t>v_MIAhrxkYadk</t>
  </si>
  <si>
    <t>Hair styling tools are shown in closeup.</t>
  </si>
  <si>
    <t>A woman walks down a street an into a salon.</t>
  </si>
  <si>
    <t>The woman interacts with a man in the salon.</t>
  </si>
  <si>
    <t>The man and woman look at pictures of hairstyles together.</t>
  </si>
  <si>
    <t>Scenes of the woman with her hair being cut and styled are shown.</t>
  </si>
  <si>
    <t>The man and woman interact as they examine her new style.</t>
  </si>
  <si>
    <t>A closeup of hair on the floor is shown.</t>
  </si>
  <si>
    <t>v_e5e16U5hnzY</t>
  </si>
  <si>
    <t>A man and women are talking to a camera and the girl demonstrates on how to properly hold a discuss.</t>
  </si>
  <si>
    <t>Secondly she shows the proper stance of throwing the item and throws the discuss how into the air.</t>
  </si>
  <si>
    <t>She demonstrates bending down and spinning with the disk and does one throw full out.</t>
  </si>
  <si>
    <t>The man then tries to throw how the woman did and attempts to throw more and get better.</t>
  </si>
  <si>
    <t>v_Epl3pExUuNs</t>
  </si>
  <si>
    <t>People are sitting in bumper cars crashing into each other.</t>
  </si>
  <si>
    <t>They stop and get out of the cars.</t>
  </si>
  <si>
    <t>A boy in a white shirt walks out with a boy in a blue shirt.</t>
  </si>
  <si>
    <t>v_sUrqd6Qn8Qw</t>
  </si>
  <si>
    <t>A woman is seen sitting on a piece of exercise equipment with her arms and legs strapped in.</t>
  </si>
  <si>
    <t>The woman is seen moving back and fourth on the machine while looking forward.</t>
  </si>
  <si>
    <t>The woman continues to move on the machine while the camera watches her movements.</t>
  </si>
  <si>
    <t>v_u0PEB9bXWpY</t>
  </si>
  <si>
    <t>A lady shows off her fingernails.</t>
  </si>
  <si>
    <t>The lady puts drops of white paint on her finger nails.</t>
  </si>
  <si>
    <t>The lady uses a toothpick and drags it through the white paint.</t>
  </si>
  <si>
    <t>She doe another fingernail with the same process.</t>
  </si>
  <si>
    <t>The lady shows us the flower designs on her nails.</t>
  </si>
  <si>
    <t>v_Mgy7IRETxSk</t>
  </si>
  <si>
    <t>The marching bands are in positioned in the field.</t>
  </si>
  <si>
    <t>Then The band started to play their instruments.</t>
  </si>
  <si>
    <t>The ladies with flags moved their flags up and down and rotate them as the band plays.</t>
  </si>
  <si>
    <t>v_uYqNIBbz4_Q</t>
  </si>
  <si>
    <t>A man is seen standing outside holding a rope and tying it around a tree bark.</t>
  </si>
  <si>
    <t>He then axes the log on the ground and breaks it into two.</t>
  </si>
  <si>
    <t>v_sWEbq5Ry63Q</t>
  </si>
  <si>
    <t>A man is shown point to a bicycle tire and cutting a piece of wire using pliers.</t>
  </si>
  <si>
    <t>He then moves to bars around and spinning the wheel followed by a stick pressing against the tire.</t>
  </si>
  <si>
    <t>He pushes a tube into the tire and adjusts the wires using a device.</t>
  </si>
  <si>
    <t>He tests the wheel out thoroughly and assures the bike is ready to go.</t>
  </si>
  <si>
    <t>v_HKkzII7ap7E</t>
  </si>
  <si>
    <t>A woman is talking to a camera.</t>
  </si>
  <si>
    <t>She picks up a flute and starts playing.</t>
  </si>
  <si>
    <t>She puts the flue down on her lap and continues talking.</t>
  </si>
  <si>
    <t>She puts the flute back up to her mouth and continues to play.</t>
  </si>
  <si>
    <t>She puts the flute back down and nods her head.</t>
  </si>
  <si>
    <t>She puts the flute back up to her lips and plays.</t>
  </si>
  <si>
    <t>v_8UvKQnfXnCk</t>
  </si>
  <si>
    <t>A person is water skiing behind a boat.</t>
  </si>
  <si>
    <t>Another boat is seen in the water behind them.</t>
  </si>
  <si>
    <t>They are going around yellow cones in the water.</t>
  </si>
  <si>
    <t>v_etWdTMJ9_To</t>
  </si>
  <si>
    <t>A man is seen walking down a field followed by several people running back and fourth.</t>
  </si>
  <si>
    <t>The men throw the ball around the yard and continue to run up and down on the grass.</t>
  </si>
  <si>
    <t>v_M0cKfbLMlSA</t>
  </si>
  <si>
    <t>Two pairs of men are getting ready to box.</t>
  </si>
  <si>
    <t>Both pairs of men are seen boxing.</t>
  </si>
  <si>
    <t>Another pair of men are seen talking and gesturing about boxing in the distance.</t>
  </si>
  <si>
    <t>The main pair of boxers take a short break.</t>
  </si>
  <si>
    <t>All groups stop boxing and begin to talk.</t>
  </si>
  <si>
    <t>One of the men begins hanging on a rope and swinging forwards and backwards.</t>
  </si>
  <si>
    <t>v_bCtiTOEf9KI</t>
  </si>
  <si>
    <t>A woman dressed in a black tank top and black tights is doing stomach crunches on a mat.</t>
  </si>
  <si>
    <t>She is exercising on a hardwood floor in the gym.</t>
  </si>
  <si>
    <t>She continues doing her stomach crunches.</t>
  </si>
  <si>
    <t>v_bW4AfWvteIo</t>
  </si>
  <si>
    <t>An intro leads into a close up of a fooseball table and panning around several specs of the table.</t>
  </si>
  <si>
    <t>Two people are seen playing with one another while the camera shows the table in several spots and the boys high fiving one another.</t>
  </si>
  <si>
    <t>v_NNuIaUFYGCE</t>
  </si>
  <si>
    <t>Various pictures of people painting are shown using several tools on hard walls.</t>
  </si>
  <si>
    <t>More pictures are shown of people plastering with various text images shown inside.</t>
  </si>
  <si>
    <t>v_YCHmXwLhs3A</t>
  </si>
  <si>
    <t>A man is assembling a bike on a table.</t>
  </si>
  <si>
    <t>He is putting training wheels on the back wheel of the bike.</t>
  </si>
  <si>
    <t>He puts the front tire on the bike.</t>
  </si>
  <si>
    <t>He puts the handlebars on the bike.</t>
  </si>
  <si>
    <t>He puts the pedals onto the bike.</t>
  </si>
  <si>
    <t>He puts the seat onto the bike.</t>
  </si>
  <si>
    <t>v_kYrztBFfaZ8</t>
  </si>
  <si>
    <t>A man swings a baseball bat.</t>
  </si>
  <si>
    <t>He hits a ball and it goes onto a roof.</t>
  </si>
  <si>
    <t>A man is running and throwing a ball.</t>
  </si>
  <si>
    <t>v_XZ1IuZjsk8A</t>
  </si>
  <si>
    <t>A woman is pouring shots of alcohol into a glass of ice.</t>
  </si>
  <si>
    <t>She shakes the glass and sets it down.</t>
  </si>
  <si>
    <t>She then pours it into another glass and sticks a straw in it.</t>
  </si>
  <si>
    <t>She holds up the drink while talking.</t>
  </si>
  <si>
    <t>v_p8uTRV3u3JM</t>
  </si>
  <si>
    <t>Two groups of men wearing uniforms, one with dark shirts and one with white shirts, are playing on an indoor volleyball court.</t>
  </si>
  <si>
    <t>The man in the darker jersey wearing number 17 dives to the ground to save the ball.</t>
  </si>
  <si>
    <t>A team member wearing a dark shirt spikes the ball but it goes out of bounds and the team with the lighter shirts cheer on while the guy who spiked the ball out of bounds bends over in disappointment.</t>
  </si>
  <si>
    <t>v_QuU6I9w1btI</t>
  </si>
  <si>
    <t>Two vacuums one taller and one is shorter is show.</t>
  </si>
  <si>
    <t>The vacuum is being use on the carpet, wooden floor, on the corner, under the table and on the side of the trash can and then the carpet.</t>
  </si>
  <si>
    <t>A hand is pulling out a tube, used the tube to vacuum the stairs and the corner of the ceiling, then a hand took out the tube and threw away the dust from the transparent tube.</t>
  </si>
  <si>
    <t>A woman is carrying the vacuum and put it in the storage.</t>
  </si>
  <si>
    <t>A woman is walking at the factory, then a person is drawing the vacuum in a white sheet.</t>
  </si>
  <si>
    <t>v_Cdiv-IzHcjQ</t>
  </si>
  <si>
    <t>A person irons a brown paper.</t>
  </si>
  <si>
    <t>The person flips the iron around and continues ironing.</t>
  </si>
  <si>
    <t>The peels the ironed paper off and lays it down.</t>
  </si>
  <si>
    <t>The person leaves the iron on a new brown paper.</t>
  </si>
  <si>
    <t>v_SbY68ygmuEA</t>
  </si>
  <si>
    <t>A crowd watches as several runners in a race jog past.</t>
  </si>
  <si>
    <t>They all keep jogging, coming in at the end of the race.</t>
  </si>
  <si>
    <t>v_m7cHlmcFk9Y</t>
  </si>
  <si>
    <t>A cat is in a woman's lap in the bathroom.</t>
  </si>
  <si>
    <t>She pulls a towel over the cat's head.</t>
  </si>
  <si>
    <t>She then gently tries to clip his claws one at a time.</t>
  </si>
  <si>
    <t>v_D9EQ6jCH0_M</t>
  </si>
  <si>
    <t>A woman is scrubbing a white chair with a yellow sponge.</t>
  </si>
  <si>
    <t>She is now pouring something onto a rag and washing a white table.</t>
  </si>
  <si>
    <t>She is spray painting the chair and table she just washed.</t>
  </si>
  <si>
    <t>The finished furniture is shown.</t>
  </si>
  <si>
    <t>v_Exu0qsz42fQ</t>
  </si>
  <si>
    <t>A young child is sitting playing on a drum set.</t>
  </si>
  <si>
    <t>Using his foot for the base and drumming on the snare like a natural.</t>
  </si>
  <si>
    <t>A woman is on a piano playing along with the child.</t>
  </si>
  <si>
    <t>They have a small audience sitting and watching them perform.</t>
  </si>
  <si>
    <t>v_Fdjw9ld-hbA</t>
  </si>
  <si>
    <t>A man dressed in a blue uniform is fighting against a male dressed in an all red uniform.</t>
  </si>
  <si>
    <t>The man in the red,picks him up and drops him down on the wrestling match.</t>
  </si>
  <si>
    <t>After,the referee drops down and pounds the mat counting down the end of the match.</t>
  </si>
  <si>
    <t>v_FLbTQGyoEMk</t>
  </si>
  <si>
    <t>A young woman speaks as she smiles.</t>
  </si>
  <si>
    <t>She squeezes the side of her right eye and pokes out a contact lens.</t>
  </si>
  <si>
    <t>She moves on to her left eye and pokes out a contact lens.</t>
  </si>
  <si>
    <t>v_rDADR0Lg4U8</t>
  </si>
  <si>
    <t>A group of female players walk onto a court behind their coach.</t>
  </si>
  <si>
    <t>They engage in a lacrosse game, fighting over the ball with their bats.</t>
  </si>
  <si>
    <t>The girls celebrate their win with flowers and hugs.</t>
  </si>
  <si>
    <t>v_YwUW6Qh_5TA</t>
  </si>
  <si>
    <t>A gymnast is seen standing with his arms out and hops on a board.</t>
  </si>
  <si>
    <t>He then begins spinning himself around while judges watch on the sides.</t>
  </si>
  <si>
    <t>He continues his routine and jumps down with his arms up.</t>
  </si>
  <si>
    <t>v_ZREM_AcXHX8</t>
  </si>
  <si>
    <t>A new segment leads into clips of a woman speaking to the camera and holding up a bow and arrow.</t>
  </si>
  <si>
    <t>The girl shoots the bow while still speaking to the camera and bending the bow.</t>
  </si>
  <si>
    <t>She continues speaking while using her hands and showing off pictures to the camera.</t>
  </si>
  <si>
    <t>v_XGj9lakgSic</t>
  </si>
  <si>
    <t>A girl dances as she sits in a booth.</t>
  </si>
  <si>
    <t>The girl mixes ingredients together in a pot.</t>
  </si>
  <si>
    <t>The girl adds dried ingredients to the pot.</t>
  </si>
  <si>
    <t>The girl adds tomato and eggs from a plate to the pot.</t>
  </si>
  <si>
    <t>The girls waves goodbye and leans back on the booth.</t>
  </si>
  <si>
    <t>v_iXLXRHHFp60</t>
  </si>
  <si>
    <t>There's a brown horse tied outside a polo club.</t>
  </si>
  <si>
    <t>There are several jockeys playing polo on the field in an event.</t>
  </si>
  <si>
    <t>There are also several spectators standing and watching the event.</t>
  </si>
  <si>
    <t>One of the polo players is trotting on the horse across the field.</t>
  </si>
  <si>
    <t>Another game of polo takes place where several spectators are watching.</t>
  </si>
  <si>
    <t>After the event is over, the judge hands awards to the winners.</t>
  </si>
  <si>
    <t>There's a British flag flying high in the field.</t>
  </si>
  <si>
    <t>v_OsiES8BiRac</t>
  </si>
  <si>
    <t>A belly dancer walks onto the stage from behind the curtains.</t>
  </si>
  <si>
    <t>The belly dancer dances on stage shaking her hips and body.</t>
  </si>
  <si>
    <t>The belly dancer spins in circles during the performance.</t>
  </si>
  <si>
    <t>The dancers turns with her back to the audience and dances.</t>
  </si>
  <si>
    <t>The dancer bows at the end of the performance.</t>
  </si>
  <si>
    <t>v_aXXes0e-eM0</t>
  </si>
  <si>
    <t>two kids are in a litle car watching a little kid holding a pole hitting a lightning mcqueen piñata.</t>
  </si>
  <si>
    <t>people are gathered around the little kid.</t>
  </si>
  <si>
    <t>v_tDG8VoRQTuM</t>
  </si>
  <si>
    <t>There are two people talking about stilts used by stunt men.</t>
  </si>
  <si>
    <t>They are standing on a street near several clubs and restaurants.</t>
  </si>
  <si>
    <t>One of the men is demonstrating how the stilts are used in stunts.</t>
  </si>
  <si>
    <t>Henry, the guy dressed in the white shirt is showing how high he can jump with the stilts and perform stunts.</t>
  </si>
  <si>
    <t>He shows numerous tricks on how he jumps up high and over benches and tables.</t>
  </si>
  <si>
    <t>He shows how he uses the Power Riser jumping skills on the streets and in the park.</t>
  </si>
  <si>
    <t>v_l7rzaG3aDyw</t>
  </si>
  <si>
    <t>A woman is seen performing a belly dancing routine on a stage with flowers hanging in the background.</t>
  </si>
  <si>
    <t>She continues performing her routine and ends by spinning around and posing.</t>
  </si>
  <si>
    <t>v_MNduaJtXy1A</t>
  </si>
  <si>
    <t>A large group of people are seen standing around and smiling to one another.</t>
  </si>
  <si>
    <t>They begin playing a set of drums while another man is seen playing the piano.</t>
  </si>
  <si>
    <t>More people are seen on the sides dancing to the music.</t>
  </si>
  <si>
    <t>v_drjYCuezfA8</t>
  </si>
  <si>
    <t>A woman in white shirt is standing next to a metal sink, she take out two white plates, silver container, strainer, spoons, and placed it on the metal container next to the sink.</t>
  </si>
  <si>
    <t>She then take a pan in the sink, put water, put liquid soap in a sponge, rub it on the plates, lid, container, spoons.</t>
  </si>
  <si>
    <t>She wiped the counter with her hand, then placed a green basket, rinse the plates, lid, container, pan, and put them in the basket.</t>
  </si>
  <si>
    <t>v_Aqx7rM9gZgg</t>
  </si>
  <si>
    <t>A woman in a blue shirt stands next to a brown horse.</t>
  </si>
  <si>
    <t>She holds onto the horses red lead.</t>
  </si>
  <si>
    <t>She is brushing the side of the horse.</t>
  </si>
  <si>
    <t>She steps away from the horse and bends down.</t>
  </si>
  <si>
    <t>She picks up a larger brush and begins brushing the horse again.</t>
  </si>
  <si>
    <t>She is brushing the horses face and neck.</t>
  </si>
  <si>
    <t>She is brushing the horses front leg in a downward motion.</t>
  </si>
  <si>
    <t>v_SXRSA62VbZg</t>
  </si>
  <si>
    <t>A tattoo salon has displayed a metallic blue motor cycle.</t>
  </si>
  <si>
    <t>there's a person sitting on the counter of the salon.</t>
  </si>
  <si>
    <t>A customer walks in and gives a child's picture to the tattoo artist.</t>
  </si>
  <si>
    <t>The tattoo artist traces the child's picture on a paper.</t>
  </si>
  <si>
    <t>Then he cleans the client's arms with alcohol.</t>
  </si>
  <si>
    <t>The artist wears a pair of latex gloves and begins tattooing the client's arm.</t>
  </si>
  <si>
    <t>He replicates the image traced from the picture on the client's arm along with some additional designs.</t>
  </si>
  <si>
    <t>He then takes a picture of the client's tattooed arm on a cellphone.</t>
  </si>
  <si>
    <t>v_kLflIBGCNrc</t>
  </si>
  <si>
    <t>A large group of people are seen swimming around a pool playing a game while the video pauses to show off players.</t>
  </si>
  <si>
    <t>The camera continues to pan around the players swimming all around the pool throwing a ball and others reacting on the sidelines.</t>
  </si>
  <si>
    <t>v_qAMf2UUH1xI</t>
  </si>
  <si>
    <t>A person jumps in the ocean and we see them being pulled on a line.</t>
  </si>
  <si>
    <t>We see divers underwater and see sealife and people on boats.</t>
  </si>
  <si>
    <t>A person with a camera on their head jumps from the boat into the water.</t>
  </si>
  <si>
    <t>Two men wave and we see sealife including a dolphin swimming next to the boat.</t>
  </si>
  <si>
    <t>A lady pretends to beat a man up by hitting him in the head while underwater.</t>
  </si>
  <si>
    <t>v_d7gTlJhEwrM</t>
  </si>
  <si>
    <t>A woman in a pink shirt sprints down a track and jumps into sand.</t>
  </si>
  <si>
    <t>A replay of her jump is shown several times.</t>
  </si>
  <si>
    <t>She walks away onto the grass.</t>
  </si>
  <si>
    <t>v_Fde_qSwXRzY</t>
  </si>
  <si>
    <t>Two boy scouts are seen standing and speaking to a large group of people and attempting to light a match.</t>
  </si>
  <si>
    <t>One cups his hands and creates a flame using oxygen and puts the flame into a pit.</t>
  </si>
  <si>
    <t>v_oZgyW8Yca_M</t>
  </si>
  <si>
    <t>A woman at a beach talks to the camera.</t>
  </si>
  <si>
    <t>The camera pans back and forth to show activity other beachgoers' activity around the woman.</t>
  </si>
  <si>
    <t>The woman dumps a bucket of sand on the beach.</t>
  </si>
  <si>
    <t>The woman combines sand and water in a bucket.</t>
  </si>
  <si>
    <t>The woman dumps the mixture out on the beach.</t>
  </si>
  <si>
    <t>v_-wcSkAAeOK8</t>
  </si>
  <si>
    <t>A woman is seen speaking to the camera while standing in front of an exercise bike.</t>
  </si>
  <si>
    <t>The woman continues speaking and begins climbing onto the bike.</t>
  </si>
  <si>
    <t>She spins herself around on the bike while sitting and standing and the camera panning around the girl.</t>
  </si>
  <si>
    <t>v_tLxv2E7gj5c</t>
  </si>
  <si>
    <t>Two people are seen running inside an indoor closed room and hitting a tennis ball around with rackets.</t>
  </si>
  <si>
    <t>The men continue running around hitting the ball off the wall.</t>
  </si>
  <si>
    <t>v_rmMCA60HqZ0</t>
  </si>
  <si>
    <t>A fat women and a thin woman talk face to face in a beauty salon.</t>
  </si>
  <si>
    <t>The fat woman talks and the thin woman wash and puts cream to her face.</t>
  </si>
  <si>
    <t>Then, the fat woman pass a device over the face of the thin woman.</t>
  </si>
  <si>
    <t>v_72PUOTjZpQU</t>
  </si>
  <si>
    <t>A large group of people are seen standing in a gymnasium with two people in front.</t>
  </si>
  <si>
    <t>The group then begins dancing with one another and leads into another large group of people.</t>
  </si>
  <si>
    <t>People are seen speaking to the camera and leads into them jumping up in the end.</t>
  </si>
  <si>
    <t>v_fqWjjWqsJPU</t>
  </si>
  <si>
    <t>A man speaks to the camera which follows an intro screen to him skating.</t>
  </si>
  <si>
    <t>He continues talking to the camera and performing various tricks on his board throughout the area.</t>
  </si>
  <si>
    <t>v_jEGTpBJrD4s</t>
  </si>
  <si>
    <t>This man is shown playing one drum in the beginning of the video and he says a few words.</t>
  </si>
  <si>
    <t>Then a man sits next to him and starts to play his guitar and the other man slowly joins to start playing the drums.</t>
  </si>
  <si>
    <t>The man who is sitting next to the man playing the drums is not only playing the guitar, but he's singing too.</t>
  </si>
  <si>
    <t>v_8eMjzrhxv2U</t>
  </si>
  <si>
    <t>We see a man walking on the ice.</t>
  </si>
  <si>
    <t>He moves a stick and pulls a fishing line out of a hole.</t>
  </si>
  <si>
    <t>The man pulls a fish out of the hole.</t>
  </si>
  <si>
    <t>He picks the fish up and shows us the fish.</t>
  </si>
  <si>
    <t>The man then throws the fish back into the hole.</t>
  </si>
  <si>
    <t>v_tzsgg_o6xHo</t>
  </si>
  <si>
    <t>A woman in man in black clothing stand in together and discuss a routine.</t>
  </si>
  <si>
    <t>The woman begins dancing and goes in a circle a few times while the man watches.</t>
  </si>
  <si>
    <t>The woman continues discussing the routine then holds hands with her partner and they begin dancing together.</t>
  </si>
  <si>
    <t>v_8ATFQNEWHL0</t>
  </si>
  <si>
    <t>A woman is talking about how to make a salad.</t>
  </si>
  <si>
    <t>She breaks up the lettuce into smaller parts.</t>
  </si>
  <si>
    <t>v_XxM72xEvsjE</t>
  </si>
  <si>
    <t>A man and young child are seen pushing a lawn mower across the yard while the boy smiles to the camera.</t>
  </si>
  <si>
    <t>The man and boy continue to push the lawn mower along the yard while stopping to look at the camera.</t>
  </si>
  <si>
    <t>v_XThYcZoFMMs</t>
  </si>
  <si>
    <t>All the ingredients you need to make butter cake are on the counter, someone is pointing at each ingredient and starts grabbing them.</t>
  </si>
  <si>
    <t>They use a mixer to mix some of the ingredients together.</t>
  </si>
  <si>
    <t>They add the eggs in one by one while the mixer is still mixing and then they turn it off and add some more in.</t>
  </si>
  <si>
    <t>They use a pan and and put a bottom in it and scoop out the mixture into it before finally getting ready to put it into the oven to bake.</t>
  </si>
  <si>
    <t>v_Y_dtU10XIsg</t>
  </si>
  <si>
    <t>A close up of a crack is seen.</t>
  </si>
  <si>
    <t>A woman is outside, shoveling snow.</t>
  </si>
  <si>
    <t>A dog wags his tail as he tries to help.</t>
  </si>
  <si>
    <t>v_ZUZ7EVzHS5E</t>
  </si>
  <si>
    <t>A group of men are outside in a large field on horses playing a game of polo.</t>
  </si>
  <si>
    <t>Player number three takes the ball all the way to the end of the field and he is then trailed by four other people.</t>
  </si>
  <si>
    <t>Once they leave the end of the field,they all begin trotting back to the middle by the referee on a horse.</t>
  </si>
  <si>
    <t>v_RAmQyeaBu-k</t>
  </si>
  <si>
    <t>Several shots are shown of signs and landscapes and leads into a person tying a rope.</t>
  </si>
  <si>
    <t>Several people are seen wandering around and smiling to the camera as well as climbing up a rock.</t>
  </si>
  <si>
    <t>More people are seen climbing up the rock as well as a man climbing down.</t>
  </si>
  <si>
    <t>v_QLbWA54l1Sg</t>
  </si>
  <si>
    <t>The two people hold out hands to begin an arm wrestling match.</t>
  </si>
  <si>
    <t>The women compete in an arm wrestling match seated at a table.</t>
  </si>
  <si>
    <t>The women switch hands and and arm wrestle with their left hands.</t>
  </si>
  <si>
    <t>The women have a rematch with their dominate hands.</t>
  </si>
  <si>
    <t>The two athletes flex their arms.</t>
  </si>
  <si>
    <t>v_j1oB2NAlYsQ</t>
  </si>
  <si>
    <t>There is a diver wearing yellow swim trunks is diving from a diving board in an indoor swimming pool.</t>
  </si>
  <si>
    <t>He jumps off of the diving board several times as some other people are leisurely swimming in the pool.</t>
  </si>
  <si>
    <t>He does the backward and forward diving moves as another young man watches him dive right into the pool.</t>
  </si>
  <si>
    <t>Then another young man dives from the same diving board.</t>
  </si>
  <si>
    <t>They both do the forward diving move.</t>
  </si>
  <si>
    <t>Another diver goes up much higher and dives right into to pool.</t>
  </si>
  <si>
    <t>v_HPyLSmDjsHY</t>
  </si>
  <si>
    <t>A young girl is seen sitting in front of a camera and presents various nail objects to the camera.</t>
  </si>
  <si>
    <t>She then begins painting all her nails thoroughly and ends the video with various pictures of her and her nails.</t>
  </si>
  <si>
    <t>v_2Vf8yqNHaGM</t>
  </si>
  <si>
    <t>A little boy in a yellow shirt is holding a yellow ruffled stick.</t>
  </si>
  <si>
    <t>He tries to hit the Batman pinata hanging, he missed then he hit him, he go around the pinata to hit it.</t>
  </si>
  <si>
    <t>v_q-FOdt9a7Js</t>
  </si>
  <si>
    <t>A person is pushing a snow plow through snow.</t>
  </si>
  <si>
    <t>They are clearing a path down a sidewalk.</t>
  </si>
  <si>
    <t>A white car dives by on the street.</t>
  </si>
  <si>
    <t>v_0fNBm46reNg</t>
  </si>
  <si>
    <t>A small group of people are seen pulling mulch into a bin when another is seen raking around the tree.</t>
  </si>
  <si>
    <t>They continue to scrape out of the mulch while measuring out the area and leads into one cutting the grass around the tree.</t>
  </si>
  <si>
    <t>They lay out more dirt evenly while some are grabbing bags behind them.</t>
  </si>
  <si>
    <t>v_Flh-37A4HWY</t>
  </si>
  <si>
    <t>A person holds a coffee mug in a pool of koi.</t>
  </si>
  <si>
    <t>The koi swim towards the coffee mug.</t>
  </si>
  <si>
    <t>v_IZCzbslH8jo</t>
  </si>
  <si>
    <t>A woman is on a court playing with a stick.</t>
  </si>
  <si>
    <t>She hits a ball on the court.</t>
  </si>
  <si>
    <t>She demonstrates how to swing and hit the ball.</t>
  </si>
  <si>
    <t>v_hUzsmIWojH0</t>
  </si>
  <si>
    <t>A man runs up to a beam and jumps over it several times.</t>
  </si>
  <si>
    <t>He makes at least six attempts.</t>
  </si>
  <si>
    <t>v_TPu-vPWJtIA</t>
  </si>
  <si>
    <t>Women in leotards dance together in a line.</t>
  </si>
  <si>
    <t>Women jump into the pool.</t>
  </si>
  <si>
    <t>Women synchronize dance in the pool.</t>
  </si>
  <si>
    <t>Announcers talk to the camera.</t>
  </si>
  <si>
    <t>Men in the side of pool talk.</t>
  </si>
  <si>
    <t>Man in yellow talks to the camera.</t>
  </si>
  <si>
    <t>Man in pink leotard jumps out of the pool.</t>
  </si>
  <si>
    <t>v_cRTsarldNlc</t>
  </si>
  <si>
    <t>a boy stands on a field with a shot put in hand.</t>
  </si>
  <si>
    <t>The boy begins to spin around.</t>
  </si>
  <si>
    <t>The boy throws the shot put.</t>
  </si>
  <si>
    <t>The spins and throws another shot put.</t>
  </si>
  <si>
    <t>v_Ou24uqaFRPg</t>
  </si>
  <si>
    <t>A furniture renovation company advertises their services by showing several homes and tools they have worked on and use and what type of work they do.</t>
  </si>
  <si>
    <t>A man in an apron carefully puts a colored substance on a plate.</t>
  </si>
  <si>
    <t>The man mixes two of the different colored substances with a paint brush.</t>
  </si>
  <si>
    <t>The man carefully touches the paint brush to an old table coloring portions of the table that have been damaged.</t>
  </si>
  <si>
    <t>A different man in an apron and face mask sands an old table.</t>
  </si>
  <si>
    <t>The man then puts polish on a rag and polishes the table.</t>
  </si>
  <si>
    <t>The man polishes a different old table.</t>
  </si>
  <si>
    <t>Information on how to reach the restoration company is displayed.</t>
  </si>
  <si>
    <t>v_p74gAY-kWaY</t>
  </si>
  <si>
    <t>A woman is seen standing beside a girl sitting down brushing her hair.</t>
  </si>
  <si>
    <t>A boy watches on the side as the woman continues to brush the hair.</t>
  </si>
  <si>
    <t>The woman speaks to the girl while running the brush all over her hair.</t>
  </si>
  <si>
    <t>v_LG7p5JrgMfE</t>
  </si>
  <si>
    <t>A man dressed in a black suit and woman dressed in a black dress are dancing together to Latino music.</t>
  </si>
  <si>
    <t>They are doing a combination of ball room dancing and waltz.</t>
  </si>
  <si>
    <t>They are dancing on the sidewalk of a city where there are several bystanders observing and watching them dance.</t>
  </si>
  <si>
    <t>They continue dancing hand in hand to the music.</t>
  </si>
  <si>
    <t>A group of people standing on the right begin to applaud them.</t>
  </si>
  <si>
    <t>The couple continues to swirl and twirl as the music plays and more people in the crowd applaud.</t>
  </si>
  <si>
    <t>The lady finally jumps into the man's arms as the music comes to an end.</t>
  </si>
  <si>
    <t>The crowd cheers and applaud's loudly at the couple.</t>
  </si>
  <si>
    <t>v_TtrDWeSW3mg</t>
  </si>
  <si>
    <t>How To Expo is demonstrating how to make a three bean salad with black beans, garbanzo beans and kidney beans.</t>
  </si>
  <si>
    <t>The presenter shows minced garlic, chopped onions and chopped red bell pepper, along with chopped parsley and one teaspoon of cumin.</t>
  </si>
  <si>
    <t>She also shows the dressing ingredients like olive oil, red wine vinegar and salt.</t>
  </si>
  <si>
    <t>Then she takes a large bowl and begins mixing all the ingredients together.</t>
  </si>
  <si>
    <t>She mixes everything with the three types of beans.</t>
  </si>
  <si>
    <t>She takes large spatula and mixes everything well.</t>
  </si>
  <si>
    <t>then she takes some olive oil and vinegar and mixes it together for the dressing.</t>
  </si>
  <si>
    <t>She pours the salad into a plate and tops is with the salad dressing.</t>
  </si>
  <si>
    <t>v_Vx4ZW7Xseyg</t>
  </si>
  <si>
    <t>A guy is diving off a diving board doing flips in the air and lands in a pool of water,the guy dives and do different flips many different times.</t>
  </si>
  <si>
    <t>the man seems to be practicing his dives and flips of the diving board.</t>
  </si>
  <si>
    <t>the guy is trying to jump his highest to get a better diving flip.</t>
  </si>
  <si>
    <t>v_KJQi_5e72lM</t>
  </si>
  <si>
    <t>A man is seen talking to the camera as he sets up a ski on a work bench inside of a Ski shop.</t>
  </si>
  <si>
    <t>After lining up the ski and securing it on the bench he uses a plastic card and goes over the bottom of the ski three times.</t>
  </si>
  <si>
    <t>Afterwards he uses a bristled brush and scrubs the bottom of the ski.</t>
  </si>
  <si>
    <t>Finally he uses a soft brush and runs it over the ski once more .</t>
  </si>
  <si>
    <t>v_H5kerJ_FoBU</t>
  </si>
  <si>
    <t>The video starts with a title screen shot.</t>
  </si>
  <si>
    <t>A man in a white shirt is showing applying plaster to a room.</t>
  </si>
  <si>
    <t>As he applies the plaster, a voice is describing the techniques used by the company.</t>
  </si>
  <si>
    <t>The video ends as the man reaches the end of the room.</t>
  </si>
  <si>
    <t>v_aIvWwX--xKw</t>
  </si>
  <si>
    <t>A woman is standing behind a counter in a kitchen.</t>
  </si>
  <si>
    <t>She takes the lid off of a pot of salad.</t>
  </si>
  <si>
    <t>She moves the salad into a new bowl.</t>
  </si>
  <si>
    <t>She takes the towel and puts it over the lettuce.</t>
  </si>
  <si>
    <t>She takes the lettuce and puts it in a wooden bowl.</t>
  </si>
  <si>
    <t>She tosses the salad with two spoons.</t>
  </si>
  <si>
    <t>v_zHzKPtrgv1k</t>
  </si>
  <si>
    <t>A set of kids are in bumper cars and begin driving and hitting each other.</t>
  </si>
  <si>
    <t>One of the young kids runs into wall and the males who are operating the ride assist the child.</t>
  </si>
  <si>
    <t>v_InA8Xbg-hvo</t>
  </si>
  <si>
    <t>The words how to apply mascara appear.</t>
  </si>
  <si>
    <t>A woman with long black hair is talking to the camera.</t>
  </si>
  <si>
    <t>She holds up a wand of mascara.</t>
  </si>
  <si>
    <t>She then shows how to apply it, one eye at a time.</t>
  </si>
  <si>
    <t>v_o8EOFXW5GJo</t>
  </si>
  <si>
    <t>Several shots of plates are shown with food leading into a man preparing food.</t>
  </si>
  <si>
    <t>The man then puts more food into a plate and spinning around ingredients.</t>
  </si>
  <si>
    <t>He continues to put food onto a plate and ends by presenting it to the camera.</t>
  </si>
  <si>
    <t>v_saMBbZcDAjM</t>
  </si>
  <si>
    <t>Two people are seen hitting a ping pong table back and fourth in the middle of an outdoor park.</t>
  </si>
  <si>
    <t>They drop the ball and pick it up and then continue playing again.</t>
  </si>
  <si>
    <t>v_u2hzK9YyIXY</t>
  </si>
  <si>
    <t>A person's shoe is seen sitting in a sink and the person scrubs the outside of the shoe with water running.</t>
  </si>
  <si>
    <t>The person turns the water off and let's the dirt from the shoe run down the sink.</t>
  </si>
  <si>
    <t>v_GdEKSyad_rk</t>
  </si>
  <si>
    <t>A man is water skiing on a river.</t>
  </si>
  <si>
    <t>He leans backward, still holding on.</t>
  </si>
  <si>
    <t>He also turns and lifts one foot in the air.</t>
  </si>
  <si>
    <t>v_j30ZbXEi8sc</t>
  </si>
  <si>
    <t>A large marching band are seen standing in the middle of a lawn.</t>
  </si>
  <si>
    <t>The middle of the group begin to play followed by the rest around them.</t>
  </si>
  <si>
    <t>The group take turns playing back and fourth and end by standing still.</t>
  </si>
  <si>
    <t>v_Lfj9JC7uWmE</t>
  </si>
  <si>
    <t>man are playing war of a tug in an open field in font of a lake.</t>
  </si>
  <si>
    <t>men are standing in sidewalk watching the men playing and taking pictures.</t>
  </si>
  <si>
    <t>men reunite and pose to a picture and a lot of camcorders are taking pictures.</t>
  </si>
  <si>
    <t>v_AuS32BoK0Bg</t>
  </si>
  <si>
    <t>A man is putting on a pair of shoes.</t>
  </si>
  <si>
    <t>He grabs his skies and boards a lift.</t>
  </si>
  <si>
    <t>He is then shown skiing down various hills and mountains.</t>
  </si>
  <si>
    <t>v_-pLiSHAz4fo</t>
  </si>
  <si>
    <t>A man talking about how to work out in a certain position.</t>
  </si>
  <si>
    <t>He explains it and shows in detail how it should be done.</t>
  </si>
  <si>
    <t>Then he grabs the bar and demonstrates like that also.</t>
  </si>
  <si>
    <t>He begins to do it in repetition a few times before finishing up.</t>
  </si>
  <si>
    <t>v_k4WHaby5jd8</t>
  </si>
  <si>
    <t>A man is in the garbage and he brings out a suitcase and takes a bike out of it.</t>
  </si>
  <si>
    <t>He begins to unravel the bike and start putting it all together.</t>
  </si>
  <si>
    <t>He screws in some pieces and put the hand bars on using a a pocket knife.</t>
  </si>
  <si>
    <t>He inflates the tires with air and finishes putting the rest together, and then he rides off.</t>
  </si>
  <si>
    <t>v_8ZyBER6U9Wc</t>
  </si>
  <si>
    <t>Three girls that are matching clothes are jumping rope at a competition.</t>
  </si>
  <si>
    <t>They start to switch places between jumpers, doing tricks while jumping.</t>
  </si>
  <si>
    <t>They move up and down the floor while never stopping.</t>
  </si>
  <si>
    <t>Then they drop their rope and bow.</t>
  </si>
  <si>
    <t>v_RrgUFU70PNQ</t>
  </si>
  <si>
    <t>A group of men are in a ring around a mat.</t>
  </si>
  <si>
    <t>Two crouch in front of each other before springing onto the mat, fighting and kicking.</t>
  </si>
  <si>
    <t>They are performing a type of martial arts, fighting their oponent as cameras flash.</t>
  </si>
  <si>
    <t>v_Q6SooTA1os4</t>
  </si>
  <si>
    <t>A dog runs around a house from room to room.</t>
  </si>
  <si>
    <t>Two men take the dog into the bathroom and get him in the bath tub.</t>
  </si>
  <si>
    <t>One of the men washes the dog.</t>
  </si>
  <si>
    <t>The other man records what is happening.</t>
  </si>
  <si>
    <t>The dog hops out of the tub and one of the men dries him off.</t>
  </si>
  <si>
    <t>One man holds the dogs mouth open while the other man brushes the dogs teeth.</t>
  </si>
  <si>
    <t>v_Jvxk68D3F2w</t>
  </si>
  <si>
    <t>A camera pans all around a paintball course and shows a closeup of a person speaking.</t>
  </si>
  <si>
    <t>Several clips are seen of people running around the course and shooting paintball at one another.</t>
  </si>
  <si>
    <t>More close ups are shown of a gun as well as a man speaking to the camera and others socializing with one another.</t>
  </si>
  <si>
    <t>v_WMxQ5hc4s78</t>
  </si>
  <si>
    <t>A small table sits atop another table.</t>
  </si>
  <si>
    <t>A man enters wearing a black hoodie.</t>
  </si>
  <si>
    <t>He opens a jar and pulls out something.</t>
  </si>
  <si>
    <t>He then varnishes the table.</t>
  </si>
  <si>
    <t>v_PT18KK_6jmU</t>
  </si>
  <si>
    <t>An intro of a black screen with a logo and the words CAMERON HANSEN GALLERY appear along with the website at the bottom right.</t>
  </si>
  <si>
    <t>A school of fish swimming in the ocean appears and the location and the description of the video is displayed.</t>
  </si>
  <si>
    <t>A series of many different videos begin and it includes footage from underwater with a snorkeler, many different sea life swimming and even an elephant swimming.</t>
  </si>
  <si>
    <t>The next set of clips include various different footage of people who are above water and the scenery around them.</t>
  </si>
  <si>
    <t>It then switches to caves and it shows the outside, inside, and then the snorkeler back under water holding a flashlight to see as it's very dark.</t>
  </si>
  <si>
    <t>The focus goes back to other clips where the elephant is swimming again, a still shot picture of the beach is displayed, and more clips from the water above.</t>
  </si>
  <si>
    <t>It ends with a picture of a large tree branch near the water and the words The Andaman Islands appear at the top and fades to an all black screen.</t>
  </si>
  <si>
    <t>v_-Pa52Pf_Raw</t>
  </si>
  <si>
    <t>A young woman is sitting in the doorway of a building.</t>
  </si>
  <si>
    <t>She is staring at the camera.</t>
  </si>
  <si>
    <t>She keeps taking puffs from a cigarette as she sits.</t>
  </si>
  <si>
    <t>v_hMUoeOFmquI</t>
  </si>
  <si>
    <t>A news segment begins and black and white picture of a smiling girl appears on the screen and the banner on the screen says "HENRICO TEEN DIES AFTER RACE FATHER RECOUNTS DAUGHTER'S FINAL MOMENTS".</t>
  </si>
  <si>
    <t>The newscaster appears with her parents talking about the girl while clips of the race play, and still shot pictures of the girl appear on the camera.</t>
  </si>
  <si>
    <t>When the pictures and video clips of the interview and race are over, the newscaster is speaking alone back at the news station.</t>
  </si>
  <si>
    <t>v_fkmYC91-biI</t>
  </si>
  <si>
    <t>Two little kids are sitting indian style on the carpet inside the house,they have a hookah and are smoking it.</t>
  </si>
  <si>
    <t>They take turns inhaling and exhaling the smoke.</t>
  </si>
  <si>
    <t>They exhale from their nose like they do it often and have been trained like little pros.</t>
  </si>
  <si>
    <t>It is very sad these children are allowed to do this like its normal, they seem to enjoy it too.</t>
  </si>
  <si>
    <t>v_TFkI_wKMypE</t>
  </si>
  <si>
    <t>Two girls are seen speaking to the camera with one giving a thumbs up.</t>
  </si>
  <si>
    <t>The girls then play a game of hop scotch with each other and high giving one another in the end.</t>
  </si>
  <si>
    <t>v_K757XUwinrc</t>
  </si>
  <si>
    <t>A woman is seen holding onto a brush and grabbing a brush.</t>
  </si>
  <si>
    <t>Another girl brushes through her hair while the camera pans her movements.</t>
  </si>
  <si>
    <t>She continues brushing the other's hair while looking to the camera.</t>
  </si>
  <si>
    <t>v_luDywPbDOEQ</t>
  </si>
  <si>
    <t>We see a white title screen.</t>
  </si>
  <si>
    <t>We then see a lady moping and wringing the mop by hand.</t>
  </si>
  <si>
    <t>We see a bucket which rings a round mop without touching it.</t>
  </si>
  <si>
    <t>A lady changes the mop head with her foot.</t>
  </si>
  <si>
    <t>Three ladies give endorsements and we see them using the mop.</t>
  </si>
  <si>
    <t>We then see more of the mop in action.</t>
  </si>
  <si>
    <t>v_oeSyeZqlC1g</t>
  </si>
  <si>
    <t>People sits on steps, after people are on boats in a river.</t>
  </si>
  <si>
    <t>An adult and several teen in canoes holds paddles.</t>
  </si>
  <si>
    <t>The man shows the teens how to move the oars.</t>
  </si>
  <si>
    <t>The teens follow the instructions of the man and row the oars.</t>
  </si>
  <si>
    <t>v_sax2PjbeLdk</t>
  </si>
  <si>
    <t>There are shoes placed on the floor just lying there.</t>
  </si>
  <si>
    <t>Someone puts their feet into one of their shoes very slowly.</t>
  </si>
  <si>
    <t>They begin to buckle the straps on the left shoe.</t>
  </si>
  <si>
    <t>Then they put their foot more securely into the right shoe, finally bucking the straps on that shoe too.</t>
  </si>
  <si>
    <t>v_f-r9g_-5huM</t>
  </si>
  <si>
    <t>A man and woman are talking.</t>
  </si>
  <si>
    <t>A man starts playing a harmonica.</t>
  </si>
  <si>
    <t>The crowd watches him play.</t>
  </si>
  <si>
    <t>v_RTIzzeNaH2Q</t>
  </si>
  <si>
    <t>A bike is being shown in the narrow walkway.</t>
  </si>
  <si>
    <t>An old man wearing gray shirt is putting on and screwing the black handle bars in the front of the bike, then put the front wheel of the bike, tighten the screw, and lastly he put the seat on.</t>
  </si>
  <si>
    <t>v_DOfpOkDHe_8</t>
  </si>
  <si>
    <t>A girl is standing in her home with her hands behind her back and her legs shoulder width apart.</t>
  </si>
  <si>
    <t>The girl then firmly drops her hands to her side, brings her feet together and does a bow and continues to do a routine of various karate moves.</t>
  </si>
  <si>
    <t>The girl ends her routing a little further from the point she started and firmly drops her hands to her side and does a little bow, then opens her legs shoulder length apart and goes back into the same position as she was in when she started.</t>
  </si>
  <si>
    <t>After she is done holding the position for a while the girl relaxes and then walks away.</t>
  </si>
  <si>
    <t>v_DxtISmKol2I</t>
  </si>
  <si>
    <t>Two people are seen kneeling down before a board and pushing down objects.</t>
  </si>
  <si>
    <t>Other people watch on the side as the two robots begin to attack one another.</t>
  </si>
  <si>
    <t>One pushes the other off the side and the men put the robots back to battle several more.</t>
  </si>
  <si>
    <t>v_ig8RaXkocJ0</t>
  </si>
  <si>
    <t>A man has his hands in the air.</t>
  </si>
  <si>
    <t>Two wrestlers are shown jumping into the ring.</t>
  </si>
  <si>
    <t>They collapse as different people do the same jump.</t>
  </si>
  <si>
    <t>v_-BVpaPkee2I</t>
  </si>
  <si>
    <t>An athletic woman is seen talking to the camera and leads into her teaching a cycling class with others.</t>
  </si>
  <si>
    <t>More shots of her leading are shown in different areas.</t>
  </si>
  <si>
    <t>v_VsFHNZHhNwI</t>
  </si>
  <si>
    <t>A lady sits in the shower washing a fluffy dog.</t>
  </si>
  <si>
    <t>The lady leans over the dog and washes his front paw on the left.</t>
  </si>
  <si>
    <t>v_SI0GumzxYt4</t>
  </si>
  <si>
    <t>A camera follows around a small boat that is moving along the water as well as landscapes.</t>
  </si>
  <si>
    <t>The camera zooms in on the boat and shows people riding inside.</t>
  </si>
  <si>
    <t>v_QHd9bJOuvIU</t>
  </si>
  <si>
    <t>A man is walking up a ladder to a roof.</t>
  </si>
  <si>
    <t>He is standing in front of a house talking.</t>
  </si>
  <si>
    <t>Men are putting new shingles onto a roof.</t>
  </si>
  <si>
    <t>v_4chhQzVxWkA</t>
  </si>
  <si>
    <t>A baby is swimming in a pool on its back.</t>
  </si>
  <si>
    <t>The baby is kicking its feet in the water.</t>
  </si>
  <si>
    <t>Someone's hand is holding that baby in the water.</t>
  </si>
  <si>
    <t>v_pjF6uBZHVRE</t>
  </si>
  <si>
    <t>The starting list for the men's pole vault event is displayed over the background of the competition area.</t>
  </si>
  <si>
    <t>Multiple vaulters attempt to vault, one after another, some successfully and some not.</t>
  </si>
  <si>
    <t>The camera cuts to a man wiping his face with a towel, then a quick shot of the last vault attempt, then a quick shot of another man walking away from the camera.</t>
  </si>
  <si>
    <t>Another man in white and blue vaults and is successful.</t>
  </si>
  <si>
    <t>The camera cuts to four other competitors watching.</t>
  </si>
  <si>
    <t>The camera cuts to a man in white and blue celebrating while holding a flag against his black.</t>
  </si>
  <si>
    <t>The man who celebrated is being interviewed.</t>
  </si>
  <si>
    <t>A different competitor, wearing red, is being interviewed.</t>
  </si>
  <si>
    <t>v_UMS4-qifK9A</t>
  </si>
  <si>
    <t>A man sits down in front of a bed.</t>
  </si>
  <si>
    <t>He starts to play an electric guitar.</t>
  </si>
  <si>
    <t>He finishes playing and stands up.</t>
  </si>
  <si>
    <t>v_xNiYjTyCTtg</t>
  </si>
  <si>
    <t>Two girls are standing in a shop and hug each other.</t>
  </si>
  <si>
    <t>The two girls acknowledge the girl holding the camera.</t>
  </si>
  <si>
    <t>They each show their ears that they are wanting to be pierced.</t>
  </si>
  <si>
    <t>The woman working in the shop straightens the girls head and marks her ear and pierces her right ear, as the girl makes faces.</t>
  </si>
  <si>
    <t>The woman looks shocked as the worker talks to her and holds the mirror for h er to see the ear.</t>
  </si>
  <si>
    <t>To be continued is shown on the screen.</t>
  </si>
  <si>
    <t>The girl shows her ear as she sits in the chair and tries not to cry as the camera zooms in on her ear.</t>
  </si>
  <si>
    <t>v_HrWr7FmBYn4</t>
  </si>
  <si>
    <t>A woman is seen speaking to a camera and leads into herself with wet hair and brushing it through.</t>
  </si>
  <si>
    <t>Her hair is snow dry and she puts clips into her hair and begins curling.</t>
  </si>
  <si>
    <t>She continues curling the ends of her hair and runs her fingers through in the end and smiles at the camera while giving a thumbs up.</t>
  </si>
  <si>
    <t>v_4S5ethZhgqs</t>
  </si>
  <si>
    <t>A big green garbage can is pushed up against a brick wall and a reindeer jumps out drinking from a coffee cup.</t>
  </si>
  <si>
    <t>The reindeer continues to drink out of the coffee cup and eventually falls out of over the garbage can.</t>
  </si>
  <si>
    <t>v_uPqh5uA1mhA</t>
  </si>
  <si>
    <t>The screen shows the words Shot Put Men.</t>
  </si>
  <si>
    <t>Kurt Roberts, in a yellow top, throws the ball and a man rushes to measure the throw.</t>
  </si>
  <si>
    <t>Kurt drinks from a Gatorade bottle.</t>
  </si>
  <si>
    <t>Reese Hoffa steps up and throws the ball and a man rushes to measure the throw.</t>
  </si>
  <si>
    <t>Reese adjusts his shirt and waits for his score.</t>
  </si>
  <si>
    <t>Davis Storl sits and is featured on the screen.</t>
  </si>
  <si>
    <t>He then throws the ball and the man rushes to measure the distance.</t>
  </si>
  <si>
    <t>He is shown standing with his team and an instant replay of the throw is shown.</t>
  </si>
  <si>
    <t>The score is shown on the screen.</t>
  </si>
  <si>
    <t>Fans are shown doing the wave.</t>
  </si>
  <si>
    <t>v_DJ5tenTs0A0</t>
  </si>
  <si>
    <t>A child ski on the snow holding two poles and wearing skies.</t>
  </si>
  <si>
    <t>Adults ski behind the child.</t>
  </si>
  <si>
    <t>Then the child stops, then start to walk until start sliding on the hill.</t>
  </si>
  <si>
    <t>v_2Mw-3jScc0M</t>
  </si>
  <si>
    <t>An aerial view of a field and animals is shown.</t>
  </si>
  <si>
    <t>People mill around a dartboard and then start doing lumberjack things with logs.</t>
  </si>
  <si>
    <t>A boat is prepared and the group starts water skiing, wakeboarding, and the like.</t>
  </si>
  <si>
    <t>At the end, people relax on the boat.</t>
  </si>
  <si>
    <t>v_yJ5zO0T9jgk</t>
  </si>
  <si>
    <t>People are playing badminton on a court.</t>
  </si>
  <si>
    <t>An audience is watching them play.</t>
  </si>
  <si>
    <t>A cartoon of people playing the game is shown.</t>
  </si>
  <si>
    <t>A man in a blue sweater is talking to the camera.</t>
  </si>
  <si>
    <t>v_m0_F34CgAco</t>
  </si>
  <si>
    <t>The baker is putting a safe ring on a silicone molder.</t>
  </si>
  <si>
    <t>The baker pour the batter in the purple molder, then he place a silicone tray in the oven and put the cake in the oven.</t>
  </si>
  <si>
    <t>The baker turn over the cake in the plate and put icing and fruits on top.</t>
  </si>
  <si>
    <t>The baker put safety ling on the molder, put jelly in it, then he put the jelly off the molder.</t>
  </si>
  <si>
    <t>The baker made popsicles and cake decorations and chocolates using the molder.</t>
  </si>
  <si>
    <t>v_Lh-cI4M0dNw</t>
  </si>
  <si>
    <t>A man is seen riding along on a horse and then ropes a calf while others watch.</t>
  </si>
  <si>
    <t>The man then ties up the calf and climbs up on the horse and others step into the ring.</t>
  </si>
  <si>
    <t>v_2_tzemKY72E</t>
  </si>
  <si>
    <t>A female gymnast is shown in a photograph.</t>
  </si>
  <si>
    <t>She is then shown preparing and then mounting a high beam.</t>
  </si>
  <si>
    <t>She flips and turns on the beam, changing between two beams.</t>
  </si>
  <si>
    <t>She dismounts, throwing her arms into the air triumphantly.</t>
  </si>
  <si>
    <t>v_Hg1tl2hFWGc</t>
  </si>
  <si>
    <t>a child is sitting on a counter with a container of water colors.</t>
  </si>
  <si>
    <t>She is using a paint brush to apply the paints to her face.</t>
  </si>
  <si>
    <t>She then starts putting the paint all over her chest.</t>
  </si>
  <si>
    <t>v_l8boztVhl7w</t>
  </si>
  <si>
    <t>A countdown is shown that leads into a person scoring a basket in a game.</t>
  </si>
  <si>
    <t>More text are shown counting down a list and showing another person scoring a point.</t>
  </si>
  <si>
    <t>Several more shots are shown of people performing impressive sport tactics while the list counts down.</t>
  </si>
  <si>
    <t>v_U2-GFZxIufw</t>
  </si>
  <si>
    <t>A boat goes on to a lake with a rope behind it.</t>
  </si>
  <si>
    <t>A boy grabs the rope and goes in the water after the boat.</t>
  </si>
  <si>
    <t>The boat begins to speed up.</t>
  </si>
  <si>
    <t>The boy is brought to his feet and begins to water ski.</t>
  </si>
  <si>
    <t>v_3MqnXsnEAkM</t>
  </si>
  <si>
    <t>A man walks onto a mat and lifts a large weight over his head.</t>
  </si>
  <si>
    <t>A man in a red shirt is sitting down.</t>
  </si>
  <si>
    <t>A man walks up and lifts a large weight over his head and drops it on the ground.</t>
  </si>
  <si>
    <t>Another man comes onto the mat and lifts a weight over their head.</t>
  </si>
  <si>
    <t>v_7VvcQNSAd24</t>
  </si>
  <si>
    <t>A man is seen standing in front of a mirror holding a razor.</t>
  </si>
  <si>
    <t>He then begins shaving his face while still looking in the mirror.</t>
  </si>
  <si>
    <t>He finishes shaving his face and looks back smiling at the camera.</t>
  </si>
  <si>
    <t>v_7ftCKS5SCCk</t>
  </si>
  <si>
    <t>little girl with long hair is dancing in a living room with a lot of boots and shoes on the floor, she put them on and take it off.</t>
  </si>
  <si>
    <t>girl is on skateboard in the living room and to the room again.</t>
  </si>
  <si>
    <t>little girl is in library and grab something and then starts dancing in the room.</t>
  </si>
  <si>
    <t>v_LGku-onF4VI</t>
  </si>
  <si>
    <t>People are sitting behind large drums.</t>
  </si>
  <si>
    <t>They start playing the drums with their hands.</t>
  </si>
  <si>
    <t>People stand on the street watching them.</t>
  </si>
  <si>
    <t>A man picks up his chair and turns it upside down on the drums.</t>
  </si>
  <si>
    <t>v_p8_hwwgyoZE</t>
  </si>
  <si>
    <t>A man and woman are on a stage together.</t>
  </si>
  <si>
    <t>They quickly play drums before a crowd.</t>
  </si>
  <si>
    <t>An older man is then seen also playing drums.</t>
  </si>
  <si>
    <t>v_vgO3mzJGbSI</t>
  </si>
  <si>
    <t>A camera pans around a shop and pans back to a girl talking.</t>
  </si>
  <si>
    <t>She points to her face multiple times and gives a little tour of her room.</t>
  </si>
  <si>
    <t>She continues talking to the camera and eventually shows footage of her getting her nose pierced.</t>
  </si>
  <si>
    <t>She apears back in the room with the pierced nose and shows off a drink and sushi.</t>
  </si>
  <si>
    <t>Finally she shows a book as well as a bag with white powder and herself in a pony tail.</t>
  </si>
  <si>
    <t>v__jT57LdAHUs</t>
  </si>
  <si>
    <t>A man talks on front the drummer and holding two sticks.</t>
  </si>
  <si>
    <t>The man pretends to play the drums, and then continues talking.</t>
  </si>
  <si>
    <t>v_modITAJlP_0</t>
  </si>
  <si>
    <t>A woman wearing light blue tank top and black shorts is exercising on an elliptical.</t>
  </si>
  <si>
    <t>She continues walking on the elliptical as she moves her hands forward and backwards.</t>
  </si>
  <si>
    <t>She then finishes her exercise routine, gets off the equipment and takes a drink of water from a blue water bottle.</t>
  </si>
  <si>
    <t>She walks away holding the bottle in her hand.</t>
  </si>
  <si>
    <t>v_Bdpqtvdx2T8</t>
  </si>
  <si>
    <t>We see a little girl painting a fence red.</t>
  </si>
  <si>
    <t>The girl puts more paint on her brush.</t>
  </si>
  <si>
    <t>The girl fills her brush again.</t>
  </si>
  <si>
    <t>We see the fence and an adult shows her how to paint.</t>
  </si>
  <si>
    <t>The adult points at a missed spot.</t>
  </si>
  <si>
    <t>v_qfCqVXhNPE8</t>
  </si>
  <si>
    <t>A woman with black hair is explaining something.</t>
  </si>
  <si>
    <t>The woman pulls out a container with hair rolls.</t>
  </si>
  <si>
    <t>The woman pulls out a bottle of shampoo.</t>
  </si>
  <si>
    <t>The woman rolls her hair and pins it in place and leaves it for ten minutes.</t>
  </si>
  <si>
    <t>The women removes the rolls from her hair.</t>
  </si>
  <si>
    <t>The woman takes out hair spray and sprays it on her hair.</t>
  </si>
  <si>
    <t>v_0IxId05Eo6k</t>
  </si>
  <si>
    <t>There are a lot of people indoors in a large building walking, or hanging out, and the banner below say's "WHAT IN THE WORLD? China's National Tug-of-War Championships" and he logo on the right say's "east SPORTS WEST".</t>
  </si>
  <si>
    <t>There are two sets of people along a rope and they are separated in the middle by referees.</t>
  </si>
  <si>
    <t>They take a bow, pick up the rope, and each team begins to tug on the rope until a winner is called.</t>
  </si>
  <si>
    <t>A woman referee is now standing with her two arms up and she lets them down to indicate that the two teams can start tugging on the rope, and they do until she blows a whistle to indicate the winner.</t>
  </si>
  <si>
    <t>Two short clips play and it shows a womens tug-of-war match, then a mens but it doesn't show much and then it goes straight to outdoor shots of the city and text on the screen appear with the network logo, website, and rights of the video.</t>
  </si>
  <si>
    <t>v_98MoyGZKHXc</t>
  </si>
  <si>
    <t>A man drives a car, the car stops with a flat tire.</t>
  </si>
  <si>
    <t>The man turn off the emergency lights, and then uses a repair kit to inflate the tire.</t>
  </si>
  <si>
    <t>Then, the man advance the car a little and the tire inflates.</t>
  </si>
  <si>
    <t>After, the man drives his car.</t>
  </si>
  <si>
    <t>v_6I1aP4O04R8</t>
  </si>
  <si>
    <t>A large pile of leaves are seen blowing around a yard as a person uses a tool to push them along.</t>
  </si>
  <si>
    <t>The camera continues to capture the man blowing the leaves and uses several camera effects on the frames.</t>
  </si>
  <si>
    <t>v_6qghJRLpHpo</t>
  </si>
  <si>
    <t>A small group of people are seen riding kayaks down a rough river with one person performing a flip in the water.</t>
  </si>
  <si>
    <t>The person performs several more flips with the camera captures him from far away.</t>
  </si>
  <si>
    <t>v_lZ2X-e33E0A</t>
  </si>
  <si>
    <t>We see the opening title screens.</t>
  </si>
  <si>
    <t>A man walks into a room and grabs a bucket and returns with it.</t>
  </si>
  <si>
    <t>We see a man in a bright shirt mix plaster in a bucket and spread it on a wall.</t>
  </si>
  <si>
    <t>The man adds more plaster to his base and spreads it on the wall.</t>
  </si>
  <si>
    <t>v_teZ99ahe1zY</t>
  </si>
  <si>
    <t>Various people are shown riding around on horses holding sticks in the air and riding around one another.</t>
  </si>
  <si>
    <t>People walk in and out of frame and the people continue moving around on horses.</t>
  </si>
  <si>
    <t>v_iTc3UCWgUF0</t>
  </si>
  <si>
    <t>A man sits down in a chair putting his sneakers on and points to a fox running in.</t>
  </si>
  <si>
    <t>The fox stands by the man and jumps up and down on his lap while he continues to put his shoes on.</t>
  </si>
  <si>
    <t>v__rs8dhCdI1w</t>
  </si>
  <si>
    <t>A person puts tape on a leather sofa to form a square.</t>
  </si>
  <si>
    <t>Then, the person apply foam to a sponge and cleans inside the square.</t>
  </si>
  <si>
    <t>After, the person clean with a cloth and peels the tape.</t>
  </si>
  <si>
    <t>Next, the person cleans all the sofa putting foam on a cloth and rubbing the sofa.</t>
  </si>
  <si>
    <t>v_9xtYwXpaiZ0</t>
  </si>
  <si>
    <t>A shoe polishing machine sits in a living room.</t>
  </si>
  <si>
    <t>A man walks up to the shoe polishing machine a turns it on.</t>
  </si>
  <si>
    <t>The man wearing blue jeans begins bushing his black shoes.</t>
  </si>
  <si>
    <t>The man then begins brushing and polishing his brown shoes.</t>
  </si>
  <si>
    <t>The man approaches the shoe polishing machine and brushes his grey sneakers.</t>
  </si>
  <si>
    <t>The man crouches down and pulls out a dust bin from under the polishing machine.</t>
  </si>
  <si>
    <t>v_fJMVz_TBWU0</t>
  </si>
  <si>
    <t>A large group of people are seen standing in a crowd when a man holding a set of bag pipes walks up and gives everyone the devil horns.</t>
  </si>
  <si>
    <t>They give the horns back and the man plays while walking up and down the stage.</t>
  </si>
  <si>
    <t>v_NVWk38z7f4U</t>
  </si>
  <si>
    <t>Several signs for tattoo shops are shown, along with a girl speaking to the camera.</t>
  </si>
  <si>
    <t>She shows off the tattoo she wants to get.</t>
  </si>
  <si>
    <t>The woman sits in a chair as a tattoo artist makes a snowflake on her arm.</t>
  </si>
  <si>
    <t>She talks to the camera the entire time as he inks her.</t>
  </si>
  <si>
    <t>Afterward, she shows off her completed tattoo and speaks about it.</t>
  </si>
  <si>
    <t>v_c-TD6-GESQk</t>
  </si>
  <si>
    <t>A man is standing in a gym.</t>
  </si>
  <si>
    <t>He bends down and picks up a large weight.</t>
  </si>
  <si>
    <t>He sets it down and talks to the camera.</t>
  </si>
  <si>
    <t>v_z93quI8Gxx4</t>
  </si>
  <si>
    <t>The woman is riding a camel as she talks to the camera.</t>
  </si>
  <si>
    <t>A man is guiding the camel and giving the camel food.</t>
  </si>
  <si>
    <t>The woman is reporting while she is on the back of the camel.</t>
  </si>
  <si>
    <t>v_rrNJt73BG_8</t>
  </si>
  <si>
    <t>A person opens a faucet and wet the hands.</t>
  </si>
  <si>
    <t>The person uses soap to rub vigorously the hands.</t>
  </si>
  <si>
    <t>After, the person rinse the hand thoroughly with plenty water.</t>
  </si>
  <si>
    <t>After the person dry the hands with a clean towel, and turns the the sink using the towel.</t>
  </si>
  <si>
    <t>v_q2-2jIQGfvg</t>
  </si>
  <si>
    <t>The words "speed cubing 53 sec" appear on a black screen.</t>
  </si>
  <si>
    <t>A young man sits at a table and starts playing with a Rubik's Cube.</t>
  </si>
  <si>
    <t>The man solves the puzzle completing all sides of the cube and the screen goes black.</t>
  </si>
  <si>
    <t>v_SFDvkbDZTjA</t>
  </si>
  <si>
    <t>A cat is scratching its paws on the carpet.</t>
  </si>
  <si>
    <t>A man holds the cats paw and starts clipping its nails.</t>
  </si>
  <si>
    <t>He holds the cat outside.</t>
  </si>
  <si>
    <t>v_TFdv2VQ8-Hg</t>
  </si>
  <si>
    <t>A group of people gather on a tarmac.</t>
  </si>
  <si>
    <t>They board the plane before taking off, showing the runway and clouds in the sky.</t>
  </si>
  <si>
    <t>They are in an airport, then driving down the road.</t>
  </si>
  <si>
    <t>Finally they are riding a boat in the coean, looking at a map and chartering the waters.</t>
  </si>
  <si>
    <t>They go surfing in the large waves.</t>
  </si>
  <si>
    <t>v_on2DKKcvWhE</t>
  </si>
  <si>
    <t>An introduction comes onto the screen for a video that will show a demo of some janitorial products.</t>
  </si>
  <si>
    <t>A man on the screen begins to describe a mop and bucket set that are used for cleaning floors.</t>
  </si>
  <si>
    <t>He then begins to demonstrate how to use the mop and bucket set.</t>
  </si>
  <si>
    <t>Next he shows the buckets close up and begins to describe how to use the buckets.</t>
  </si>
  <si>
    <t>At the end of the video the closing credits are shown.</t>
  </si>
  <si>
    <t>v_FBtrv1Vg8hU</t>
  </si>
  <si>
    <t>A young woman on a white horse is shown riding through the field.</t>
  </si>
  <si>
    <t>The lady is then shown exercising on a blue mat doing several yoga stretches.</t>
  </si>
  <si>
    <t>After,she is pictured in her home talking while sitting on the couch.</t>
  </si>
  <si>
    <t>Finally,the screen returns and she is shown in horseback riding in the field going through the stable.</t>
  </si>
  <si>
    <t>v_clUgEizjVkM</t>
  </si>
  <si>
    <t>A small group of people are seen skating around the ice playing a game of hockey against one another.</t>
  </si>
  <si>
    <t>One member scores as the camera pans around them and a man watching.</t>
  </si>
  <si>
    <t>v_PZ4miMXdjHE</t>
  </si>
  <si>
    <t>A man is seen standing in a large pit with a group of children and teaching them how to stand.</t>
  </si>
  <si>
    <t>The kids then get powder on their hands and the man chases them around and has fun.</t>
  </si>
  <si>
    <t>v_8NcRuVMSQLs</t>
  </si>
  <si>
    <t>The camera pans around an athletic woman standing ready and others watching her on the side.</t>
  </si>
  <si>
    <t>She jumps high over a pole and walks away as her jump is shown again in slow motion and another runner steps up.</t>
  </si>
  <si>
    <t>Several more women are shown jumping over the beam while their scores are shown immediately afterwards.</t>
  </si>
  <si>
    <t>v_nEv28s46Kvo</t>
  </si>
  <si>
    <t>We see an opening screen as a black and white film.</t>
  </si>
  <si>
    <t>We then see people putting on fencing gear.</t>
  </si>
  <si>
    <t>The two men fence in between title screens.</t>
  </si>
  <si>
    <t>The men switch from outdoors to indoors.</t>
  </si>
  <si>
    <t>We see a man's helmet.</t>
  </si>
  <si>
    <t>We see a men fighting in slow motion.</t>
  </si>
  <si>
    <t>The men finish and walk away from each other.</t>
  </si>
  <si>
    <t>v_HRjSOacCdWI</t>
  </si>
  <si>
    <t>A man picks up a heavy weight.</t>
  </si>
  <si>
    <t>He drops it to the ground.</t>
  </si>
  <si>
    <t>v_rX2tRvv2ZfU</t>
  </si>
  <si>
    <t>There's a woman dressed in a brown dress standing next to another lady in blue who is demonstrating a recipe.</t>
  </si>
  <si>
    <t>They are standing next to the kitchen counter that has several bowls filled with various ingredient in it.</t>
  </si>
  <si>
    <t>The chef is talking about the recipes that the ingredients are used for.</t>
  </si>
  <si>
    <t>There's a white plate with shredded meat on the kitchen counter.</t>
  </si>
  <si>
    <t>The chef then picks up the meat plate and gives it to the lady in brown.</t>
  </si>
  <si>
    <t>The presenter then empties the meat into a blue bowl.</t>
  </si>
  <si>
    <t>The chef continues to explain the recipe.</t>
  </si>
  <si>
    <t>Then they add some chopped cucumber to the blue bowl and mix it with a spoon.</t>
  </si>
  <si>
    <t>The chef shows the cucumbers she has used in the salad.</t>
  </si>
  <si>
    <t>Then they add chopped cherry tomatoes, followed by sliced white onions and some leafy greens.</t>
  </si>
  <si>
    <t>Then they add some more garnishing on top of the salad.</t>
  </si>
  <si>
    <t>v_ilE77hVgjjo</t>
  </si>
  <si>
    <t>A girl moves around an indoor playground.</t>
  </si>
  <si>
    <t>The girl slides down and climbs up a slide with boy.</t>
  </si>
  <si>
    <t>A finger touches the girls hair and head.</t>
  </si>
  <si>
    <t>v_VLQQVNIZQqo</t>
  </si>
  <si>
    <t>A man holds a hummer sits on the ground.</t>
  </si>
  <si>
    <t>Then, the man spins the hammer several times and throw it far.</t>
  </si>
  <si>
    <t>Other man perform the hammer throw while people watch.</t>
  </si>
  <si>
    <t>v_uWnlmM2uOs4</t>
  </si>
  <si>
    <t>There are many people in bathing suits standing in a lake with motor boats behind them.</t>
  </si>
  <si>
    <t>One girl wearing a bikini and holding a Coke can in her hand is rubbing sunscreen on another woman's chest.</t>
  </si>
  <si>
    <t>There are some men standing in swim trunks behind them, talking to each other.</t>
  </si>
  <si>
    <t>v_ZuHwSBCjfds</t>
  </si>
  <si>
    <t>News clippings of a water polo player are shown, as well as images and stills.</t>
  </si>
  <si>
    <t>We then see the water polo games in video, as the players try to lob the ball into a net.</t>
  </si>
  <si>
    <t>The people fight over the ball, and a small crowd claps and cheers.</t>
  </si>
  <si>
    <t>v_eXK0iVPl1j8</t>
  </si>
  <si>
    <t>A crowd is gathered around a black tiled area.</t>
  </si>
  <si>
    <t>A man in black does some breakdance moves.</t>
  </si>
  <si>
    <t>He then trades off with a man in white, Several breakdancers trade off displaying moves as the crowd looks on.</t>
  </si>
  <si>
    <t>Finally, the last breakdancer finishes his routine.</t>
  </si>
  <si>
    <t>v_MewROhYmQP0</t>
  </si>
  <si>
    <t>A polo match is being held outdoors in a field.</t>
  </si>
  <si>
    <t>A player on a horse hits the ball.</t>
  </si>
  <si>
    <t>A wide shot of the polo field action is shown.</t>
  </si>
  <si>
    <t>v_Mu8-AwcMqaw</t>
  </si>
  <si>
    <t>A young woman is seen speaking to the camera and leads into her showing off her hair then tying it into a ponytail.</t>
  </si>
  <si>
    <t>She sprays down her hair and then braids her bangs followed by pushing the braid back into a ponytail.</t>
  </si>
  <si>
    <t>She puts a bow in her hair in the end and smiles off to the camera.</t>
  </si>
  <si>
    <t>v_uzXbaoWOm5o</t>
  </si>
  <si>
    <t>A white screen appears and happy faces are displayed and black text words read "happyface Entertainment".</t>
  </si>
  <si>
    <t>There are two Asian women standing face to face very close to one another and talking about a can while subtitles show up at the bottom.</t>
  </si>
  <si>
    <t>The woman holding the bottle on the right tries to unscrew the bottle open and has a hard time so someone reaches in and opens it for her and hands it back.</t>
  </si>
  <si>
    <t>The women laugh, smell the contents in the bottle and the brunette tastes a little bit of it and they both laugh.</t>
  </si>
  <si>
    <t>v_li16LYa7us8</t>
  </si>
  <si>
    <t>A black screen appears with the white letters and numbers that say EXAM 2012.</t>
  </si>
  <si>
    <t>An outdoor of a two story older building is shown and the white letters on the screen say Bolshoi Ballet Academy.</t>
  </si>
  <si>
    <t>A blonde woman is shown sitting at a piano and as she begins to play a bunch of young women are shown dressed in their ballet gear and are dancing ballet on a stage while people watch them.</t>
  </si>
  <si>
    <t>Some of the girls are shown putting on tutus that stick straight out, they walk onto the stage and begin dancing as their tutus that stick straight out bounce with them.</t>
  </si>
  <si>
    <t>The women end their ballet routine, and they all walk to the side of the stage to grab the hand of the woman, they all routine to the stage, take a bow, and all the ballet dances celebrate their performance and give on another hugs.</t>
  </si>
  <si>
    <t>v_u024Wa07GNs</t>
  </si>
  <si>
    <t>A sandwich is sitting on a counter.</t>
  </si>
  <si>
    <t>There are many vegetables around the sandwich.</t>
  </si>
  <si>
    <t>A person puts cucumbers on top of the sandwich.</t>
  </si>
  <si>
    <t>v_en6lOb4wRUU</t>
  </si>
  <si>
    <t>A man is shown smoking a cigarette continuously blowing smoke out of his mouth and looking into the camera.</t>
  </si>
  <si>
    <t>He puts sunglasses on and continues taking puffs off the cigarette.</t>
  </si>
  <si>
    <t>He pans the camera to a crack in the floor and back to his face smoking outside.</t>
  </si>
  <si>
    <t>v_KCxa27MM7Cg</t>
  </si>
  <si>
    <t>Two small children as seen sitting at a table laughing with one another.</t>
  </si>
  <si>
    <t>One girl is seen painting another's nails while she looks off into the distance.</t>
  </si>
  <si>
    <t>The girl continues painting the others' nails while she laughs into the camera.</t>
  </si>
  <si>
    <t>v_fCE3Eo7_Nmw</t>
  </si>
  <si>
    <t>A person takes a knife and cut the ends of a potato, then the person peels the potato.</t>
  </si>
  <si>
    <t>After, the person cut the potato in squares.</t>
  </si>
  <si>
    <t>v_LnqAgjTpi0k</t>
  </si>
  <si>
    <t>We see a pink opening scene.</t>
  </si>
  <si>
    <t>A lady walks up stairs and people are gathered in a plaza outdoors.</t>
  </si>
  <si>
    <t>We see a race banner and people moving under the banner.</t>
  </si>
  <si>
    <t>Runners are running down a city street in a marathon.</t>
  </si>
  <si>
    <t>We see a stadium like structure a km 8.</t>
  </si>
  <si>
    <t>We see a fountain spraying water.</t>
  </si>
  <si>
    <t>A mariachi band sits on the sidewalk playing music followed by drummers.</t>
  </si>
  <si>
    <t>We see the end and a cup of coffee and a medal.</t>
  </si>
  <si>
    <t>A lady photo shops her picture in with the mariachi band.</t>
  </si>
  <si>
    <t>v_exPOJAoyG7Q</t>
  </si>
  <si>
    <t>There's a girl talking about cheer leading, gymnastics and tumbling.</t>
  </si>
  <si>
    <t>She is demonstrating how to do somersaults, cartwheels, round off and back and front walkover.</t>
  </si>
  <si>
    <t>She also shows various other moves like aerial, tic- toc and back handspring.</t>
  </si>
  <si>
    <t>She continues to demonstrate several other gymnastic moves by swiftly moving her body through front flips.</t>
  </si>
  <si>
    <t>v_4Xvn1xXvYdU</t>
  </si>
  <si>
    <t>A man in brown jacket is pulling out an arrow from the target board, then he was talking to the camera, then he pull out his bow and started to use it with his bow to hit the target board, he fired his bows several times.</t>
  </si>
  <si>
    <t>The man went to the target board and talked to the camera.</t>
  </si>
  <si>
    <t>v_5j6j4NJkUXA</t>
  </si>
  <si>
    <t>A boy is shown swinging on a piece of gymnastic equipment with others training in the background.</t>
  </si>
  <si>
    <t>The camera shows several shots of different boys swinging on the equipment around and around with the camera panning to different angles.</t>
  </si>
  <si>
    <t>v_Se7eQXlW-BA</t>
  </si>
  <si>
    <t>A man and woman are seen standing on a bowling lane with another reading in the distance.</t>
  </si>
  <si>
    <t>A woman walks in and speaks to the blonde woman and hands her some bowling shoes.</t>
  </si>
  <si>
    <t>The man speaks over and the girl throws the bowling ball with her heels on.</t>
  </si>
  <si>
    <t>v_5c1jHhHUwPI</t>
  </si>
  <si>
    <t>pitcher throw the ball to the batter playing criquet.</t>
  </si>
  <si>
    <t>the batter is fighing with the man and other people trye to calm him down.</t>
  </si>
  <si>
    <t>a lo of people wearing black unifroms are running in the field fighting.</t>
  </si>
  <si>
    <t>v_oEZToisRw4w</t>
  </si>
  <si>
    <t>Various women are seen walking around with shot puts in their hands followed by more shots of athletes walking around, throwing the ball, and waving to the crowd.</t>
  </si>
  <si>
    <t>The video continues on with several different shots of female athletes throwing shot puts as well as cheering to the crowd and moving around.</t>
  </si>
  <si>
    <t>v_KnI7IWbLWmE</t>
  </si>
  <si>
    <t>Two men play bagpipes, while being photographed at an outdoor military and police ceremony with a speaker at a podium surrounded by men in uniform and in front of a formally seated audience.</t>
  </si>
  <si>
    <t>Two men play bagpipes in front of a row of police officers and a man in a military uniform, all as a photographer takes their photo from below.</t>
  </si>
  <si>
    <t>The camera pans to a man in a suit standing at a podium in front of a group of people who are standing along with the rows of people in uniform behind the speaker.</t>
  </si>
  <si>
    <t>The camera then pans to three military planes flying overhead as part of the ceremony before returning to the people, who are standing, in front of the man at the podium.</t>
  </si>
  <si>
    <t>v_LnEed8TnWwk</t>
  </si>
  <si>
    <t>Shots of people standing on the sides are shown as well as a group of girls playing tug of war with one another.</t>
  </si>
  <si>
    <t>Several more shots are shown of girls playing tug of war against one another while people celebrate on the sides as well as with their team mates.</t>
  </si>
  <si>
    <t>v_SMhW9V-cJsQ</t>
  </si>
  <si>
    <t>A man wearing gloves is on his hands and knees using a power tool that is creating sparks.</t>
  </si>
  <si>
    <t>He continues using the object as the camera man watches and finishes burning the object.</t>
  </si>
  <si>
    <t>v_p31a9wkiSHA</t>
  </si>
  <si>
    <t>boy is standing in front of a door talking with other boys in front of a kitchen.</t>
  </si>
  <si>
    <t>man walks to the living room in front of a ping pong table.</t>
  </si>
  <si>
    <t>man are putting the shoes, grabs a skateboard and is skateboarding by a sidewalk with her friends.</t>
  </si>
  <si>
    <t>man is hanging from lianas on a tree on a park.</t>
  </si>
  <si>
    <t>v_lIb8_YksZyg</t>
  </si>
  <si>
    <t>A kid is standing with some men at a chair lift, dressed in ski gear.</t>
  </si>
  <si>
    <t>The boy skis down a hill, but falls down.</t>
  </si>
  <si>
    <t>He then is shown doing a flip in the air, followed by several ramp and flipping tricks.</t>
  </si>
  <si>
    <t>When they are done, they go inside a building.</t>
  </si>
  <si>
    <t>v_zIvC3Yytcv0</t>
  </si>
  <si>
    <t>Various groups of men are shown that leads into a man wearing a uniform and speaking to the camera.</t>
  </si>
  <si>
    <t>He then leads a group of people to play an instrument all together while the camera pans around.</t>
  </si>
  <si>
    <t>v_bESksIhdEvo</t>
  </si>
  <si>
    <t>A man is seen standing in front of a sink scrubbing it down with a sponge.</t>
  </si>
  <si>
    <t>The man continues wiping down the counter while occasionally looking at the camera.</t>
  </si>
  <si>
    <t>v_ynda_PQe_CM</t>
  </si>
  <si>
    <t>Several men are playing indoor soccer.</t>
  </si>
  <si>
    <t>A large crowd watches from the stands.</t>
  </si>
  <si>
    <t>A man wearing yellow kicks the ball into the goal and celebrates with his team before a replay of his goal is shown.</t>
  </si>
  <si>
    <t>The game continues and two men knock each other down before the red team scores a goal and a replay is shown.</t>
  </si>
  <si>
    <t>The yellow team tries to score and is blocked multiple times before finally scoring and a replay of this goal is shown twice.</t>
  </si>
  <si>
    <t>The game continues until the red team scores.</t>
  </si>
  <si>
    <t>A man from each team kicks the ball at the goal, each man gets the ball in the net and it flies back out.</t>
  </si>
  <si>
    <t>The same thing happens for one more man from each team.</t>
  </si>
  <si>
    <t>When the next red team member kicks, the goalie blocks the ball.</t>
  </si>
  <si>
    <t>Another man from each team scores before the goalie blocks a ball kicked by a man in yellow.</t>
  </si>
  <si>
    <t>Another ball from thew red team is blocked and two men from the sidelines in suits jump up and run on to the court and shake hands with a few players.</t>
  </si>
  <si>
    <t>The players celebrate some being followed by a camera.</t>
  </si>
  <si>
    <t>Men in suits hand a trophy to a man in yellow and he holds it over his head with everyone in the background celebrating.</t>
  </si>
  <si>
    <t>v_YW3mCNKVaa4</t>
  </si>
  <si>
    <t>A view is shown of steep mountain snow.</t>
  </si>
  <si>
    <t>Skiers are traveling on a lift.</t>
  </si>
  <si>
    <t>They are sledding on the snow down a steep hill.</t>
  </si>
  <si>
    <t>v_8NfYYT8d3EQ</t>
  </si>
  <si>
    <t>A text that reads "Deeba's Recipe" appears on the screen.</t>
  </si>
  <si>
    <t>The video then cuts to a woman standing behind a table filled with cooking ingredients.</t>
  </si>
  <si>
    <t>She speaks to the camera while showing some of what she has prepped for the dish.</t>
  </si>
  <si>
    <t>She places the various ingredients into a bowl and garnishes it very precisely.</t>
  </si>
  <si>
    <t>She then pours a sauce all over it.</t>
  </si>
  <si>
    <t>She then speaks to the camera some more to offer tips on how to make the dish.</t>
  </si>
  <si>
    <t>Another set of text showing "Deeba's" recipe is shown again.</t>
  </si>
  <si>
    <t>v_Me3ykrZobJE</t>
  </si>
  <si>
    <t>A person is seen holding a wrapped gift and begins wrapping paper around a box.</t>
  </si>
  <si>
    <t>The girl pushes it down on the sides and begins tapping the box.</t>
  </si>
  <si>
    <t>She finishes tapping all around the box and ends by presenting it to the camera.</t>
  </si>
  <si>
    <t>v_IQp6JF5v1qc</t>
  </si>
  <si>
    <t>The screen opens up with an ACDC promo.</t>
  </si>
  <si>
    <t>A little boy is speaking to the camera.</t>
  </si>
  <si>
    <t>The little boy begins to break dance and does many flips.</t>
  </si>
  <si>
    <t>He stands up and begins to rap.</t>
  </si>
  <si>
    <t>v_dHzX9NqyBZw</t>
  </si>
  <si>
    <t>man is standing behind a counte behind the pool.</t>
  </si>
  <si>
    <t>two men are standing on top of trampolines and make a Synchronized jump into the pool.</t>
  </si>
  <si>
    <t>man is going up the stairs to the trampoline.</t>
  </si>
  <si>
    <t>v_So4BX0I1VRI</t>
  </si>
  <si>
    <t>The person is shown knocking down 9 of the bowling pins, which means he has a spare.</t>
  </si>
  <si>
    <t>Next he knocks all of the pins down and gets a strike.</t>
  </si>
  <si>
    <t>v_a_sm5Hv7HNw</t>
  </si>
  <si>
    <t>Three kids are climbing up a mountain with out any rope.</t>
  </si>
  <si>
    <t>Then, they are hanging out in their room laughing and having fun.</t>
  </si>
  <si>
    <t>They're just three best friend doing everything together, walking, shopping, relaxing and climbing mountains.</t>
  </si>
  <si>
    <t>When they get to the top of the mountain they hug each other.</t>
  </si>
  <si>
    <t>v__-M4xNBhSEI</t>
  </si>
  <si>
    <t>A group is playing football on a large field.</t>
  </si>
  <si>
    <t>A green ball suddenly bounces across the fifty yard line.</t>
  </si>
  <si>
    <t>It comes to a stop, and the people back away.</t>
  </si>
  <si>
    <t>v_mc5XVTo5PVk</t>
  </si>
  <si>
    <t>A female gymnast mounts a high beam in front of her coach.</t>
  </si>
  <si>
    <t>She does several flips forward and backward.</t>
  </si>
  <si>
    <t>She dismounts, and he claps as she walks away.</t>
  </si>
  <si>
    <t>v_reit7blyxIo</t>
  </si>
  <si>
    <t>A man is lying in bed under the covers.</t>
  </si>
  <si>
    <t>He sits up on the edge of the bed, scratching his beard.</t>
  </si>
  <si>
    <t>He then stares at the shaver on his table, picking it up.</t>
  </si>
  <si>
    <t>The man shaves his bear, making it much shorter before lying down in bed, cuddling with the bag filled with his beard hair.</t>
  </si>
  <si>
    <t>v_5cTnHXcD7DE</t>
  </si>
  <si>
    <t>A large group of people are seen running down the street while many watch on the sides.</t>
  </si>
  <si>
    <t>Several people are seen speaking to the camera as more shots are shown of people running.</t>
  </si>
  <si>
    <t>People cheer others on on the sides as well as marching bands playing and people still running.</t>
  </si>
  <si>
    <t>v_Ayix_aDOrzs</t>
  </si>
  <si>
    <t>A girl is shown looking at several pictures of hairstyle and leads into another cutting one's hair.</t>
  </si>
  <si>
    <t>The kids sits patiently with a towel on her head and speaking to the camera.</t>
  </si>
  <si>
    <t>A goldfish is shown followed by a man cutting and styling her hair.</t>
  </si>
  <si>
    <t>The man cuts the girl's hair and styles it into an adorable look.</t>
  </si>
  <si>
    <t>The girl smiles and leaves the hair salon looking happy.</t>
  </si>
  <si>
    <t>v_4q7LmVSgIPk</t>
  </si>
  <si>
    <t>A person is talking on camera while showing various tools on the ground.</t>
  </si>
  <si>
    <t>A person is putting objects in front of a tire to move the car.</t>
  </si>
  <si>
    <t>A person drives the car over the object to move it.</t>
  </si>
  <si>
    <t>The tire is now sitting on top of an object and they take it off.</t>
  </si>
  <si>
    <t>A person brings out an old bike and talk about what needs to be done.</t>
  </si>
  <si>
    <t>v_W0RYvQUUNe0</t>
  </si>
  <si>
    <t>The person is parasailing the water.</t>
  </si>
  <si>
    <t>As the person sail, he started to bounce on the water.</t>
  </si>
  <si>
    <t>The person maneuver the sail to turn around.</t>
  </si>
  <si>
    <t>v_SvMIG1JlcMk</t>
  </si>
  <si>
    <t>Women are dancing on a stage.</t>
  </si>
  <si>
    <t>Women are waving flags around behind them.</t>
  </si>
  <si>
    <t>A woman is doing a belly dance in the middle of the stage.</t>
  </si>
  <si>
    <t>v_IeqBzYDyHGQ</t>
  </si>
  <si>
    <t>The video begins with shots of people cheering as well as several shots of players standing on a sand pit.</t>
  </si>
  <si>
    <t>The crowd is seen doing the wave and continues to cheer as the camera shows various clips of a soccer match going on.</t>
  </si>
  <si>
    <t>v_soDdkeamoMM</t>
  </si>
  <si>
    <t>A boy is swinging back and forth.</t>
  </si>
  <si>
    <t>The boy then falls on his face and cries.</t>
  </si>
  <si>
    <t>v_H2-rEH9TXR4</t>
  </si>
  <si>
    <t>A woman in blue shorts hands a man a dart.</t>
  </si>
  <si>
    <t>A man in a white hat throws a dart at a board.</t>
  </si>
  <si>
    <t>The woman walks up to the board.</t>
  </si>
  <si>
    <t>v_ztogHoQpE4A</t>
  </si>
  <si>
    <t>A man is working over the back of a trailer.</t>
  </si>
  <si>
    <t>He is welding the metal between two pieces of wood.</t>
  </si>
  <si>
    <t>Sparks fly as he works, crouching down on the sidewalk.</t>
  </si>
  <si>
    <t>v_rHWOESWciSc</t>
  </si>
  <si>
    <t>A man in a chef's outfit is talking in a kitchen while holding a potato.</t>
  </si>
  <si>
    <t>A man is working behind him as he peels the potato with a tool.</t>
  </si>
  <si>
    <t>He peels extremely fast, finishing in seconds.</t>
  </si>
  <si>
    <t>v_ZjbBmS8Q8kM</t>
  </si>
  <si>
    <t>First different kinds pool balls are shown lined up.</t>
  </si>
  <si>
    <t>Then the boy starts to play pool all by himself with the balls.</t>
  </si>
  <si>
    <t>v_kdQfR6oqJ_M</t>
  </si>
  <si>
    <t>There are several jockey riding brown horses in a stadium during a derby event.</t>
  </si>
  <si>
    <t>There crowd is cheering loudly as they stand with straw hats and umbrellas.</t>
  </si>
  <si>
    <t>The jockeys are getting ready to play polo as they move around with their sticks.</t>
  </si>
  <si>
    <t>A woman cheers loudly in the camera.</t>
  </si>
  <si>
    <t>The jockeys ride slowly around the field.</t>
  </si>
  <si>
    <t>v_fX3tcnTdAN4</t>
  </si>
  <si>
    <t>The boys lacrosse team is shown working out.</t>
  </si>
  <si>
    <t>They are then running drills on the gravel.</t>
  </si>
  <si>
    <t>Next, the team is in a scrimmage on the field.</t>
  </si>
  <si>
    <t>After that they were shown playing an actual game, running back and forth.</t>
  </si>
  <si>
    <t>Lastly a few members are at a professional game.</t>
  </si>
  <si>
    <t>v_1gradpCDbPU</t>
  </si>
  <si>
    <t>A woman is seen bending over a sink with a small child next to her.</t>
  </si>
  <si>
    <t>The woman and child stick their hands under a sink to wash them off.</t>
  </si>
  <si>
    <t>The woman dries the girls hands in the end and shows her putting lotion on.</t>
  </si>
  <si>
    <t>v_zgdT41KjjrE</t>
  </si>
  <si>
    <t>A guy stands next to horses with a clipboard.</t>
  </si>
  <si>
    <t>A guy walks under a horse fence.</t>
  </si>
  <si>
    <t>A person leads a horse.</t>
  </si>
  <si>
    <t>The guy gets on top of the horse.</t>
  </si>
  <si>
    <t>The guy pats the horse and goes horseback riding.</t>
  </si>
  <si>
    <t>People go horseback riding down a trail.</t>
  </si>
  <si>
    <t>v_aRurjtzwmS8</t>
  </si>
  <si>
    <t>A shot of a building leads into a 3d game of men sumo wrestling.</t>
  </si>
  <si>
    <t>The game continues on with the characters fighting and a ref watching on the side.</t>
  </si>
  <si>
    <t>The game ends and shows more pictures of men sumo wrestling and pointing.</t>
  </si>
  <si>
    <t>v_JMIvoKPtxRA</t>
  </si>
  <si>
    <t>A red, white and black intro has a logo and the words and letter W2K15.</t>
  </si>
  <si>
    <t>The video game begins and there are 3 characters against 1 character and they are wrestling in a rink performing numerous tricks like strangling, hitting, running into the character to make them fall, or picking them up and then slamming them down to the ground while the referee is standing in the corner.</t>
  </si>
  <si>
    <t>A new round begins with different characters wrestling and the referee tries to stop them but one of the characters picks the referee up and then slams him to the ground where he lays there for a few seconds.</t>
  </si>
  <si>
    <t>The referee gets up and then kicks one of the characters out of the rink then he drops on the ground to bang his hand on the rink to end the wresting round.</t>
  </si>
  <si>
    <t>The outro video begins and it's the same as the intro video.</t>
  </si>
  <si>
    <t>v_Zest0gXEWEc</t>
  </si>
  <si>
    <t>A logo for "The Galley" with the tagline "Reinventing the Kitchen" briefly appears.</t>
  </si>
  <si>
    <t>The scene is narrated by a female speaker.</t>
  </si>
  <si>
    <t>A woman with blond hair prepares a sink dishwashing station with a hanging sink and drying bars above a metal channel.</t>
  </si>
  <si>
    <t>The woman washes glasses, plates and knives and then places each on the racks to dry.</t>
  </si>
  <si>
    <t>The woman finishes by pulling the plug on the hanging sink allowing the water to flow away in the channel underneath.</t>
  </si>
  <si>
    <t>"The Galley" logo appears again.</t>
  </si>
  <si>
    <t>v_tETVZtWqdDs</t>
  </si>
  <si>
    <t>woman is in the news talking to the camera about a hand sunscreen.</t>
  </si>
  <si>
    <t>woman is holding a sunscreen tube and put it in her arms, hands and face and the woman in studio keeps talkin about the natural sunscreen.</t>
  </si>
  <si>
    <t>v_LmEUkoYh0nQ</t>
  </si>
  <si>
    <t>A text intro leads into several shots of a pumpkin as well as tools followed by a man carving the pumpkin.</t>
  </si>
  <si>
    <t>The man draws and cuts away all around the front of the pumpkin while moving in fast motion.</t>
  </si>
  <si>
    <t>The man finishes his pumpkin and the camera pans all around the side.</t>
  </si>
  <si>
    <t>v_KqOLTkf5ujs</t>
  </si>
  <si>
    <t>a man is standing outside with a paint pan.</t>
  </si>
  <si>
    <t>He talks as he demonstrates how to paint outdoor wood.</t>
  </si>
  <si>
    <t>He shows off a paint roller.</t>
  </si>
  <si>
    <t>He continues talking about the process as he stands there.</t>
  </si>
  <si>
    <t>v_1DvNkSGk-JA</t>
  </si>
  <si>
    <t>A man is holding onto a bar as he is standing on a water ski.</t>
  </si>
  <si>
    <t>He is being pulled through the water by a motor boat.</t>
  </si>
  <si>
    <t>He is water skiing over a long lake, trying to remain upright.</t>
  </si>
  <si>
    <t>v_WUYSGCwm6OM</t>
  </si>
  <si>
    <t>A woman in a bathrobe facing a mirror cleans her hands.</t>
  </si>
  <si>
    <t>The camera cuts to closeup scenes of her fingers picking up a contact lens and holding it up.</t>
  </si>
  <si>
    <t>The camera briefly cuts to the woman's face before returning.</t>
  </si>
  <si>
    <t>The woman puts the contact lens on her eye.</t>
  </si>
  <si>
    <t>The woman applies contact lens solution into her lens carrying case.</t>
  </si>
  <si>
    <t>The woman washes her hands.</t>
  </si>
  <si>
    <t>The woman removes the contact lens from her eye.</t>
  </si>
  <si>
    <t>The woman places the lens on her palm and, using solution, cleans it.</t>
  </si>
  <si>
    <t>The woman places the lens into the case and adds solution.</t>
  </si>
  <si>
    <t>The woman begins to leave the camera frame.</t>
  </si>
  <si>
    <t>v_XPN_PSadJ_A</t>
  </si>
  <si>
    <t>A person is seen sitting on a bike before a track looking down.</t>
  </si>
  <si>
    <t>The man then begins riding down the track with several others riding in front.</t>
  </si>
  <si>
    <t>The person rides all around the area and ends with a go pro logo.</t>
  </si>
  <si>
    <t>v_8TNzCiy8iaY</t>
  </si>
  <si>
    <t>A man wearing a suit in the city walks down the streets of new york and meets up with another man who likes just like him.</t>
  </si>
  <si>
    <t>The men compare items and then perform a dance routine in the center.</t>
  </si>
  <si>
    <t>The men grabs hands to end the routine then walk away from one another.</t>
  </si>
  <si>
    <t>v_MmYNcmba_Ps</t>
  </si>
  <si>
    <t>An athlete is seen walking forward while shaking her arms and legs around and adjusting her swim suit.</t>
  </si>
  <si>
    <t>The girl bends forward and performs a dive into the pool while the camera pans back to a scoreboard.</t>
  </si>
  <si>
    <t>v__5UtmlGMIUc</t>
  </si>
  <si>
    <t>A man has his foot up on the toilet.</t>
  </si>
  <si>
    <t>He starts shaving his leg with a shaver.</t>
  </si>
  <si>
    <t>He pulls up his pants and starts shaving his other leg.</t>
  </si>
  <si>
    <t>v_FhWxgGQtCJY</t>
  </si>
  <si>
    <t>A man is shoveling up some mulch into a wheel barrel.</t>
  </si>
  <si>
    <t>He brings the wheel barrel over and dumps it in a pile where a woman is using a rake to spread it evenly out.</t>
  </si>
  <si>
    <t>They continue to bring over loads of the mulch and a man dumps over a little tractor of dirt.</t>
  </si>
  <si>
    <t>He rides off on the little deer john tractor while the others continue raking.</t>
  </si>
  <si>
    <t>v_pKOwZrmQan4</t>
  </si>
  <si>
    <t>A person is seen walking around a field followed by several shots off the field and people watching on the sides.</t>
  </si>
  <si>
    <t>The video transitions into several shots of trainers doing tricks with their dogs using frisbees.</t>
  </si>
  <si>
    <t>The people continuously throw the frisbee around the field while the dog chases afterwards and runs around the field.</t>
  </si>
  <si>
    <t>v_n7AaZhEOJSY</t>
  </si>
  <si>
    <t>The video begins with a man performing various ballet moves while the camera follows and repeats in slow motion.</t>
  </si>
  <si>
    <t>The man interviews the camera and leads into another dancer performing steps.</t>
  </si>
  <si>
    <t>Several more people are seen performing dance moves and speaking to the camera.</t>
  </si>
  <si>
    <t>v_qi_6u0mMJQM</t>
  </si>
  <si>
    <t>A person shows a piece of furniture.</t>
  </si>
  <si>
    <t>Then, the person covers a wood box with carpet and cuts the leftovers.</t>
  </si>
  <si>
    <t>Then, the person fold the carpet on the borders and cut the parts not needed.</t>
  </si>
  <si>
    <t>v_MOBJ_kpzHc0</t>
  </si>
  <si>
    <t>A caucasion woman is standing in the kitchen talking to a toddler and they begin banging their fist on the island.</t>
  </si>
  <si>
    <t>A red screen appears with a picture of lemonade and the two reappear.</t>
  </si>
  <si>
    <t>The lady begins talking extremely energetic to the camera.</t>
  </si>
  <si>
    <t>The two then begin dumping ingredients into a blender,beginning with strawberries and ending with syrup.</t>
  </si>
  <si>
    <t>Lastly,the toddler dumps a cup of ice in the blender and the lady blends the ingredients.</t>
  </si>
  <si>
    <t>Once done,the lady grabs two cups and fills them up and the two of them enjoy a drink together.</t>
  </si>
  <si>
    <t>v_F54PZypvzCc</t>
  </si>
  <si>
    <t>A little boy is standing in a living room.</t>
  </si>
  <si>
    <t>He is throwing darts at a target.</t>
  </si>
  <si>
    <t>He walks over and removes the darts before trying again.</t>
  </si>
  <si>
    <t>v_GvRPOGpObyU</t>
  </si>
  <si>
    <t>Alcohol is shown being poured into a glass and leads into a woman holding up a glass and pouring ice into it.</t>
  </si>
  <si>
    <t>The woman then pours various alcohol mixes into the glass and ends by presenting the glass to the camera.</t>
  </si>
  <si>
    <t>v_p4KNKI2UZLc</t>
  </si>
  <si>
    <t>An American gymnast climbs the balance beam, the she performs four flips backwards and one flip forward.</t>
  </si>
  <si>
    <t>Then, the gymnast spins backward one time on her side, then she jumps and flips two times backwards.</t>
  </si>
  <si>
    <t>After the gymnast jumps, spins and turns.</t>
  </si>
  <si>
    <t>The gymnast stands on the end of the beam, then she runs and flips to times and end stand on the mat.</t>
  </si>
  <si>
    <t>After, the gymnast raise her arms and she is congratulated by people.</t>
  </si>
  <si>
    <t>The routine of the gymnast is repeated again.</t>
  </si>
  <si>
    <t>v_cqxrPBGP4nU</t>
  </si>
  <si>
    <t>A before and after picture of a sink is shown.</t>
  </si>
  <si>
    <t>A person is then shown putting cleaner on a sponge and scrubbing a sink.</t>
  </si>
  <si>
    <t>The cleaning products and the clean sink are then shown.</t>
  </si>
  <si>
    <t>v_9ntzCNcFTKM</t>
  </si>
  <si>
    <t>Six children wearing white clothing and orange belts are in a room with others watching.</t>
  </si>
  <si>
    <t>A man yells an order and the children demonstrate their Taekwondo.</t>
  </si>
  <si>
    <t>The man yells again and the children line up and bow.</t>
  </si>
  <si>
    <t>The children demonstrate poses as the man orders them.</t>
  </si>
  <si>
    <t>They then perform more martial arts moves.</t>
  </si>
  <si>
    <t>They return to the line they were standing in previously.</t>
  </si>
  <si>
    <t>They demonstrate additional moves including kicks and punches.</t>
  </si>
  <si>
    <t>They line up again and bow for a second time.</t>
  </si>
  <si>
    <t>v_K5X_ytiMuqc</t>
  </si>
  <si>
    <t>A girl talks to a camera shes holding on followed by shots of a store and her dog in a car.</t>
  </si>
  <si>
    <t>She records several items shown around the store and then herself in a bikini.</t>
  </si>
  <si>
    <t>She puts the lotion on herself standing in front of a lake and smiling into the camera.</t>
  </si>
  <si>
    <t>v_Mg8y0rgD16M</t>
  </si>
  <si>
    <t>Several pictures of various foods are shown and leads into a person cutting foods on a cutting board.</t>
  </si>
  <si>
    <t>More pictures are shown while the man cuts up vegetables and mixes them into a bowl.</t>
  </si>
  <si>
    <t>He stirs around the ingredients and more pictures of the foods are shown.</t>
  </si>
  <si>
    <t>v_yjQ-0AGqFS4</t>
  </si>
  <si>
    <t>We see a boy playing drums in an instrument store.</t>
  </si>
  <si>
    <t>We see a man across the room playing drums.</t>
  </si>
  <si>
    <t>We see a girl, another boy, and the dad.</t>
  </si>
  <si>
    <t>We see the man across the room, then the boy.</t>
  </si>
  <si>
    <t>The boy in stripes touches something on the drums.</t>
  </si>
  <si>
    <t>We see the boy and the man at the same time.</t>
  </si>
  <si>
    <t>The boy in the stripes shirt rocks back and forth.</t>
  </si>
  <si>
    <t>The boy finishes and looks at the camera.</t>
  </si>
  <si>
    <t>v_V3dTp7_NyiE</t>
  </si>
  <si>
    <t>a man is working outside in a garden.</t>
  </si>
  <si>
    <t>He uses trimmers to cut pieces of a plant.</t>
  </si>
  <si>
    <t>When he is done, the plant is fully trimmed.</t>
  </si>
  <si>
    <t>v_qBEdCDpoeTc</t>
  </si>
  <si>
    <t>A blue screen flashes with yellow writing with a title page and several paragraphs.</t>
  </si>
  <si>
    <t>A man then appears in a cage with a circle in it spinning in circles before he throws a shot put.</t>
  </si>
  <si>
    <t>The video replays and it stops as he makes the correct steps to throw the ball beginning with the shoulder and following through with the rest of the body.</t>
  </si>
  <si>
    <t>v_kQoGS3YjBXk</t>
  </si>
  <si>
    <t>A man is shown speaking to the camera and leads into him standing in front of a bike frame.</t>
  </si>
  <si>
    <t>He points to the frame while speaking to the camera and leads into him screwing objects into place.</t>
  </si>
  <si>
    <t>The person continues to screw the frame as well as the chain while turning and speaking to the camera.</t>
  </si>
  <si>
    <t>v_rFx-j3NhSgI</t>
  </si>
  <si>
    <t>An empty gymnasium is shown when a girl hits a button the computer and begins starting a routine.</t>
  </si>
  <si>
    <t>She twirls around the gym floor with a baton and moves her arms around.</t>
  </si>
  <si>
    <t>She kicks her legs continuously with her arms.</t>
  </si>
  <si>
    <t>v_gIzsM5cv7XM</t>
  </si>
  <si>
    <t>A young girl is standing in the room in a black cami and black and white legs preparing talking.</t>
  </si>
  <si>
    <t>She is then shown talking to a young girl with a pink sweater and black skirt and multiple games of rock paper scissors are being played between her and two other girls.</t>
  </si>
  <si>
    <t>The girl with the pink sweater wins and she sits on the girls face.</t>
  </si>
  <si>
    <t>Afterwards,the three girls stand together and start talking to the camera.</t>
  </si>
  <si>
    <t>v_L2J_QI2_qms</t>
  </si>
  <si>
    <t>women are making some gymnasic jumps in a hallway.</t>
  </si>
  <si>
    <t>men and women are in department stores doing gymnastics jumps.</t>
  </si>
  <si>
    <t>woman is making a hand stand ni a parking lot and on stores.</t>
  </si>
  <si>
    <t>man is sanding in a fence in a mall looking o the first floor.</t>
  </si>
  <si>
    <t>v_flfLCoLHm2k</t>
  </si>
  <si>
    <t>A girl waves to the camera and begins speaking followed by various ingredients laid out.</t>
  </si>
  <si>
    <t>The girl then puts the ingredients on a plate and puts saran wrap over the food.</t>
  </si>
  <si>
    <t>She mixes up the food with other ingredients followed by bread on top and cut into pieces.</t>
  </si>
  <si>
    <t>She takes a bite of the food and eventually leads to pictures of her food next to a cup of tea.</t>
  </si>
  <si>
    <t>v_LeSq1XE93mE</t>
  </si>
  <si>
    <t>A band is shown on a stage.</t>
  </si>
  <si>
    <t>A man is playing guitar, and the man to his right is playing the drums.</t>
  </si>
  <si>
    <t>The person in front of them is dancing and singing.</t>
  </si>
  <si>
    <t>v_l5xW6UZWwBs</t>
  </si>
  <si>
    <t>There two old men wearing straw hats, dressed in t-shirts and shorts getting ready to play shuffleboard.</t>
  </si>
  <si>
    <t>There two other men standing a few yards away with their cue sticks.</t>
  </si>
  <si>
    <t>A woman with gray hair and a yellow shirt is seen playing shuffleboard.</t>
  </si>
  <si>
    <t>There are two discs on the ground that get hit by another disc.</t>
  </si>
  <si>
    <t>Several spectators are watching a shuffleboard event where various people are competing and playing.</t>
  </si>
  <si>
    <t>One of the players adjusts his discs before hitting it with the cue stick.</t>
  </si>
  <si>
    <t>v_vJyJG6Lvy9Q</t>
  </si>
  <si>
    <t>White text appears on a blue background.</t>
  </si>
  <si>
    <t>A girl in makeup and cheerleading outfit is shown at a game.</t>
  </si>
  <si>
    <t>Then we see a gymnast doing flips across a mat before doing a back handspring in several different styles.</t>
  </si>
  <si>
    <t>v_j8bfR_d_TlM</t>
  </si>
  <si>
    <t>A person makes a jack o lantern.</t>
  </si>
  <si>
    <t>First they cut the top off of a green pumpkin and scoop the seeds and other stuff out.</t>
  </si>
  <si>
    <t>The remaining insides are cut and scraped off with an ice cream scoop.</t>
  </si>
  <si>
    <t>A design is drawn on the pumpkin and then cut out.</t>
  </si>
  <si>
    <t>The inside of the pumpkin gets sprayed with mold remover and patted dry.</t>
  </si>
  <si>
    <t>A candle is placed inside and lit and the lid is put back on.</t>
  </si>
  <si>
    <t>With the lights turned down the jack o lantern can be viewed.</t>
  </si>
  <si>
    <t>v_I8m878YGmU8</t>
  </si>
  <si>
    <t>The video leads into several shots of olympic runners completing long jumps into pits of sand.</t>
  </si>
  <si>
    <t>The video continues on showing several different runners completing their jumps and them cheering to the crowd afterwards.</t>
  </si>
  <si>
    <t>v_ZDlw4L7oNfs</t>
  </si>
  <si>
    <t>Two people are chilling out on their skateboards.</t>
  </si>
  <si>
    <t>They fix some of the parts and then go skating around.</t>
  </si>
  <si>
    <t>v_8B3qhnSB7U8</t>
  </si>
  <si>
    <t>A woman is seen sitting in a chair laughing while a man points in front of her.</t>
  </si>
  <si>
    <t>The man then holds a gun up to her nose and pierces her nose.</t>
  </si>
  <si>
    <t>A woman plays with the girls hair while speaking to the girl and showing off her nose piercing.</t>
  </si>
  <si>
    <t>v_1ZuUq5rVwPs</t>
  </si>
  <si>
    <t>A carpenter sprays a ceiling with paint.</t>
  </si>
  <si>
    <t>A second carpenter smooths out the paint on the ceiling.</t>
  </si>
  <si>
    <t>The first carpenter sprays paint all over the ceiling.</t>
  </si>
  <si>
    <t>A couple of carpenters smooth out the paint on the ceiling.</t>
  </si>
  <si>
    <t>One of the carpenters is seen spraying the ceiling and stops for a second to move a light.</t>
  </si>
  <si>
    <t>The painting continues as well as the smoothing out of the paint.</t>
  </si>
  <si>
    <t>v_kWh_zSLpZuQ</t>
  </si>
  <si>
    <t>Kids are shown playing basketball on a court.</t>
  </si>
  <si>
    <t>The coach is talking to them and trying to tell them how to play.</t>
  </si>
  <si>
    <t>The kids perform lay ups.</t>
  </si>
  <si>
    <t>v_Tm1ebIrDyz0</t>
  </si>
  <si>
    <t>We see a girl run and perform a high jump and make it over the bar.</t>
  </si>
  <si>
    <t>We then see a replay and and slow motion replay.</t>
  </si>
  <si>
    <t>v_agX22QLvOcU</t>
  </si>
  <si>
    <t>A man is dribbling a basketball.</t>
  </si>
  <si>
    <t>He jumps and shoots the basketball into the hoop.</t>
  </si>
  <si>
    <t>Words are shown on the screen at the end.</t>
  </si>
  <si>
    <t>v_G4mX4StOvQE</t>
  </si>
  <si>
    <t>A woman is kneeling down on a blue mat.</t>
  </si>
  <si>
    <t>A man stands behind her talking.</t>
  </si>
  <si>
    <t>The woman starts moving her legs and arms.</t>
  </si>
  <si>
    <t>v_u_RzyIJi8qc</t>
  </si>
  <si>
    <t>Two men are standing outside with a crowd of people lifting weights and exercising.</t>
  </si>
  <si>
    <t>Many people begin to film the guys on their phone,the weight lifting continues and several people come back to do interviews.</t>
  </si>
  <si>
    <t>More people are shown and then a logo comes that is sponsored by Reebok.</t>
  </si>
  <si>
    <t>v_osLHgm_yuMc</t>
  </si>
  <si>
    <t>People are running around playing paintball.</t>
  </si>
  <si>
    <t>A man falls into a large puddle of mud.</t>
  </si>
  <si>
    <t>A man falls down and another man runs up to check on him.</t>
  </si>
  <si>
    <t>v_EgPk-mmJyS8</t>
  </si>
  <si>
    <t>A woman is seen speaking to the camera and leads into her laying out a paid of shorts.</t>
  </si>
  <si>
    <t>She then demonstrates how to properly iron the clothing items.</t>
  </si>
  <si>
    <t>v_0dgmG3h9RLA</t>
  </si>
  <si>
    <t>A person is playing bagpipes out in a park.</t>
  </si>
  <si>
    <t>A man and two boys watching from a far.</t>
  </si>
  <si>
    <t>The camera shoots areas all around the park while the bagpipes play.</t>
  </si>
  <si>
    <t>v_8im-T1bsyHs</t>
  </si>
  <si>
    <t>An athlete is seen running down a large track and throwing a javelin into the air.</t>
  </si>
  <si>
    <t>Her throw is shown again in slow motion followed by several more athletes who take their turns.</t>
  </si>
  <si>
    <t>v_81w6SClSFMU</t>
  </si>
  <si>
    <t>We see an opening title screens.</t>
  </si>
  <si>
    <t>People are working on cameras in a workshop.</t>
  </si>
  <si>
    <t>We see them mount it to a tube.</t>
  </si>
  <si>
    <t>the lady then dances the hula hoop with the tube.</t>
  </si>
  <si>
    <t>We see a blonde man making adjustments to the tube.</t>
  </si>
  <si>
    <t>We see the closing end screen.</t>
  </si>
  <si>
    <t>v_NxnEKnqWLCI</t>
  </si>
  <si>
    <t>A camera pans around a group of people sitting at a table followed by a man holding a surf board.</t>
  </si>
  <si>
    <t>The man carries the board out onto the water and begins riding the water.</t>
  </si>
  <si>
    <t>The person continues to ride around following behind another person on the water.</t>
  </si>
  <si>
    <t>v_Sh8JODtAMhc</t>
  </si>
  <si>
    <t>Various shots of a theme park are shown including rides moving, people playing games, and other people interacting with one another.</t>
  </si>
  <si>
    <t>Two men are then shown driving around an area on bumper cars while laughing to the camera and others speaking to the camera.</t>
  </si>
  <si>
    <t>The men continue riding around and ends with a woman pulling down a cover for the game.</t>
  </si>
  <si>
    <t>v_9ZnJyY_-Hzw</t>
  </si>
  <si>
    <t>A man walks across a tightrope, as seen from the view of the underside of the rope.</t>
  </si>
  <si>
    <t>A pan out of the river and a ferry is seen in Hong Kong.</t>
  </si>
  <si>
    <t>A man puts on a show as he balances in several different positions on a tightrope for a small crowd.</t>
  </si>
  <si>
    <t>Another man joins him,and they balance,walk, and do push ups.</t>
  </si>
  <si>
    <t>v_lHnSteuHdZ4</t>
  </si>
  <si>
    <t>A person is walking slow on ice,trying to to crack it.</t>
  </si>
  <si>
    <t>the person made many mid size hole in the ice and have fishing line hanging deep in the water underneath.</t>
  </si>
  <si>
    <t>the person walking to one of the hole and checks the fishing line to see if he caught nay fish.</t>
  </si>
  <si>
    <t>the guy then pulls hard on the fishing line and drags it in.</t>
  </si>
  <si>
    <t>finally he uses a long metal hook to hook the fish he caught and brings it out the hole.</t>
  </si>
  <si>
    <t>he then unhooks the long hook and use his tools to unhook the small fishing hook the the fish mouth leaving the fish bloody.</t>
  </si>
  <si>
    <t>v__nvQDglPcmc</t>
  </si>
  <si>
    <t>water polo team is standing by the pool talking to the camera.</t>
  </si>
  <si>
    <t>man jumps in the water and is holding a ball and sart playing in the pool.</t>
  </si>
  <si>
    <t>v_I637SOXSbHY</t>
  </si>
  <si>
    <t>A man bends down and picks up two kettle bells.</t>
  </si>
  <si>
    <t>He raises and lowers the kettle bells.</t>
  </si>
  <si>
    <t>He puts them down on the grass in front of him.</t>
  </si>
  <si>
    <t>v__s20ZN8WZbo</t>
  </si>
  <si>
    <t>A man stands behind a bar with several mixed drinks.</t>
  </si>
  <si>
    <t>He pours ice into a glass and tops it with different liquors.</t>
  </si>
  <si>
    <t>He then adds a small straw.</t>
  </si>
  <si>
    <t>v_RlC3n0VSGOU</t>
  </si>
  <si>
    <t>An intro leads into clips of people riding surfboards on the water as well as jet skis.</t>
  </si>
  <si>
    <t>The camera pans around the area and continues to show more clips of people surfing.</t>
  </si>
  <si>
    <t>A close up of a surf board is shown followed by many more people surfing on the water.</t>
  </si>
  <si>
    <t>v_HfjvlIAEsJY</t>
  </si>
  <si>
    <t>A screen appears with bike spokes as the background and red words that read "Overhauling &amp; Adjusting Cup &amp; Cone Hubs" and a website in gray right under the red words.</t>
  </si>
  <si>
    <t>A man then enters and from behind he uses tools on the hub to take it apart, clean it thoroughly, grease it, then he puts it all back together and makes sure everything is secured tight.</t>
  </si>
  <si>
    <t>The outro is a spinning wheel with fast scrolling words going from the bottom to the top then it quickly fades to a black screen.</t>
  </si>
  <si>
    <t>v_ObU5as8-u-s</t>
  </si>
  <si>
    <t>To teams play hurling in a field while holding stick.</t>
  </si>
  <si>
    <t>A woman stand and a lady walk on front a bench.</t>
  </si>
  <si>
    <t>The referee extend his left arm.</t>
  </si>
  <si>
    <t>v_gK71Ut9XQ-Y</t>
  </si>
  <si>
    <t>Various shots of tools are shown that lead into a man sitting down holding a guitar.</t>
  </si>
  <si>
    <t>The man then strums the guitar for a bit and pauses.</t>
  </si>
  <si>
    <t>He is then shown playing again as well as more tools being shown.</t>
  </si>
  <si>
    <t>v_wfy5UXaAVnQ</t>
  </si>
  <si>
    <t>Multiple groups of people in boats are out exploring a river.</t>
  </si>
  <si>
    <t>Wind blows the trees in the Grand Canyon.</t>
  </si>
  <si>
    <t>A group of people on a white boat paddle away at the waters in the river.</t>
  </si>
  <si>
    <t>Multiple groups battle high violent waters.</t>
  </si>
  <si>
    <t>At one point, the violent waters seem to almost topple one of the groups.</t>
  </si>
  <si>
    <t>A brave, single kayaker paddles away at the waters.</t>
  </si>
  <si>
    <t>v_pExl_cwmT8M</t>
  </si>
  <si>
    <t>A middle aged man is standing in the street wearing rollerblades.</t>
  </si>
  <si>
    <t>The man precisely skates in-between a tight row of small cones.</t>
  </si>
  <si>
    <t>The man does a handstand after completing the course and goes back to the beginning.</t>
  </si>
  <si>
    <t>v_iH8eHkIHrg4</t>
  </si>
  <si>
    <t>Two men walk along the beach with their surfboards.</t>
  </si>
  <si>
    <t>They enter the water and the surfer with the white board catches a wave.</t>
  </si>
  <si>
    <t>White board catches another wave as the blue board opts out, more waves taken by white board are shown.</t>
  </si>
  <si>
    <t>The surfer on the blue board catches a few waves.</t>
  </si>
  <si>
    <t>The white board surfer is shown gliding across more waves, clearly like an expert.</t>
  </si>
  <si>
    <t>v_Bl2Hqx3h9Fw</t>
  </si>
  <si>
    <t>A series of screens appear with white and purple words in paragraph form.</t>
  </si>
  <si>
    <t>A person is then shown walking out to the car with a utensil taking the snow off of the glass.</t>
  </si>
  <si>
    <t>Then another screen appears with white words and displays a sentence and the location.</t>
  </si>
  <si>
    <t>v_iUOCQ9sE2_A</t>
  </si>
  <si>
    <t>Two people are seen standing on a mat and begin fighting one another.</t>
  </si>
  <si>
    <t>The men pause for a moment and continue fighting on while people watch on the side.</t>
  </si>
  <si>
    <t>The boys continue fighting and stop in the end.</t>
  </si>
  <si>
    <t>v_brrf2inGs7E</t>
  </si>
  <si>
    <t>A person is seen turning on a faucet and rubbing their hands under the water.</t>
  </si>
  <si>
    <t>The person pushes soap into their hands, watching the soap drip down, and then scrubs their hands.</t>
  </si>
  <si>
    <t>v_-ApIBtH_pVc</t>
  </si>
  <si>
    <t>There's a woman with a hand tattoo and red painted nails attaching and screwing a parts in the trunk of a car to attach the spare tire.</t>
  </si>
  <si>
    <t>Then she places the spare tire into the metal case.</t>
  </si>
  <si>
    <t>She takes the plastic dial and screws it in securely to fit the spare tire in the trunk.</t>
  </si>
  <si>
    <t>She places the cover over the tire inside the trunk.</t>
  </si>
  <si>
    <t>v_pON-g7IJKEY</t>
  </si>
  <si>
    <t>There are many kids ranging from toddlers to teenagers enjoying themselves at a backyard birthday party.</t>
  </si>
  <si>
    <t>There is a Disney princess piñata hanging from a tree.</t>
  </si>
  <si>
    <t>The kids are enjoying hitting the piñata with a blue stick.</t>
  </si>
  <si>
    <t>they kids take turns to hit the piñata.</t>
  </si>
  <si>
    <t>A little girl dressed in a purple skirt tries to tear the piñata by hitting it hard with the stick.</t>
  </si>
  <si>
    <t>v_Mil3AyFfjX4</t>
  </si>
  <si>
    <t>A young child is seen standing before a shuffleboard table holding a stick.</t>
  </si>
  <si>
    <t>The boy then pushes the puck across the game.</t>
  </si>
  <si>
    <t>The camera follows the pucks movements and leads back to the boy.</t>
  </si>
  <si>
    <t>v_4xmQoAK3QNc</t>
  </si>
  <si>
    <t>A man hits a ball with a bat.</t>
  </si>
  <si>
    <t>Three men stand on a field.</t>
  </si>
  <si>
    <t>One man throws a ball on the field.</t>
  </si>
  <si>
    <t>Three men flip a coin.</t>
  </si>
  <si>
    <t>v_0PnAEoMx-v0</t>
  </si>
  <si>
    <t>A person is playing an acoustic guitar.</t>
  </si>
  <si>
    <t>There is a Christmas tree behind him.</t>
  </si>
  <si>
    <t>A logo with words comes onto the screen.</t>
  </si>
  <si>
    <t>v_uINj6L2EEUs</t>
  </si>
  <si>
    <t>Different views around a city are seen.</t>
  </si>
  <si>
    <t>A large crowd is seen cheering inside a large auditorium.</t>
  </si>
  <si>
    <t>Athletes walk together through a hallway then stand on logs and chop through them in a competition.</t>
  </si>
  <si>
    <t>Two athletes walk through wearing green and orange jerseys then saw through large logs in a competition.</t>
  </si>
  <si>
    <t>The judge inspects the log and declares a winner to the crowds delight.</t>
  </si>
  <si>
    <t>Two athletes walk through a hallway then chop an upright log in a competition.</t>
  </si>
  <si>
    <t>Cheerleaders enter through a hallway then dance on stage.</t>
  </si>
  <si>
    <t>Two athletes enter through a hallway then use a hand saw to cut through a log.</t>
  </si>
  <si>
    <t>Two athletes enter through a hallway then place boards into a log to stand on while chopping it down.</t>
  </si>
  <si>
    <t>Athletes compete in a chainsaw competition and saw through large logs before congratulating each other.</t>
  </si>
  <si>
    <t>The winner is seen holding a trophy along with runners up and the crowd cheers.</t>
  </si>
  <si>
    <t>v_Xv2-EY_zKNM</t>
  </si>
  <si>
    <t>These 2 different teams are running on the field because they're playing shinty.</t>
  </si>
  <si>
    <t>Only half of the crowd is filled with people, while the other side is empty with no one there to watch anything.</t>
  </si>
  <si>
    <t>In the end, someone wins and people in the crowd clap and cheer.</t>
  </si>
  <si>
    <t>v_T3CHT7rQQVc</t>
  </si>
  <si>
    <t>A man is seated with an electric guitar.</t>
  </si>
  <si>
    <t>He is speaking to the camera, then he starts playing.</t>
  </si>
  <si>
    <t>Another man plays the chords on a table.</t>
  </si>
  <si>
    <t>v_P_b6_k2ocYw</t>
  </si>
  <si>
    <t>A woman in a hat and a vest stands buy a cart.</t>
  </si>
  <si>
    <t>She is crocheting something black and white.</t>
  </si>
  <si>
    <t>A car drives by the cart.</t>
  </si>
  <si>
    <t>Another person reaches into the car.</t>
  </si>
  <si>
    <t>v_OSw73cXwjR4</t>
  </si>
  <si>
    <t>A person wearing a hat is sitting no a couch.</t>
  </si>
  <si>
    <t>They begin playing an accordion.</t>
  </si>
  <si>
    <t>They are pointing at buttons on the accordion with a screwdriver.</t>
  </si>
  <si>
    <t>v_P5lLZ_jsA2o</t>
  </si>
  <si>
    <t>A gymnast is seen swinging around on a bar doing various flips and tricks across two sets of beams.</t>
  </si>
  <si>
    <t>She continues spinning around and ends with her hands up and her coach clapping.</t>
  </si>
  <si>
    <t>People watch on the sides and her scores are shown in the end.</t>
  </si>
  <si>
    <t>v_Zk4EvGw7cAw</t>
  </si>
  <si>
    <t>There are two high school students in the high school cafeteria standing next to a table where some students are sitting.</t>
  </si>
  <si>
    <t>One of the students is undressing and changing his shorts while the other student in a red shirt is watching him.</t>
  </si>
  <si>
    <t>After the student finishes changing, the boy in the red shirt makes fun of him.</t>
  </si>
  <si>
    <t>The student gets provoked and punches the boy in the red shirt on his face, causing him to fall on the ground on his head.</t>
  </si>
  <si>
    <t>v_ueKSGag6w4Q</t>
  </si>
  <si>
    <t>A woman walks around a stage holding a saxophone.</t>
  </si>
  <si>
    <t>She starts to play the saxophone as she dances.</t>
  </si>
  <si>
    <t>She stops and talks to the crowd again.</t>
  </si>
  <si>
    <t>She starts to play and dance again.</t>
  </si>
  <si>
    <t>v_XZCmkuDKltY</t>
  </si>
  <si>
    <t>A man is seen sitting before a table with a rubix cube on it and his hands on a platform.</t>
  </si>
  <si>
    <t>He then solves the rubix cube in a matter of seconds and shows off his time to the camera.</t>
  </si>
  <si>
    <t>v_96HJ_LqNdkg</t>
  </si>
  <si>
    <t>This girl is doing a video of how to make your white shoes become sparkly clean.</t>
  </si>
  <si>
    <t>You will need a toothbrush, baby powder, a glass cup or bowl, bleach, and q-tips, blowdryer, and water.</t>
  </si>
  <si>
    <t>First she adds water pours a little bit of baby powder into the small bowl and she mixes it up using the toothbrush.</t>
  </si>
  <si>
    <t>She puts the baby powder soaked toothbrush onto the shoe and starts to rub it there.</t>
  </si>
  <si>
    <t>Then she grabs the blowdryer and blowdrys the shoe and scrubs them again.</t>
  </si>
  <si>
    <t>Then she pours bleach into the small bowl that has baby powder in it and she puts the toothbrush in the bowl and rubs it on the shoe again.</t>
  </si>
  <si>
    <t>Finally she wets a cloth with water and wipes the shoe off.</t>
  </si>
  <si>
    <t>v_0ZzKrBk1ac8</t>
  </si>
  <si>
    <t>A man and a woman are arm wrestling on a table.</t>
  </si>
  <si>
    <t>A woman in a white shirt walks past them.</t>
  </si>
  <si>
    <t>The woman wins and walks away.</t>
  </si>
  <si>
    <t>v_AFnEr0_wStU</t>
  </si>
  <si>
    <t>A piercing artist removes a tissue from a woman's nose and wipes part of the nose.</t>
  </si>
  <si>
    <t>The woman holds piercing pliers up against a woman's nose.</t>
  </si>
  <si>
    <t>She pierces a needle through the nose and holds the pliers in place.</t>
  </si>
  <si>
    <t>She removes the pliers from the woman's nose.</t>
  </si>
  <si>
    <t>The woman sitting down speaks.</t>
  </si>
  <si>
    <t>The piercing artist touches the needle and the nose as she screws a nose ring on.</t>
  </si>
  <si>
    <t>The piercing artists arranges the piercing inside the nose with some pliers.</t>
  </si>
  <si>
    <t>The piercing artist touches the piercing.</t>
  </si>
  <si>
    <t>The piercing artists uses a tissue to collect blood around the piercing.</t>
  </si>
  <si>
    <t>A collection of artwork is seen on the wall.</t>
  </si>
  <si>
    <t>The piercing artist continually uses a tissue to wipe blood from the woman's nose.</t>
  </si>
  <si>
    <t>The woman stands up and waves.</t>
  </si>
  <si>
    <t>v_SX075xQ0j6c</t>
  </si>
  <si>
    <t>We see a book on a table.</t>
  </si>
  <si>
    <t>We see image in the book with videos of people knitting.</t>
  </si>
  <si>
    <t>We see a lady teaching two girls.</t>
  </si>
  <si>
    <t>We see a teacher teaching a boy to knit.</t>
  </si>
  <si>
    <t>We see a lady teaching a group of children to knit.</t>
  </si>
  <si>
    <t>v_RPKcM8q74FE</t>
  </si>
  <si>
    <t>A group of kids are in bumper cars.</t>
  </si>
  <si>
    <t>They ride around, trying to hit each other.</t>
  </si>
  <si>
    <t>They bump into the other cars as they go.</t>
  </si>
  <si>
    <t>v_WmPkqkqAxyc</t>
  </si>
  <si>
    <t>A man is seen standing in a large field holding onto a tool.</t>
  </si>
  <si>
    <t>The man then uses the tool on the grass in font of him quickly.</t>
  </si>
  <si>
    <t>The man continues to cut the grass while the camera captures his movement.</t>
  </si>
  <si>
    <t>v_b2uAgV5n3FU</t>
  </si>
  <si>
    <t>A man splits hardwood for use in wood stoves.</t>
  </si>
  <si>
    <t>There are two techniques used, one with an ax and one with a hammer and ax.</t>
  </si>
  <si>
    <t>v_0EDEA8dZeGo</t>
  </si>
  <si>
    <t>First the man sets his timer that's attached to his chest and he sits down and puts his leg onto the ski.</t>
  </si>
  <si>
    <t>Next he stands up while holding onto something and he starts water skiing as he gets pulled by the boat.</t>
  </si>
  <si>
    <t>But, he eventually falls off and is seen standing in the water.</t>
  </si>
  <si>
    <t>v_G6LjkB0xv2k</t>
  </si>
  <si>
    <t>A woman exercises at a machine.</t>
  </si>
  <si>
    <t>The camera focuses on and features specific parts of the machine.</t>
  </si>
  <si>
    <t>The woman demonstrates folding the machine for storage.</t>
  </si>
  <si>
    <t>The woman continues to exercise on the machine.</t>
  </si>
  <si>
    <t>v_0Zg9UgCp4a4</t>
  </si>
  <si>
    <t>A group of men are outside sitting around a fountain playing a game of oddly drawn hopscotch.</t>
  </si>
  <si>
    <t>One boy takes his turn and then they all begin talking again.</t>
  </si>
  <si>
    <t>Next,a boy tries to jump over the bricks but ends up falling.</t>
  </si>
  <si>
    <t>Another boy jumps after him and he is successful.</t>
  </si>
  <si>
    <t>However,the next boy jumps and has to stand on one foot and collect all of the pieces thrown behind him.</t>
  </si>
  <si>
    <t>v_MzqovHjEKE4</t>
  </si>
  <si>
    <t>A man is seen speaking to the camera and leads into him holding up a tool and pointing to several bushes.</t>
  </si>
  <si>
    <t>The man then trims along the bush while stopping to speak to the camera and holding up the tool.</t>
  </si>
  <si>
    <t>v_xMImWgn3owc</t>
  </si>
  <si>
    <t>A gymnast is seen standing on a beam and begins performing gymnastic moves on the beam.</t>
  </si>
  <si>
    <t>The girl spins and flips all along the beam while the camera captures her movements.</t>
  </si>
  <si>
    <t>She ends her routine but jumping down off the side with her arms up and walking away.</t>
  </si>
  <si>
    <t>v_kH50-giCeDM</t>
  </si>
  <si>
    <t>Two men walk to the barrel in a yard at a barbecue and the men both reach for the last beer in the barrel.</t>
  </si>
  <si>
    <t>The men do rock paper scissors and the right man hits the left with a rock, takes the beer and walks off.</t>
  </si>
  <si>
    <t>We see a beer poured in a glass.</t>
  </si>
  <si>
    <t>We see the injured man with his hand up and a man walks past and gives him a high five.</t>
  </si>
  <si>
    <t>v_1LrEiYVd3qg</t>
  </si>
  <si>
    <t>A man is seen speaking to the camera in front of a large trailer in he moods.</t>
  </si>
  <si>
    <t>The man is then seen kneeling over a fire and begins lighting a flame into a pit.</t>
  </si>
  <si>
    <t>A boy is seen walking around with a tennis racket and points to the ground while the man is still sitting in front of the fire.</t>
  </si>
  <si>
    <t>v_hniQpwn3Ob4</t>
  </si>
  <si>
    <t>An intro leads into several clips of different athletes performing shotput throws in a circle.</t>
  </si>
  <si>
    <t>More men continue to step up and throw the object while many watch on the sidelines.</t>
  </si>
  <si>
    <t>v_soHEsBIljbI</t>
  </si>
  <si>
    <t>A teen girl sits on the floor holding a shoe.</t>
  </si>
  <si>
    <t>She is then shown wiping the shoe down with a cleaning solution.</t>
  </si>
  <si>
    <t>She shows the shoe close up after she is done.</t>
  </si>
  <si>
    <t>v_gSOUhz7yQ-s</t>
  </si>
  <si>
    <t>A man is standing outside of a large window and begins to clean it with a long stick.</t>
  </si>
  <si>
    <t>One the window is wet,he takes the razor like stick and drags it up and down getting the water off.</t>
  </si>
  <si>
    <t>After the two top windows are complete,he leaves the other two untouched and walks away.</t>
  </si>
  <si>
    <t>v_0T7yANM5I5Y</t>
  </si>
  <si>
    <t>A man bends at the knees in front of a barbell.</t>
  </si>
  <si>
    <t>He lifts it slowly, bringing it to his chest.</t>
  </si>
  <si>
    <t>He pauses, then lifts it over his head before dropping it back to the ground.</t>
  </si>
  <si>
    <t>v_lAZIxuxjogI</t>
  </si>
  <si>
    <t>A man is standing on a ledge of a tower.</t>
  </si>
  <si>
    <t>He jumps off and bungee jumps.</t>
  </si>
  <si>
    <t>It is shown in slow motion.</t>
  </si>
  <si>
    <t>v_Wd8Kz1XRpdg</t>
  </si>
  <si>
    <t>The camera pans around several men drinking a large container of alcohol and the camera panning back to the beginning.</t>
  </si>
  <si>
    <t>The camera continues capturing the men drinking as well as talking to one another and one rubbing his eyes in the end.</t>
  </si>
  <si>
    <t>v_-aWU5Yj_OPw</t>
  </si>
  <si>
    <t>A young man is seated in a living room.</t>
  </si>
  <si>
    <t>He is playing an electronic keyboard.</t>
  </si>
  <si>
    <t>The keyboard is printing a document as he goes.</t>
  </si>
  <si>
    <t>v_sZf6ijFwPDs</t>
  </si>
  <si>
    <t>A lady explains drinks and the mixing of them,she grabs a cup with ice and add some liquor to it by using a shot glass to get the right measurement.</t>
  </si>
  <si>
    <t>the lady then mix another type of liquor to the first type she poured in the glass.</t>
  </si>
  <si>
    <t>finally she adds a type of juice to the drink with a sliced orange and straw.</t>
  </si>
  <si>
    <t>v_1Cdqwg7Giv4</t>
  </si>
  <si>
    <t>A man is spinning in circles and throwing a discuss for a competition.</t>
  </si>
  <si>
    <t>The video slows down and shows the same throw but in slow motion.</t>
  </si>
  <si>
    <t>Another man comes up to the plate and throws the discuss.</t>
  </si>
  <si>
    <t>Again the video slows down and shows the same throw in slow motion.</t>
  </si>
  <si>
    <t>A third player steps up and throws the discuss in slow motion.</t>
  </si>
  <si>
    <t>Several other players step up and take their turn throwing the disk.</t>
  </si>
  <si>
    <t>v_rKTpKq7bh_U</t>
  </si>
  <si>
    <t>We see an image of a lady and a child.</t>
  </si>
  <si>
    <t>The lady fades, the child plays a flute and we see a man.</t>
  </si>
  <si>
    <t>The man is crying as the child plays, We see the people in the sky.</t>
  </si>
  <si>
    <t>We see a man and woman embracing in the sky.</t>
  </si>
  <si>
    <t>We see images of nature.</t>
  </si>
  <si>
    <t>The people in the sky bow and dance.</t>
  </si>
  <si>
    <t>The man lays down in a prayer position.</t>
  </si>
  <si>
    <t>The child finishes playing the flute.</t>
  </si>
  <si>
    <t>v_5YVN5d8DkSk</t>
  </si>
  <si>
    <t>The camera pans around several pitting sitting at a bar as well as bartenders attending to people's needs.</t>
  </si>
  <si>
    <t>More shots are shown of people interacting in the restaurant and finally people speaking to the camera.</t>
  </si>
  <si>
    <t>v_eS1USHkyb2U</t>
  </si>
  <si>
    <t>A young woman is seen brushing her hair that leads into her speaking to the camera.</t>
  </si>
  <si>
    <t>She holds up several brushes while speaking to the camera as well as various objects.</t>
  </si>
  <si>
    <t>She uses scissors to get hair out of a brush as well as a toothbrush and bowl to clean out her brushes.</t>
  </si>
  <si>
    <t>v_Oi-atN4-Oqk</t>
  </si>
  <si>
    <t>A young man dance in a room moving his hands and putting behind his back.</t>
  </si>
  <si>
    <t>Then, the man put his hand behind his head.</t>
  </si>
  <si>
    <t>The reflection of the man is in the mirror.</t>
  </si>
  <si>
    <t>v_C1vhQIJtLsw</t>
  </si>
  <si>
    <t>A man is seen standing on stilts in a city square while other people around him roller blade.</t>
  </si>
  <si>
    <t>The man takes off running down the block and then runs back to where he started.</t>
  </si>
  <si>
    <t>v_f0JySdrM_l8</t>
  </si>
  <si>
    <t>A woman in a blue shirt spins around and throws a ball onto the field.</t>
  </si>
  <si>
    <t>Another person comes and throws a disk onto the field.</t>
  </si>
  <si>
    <t>People are standing at the side of the field is watching.</t>
  </si>
  <si>
    <t>v_x7yOoVf5-Do</t>
  </si>
  <si>
    <t>A business and the area around it is shown and the name on the business say's "LUMBERJACK NATIONALS" carved in a wooden sign, and the white text below say's "Columbia Basin BMX RICHLAND, WA".</t>
  </si>
  <si>
    <t>A boy dressed in biking gear is putting on a helmet while standing and text on the right side of the screen appear and say "@BryceBetts13Z CHASE STAYSTRONG" as the boy gets on his bike and pushes it out of screen.</t>
  </si>
  <si>
    <t>The boy is now on the curvy and twisty dirt bike track riding around very fast and occasionally other people are shown riding on the track, too.</t>
  </si>
  <si>
    <t>A special effect outro appears with the boy still riding around the track and other text and logos appear on the screen until it fades to a white screen that end with a clip art on the left and large words that read MENDO MEDIA on the right.</t>
  </si>
  <si>
    <t>v_hBT_SN8IGsQ</t>
  </si>
  <si>
    <t>Players on a field are running around playing a game.</t>
  </si>
  <si>
    <t>They get into a big fight on the field.</t>
  </si>
  <si>
    <t>The ref comes and breaks the fight up.</t>
  </si>
  <si>
    <t>A man in a yellow striped shirt is talking to the referee.</t>
  </si>
  <si>
    <t>v_wG0OD99mjdY</t>
  </si>
  <si>
    <t>Several clips are shown of people climbing up and down rock walls while many others speak to the camera.</t>
  </si>
  <si>
    <t>Several more people are shown climbing on the rocks while speaking to the camera and making their way up and down.</t>
  </si>
  <si>
    <t>v_VAKQMtYrl4I</t>
  </si>
  <si>
    <t>Several dogs walk down a street.</t>
  </si>
  <si>
    <t>They are on leashes held by their owners.</t>
  </si>
  <si>
    <t>The stream of them is endless.</t>
  </si>
  <si>
    <t>A woman holds her dog.</t>
  </si>
  <si>
    <t>v_4qONyTNaPOI</t>
  </si>
  <si>
    <t>A still shot picture of a body of water appears and yellow words appear on the screen and read "AMERICAN DISK" and include the website.</t>
  </si>
  <si>
    <t>A brunette woman is now speaking next to the water and she's smiling the whole time.</t>
  </si>
  <si>
    <t>Various clips of people play and they are all standing next to or in the water as well and they all appear happy.</t>
  </si>
  <si>
    <t>People are now on the water and doing various different things, with a large circular board that they're either standing, sitting, squatting, kneeling, riding or doing tricks on while they sometimes are getting pulled by a fast moving boat.</t>
  </si>
  <si>
    <t>A black screen appears and the yellow words are displayed on the screen and read "The Disk", and once again the brunette woman is speaking while standing by the water.</t>
  </si>
  <si>
    <t>The screen then goes to black and displays their website in yellow letters.</t>
  </si>
  <si>
    <t>v_iKJB-RU_PKY</t>
  </si>
  <si>
    <t>A close up of a table is shown that leads into several clip of a puck moving along the table from various angles.</t>
  </si>
  <si>
    <t>People push and look down towards the pucks as they move along and continue to play the game with one another back and fourth.</t>
  </si>
  <si>
    <t>v_4U13LEMIdi4</t>
  </si>
  <si>
    <t>A cat is sitting in a cat bed.</t>
  </si>
  <si>
    <t>It is licking its paw.</t>
  </si>
  <si>
    <t>It then wipes its paw on its ear.</t>
  </si>
  <si>
    <t>v_gXUm7nobsfU</t>
  </si>
  <si>
    <t>A woman in a sparkling green dress talks on a stage.</t>
  </si>
  <si>
    <t>A couple is shown dancing, kicking and swirling creatively.</t>
  </si>
  <si>
    <t>When they are done, they hold hands as the crowd cheers.</t>
  </si>
  <si>
    <t>They walk over to the woman in a green dress, hugging her before leaving the stage.</t>
  </si>
  <si>
    <t>v_mAfp5ABlKyM</t>
  </si>
  <si>
    <t>Two men are playing table tennis while two judges sit at either end.</t>
  </si>
  <si>
    <t>The men hit the ball back and forth.</t>
  </si>
  <si>
    <t>The winner raises his hands as the crowd cheers.</t>
  </si>
  <si>
    <t>The scene is replayed of his successful hit.</t>
  </si>
  <si>
    <t>v_cQ3pZhIBPHI</t>
  </si>
  <si>
    <t>A man is in a gym kneeling down holding a medium sized medicine ball.</t>
  </si>
  <si>
    <t>He then sits up and starts to throw the ball back and forth against the wall.</t>
  </si>
  <si>
    <t>After,a list of cues appear before showing off the venue and their youtube page.</t>
  </si>
  <si>
    <t>v_uLhOFVNmRu8</t>
  </si>
  <si>
    <t>A man in green sitting at the end of the sand square taking video, on the sides of the square are three men.</t>
  </si>
  <si>
    <t>The young athlete in blue uniform run in a narrow lane, hopped and jump on the sandy ground.</t>
  </si>
  <si>
    <t>v_7KT-z20qxI4</t>
  </si>
  <si>
    <t>Three people are in a news room, talking to the camera.</t>
  </si>
  <si>
    <t>A team is playing ice hockey, and celebrating as they win a game.</t>
  </si>
  <si>
    <t>The happy teammates smile for interviews in the locker room after.</t>
  </si>
  <si>
    <t>The news casters are shown holding number sticks and laughing.</t>
  </si>
  <si>
    <t>v_MWn4qozlaMs</t>
  </si>
  <si>
    <t>A woman is seen pulling food out of a fridge and speaking to a girl who walks downstairs.</t>
  </si>
  <si>
    <t>They women continue speaking when a man also walks down the stairs.</t>
  </si>
  <si>
    <t>The woman and man then speak and the other woman walks upstairs.</t>
  </si>
  <si>
    <t>v_D9A_9FH7e-A</t>
  </si>
  <si>
    <t>We see a ladies hands with nail polish on them.</t>
  </si>
  <si>
    <t>The lady puts tape on her finger around her nail and puts clear and white polish on them.</t>
  </si>
  <si>
    <t>The lady adds drops of nail polish to a glass of fluid and pulls it through.</t>
  </si>
  <si>
    <t>The lady puts her nail in the cup and uses a stick to remove the polish.</t>
  </si>
  <si>
    <t>The lady pulls the tape of then puts a clear coat over her fingernails.</t>
  </si>
  <si>
    <t>v_EqhnCfb5vEc</t>
  </si>
  <si>
    <t>A woman is on stage doing a belly dance routine, she is very passionate about it.</t>
  </si>
  <si>
    <t>She starts to spin in circles, her dress twirling along with her.</t>
  </si>
  <si>
    <t>Her dress comes up over head and then down to her shoulders, she continues to spin in circles and takes the dress off and holds it like a baby.</t>
  </si>
  <si>
    <t>She goes back to spinning around until her dance is over and then she drops to the floor.</t>
  </si>
  <si>
    <t>v_4rmo35vpG00</t>
  </si>
  <si>
    <t>A woman and girl are trying to get a dog into a shower.</t>
  </si>
  <si>
    <t>The dog keeps jumping back out.</t>
  </si>
  <si>
    <t>They finally give the dog a bath outdoors with a hose.</t>
  </si>
  <si>
    <t>v_2glmVDTPY44</t>
  </si>
  <si>
    <t>A man snowboards over snow covered slopes and hills and several other objects like railings, roofs, garages and tree stumps.</t>
  </si>
  <si>
    <t>A man snowboards over snow covered hill.</t>
  </si>
  <si>
    <t>The man then continues to snowboard off of a garage roof, a stair railing and several other places.</t>
  </si>
  <si>
    <t>The man does a complete spin in the snow in the final shot.</t>
  </si>
  <si>
    <t>v_0bbL30qENMg</t>
  </si>
  <si>
    <t>A boy rinses his face with water in a bathroom sink.</t>
  </si>
  <si>
    <t>The boys laugh and joke together in the bathroom.</t>
  </si>
  <si>
    <t>A boy rubs soap on his hands and then onto his face.</t>
  </si>
  <si>
    <t>The boy rinses the soap off from his face in the sink.</t>
  </si>
  <si>
    <t>The boy rolls up the towel and throws it in the corner of the room.</t>
  </si>
  <si>
    <t>v_VbWomrZXIus</t>
  </si>
  <si>
    <t>An old man flips an skateboard with his feet, then take it and throw to the floor and skate.</t>
  </si>
  <si>
    <t>After, the man hit the skateboard with his foot and it raise high, the man tries to catch the skateboard but he miss it.</t>
  </si>
  <si>
    <t>A boy almost get hit with a skateboard.</t>
  </si>
  <si>
    <t>Then the man skate on the park and then goes to a skateboard track.</t>
  </si>
  <si>
    <t>v_UJiQEkByWcM</t>
  </si>
  <si>
    <t>A young boy in a blue sweater jumps out from the side and stands in front of a dart board.</t>
  </si>
  <si>
    <t>Once he calms down,he turns around and begins throwing darts on the board.</t>
  </si>
  <si>
    <t>After all of the darts are thrown,the camera zooms in on the darts to show what he had done.</t>
  </si>
  <si>
    <t>v_4E8rMLHIpag</t>
  </si>
  <si>
    <t>A man in a black hat is talking to the camera.</t>
  </si>
  <si>
    <t>He starts playing a violin on his shoulder.</t>
  </si>
  <si>
    <t>He stops playing and puts the violin down to his side.</t>
  </si>
  <si>
    <t>v_Yd98o-oEGvI</t>
  </si>
  <si>
    <t>A man and a dog is out in a field and the dog holds the frisbee between his legs and the dog jumps over the person's back and fetches the frisbee.</t>
  </si>
  <si>
    <t>The game continues and the two continues to play with the frisbee while the owner puts his legs up for the dog to get.</t>
  </si>
  <si>
    <t>Now,the human has four or five frisbees and starts to throw them rapidly for the dog to get.</t>
  </si>
  <si>
    <t>v_2YE_8XDuDBI</t>
  </si>
  <si>
    <t>A view of a home is briefly shown.</t>
  </si>
  <si>
    <t>It pans to another room and it shows a small child sitting at a drum set, sucking on a pacifier and holding two drumsticks and hitting the drums.</t>
  </si>
  <si>
    <t>The child hits the cymbals a few times with his left hand then he grabs the drumsticks and starts hitting all of the drums.</t>
  </si>
  <si>
    <t>v_4ELWxQw0PPE</t>
  </si>
  <si>
    <t>Two men are seen holding hands with a ref holding them together and leads into an arm wrestling match.</t>
  </si>
  <si>
    <t>One man wins and then goes on to arm wrestle several more people.</t>
  </si>
  <si>
    <t>v_90cHokbZy6A</t>
  </si>
  <si>
    <t>a man is talking outside in a garden.</t>
  </si>
  <si>
    <t>He is holding a pocket knife in his hand.</t>
  </si>
  <si>
    <t>He uses a stone to sharpen the knife for the camera.</t>
  </si>
  <si>
    <t>v_xOGOd2UJaMY</t>
  </si>
  <si>
    <t>People are standing in a circle clapping.</t>
  </si>
  <si>
    <t>Two people start fighting in the circle.</t>
  </si>
  <si>
    <t>Women are dancing and holding sticks.</t>
  </si>
  <si>
    <t>v_v9vc_d-qFnk</t>
  </si>
  <si>
    <t>An athletic man is seen steeping up to a set of uneven bars and puts his arms up to present he's ready.</t>
  </si>
  <si>
    <t>The man continues to spin himself around performing flips and tricks on the uneven bars.</t>
  </si>
  <si>
    <t>The man continues to flip around and ends by wobbling but putts his hands up to finish.</t>
  </si>
  <si>
    <t>v_jJ5t3ZUxP7Y</t>
  </si>
  <si>
    <t>A man walks over to the end of a table that has a bunch of red cups arranged in a triangle.</t>
  </si>
  <si>
    <t>He begins to toss a ball into the cups.</t>
  </si>
  <si>
    <t>The video goes to black and a graphic appears to close the clip.</t>
  </si>
  <si>
    <t>v_GK_DCUGw5lM</t>
  </si>
  <si>
    <t>A woman in a black shirt is dancing.</t>
  </si>
  <si>
    <t>She is twirling a baton.</t>
  </si>
  <si>
    <t>She catches the baton and twirls.</t>
  </si>
  <si>
    <t>v_r3lN8kgtgw4</t>
  </si>
  <si>
    <t>A group travels to a river, getting into inflatable rafts.</t>
  </si>
  <si>
    <t>They paddle quickly down the river through the raging white rapids and over small waterfalls.</t>
  </si>
  <si>
    <t>They float slowly back as water sprays down on them from a fall.</t>
  </si>
  <si>
    <t>v_zuqNxHmtBD8</t>
  </si>
  <si>
    <t>We see a man's face up close with his name imposed over it as the man prepares to run on a track.</t>
  </si>
  <si>
    <t>The man runs down the track and performs a long jump and throws his arms in the air.</t>
  </si>
  <si>
    <t>We see another man stretching his arms.</t>
  </si>
  <si>
    <t>The jumper waits for the scores to appear on the screen and the man who jumped throws his hands in the air and runs away.</t>
  </si>
  <si>
    <t>A reply of the jump is played.</t>
  </si>
  <si>
    <t>v_mX3gbTBdbKY</t>
  </si>
  <si>
    <t>A group of men are on camera, singing in a video and talking.</t>
  </si>
  <si>
    <t>They are wearing sunglasses as they change from a lot to a paint covered warehouse.</t>
  </si>
  <si>
    <t>A man is covered in paint and wearing boxing gloves as he gloats to the camera.</t>
  </si>
  <si>
    <t>v_TiiSh9R89vM</t>
  </si>
  <si>
    <t>There are two people out on a snow tubing slope where one of them is video taping his experience of snow tubing with his friend.</t>
  </si>
  <si>
    <t>There's a woman who picks up some ice that's fallen o the ground.</t>
  </si>
  <si>
    <t>There are several people waiting in line to go snow tubing.</t>
  </si>
  <si>
    <t>After they reach the top of the slope, they get into their tubes and begin sliding downhill.</t>
  </si>
  <si>
    <t>They go down the snow covered slopes till they reach the bottom.</t>
  </si>
  <si>
    <t>v_3fAVDJyrSQs</t>
  </si>
  <si>
    <t>People are standing around a camp site chopping wood.</t>
  </si>
  <si>
    <t>A boy stands holding a stick.</t>
  </si>
  <si>
    <t>A man throws pieces of wood into a pile.</t>
  </si>
  <si>
    <t>Chairs at the camp site are shown.</t>
  </si>
  <si>
    <t>A man walks towards the camera talking.</t>
  </si>
  <si>
    <t>They continue chopping wood at the camp site.</t>
  </si>
  <si>
    <t>v_Jxhz1ln7UXk</t>
  </si>
  <si>
    <t>A person is seen walking around a yard as well as many people standing.</t>
  </si>
  <si>
    <t>The people then beginning playing a game with one another and running around the yard.</t>
  </si>
  <si>
    <t>The people huddle up together while leading into more shots of people playing the game and speaking to the camera.</t>
  </si>
  <si>
    <t>v_-gZjpAPEhR4</t>
  </si>
  <si>
    <t>A close up of a person's roller blades are shown with a man standing in frame.</t>
  </si>
  <si>
    <t>The person then lights up his blades and jumps in place.</t>
  </si>
  <si>
    <t>The person continues riding around and kicking his feet up while the sparks fly.</t>
  </si>
  <si>
    <t>v_9vzbohxkIKA</t>
  </si>
  <si>
    <t>A person's hand are seen dealing cards onto a table as well as several clips of a casino being shown.</t>
  </si>
  <si>
    <t>More shots are shown of people dealing cards to others as well as people cheering and continuing to deal cards.</t>
  </si>
  <si>
    <t>v_DXIHbnyfNGA</t>
  </si>
  <si>
    <t>A computer monitor sits on a desk.</t>
  </si>
  <si>
    <t>A boy puts on gloves.</t>
  </si>
  <si>
    <t>He then puts on a helmet.</t>
  </si>
  <si>
    <t>He then rides a longboard.</t>
  </si>
  <si>
    <t>v_nK7XMj4gYJs</t>
  </si>
  <si>
    <t>A man is demonstrating a gymnastics performance on two bars.</t>
  </si>
  <si>
    <t>There are spectators watching the performance.</t>
  </si>
  <si>
    <t>A person is photographing the performance.</t>
  </si>
  <si>
    <t>The gymnast jumps off the bars and another gymnast is running towards them.</t>
  </si>
  <si>
    <t>v_yNmV_c3rlLA</t>
  </si>
  <si>
    <t>A man is playing the hand drums in a living room.</t>
  </si>
  <si>
    <t>The man throws his head back.</t>
  </si>
  <si>
    <t>We zoom in on the man's hands.</t>
  </si>
  <si>
    <t>We zoom out and see the whole man.</t>
  </si>
  <si>
    <t>He finishes playing and takes a bow.</t>
  </si>
  <si>
    <t>v__nTjmHQ0-gQ</t>
  </si>
  <si>
    <t>A man springs on a track and jumps onto a dirt area.</t>
  </si>
  <si>
    <t>A second man does the same.</t>
  </si>
  <si>
    <t>A third man follows him.</t>
  </si>
  <si>
    <t>A fourth man goes after him.</t>
  </si>
  <si>
    <t>A fifth man starts to sprint as he holds a long bar.</t>
  </si>
  <si>
    <t>v_WLpjci5dN8s</t>
  </si>
  <si>
    <t>Words are written on the screen.</t>
  </si>
  <si>
    <t>A knife is put into a sharpener and moved back and forth and used on a circular sharpener.</t>
  </si>
  <si>
    <t>A pair of scissors is sharpened on the sharpener.</t>
  </si>
  <si>
    <t>The scissors cut a purple towel and a piece of paper.</t>
  </si>
  <si>
    <t>Words are shown on the screen again.</t>
  </si>
  <si>
    <t>v_lS_bztQjpGM</t>
  </si>
  <si>
    <t>A girl with long blond hair, wearing a blue robe is doing a tutorial on how to use hot rollers in her hair.</t>
  </si>
  <si>
    <t>There is another woman wearing white who is demonstrating how to section out her hair and start putting the rollers in the her one by one.</t>
  </si>
  <si>
    <t>After she's done putting the rollers all over the head, she uses a blow dryer to add some heat to the hair.</t>
  </si>
  <si>
    <t>Then she removes the rollers from the model's hair and starts to run her fingers through the hair.</t>
  </si>
  <si>
    <t>She then parts her hair gently with a brush.</t>
  </si>
  <si>
    <t>She shows how to finish off the look by running her fingers through her hair without using a brush.</t>
  </si>
  <si>
    <t>v_goXkohySkU8</t>
  </si>
  <si>
    <t>A man wearing a black vest holds white disc's in his hand while a border collie stands in front of him.</t>
  </si>
  <si>
    <t>The man steps froward and slaps the white discs on his thigh.</t>
  </si>
  <si>
    <t>The man steps forward switching each foot as the boarder collie runs between the mans legs.</t>
  </si>
  <si>
    <t>The man taps his head with the white disc he crouches and the boarder collie jumps on his back and balances their.</t>
  </si>
  <si>
    <t>The man tosses the the disc over his head and the boarder collie catches it and runs off.</t>
  </si>
  <si>
    <t>v_inw7wXFL9dw</t>
  </si>
  <si>
    <t>Various clips are shown of young people dancing and partying with one another as well as drinking and playing beer pong.</t>
  </si>
  <si>
    <t>More shots are shown of people looking and speaking to the camera while playing pong and drinking beer with one another.</t>
  </si>
  <si>
    <t>v_RpItv2ztook</t>
  </si>
  <si>
    <t>A video of skier on a snowy hill shoots video of themselves as skiing as other skiers go past.</t>
  </si>
  <si>
    <t>The skier goes past the ski lifts as they go around a corner and go past the lifts again.</t>
  </si>
  <si>
    <t>They then turn back around and go under the lift and travel further down hill on a path passing blue fences, a trail marker sign and ending at a lodge.</t>
  </si>
  <si>
    <t>v_zrXTMcKFa5E</t>
  </si>
  <si>
    <t>A child goes and plays in a playplace.</t>
  </si>
  <si>
    <t>She climbs, goes down slides, rocks back and forth, and has general merriment.</t>
  </si>
  <si>
    <t>v_A1k7CSI7aRs</t>
  </si>
  <si>
    <t>Outside as a group looks on, a man lifts a guy onto his shoulder and throws him on a table which breaks.</t>
  </si>
  <si>
    <t>Outside, a male back flips on a trampoline and lands on his face.</t>
  </si>
  <si>
    <t>Two men lay the male down and look at his face, and another person moves a laying individual to look at the male's face.</t>
  </si>
  <si>
    <t>v_cS19K2310Lc</t>
  </si>
  <si>
    <t>A picture is shown of a baby juxtaposed beside a little girl.</t>
  </si>
  <si>
    <t>A woman is seen with a young girl as she speaks.</t>
  </si>
  <si>
    <t>She then has the girl sit down as she proceeds to braid her hair in long, thick pieces.</t>
  </si>
  <si>
    <t>She pins the hair in place, then waves goodbye to the camera.</t>
  </si>
  <si>
    <t>v_Po6tK3rYE8E</t>
  </si>
  <si>
    <t>A man rolls out a sheet of wallpaper from a tube, then a large photo.</t>
  </si>
  <si>
    <t>He applies the sheet and photos to the wall, creating a real life photography mural.</t>
  </si>
  <si>
    <t>He wipes the images onto the wall cleanly.</t>
  </si>
  <si>
    <t>v_eil9mWGJB8E</t>
  </si>
  <si>
    <t>A crowd is gathered around two women who are arm wrestling.</t>
  </si>
  <si>
    <t>The women grab each others hands and push as hard as they can until one of them loses.</t>
  </si>
  <si>
    <t>They redo the arm wrestling.</t>
  </si>
  <si>
    <t>One of the girls lets her hand loose and the other girl opens her mouth in shock.</t>
  </si>
  <si>
    <t>v_XM3SktXBbHU</t>
  </si>
  <si>
    <t>A person is seen in the middle of a large gymnasium jumping around with another man in the middle raising his arms up.</t>
  </si>
  <si>
    <t>The person on silts then jumps over the person with their arms up as well as another.</t>
  </si>
  <si>
    <t>v_1nXLVjfupto</t>
  </si>
  <si>
    <t>Two men are seen standing behind a table speaking to the camera and then hold up various objects to the camera.</t>
  </si>
  <si>
    <t>They use tools on a tin can and then are seen sitting outside holding up more tools.</t>
  </si>
  <si>
    <t>v_YSO5CGeeTmE</t>
  </si>
  <si>
    <t>A band is marching down a street playing drums.</t>
  </si>
  <si>
    <t>A woman in a black hat is standing on the street watching them.</t>
  </si>
  <si>
    <t>People are standing up watching the band.</t>
  </si>
  <si>
    <t>v_JMJp9kFudNA</t>
  </si>
  <si>
    <t>A man is shown running around a field with a dog holding a frisbee into the hair.</t>
  </si>
  <si>
    <t>The man moves around the frisbee with the dog and performs several tricks in slow motion with the dog.</t>
  </si>
  <si>
    <t>He's shown in several more locations from various camera angles performing more and more tricks with the dog.</t>
  </si>
  <si>
    <t>v_Vm07Uu4_iCE</t>
  </si>
  <si>
    <t>A man is seen kneeling down to a tire an then places it on a machine.</t>
  </si>
  <si>
    <t>He continues to use the machine to take the rubber off of the tire and ends by placing it back down.</t>
  </si>
  <si>
    <t>v_zxzBoK5t0XY</t>
  </si>
  <si>
    <t>A horse is seen off in the distance followed by a man speaking to the camera in front of a large group of horses.</t>
  </si>
  <si>
    <t>Various people are then seen riding around on horses through different landscapes and being led by people.</t>
  </si>
  <si>
    <t>The men continue to lead people around on the horses through a large body of water.</t>
  </si>
  <si>
    <t>v_pyeTqpj2EPo</t>
  </si>
  <si>
    <t>A chef is working in a kitchen.</t>
  </si>
  <si>
    <t>He presses buttons on a digital screen.</t>
  </si>
  <si>
    <t>He prepares a large dish of pasta, which he cooks in the machine.</t>
  </si>
  <si>
    <t>v_BIL1t2eQrDU</t>
  </si>
  <si>
    <t>A man is shown talking to a camera followed by him and another woman standing near a volleyball net.</t>
  </si>
  <si>
    <t>The man throws the ball to the girl who bounces it back to him.</t>
  </si>
  <si>
    <t>He continues to speak and demonstrate various volleyball moves to do appropriately.</t>
  </si>
  <si>
    <t>v_1sp7zRy1Rxo</t>
  </si>
  <si>
    <t>A large group of people are sitting around a table and transitions into people sitting on a ski lift.</t>
  </si>
  <si>
    <t>They begin taking turns riding down the snowy mountain and several shots are shown of them riding the lift and down the mountain.</t>
  </si>
  <si>
    <t>v_UcnzlGqUEyA</t>
  </si>
  <si>
    <t>A person picks up a piece of fruit.</t>
  </si>
  <si>
    <t>A brush is shown on the screen.</t>
  </si>
  <si>
    <t>A man is shaving his beard.</t>
  </si>
  <si>
    <t>v_c2ejr7Lci8s</t>
  </si>
  <si>
    <t>A person is seen riding a unicycle in the middle of a forest while holding an instrument.</t>
  </si>
  <si>
    <t>The man continues riding down the path as the camera follows his movements.</t>
  </si>
  <si>
    <t>v_bXT72HACH4I</t>
  </si>
  <si>
    <t>A black screen appears with a red and white logo on the upper left, black and white words going diagonal on the upper middle that read "SOKOL DOBRIS" and the bottom have purple and white words that read "ROPE SKIPPING".</t>
  </si>
  <si>
    <t>Next shown is a still shot of black shirt with the logo on the upper left of the chest and the word "DOBRIS" under it and a red and white jump rope is on top of it.</t>
  </si>
  <si>
    <t>There are 4 different people standing on an indoor court, and 3 are holding ends of 2 different jump ropes and 1 person is rope jumping.</t>
  </si>
  <si>
    <t>Various clips of people rope jumping play and sometimes there's just 1 person jumping alone, but most times there are between 2 and 4 and a lot of times they are alternating between jumping and holding the rope.</t>
  </si>
  <si>
    <t>The clips of videos ends and various still shot pictures involving rope jumping are shown on the screen and a black screen appears when the pictures are done and the purple and white letters appear on the screen that say "ROPE SKIPPING".</t>
  </si>
  <si>
    <t>v_9MGnF59gZfM</t>
  </si>
  <si>
    <t>A man with a bow and arrow is practicing his aim and form.</t>
  </si>
  <si>
    <t>He shoots an arrow and grabs another one from behind hm and gets ready to shoot again.</t>
  </si>
  <si>
    <t>He pulls back the string on the bow and releases it along with the arrow.</t>
  </si>
  <si>
    <t>He continues this routine over and over, practicing for perfection.</t>
  </si>
  <si>
    <t>v_fGDVlbI90pw</t>
  </si>
  <si>
    <t>A young girl wearing a gray sweater with long red colored hair is brushing her hair.</t>
  </si>
  <si>
    <t>She is using a silver paddle brush to remove the knots from her hair and de-tangle it as she brushes it through.</t>
  </si>
  <si>
    <t>She suddenly begins to scream as she brushes her hair.</t>
  </si>
  <si>
    <t>v_OkMH4AlF8hQ</t>
  </si>
  <si>
    <t>A young child is seen holding an ice cream cone and speaking to the camera while smiling.</t>
  </si>
  <si>
    <t>She speaks to the camera man holding a doll in the other hand, then sits down on the ground.</t>
  </si>
  <si>
    <t>v_BUhpWV98EjM</t>
  </si>
  <si>
    <t>A woman and a man are standing outside doing some interesting techniques with one another.</t>
  </si>
  <si>
    <t>They seem to work well with one another moving in sync of or less never hitting the other.</t>
  </si>
  <si>
    <t>They are doing some type of karate or something.</t>
  </si>
  <si>
    <t>The one grabs the man intensely and hugs him it looked they wanted to kiss but they didn't.</t>
  </si>
  <si>
    <t>v_EE2nFMHRacg</t>
  </si>
  <si>
    <t>A group of elderly people are seated on chairs outside.</t>
  </si>
  <si>
    <t>A man is playing a tune using a stick and a saw.</t>
  </si>
  <si>
    <t>The men next to him are holding instruments, waiting their turn.</t>
  </si>
  <si>
    <t>v_xeOHoiH-dmo</t>
  </si>
  <si>
    <t>A playground is shown and a back yard as the camera pans over to a window on a roof.</t>
  </si>
  <si>
    <t>The video shows various pictures on how to fix a roof and the man pans over the window again with material.</t>
  </si>
  <si>
    <t>He places various objects around the window and shows more pictures of the roof with the finished product.</t>
  </si>
  <si>
    <t>v_NnW_1eQV9GU</t>
  </si>
  <si>
    <t>A rodeo rider comes out of the gate on a bull and gets thrown off.</t>
  </si>
  <si>
    <t>The rodeo clowns distract the bull as the rider gets to safety.</t>
  </si>
  <si>
    <t>A clown gets hurt and goes for treatment from a pretty lady.</t>
  </si>
  <si>
    <t>A group of men on horses talk and as they ride away, the clown restarts his job in the ring.</t>
  </si>
  <si>
    <t>The clown gets injured again as he jumps over a bulls head and the other clowns help him up.</t>
  </si>
  <si>
    <t>v_WWhL75t7p8A</t>
  </si>
  <si>
    <t>A large group of people are seen holding a rope while two more walk into frame and the camera closes in on the people.</t>
  </si>
  <si>
    <t>The camera continues to pan around the people and leads into a match of tug of war and the women celebrating.</t>
  </si>
  <si>
    <t>v_cYMweZa5J1I</t>
  </si>
  <si>
    <t>Guys stand or sit around their dirt bikes.</t>
  </si>
  <si>
    <t>Guys are riding their dirt bikes.</t>
  </si>
  <si>
    <t>A guy takes off his upper body armor while sitting on his dirt bike.</t>
  </si>
  <si>
    <t>v_sn1OtmEJxng</t>
  </si>
  <si>
    <t>A long line of bikers are shown in the dark at an event.</t>
  </si>
  <si>
    <t>A man is speaking onstage to the people as they prepare for the main event.</t>
  </si>
  <si>
    <t>The people run and jog past the cheering crowd, until the reach the finish line, where they stop to talk and hold up the rope they tore down.</t>
  </si>
  <si>
    <t>v_lzb6HHN59K4</t>
  </si>
  <si>
    <t>A dog owner takes three dogs to a dog cleaning service and company where the dogs are washed and dried.</t>
  </si>
  <si>
    <t>Three dogs are shown getting dirty by waking in mud puddles and through dirt and grass.</t>
  </si>
  <si>
    <t>The dogs are then loaded in a vehicle and taken to a dog washing company where they are placed in wash sinks.</t>
  </si>
  <si>
    <t>All three dogs are washed and dried by people after which the people are shown cleaning the area where the dogs were washed.</t>
  </si>
  <si>
    <t>v_UomiLRs--C8</t>
  </si>
  <si>
    <t>A man is begining to weld.</t>
  </si>
  <si>
    <t>He starts to weld a piece of metal onto a frame.</t>
  </si>
  <si>
    <t>He finishes his weld and backs away.</t>
  </si>
  <si>
    <t>v_Sfdj_kMDUh8</t>
  </si>
  <si>
    <t>A man is unrolling carpet onto the floor.</t>
  </si>
  <si>
    <t>He is on his knees cutting the carpet.</t>
  </si>
  <si>
    <t>He is putting glue onto the floor.</t>
  </si>
  <si>
    <t>He then lays the carpet down on top of it and smooths it out.</t>
  </si>
  <si>
    <t>He then vacuums the carpet when he is finished.</t>
  </si>
  <si>
    <t>v_gC4B1Az2Mk0</t>
  </si>
  <si>
    <t>A little boy is seated on the floor with a cup and a spoon.</t>
  </si>
  <si>
    <t>He is eating a white substance as his mother comes to check on him.</t>
  </si>
  <si>
    <t>He continues eating slowly as she walks past.</t>
  </si>
  <si>
    <t>v_iBEUNOMTr8M</t>
  </si>
  <si>
    <t>A couple of women are talking as they stand in a backyard.</t>
  </si>
  <si>
    <t>They are holding moss killer attached to hoses.</t>
  </si>
  <si>
    <t>The women spray the moss killer onto the roof of a shed, killing the growth with the liquid.</t>
  </si>
  <si>
    <t>They then hold up the moss killer strips in a box.</t>
  </si>
  <si>
    <t>v_a0hFDXB1RgY</t>
  </si>
  <si>
    <t>A man is sitting in a kayak in the river while speaking to the camera about his trip.</t>
  </si>
  <si>
    <t>He moves slowly in the water while giving instructions on how to properly move the kayak.</t>
  </si>
  <si>
    <t>He begins paddling up the stream and showing what to do if you get stuck.</t>
  </si>
  <si>
    <t>v_YDIRaWzfyYY</t>
  </si>
  <si>
    <t>man is talking to a camera and holding a knife and some magazines.</t>
  </si>
  <si>
    <t>man holds the knife and shavea small piece of his arm.</t>
  </si>
  <si>
    <t>man grabs some rocks from a cup of water and sharp the knife.</t>
  </si>
  <si>
    <t>man use the knife to cut the magazine.</t>
  </si>
  <si>
    <t>v_b7fs8OAJzQk</t>
  </si>
  <si>
    <t>A man is seen in the ocean waters.</t>
  </si>
  <si>
    <t>He is riding a pair of water skis.</t>
  </si>
  <si>
    <t>He is being drug by a boat as he skis through the waves.</t>
  </si>
  <si>
    <t>v_RMrL2txm79c</t>
  </si>
  <si>
    <t>A person washes and cuts open a pumpkin.</t>
  </si>
  <si>
    <t>The person cleans to the insides and draws a face on the pumpkin.</t>
  </si>
  <si>
    <t>They carve the face to make a jackolantern.</t>
  </si>
  <si>
    <t>We then see the carved pumpkin with a candle inside and the closing screen.</t>
  </si>
  <si>
    <t>v_TxLBvNWVk-4</t>
  </si>
  <si>
    <t>We see a series of bowling bloopers.</t>
  </si>
  <si>
    <t>We see a baby throw a ball and an adult fall.</t>
  </si>
  <si>
    <t>We see a lady fall while sitting on a bench.</t>
  </si>
  <si>
    <t>We see a man put a bowling ball in a cannon and shoot it across a field.</t>
  </si>
  <si>
    <t>v_0gm_g4rYCic</t>
  </si>
  <si>
    <t>A large group is inside a raft on a river.</t>
  </si>
  <si>
    <t>A man in a kayak is next to them.</t>
  </si>
  <si>
    <t>They float into the rapids, trying to go through them.</t>
  </si>
  <si>
    <t>v_tL90IPP3hbA</t>
  </si>
  <si>
    <t>A logo is seen and captions are shown on the screen.</t>
  </si>
  <si>
    <t>Trees and mulch are shown with a slight breeze.</t>
  </si>
  <si>
    <t>Several people are shown planting a tree.</t>
  </si>
  <si>
    <t>The people are spreading mulch around the tree.</t>
  </si>
  <si>
    <t>Several logos are shown on the screen.</t>
  </si>
  <si>
    <t>v_bghOBRA0z-Y</t>
  </si>
  <si>
    <t>A man gives a harmonica lesson with closeups and basically a way to tell about how to play the harmonica.</t>
  </si>
  <si>
    <t>The man introduces other types of harmonicas as well.</t>
  </si>
  <si>
    <t>v_yUHN5TIprwk</t>
  </si>
  <si>
    <t>A text intro leads into a person seen sitting on an exercise bike.</t>
  </si>
  <si>
    <t>The person speaks to a class she is speaking while peddling her feet.</t>
  </si>
  <si>
    <t>The woman continues moving her feet as well as others in the class.</t>
  </si>
  <si>
    <t>v_Lh50gF5l0dw</t>
  </si>
  <si>
    <t>A man wearing a blue shirt is throwing the shot put.</t>
  </si>
  <si>
    <t>He is going in a circular motion on a red circle painted on the ground.</t>
  </si>
  <si>
    <t>He throws the shot put into the air.</t>
  </si>
  <si>
    <t>Another man is swinging in circular motion, ready to throw the shot put.</t>
  </si>
  <si>
    <t>v_I9wra8bj2sg</t>
  </si>
  <si>
    <t>A horseman throws a rope to catch a calf while people watch.</t>
  </si>
  <si>
    <t>Intermediately, the man get down the horse and tie the calf.</t>
  </si>
  <si>
    <t>Men walks behind the horse.</t>
  </si>
  <si>
    <t>After, the man get in the horse.</t>
  </si>
  <si>
    <t>v_0-kEI13BtcY</t>
  </si>
  <si>
    <t>Ducks are swimming in the water.</t>
  </si>
  <si>
    <t>People are moving dirt around in a park.</t>
  </si>
  <si>
    <t>A woman in a black shirt and glasses talks to the camera.</t>
  </si>
  <si>
    <t>People are raking the dirt around.</t>
  </si>
  <si>
    <t>Different people are talking to the camera.</t>
  </si>
  <si>
    <t>The people continue to landscape at the park.</t>
  </si>
  <si>
    <t>v_C1kmoJttp4M</t>
  </si>
  <si>
    <t>A still shot picture of an omelette being poured out of a pan and onto a white plate appears and the white text on it say's "How to make an omelette".</t>
  </si>
  <si>
    <t>A white screen with a clipart of red lion wearing a crown appears and the blue words "British Lion Quality are around he lion.</t>
  </si>
  <si>
    <t>A woman is now in the kitchen standing in front of a pan on a stove, she turns the oven on, grabs a large measuring cup and begins cracking eggs into it then adds various other ingredients to the eggs, and then whisks it all up.</t>
  </si>
  <si>
    <t>The woman then puts butter in the pan, melts it all around, then pours her egg mix into the pan.</t>
  </si>
  <si>
    <t>The woman grabs her wooden spatula and starts manipulating the eggs in the pan making sure it doesn't stick and that it cooks thoroughly.</t>
  </si>
  <si>
    <t>The woman then takes the egg to the white plate and folds it onto it then adds a handful of greens next to it.</t>
  </si>
  <si>
    <t>A white screen appears with the red clipart lion in the middle and the blue words "British Lion Quality" going around it.</t>
  </si>
  <si>
    <t>v_ez9uLqGV7AA</t>
  </si>
  <si>
    <t>A man is skateboarding down a sidewalk.</t>
  </si>
  <si>
    <t>He does a flip on the skateboard.</t>
  </si>
  <si>
    <t>He falls off the skateboard onto the ground.</t>
  </si>
  <si>
    <t>v_tD30qafrkhM</t>
  </si>
  <si>
    <t>A man and woman are having sex and kissing inside a shower.</t>
  </si>
  <si>
    <t>She pushes him away and starts crying.</t>
  </si>
  <si>
    <t>A couple is having sex on a bed.</t>
  </si>
  <si>
    <t>The woman pulls out a feather and licks it.</t>
  </si>
  <si>
    <t>She rubs it on the mans face.</t>
  </si>
  <si>
    <t>She has a knife and rubs it down his chest.</t>
  </si>
  <si>
    <t>She looks up at him and lights a cigarette.</t>
  </si>
  <si>
    <t>She lays on her back and laughs.</t>
  </si>
  <si>
    <t>The woman is talking and laughing while holding a snake.</t>
  </si>
  <si>
    <t>The woman is talking to someone.</t>
  </si>
  <si>
    <t>A table with food on it is shown.</t>
  </si>
  <si>
    <t>A wine glass is given to a man by the woman.</t>
  </si>
  <si>
    <t>He denies the drink and she takes a sip.</t>
  </si>
  <si>
    <t>They begin to kiss each other.</t>
  </si>
  <si>
    <t>v_ZeUNeRiU6YY</t>
  </si>
  <si>
    <t>The camera follows a person in red pants snowboarding down a slope.</t>
  </si>
  <si>
    <t>The camera briefly pans away from the woman to focus on the slope.</t>
  </si>
  <si>
    <t>The camera pans away from the woman to focus on the slope.</t>
  </si>
  <si>
    <t>v_-K_cgWfJxiU</t>
  </si>
  <si>
    <t>A man is seen speaking to the camera holding a paddle and sitting in a kayak.</t>
  </si>
  <si>
    <t>The man then paddles himself around the area on the kayak flipping around and looking to the camera.</t>
  </si>
  <si>
    <t>v_injaml6fr7s</t>
  </si>
  <si>
    <t>A woman rides a horse in an indoor barn while playing a game of solo polo.</t>
  </si>
  <si>
    <t>A woman rides a horse in an indoor barn and plays polo while holding a polo stick and chasing a red ball in the indoor setting.</t>
  </si>
  <si>
    <t>The woman hits at the ball while riding the horse in circles.</t>
  </si>
  <si>
    <t>the woman rides the horse until the sun begins to set and the scene gets darker and darker.</t>
  </si>
  <si>
    <t>v_CUJJViubZ9c</t>
  </si>
  <si>
    <t>Wrestlers are fighting in a ring.</t>
  </si>
  <si>
    <t>A man is picked up and thrown down by other men.</t>
  </si>
  <si>
    <t>A man falls on a table and breaks it.</t>
  </si>
  <si>
    <t>v_8fLHaW3YvJY</t>
  </si>
  <si>
    <t>A man wearing glasses is standing outside in the snow with some gadgets talking.</t>
  </si>
  <si>
    <t>He brings forward the blue large shovel looking gadget, still talking and then grabs another shovel.</t>
  </si>
  <si>
    <t>He throws the shovel and then walks to demonstrate how to shovel up the snow.</t>
  </si>
  <si>
    <t>He continues to talk and then starts using the shovel gadget again.</t>
  </si>
  <si>
    <t>He shovels piles out some piles of snow.</t>
  </si>
  <si>
    <t>v_WkWCbz54JSU</t>
  </si>
  <si>
    <t>People are standing in a bull ring.</t>
  </si>
  <si>
    <t>A bull starts chasing a man holding a colorful blanket.</t>
  </si>
  <si>
    <t>Two horses are dragging a bull off the arena.</t>
  </si>
  <si>
    <t>v_Nd209mI-wq0</t>
  </si>
  <si>
    <t>man is sitting in a music store playing an acoustic guitar and talking to the camera showing the ibanez guitar.</t>
  </si>
  <si>
    <t>man starts playing the guitar showing how the guitar sounds connected to an amplifier.</t>
  </si>
  <si>
    <t>v_vmFfa1yv72k</t>
  </si>
  <si>
    <t>Several peoples outfits are being panned from the bottom up.</t>
  </si>
  <si>
    <t>Then a group of cups are on the table and they begin playing beer pong with a group of people.</t>
  </si>
  <si>
    <t>Several rooms and couples are shown and the ball is thrown in a cup.</t>
  </si>
  <si>
    <t>Once done,the camera pans out and you can see the couples are competing against each other in a room together.</t>
  </si>
  <si>
    <t>Couples come back and more beer pong games come back.</t>
  </si>
  <si>
    <t>v_e__FVkfXB-U</t>
  </si>
  <si>
    <t>A man is throwing a blue frisbee and a dog is chasing after it.</t>
  </si>
  <si>
    <t>The dog is jumping over the man kneeling down on the grass.</t>
  </si>
  <si>
    <t>They continue to play frisbee with the dog.</t>
  </si>
  <si>
    <t>v_hJI5PEg2UuA</t>
  </si>
  <si>
    <t>This elderly man is standing up cutting the red tomato into slices.</t>
  </si>
  <si>
    <t>He is in the kitchen cutting the tomato using a cheap knife.</t>
  </si>
  <si>
    <t>It looks hard for him trying to use a knife that barely does anything to try and cut the tomato, but the difference shows in good products.</t>
  </si>
  <si>
    <t>v_DLlooZTLPdI</t>
  </si>
  <si>
    <t>Several bikers are riding back and for the at a festival in the dessert.</t>
  </si>
  <si>
    <t>A man dressed in women's clothing comes onto the screen and begins to hula hoop while a camera is attached to the hula hoop.</t>
  </si>
  <si>
    <t>Several other people perform inside the hula hoop camera while the music plays.</t>
  </si>
  <si>
    <t>Then several people are shown waling up to the hula hoop camera getting ready to hula hoop.</t>
  </si>
  <si>
    <t>The man that is dressed as a woman gives some one a hug.</t>
  </si>
  <si>
    <t>The video ends with people riding on a bicycle while the camera is attached to the bike.</t>
  </si>
  <si>
    <t>v_lIqAkmaXnXg</t>
  </si>
  <si>
    <t>A woman is sitting on a chair while she pulls thin art foil pieces from a small table in front of her, and applies it to a small dresser that is also in front of her.</t>
  </si>
  <si>
    <t>The woman then takes her brush and begins brushing all of the pieces of foils on the top drawer while holding a hand under it to catch all the pieces that fall.</t>
  </si>
  <si>
    <t>The woman then closes the drawer and brushes it some more.</t>
  </si>
  <si>
    <t>v_N8nv95D4-pw</t>
  </si>
  <si>
    <t>A woman is in a gym talking.</t>
  </si>
  <si>
    <t>the woman demonstrates how to do an exercise with a step.</t>
  </si>
  <si>
    <t>v_j5Fq7Y8EJk8</t>
  </si>
  <si>
    <t>A man rides a jetski on a river with the camera at a distance.</t>
  </si>
  <si>
    <t>The man jetskis while holding the camera at arm's length.</t>
  </si>
  <si>
    <t>The man is shown waterskiing while pulled by the jetski.</t>
  </si>
  <si>
    <t>The man falls and is briefly submerged.</t>
  </si>
  <si>
    <t>v_9qgO4EQiQzI</t>
  </si>
  <si>
    <t>A person is seen placing a mat down on a floor with various tools laid out around him.</t>
  </si>
  <si>
    <t>He measures the floor with a ruler followed by him putting plaster down on the floor and putting the mat back down.</t>
  </si>
  <si>
    <t>v_RJ5U2y6ccvA</t>
  </si>
  <si>
    <t>A young baby is outside in murky water holding on to a white bar.</t>
  </si>
  <si>
    <t>Two men push him and he is shown riding a water vehicle being pulled by some type of thing.</t>
  </si>
  <si>
    <t>As he moves,a woman is on the side of him following him and stopping him along the way making sure he is okay.</t>
  </si>
  <si>
    <t>v_sbvk9FNaAH0</t>
  </si>
  <si>
    <t>A hand is seen playing with a machine followed by shots of a beach and a young boy carrying a wind sail.</t>
  </si>
  <si>
    <t>Many people stand on the beach walking around and leading into a man pulling up a sail on a boat and people preparing to wind surf.</t>
  </si>
  <si>
    <t>Several shots are shown of people riding along the water with a kite as well as people on a boat and various landscapes.</t>
  </si>
  <si>
    <t>In the end a shot of a sunset is shown.</t>
  </si>
  <si>
    <t>v_3xUAyMuqBrQ</t>
  </si>
  <si>
    <t>A man is putting ingredients into a pan.</t>
  </si>
  <si>
    <t>He stirs it together over a stove.</t>
  </si>
  <si>
    <t>He puts it on a plate and shows the camera.</t>
  </si>
  <si>
    <t>v_a6lCnOqNaMY</t>
  </si>
  <si>
    <t>A man is running down the track.</t>
  </si>
  <si>
    <t>He throws a javelin onto the field.</t>
  </si>
  <si>
    <t>The audience is behind him in the stands watching.</t>
  </si>
  <si>
    <t>v_eZ_IOp638kQ</t>
  </si>
  <si>
    <t>An athletic man is seen running to throw a ball and another person hits it into the audience.</t>
  </si>
  <si>
    <t>More clips are shown of people playing the game on the field with the audience cheers and players move around the field.</t>
  </si>
  <si>
    <t>v_FXb8rBMvol4</t>
  </si>
  <si>
    <t>People are coming off of a van holding snowboards.</t>
  </si>
  <si>
    <t>A man straps his snowboard on.</t>
  </si>
  <si>
    <t>Several people are snowboarding down a hill.</t>
  </si>
  <si>
    <t>A man in goggles talks.</t>
  </si>
  <si>
    <t>A woman holds a child up to kiss a man.</t>
  </si>
  <si>
    <t>People are snowboarding down a hill.</t>
  </si>
  <si>
    <t>A man talks to the camera.</t>
  </si>
  <si>
    <t>Several people do tricks on their snowboards.</t>
  </si>
  <si>
    <t>A man talks to the camera again.</t>
  </si>
  <si>
    <t>Several more people are snowboarding and talking.</t>
  </si>
  <si>
    <t>A man with a beard talks to the camera.</t>
  </si>
  <si>
    <t>A man takes off his snowboard.</t>
  </si>
  <si>
    <t>v_e2fXKrG2BkY</t>
  </si>
  <si>
    <t>Two boys in blue karate suits and red belts are standing on a stage in a school cafeteria and they are doing a karate routine in unison.</t>
  </si>
  <si>
    <t>When they are done, they turn to one another, bow, and do some karate matches that involve gently throwing one another to ground and when done with the matches they each take a bow facing the crowd.</t>
  </si>
  <si>
    <t>The boys then start another karate routine and they are doing various moves with their arms and legs while doing them in unison as much as possible.</t>
  </si>
  <si>
    <t>When done they both take a bow facing the crowd and they both run off the school stage.</t>
  </si>
  <si>
    <t>v_L_fvvmvV-Tc</t>
  </si>
  <si>
    <t>A man and a little boy are mowing a lawn.</t>
  </si>
  <si>
    <t>The man pushes the real mower back and forth.</t>
  </si>
  <si>
    <t>The little boy follows him with a toy mower.</t>
  </si>
  <si>
    <t>v_Z6xXj6tbMCo</t>
  </si>
  <si>
    <t>A man is seen doing various flips and tricks on a gym floor while others practice behind him.</t>
  </si>
  <si>
    <t>The man continues slipping around the room while people walking him stop and watch.</t>
  </si>
  <si>
    <t>v_nmUJ2GfVkKY</t>
  </si>
  <si>
    <t>An athlete performs a long jump at a professional sports event as onlookers watch and clap.</t>
  </si>
  <si>
    <t>A man in an athletic outfit and a paper number pinned to his chest paces on a sports field.</t>
  </si>
  <si>
    <t>The man runs a distance and performs a long jump.</t>
  </si>
  <si>
    <t>The man smiles and paces after the long jump as a British flag waves in the background and a template of his score goes across the screen along with slow motion re-inactments.</t>
  </si>
  <si>
    <t>The man takes his shoes off while sitting on a bench.</t>
  </si>
  <si>
    <t>v_Fp8e9dbWeSg</t>
  </si>
  <si>
    <t>A group of people are seen riding in bumper cars and running into one another.</t>
  </si>
  <si>
    <t>The people keep bumping into each other and driving around and then stop to climb out of the cars.</t>
  </si>
  <si>
    <t>v_qGf6earGAOc</t>
  </si>
  <si>
    <t>People are driving in a car down the street.</t>
  </si>
  <si>
    <t>A man is wake boarding in water full of berries.</t>
  </si>
  <si>
    <t>A van is driving on a road by the water.</t>
  </si>
  <si>
    <t>v_8j75QYV-iCg</t>
  </si>
  <si>
    <t>a young girl in a yellow outfit poses with a baton.</t>
  </si>
  <si>
    <t>She begins to dance, twirling the baton as she goes.</t>
  </si>
  <si>
    <t>The girl spins, sits, slides, and twirls as she performs.</t>
  </si>
  <si>
    <t>She falls to the ground in a pose and smiles as she finishes.</t>
  </si>
  <si>
    <t>v_Q_v6MdHJ7Go</t>
  </si>
  <si>
    <t>A man is seen kneeling on a floor and puts his hands behind his head.</t>
  </si>
  <si>
    <t>He then bends his body forward and performs several jumps onto his feet.</t>
  </si>
  <si>
    <t>v_OIA7lPraPSM</t>
  </si>
  <si>
    <t>Three people are riding skateboards on a road in a city and the text on the bottom left screen say "Three regulars Justice - New Jack" and they are skating fast going forward, turning, curving, bending down and doing other various tricks all throughout the city and not wearing any helmets or other safety gear.</t>
  </si>
  <si>
    <t>Two of the guys are stopped on a road and then all of a sudden one of them picks up a skateboard and throws it very hard against the wall.</t>
  </si>
  <si>
    <t>The guys are shown skateboarding again and this time they are wearing helmets as they skateboard down the roads in this city going very fast and doing multiple various tricks.</t>
  </si>
  <si>
    <t>v_9cD-Z6Aw7bE</t>
  </si>
  <si>
    <t>We see young ladies hug each other on a track.</t>
  </si>
  <si>
    <t>We then see replay from their run.</t>
  </si>
  <si>
    <t>A lady swings her arms as she finishes.</t>
  </si>
  <si>
    <t>We see a 4 ladies throwing the hammer.</t>
  </si>
  <si>
    <t>A lady hugs someone after her thrown.</t>
  </si>
  <si>
    <t>A lady hugs a woman and a man.</t>
  </si>
  <si>
    <t>v__dp7ZH3Upuw</t>
  </si>
  <si>
    <t>A small boy swings out off a large piece of playground equipment.</t>
  </si>
  <si>
    <t>He swings across the bars, trying to hold on.</t>
  </si>
  <si>
    <t>He makes it all the way to the end before jumping off.</t>
  </si>
  <si>
    <t>v_rSTXxDLYxTQ</t>
  </si>
  <si>
    <t>A close up of shoes are shown followed by a person holding the shoes and rubbing polish around the shoes.</t>
  </si>
  <si>
    <t>The man then rubs polish into the other shoe on the table as well as back to the one he started on.</t>
  </si>
  <si>
    <t>He takes a brush and uses it on the shoe, ending with him grabbing the camera.</t>
  </si>
  <si>
    <t>v_tYV23sjRgt8</t>
  </si>
  <si>
    <t>This woman is showing viewers how to make a whiskey sour.</t>
  </si>
  <si>
    <t>First she pours one ounce of whiskey over ice into the ross glass.</t>
  </si>
  <si>
    <t>Then she pours citrus into the glass and puts a straw into it.</t>
  </si>
  <si>
    <t>v_y47RXYfefvQ</t>
  </si>
  <si>
    <t>A man is in a snowy parking lot.</t>
  </si>
  <si>
    <t>He is using a brush to wipe snow off the back windshielf of his car.</t>
  </si>
  <si>
    <t>He glances at the camera, then keeps wiping.</t>
  </si>
  <si>
    <t>v_74qSBsksI-E</t>
  </si>
  <si>
    <t>A man is seen speaking to the camera and begins holding a razor up to his face.</t>
  </si>
  <si>
    <t>The man then shaves his face around the sides and ends by still speaking to the camera.</t>
  </si>
  <si>
    <t>v_JhiX65Okpt0</t>
  </si>
  <si>
    <t>A woman is performing partial arts moves with a man on a stage.</t>
  </si>
  <si>
    <t>A band plays instruments in the background.</t>
  </si>
  <si>
    <t>The two spin, flip, and kick, taking turns.</t>
  </si>
  <si>
    <t>v_rxwmIyvVVUU</t>
  </si>
  <si>
    <t>A lady plays pool alone indoors.</t>
  </si>
  <si>
    <t>The white ball falls off the pool table.</t>
  </si>
  <si>
    <t>The lady picks up the white ball from the floor.</t>
  </si>
  <si>
    <t>v_ilX9ntIzaoQ</t>
  </si>
  <si>
    <t>We see a man run and jump on a raft as it slides down a long snowy hill.</t>
  </si>
  <si>
    <t>The raft stops and the cameraman gets up and walks around while filming the ground.</t>
  </si>
  <si>
    <t>A hand then covers the camera.</t>
  </si>
  <si>
    <t>v_Q_Rufuciohg</t>
  </si>
  <si>
    <t>An older woman peels a potato over a table.</t>
  </si>
  <si>
    <t>She sets the knife down on the table.</t>
  </si>
  <si>
    <t>v_3VoIt9XkPEM</t>
  </si>
  <si>
    <t>People are floating down a river in tubes.</t>
  </si>
  <si>
    <t>A person's feet are shown on a tube.</t>
  </si>
  <si>
    <t>People are standing on the short next to their tubes.</t>
  </si>
  <si>
    <t>v_bdKB3QYNFbc</t>
  </si>
  <si>
    <t>men are in a dust racetrack riding bikes doing tricks.</t>
  </si>
  <si>
    <t>little kids are going down a slide in a dust pathway.</t>
  </si>
  <si>
    <t>v_wV2c3sdctbs</t>
  </si>
  <si>
    <t>A boy is explaining how to put on toes shoes on his left foot.</t>
  </si>
  <si>
    <t>Then, the boy raise the right foot and take out the toe shoe and continue explaining.</t>
  </si>
  <si>
    <t>v_9xOUoTQLea4</t>
  </si>
  <si>
    <t>A person makes a pot of coffee.</t>
  </si>
  <si>
    <t>The person then adds a bunch of sugary products to it.</t>
  </si>
  <si>
    <t>The man drinks it and then calls people from a smart phone.</t>
  </si>
  <si>
    <t>v_5iQsKA84vWo</t>
  </si>
  <si>
    <t>There two women boxers competing in kickboxing against each other in a boxing event.</t>
  </si>
  <si>
    <t>The referee is standing next to them.</t>
  </si>
  <si>
    <t>There are several spectators watching the boxers compete.</t>
  </si>
  <si>
    <t>After the referee gives a go, the contestants begin the match.</t>
  </si>
  <si>
    <t>The crowd cheers for them as they compete.</t>
  </si>
  <si>
    <t>The boxer in the black uniform punches the boxer in red and makes her fall down.</t>
  </si>
  <si>
    <t>The boxer in red kicks her opponent.</t>
  </si>
  <si>
    <t>The boxer in black strikes back at her opponent and the boxer in red punches her face.</t>
  </si>
  <si>
    <t>The referee declares the boxer in black as the winner and crowd applauds her victory.</t>
  </si>
  <si>
    <t>v_8B4M8AsGZmQ</t>
  </si>
  <si>
    <t>A camera pans around a person standing and leads into him looking off into the distance and carrying gear.</t>
  </si>
  <si>
    <t>The man suits up as the camera shows close ups of his board.</t>
  </si>
  <si>
    <t>The man is then seen doing numerous tricks over the water while following behind a boat.</t>
  </si>
  <si>
    <t>v_0ufZs4e24Xs</t>
  </si>
  <si>
    <t>Two men are boxing inside a gym.</t>
  </si>
  <si>
    <t>The two men kick and alternate blows with punches.</t>
  </si>
  <si>
    <t>v_dXdhOe0DPC4</t>
  </si>
  <si>
    <t>A woman is sanding a book shelf with a sander.</t>
  </si>
  <si>
    <t>She touches the sanded portion with her hand.</t>
  </si>
  <si>
    <t>She stands next to the shelf talking.</t>
  </si>
  <si>
    <t>v_LZ1142kuCnI</t>
  </si>
  <si>
    <t>A person is seen walking around a room carrying a broom.</t>
  </si>
  <si>
    <t>She pushes it along the wall beside her.</t>
  </si>
  <si>
    <t>In the end she turns around and pushes it back.</t>
  </si>
  <si>
    <t>v_SLPD1U5iDjY</t>
  </si>
  <si>
    <t>A woman is seen outside playing a game of beach volley ball serving it over the net in slow motion.</t>
  </si>
  <si>
    <t>It makes it over the net and the other team of two balls is able to hit it back over the net.</t>
  </si>
  <si>
    <t>Both pairs of people continue to play the game and eventually the side with the man and woman on the team end up winning.</t>
  </si>
  <si>
    <t>v_kMHMdqkGRB4</t>
  </si>
  <si>
    <t>A gymnast is seen standing before a large beam and putting his hands up in the air.</t>
  </si>
  <si>
    <t>He then performs a gymnasts routine while swinging himself all around the bar and ends by jumping down.</t>
  </si>
  <si>
    <t>v_cJyl4yqFuK0</t>
  </si>
  <si>
    <t>A young child is seen sitting next to a tub and bending over the side.</t>
  </si>
  <si>
    <t>A person speaks to her on the side while she looks back to the camera.</t>
  </si>
  <si>
    <t>She bends further into the sink then moves back to the camera to look.</t>
  </si>
  <si>
    <t>v_66BGqvwHbUw</t>
  </si>
  <si>
    <t>A camera zooms in on a person playing guitar and leads into a man speaking.</t>
  </si>
  <si>
    <t>Several more shots of people playing guitar and guitars on walls are shown as well as the same man speaking to the camera.</t>
  </si>
  <si>
    <t>v_erxnWYOO1ew</t>
  </si>
  <si>
    <t>We see a man jumping on jump stilts.</t>
  </si>
  <si>
    <t>We see a person sitting in the yard.</t>
  </si>
  <si>
    <t>The man on the stilts stops and turns around towards the camera.</t>
  </si>
  <si>
    <t>v_wO9DGYTAX70</t>
  </si>
  <si>
    <t>Slow motion shows of people riding horses over jumps are shown that lead into a woman speaking to the camera with a horse behind her.</t>
  </si>
  <si>
    <t>The woman then wears a glove and brushes the horse all over while the capture captures her movements and the horse.</t>
  </si>
  <si>
    <t>She brushes the back of it's tail and finishes around it's belly.</t>
  </si>
  <si>
    <t>v_Q2PC60uwjdY</t>
  </si>
  <si>
    <t>Beets are being chopped up on a chopping block.</t>
  </si>
  <si>
    <t>They are put in a pan and covered with water.</t>
  </si>
  <si>
    <t>Kale is being chopped up on a cutting board.</t>
  </si>
  <si>
    <t>It is tossed in salt for a few minutes.</t>
  </si>
  <si>
    <t>Carrots are grated over the kale.</t>
  </si>
  <si>
    <t>A tomato is diced and mixed with dressing.</t>
  </si>
  <si>
    <t>This is then poured over the kale.</t>
  </si>
  <si>
    <t>A man takes a bite of the salad.</t>
  </si>
  <si>
    <t>v_mgEX5A1o2jg</t>
  </si>
  <si>
    <t>A person is seen moving in fast motion unpacking a bag and piecing together parts of a tire.</t>
  </si>
  <si>
    <t>Many people stop to watch on the sidelines while the man continues to build the bike and finishes by packing everything up and holding his arms out while smiling.</t>
  </si>
  <si>
    <t>v_7pYrfYFoxdc</t>
  </si>
  <si>
    <t>A woman climbs into the back of a van with other people.</t>
  </si>
  <si>
    <t>Several men are standing together in a line before we see a person in a gorilla suit.</t>
  </si>
  <si>
    <t>Many people are dancing, falling off skateboards, and performing various tricks like tightrope walking and flips.</t>
  </si>
  <si>
    <t>The group walks out of the building together, making signs and faces at the camera.</t>
  </si>
  <si>
    <t>v_vWsPUB8dQMU</t>
  </si>
  <si>
    <t>A train goes by on a track, and several cars are seen driving on a wet road.</t>
  </si>
  <si>
    <t>A woman gets out, and crouches by a flat tire.</t>
  </si>
  <si>
    <t>She uses equipment to lift the car from the ground, then removes the tire.</t>
  </si>
  <si>
    <t>She replaces the bad tire with a spare.</t>
  </si>
  <si>
    <t>she then puts away her equipment and gives a thumbs up before driving safely away.</t>
  </si>
  <si>
    <t>v_ekzUyQo2R9Y</t>
  </si>
  <si>
    <t>There's a person wakeboarding in a lake.</t>
  </si>
  <si>
    <t>He is being pulled by a red rope that is fastened to a steamboat.</t>
  </si>
  <si>
    <t>He is going at a steady speed behind the steamboat.</t>
  </si>
  <si>
    <t>v_-jl_v7zi17A</t>
  </si>
  <si>
    <t>A woman is seen riding on a piece of exercise equipment followed by several shots of her adjusting the equipment and moving it around.</t>
  </si>
  <si>
    <t>More shots are shown of her riding the equipment and changing the settings on the front.</t>
  </si>
  <si>
    <t>v_JuC7EY32Spg</t>
  </si>
  <si>
    <t>An older women is shown sitting on a front step putting socks on with a small dog standing near her.</t>
  </si>
  <si>
    <t>She then puts her shoe on the foot and the dog looks off into the distance.</t>
  </si>
  <si>
    <t>v_GvDu_0ktsJ0</t>
  </si>
  <si>
    <t>A cooker shows ingredients to make salad pasta while talking.</t>
  </si>
  <si>
    <t>The cooker puts pasta on a square container and adds vegetables.</t>
  </si>
  <si>
    <t>Then, the cooker adds cheese, broth, white cream, salt and then he mix it.</t>
  </si>
  <si>
    <t>The man serves the pasta with a piece of tomato and he taste the salad.</t>
  </si>
  <si>
    <t>v_CZRkT9Lno3k</t>
  </si>
  <si>
    <t>An athletic woman is seen standing ready holding a pole in her hands and looking down and back.</t>
  </si>
  <si>
    <t>She then holds the stick up and pole volts herself onto a mat.</t>
  </si>
  <si>
    <t>She waves to the crowd and then walks away with others getting ready around her.</t>
  </si>
  <si>
    <t>v_rDYeRbucGt4</t>
  </si>
  <si>
    <t>A man is seated cross legged watching a show.</t>
  </si>
  <si>
    <t>A man is kneeling in front of the crowd, talking.</t>
  </si>
  <si>
    <t>He continues talking as the crowd is enraptured, listening to his every word.</t>
  </si>
  <si>
    <t>v_UjG_uHlFf3s</t>
  </si>
  <si>
    <t>A clip of the show top Gear is shown with one man sitting in a car speaking to the camera, and another speaking to the camera in a different car.</t>
  </si>
  <si>
    <t>Two men speak on walkie talkies on the side and the men drive the cars into one another.</t>
  </si>
  <si>
    <t>One pushes the car back and the men all get out and speak to one another.</t>
  </si>
  <si>
    <t>Another car is test with the men speaking to the camera and pushes the car back while others look in disbelief.</t>
  </si>
  <si>
    <t>v_QTfz_zprGcQ</t>
  </si>
  <si>
    <t>A BTRtv reporter visits a soul cycle studio and store, interviews a soul cycle instructor and takes a sample soul cycle class.</t>
  </si>
  <si>
    <t>A reporter holding a microphone, stands outside of a soul cycle store speaking to the camera, and then enters the store and interviews a soul cycle instructor.</t>
  </si>
  <si>
    <t>The reporter then changes clothes and takes a soul cycle class interspersed with video of instructor led soul cycle classes.</t>
  </si>
  <si>
    <t>The reporter returns to interviewing the soul cycle instructor with a final shot of rows of clothing hanging in the soul cycle store.</t>
  </si>
  <si>
    <t>v_Zk3JXtS2fOY</t>
  </si>
  <si>
    <t>An olympic fencing match is shown.</t>
  </si>
  <si>
    <t>Each side scores points and then a new match is shown.</t>
  </si>
  <si>
    <t>v_9sbiZgFefA4</t>
  </si>
  <si>
    <t>We see a title screen on black.</t>
  </si>
  <si>
    <t>We then see a woman skating down a street in a city.</t>
  </si>
  <si>
    <t>Cars begin to pass the lady.</t>
  </si>
  <si>
    <t>The lady passes parked cars.</t>
  </si>
  <si>
    <t>The lady talks as she stands in front of a building door.</t>
  </si>
  <si>
    <t>She talks near a highway.</t>
  </si>
  <si>
    <t>We see the ending screen on black.</t>
  </si>
  <si>
    <t>v_QQQ7jSVSG3A</t>
  </si>
  <si>
    <t>A group of belly dancers are posing onstage.</t>
  </si>
  <si>
    <t>They begin to dance, swirling their scarves around their bodies as they dance.</t>
  </si>
  <si>
    <t>They drop the scarves, focusing solely on the dance before dropping to the ground, then rising and dancing off stage.</t>
  </si>
  <si>
    <t>v_itlF0DEBetk</t>
  </si>
  <si>
    <t>A man is raking leaves in his yard.</t>
  </si>
  <si>
    <t>He has bagged several leaves as he rakes them out of a bird bath.</t>
  </si>
  <si>
    <t>He continues raking, then opens a bag to pour rocks around the bird bath.</t>
  </si>
  <si>
    <t>v_5pPQc85IXtU</t>
  </si>
  <si>
    <t>People competes bike cross in a field.</t>
  </si>
  <si>
    <t>People bike on a bumpy track where a crowd gather to watch the bike cross competition.</t>
  </si>
  <si>
    <t>A biker falls on the ground.</t>
  </si>
  <si>
    <t>The bikers arrive to the finish line.</t>
  </si>
  <si>
    <t>v_ZmoSxXei954</t>
  </si>
  <si>
    <t>A man is seen standing in a gym holding a racket while the camera pans out to show two men.</t>
  </si>
  <si>
    <t>The men move around one another in the gym hitting a ball off the wall.</t>
  </si>
  <si>
    <t>The two continue hitting the ball around and walking around to hit it.</t>
  </si>
  <si>
    <t>v_zB8kwWJqQ8Q</t>
  </si>
  <si>
    <t>men and women are in team playing foosball in a table in a basket court.</t>
  </si>
  <si>
    <t>referee is standing in front of table watching the game.</t>
  </si>
  <si>
    <t>people is sitting in terraces behind the court watching the game.</t>
  </si>
  <si>
    <t>v_GBdj6erXjDM</t>
  </si>
  <si>
    <t>A girl sits in the drivers seat of a car and enjoys a ice cream cone.</t>
  </si>
  <si>
    <t>The girl laughs while trying to eat the ice cream.</t>
  </si>
  <si>
    <t>The girl licks the ice cream cone with the tip of her tongue.</t>
  </si>
  <si>
    <t>v_crfrKqFp0Zg</t>
  </si>
  <si>
    <t>A man is seen standing in a black room and proceeds to play a flute while the camera captures him.</t>
  </si>
  <si>
    <t>The man continues to lay the instrument while moving his hands up and down and moving his head to the beat.</t>
  </si>
  <si>
    <t>v_3Vj0GcB_qh4</t>
  </si>
  <si>
    <t>Two young girls stand in front of a fireplace holding violins.</t>
  </si>
  <si>
    <t>The girls begin playing a piece of music on the violins and then bow at the end.</t>
  </si>
  <si>
    <t>Two younger children appear outdoors with a website address overlaid.</t>
  </si>
  <si>
    <t>v_o7O6XJYVDRE</t>
  </si>
  <si>
    <t>Supplies to wrap a gift is laying on a wooden table.</t>
  </si>
  <si>
    <t>A gift wrapped present is wrapped with a clear plastic and taped in place.</t>
  </si>
  <si>
    <t>Red ribbons are tied at each end.</t>
  </si>
  <si>
    <t>A scissor is used to cut off the excess clear plastic at each end.</t>
  </si>
  <si>
    <t>The final wrapped product is laying on the table.</t>
  </si>
  <si>
    <t>v_tnWmUCOEdFY</t>
  </si>
  <si>
    <t>A woman with long hair is seen looking deep into the camera and stroking her face.</t>
  </si>
  <si>
    <t>She then brushes her hair and ends the video by smiling.</t>
  </si>
  <si>
    <t>v_e9p0xmsU3h0</t>
  </si>
  <si>
    <t>A girl plays in a indoor plastic ball pool with a slide.</t>
  </si>
  <si>
    <t>The girl climbs up the stair case then slides down the slide.</t>
  </si>
  <si>
    <t>The girl climbs up a staircase then crawls through a tunnel.</t>
  </si>
  <si>
    <t>The girl slides down into a ball pool then climbs back up the slide.</t>
  </si>
  <si>
    <t>The girl plays with the tick-tack-toe board before sliding back down.</t>
  </si>
  <si>
    <t>The child swings on a swing set.</t>
  </si>
  <si>
    <t>The child walks into a trampoline room then jumps up and down.</t>
  </si>
  <si>
    <t>The child walks over a suspension bridge then then over a bridge with nets.</t>
  </si>
  <si>
    <t>The girl slides into the ball pool then climbs up onto the wall and jumps back in.</t>
  </si>
  <si>
    <t>the girl climbs up the slide railing.</t>
  </si>
  <si>
    <t>The girl slides down a steep orange slide.</t>
  </si>
  <si>
    <t>Balls are thrown at the girl and she throws them back laughing.</t>
  </si>
  <si>
    <t>v_0bXzFAKRoBU</t>
  </si>
  <si>
    <t>A man is seen playing the drums with another man beside him with several lights flash around his face.</t>
  </si>
  <si>
    <t>Another man is seen holding a guitar and several shots of a stage are shown.</t>
  </si>
  <si>
    <t>The musician grabs a microphone and the guitarist jumps on stage with a cigarette in his mouth.</t>
  </si>
  <si>
    <t>v_9lX18LyTuAQ</t>
  </si>
  <si>
    <t>A man holding a violin is speaking to the camera with a young boy who is also holding a violin.</t>
  </si>
  <si>
    <t>The boys talk back and fourth for a while and the man shows the boy how to properly play the violin.</t>
  </si>
  <si>
    <t>The boy then does exactly what the instructor taught him while the instructor corrects his playing.</t>
  </si>
  <si>
    <t>v_C7rGK81C7SU</t>
  </si>
  <si>
    <t>A persons hands are seen laying clay out onto a cake and begins painting objects on the side.</t>
  </si>
  <si>
    <t>The woman puts the decorations around the cake and continues decorating more objects on the side.</t>
  </si>
  <si>
    <t>She finishes the cake by adding the final decorations and presenting it to the camera.</t>
  </si>
  <si>
    <t>v_9dqz5ojw-ys</t>
  </si>
  <si>
    <t>People are in stands watching two teams in a pool play pool soccer.</t>
  </si>
  <si>
    <t>The players are yelling and then the ball is hit towards the goal and deflected as the crowd cheers them on.</t>
  </si>
  <si>
    <t>The ball is then thrown back into the pool.</t>
  </si>
  <si>
    <t>v_9wukG78Z0u8</t>
  </si>
  <si>
    <t>A man is kneeling inside a gym.</t>
  </si>
  <si>
    <t>He has a barbell resting on his shoulders as he hops up.</t>
  </si>
  <si>
    <t>He stands fully, then drops the weights.</t>
  </si>
  <si>
    <t>v_GWJw2jR2mTY</t>
  </si>
  <si>
    <t>A man wearing a white shirt stands in a kitchen with a mop.</t>
  </si>
  <si>
    <t>The man begins mopping the floor while standing in front of washing machines.</t>
  </si>
  <si>
    <t>The man mopping takes a few steps and slips as his left leg slides on the floor and he falls to the floor.</t>
  </si>
  <si>
    <t>v_9mL3eC5iizc</t>
  </si>
  <si>
    <t>Two trains drive along an elevated rail in a city.</t>
  </si>
  <si>
    <t>The camera pans to show a man playing a harmonica while sitting on a log beside a river.</t>
  </si>
  <si>
    <t>A woman walks near the train tracks while a train drives by.</t>
  </si>
  <si>
    <t>The woman sees the harmonica playing man in the distance.</t>
  </si>
  <si>
    <t>She watches him and listens to him playing.</t>
  </si>
  <si>
    <t>She walks away leaving the man.</t>
  </si>
  <si>
    <t>The man finishes playing and remains seated.</t>
  </si>
  <si>
    <t>v_o2mqzjWJJNw</t>
  </si>
  <si>
    <t>A man wearing a heavy apron, heavy gloves and large plastic mask over his face walks over to a tool sitting on a wooden table.</t>
  </si>
  <si>
    <t>The man picks up the tool and touches it to something on the table making sparks fly.</t>
  </si>
  <si>
    <t>A continuous spray of sparks shoots off of the tool.</t>
  </si>
  <si>
    <t>The man stops and and takes a step back while pulling his face mask up and looking at the item on the table.</t>
  </si>
  <si>
    <t>The man pulls his face mask back down and begins to use the tool again sending sparks flying again.</t>
  </si>
  <si>
    <t>The man pauses and backs away looking at the item on the table.</t>
  </si>
  <si>
    <t>He touches the tool to the item one more time.</t>
  </si>
  <si>
    <t>The man then looks at the tool he is using and shakes it a little before sitting it down on the table.</t>
  </si>
  <si>
    <t>The man then removes one of his gloves and walks away.</t>
  </si>
  <si>
    <t>v_PqrexMJ5ohk</t>
  </si>
  <si>
    <t>A close up of balls moving around a pool table are shown followed by a person walking around the table.</t>
  </si>
  <si>
    <t>Two men then hit the balls around the table back and fourth while many watch and react around them.</t>
  </si>
  <si>
    <t>v_qZIJRg7hJ0o</t>
  </si>
  <si>
    <t>A small group of people are seen sitting in bumper cars playing a game with one another.</t>
  </si>
  <si>
    <t>The people driving around in the cars while others watch on the sides.</t>
  </si>
  <si>
    <t>Another shot is shown of people playing bumper cars and crashing into one another.</t>
  </si>
  <si>
    <t>v_uIl5Tj74sLw</t>
  </si>
  <si>
    <t>a girl stands in front of a bathroom mirror and vigorously rubs her face.</t>
  </si>
  <si>
    <t>The girl turns on the faucet.</t>
  </si>
  <si>
    <t>The girl then splashes water on her face several times.</t>
  </si>
  <si>
    <t>The girl wipes her face with a towel.</t>
  </si>
  <si>
    <t>v_e5VrEH2X8LI</t>
  </si>
  <si>
    <t>An intro leads into a bearded man talking to the camera and presenting an object to the screen.</t>
  </si>
  <si>
    <t>He uses the tool to push a carpet area over and continues talking to the camera.</t>
  </si>
  <si>
    <t>v_GRGBMJG1Koc</t>
  </si>
  <si>
    <t>Several multi colored and shaped kites fly high in the air above a beach setting interspersed with images of people preparing to fly kites and onlookers.</t>
  </si>
  <si>
    <t>Several kites fly in the air, in a bright blue sky, over a sandy area.</t>
  </si>
  <si>
    <t>A man is seen kneeling over some equipment in the sand.</t>
  </si>
  <si>
    <t>More kites fly as people watch the varied styles of kite, including one kite shaped like a dog.</t>
  </si>
  <si>
    <t>v_otrk9uW9UjU</t>
  </si>
  <si>
    <t>A lady lays on a yoga mat in a carpeted room and does sit ups while talking.</t>
  </si>
  <si>
    <t>A finger enters the screen.</t>
  </si>
  <si>
    <t>The lady finishes and stops.</t>
  </si>
  <si>
    <t>v_BLmAF2wbTz8</t>
  </si>
  <si>
    <t>A bartender is shown speaking to the camera while pouring ice into a glass and various liquids into a blender.</t>
  </si>
  <si>
    <t>He pours more ice into the blender and mixes up the liquids all together.</t>
  </si>
  <si>
    <t>He pours out the liquid and places a straw into the glass while the camera pans around.</t>
  </si>
  <si>
    <t>v_ERVK6vQbor4</t>
  </si>
  <si>
    <t>A man in a gym is donning a pair of boxing gloves.</t>
  </si>
  <si>
    <t>He begins punching the bag, going around in circles as he does so.</t>
  </si>
  <si>
    <t>He continues punching, then we see a slight view of a man jumping rope.</t>
  </si>
  <si>
    <t>v_puwMWETdvL0</t>
  </si>
  <si>
    <t>We see a black opening logo.</t>
  </si>
  <si>
    <t>A man etches a pumpkin with a knife like tool.</t>
  </si>
  <si>
    <t>The man then carves a logo into the pumpkin.</t>
  </si>
  <si>
    <t>We see the pumpkin with a light inside of it.</t>
  </si>
  <si>
    <t>We then see the same logo as the open.</t>
  </si>
  <si>
    <t>v_waTjpd7yDkc</t>
  </si>
  <si>
    <t>A man and a woman wearing roller blades kneel facing each other on a basketball court.</t>
  </si>
  <si>
    <t>A dog runs by the man and woman.</t>
  </si>
  <si>
    <t>the man and woman rise together.</t>
  </si>
  <si>
    <t>The man and woman perform a paired roller blade routine.</t>
  </si>
  <si>
    <t>The man and woman finish the routine and move towards the camera.</t>
  </si>
  <si>
    <t>v_AElVyfjSHIo</t>
  </si>
  <si>
    <t>A man is seen speaking to the camera and leads into him playing on a set of drums.</t>
  </si>
  <si>
    <t>The man continues speaking to the camera with his hands and moving the sticks while looking around.</t>
  </si>
  <si>
    <t>v_drfE5oASHaU</t>
  </si>
  <si>
    <t>The host enters a gun store and dances around.</t>
  </si>
  <si>
    <t>Afterward the into plays for the show.</t>
  </si>
  <si>
    <t>He then goes on to talk for a while in the store and plays around with a gun on a few cuts.</t>
  </si>
  <si>
    <t>Afterward a outro for the segment plays with credits.</t>
  </si>
  <si>
    <t>v_NW42KGlKi_c</t>
  </si>
  <si>
    <t>A camera pans out away from a beach followed by hundreds of people rowing canoes.</t>
  </si>
  <si>
    <t>The people are seen running along the beach as well as rowing the canoes and a man sitting at a table.</t>
  </si>
  <si>
    <t>The man checks his phone and looks off into the distance and another shot of people canoeing are shown.</t>
  </si>
  <si>
    <t>v_nN1u9BVysQs</t>
  </si>
  <si>
    <t>We see the title on the black screen.</t>
  </si>
  <si>
    <t>We see instruments and the wall with the school name.</t>
  </si>
  <si>
    <t>People are shown warming up.</t>
  </si>
  <si>
    <t>We are then shown Capoeira technique.</t>
  </si>
  <si>
    <t>People are practicing Capoeira moves.</t>
  </si>
  <si>
    <t>The ladies are explaining why they chose Capoeira.</t>
  </si>
  <si>
    <t>We are shown the end card for the website.</t>
  </si>
  <si>
    <t>v_78WY5lXk42A</t>
  </si>
  <si>
    <t>A man spreads a white sheet onto a wall.</t>
  </si>
  <si>
    <t>He then presses a sheet with a photo printed onto it onto the white background.</t>
  </si>
  <si>
    <t>When he is finished, there is a photo of a yellow motorbike parked against a brick wall on a living room wall.</t>
  </si>
  <si>
    <t>v_SQiIQDKhnh0</t>
  </si>
  <si>
    <t>A man is standing in front of an armoire as he talks.</t>
  </si>
  <si>
    <t>There is a close up of the armoire, spanning up its length.</t>
  </si>
  <si>
    <t>The man touches several cracks and chips in the wood, talking about them.</t>
  </si>
  <si>
    <t>Several household items are individually shown on the screen.</t>
  </si>
  <si>
    <t>The man uses the items to scrape, clean, and cover the cracks and scratches.</t>
  </si>
  <si>
    <t>The finished product, free of cracks and scratches, is shown as the man says his final words to the camera.</t>
  </si>
  <si>
    <t>v_Q6tYENILn40</t>
  </si>
  <si>
    <t>a man is seated at a piano.</t>
  </si>
  <si>
    <t>He starts playing a tune, looking back and forth at the keys as he plays.</t>
  </si>
  <si>
    <t>He stops, turning his head and speaking.</t>
  </si>
  <si>
    <t>v_5o9iv0wC59g</t>
  </si>
  <si>
    <t>A man wearing a dark blue shirt and sporting a braid begins playing the bongos.</t>
  </si>
  <si>
    <t>He begins drumming on the bongos to a beat as he shakes his head rhythmically.</t>
  </si>
  <si>
    <t>He continues drumming on the bongos alternating between the two drums.</t>
  </si>
  <si>
    <t>He plays for some time and then stops drumming on the bongos.</t>
  </si>
  <si>
    <t>v_RG0wtfLnNrE</t>
  </si>
  <si>
    <t>A large group of people are seen sitting inside a raft and paddling themselves along a rough river.</t>
  </si>
  <si>
    <t>The camera pans all around to people sitting in the raft and continuing to move along and move under a bridge.</t>
  </si>
  <si>
    <t>v_rKnQNI9PNFI</t>
  </si>
  <si>
    <t>We see a newscaster speak.</t>
  </si>
  <si>
    <t>We see a man in a room then a fight and men in an office before more fighting in an action movie.</t>
  </si>
  <si>
    <t>We return to the newscaster as she discusses a superhero movie.</t>
  </si>
  <si>
    <t>Her screen changes to the title screen.</t>
  </si>
  <si>
    <t>v_5HEunlL4nF0</t>
  </si>
  <si>
    <t>A young woman is seen walking into frame hitting a ball around a room.</t>
  </si>
  <si>
    <t>The girl walks around the room back and fourth while holding a tennis racket and hitting a ball.</t>
  </si>
  <si>
    <t>The girl continues to hit the ball around while the camera watches.</t>
  </si>
  <si>
    <t>v_9voJIuym_f8</t>
  </si>
  <si>
    <t>There are two brown hot dog dogs standing at a gate that's at the end of a staircase.</t>
  </si>
  <si>
    <t>One of the dogs closest to the gate gets the gate open and both of the dogs go running up the stairs at a very fast pace while the camera person runs after them.</t>
  </si>
  <si>
    <t>The dogs are so fast that the camera person can't keep up with them and when they find them, the dogs are trying very hard to get into a bath tub that has water in it.</t>
  </si>
  <si>
    <t>The first dog succeeds in jumping in and starts swimming in the water, and the other dog can't get in and continues to jump and struggle until the camera person puts the dog in the tub and now both dogs are playing and swimming happily in the water.</t>
  </si>
  <si>
    <t>v_T8mTuW85NNo</t>
  </si>
  <si>
    <t>A tv news anchor reports on a story.</t>
  </si>
  <si>
    <t>A variety of people are shown watching their hands, as the report speaks on germs.</t>
  </si>
  <si>
    <t>A tv news anchor appears.</t>
  </si>
  <si>
    <t>v_V2QIntSKqhA</t>
  </si>
  <si>
    <t>People ride camels through the desert.</t>
  </si>
  <si>
    <t>A person carrying a camera or luggage walks with one of the groups.</t>
  </si>
  <si>
    <t>The first camel group begins walking back to the camera.</t>
  </si>
  <si>
    <t>v_r-GVVgxtoMk</t>
  </si>
  <si>
    <t>A group of little girls and boys are dressed like princesses and princes.</t>
  </si>
  <si>
    <t>One of the girls begins tapping a pinata with a baseball bat.</t>
  </si>
  <si>
    <t>She taps it over and over again, but doesn't break the pinata.</t>
  </si>
  <si>
    <t>v_TnYCazY5WEM</t>
  </si>
  <si>
    <t>A group is playing volleyball on a beach.</t>
  </si>
  <si>
    <t>The men volley ball back and forth over the net.</t>
  </si>
  <si>
    <t>One of the players falls on the sand.</t>
  </si>
  <si>
    <t>v_C4td7rprQGM</t>
  </si>
  <si>
    <t>A woman talks on front a hopscotch.</t>
  </si>
  <si>
    <t>Then, the woman hops n the hopscotch while talking.</t>
  </si>
  <si>
    <t>The woman turns when arrives to the end of the hopscotch and continues hopping.</t>
  </si>
  <si>
    <t>v_hXjxOvlNxQM</t>
  </si>
  <si>
    <t>A wrestler picks up another wrestler from the ground.</t>
  </si>
  <si>
    <t>The wrestler lifts him up into the air.</t>
  </si>
  <si>
    <t>Lastly, the wrestler drops him hard onto the floor.</t>
  </si>
  <si>
    <t>v_a25vC5zsf6A</t>
  </si>
  <si>
    <t>A large wheel is spinning nonstop on a stand.</t>
  </si>
  <si>
    <t>We get a close up of the truing stand, and the spokes.</t>
  </si>
  <si>
    <t>The bike wheel is then adjusted and fixed.</t>
  </si>
  <si>
    <t>v_nypZiLC1_Z8</t>
  </si>
  <si>
    <t>A close up of bicycle handlebars are shown as well as a person adjusting the handlebars.</t>
  </si>
  <si>
    <t>The camera zooms in on the bars and the person pours liquid into the side.</t>
  </si>
  <si>
    <t>The man continues working and ends by putting the handlebars back and riding away.</t>
  </si>
  <si>
    <t>v_JGRpVcxltKE</t>
  </si>
  <si>
    <t>A woman on screen talks about lemonade.</t>
  </si>
  <si>
    <t>She juices her lemons on a cutting board, with a knife and bowl.</t>
  </si>
  <si>
    <t>She strains her juice into a bigger cup.</t>
  </si>
  <si>
    <t>At an oven, she prepares simple sugar with water and sugar.</t>
  </si>
  <si>
    <t>She mixes all of her ingredients in a pitcher to make lemonade.</t>
  </si>
  <si>
    <t>She shows other lemonade recipes.</t>
  </si>
  <si>
    <t>v_cJiwi-wB1FY</t>
  </si>
  <si>
    <t>A man in a blue shirt lifts a kid onto a counter.</t>
  </si>
  <si>
    <t>The kid starts throwing darts at balloons on the wall.</t>
  </si>
  <si>
    <t>The woman behind the counter hands the boy a toy.</t>
  </si>
  <si>
    <t>v_S7ktlGGweeA</t>
  </si>
  <si>
    <t>Two women are seen speaking to one another and lead into a game of volleyball played by a large group of people.</t>
  </si>
  <si>
    <t>The people continue playing back and fourth while the audience cheers and stops to speak to one another.</t>
  </si>
  <si>
    <t>v_ZmVy3gSaKv0</t>
  </si>
  <si>
    <t>A man dives into a large pool repeatedly.</t>
  </si>
  <si>
    <t>A man sitting on the side middle takes photos while sitting.</t>
  </si>
  <si>
    <t>The sitting man stands and takes photos of the diver.</t>
  </si>
  <si>
    <t>The diver swims to the edge of the pool.</t>
  </si>
  <si>
    <t>v_fqoEZaCd7hU</t>
  </si>
  <si>
    <t>A person with no arms is seen sitting in a chair and playing the guitar with his feet.</t>
  </si>
  <si>
    <t>He continues playing while singing along and moving his feet up and down the guitar.</t>
  </si>
  <si>
    <t>v_yrvV4Ncqyf0</t>
  </si>
  <si>
    <t>A woman in a white dress walks into her house all happy only to be very disappointed when she see's the dishes in the sink.</t>
  </si>
  <si>
    <t>She changes out of her dress in to some comfortable clothing and gets in the kitchen ready to do the dishes.</t>
  </si>
  <si>
    <t>She is very childishly blowing bubbles with the soap and dancing around.</t>
  </si>
  <si>
    <t>She dries some of the dishes with a rag and put the rest in the dishwasher, once the dishes are done in the dish washer she takes them out and puts them all away.</t>
  </si>
  <si>
    <t>v_PHIZza_xVog</t>
  </si>
  <si>
    <t>A woman puts some lotion on her hand.</t>
  </si>
  <si>
    <t>She rubs the lotion onto her face.</t>
  </si>
  <si>
    <t>A cartoon demonstration is shown on the screen.</t>
  </si>
  <si>
    <t>v_WnLYDJ8Jwv8</t>
  </si>
  <si>
    <t>A girl is shown washing and scrubbing her face several times while speaking into the camera.</t>
  </si>
  <si>
    <t>She finishes by turning on the faucet and rinsing water through her face.</t>
  </si>
  <si>
    <t>v_LAkaYds-8X0</t>
  </si>
  <si>
    <t>A young man plays bowling with other man while throwing balls and pins.</t>
  </si>
  <si>
    <t>A ball exit form a container.</t>
  </si>
  <si>
    <t>A man holds a bowling ball on his hands.</t>
  </si>
  <si>
    <t>The young man goes to a room of the bowling facility, they he continues playing.</t>
  </si>
  <si>
    <t>v_w6Avae5on_0</t>
  </si>
  <si>
    <t>A child is hitting a ball over a net in a gym.</t>
  </si>
  <si>
    <t>A man stands on the other side, lobbing the ball back to him.</t>
  </si>
  <si>
    <t>They continue hitting the ball back and forth.</t>
  </si>
  <si>
    <t>v_z0vMpInrDqM</t>
  </si>
  <si>
    <t>A person is seen sitting before a camera and leads into him looking and holding up a contact lens.</t>
  </si>
  <si>
    <t>The person then holds their eye open and putting the lens in followed by looking back to the camera.</t>
  </si>
  <si>
    <t>v_-rx6D1uBsUU</t>
  </si>
  <si>
    <t>There are several workers packing many rafts in a truck to be hauled away.</t>
  </si>
  <si>
    <t>There's a fast flowing turbulent river flowing under a bridge.</t>
  </si>
  <si>
    <t>The scenic mountain view shows clouds blowing in the wind.</t>
  </si>
  <si>
    <t>There are many rafters outside a log cabin packing and getting ready for their rafting trip.</t>
  </si>
  <si>
    <t>The rafters begin their adventure in the wild and turbulent river water as they try to stay afloat.</t>
  </si>
  <si>
    <t>The river waves are so turbulent that it causes the raft to overturn and drown the rafters in the strong waves.</t>
  </si>
  <si>
    <t>The rafters try hard to stay in the raft as they fight the fierce waves of the river to stay afloat.</t>
  </si>
  <si>
    <t>The waves are so strong that it becomes hard for the rafters to in the raft.</t>
  </si>
  <si>
    <t>They are forcefully thrown out in the river as the raft overturns on them.</t>
  </si>
  <si>
    <t>One of the rafters smiles and talks about his experience as he walks back with his fellow rafters.</t>
  </si>
  <si>
    <t>v_XzbvKQ-o5Ow</t>
  </si>
  <si>
    <t>A large group of people are seen sitting around a gym when a girl runs in and performs a routine on the uneven bars.</t>
  </si>
  <si>
    <t>The girl continues swinging around and ends with her jumping off the side and waving to the audience.</t>
  </si>
  <si>
    <t>v_oYhVH1vIXFM</t>
  </si>
  <si>
    <t>This video shows you how to make spaghetti with sausage with a simple tomato sauce.</t>
  </si>
  <si>
    <t>First she puts the sausage on a baking sheet that has aluminum foil on it and she puts it in the oven.</t>
  </si>
  <si>
    <t>Next she pours tomatoes into a small blender and she blends them up.</t>
  </si>
  <si>
    <t>Then she pours crushed red peppers and garlic into the skillet and she pours the tomato sauce into it.</t>
  </si>
  <si>
    <t>Then she stirs it up and takes the sausage out to cut them into tiny pieces and she lets them cook some more.</t>
  </si>
  <si>
    <t>Finally she puts them into the skillet with the pasta and cooks everything together creating a nice meal.</t>
  </si>
  <si>
    <t>v_kGLMybXl5Kk</t>
  </si>
  <si>
    <t>A man is seen walking into frame and begins bending down in front of a set of weights.</t>
  </si>
  <si>
    <t>The man then lifts the weights up and down over his shoulders while the camera watches form behind.</t>
  </si>
  <si>
    <t>The man walks in and out of frame walking back towards the weights and another man coming into frame to lift.</t>
  </si>
  <si>
    <t>v_nEcOF04KK0g</t>
  </si>
  <si>
    <t>A man stirs shoe shine crafting materials into a jar.</t>
  </si>
  <si>
    <t>He prepares the shoe for shining.</t>
  </si>
  <si>
    <t>He explains his method of shoe shining.</t>
  </si>
  <si>
    <t>The man shines the top of a shoe and finishes by fixing the laces of the shoe.</t>
  </si>
  <si>
    <t>v_yXH7GcOduNo</t>
  </si>
  <si>
    <t>A woman is seen standing in the middle of a sand pit and begins swinging an object around.</t>
  </si>
  <si>
    <t>She spins this around herself several times then begins swinging herself around.</t>
  </si>
  <si>
    <t>She continues swinging and finishes by throwing it off into the distance.</t>
  </si>
  <si>
    <t>v_zdaD55zVNdQ</t>
  </si>
  <si>
    <t>A man throws a hammer throw in a judged sports performance, outside, on a grass covered field with a group of onlookers on the side lines.</t>
  </si>
  <si>
    <t>A man approaches a square, paved,white surface surrounded by black netting .</t>
  </si>
  <si>
    <t>The man spins in place to gain momentum and releases/throws the hammer ball.</t>
  </si>
  <si>
    <t>Two people emerge with a long tape measure to measure the distance the hammer ball was thrown.</t>
  </si>
  <si>
    <t>The athlete runs off jumping and smiling and chest bumps another player.</t>
  </si>
  <si>
    <t>v_u1ZFiwJJXSQ</t>
  </si>
  <si>
    <t>A woman stands talking on a yoga mat in a driveway area.</t>
  </si>
  <si>
    <t>The woman does an aerobic workout stepping back and forth and lifting arms on the mat.</t>
  </si>
  <si>
    <t>The woman jumps back and forth in a doing a more vigorous workout.</t>
  </si>
  <si>
    <t>v_yvTmIulkl7c</t>
  </si>
  <si>
    <t>A little girl is inside a covered porch.</t>
  </si>
  <si>
    <t>She swings a baton at a small pinata.</t>
  </si>
  <si>
    <t>She is blindfolded as she continues to swing again and again.</t>
  </si>
  <si>
    <t>v_EfQtRtIFGVo</t>
  </si>
  <si>
    <t>A woman shows off her nails followed by several clips of nails being painted by a brush.</t>
  </si>
  <si>
    <t>The brush makes several lines on the nails and shows celebrities with fashionable nails.</t>
  </si>
  <si>
    <t>The video speeds up and shows off several different designs for nail polish and examples.</t>
  </si>
  <si>
    <t>v_mt3G8TrI-uY</t>
  </si>
  <si>
    <t>A close up of a person's nails are shown followed by a person filing the nails of another.</t>
  </si>
  <si>
    <t>Several products are shown close up as well as a person's nails being painted and put under heat.</t>
  </si>
  <si>
    <t>The person continues painting the nails and puts on a gem in the end.</t>
  </si>
  <si>
    <t>v_r4oAhRg4H14</t>
  </si>
  <si>
    <t>We see shots of people playing soccer in an indoor arena.</t>
  </si>
  <si>
    <t>We see a man hop and deflect a ball from the net in slow motion.</t>
  </si>
  <si>
    <t>We see two men collide in slow motion.</t>
  </si>
  <si>
    <t>v_KoCjfxd302Q</t>
  </si>
  <si>
    <t>The little boy is at the sink brushing the pot.</t>
  </si>
  <si>
    <t>The boy lift the brush from the pot and brush the sink instead, then he put it in the pot.</t>
  </si>
  <si>
    <t>The boy brushes the lid of the pot, and an adult put plates in the pot and the boy took it out and dip the fork.</t>
  </si>
  <si>
    <t>v_xh8qQfCYDBY</t>
  </si>
  <si>
    <t>A person wearing safety gear holds a metal rod with a clamp.</t>
  </si>
  <si>
    <t>Then, the person weld on a surface.</t>
  </si>
  <si>
    <t>Smoke comes form the clamp.</t>
  </si>
  <si>
    <t>v_gc04Okw4DTs</t>
  </si>
  <si>
    <t>A painting of a cloudy sky over mountains is displayed on a canvas.</t>
  </si>
  <si>
    <t>A brush begins painting blue onto the canvas.</t>
  </si>
  <si>
    <t>A complete image is shown in brilliant colors of a beach before going back to the brush strokes in progress.</t>
  </si>
  <si>
    <t>The ocean is completed in the final scene.</t>
  </si>
  <si>
    <t>v_pleP5-tuJ_Q</t>
  </si>
  <si>
    <t>An old woman is knitting on a bed.</t>
  </si>
  <si>
    <t>A little girl is sitting on the floor knitting as well.</t>
  </si>
  <si>
    <t>She talks to the camera as she learns to knit.</t>
  </si>
  <si>
    <t>v_RnZ-icC6xbQ</t>
  </si>
  <si>
    <t>A young man is standing in an open doorway with his hands over his head palms facing towards him on a bar secured at the top of the doorway.</t>
  </si>
  <si>
    <t>The young man lifts himself up and places his feet in the gap between the bar and the top of the door frame.</t>
  </si>
  <si>
    <t>The young man lowers his body, extending himself the full length of the doorway, hands behind his head, elbows out.</t>
  </si>
  <si>
    <t>The young man does two sit ups.</t>
  </si>
  <si>
    <t>The camera shows the top of the doorway focusing on the bar and the young man's feet secured at the top of the doorway.</t>
  </si>
  <si>
    <t>The camera returns to the full view of the young man doing sit ups in the doorway.</t>
  </si>
  <si>
    <t>The young man does three more sit ups.</t>
  </si>
  <si>
    <t>v_dm5ZnhOeBBQ</t>
  </si>
  <si>
    <t>A woman is standing next to a vacuum.</t>
  </si>
  <si>
    <t>She dumps something onto the floor.</t>
  </si>
  <si>
    <t>She takes the vacuum and vacuums up the mess.</t>
  </si>
  <si>
    <t>She takes the hose off the vacuum and starts using that on the floor.</t>
  </si>
  <si>
    <t>v_CE93IieQkAg</t>
  </si>
  <si>
    <t>A man is driving a riding lawn mower.</t>
  </si>
  <si>
    <t>He starts mowing the lawn on the lawn mower.</t>
  </si>
  <si>
    <t>He raises his hand and continues mowing the lawn.</t>
  </si>
  <si>
    <t>v_0A-p1Q0rseE</t>
  </si>
  <si>
    <t>A mixologist is talking about how to make alcoholic drinks.</t>
  </si>
  <si>
    <t>She talks about the drinks she makes a lot of favorites.</t>
  </si>
  <si>
    <t>She starts with a voda soda and how to make one.</t>
  </si>
  <si>
    <t>The next drink she makes is vodka seven.</t>
  </si>
  <si>
    <t>Then she makes a screwdriver, a greyhound, and then mixed with cranberry juice.</t>
  </si>
  <si>
    <t>v_ZwIu2pPxB3Y</t>
  </si>
  <si>
    <t>A camera pans away from a set of exercise equipment and leads into a woman's feet moving along.</t>
  </si>
  <si>
    <t>The woman is then seen using the machine as well as adjusting the settings and continuing to run.</t>
  </si>
  <si>
    <t>v_JAEMwQqh51c</t>
  </si>
  <si>
    <t>A man dressed for cold weather is outside in the snow fumbling with a chain in his hands.</t>
  </si>
  <si>
    <t>The chain is then placed around a tree stump and the man picks up an ax.</t>
  </si>
  <si>
    <t>The man hits the stumps continuously until the stump is broken up into pieces and then he unchains it in the back of his truck.</t>
  </si>
  <si>
    <t>v_n0Az4cLruf4</t>
  </si>
  <si>
    <t>A man is inside a gym while speaking to the camera.</t>
  </si>
  <si>
    <t>Other men are working out behind him.</t>
  </si>
  <si>
    <t>He demonstrates via volunteer how to use a rowing machine.</t>
  </si>
  <si>
    <t>v_flneQOXwGxw</t>
  </si>
  <si>
    <t>Men are standing on a field talking.</t>
  </si>
  <si>
    <t>A man kicks another man.</t>
  </si>
  <si>
    <t>That man swings a bat at him.</t>
  </si>
  <si>
    <t>v_I5setZ8js9I</t>
  </si>
  <si>
    <t>A man is riding a surfboard in the ocean.</t>
  </si>
  <si>
    <t>He stands up on the board during a wave.</t>
  </si>
  <si>
    <t>He surfs through the wave, weaving in and out.</t>
  </si>
  <si>
    <t>v_hjaUbrqPe-w</t>
  </si>
  <si>
    <t>People are sitting in rafts going down a river.</t>
  </si>
  <si>
    <t>A man is standing on the side of a river taking a picture.</t>
  </si>
  <si>
    <t>People are getting out of the raft onto land.</t>
  </si>
  <si>
    <t>v_fjGqWAxenL0</t>
  </si>
  <si>
    <t>A person is welding a metal outside.</t>
  </si>
  <si>
    <t>The person stops welding the metal on the floor.</t>
  </si>
  <si>
    <t>The person moves the welding tool behind.</t>
  </si>
  <si>
    <t>v_vZmDiMGYCo0</t>
  </si>
  <si>
    <t>Two small kids sit in a box at the top of slide in an indoor play area.</t>
  </si>
  <si>
    <t>A little girl joins and plays on the slide.</t>
  </si>
  <si>
    <t>The girls leaves and the boys take turns going down the slide.</t>
  </si>
  <si>
    <t>The boys connect a slide to the first one and try out the new slide.</t>
  </si>
  <si>
    <t>Two kids run over and away.</t>
  </si>
  <si>
    <t>The last boy runs off and we see the slide ladder.</t>
  </si>
  <si>
    <t>v_9d8ttpHu3cc</t>
  </si>
  <si>
    <t>Two people are kayaking down a rough river.</t>
  </si>
  <si>
    <t>Now only one person can be seen going by the rocks.</t>
  </si>
  <si>
    <t>There is an edge of a porch with a pair of shoes and a pair of legs up on the edge of the porch.</t>
  </si>
  <si>
    <t>v_UciHec7xncc</t>
  </si>
  <si>
    <t>A young child is seen speaking to the camera and begins climbing across a set of monkey bars.</t>
  </si>
  <si>
    <t>She makes it to the other side smiling to the camera and then climbs down afterwards.</t>
  </si>
  <si>
    <t>v_nQM5LT1-ZRU</t>
  </si>
  <si>
    <t>We see a man in a room talking about a bike.</t>
  </si>
  <si>
    <t>We then see the man adjusting the handle bar of the bike.</t>
  </si>
  <si>
    <t>The man demonstrates how the levers sit and adjusts the brake levers.</t>
  </si>
  <si>
    <t>The man demonstrates the sitting positions and braking and screws them tight.</t>
  </si>
  <si>
    <t>The man then, and adjusts the shifter lever.</t>
  </si>
  <si>
    <t>We see a recap and the closing scene of the video.</t>
  </si>
  <si>
    <t>v_nwttSIR1qvs</t>
  </si>
  <si>
    <t>An introduction comes onto the screen for a video about how to fix a stinky sink.</t>
  </si>
  <si>
    <t>A man comes onto the screen and explain several days ago about getting the smell out of your sink.</t>
  </si>
  <si>
    <t>He first explain how you can use different chemicals and core them down the drain to get the smell out.</t>
  </si>
  <si>
    <t>Then he shows you how to remove bottom of the sink to clean it out which may help with the smell.</t>
  </si>
  <si>
    <t>The video it's with the closing credits shown on the screen.</t>
  </si>
  <si>
    <t>v_hCFCYe_Jp-k</t>
  </si>
  <si>
    <t>There's a woman in a gray shirt and black tights and very short hair performing tricks with a small stick in her backyard by the swing.</t>
  </si>
  <si>
    <t>She is juggling between two sticks in her hand and trying to catch one stick while throwing the other in the air.</t>
  </si>
  <si>
    <t>v_9AzESzqOtb0</t>
  </si>
  <si>
    <t>A man runs down a track outside.</t>
  </si>
  <si>
    <t>He is holding a long javelin.</t>
  </si>
  <si>
    <t>He pole vaults over a bar.</t>
  </si>
  <si>
    <t>He does the same thing again indoors.</t>
  </si>
  <si>
    <t>v_hY73M6hJqgU</t>
  </si>
  <si>
    <t>A person is seen beating eggs and mixing them into a bowl while separating the shells from the eggs.</t>
  </si>
  <si>
    <t>They mix the eggs around a bowl and place butter and milk into another bowl and mix them all together.</t>
  </si>
  <si>
    <t>They add several more ingredients to the mixture and show the end result of cookies sitting on a plate.</t>
  </si>
  <si>
    <t>v_4efxBizoKyQ</t>
  </si>
  <si>
    <t>A man is close up to the camera introducing the video.</t>
  </si>
  <si>
    <t>His wife is cleaning off a piece of white bedframe quickly.</t>
  </si>
  <si>
    <t>The man again shows his face and goes back to his wife.</t>
  </si>
  <si>
    <t>v_x_lN_QxbEjQ</t>
  </si>
  <si>
    <t>A black intro screen appears and it includes a lot of text in white, blue and green that include numbers and letters, and then a logo to the right side that's for QUICKSILVER and the clips will be from a surfing competition in PIHA, AUCKLAND NEW ZEALAND.</t>
  </si>
  <si>
    <t>The beach is shown and there are multiple people and tents and the people are watching and cheering on various different surfers who are surfing big and long waves.</t>
  </si>
  <si>
    <t>The outro appears and it's the same black screen with the logo and text as it was for the intro.</t>
  </si>
  <si>
    <t>v_VvbWwNDHJf4</t>
  </si>
  <si>
    <t>A woman is seen wearing roller blades and looking back to the camera.</t>
  </si>
  <si>
    <t>She attempts to ride around while another person beside her tries to help.</t>
  </si>
  <si>
    <t>Another person is seen holding sticks in the distance and walking towards the camera.</t>
  </si>
  <si>
    <t>v_tI87cD7sv-Y</t>
  </si>
  <si>
    <t>A teen talks, then he takes off a contact lens from the right eye.</t>
  </si>
  <si>
    <t>Then, teen puts the contact lens on the index finger and then puts again it in his right aye.</t>
  </si>
  <si>
    <t>After, the teen continues talking.</t>
  </si>
  <si>
    <t>v_sxZTPWMnyFY</t>
  </si>
  <si>
    <t>A person putting weights on is shown followed by a woman lifting weights on her back.</t>
  </si>
  <si>
    <t>She puts the weights down and another woman is shown lifting a heavy set of weights.</t>
  </si>
  <si>
    <t>Several more people are shown performing their lifting talents and ends with a logo of the gym shown.</t>
  </si>
  <si>
    <t>v_Ai6RYjJ97Zg</t>
  </si>
  <si>
    <t>A woman talks, then she puts slices of bread on a hot baking pan on the stove.</t>
  </si>
  <si>
    <t>Then, the woman puts cream cheese on the bread and cooks meat.</t>
  </si>
  <si>
    <t>When the meat is done, the woman puts sauerkraut and cheese on top, then cover it and make sandwiches.</t>
  </si>
  <si>
    <t>v_kVzojOj5_Zg</t>
  </si>
  <si>
    <t>A volleyball instructor is giving information about his volleyball skills in salt lake city.</t>
  </si>
  <si>
    <t>He plays with another instructor on the court.</t>
  </si>
  <si>
    <t>He just talks and talks for a while about all about it.</t>
  </si>
  <si>
    <t>You see the the volley ball net and then the coach continues to talk.</t>
  </si>
  <si>
    <t>v_OSjsVUg_wXA</t>
  </si>
  <si>
    <t>A marching band plays in a stadium while the cheerleaders perform on side.</t>
  </si>
  <si>
    <t>A team of football players gather behind the marching band.</t>
  </si>
  <si>
    <t>A cheerleader pass behind the marching band.</t>
  </si>
  <si>
    <t>The cheerleaders in the bleachers perform with pom poms.</t>
  </si>
  <si>
    <t>Then, the cheerleaders next to the band performs jumping and moving around.</t>
  </si>
  <si>
    <t>v_zGT6EplIOHY</t>
  </si>
  <si>
    <t>People kick a ball indoor between yellow cones on fake grass.</t>
  </si>
  <si>
    <t>A player kicks a ball over a guy's head.</t>
  </si>
  <si>
    <t>Players kick a ball that knocks down a yellow cone which they pick up.</t>
  </si>
  <si>
    <t>v_Tssba1kYoo4</t>
  </si>
  <si>
    <t>A person sits holding a laptop while a woman curls her hair.</t>
  </si>
  <si>
    <t>The woman takes a lock of hair and puts above the head, then she curls the hair with a curling iron.</t>
  </si>
  <si>
    <t>v_B0enQXEBfKk</t>
  </si>
  <si>
    <t>A man and a woman set up to dance before an audience.</t>
  </si>
  <si>
    <t>The man and woman dance before the audience.</t>
  </si>
  <si>
    <t>The camera shows three judges of the event standing and clapping or pointing.</t>
  </si>
  <si>
    <t>v_nhky9RGjzwc</t>
  </si>
  <si>
    <t>Two women are arm wrestling on a table.</t>
  </si>
  <si>
    <t>A woman in a referee uniform is standing behind them.</t>
  </si>
  <si>
    <t>One of the girls walks away.</t>
  </si>
  <si>
    <t>v_O36pn7cHNVc</t>
  </si>
  <si>
    <t>A group of elderly people are meeting in a park.</t>
  </si>
  <si>
    <t>They talk and do yoga together.</t>
  </si>
  <si>
    <t>They perform several yoga moves with the help of an instructor.</t>
  </si>
  <si>
    <t>They then say goodbye and go on their way.</t>
  </si>
  <si>
    <t>v_ZKo1lM6TJTY</t>
  </si>
  <si>
    <t>A gymnast holds a ball attached with a string and then spins holding the ball.</t>
  </si>
  <si>
    <t>Then, the gymnast throw the ball while spinning in the field.</t>
  </si>
  <si>
    <t>v_fsoAdigH0X4</t>
  </si>
  <si>
    <t>A man is mowing the lawn.</t>
  </si>
  <si>
    <t>He looks up and speaks to someone.</t>
  </si>
  <si>
    <t>The man continues to mow the lawn.</t>
  </si>
  <si>
    <t>v_-2dxp-mv2zo</t>
  </si>
  <si>
    <t>A female chef in white uniform shows a stack of baking pans in a large kitchen presenting them.</t>
  </si>
  <si>
    <t>The pans are filled with pastries and loaded into the oven.</t>
  </si>
  <si>
    <t>A knife is used to cut cylinder shaped dough into rounds.</t>
  </si>
  <si>
    <t>A tray of potatoes is loaded into the oven and removed.</t>
  </si>
  <si>
    <t>A large tray of cake is flipped over and placed on counter.</t>
  </si>
  <si>
    <t>A large tray of meat is prepared then it is removed from the oven by a helper when done.</t>
  </si>
  <si>
    <t>The woman chef stands behind the stack of tins and picks one up.</t>
  </si>
  <si>
    <t>v_HF_a81qOmVQ</t>
  </si>
  <si>
    <t>The man in yellow shirt is bouncing the ball on the paddle.</t>
  </si>
  <si>
    <t>The player almost hit the ball with the paddle.</t>
  </si>
  <si>
    <t>Two player as pushing each other.</t>
  </si>
  <si>
    <t>v_ZXm8ed-ZHRs</t>
  </si>
  <si>
    <t>A woman is seen speaking in the middle of a large gymnasium and leads into several different gymnasts performing one after the another on uneven bars.</t>
  </si>
  <si>
    <t>The gymnasts continue to move all around the bars and ends with one girl going over and over and everyone waving in the end.</t>
  </si>
  <si>
    <t>v_ktfxYSZjJyM</t>
  </si>
  <si>
    <t>woman is in a lake windsurfing with a red windsurf.</t>
  </si>
  <si>
    <t>other people are in the back windsurfing in the lake.</t>
  </si>
  <si>
    <t>sailboat is standing in the back of people windsurfing.</t>
  </si>
  <si>
    <t>v_pn1XDTlNMso</t>
  </si>
  <si>
    <t>Two women are seen speaking to the camera and lead into rubbing down furniture as well as showing off polish.</t>
  </si>
  <si>
    <t>The women continue speaking as they show off how the polish works as well as the scenery in the area and another woman speaking to the camera.</t>
  </si>
  <si>
    <t>v_h3uTJ7HknzA</t>
  </si>
  <si>
    <t>A person dance and flips Capoeira while a band play music.</t>
  </si>
  <si>
    <t>Then, a woman talks with the man, after the man dance in group with other people.</t>
  </si>
  <si>
    <t>After, the man dance in group and with a partner, then all say bye.</t>
  </si>
  <si>
    <t>v_hwP4uLVR-uc</t>
  </si>
  <si>
    <t>A band is on stage and a girl with a trumpet and boy beating the drums are playing.</t>
  </si>
  <si>
    <t>They have a little duet while the saxophones int he bank are paused.</t>
  </si>
  <si>
    <t>The trumpet player walks over and picks up a bell.</t>
  </si>
  <si>
    <t>Then it's just the drummer banging on the drums.</t>
  </si>
  <si>
    <t>v_QMFtjdg6d2A</t>
  </si>
  <si>
    <t>A man in a green shirt is waving a red towel.</t>
  </si>
  <si>
    <t>A brown bull knocks a person to the ground.</t>
  </si>
  <si>
    <t>People are standing on the sides watching.</t>
  </si>
  <si>
    <t>v_0MyaFtXcTKI</t>
  </si>
  <si>
    <t>A small child is seen wandering around a playground while the camera follows closely behind.</t>
  </si>
  <si>
    <t>The boy plays with several other kids on the playground and is seen climbing around the sides and going down the slide.</t>
  </si>
  <si>
    <t>More clips are shown of the kids playing with one another and laughing to the camera.</t>
  </si>
  <si>
    <t>v_sFQ343Qq4TE</t>
  </si>
  <si>
    <t>A man is seen walking away from the camera and begins an exercise routine while speaking to the camera.</t>
  </si>
  <si>
    <t>The man moves up and down a bar while swinging his arms around and walks to the camera in the end.</t>
  </si>
  <si>
    <t>v_HtZ0bvriAvQ</t>
  </si>
  <si>
    <t>A gymnast wearing a red and black uniform jumps on the horse bar.</t>
  </si>
  <si>
    <t>She comes running again and jumps on the horse bar and does a front flip.</t>
  </si>
  <si>
    <t>The the third time she jumps again on the horse bar and raises her left foot, does a front flip and gets off the bar.</t>
  </si>
  <si>
    <t>She repeats the same steps again and jumps off the horse bar.</t>
  </si>
  <si>
    <t>v_EVcn8N-YxtI</t>
  </si>
  <si>
    <t>Two people are seen performing tango moves slowly while text appears on the screen.</t>
  </si>
  <si>
    <t>The woman then does the same moves by herself while the man and woman's silhouette is shown beside them.</t>
  </si>
  <si>
    <t>Then the man performs his moves alone and leads into the couple performing again.</t>
  </si>
  <si>
    <t>v_fppEk17hs8M</t>
  </si>
  <si>
    <t>A team is on the ice, playing a game of hockey.</t>
  </si>
  <si>
    <t>They slide around, hitting the puck and trying to keep it away from their opponents.</t>
  </si>
  <si>
    <t>The goalie attemps to keep the puck from going into the goal.</t>
  </si>
  <si>
    <t>v_bqBJ1tcHCHk</t>
  </si>
  <si>
    <t>An intro leads into various pictures of horse tools and a woman speaking to the camera holding a brush.</t>
  </si>
  <si>
    <t>She then brushes the horse's mane thoroughly while still looking to the camera and speaking.</t>
  </si>
  <si>
    <t>v_mrqSaH_FIcs</t>
  </si>
  <si>
    <t>A man talks with a saleswoman who trims a plant in a pot, then the man put away the plant.</t>
  </si>
  <si>
    <t>After, the man puts a bush on front the saleswoman who trim it while the man points the plant and talks with the woman.</t>
  </si>
  <si>
    <t>v_-PbWrGLuHT8</t>
  </si>
  <si>
    <t>A person is seen riding a board along the water with a kite on top.</t>
  </si>
  <si>
    <t>More clips are shown of the person riding back and fourth on the board.</t>
  </si>
  <si>
    <t>The person continues to ride the board along the water.</t>
  </si>
  <si>
    <t>v_c8GFfLcwFrE</t>
  </si>
  <si>
    <t>A man is surfing on a large wave in the water.</t>
  </si>
  <si>
    <t>The water and the sky is red.</t>
  </si>
  <si>
    <t>Several people are surfing on the water.</t>
  </si>
  <si>
    <t>v_Bg_CMSihJl0</t>
  </si>
  <si>
    <t>A woman with glasses on is knitting.</t>
  </si>
  <si>
    <t>A girl in a black shirt is sitting down talking.</t>
  </si>
  <si>
    <t>The woman knitting talks back to the girl.</t>
  </si>
  <si>
    <t>v_2cYfV33Qw4Y</t>
  </si>
  <si>
    <t>A man talks to the camera as people begin going down a man made white water river on kayaks.</t>
  </si>
  <si>
    <t>The people get slightly stuck, then unstuck as they go down small waterfalls.</t>
  </si>
  <si>
    <t>A woman falls out, and is pulled back in by another person.</t>
  </si>
  <si>
    <t>We then see several images of people in kayaks on the rapids.</t>
  </si>
  <si>
    <t>v_6dc-fQCzOiw</t>
  </si>
  <si>
    <t>A person talks in the street, then the person skateboard on the road.</t>
  </si>
  <si>
    <t>Then, the person kicks the skateboard back.</t>
  </si>
  <si>
    <t>After the person jumps off it and the skateboard slides on the road.</t>
  </si>
  <si>
    <t>Next , the person practice skateboard dragging a foot, after the person use the grass to do tricks.</t>
  </si>
  <si>
    <t>v_K7oJNZsI1Cc</t>
  </si>
  <si>
    <t>woman is standing in a big room holding an épée and aman walks in and holds other épée and start fighting with the woman.</t>
  </si>
  <si>
    <t>kids enters in a room and run to the man and woman.</t>
  </si>
  <si>
    <t>man gives a black mask to the woman and wear it.</t>
  </si>
  <si>
    <t>v_Ocvdvqvu7I8</t>
  </si>
  <si>
    <t>A child in a stable brushing a horse hair.</t>
  </si>
  <si>
    <t>the child walks away from the horse while speaking to get a bottle of liquid then returns to brushing the horse hair.</t>
  </si>
  <si>
    <t>v_NuSM8LfLR90</t>
  </si>
  <si>
    <t>A camera zooms in on a person performing a routine on a large stage spinning a baton into the air.</t>
  </si>
  <si>
    <t>The person continues the routine and ends with a split and the audience applauding.</t>
  </si>
  <si>
    <t>v__akwfjIbsUA</t>
  </si>
  <si>
    <t>A young boy is seen standing on top of a slide and edging his way down.</t>
  </si>
  <si>
    <t>The boy rides all down the slide and the camera follows him walking around afterwards.</t>
  </si>
  <si>
    <t>v_kIjYdddY3Xk</t>
  </si>
  <si>
    <t>A boy stands at a sink in a kitchen.</t>
  </si>
  <si>
    <t>He is wiping his shoe down.</t>
  </si>
  <si>
    <t>He turns around and smiles at the camera.</t>
  </si>
  <si>
    <t>v_PV6OCwbp6nQ</t>
  </si>
  <si>
    <t>A woman is speaking to her class about jump roping.</t>
  </si>
  <si>
    <t>She puts the rope under her feet and starts demonstrating a little bit.</t>
  </si>
  <si>
    <t>She begins to jump rope going very quickly.</t>
  </si>
  <si>
    <t>She stops and continue to talk more before starting to jump again.</t>
  </si>
  <si>
    <t>v_OoyoTLkSOuY</t>
  </si>
  <si>
    <t>A woman is wearing a towel and standing next to a bath tub.</t>
  </si>
  <si>
    <t>She puts shaving cream on her leg and shaves her leg.</t>
  </si>
  <si>
    <t>v_xxvBR4zdV48</t>
  </si>
  <si>
    <t>A man in the tuxedo starts explaining black jack.</t>
  </si>
  <si>
    <t>A dealer deals cards to four players.</t>
  </si>
  <si>
    <t>Several close ups of cards are shown.</t>
  </si>
  <si>
    <t>The man in the tuxedo continues to explain the rules of blackjack.</t>
  </si>
  <si>
    <t>v_BHQasKzBDQU</t>
  </si>
  <si>
    <t>two women are standing no a table arm wrestling in the middle of stage.</t>
  </si>
  <si>
    <t>referee wearing black and white shirt is standing behind the girls.</t>
  </si>
  <si>
    <t>two hot women are arm wrestling on a table and referees are standing in front or sitting in the back.</t>
  </si>
  <si>
    <t>women are in a bar arm wrestling and a lot of people are around them watching them.</t>
  </si>
  <si>
    <t>v_EwoxOKwqUPI</t>
  </si>
  <si>
    <t>A woman plays a game of beer pong with a short man dressed as a leprechaun.</t>
  </si>
  <si>
    <t>A DJ plays spins a pair of turntables on stage for the crowd.</t>
  </si>
  <si>
    <t>The woman scores a shot and celebrates.</t>
  </si>
  <si>
    <t>The two players hug each other and raise the woman's arm in victory.</t>
  </si>
  <si>
    <t>v_fTQYGNJpSUk</t>
  </si>
  <si>
    <t>An animated new paper clipping is shown and the video consists of a bunch of letters in black block letters giving the title.</t>
  </si>
  <si>
    <t>Shortly after, a young female begins talking while and throws down a curling object.</t>
  </si>
  <si>
    <t>The young woman then walks over to a male dressed in all black and begins asking him questions about the game.</t>
  </si>
  <si>
    <t>While they are talking, a game is being played and the two watches them.</t>
  </si>
  <si>
    <t>After,the man begins teaching her various techniques used in the game and they begin to glide across the floor.</t>
  </si>
  <si>
    <t>Once they are finished,the woman comes back to the camera and begins talking about the sport.</t>
  </si>
  <si>
    <t>v_tkQK_2celDY</t>
  </si>
  <si>
    <t>A gray dog is walking outdoors, and the owner is young white male who is walking along with the dog outdoors and talking to the camera.</t>
  </si>
  <si>
    <t>A screen appears that displays two logos in the middel and the text above the logos read "BEHIND THE SCENES" and under the logo words read "PRESENTED BY:GEICO".</t>
  </si>
  <si>
    <t>A man is now dressed in protective gear and he is joined by many others who are dressed the same and clips of them playing paintball guns in an open area and on a course.</t>
  </si>
  <si>
    <t>A man is now standing on a very high platform looking down at a large group of people, and the words "COMIC-CON SAN DIEGO CA" are at the bottom right, and the man jumps onto a very large air mattress, he gets up and begins running along a very long obstacle course requiring him to do various different things and the view is from a camera that his is wearing around his neck.</t>
  </si>
  <si>
    <t>He completes the obstacle course and an outro screen appears with 3 small different video screens playing over the main screen and the top words on the screen say "PRESENTED BY GEICO".</t>
  </si>
  <si>
    <t>v_S2MHi_oC3Lg</t>
  </si>
  <si>
    <t>A girl is shown talking to the camera and showing various paints.</t>
  </si>
  <si>
    <t>She zooms in on products she owns and puts paint on a pallet.</t>
  </si>
  <si>
    <t>She dabs a brush in the paint and begins painting her nails.</t>
  </si>
  <si>
    <t>She performs several different styles on the nails and several pictures of finished nails.</t>
  </si>
  <si>
    <t>v_ik8uSCSBv1U</t>
  </si>
  <si>
    <t>A man stands on a tennis court preparing to serve the ball.</t>
  </si>
  <si>
    <t>The man hits the tennis ball across the court.</t>
  </si>
  <si>
    <t>The man turns and walks back to his basket and grabs a ball from his pocket.</t>
  </si>
  <si>
    <t>The man bounces the ball on the ground.</t>
  </si>
  <si>
    <t>v_vX0fg06e9co</t>
  </si>
  <si>
    <t>A woman is seen bending down to take a sip of water and leads into her spinning a hula hoop around herself.</t>
  </si>
  <si>
    <t>The woman continues spinning the hula hoop around while grabbing several more and performing tricks in the city center.</t>
  </si>
  <si>
    <t>v_n2sTs3k9G-U</t>
  </si>
  <si>
    <t>A man is seen hanging up a bicycle wheel and speaking to the camera.</t>
  </si>
  <si>
    <t>He begins adjusting the bike and unscrewing the settings on the back.</t>
  </si>
  <si>
    <t>He then puts on a pair of training wheels and showing how it moves.</t>
  </si>
  <si>
    <t>v_qp9OcGPufEc</t>
  </si>
  <si>
    <t>A dog is seen running around a man in the middle of an open field.</t>
  </si>
  <si>
    <t>The man performs tricks with the dog while the dog jumps on his back.</t>
  </si>
  <si>
    <t>He continues to roam around with the dog performing tricks with the dog and frisbee.</t>
  </si>
  <si>
    <t>v_4_3m_-SGzXw</t>
  </si>
  <si>
    <t>graphic about how to do digital wallpaper is shown.</t>
  </si>
  <si>
    <t>man is in a room with a digital paper machine and the machine is printing a sign.</t>
  </si>
  <si>
    <t>men are sticking the wallpaper to a white wall.</t>
  </si>
  <si>
    <t>v_gYvYh9aMohY</t>
  </si>
  <si>
    <t>A boy is jumping rope and doing tricks around in circles.</t>
  </si>
  <si>
    <t>Then, Another boy is jumping rope as well and swirling it around and he eventually throws his rope.</t>
  </si>
  <si>
    <t>There is a larger group of 5 that jump rope in sync and do a lot of cool tricks.</t>
  </si>
  <si>
    <t>Followed by a lot of videos of many different people jumping and in groups together doing it in competitions and for fun or practice.</t>
  </si>
  <si>
    <t>v_pPn5f_ked3s</t>
  </si>
  <si>
    <t>A woman clapping in the sidelines, cheering someone on.</t>
  </si>
  <si>
    <t>Coaches standing on the other side of the fence watching to rate.</t>
  </si>
  <si>
    <t>The runner runs down the turf super fast.</t>
  </si>
  <si>
    <t>He jumps at the end and lands smoothly into the sand, while one of the coaches pulls a string over.</t>
  </si>
  <si>
    <t>v_vZzl0RbIQPM</t>
  </si>
  <si>
    <t>The host greets the video and introduces her recipe.</t>
  </si>
  <si>
    <t>The ingredients list appears and the host talks about them.</t>
  </si>
  <si>
    <t>The host begins to make the drink by starting a syrup.</t>
  </si>
  <si>
    <t>Next lemons are sliced on a cutting board.</t>
  </si>
  <si>
    <t>The many lemons are juiced one by one.</t>
  </si>
  <si>
    <t>The host fills the container with ice and pours in the liquid ingredients, followed by basil and lemon slices.</t>
  </si>
  <si>
    <t>The host decorates some straws and finishes her drink.</t>
  </si>
  <si>
    <t>v_7EEpIeXhO54</t>
  </si>
  <si>
    <t>A large pool is seen followed by a person walking in and falling off a board.</t>
  </si>
  <si>
    <t>Another person is seen walking off a diving board and jumping into the water.</t>
  </si>
  <si>
    <t>Several more clips are shown of people attempting to dive in the water but failing.</t>
  </si>
  <si>
    <t>v__BWSmg81iMM</t>
  </si>
  <si>
    <t>A band wearing Scottish kilts plays bagpipes and other instruments in the front University auditorium.</t>
  </si>
  <si>
    <t>The crowd looks around and anticipates the event.</t>
  </si>
  <si>
    <t>The school sign is seen hanging above the podium.</t>
  </si>
  <si>
    <t>v_LvkqCFRC5Vk</t>
  </si>
  <si>
    <t>A man in a brown suit is talking.</t>
  </si>
  <si>
    <t>People are running around on a field playing lacrosse.</t>
  </si>
  <si>
    <t>v_KfX3APC8lp4</t>
  </si>
  <si>
    <t>A woman comes onto the screen kneeling down holding a stick.</t>
  </si>
  <si>
    <t>She begins to stretch deeper into the position while holding the stick for balance.</t>
  </si>
  <si>
    <t>She stops right before the video ends.</t>
  </si>
  <si>
    <t>v_bFPfj889BhU</t>
  </si>
  <si>
    <t>People are riding in sail boats on the water.</t>
  </si>
  <si>
    <t>People are standing on a bar on a boat.</t>
  </si>
  <si>
    <t>People take the sail down off the boat.</t>
  </si>
  <si>
    <t>v_SHzmpIt0Euw</t>
  </si>
  <si>
    <t>Man begins to rip up carpet underlay.</t>
  </si>
  <si>
    <t>He measures the slat to put between the door opening.</t>
  </si>
  <si>
    <t>Then he places materials underneath the carpet underlay.</t>
  </si>
  <si>
    <t>He puts a wooden slat in the door entrance.</t>
  </si>
  <si>
    <t>He picks the slat up.</t>
  </si>
  <si>
    <t>He cuts the slat.</t>
  </si>
  <si>
    <t>He lays the slat down again.</t>
  </si>
  <si>
    <t>He drills it into place.</t>
  </si>
  <si>
    <t>He then lays his hands on the top of the slat.</t>
  </si>
  <si>
    <t>v_9tks__Y0mqI</t>
  </si>
  <si>
    <t>A lady is feeding a baby ice cream in a car.</t>
  </si>
  <si>
    <t>The lady hands the ice cream to the lady next to her and feed the baby something else.</t>
  </si>
  <si>
    <t>The baby reaches for the food.</t>
  </si>
  <si>
    <t>The baby reaches for the food again.</t>
  </si>
  <si>
    <t>The lady wipes the babies face and stands her up.</t>
  </si>
  <si>
    <t>We see the ladies talking.</t>
  </si>
  <si>
    <t>v_YS3Q47uz3HI</t>
  </si>
  <si>
    <t>There's a lady doing a tutorial on how to make a cotton soft Ogura cake.</t>
  </si>
  <si>
    <t>She begins by mixing the ingredients in a large bowl placed on her kitchen counter.</t>
  </si>
  <si>
    <t>She adds some eggs to the flour along with vanilla essence.</t>
  </si>
  <si>
    <t>Then she uses a hand mixer to blend the ingredients together.</t>
  </si>
  <si>
    <t>She then whips up some cream and sugar to make frosting.</t>
  </si>
  <si>
    <t>She adds the frosting to the cake batter and mixes it well.</t>
  </si>
  <si>
    <t>Then she pours the mixture in a baking bowl.</t>
  </si>
  <si>
    <t>She places the bowl in a cookie sheet and places it on the oven rack.</t>
  </si>
  <si>
    <t>She bakes the cake and pulls it out when it's done.</t>
  </si>
  <si>
    <t>She also shows some other baked goodies that she has prepared.</t>
  </si>
  <si>
    <t>v_beejEQ04nkY</t>
  </si>
  <si>
    <t>A woman is seen hosting a news segment that leads into a clip of a dog jumping.</t>
  </si>
  <si>
    <t>People are shown doing tricks with their dogs and running all across a field.</t>
  </si>
  <si>
    <t>More clips are shown of people throwing frisbees and dogs following after.</t>
  </si>
  <si>
    <t>v_k-071peyck4</t>
  </si>
  <si>
    <t>Several people are outdoors, washing laundry in open basins.</t>
  </si>
  <si>
    <t>The women use a pump to bring in water into the basins.</t>
  </si>
  <si>
    <t>v_dxvKVBrNMDw</t>
  </si>
  <si>
    <t>A woman is seen speaking to the camera while holding a hula hoop and then proceeds to spin the object around her.</t>
  </si>
  <si>
    <t>She continues hula hooping over and over again and leads into pictures of people hula hooping in the end.</t>
  </si>
  <si>
    <t>v_WVJEFQpO5jg</t>
  </si>
  <si>
    <t>A man lifts a ball in the air and holds it against his neck and throws the ball far.</t>
  </si>
  <si>
    <t>The man holds the ball against his neck and twists his back and throws it.</t>
  </si>
  <si>
    <t>The man grabs the ball and takes a big step behind him and throws the ball.</t>
  </si>
  <si>
    <t>The man twists his body a few times as he holds the ball against his neck.</t>
  </si>
  <si>
    <t>The man does a 90 degree move around as he holds the ball against his neck.</t>
  </si>
  <si>
    <t>The man holds the ball against his neck as he does a full 180 degree rotation with his body.</t>
  </si>
  <si>
    <t>He pretends to hold the ball as he rotates his body into a 270 degree movement.</t>
  </si>
  <si>
    <t>v_SpwOzrXw9JU</t>
  </si>
  <si>
    <t>A man is seen speaking to the camera and leads into him holding several objects out on a table.</t>
  </si>
  <si>
    <t>The man then sharpens an object on a board and finishes by brushing off the board.</t>
  </si>
  <si>
    <t>v_YqB7UEdhKug</t>
  </si>
  <si>
    <t>A man is standing up playing a saxophone.</t>
  </si>
  <si>
    <t>A band is playing behind him.</t>
  </si>
  <si>
    <t>Blue and white words come onto the screen.</t>
  </si>
  <si>
    <t>v_CteuM2BUmHo</t>
  </si>
  <si>
    <t>We see the opening screen on gray.</t>
  </si>
  <si>
    <t>We then see a man on discs smoothing a concrete floor.</t>
  </si>
  <si>
    <t>The man removes concrete from his trowel.</t>
  </si>
  <si>
    <t>The man uses his hand to remove concrete.</t>
  </si>
  <si>
    <t>v_DDwBAbeGejE</t>
  </si>
  <si>
    <t>woman is sitting in studio giving the news.</t>
  </si>
  <si>
    <t>a person is in a yard sweeping dry leaves.</t>
  </si>
  <si>
    <t>old woman is being interviewed and is talking to the camera in a living room.</t>
  </si>
  <si>
    <t>a woman and a man are being interviewed and are talking to the camera while they are sweeping the leaves.</t>
  </si>
  <si>
    <t>old woman is agani alking and back in studio talking to the camera.</t>
  </si>
  <si>
    <t>v_pMXz0BKQOLQ</t>
  </si>
  <si>
    <t>A food attendant prepares an ice cream cone from a frozen yogurt dispenser.</t>
  </si>
  <si>
    <t>The man happily watches his ice cream being prepared.</t>
  </si>
  <si>
    <t>The man enjoys is ice cream eating it as fast as he can.</t>
  </si>
  <si>
    <t>The man rubs his head and is relieved.</t>
  </si>
  <si>
    <t>v_5iIlhXLDsf8</t>
  </si>
  <si>
    <t>A man is speaking inside a gym.</t>
  </si>
  <si>
    <t>He lies on the ground to do sit ups, talking about the mechanics of the act.</t>
  </si>
  <si>
    <t>The man demonstrates how to do sit ups over and over again.</t>
  </si>
  <si>
    <t>v_nSsll1A6Gxw</t>
  </si>
  <si>
    <t>A woman with long hair is seen sitting behind a piano and speaking to the camera.</t>
  </si>
  <si>
    <t>She places her hands around the piano and begins playing a song.</t>
  </si>
  <si>
    <t>She continues playing the instrument and pauses to speak to the camera a bit.</t>
  </si>
  <si>
    <t>She plays some more and ends with her still speaking to the camera.</t>
  </si>
  <si>
    <t>v_c8ntlBKuVmc</t>
  </si>
  <si>
    <t>A bench is shown in a backyard in front of bushes.</t>
  </si>
  <si>
    <t>A man is using a ladder to trim the hedges.</t>
  </si>
  <si>
    <t>He moves the bench, and walks around with the ladder, continuing to trim hedges.</t>
  </si>
  <si>
    <t>v_0Qed9-9yp9Q</t>
  </si>
  <si>
    <t>A man is seen hopping over bars as well as throwing an object in different locations.</t>
  </si>
  <si>
    <t>The men is then seen lifting weights as well as throwing the object around more and walking away from the camera.</t>
  </si>
  <si>
    <t>He continues practicing by throwing the object around and the camera following his movements.</t>
  </si>
  <si>
    <t>v_aZQWCEejbk8</t>
  </si>
  <si>
    <t>A girl walks up to a slide, sits down, then goes down the slide.</t>
  </si>
  <si>
    <t>She walks back to do it again.</t>
  </si>
  <si>
    <t>v_K1EW6wZDnOs</t>
  </si>
  <si>
    <t>A small horse is outside in a field being held by a rope that is attached to a belt wrapped around the horse's neck.</t>
  </si>
  <si>
    <t>The person with the rope in his hand has a torch like item in his right hand but it appears to only have air in it and begins moving it back and forth across the horses face and mouth.</t>
  </si>
  <si>
    <t>However,the horse doesn't seem to please and begins moving his lip trying to avoid the treatment.</t>
  </si>
  <si>
    <t>v_l9jSJaV0DA0</t>
  </si>
  <si>
    <t>A boy demonstrates how to ride a skateboard in the street through example.</t>
  </si>
  <si>
    <t>A boy stands, outdoors, holding a skateboard in his arms and then puts the board down and begins to step on it.</t>
  </si>
  <si>
    <t>The boy then stands on the board rocking back and forth on it.</t>
  </si>
  <si>
    <t>The boy then exhibits upper body twists while standing on the skateboard and eventually pushes off and rides into the street on the skateboard.</t>
  </si>
  <si>
    <t>The boy then returns to the curbside and puts one foot on the board and the other on the ground as he stands still.</t>
  </si>
  <si>
    <t>v_BIy2GQjWUsA</t>
  </si>
  <si>
    <t>We see a rubber glove on the floor.</t>
  </si>
  <si>
    <t>A person cuts the glove in half and puts a hole in the end.</t>
  </si>
  <si>
    <t>The person puts the glove on a dog with it's claw sticking through the hole.</t>
  </si>
  <si>
    <t>A person shows a clipping tool.</t>
  </si>
  <si>
    <t>The person then sands the dogs claw with an electric sander.</t>
  </si>
  <si>
    <t>v_yUSo_xjyGhM</t>
  </si>
  <si>
    <t>Two young boys are at a sink.</t>
  </si>
  <si>
    <t>One of the boys has no hands.</t>
  </si>
  <si>
    <t>He is washing the dishes.</t>
  </si>
  <si>
    <t>The other boy helps him clean.</t>
  </si>
  <si>
    <t>v_4qstg-tiRvQ</t>
  </si>
  <si>
    <t>Cheerleaders stand in a gym in the group.</t>
  </si>
  <si>
    <t>the girls then perform a routine.</t>
  </si>
  <si>
    <t>The girls break into three groups and the two on the sides kneel while the middle group squats.</t>
  </si>
  <si>
    <t>They kneel and throw their hands in the air at the finish.</t>
  </si>
  <si>
    <t>v_FsXl6whrCWk</t>
  </si>
  <si>
    <t>A woman in a black shirt is sitting on a bench.</t>
  </si>
  <si>
    <t>A man sits behind a desk.</t>
  </si>
  <si>
    <t>Two people are sitting on a bean bag chair.</t>
  </si>
  <si>
    <t>A man is drinking from a mug.</t>
  </si>
  <si>
    <t>v_DfiPwDSjjHE</t>
  </si>
  <si>
    <t>A woman in a pink shirt is talking.</t>
  </si>
  <si>
    <t>She picks up a clear box and opens it.</t>
  </si>
  <si>
    <t>She closes the box and puts it away.</t>
  </si>
  <si>
    <t>She picks up a large stuffed animal.</t>
  </si>
  <si>
    <t>She then picks up a small red bag.</t>
  </si>
  <si>
    <t>She picks up some different fabrics and ribbons.</t>
  </si>
  <si>
    <t>v_j4YrzUjxAp8</t>
  </si>
  <si>
    <t>Vacuum parts are displayed on the floor.</t>
  </si>
  <si>
    <t>A person vacuums the carpet.</t>
  </si>
  <si>
    <t>A person wets and vacuums the carpet.</t>
  </si>
  <si>
    <t>A person vacuums or soaks up coffee from the carpet.</t>
  </si>
  <si>
    <t>A person scrubs and dries a tiled floor with a vacuum.</t>
  </si>
  <si>
    <t>A person empties the contents of the vacuum in a white sink.</t>
  </si>
  <si>
    <t>Ways a vacuum can be used are showed in split screens.</t>
  </si>
  <si>
    <t>v_5MJmwr1cmnU</t>
  </si>
  <si>
    <t>A large wave is seen moving on the water followed by several people carrying surf boards and surfing along the water.</t>
  </si>
  <si>
    <t>The people continue riding along the water on surf boards and walking around on the beach.</t>
  </si>
  <si>
    <t>v_hXrNCak63u0</t>
  </si>
  <si>
    <t>A robot is sitting behind a piano in a room.</t>
  </si>
  <si>
    <t>Its hands are lighting up no the piano keys.</t>
  </si>
  <si>
    <t>v_2DvMNOas7jY</t>
  </si>
  <si>
    <t>A person is seen riding down a long street on a skateboard while the camera follows from behind.</t>
  </si>
  <si>
    <t>The person continues riding down the hill with the camera capturing scenery and cars as well as placing his hand on the boarder in front of him.</t>
  </si>
  <si>
    <t>In the end he passes by the boarder and makes a stop by the car.</t>
  </si>
  <si>
    <t>v_J959vSGFedM</t>
  </si>
  <si>
    <t>A man is lying on his back on a tile floor.</t>
  </si>
  <si>
    <t>He is trying to do sit ups, slowing down and grimacing as the effort becomes more difficult with each one.</t>
  </si>
  <si>
    <t>He stops, lying back and laughing.</t>
  </si>
  <si>
    <t>v_g-l5CI29DPQ</t>
  </si>
  <si>
    <t>A girl is playing hopscotch on a back porch.</t>
  </si>
  <si>
    <t>A person is sitting down on a picnic table watching them.</t>
  </si>
  <si>
    <t>The other person gets up and starts playing.</t>
  </si>
  <si>
    <t>v_bQa8S4Z-1cE</t>
  </si>
  <si>
    <t>A person is seen pulling items out of a box and present them to the camera.</t>
  </si>
  <si>
    <t>The man then rubs down a shoe with a rag and presents more items to the camera as it pans around.</t>
  </si>
  <si>
    <t>v_Wgr9YpWni30</t>
  </si>
  <si>
    <t>A person is seen tying their shoes and leads into several shots of people jumping and moving around on rope.</t>
  </si>
  <si>
    <t>Several shots of landscapes are shown as well as more people attempting jumps and tricks on a long rope tied to trees.</t>
  </si>
  <si>
    <t>v_nsdB1r31-70</t>
  </si>
  <si>
    <t>A woman and a little a boy are swinging on a tire swing.</t>
  </si>
  <si>
    <t>A person pushing a stroller is behind them.</t>
  </si>
  <si>
    <t>The boy turns away from the camera.</t>
  </si>
  <si>
    <t>v_xYW64moSLKg</t>
  </si>
  <si>
    <t>A woman is under water and she gracefully come up from underneath.</t>
  </si>
  <si>
    <t>She later is swimming with tom and jerry very pretty and oddly.</t>
  </si>
  <si>
    <t>Then a she is hanging from a hoop up above and jumps down into the water.</t>
  </si>
  <si>
    <t>She does a lot of different shows involving her dancing and swimming around in the water.</t>
  </si>
  <si>
    <t>v_Xueo66Jb8T4</t>
  </si>
  <si>
    <t>A white screen appears with a black brand name that say's "THE SHINGLE HOG" and it has a picture of a hog in the o of the word HOG.</t>
  </si>
  <si>
    <t>A quick picture of a red and black tool is shown, then a man is talking and clips of people removing shingles play in between moments shown when the man talks.</t>
  </si>
  <si>
    <t>The tool is now shown on its own and the brand and logo is displayed on the screen to the upper right.</t>
  </si>
  <si>
    <t>Now there are clips of people on the roof using the tool to remove shingles and once again the man appears talking in between clips.</t>
  </si>
  <si>
    <t>A black screen appears and it has a list with a lot of white words on it and the title is "Shingle Hog Savings".</t>
  </si>
  <si>
    <t>The man talking and the clips of the man using the shingle machine play until a white outro screen appears that include the brand name, logo, product info and website.</t>
  </si>
  <si>
    <t>v_WVM8itzRVjs</t>
  </si>
  <si>
    <t>Four men in sports uniforms are shown along with information about AIB.</t>
  </si>
  <si>
    <t>The first man introduces himself.</t>
  </si>
  <si>
    <t>The second man introduces himself.</t>
  </si>
  <si>
    <t>the third man introduces himself.</t>
  </si>
  <si>
    <t>Finally, the fourth man introduces himself.</t>
  </si>
  <si>
    <t>The first man is then shown practicing by trying to hit targets on the wall.</t>
  </si>
  <si>
    <t>The second man to introduce himself takes a turn trying to hit the targets on the wall.</t>
  </si>
  <si>
    <t>The man wearing white shorts then tries the practice wall out.</t>
  </si>
  <si>
    <t>And finally the man with red hair gives it a try.</t>
  </si>
  <si>
    <t>The first man to practice gives a comment on his performance.</t>
  </si>
  <si>
    <t>The last man to practice with red hair talks.</t>
  </si>
  <si>
    <t>Info about the AIB and the upcoming game are shown.</t>
  </si>
  <si>
    <t>v_MjHlAvy2qVY</t>
  </si>
  <si>
    <t>A large group of people are seen sitting on a beach with several putting sunscreen all over their bodies.</t>
  </si>
  <si>
    <t>Shots of scientists are shown making the sun screen while interacting with one another and speaking to the camera.</t>
  </si>
  <si>
    <t>Finally a man is seen packing up a fish in a shop.</t>
  </si>
  <si>
    <t>v_1fyxOUEihAQ</t>
  </si>
  <si>
    <t>kid is holding a blower and is blowing leaves from the street.</t>
  </si>
  <si>
    <t>the kid walks in a sidewalk and cleans the dry leaves with the blower and a man help him.</t>
  </si>
  <si>
    <t>old man is holding a rake raking the dry leaves.</t>
  </si>
  <si>
    <t>v_pc_QYeZG9GA</t>
  </si>
  <si>
    <t>a little boy is in a messy living room.</t>
  </si>
  <si>
    <t>He is using an electric toothbrush.</t>
  </si>
  <si>
    <t>He scrubs his teeth with the toothbrush while he smiles.</t>
  </si>
  <si>
    <t>v_pcFn1KBwn6Y</t>
  </si>
  <si>
    <t>A man in a light blue shirt breaks the pool balls to start the game.</t>
  </si>
  <si>
    <t>He walks around the table looking for a good spot to hit.</t>
  </si>
  <si>
    <t>Then he moves around the table again and makes it in again.</t>
  </si>
  <si>
    <t>He finally hits the black ball in and ends the game.</t>
  </si>
  <si>
    <t>v_9uitA8tmSfE</t>
  </si>
  <si>
    <t>A woman jumps into a pool.</t>
  </si>
  <si>
    <t>A woman is holding a large camera laughing.</t>
  </si>
  <si>
    <t>Several more women dive off diving boards into the water.</t>
  </si>
  <si>
    <t>v_Sw4QZTF7sOI</t>
  </si>
  <si>
    <t>A chef speaks to the camera.</t>
  </si>
  <si>
    <t>She moves on to cut a lot of mushrooms.</t>
  </si>
  <si>
    <t>She moves around the mushrooms she just cut up.</t>
  </si>
  <si>
    <t>v_rNQbSptv1cM</t>
  </si>
  <si>
    <t>We see the starting title card.</t>
  </si>
  <si>
    <t>A cheerleader jumps and a boy walks up and talks.</t>
  </si>
  <si>
    <t>We see the girl perform cheerleader jumps and arm maneuvers.</t>
  </si>
  <si>
    <t>We see her feet up close.</t>
  </si>
  <si>
    <t>The girl stretches by bending to the ground, and sits on the ground stretching.</t>
  </si>
  <si>
    <t>v_ICzctKJ6nqc</t>
  </si>
  <si>
    <t>The young woman with long blonde hair is showing her wrist that has a few scars from a surgery.</t>
  </si>
  <si>
    <t>Then she takes a neon green colored hula hoop and spins it around her body.</t>
  </si>
  <si>
    <t>She demonstrates how to effectively use the hula hoop by holding the hoop up towards her chest.</t>
  </si>
  <si>
    <t>Then she begins spinning with the hoop on her chest.</t>
  </si>
  <si>
    <t>She shows how to spin the hoop and rotate the hoop around her body without dropping it down.</t>
  </si>
  <si>
    <t>She continues showing how to properly rotate and spin the the hoop with her hands lowered next to her body.</t>
  </si>
  <si>
    <t>Then she stops and twirls the hoop in her hand.</t>
  </si>
  <si>
    <t>v_-vPshfXc1fc</t>
  </si>
  <si>
    <t>A man is welding a circular metal piece.</t>
  </si>
  <si>
    <t>A green light appears out of no where.</t>
  </si>
  <si>
    <t>The man continues welding the circular metal piece.</t>
  </si>
  <si>
    <t>v_a2Xwx37YbhE</t>
  </si>
  <si>
    <t>A black and white dog is at a dog park and the owner is bending down and moving in front of the dog as it watches him.</t>
  </si>
  <si>
    <t>The owner then walks more into the grass holding onto frisbees and is not only joined by the black and white dog but another dog that is brown and white.</t>
  </si>
  <si>
    <t>The man begins to throw the frisbees in the air and the dogs take turn catching them and doing tricks to get them that even include jumping on the man's back.</t>
  </si>
  <si>
    <t>v_Paj9y9YMSg0</t>
  </si>
  <si>
    <t>People are riding horses in a field.</t>
  </si>
  <si>
    <t>They are playing polo on horses.</t>
  </si>
  <si>
    <t>A person standing on the sidelines waves a white flag.</t>
  </si>
  <si>
    <t>v_j59UZGZtuNg</t>
  </si>
  <si>
    <t>Two girls walk up to a pool, ready to dive.</t>
  </si>
  <si>
    <t>One of them raises her arms into the air, then dives into the water before surfacing.</t>
  </si>
  <si>
    <t>v_SWbUJh4XuMQ</t>
  </si>
  <si>
    <t>A welding tool is applied to a surface.</t>
  </si>
  <si>
    <t>A guy that is holding a welding tool is wearing a helmet.</t>
  </si>
  <si>
    <t>Two gloved hands are using a welding gun and stick on an object.</t>
  </si>
  <si>
    <t>v_8d8juWOKb0c</t>
  </si>
  <si>
    <t>A man is dressed in dark medieval armor.</t>
  </si>
  <si>
    <t>Several instances of men dressed in different kinds of armor and holding various shields are showing jousting against one another.</t>
  </si>
  <si>
    <t>Ultimately, the man with the round shield is defeated when he tumbles to the ground and stabbed in the back.</t>
  </si>
  <si>
    <t>The winner now jousts against a man carrying a blue diamond shaped shield.</t>
  </si>
  <si>
    <t>They joust several times but the man with the blue shield is defeated when he is hit in the head and chest and falls on his back onto the other warrior's knees.</t>
  </si>
  <si>
    <t>A close up of the surviving warrior is shown, clearly satisfied with his victories.</t>
  </si>
  <si>
    <t>v_7DY1vm9RiIk</t>
  </si>
  <si>
    <t>The video begins with a title sequence and logo.</t>
  </si>
  <si>
    <t>Several clips begin playing of volleyball fields with spectators.</t>
  </si>
  <si>
    <t>The first clip shows the players celebrating.</t>
  </si>
  <si>
    <t>The video moves on to members of a band.</t>
  </si>
  <si>
    <t>It then continues to show clips of men playing volleyball.</t>
  </si>
  <si>
    <t>The video ends with a closeup of the audience and a title sequence.</t>
  </si>
  <si>
    <t>v_gRqvh21b8Hw</t>
  </si>
  <si>
    <t>People begin to dive into an empty pool and you see them underneath the water.</t>
  </si>
  <si>
    <t>Then, above from the dive board two swimmers are standing by and one of them dives in.</t>
  </si>
  <si>
    <t>A group of kids holding the camera film themselves diving in and doing cool tricks and flips into the pool.</t>
  </si>
  <si>
    <t>From very high above they record their view from the top to the water and the swim once they're in.</t>
  </si>
  <si>
    <t>v_ZbAfEWdGBzQ</t>
  </si>
  <si>
    <t>Two wrestling women are fighting in a ring.</t>
  </si>
  <si>
    <t>They do a suplex, and the referee counts to three as the dark haired woman wins.</t>
  </si>
  <si>
    <t>v_UOswYEzeJ-M</t>
  </si>
  <si>
    <t>A group of boys are playing ball on a court.</t>
  </si>
  <si>
    <t>They are being guided by their coach.</t>
  </si>
  <si>
    <t>They run with the balls, trying to make baskets.</t>
  </si>
  <si>
    <t>v_Pf8eE_zup_k</t>
  </si>
  <si>
    <t>A hand fills a cup with water.</t>
  </si>
  <si>
    <t>A woman puts two glasses on the counter.</t>
  </si>
  <si>
    <t>The woman puts beer and orange juice in a big glass, then she pours liquor in the small glass.</t>
  </si>
  <si>
    <t>After, the woman puts the small glass inside the big glass.</t>
  </si>
  <si>
    <t>v_M4DcibAnW_E</t>
  </si>
  <si>
    <t>A large wave is shown followed by a person standing up on a surf board.</t>
  </si>
  <si>
    <t>The person is shown surfing all along the water while the camera films from behind.</t>
  </si>
  <si>
    <t>The man continues surfing and paddles himself towards a boat.</t>
  </si>
  <si>
    <t>v_32-Bxdbf3mQ</t>
  </si>
  <si>
    <t>A man in a red shirt drives an orange tractor around the lawn.</t>
  </si>
  <si>
    <t>A dog runs around the yard.</t>
  </si>
  <si>
    <t>A woman drives the orange tractor.</t>
  </si>
  <si>
    <t>v_UiK3kYsvvQ8</t>
  </si>
  <si>
    <t>Two women are seen walking on stage and lead into them performing a belly dancing routine.</t>
  </si>
  <si>
    <t>The women dance all around the stage while lights flash around them.</t>
  </si>
  <si>
    <t>The women continue to dance around one another and end by laughing with one another.</t>
  </si>
  <si>
    <t>v_DJNmAoSQu6k</t>
  </si>
  <si>
    <t>A news woman is talking to a camera.</t>
  </si>
  <si>
    <t>She has a conversation with a man who is also a newscaster.</t>
  </si>
  <si>
    <t>Images of hand molds are shown in the background.</t>
  </si>
  <si>
    <t>v_cp4n_xpbBDs</t>
  </si>
  <si>
    <t>A black screen appears and the white words on it read "Rob Lane is the MillionaireMaintenance Man".</t>
  </si>
  <si>
    <t>A man wearing glasses appears outdoors in front of a fence and he's holding an air brush machine and talking.</t>
  </si>
  <si>
    <t>The man then turns around and walks to the fence and begins airbrushing onto it.</t>
  </si>
  <si>
    <t>The man stops airbrushing and starts talking again while hand motioning to the fence and to this airbrush machine.</t>
  </si>
  <si>
    <t>v_6YtaXJJKUKM</t>
  </si>
  <si>
    <t>A woman is seen speaking to the camera while a small fooseball table sits before her.</t>
  </si>
  <si>
    <t>The woman continues speaking as she spins around the game occasionally and leads into her playing with another girl.</t>
  </si>
  <si>
    <t>v_ARkMGkD2RDs</t>
  </si>
  <si>
    <t>A dumbell appears on screen with the words "Catalyst Athletics" overlaid.</t>
  </si>
  <si>
    <t>A man lifts weights over his head in a gym.</t>
  </si>
  <si>
    <t>A woman then lifts weights over her head.</t>
  </si>
  <si>
    <t>A "Catalyst Athletics" logo appears with social media links.</t>
  </si>
  <si>
    <t>v_jsfPXYQuikQ</t>
  </si>
  <si>
    <t>A boy is balanced on the end of a diving board.</t>
  </si>
  <si>
    <t>He dives, flipping backwards as he goes.</t>
  </si>
  <si>
    <t>He lands gracefully in the water.</t>
  </si>
  <si>
    <t>v_Z7BPvGPizYE</t>
  </si>
  <si>
    <t>A man uses a course brush and hand towel to prepare the ski to be worked on while it sits on a rack.</t>
  </si>
  <si>
    <t>The man melts a wax bar across the ski surface with an iron then uses it to blend in the wax.</t>
  </si>
  <si>
    <t>A man sharpens a flat edge then scrapes the outer layer of wax from the skis surface.</t>
  </si>
  <si>
    <t>The man uses a course brush then a towel to finish preparing the skis surface.</t>
  </si>
  <si>
    <t>v_74HRnmwIhfM</t>
  </si>
  <si>
    <t>A plate of creamy cabonara is shown and the ingredients appear in small clear dishes.</t>
  </si>
  <si>
    <t>Salt is then added to a pan and the spaghetti begins to boil.</t>
  </si>
  <si>
    <t>A bit of oil is then placed in a skillet and Canadian bacon and onions are being fried.</t>
  </si>
  <si>
    <t>Next,more ingredients are added with pasta and egg yolks.</t>
  </si>
  <si>
    <t>Finally,the sauce is done and all of the ingredients are compiled and cheese is added to the dish as it is positioned on the plate.</t>
  </si>
  <si>
    <t>After,more entrees are shown and the screen ends on the url of Ulampinoy's website.</t>
  </si>
  <si>
    <t>v_3PiN6rDgg_E</t>
  </si>
  <si>
    <t>A woman demonstrates how to use one container of powdered pigment to make many different hair, nail, and face makeup products.</t>
  </si>
  <si>
    <t>A woman talks to the camera in front of a counter filled with makeup.</t>
  </si>
  <si>
    <t>The camera shows different makeup pieces with accompanying descriptions cards in between cutting back to the woman talking.</t>
  </si>
  <si>
    <t>The woman begins to apply some of the makeup to her face, including lips and to her nails via nail polish.</t>
  </si>
  <si>
    <t>The woman uses some of the makeup to make hair streaks in another persons hair.</t>
  </si>
  <si>
    <t>The woman then uses the containers of powdered makeup to make foundation and eye shadow before smiling and displaying the entire line of colors and displaying a marketing graphic.</t>
  </si>
  <si>
    <t>v_Bs3OMhhUlY4</t>
  </si>
  <si>
    <t>A small group of boys are seen standing on the edge of a pool and grab one another by the sides.</t>
  </si>
  <si>
    <t>The boys then all jump into the pool together at once with some looking at the camera.</t>
  </si>
  <si>
    <t>v_GLsIq3P-J3A</t>
  </si>
  <si>
    <t>A man is seen speaking to the camera while the camera pans out to a card table and the man dealing cards.</t>
  </si>
  <si>
    <t>The man lays out several cards while flipping over more and pointing to objects laid out on the table.</t>
  </si>
  <si>
    <t>v_1ATBCBUgflA</t>
  </si>
  <si>
    <t>Various ingredients are laid out on a table and leads into a person pouring the ingredients into a bowl.</t>
  </si>
  <si>
    <t>The person stirs thoroughly and then wipes down a table with a cloth.</t>
  </si>
  <si>
    <t>v_PG-AK5fawJI</t>
  </si>
  <si>
    <t>A TV presenter and an actress are putting googles to play rock, paper and scissors pie on front a pie with white cream.</t>
  </si>
  <si>
    <t>After playing a while, the woman turn a handle that raise the pie that lands on the face of the actress.</t>
  </si>
  <si>
    <t>Then, the pie lands for the second time on the face of the actress, as well on the face of the TV presenter.</t>
  </si>
  <si>
    <t>The TV presenter stands holding ducks on both hands, then he pretends eats the duck on the right hand.</t>
  </si>
  <si>
    <t>v_LqBp5qgcwLY</t>
  </si>
  <si>
    <t>Several shots of a city are shown as well as people walking around and speaking to one another.</t>
  </si>
  <si>
    <t>People are then seen paving along walls as well as handing out pamphlets and speaking to one another.</t>
  </si>
  <si>
    <t>The people touch the materials on the walls and ends by speaking to the camera.</t>
  </si>
  <si>
    <t>v_r34VM4v0ShI</t>
  </si>
  <si>
    <t>Some supplies needed to shine shoes are shown.</t>
  </si>
  <si>
    <t>An older man shines a shoe and talks about how he shines shoes and how he learned to shine shoes as a child.</t>
  </si>
  <si>
    <t>The same man is shown shining another mans shoes.</t>
  </si>
  <si>
    <t>The same man shines shoes in a shop while other people sit or walk around.</t>
  </si>
  <si>
    <t>An old black and white photo is shown of a barber shop.</t>
  </si>
  <si>
    <t>The older man shines another shoe and talks about shining shoes.</t>
  </si>
  <si>
    <t>A different man is seen in the background walking away.</t>
  </si>
  <si>
    <t>v_nTNkGOtp7aQ</t>
  </si>
  <si>
    <t>man is standing in a trampoline and make a vig somersault into the pool.</t>
  </si>
  <si>
    <t>two men are sitting in the first floor of the trampoline watching the jump.</t>
  </si>
  <si>
    <t>man get outs the pool, grab a towel and dry his face.</t>
  </si>
  <si>
    <t>people are walking around the pool carrying bags.</t>
  </si>
  <si>
    <t>v_zc-RT9tpoBA</t>
  </si>
  <si>
    <t>A man is sitting inside a room.</t>
  </si>
  <si>
    <t>He is talking to the camera animatedly.</t>
  </si>
  <si>
    <t>He is talking about and demonstrating how to play a harmonica.</t>
  </si>
  <si>
    <t>v_WXQol1TisqE</t>
  </si>
  <si>
    <t>Several walking or horseriding individuals walk by the foreground while the camera focuses on a group of people in the background.</t>
  </si>
  <si>
    <t>A gate opens and a horseriding man chases a cow.</t>
  </si>
  <si>
    <t>The man lassos and secures the cow.</t>
  </si>
  <si>
    <t>Others run up to help with the cow.</t>
  </si>
  <si>
    <t>v_Zq9jr2S5wGM</t>
  </si>
  <si>
    <t>A woman in white and gray shirt is talking, then a glass and pitcher of lemonade with straw is shown.</t>
  </si>
  <si>
    <t>Two lemons is in small bowl, then the blonde woman talks in the camera, a hand cut the lemon, squeeze the lemon in the bowl, pour the lemon in the pitcher using a strainer.</t>
  </si>
  <si>
    <t>The woman talks then the pot is placed in the stove, added water, then added the sugar, added the zest of lemon and mixed the pot, the woman added yellow liquid in the pitcher, added the ice and sliced lemons and pour the juice in the glass.</t>
  </si>
  <si>
    <t>v_dXSlCw8AXv0</t>
  </si>
  <si>
    <t>A person is seen riding along the water on a surfboard as well as others speaking to one another.</t>
  </si>
  <si>
    <t>A man is seen speaking to the camera as well as more clips of people riding on the water.</t>
  </si>
  <si>
    <t>More people speak to one another as well as into the camera and end by riding away on the boards.</t>
  </si>
  <si>
    <t>v_-DaX_1bBNAo</t>
  </si>
  <si>
    <t>A woman wearing a bra is standing in a room.</t>
  </si>
  <si>
    <t>She throws a dart across the room.</t>
  </si>
  <si>
    <t>A man with a hat stands next to her.</t>
  </si>
  <si>
    <t>v_cgfJnog1WLE</t>
  </si>
  <si>
    <t>A young lady with broad shoulders and pig tails approaches a stage in prepares her mind.</t>
  </si>
  <si>
    <t>The lady cracks her knuckles and then bends down and tries to lift the weights.</t>
  </si>
  <si>
    <t>Too much weight is on the bar and the girls ends up twisting her arm in a circle,drops the bar and cries out in agony.</t>
  </si>
  <si>
    <t>Another girl then walks up and lifts the bar half way,realizes shes incapable and drops it.</t>
  </si>
  <si>
    <t>After she walks off she brushes her self off and attempts again and raises it over her head,drops it, and walks away congratulating herself.</t>
  </si>
  <si>
    <t>A screen of scores are then shown and a different girl attempts the weight.</t>
  </si>
  <si>
    <t>The second young lady comes back and does the same thing as well as the female who came after her.</t>
  </si>
  <si>
    <t>The girl comes back but realizes the weight is too heavy and gives up lifting it.</t>
  </si>
  <si>
    <t>However,the original girl comes back and continues to lift more and more weight with ease until the last time,she then bows and they walk up to an Olympic stage and receive their metal.</t>
  </si>
  <si>
    <t>v_LZ-Cy0GqCiU</t>
  </si>
  <si>
    <t>A photo is zoomed in on of a man being gored by a bull.</t>
  </si>
  <si>
    <t>A bull charges a man and knocks him around until people come out and distract him.</t>
  </si>
  <si>
    <t>It cuts to the man again being charged by the bull.</t>
  </si>
  <si>
    <t>He gets knocked around again until people come out to distract the bull.</t>
  </si>
  <si>
    <t>He is carried off out of the ring.</t>
  </si>
  <si>
    <t>Once again the bull charges the man and knocks him down.</t>
  </si>
  <si>
    <t>People come out and distract the bull.</t>
  </si>
  <si>
    <t>He is carried out for a last time.</t>
  </si>
  <si>
    <t>v_l_cjSGt5j40</t>
  </si>
  <si>
    <t>An older man is seen sitting on a log in a public space in front of a piano.</t>
  </si>
  <si>
    <t>The man then plays the piano while the camera captures him playing.</t>
  </si>
  <si>
    <t>The man sings to the camera while continuing to play and the camera moving around his movements.</t>
  </si>
  <si>
    <t>v_Mh-qSztuLtE</t>
  </si>
  <si>
    <t>A huge crowd is gathered outside.</t>
  </si>
  <si>
    <t>They are all performing an exercise dance known as zumba.</t>
  </si>
  <si>
    <t>v_LZ4dINjqX5U</t>
  </si>
  <si>
    <t>An athletic man is seen standing with his arms a up and begins performing a gymnastics routine.</t>
  </si>
  <si>
    <t>He spins himself round and round on the bar performing several flips and tricks and ends with him sticking his arms up into the air.</t>
  </si>
  <si>
    <t>v_Xd_xJnlUHm0</t>
  </si>
  <si>
    <t>A young boy is talking to the camera in his bedroom.</t>
  </si>
  <si>
    <t>He removes things from drawers, like lip gloss and puts it on for the camera.</t>
  </si>
  <si>
    <t>He applies messy makeup and poses for the camera.</t>
  </si>
  <si>
    <t>v_I5YCAQXHoFw</t>
  </si>
  <si>
    <t>A camera pans all around a beach showing water crashing on the waves.</t>
  </si>
  <si>
    <t>A person is then seen wearing gloves and painting down an arm chair.</t>
  </si>
  <si>
    <t>The person continues painting down the chair and showing it off in the end.</t>
  </si>
  <si>
    <t>v_jcX2QAiqP9U</t>
  </si>
  <si>
    <t>Kids are shown in side of a gym playing indoor soccer.</t>
  </si>
  <si>
    <t>One of the kids makes a great move to get around a defender and almost scores.</t>
  </si>
  <si>
    <t>He is then shown scoring on a different occasion before the video ends.</t>
  </si>
  <si>
    <t>v_v5O_Yfeqza4</t>
  </si>
  <si>
    <t>A young man is seen speaking to the camera and leads into him throwing darts onto a board.</t>
  </si>
  <si>
    <t>He holds his hands up in excitement as the camera zooms in on the darts.</t>
  </si>
  <si>
    <t>v_7AkyOhKkT6g</t>
  </si>
  <si>
    <t>Mj's mommy is playing around with her hair smoothing it out.</t>
  </si>
  <si>
    <t>She goes to the bathroom with clips in her hair and gets out treatments and shampoos.</t>
  </si>
  <si>
    <t>She begins to apply the hair things to her hair and combing it out, she starts to part her hair and put in curlers.</t>
  </si>
  <si>
    <t>She begins to talk about what she is doing with her hair while she waits to take out the curlers, when she takes them out her hair is perfectly curled.</t>
  </si>
  <si>
    <t>v_-tvhSol-wTs</t>
  </si>
  <si>
    <t>A man is seen talking to the camera while holding a tennis racket and begins demonstrating how to hit the ball.</t>
  </si>
  <si>
    <t>The man continues to speak and hit the ball while moving around the gym and gesturing to the camera.</t>
  </si>
  <si>
    <t>v_gQLH5G88ClE</t>
  </si>
  <si>
    <t>A close up of a christmas tree is shown followed by close ups of ornaments.</t>
  </si>
  <si>
    <t>Two people are then seen moving around the tree decorating as well as turning the lights off.</t>
  </si>
  <si>
    <t>They finish decorating the tree and playing with one another and laughing.</t>
  </si>
  <si>
    <t>In the end close ups of the trees are shown as well as a bear.</t>
  </si>
  <si>
    <t>v_1YGz5CQBflM</t>
  </si>
  <si>
    <t>A man is seen blowing a kiss as well as taking off his jacket and interacting with another man.</t>
  </si>
  <si>
    <t>The man prepares his arm as the other grabs his hand and he pretends to kick his head.</t>
  </si>
  <si>
    <t>More people step up to arm wrestle this man while food is being shown and the loser gets food all over him.</t>
  </si>
  <si>
    <t>v_fI12XNNqldA</t>
  </si>
  <si>
    <t>Two people are seen kneeling before a plant sitting on the ground and speaking to one another.</t>
  </si>
  <si>
    <t>The men continue to move dirt around the plant and end by standing next to the tree and pulling roots away and dumping more soil around it.</t>
  </si>
  <si>
    <t>v_xFqGY-y4OUg</t>
  </si>
  <si>
    <t>A close up is shown of a pool room.</t>
  </si>
  <si>
    <t>A man and woman enter the room, grabbing cues.</t>
  </si>
  <si>
    <t>They engage in a game of pool together, hitting the balls into the pockets.</t>
  </si>
  <si>
    <t>v_9i7ABIB99Ow</t>
  </si>
  <si>
    <t>Step by step instructions to make creamy pasta, first putting the pasta into boiling water and stirring it.</t>
  </si>
  <si>
    <t>Then in another pan adding sausage and onions and stirring it all together.</t>
  </si>
  <si>
    <t>Adding tomatoes and heavy cream to make it pasty.</t>
  </si>
  <si>
    <t>Finally adding the pasta to it, along with some cheese and parsley flakes and mixing it all together.</t>
  </si>
  <si>
    <t>v_7hDCO9fJb90</t>
  </si>
  <si>
    <t>A man stands next to a young girl dressed in a gymnastic outfit in a gym and talks to the camera.</t>
  </si>
  <si>
    <t>The man then coaches the girl on the gym bars in a gymnastic practice session as the girl swings on the bars in a gym filled with other children practicing gymnastics.</t>
  </si>
  <si>
    <t>The man then closes standing next to the girl again and talking into the camera.</t>
  </si>
  <si>
    <t>v_srR0M_HL3Ao</t>
  </si>
  <si>
    <t>A person surfboard in the choppy water of the ocean.</t>
  </si>
  <si>
    <t>A woman stands on front a swimming pool talking, then a slide show of pictures and a man talking in an event is shown.</t>
  </si>
  <si>
    <t>Then, the prince Harry of England sits in an event while people dance and perform.</t>
  </si>
  <si>
    <t>After, people play polo in a field riding horse an throwing a ball with a pole, also the woman and the man talks.</t>
  </si>
  <si>
    <t>v_n_CMnVD7kCg</t>
  </si>
  <si>
    <t>Several shots are shown of people performing impressive gymnastics flips in a large gymnasium.</t>
  </si>
  <si>
    <t>The people continuously perform flips and tricks onto the mats with some being shown in slow motion and in pictures.</t>
  </si>
  <si>
    <t>v_6d9z33GFEGo</t>
  </si>
  <si>
    <t>A man is holding a wine glass and talking.</t>
  </si>
  <si>
    <t>He takes a drink of the wine and sets the glass down.</t>
  </si>
  <si>
    <t>He shows bottles that are sitting on a counter.</t>
  </si>
  <si>
    <t>He pours oil into a pan on a stove.</t>
  </si>
  <si>
    <t>He adds seasonings to the pan.</t>
  </si>
  <si>
    <t>He stirs a pot that is on the stove.</t>
  </si>
  <si>
    <t>He takes a scoop of what's in the pot and adds it to the pan.</t>
  </si>
  <si>
    <t>He begins to stir the pasta that is in the pan.</t>
  </si>
  <si>
    <t>He scoops the pasta out of the pan onto a plate.</t>
  </si>
  <si>
    <t>He picks up his wine glass again.</t>
  </si>
  <si>
    <t>v_f4983HmCNiM</t>
  </si>
  <si>
    <t>A group of dirt bikers are waiting on a ramp.</t>
  </si>
  <si>
    <t>They take off when it opens, going around in circles on the track, racing each other.</t>
  </si>
  <si>
    <t>Some fall off their bikes.</t>
  </si>
  <si>
    <t>They make it through the finish line, ending the race.</t>
  </si>
  <si>
    <t>v_N4wKdmmX0lk</t>
  </si>
  <si>
    <t>A woman takes a few steps with a pair of jumping apparatus.</t>
  </si>
  <si>
    <t>The woman begins jumping around rapidly.</t>
  </si>
  <si>
    <t>The woman is joined by a man who is also jumping around in a pair of jumping apparatus.</t>
  </si>
  <si>
    <t>v_HjVQNiy4uuw</t>
  </si>
  <si>
    <t>A man is seen riding on a long river with another person riding behind.</t>
  </si>
  <si>
    <t>The camera transitions into several people riding in tubes and pushing themselves down a river.</t>
  </si>
  <si>
    <t>v_DzCVpvVJCo8</t>
  </si>
  <si>
    <t>A girl is seen laying down on a table while a man wearing gloves holds scissors to her belly button.</t>
  </si>
  <si>
    <t>He then pierces the girl's stomach and she sits up and walks away in the end smiling.</t>
  </si>
  <si>
    <t>v_XP5Oqr1giQ4</t>
  </si>
  <si>
    <t>A man is bull fighting =, he has a pink sheet and is running away backwards from the bull that is coming toward him.</t>
  </si>
  <si>
    <t>There are three men now and one of them gets completely trampled by the bull.</t>
  </si>
  <si>
    <t>Then about six more men stand in a line messing with the bull.</t>
  </si>
  <si>
    <t>It's very dangerous messing with a bull and teasing him, these people can seriously get hurt.</t>
  </si>
  <si>
    <t>v_oijpI0s_R04</t>
  </si>
  <si>
    <t>The colorful title screen is seen.</t>
  </si>
  <si>
    <t>Two people in a room dance slowly to the back.</t>
  </si>
  <si>
    <t>A title screen loads and we see the man dance alone.</t>
  </si>
  <si>
    <t>We see a title and the lady in the green room dancing alone.</t>
  </si>
  <si>
    <t>A title loads and we see the man's feet as he dances.</t>
  </si>
  <si>
    <t>A title loads and we see the ladies feet as she dances.</t>
  </si>
  <si>
    <t>v_aXm3sPITCKM</t>
  </si>
  <si>
    <t>A man is seen speaking to the camera while brushing his hair and looking around a bathroom.</t>
  </si>
  <si>
    <t>The man continues brushing his hair and begins playing with his facial hair.</t>
  </si>
  <si>
    <t>The man points the camera around his head showing off his hair and smiling to the camera.</t>
  </si>
  <si>
    <t>v_X5gh32tHdsc</t>
  </si>
  <si>
    <t>Men are playing indoor tennis inside a building while soccer is on the tv in the background.</t>
  </si>
  <si>
    <t>They hit the ball back and forth for a while.</t>
  </si>
  <si>
    <t>Other men in the room occasionally look up.</t>
  </si>
  <si>
    <t>v_Mo9-1cuMVtQ</t>
  </si>
  <si>
    <t>We see a newscaster in a studio talking.</t>
  </si>
  <si>
    <t>We then see a soccer game indoors.</t>
  </si>
  <si>
    <t>A man talks in front of the camera and we see the crowd.</t>
  </si>
  <si>
    <t>We see the game in progress.</t>
  </si>
  <si>
    <t>The man talks again and we see the game again.</t>
  </si>
  <si>
    <t>The man talks one more time and we return to the game.</t>
  </si>
  <si>
    <t>We see the newscaster in the studio again.</t>
  </si>
  <si>
    <t>v_nOvrsb0XyGk</t>
  </si>
  <si>
    <t>We see a number of men throwing darts and a woman keeping score.</t>
  </si>
  <si>
    <t>The man grabs the darts off the board and walks away.</t>
  </si>
  <si>
    <t>Another man shoots, grabs his darts and goes.</t>
  </si>
  <si>
    <t>A third guy shoots darts and goes.</t>
  </si>
  <si>
    <t>The fourth guy shoots and goes.</t>
  </si>
  <si>
    <t>the first guy returns for another chance.</t>
  </si>
  <si>
    <t>the second guy goes again.</t>
  </si>
  <si>
    <t>the third guy plays again.</t>
  </si>
  <si>
    <t>The fourth guy takes his turn.</t>
  </si>
  <si>
    <t>And we see them repeat.</t>
  </si>
  <si>
    <t>v_ERcMdKNF_pc</t>
  </si>
  <si>
    <t>A gymnast prepares to mount a beam.</t>
  </si>
  <si>
    <t>He mounts, then spins and flips several times.</t>
  </si>
  <si>
    <t>He dismounts, raising his arms into the air.</t>
  </si>
  <si>
    <t>v_mpj1rR1wXKU</t>
  </si>
  <si>
    <t>We see a couple of opening screens.</t>
  </si>
  <si>
    <t>We see a man in a blue shirt bowling talking in a bowling alley.</t>
  </si>
  <si>
    <t>The man picks purple ball from the dispenser and talks to the camera.</t>
  </si>
  <si>
    <t>The man holds the ball out then we see him putting his fingers in the ball and talks to the camera.</t>
  </si>
  <si>
    <t>The man puts the ball down and grabs another, then another and talks.</t>
  </si>
  <si>
    <t>We then see the man roll the ball down the aisle.</t>
  </si>
  <si>
    <t>v_PN99KIY7jRY</t>
  </si>
  <si>
    <t>A man serves a tennis ball with his racket.</t>
  </si>
  <si>
    <t>He brings the racket down to his side.</t>
  </si>
  <si>
    <t>v_3tfGg2rVv6o</t>
  </si>
  <si>
    <t>little girl is doing gymnastics in the middle of the court holding batons.</t>
  </si>
  <si>
    <t>pictures of woman are shown.</t>
  </si>
  <si>
    <t>v_0pGXfomqurw</t>
  </si>
  <si>
    <t>woman wearing sport clothing is climbing stairs and talking to the camera.</t>
  </si>
  <si>
    <t>woman is in gym talking on the camera and with other man while a woman is making exercise in an orbitrek.</t>
  </si>
  <si>
    <t>v_Jtlvh2w1aUM</t>
  </si>
  <si>
    <t>A person blows leaf off of a lawn and walkway using a leaf blower.</t>
  </si>
  <si>
    <t>The person begins by pointing the leaf blower towards leaves around a bush and near grass.</t>
  </si>
  <si>
    <t>The person blows leaves out of a tight corner and then progresses to a walkway.</t>
  </si>
  <si>
    <t>The person blows leaves from a walkway and across a lawn.</t>
  </si>
  <si>
    <t>v_XxbuqeqOGaM</t>
  </si>
  <si>
    <t>A chef in the kitchen wearing a chef hat is giving instructions on how to sharpen a knife.</t>
  </si>
  <si>
    <t>He brings the knife to a sharpener and begins slowly to demonstrate.</t>
  </si>
  <si>
    <t>He picks up the sharpening tool and talks about what he will do next and begins to sharpen again.</t>
  </si>
  <si>
    <t>Then he shows all of the pieces that come with the kit and talks about it all.</t>
  </si>
  <si>
    <t>v_wfFnIYdSjCI</t>
  </si>
  <si>
    <t>A small group of children are seen running around a lacrosse field playing a game with one another.</t>
  </si>
  <si>
    <t>The camera continues to follow the people around as they chase the ball and run up and down the field.</t>
  </si>
  <si>
    <t>v_WUcjqCvYfQ0</t>
  </si>
  <si>
    <t>A couple is sitting outside talking.</t>
  </si>
  <si>
    <t>They go in the house and gather supplies for shaving, which are listed on the screen.</t>
  </si>
  <si>
    <t>The woman lathers the man up, Then shaves his beard and mustache using a beaver boar brush and razor.</t>
  </si>
  <si>
    <t>She then rinses him clean, and applies aftershave.</t>
  </si>
  <si>
    <t>He is then shown giving her a shoulder rub.</t>
  </si>
  <si>
    <t>v_4MKbQ816r9A</t>
  </si>
  <si>
    <t>A tall thin male is standing in a bar surrounded by liquor.</t>
  </si>
  <si>
    <t>The male has a cup of ice in front of him that he pours into a regular glass that he then adds liquor into.</t>
  </si>
  <si>
    <t>Followed by two more shots of different clear liquors.</t>
  </si>
  <si>
    <t>He then takes two syrup like liquor and pour them in the cup.</t>
  </si>
  <si>
    <t>Once everything is in the glass,he puts the mixer on top of it and shakes it up.</t>
  </si>
  <si>
    <t>Finally,the drink is complete and he pours it into another glass and adds a straw for it to be served.</t>
  </si>
  <si>
    <t>v_Qtj7QFDjH1A</t>
  </si>
  <si>
    <t>A young man is seen standing in front of the camera playing a set of bagpipes.</t>
  </si>
  <si>
    <t>He continues playing the instrument and ends by holding it in his hands and a picture of him playing guitar.</t>
  </si>
  <si>
    <t>v_2ptdloHcTcs</t>
  </si>
  <si>
    <t>A person is seen riding a surf board through a wave and leads into several more people riding waves and sitting along the water.</t>
  </si>
  <si>
    <t>More shots of people surfing incredible waves are shown with some wiping out but overall riding along.</t>
  </si>
  <si>
    <t>v_f2fyhNjY3EA</t>
  </si>
  <si>
    <t>Boats are seen sailing through dark ocean water.</t>
  </si>
  <si>
    <t>We see a first person view of sailing on a boat.</t>
  </si>
  <si>
    <t>The boats are seen floating through the water.</t>
  </si>
  <si>
    <t>v_fgP3D3Gqn6U</t>
  </si>
  <si>
    <t>People sit on a bench at a rodeo.</t>
  </si>
  <si>
    <t>We see people standing around a fence.</t>
  </si>
  <si>
    <t>The gate open and calf and a man come out we see four men hogtie calf's.</t>
  </si>
  <si>
    <t>We see a calf running in the ring and another calf being hogtied.</t>
  </si>
  <si>
    <t>A man and a little boy are walking and holding the reins of a horse.</t>
  </si>
  <si>
    <t>We see an older man holding the reins of a horse.</t>
  </si>
  <si>
    <t>The camera points to the ground and the video ends.</t>
  </si>
  <si>
    <t>v_-cApkmTI3F8</t>
  </si>
  <si>
    <t>A man is seen drinking out of a cup held by a woman who is also drinking from a bottle.</t>
  </si>
  <si>
    <t>The two continue drinking as others record them and then stop immediately.</t>
  </si>
  <si>
    <t>v_YIYZHQUOtnA</t>
  </si>
  <si>
    <t>A groups of students exercise and cheers on a competition, then boys wearing red t-shirt throw bowling balls and throw all the pins and celebrates.</t>
  </si>
  <si>
    <t>Then, young people wearing green t-shirts are successful playing bowling.</t>
  </si>
  <si>
    <t>After, girls play bowling who throw all the pins with the bowling bowl.</t>
  </si>
  <si>
    <t>The winners of the competition receive closed envelopes and trophies.</t>
  </si>
  <si>
    <t>v_EbqurNRxneE</t>
  </si>
  <si>
    <t>A woman is kneeling on the sandy beach.</t>
  </si>
  <si>
    <t>She is helping a baby with suntan lotion.</t>
  </si>
  <si>
    <t>She rubs the lotion on the baby's skin.</t>
  </si>
  <si>
    <t>v_d4B9z_WJAKs</t>
  </si>
  <si>
    <t>Four men are playing bad mitten.</t>
  </si>
  <si>
    <t>There are clips of great shots from teams.</t>
  </si>
  <si>
    <t>The yellow team makes several points in a row.</t>
  </si>
  <si>
    <t>Denmark's team made several points.</t>
  </si>
  <si>
    <t>The clip ends with the yellow team holding trophies.</t>
  </si>
  <si>
    <t>v_ArT40PO05h8</t>
  </si>
  <si>
    <t>A man is playing a ukulele for a woman while a man watches from behind a curtain.</t>
  </si>
  <si>
    <t>Suddenly, the video cuts to several different people doing window washing tricks.</t>
  </si>
  <si>
    <t>The video ends with a man on the phone doing a comedy skit about windows.</t>
  </si>
  <si>
    <t>v_PRkEpM8ffak</t>
  </si>
  <si>
    <t>A person is seen using a piece of exercise equipment moving up and down on the machine.</t>
  </si>
  <si>
    <t>The camera pans all around the man using the machine and zooms all around the man moving around.</t>
  </si>
  <si>
    <t>v_H9ejAfleKUg</t>
  </si>
  <si>
    <t>A camera is seen zooming in on a building and leads into a man climbing up a large rock.</t>
  </si>
  <si>
    <t>The man continuously climbs up the rock while looking around and finally makes it to the top while the camera pans around.</t>
  </si>
  <si>
    <t>v_mB0MeZjjCmU</t>
  </si>
  <si>
    <t>A vanilla sponge cake is shown on the title screen.</t>
  </si>
  <si>
    <t>A white plate is then placed on a brown table alongside four brown eggs.</t>
  </si>
  <si>
    <t>They are then put in a silver bowl and they are whisked at a rapid pace as sugar is gradually added it and the whipping continues.</t>
  </si>
  <si>
    <t>After,milk,butter,flour,banana pudding,salt and vanilla extract are shown on a table.</t>
  </si>
  <si>
    <t>The milk and butter are heated up then added in a large bowl with the cake batter to be whisked.</t>
  </si>
  <si>
    <t>The vanilla is then added and poured into another bowl before the final product is shown.</t>
  </si>
  <si>
    <t>v_srARxP_ocyg</t>
  </si>
  <si>
    <t>A woman is seen kicking a man wearing gloves in his hands.</t>
  </si>
  <si>
    <t>The man then walks around the circle while people take turns hitting the man.</t>
  </si>
  <si>
    <t>The man continues walking around while they hit him.</t>
  </si>
  <si>
    <t>v_8NRv-75RlPI</t>
  </si>
  <si>
    <t>An elliptical trainer is shown, as well as its components.</t>
  </si>
  <si>
    <t>A woman is shown working out on the elliptical.</t>
  </si>
  <si>
    <t>She pedals and demonstrates the mechanics of the programming screen.</t>
  </si>
  <si>
    <t>v_w6P9JrTGRlE</t>
  </si>
  <si>
    <t>A dog is dressed in clothes and a human is behind him only showing his hands.</t>
  </si>
  <si>
    <t>As to look like the dog is part human and doing human like stuff.</t>
  </si>
  <si>
    <t>He is feeding himself breakfast and then wipes his face.</t>
  </si>
  <si>
    <t>After that he grabs a cup of coffee to drink.</t>
  </si>
  <si>
    <t>He struggles to grab another napkin to wipe his face again.</t>
  </si>
  <si>
    <t>v_lO1r4df9uUc</t>
  </si>
  <si>
    <t>A man is seen skiing behind a boat.</t>
  </si>
  <si>
    <t>He holds on tight as he is pulled through the water.</t>
  </si>
  <si>
    <t>The man is water skiing until the end of the clip.</t>
  </si>
  <si>
    <t>v_xE9anOqq2XQ</t>
  </si>
  <si>
    <t>An athletic man is seen standing ready while holding a javelin and then runs down the track and throws the pole into a field.</t>
  </si>
  <si>
    <t>He walks away with his hands on his hips and his same throw is shown again.</t>
  </si>
  <si>
    <t>Several more athletes step up to throw the javelin into the field followed by their same throw shown again and them laughing to the camera.</t>
  </si>
  <si>
    <t>v_x--RoqrwiLI</t>
  </si>
  <si>
    <t>A man in a large green field practices over seven hammer throws in the field with a measuring tape in front of him stretched along the ground.</t>
  </si>
  <si>
    <t>A bare chested man in black track pants spins a hammer throw around and around until he releases into a field in front of him.</t>
  </si>
  <si>
    <t>The man then goes on to perform at least six more hammer throws in the same way in the same location.</t>
  </si>
  <si>
    <t>v_-NndIs9BaS4</t>
  </si>
  <si>
    <t>man is standing in a gren field and start jumping the rope.</t>
  </si>
  <si>
    <t>man drops the rope and explain how to jump and holds the rope again.</t>
  </si>
  <si>
    <t>v_dUBkspFNj-E</t>
  </si>
  <si>
    <t>Guys are playing pool in front of an audience.</t>
  </si>
  <si>
    <t>A guy changes his pool stick.</t>
  </si>
  <si>
    <t>The two men stand close together and give an interview.</t>
  </si>
  <si>
    <t>A man puts his arm around his partner's shoulders, and his partner dances.</t>
  </si>
  <si>
    <t>A man sits on his pool game partner's lap after he makes his shot, .</t>
  </si>
  <si>
    <t>v_xpmXZBpYrM0</t>
  </si>
  <si>
    <t>A person applies leg lube to their leg and then proceeds to shave the leg and then wipe their leg down with a wet rag.</t>
  </si>
  <si>
    <t>A person in a bathroom, with one foot on top of a toilet cover rubs leg lube on their leg.</t>
  </si>
  <si>
    <t>The person then begins to shave the length of their leg with a blue razor.</t>
  </si>
  <si>
    <t>The person wipes their leg down with wet rag after holding the rag under the bathroom sink tap before holding a bottle of leg lube in their hand in a closeup view.</t>
  </si>
  <si>
    <t>v_bOp6pObPeZ4</t>
  </si>
  <si>
    <t>A woman and a man are dancing on a stage.</t>
  </si>
  <si>
    <t>There is a band playing behind them.</t>
  </si>
  <si>
    <t>There is an audience sitting in chairs clapping for them.</t>
  </si>
  <si>
    <t>v_C1djGYqkhYI</t>
  </si>
  <si>
    <t>A young girl in a green leotard begins twirling a baton and doing tricks.</t>
  </si>
  <si>
    <t>The girl begins to incorporate her arms and does a flip and continues to flip the baton over her hands and arms.</t>
  </si>
  <si>
    <t>As the young lady continues her performance, she twirls the baton between her legs and over her head,catches it and does a gallop.</t>
  </si>
  <si>
    <t>The rest of the young girl's performance is a set of twirls and twist and then she runs off the floor to finish her performance.</t>
  </si>
  <si>
    <t>v_lkCpF06uEmE</t>
  </si>
  <si>
    <t>A person lifts a 90 kg weight until the shoulder and then above the head, then the man drops the weight to the floor.</t>
  </si>
  <si>
    <t>Then, the man lifts 95 kg weight above his head.</t>
  </si>
  <si>
    <t>After, the man lifts a weight of 101 kg successfully.</t>
  </si>
  <si>
    <t>v_rjzQD0vwnP0</t>
  </si>
  <si>
    <t>A close up of a car is seen followed by a person holding a scraper.</t>
  </si>
  <si>
    <t>The person pushes ice all along the car while looking to the camera.</t>
  </si>
  <si>
    <t>The person continues clearing off ice with the scraper while the camera captures her movements.</t>
  </si>
  <si>
    <t>v_Tp6MFA0SbFU</t>
  </si>
  <si>
    <t>A female wrestler is holding another wrestler upside down.</t>
  </si>
  <si>
    <t>She slams her down onto the mat, on her back.</t>
  </si>
  <si>
    <t>v_JgfVp6Estgw</t>
  </si>
  <si>
    <t>Various shots of landscapes are shown including deer heads and tree houses and leads into a man shooting a bow and arrow.</t>
  </si>
  <si>
    <t>He hits the stuffed animal and leads into more shots of him and another using the bow and arrow.</t>
  </si>
  <si>
    <t>The camera pans around areas that they hit and shows one man walking away.</t>
  </si>
  <si>
    <t>v_aorWXCqqyJs</t>
  </si>
  <si>
    <t>Some people are surfing in rough ocean waves.</t>
  </si>
  <si>
    <t>They lay down on their boards, disappearing into the water.</t>
  </si>
  <si>
    <t>The girl just rides the surf with her father helping.</t>
  </si>
  <si>
    <t>v_y1CzJvvItrM</t>
  </si>
  <si>
    <t>A man is standing on a ladder wiping down a wall.</t>
  </si>
  <si>
    <t>A black bucket is sitting next to him.</t>
  </si>
  <si>
    <t>A man is standing up throwing mud at the wall.</t>
  </si>
  <si>
    <t>v_qD52CX0CSBs</t>
  </si>
  <si>
    <t>A woman is seen speaking to the camera while standing next to a horse and petting the horse on the side.</t>
  </si>
  <si>
    <t>The horse sniffs all around the woman while she pets him down and turns his head in the end.</t>
  </si>
  <si>
    <t>v_0xtS7g7vZLU</t>
  </si>
  <si>
    <t>A camera pans out a wooden table with a boy with glasses showing it off.</t>
  </si>
  <si>
    <t>The boy pushes various pucks across the wooden board to see where it ends up.</t>
  </si>
  <si>
    <t>The boy pushes several more pucks and the boy holding the camera walks to the end to show the results.</t>
  </si>
  <si>
    <t>v_BOqca4eckEs</t>
  </si>
  <si>
    <t>A girl is standing with a group of people on a long platform made of wood.</t>
  </si>
  <si>
    <t>She is attached to a rope and with several people behind her then she is pushed off of the stand participating in a free fall.</t>
  </si>
  <si>
    <t>The female falls then hangs down over the water for a long period of time.</t>
  </si>
  <si>
    <t>v_hFzMCWZ3Jps</t>
  </si>
  <si>
    <t>A woman is seen looking into the camera while brushing her hair and leads into her putting her hair into a ponytail.</t>
  </si>
  <si>
    <t>The girl then braids more hair into her and ends by waving to the camera.</t>
  </si>
  <si>
    <t>v_ULBhK8jXNws</t>
  </si>
  <si>
    <t>There is a truck being driven on the road in the beginning of the video.</t>
  </si>
  <si>
    <t>Then a man is shown sitting by the poolside, surfing in the water with other people.</t>
  </si>
  <si>
    <t>v_jAlYwQevBxA</t>
  </si>
  <si>
    <t>People are seen walking around a snowy area carrying boards in their hands and riding along the trail.</t>
  </si>
  <si>
    <t>The people ride down the snowy mountain continuously while looking back to the camera.</t>
  </si>
  <si>
    <t>The people continue to ride around while zooming in on their feet.</t>
  </si>
  <si>
    <t>v_EdJgTx0iFeE</t>
  </si>
  <si>
    <t>A woman is seen speaking to the camera holding a hula hoop and leads into her spinning around the hula hoop.</t>
  </si>
  <si>
    <t>The woman continues to push the object around her waist while spinning herself around as well as dancing in place.</t>
  </si>
  <si>
    <t>v_9u-wH-UBuRc</t>
  </si>
  <si>
    <t>A thin man and a fat man perform arm wrestling while a cameraman film them.</t>
  </si>
  <si>
    <t>The thin man win the arm wrestling competition.</t>
  </si>
  <si>
    <t>v_b_DY76Y6ekg</t>
  </si>
  <si>
    <t>People in harnesses walk on a platform with trees far below in the background.</t>
  </si>
  <si>
    <t>The man sits on a bench and is hooked to a large white rope.</t>
  </si>
  <si>
    <t>The man shakes a lady's hand.</t>
  </si>
  <si>
    <t>The man stands and walks to the edge of the platform assisted by two people.</t>
  </si>
  <si>
    <t>The lady then pushes the man off the edge and the camera pans down to watch the mans' bungee jump.</t>
  </si>
  <si>
    <t>A man with stick holds it out and the man catches it and they release the man from the rope.</t>
  </si>
  <si>
    <t>v_I-1UKECfQko</t>
  </si>
  <si>
    <t>Several people lay in tubes in the snow.</t>
  </si>
  <si>
    <t>More people are standing around them.</t>
  </si>
  <si>
    <t>Eventually some of them go down the hill.</t>
  </si>
  <si>
    <t>They reach the bottom of the hill.</t>
  </si>
  <si>
    <t>v_kxUkqmzS2wc</t>
  </si>
  <si>
    <t>A man puts shaving cream on his face.</t>
  </si>
  <si>
    <t>He starts shaving his face with a razor.</t>
  </si>
  <si>
    <t>He dries his face off with a towel.</t>
  </si>
  <si>
    <t>v_KjXvBqmh5C4</t>
  </si>
  <si>
    <t>A shot of a gym is shown followed by several clips of a person attempting to pole volt and others socializing.</t>
  </si>
  <si>
    <t>Several people speak to the camera and lead into them pole volting.</t>
  </si>
  <si>
    <t>More people are seen speaking to one another as well as the camera and using a pole to get over a bar.</t>
  </si>
  <si>
    <t>v_-b2lkhdJXf4</t>
  </si>
  <si>
    <t>A small white ball dashed out into the court and hits a player smack dab in the head.</t>
  </si>
  <si>
    <t>Another player then steals the ball and starts kicking it until its more into his control, and kicks it straight into the goal.</t>
  </si>
  <si>
    <t>A small replay shows how he managed to kick it in there.</t>
  </si>
  <si>
    <t>A short montage of similar moves, the player kicking a ball straight into the goal.</t>
  </si>
  <si>
    <t>A short amount of footage shows how the player reacts to his own shot.</t>
  </si>
  <si>
    <t>v_1oyWMusaDTI</t>
  </si>
  <si>
    <t>A man is kite surfing on the edge of the board.</t>
  </si>
  <si>
    <t>The camera zoom in and shows the board then zooms back out.</t>
  </si>
  <si>
    <t>We see the road in the distance and see cars driving.</t>
  </si>
  <si>
    <t>We see a second person kitesurfing.</t>
  </si>
  <si>
    <t>v_W06Ojnv-Wxg</t>
  </si>
  <si>
    <t>A gymnast is seen jumping onto a set of uneven bars and performing a gymnastics routine in front of others.</t>
  </si>
  <si>
    <t>The man continues flipping around the bars and ends with him jumping down and bowing to the crowd.</t>
  </si>
  <si>
    <t>v_IuntoXkEWPI</t>
  </si>
  <si>
    <t>A small child is seen climbing up a slide at a playground very slowly.</t>
  </si>
  <si>
    <t>She edges her way up to the top and then slides down the slide.</t>
  </si>
  <si>
    <t>v_wsrSku74OpM</t>
  </si>
  <si>
    <t>A close up of solo cups are shown followed by a man throwing balls.</t>
  </si>
  <si>
    <t>A person moves the cups alongside the table while the person continues throwing and the men switch place.</t>
  </si>
  <si>
    <t>The two continue taking turns while the camera captures their movements.</t>
  </si>
  <si>
    <t>v_cdb7VSVuUl8</t>
  </si>
  <si>
    <t>Two men in inflatable sumo wrestler costumes entertain the public by street performing in a public square.</t>
  </si>
  <si>
    <t>Two men in inflatable sumo wrestler outfits talk to the camera and begin to entertain the people passing by as they stand in a paved public square.</t>
  </si>
  <si>
    <t>The two men show a little boy how to use an automated scooter, perform mock sumo wrestling matches, and take pictures with the audience as well as dancing with the audience before ending the performance and speaking again to the camera.</t>
  </si>
  <si>
    <t>v_NmmFlMtvE68</t>
  </si>
  <si>
    <t>We see a person bring a dog into a shelter.</t>
  </si>
  <si>
    <t>We see a black screen with writing.</t>
  </si>
  <si>
    <t>We then see a lady use an electric shaver then scissors to groom a dog.</t>
  </si>
  <si>
    <t>The groomer kisses the puppy.</t>
  </si>
  <si>
    <t>We see shot of the dog after the grooming.</t>
  </si>
  <si>
    <t>We then see a black title screen.</t>
  </si>
  <si>
    <t>v_JZDTcGPKw2w</t>
  </si>
  <si>
    <t>woman is riding a horse in a barn and another woman is leading the horse with a rope.</t>
  </si>
  <si>
    <t>photos of various people riding horses are shown.</t>
  </si>
  <si>
    <t>woma is riding a horse in a barn and pictures of people riding horses.</t>
  </si>
  <si>
    <t>woman is riding a horse in a riding track.</t>
  </si>
  <si>
    <t>and a girl is jumping in the tracks too.</t>
  </si>
  <si>
    <t>childs are in a living room playing in front of a tv and pictues of theirs on the mood are shown.</t>
  </si>
  <si>
    <t>childs are in a bridge dancing and jumping into the pool.</t>
  </si>
  <si>
    <t>v_uowNtTu74nA</t>
  </si>
  <si>
    <t>The video leads into several shots of surfers moving along the water and riding waves past other people.</t>
  </si>
  <si>
    <t>Several shots are shown on how to properly surf and is followed by more shots shown in slow motion.</t>
  </si>
  <si>
    <t>v_t6iq95QPZIg</t>
  </si>
  <si>
    <t>The back of a speed boat is shown followed by feet jumping into water and looking around underwater.</t>
  </si>
  <si>
    <t>A person holds a stick out and grabs a fish and pokes at sharks.</t>
  </si>
  <si>
    <t>v_7YOV0kZQIAo</t>
  </si>
  <si>
    <t>A man plays a saxophone while facing the camera.</t>
  </si>
  <si>
    <t>The man finishes playing and smiles at his instrument.</t>
  </si>
  <si>
    <t>v_cCYLiE1fiEo</t>
  </si>
  <si>
    <t>A person steps on a tan mat several times.</t>
  </si>
  <si>
    <t>They take their shoes off and put a different pair of shoes on.</t>
  </si>
  <si>
    <t>They continue stepping on the mat in the new shoes.</t>
  </si>
  <si>
    <t>They take those shoes off and walk away.</t>
  </si>
  <si>
    <t>v_Bs3TR80BRco</t>
  </si>
  <si>
    <t>A man is in a forest, and his feet are shown with and without shoes.</t>
  </si>
  <si>
    <t>He mounts a tightrope and balances on it.</t>
  </si>
  <si>
    <t>He uses the tightrope to walk, showing the proper positions to maintain balance.</t>
  </si>
  <si>
    <t>v_MvKhjWRNTvI</t>
  </si>
  <si>
    <t>A woman pics up a bottle filled with red bullets.</t>
  </si>
  <si>
    <t>The cotton pad is removed, then a gun is loaded.</t>
  </si>
  <si>
    <t>She shoots the paint bullets at a target, spattering it red.</t>
  </si>
  <si>
    <t>Several targets are shown getting spattered.</t>
  </si>
  <si>
    <t>v_U8SmnfsEzOc</t>
  </si>
  <si>
    <t>A man is taking a bike apart on a subway.</t>
  </si>
  <si>
    <t>He is putting a tire back on the bike.</t>
  </si>
  <si>
    <t>v_jWzLhOqcGtE</t>
  </si>
  <si>
    <t>They run on the court and continue to dribble the ball.</t>
  </si>
  <si>
    <t>They jump up and make a basket.</t>
  </si>
  <si>
    <t>v_nqmw4BCi6io</t>
  </si>
  <si>
    <t>A mop's attributes are demonstrated through computer graphics close-ups of various parts.</t>
  </si>
  <si>
    <t>The mop is demonstrated in actual use.</t>
  </si>
  <si>
    <t>The preparation of the mop head is shown.</t>
  </si>
  <si>
    <t>More component closeups are shown.</t>
  </si>
  <si>
    <t>The mop head is demonstrated again.</t>
  </si>
  <si>
    <t>v_hs81dVKvvdw</t>
  </si>
  <si>
    <t>A person is sitting down getting their arm tattooed.</t>
  </si>
  <si>
    <t>They stand up and show the tattoo.</t>
  </si>
  <si>
    <t>v_5bZ2FdbAKiQ</t>
  </si>
  <si>
    <t>A gymnast is seen standing ready with her arms up and turns to face the beam.</t>
  </si>
  <si>
    <t>Just jumps up on the beam and begins perform a gymnastic routine until she falls off.</t>
  </si>
  <si>
    <t>She climbs back up on the beam and ends by flipping off the beam.</t>
  </si>
  <si>
    <t>v_ymEh5T11kSQ</t>
  </si>
  <si>
    <t>Two people are seen standing on a sandy beach with one kicking the ball and passing it to another.</t>
  </si>
  <si>
    <t>The boys continue passing the ball back and fourth while many people are seen walking around and playing in the water.</t>
  </si>
  <si>
    <t>v_FSfxYKauc9w</t>
  </si>
  <si>
    <t>Two teams of hockey players are inside of the rink playing a game.</t>
  </si>
  <si>
    <t>The puck is hit behind the goal and the team hits it back out and the game continues.</t>
  </si>
  <si>
    <t>After fighting for it,the players hit the puck down on the other end and it is blocked by the goalie.</t>
  </si>
  <si>
    <t>Each team rallies back and forth with the puck but neither of them are successful and they are blocked on both ends of the rink.</t>
  </si>
  <si>
    <t>v_7gRbYNWSUjk</t>
  </si>
  <si>
    <t>A man practice martial arts in a gym turning and spinning around.</t>
  </si>
  <si>
    <t>Then, the man leans on her hands to spin his body and make turns.</t>
  </si>
  <si>
    <t>After, the man stands on his hands and tilt his body to the sides and front.</t>
  </si>
  <si>
    <t>Next, the stands on his hands and rotates his body.</t>
  </si>
  <si>
    <t>v_Q43BuVI2r-s</t>
  </si>
  <si>
    <t>Two men are walking down planks with one rolling out paper and putting tape across.</t>
  </si>
  <si>
    <t>Other men lay down a green sheet of paper and continue taping down the paper.</t>
  </si>
  <si>
    <t>One last set of paper is laid across with tape and the men continue working.</t>
  </si>
  <si>
    <t>v_ACnOpQNrhqs</t>
  </si>
  <si>
    <t>We see a college volleyball game being played by women.</t>
  </si>
  <si>
    <t>A group of ladies passes.</t>
  </si>
  <si>
    <t>A lady falls and slides across the ground.</t>
  </si>
  <si>
    <t>Two ladies high five each other.</t>
  </si>
  <si>
    <t>Three ladies fall into the crowd on the left.</t>
  </si>
  <si>
    <t>A lady misses and falls.</t>
  </si>
  <si>
    <t>A person dangles a set of keys.</t>
  </si>
  <si>
    <t>v_vcl8rFSCH4w</t>
  </si>
  <si>
    <t>A close up of people are shown sitting on a snowy hill and looking to the camera.</t>
  </si>
  <si>
    <t>The people then all ride in tubes down the snowy trail with one moving around at the bottom.</t>
  </si>
  <si>
    <t>v_P3q6n0ZjumU</t>
  </si>
  <si>
    <t>A teen boy has a bunch of darts in his hands.</t>
  </si>
  <si>
    <t>He throws each dart, trying to hit his target on the wall.</t>
  </si>
  <si>
    <t>A cell phone camera above the dart board records as he throws, then gets hit by a dart before falling onto the carpet.</t>
  </si>
  <si>
    <t>v_6G1wS1p1ig0</t>
  </si>
  <si>
    <t>A large group of kids are seen dancing in a room followed by men moving around and laughing.</t>
  </si>
  <si>
    <t>More clips are shown of people jump roping in different rooms and laughing with one another.</t>
  </si>
  <si>
    <t>v_p377oL-EM_E</t>
  </si>
  <si>
    <t>A black screen appears with yellow writing on it.</t>
  </si>
  <si>
    <t>Once gone,a field is shown and a buff females throws a shot put into the field and a replay is shown.</t>
  </si>
  <si>
    <t>v_lGAK_3Jp2I8</t>
  </si>
  <si>
    <t>A man body slams another man on a ring.</t>
  </si>
  <si>
    <t>A referee taps on the ground several times.</t>
  </si>
  <si>
    <t>The crowd cheers for the people.</t>
  </si>
  <si>
    <t>v_QNsonWAaFk4</t>
  </si>
  <si>
    <t>Men snarl and we see the crowd and shots of volleyball play.</t>
  </si>
  <si>
    <t>We see ladies on the sidelines.</t>
  </si>
  <si>
    <t>A tall man is shown from the legs up as he jumps.</t>
  </si>
  <si>
    <t>A man misses a shot and looks behind him and two men look behind them.</t>
  </si>
  <si>
    <t>We see men cheer and jump.</t>
  </si>
  <si>
    <t>A shot is made and team hugs.</t>
  </si>
  <si>
    <t>v_Vc4NSwtI5jM</t>
  </si>
  <si>
    <t>A man cleans the rim of a wheel with a brush, then the man rinse the car with a hose.</t>
  </si>
  <si>
    <t>After, the man applies detergent with a washing scrub brush.</t>
  </si>
  <si>
    <t>Next, the car enters inside an automatic car wash machine.</t>
  </si>
  <si>
    <t>v_f98FHTGx64Q</t>
  </si>
  <si>
    <t>Two people arm wrestle and take off clothes.</t>
  </si>
  <si>
    <t>They get dressed up and go extreme kite flying in a hurricane.</t>
  </si>
  <si>
    <t>The kites crash into the people once.</t>
  </si>
  <si>
    <t>v_OUPEzXXawCs</t>
  </si>
  <si>
    <t>People are riding horses on a field.</t>
  </si>
  <si>
    <t>A dog and a person cross in front of the camera.</t>
  </si>
  <si>
    <t>The horses are running around on the field.</t>
  </si>
  <si>
    <t>v_J6T9pokWX1E</t>
  </si>
  <si>
    <t>The exterior of a business is shown and the blue and white sign on it say's "BORONIA DOG GROOMING &amp; PET SUPPLIES" with a picture of a dog in water and covered with suds and paw prints on the sides of it, and the word "DOG GROOMING" is along the front facing of the ledge that sticks out.</t>
  </si>
  <si>
    <t>A woman is talking and in between there are clips playing of groomers grooming dogs, customers, dogs walking in the store, products and dogs walking in the store.</t>
  </si>
  <si>
    <t>The same clip of the exterior of the building that was shown in the beginning, is the same exterior view that is shown at the end.</t>
  </si>
  <si>
    <t>v_roTIeCtx94Q</t>
  </si>
  <si>
    <t>woman puts butter in a bowl with sugar, and flour and mix it in a kitchen aid, adding eggs, vanilla and flour, when the mix is homogenous add chocolate chips.</t>
  </si>
  <si>
    <t>the dough is molded in balls and in a tray to the oven.</t>
  </si>
  <si>
    <t>v_NS8qkB39x9U</t>
  </si>
  <si>
    <t>A camera pans around a dark kitchen and leads to the person walking down a set of stairs.</t>
  </si>
  <si>
    <t>Clothes are seen on the floor followed by a woman in curlers smoking a cigarette and playing on the computer.</t>
  </si>
  <si>
    <t>She speaks to the camera and gets a shot of her and the camera man together.</t>
  </si>
  <si>
    <t>v_nHafujMomWg</t>
  </si>
  <si>
    <t>A man is in front of a cutting board covered in potatoes.</t>
  </si>
  <si>
    <t>He uses a peeler to peel the skin from a potato.</t>
  </si>
  <si>
    <t>He moves quickly, peeling until all the potatoes are bare.</t>
  </si>
  <si>
    <t>v_YPFk9ftkzl4</t>
  </si>
  <si>
    <t>A boy is sitting at a wooden table in a cafe.</t>
  </si>
  <si>
    <t>He lights a hookah, then pulls a drag on the smoke.</t>
  </si>
  <si>
    <t>He sits back, blowing smoke out of his mouth.</t>
  </si>
  <si>
    <t>v_ePqfnkzAQjQ</t>
  </si>
  <si>
    <t>A girl sits and endures pain as she gets a traditional Polynesian tattoo.</t>
  </si>
  <si>
    <t>The artists stop for a moment and clean off the area.</t>
  </si>
  <si>
    <t>They begin to continue tattooing her hand as she endures visibly the pain.</t>
  </si>
  <si>
    <t>v_6dNh6AxVLx8</t>
  </si>
  <si>
    <t>The video starts with several shots of bmx riders riding along a track with one taking a hard fall.</t>
  </si>
  <si>
    <t>Several more shots of people riding on a track are shown with many standing on the sidelines to watch.</t>
  </si>
  <si>
    <t>More falls are shown with a slow motion affect and more people continue to ride around.</t>
  </si>
  <si>
    <t>v_1bcm3LHTI_w</t>
  </si>
  <si>
    <t>A black screen appears with white,red,green and blue words that say "membrillo films" on one screen, "Mateo Bervelillo" ,and "Trillizos".</t>
  </si>
  <si>
    <t>A man is now outdoors, sits on a wooden box, and begins tapping his fingers onto the box and bouncing his feet on the ground.</t>
  </si>
  <si>
    <t>Another man who looks like the first man comes out of a door and sits on the chair outdoor near the first man and he begins hitting a bongo.</t>
  </si>
  <si>
    <t>A third man who looks like the two previous men before him, come out of a door and sit on the last chair and he plays on his bongo.</t>
  </si>
  <si>
    <t>v_UnZtNrtvSPA</t>
  </si>
  <si>
    <t>woman is standing in front of the camera in a white room playing with her hair.</t>
  </si>
  <si>
    <t>woman is sitting in a shair and a woman behind her start grabbing a small section of he hair doing a braid and anchoring it with a bobby pin and decorating it with hair pins.</t>
  </si>
  <si>
    <t>v_Qn61vl2khuo</t>
  </si>
  <si>
    <t>We see the black title screen.</t>
  </si>
  <si>
    <t>We see a lady and a man working on a machine.</t>
  </si>
  <si>
    <t>We see the people standing and talking about the product with shots of the machine.</t>
  </si>
  <si>
    <t>We see the display on the machine.</t>
  </si>
  <si>
    <t>The lady gets on, sets the time, and runs on the machine.</t>
  </si>
  <si>
    <t>We see just the man talking then using the machine.</t>
  </si>
  <si>
    <t>We return to the people talking together.</t>
  </si>
  <si>
    <t>We see the closing title screens.</t>
  </si>
  <si>
    <t>v_FMmrxy3OanA</t>
  </si>
  <si>
    <t>The video begins with a title sequence showing a girl throwing clothing at a man, and a title screen.</t>
  </si>
  <si>
    <t>The man and his family are in a backyard speaking to the camera.</t>
  </si>
  <si>
    <t>After he speaks, they cheer.</t>
  </si>
  <si>
    <t>The man and woman put on a tutu and blindfolds.</t>
  </si>
  <si>
    <t>They then begin to hula hoop until the woman loses.</t>
  </si>
  <si>
    <t>Afterward, they speak to the camera and wave goodbye.</t>
  </si>
  <si>
    <t>v_z-94IUxC4Xc</t>
  </si>
  <si>
    <t>Several shots of scenery are shown followed by a person performing a trick on a skateboard and others riding down a hill.</t>
  </si>
  <si>
    <t>Several shots are shown of people riding down the street on skateboards and doing several tricks while the camera zooms in.</t>
  </si>
  <si>
    <t>One man falls in the end and his board crashes along the side.</t>
  </si>
  <si>
    <t>v_2Ua6E2a6kT4</t>
  </si>
  <si>
    <t>A man is seen speaking to the camera while standing out in a back yard.</t>
  </si>
  <si>
    <t>He pans to a man spraying down a fence with a hose and another man watching on the side.</t>
  </si>
  <si>
    <t>The man continues to spray down the hose while another watches on the side and pans back to the camera man.</t>
  </si>
  <si>
    <t>v_ZsqjU0X3mxY</t>
  </si>
  <si>
    <t>A pale young woman in a white dress is standing in the forest with long curly brownish-reddish hair and begins skipping.</t>
  </si>
  <si>
    <t>Then she is shown with a black shirt and long hair and begins talking in a dark staircase.</t>
  </si>
  <si>
    <t>She stands up,flips her pony tail and the camera pans her outfit and she has on a black shirt and blue shorts and begins walking up the stairs.</t>
  </si>
  <si>
    <t>Next,she goes into a room and begins talking to a woman with a black shirt and blonde hair.</t>
  </si>
  <si>
    <t>The lady holds up a white index card with sketches of two heads.</t>
  </si>
  <si>
    <t>The lady washes her hairs and begins cutting it with a pair of shears to a very short length.</t>
  </si>
  <si>
    <t>The girl sits in the chair and begins shaking her ear length hair and holding up the cut off hair in her hands.</t>
  </si>
  <si>
    <t>The hairdresser begins blow drying her hair,cutting it and styling it.</t>
  </si>
  <si>
    <t>She continues to get her hair down while her hair is panned over on the counter and the floor.</t>
  </si>
  <si>
    <t>Then she sits on a bench and smiles at the thought of her short hair cut.</t>
  </si>
  <si>
    <t>v_1XicledQXng</t>
  </si>
  <si>
    <t>A person is seen walking into frame in front of a large closet.</t>
  </si>
  <si>
    <t>The woman then lets her hair down along her back.</t>
  </si>
  <si>
    <t>She brushes her hair continuously and ends by walking out of frame.</t>
  </si>
  <si>
    <t>v_2Tm_2wgv2Zs</t>
  </si>
  <si>
    <t>A small group of people are seen standing before a fooseball table grabbing onto poles.</t>
  </si>
  <si>
    <t>The men play against one another while taking breaks to get a drink and speak with team mates.</t>
  </si>
  <si>
    <t>The people shake hands with one another and hug friends and family.</t>
  </si>
  <si>
    <t>v_r4QPhlrqqP4</t>
  </si>
  <si>
    <t>A woman stands and talks in a garden next to a bed of herbs and plants and a wheelbarrow filled with mulch.</t>
  </si>
  <si>
    <t>A herb garden appears with a woman standing next to it in a large garden next to a wheelbarrow filled with mulch.</t>
  </si>
  <si>
    <t>The woman begins to talk to the camera while gesturing to the flowerbed and the mulch, before eventually picking up a handful of the mulch.</t>
  </si>
  <si>
    <t>The woman continues talking before the scene morphs into video of a small red potatoes on the ground pulled up by the root.</t>
  </si>
  <si>
    <t>v_dbLtukGqkhI</t>
  </si>
  <si>
    <t>People are standing on a roof top looking up.</t>
  </si>
  <si>
    <t>A woman in a green shirt eats chips.</t>
  </si>
  <si>
    <t>A man in a blue shirt is pointing to the sky and moving his hand in circles.</t>
  </si>
  <si>
    <t>There are many kites in the sky around them.</t>
  </si>
  <si>
    <t>v_ATBbNtNlBnY</t>
  </si>
  <si>
    <t>We see a man using an electric sander to sharpen a variety of things.</t>
  </si>
  <si>
    <t>He uses a caliper and ruler on a item.</t>
  </si>
  <si>
    <t>We see him sharpening more things and beveling a tool.</t>
  </si>
  <si>
    <t>The man adjust some screws and moves an arm.</t>
  </si>
  <si>
    <t>We see the item comes with a 7 year warranty.</t>
  </si>
  <si>
    <t>The man adds an oil to the item, and we see the packaging.</t>
  </si>
  <si>
    <t>We see the ending credits for the video.</t>
  </si>
  <si>
    <t>v_smJtFktW640</t>
  </si>
  <si>
    <t>A small group of women are seen dancing together doing choreography with one leading the group in the front.</t>
  </si>
  <si>
    <t>the woman continue dancing with one another and ends with a zumba logo shown in the background.</t>
  </si>
  <si>
    <t>v_epZjMuRRXLo</t>
  </si>
  <si>
    <t>A woman is seen standing in front of a mirror and begins jumping rope while smiling at the camera.</t>
  </si>
  <si>
    <t>She continues jumping over and over again swinging her arms and ends by stopping to smile at the camera.</t>
  </si>
  <si>
    <t>v_jaRSbVCkxlU</t>
  </si>
  <si>
    <t>woman is standing in a kitchen in front of a camera holding a door.</t>
  </si>
  <si>
    <t>woman cuts the door and spread chocolate cream on he top and put another layer of cake.</t>
  </si>
  <si>
    <t>the woman spread the chocolate cream again in the top and put another layer of cake and spread the cream on top and at sides.</t>
  </si>
  <si>
    <t>woman flatten the cream and varnish it.</t>
  </si>
  <si>
    <t>thw woman grabs white fondant and kneads it and then cover the cake with it with her hands and cuts the remaining, adds ornamens on top.</t>
  </si>
  <si>
    <t>v_iXaW8uyzBNs</t>
  </si>
  <si>
    <t>A man is riding a bike.</t>
  </si>
  <si>
    <t>He is talking on a cell phone in a kitchen.</t>
  </si>
  <si>
    <t>He is then talking on a phone near a garage.</t>
  </si>
  <si>
    <t>He starts painting a wooden fence.</t>
  </si>
  <si>
    <t>He sits down and eats food.</t>
  </si>
  <si>
    <t>He then finished painting the fence.</t>
  </si>
  <si>
    <t>He jumps in the air to celebrate.</t>
  </si>
  <si>
    <t>v_kW_2ihjROgw</t>
  </si>
  <si>
    <t>A baby is sitting at a tiny table outside.</t>
  </si>
  <si>
    <t>He is smoking a cigarette and waving at adults.</t>
  </si>
  <si>
    <t>He high fives a woman, then continues to smoke.</t>
  </si>
  <si>
    <t>v_x2uByejBIiY</t>
  </si>
  <si>
    <t>A woman is seen holding ingredients in their hands while speaking to the camera and boiling water.</t>
  </si>
  <si>
    <t>She fries nuts on a pan and pours them on a plate while mixing more ingredients into a pan and pouring it over the nuts.</t>
  </si>
  <si>
    <t>She mixes them all together and shows off several plates in the end.</t>
  </si>
  <si>
    <t>v_UcQ63-sQ9bI</t>
  </si>
  <si>
    <t>A close up of a guitar is seen followed by a person strumming the back.</t>
  </si>
  <si>
    <t>The person moves their hands up and down the neck of the guitar while moving it to play.</t>
  </si>
  <si>
    <t>The man continues to play the instrument and stops in the end.</t>
  </si>
  <si>
    <t>v_Vshvpb9eecg</t>
  </si>
  <si>
    <t>A woman is seen walking into frame while speaking to the camera and putting her face in cream.</t>
  </si>
  <si>
    <t>The woman then rubs the cream on her face while still speaking to the camera.</t>
  </si>
  <si>
    <t>The camera pans around the kitchen while the woman continues to rub her hands in the lotion.</t>
  </si>
  <si>
    <t>v_VVLeWYKoNUE</t>
  </si>
  <si>
    <t>We see a person jet-skiing behind a boat.</t>
  </si>
  <si>
    <t>The boat runs aground into some brush.</t>
  </si>
  <si>
    <t>The skier is laying in the lake.</t>
  </si>
  <si>
    <t>v_SA2GomtZkvE</t>
  </si>
  <si>
    <t>A man plays an accordion in the street.</t>
  </si>
  <si>
    <t>He is wearing a hoodie.</t>
  </si>
  <si>
    <t>He is sitting next to his bike.</t>
  </si>
  <si>
    <t>A man walks in the background.</t>
  </si>
  <si>
    <t>v_Y5qDKbTkCaY</t>
  </si>
  <si>
    <t>The words "The Shot Put" appear on screen over an athlete.</t>
  </si>
  <si>
    <t>"The Shot Put Introduction" appears on screen followed by several athletes performing the sport.</t>
  </si>
  <si>
    <t>The words "Thank you for Watching" appears on the screen.</t>
  </si>
  <si>
    <t>v_FjMeS0FCvas</t>
  </si>
  <si>
    <t>A man lifts up a large pitcher of beer and starts drinking it.</t>
  </si>
  <si>
    <t>People sitting around a table cheer him on.</t>
  </si>
  <si>
    <t>The man puts his hands in the air and laughs.</t>
  </si>
  <si>
    <t>The people around the table start pumping their hands in the air.</t>
  </si>
  <si>
    <t>The man claps his hands.</t>
  </si>
  <si>
    <t>v_rsJUOsr1u3o</t>
  </si>
  <si>
    <t>A man is standing over an oven cooking something in a pan.</t>
  </si>
  <si>
    <t>He bends down to check the flame.</t>
  </si>
  <si>
    <t>He tosses the pan a few times.</t>
  </si>
  <si>
    <t>He is adding seasonings to the pan.</t>
  </si>
  <si>
    <t>He pours a liquid into the pan.</t>
  </si>
  <si>
    <t>He shakes the pan again.</t>
  </si>
  <si>
    <t>v_Cq7Myyfbtn0</t>
  </si>
  <si>
    <t>A person helps another person walk on stilts on the sidewalk.</t>
  </si>
  <si>
    <t>The person walks by themselves.</t>
  </si>
  <si>
    <t>The man sits down in a chair.</t>
  </si>
  <si>
    <t>v_CXb3Ce7s6G0</t>
  </si>
  <si>
    <t>Several screens are shown of bright orange lettering on a black background.</t>
  </si>
  <si>
    <t>A man and a woman are standing upright in a pool, and the man is showing the woman swimming techniques.</t>
  </si>
  <si>
    <t>The woman begins to emulate the man's actions, moving her arms and dipping her head under the water.</t>
  </si>
  <si>
    <t>The man shows her how to swim outward by doing so himself.</t>
  </si>
  <si>
    <t>The woman watches as he swims away.</t>
  </si>
  <si>
    <t>v_RRIGf87R6jc</t>
  </si>
  <si>
    <t>A girl is pouring ingredients into a bowl and mixing them together.</t>
  </si>
  <si>
    <t>She uses a cookie cutter to cut shapes out of the dough.</t>
  </si>
  <si>
    <t>She is dipping the dough into a white glaze.</t>
  </si>
  <si>
    <t>v_12sz7NMvyfI</t>
  </si>
  <si>
    <t>A person is blowing leaves in the back of their yard.</t>
  </si>
  <si>
    <t>The kid is having some trouble but is generally doing an ok job.</t>
  </si>
  <si>
    <t>v_XSNenkxgryQ</t>
  </si>
  <si>
    <t>A news anchor presents a story behind a desk in a large newsroom.</t>
  </si>
  <si>
    <t>People are seen smoking regular cigarettes and electric cigarettes.</t>
  </si>
  <si>
    <t>The news anchor talks with a guest in the newsroom.</t>
  </si>
  <si>
    <t>Professionals are seen in there offices discussing the subject.</t>
  </si>
  <si>
    <t>Text is seen against a red background with a website and information.</t>
  </si>
  <si>
    <t>v_DthkauVLag0</t>
  </si>
  <si>
    <t>A man is shown smiling and talking into the camera and holding a young boy up on a sink.</t>
  </si>
  <si>
    <t>The man holds the boys eyes open while he laughs and brushes his teeth.</t>
  </si>
  <si>
    <t>v_GA8XzZTETPE</t>
  </si>
  <si>
    <t>A ballerina starts dancing on a stage.</t>
  </si>
  <si>
    <t>She does several spins on the stage.</t>
  </si>
  <si>
    <t>She does a leap on the stage.</t>
  </si>
  <si>
    <t>She lays down on the stage.</t>
  </si>
  <si>
    <t>v_TVeIcQOvMZI</t>
  </si>
  <si>
    <t>A man is seen speaking to the camera that leads into a person playing crochet.</t>
  </si>
  <si>
    <t>Several shots are shown of children hitting the balls as well as speaking to the camera.</t>
  </si>
  <si>
    <t>More kids and adults speak to the camera while showing how they hit the ball.</t>
  </si>
  <si>
    <t>v_g5-CU3qfSWY</t>
  </si>
  <si>
    <t>A person is seen running down a long track with a pole and attempting to push herself forward.</t>
  </si>
  <si>
    <t>Her run is shown again in slow motion as another person attempts to push over the pole and fails.</t>
  </si>
  <si>
    <t>More clips are shown of people attempting to jump over the wall and not making it high enough.</t>
  </si>
  <si>
    <t>v_dLLvpM-gB8Q</t>
  </si>
  <si>
    <t>Two kids are playing in the back of a truck.</t>
  </si>
  <si>
    <t>People are standing around a yellow ice cream truck.</t>
  </si>
  <si>
    <t>Two kids are sitting down on a sidewalk eating ice cream.</t>
  </si>
  <si>
    <t>v_2NyOIsFJ3Tw</t>
  </si>
  <si>
    <t>We then see a girl run and fall on a slip and slide.</t>
  </si>
  <si>
    <t>We see another title screen and watch the kids slide down slide and across their slip and slide.</t>
  </si>
  <si>
    <t>A kid slides down the slide on a raft.</t>
  </si>
  <si>
    <t>v_aQHGZzqZLxs</t>
  </si>
  <si>
    <t>A man is demonstrating how to kindle a small pit of fire.</t>
  </si>
  <si>
    <t>First, the man shows off the flint he has for the fire.</t>
  </si>
  <si>
    <t>He then puts the flint into a pile of wood.</t>
  </si>
  <si>
    <t>The man then lights the fire, which slowly spreads throughout the wood.</t>
  </si>
  <si>
    <t>The man then pokes the fire with pieces of flat wood to spread the fire.</t>
  </si>
  <si>
    <t>The man then shakes the twigs on the wood to further spread the fire.</t>
  </si>
  <si>
    <t>v_mOVPZhGyUrs</t>
  </si>
  <si>
    <t>There are two men playing ping pong in a basement.</t>
  </si>
  <si>
    <t>One of the players is wearing a black shirt and the other is a blue shirt.</t>
  </si>
  <si>
    <t>There is a mattress leaning against the basement wall.</t>
  </si>
  <si>
    <t>The players continue playing a smooth rally.</t>
  </si>
  <si>
    <t>Then the person in black misses the shot.</t>
  </si>
  <si>
    <t>They continue playing ping pong for a few more rounds.</t>
  </si>
  <si>
    <t>The person in blue hits the ball in the net.</t>
  </si>
  <si>
    <t>They continue playing more till the person in blue drops the ball on the ground.</t>
  </si>
  <si>
    <t>v_m22vOf2fw1M</t>
  </si>
  <si>
    <t>A person trims the top of a pink hedge using a hedge trimmer.</t>
  </si>
  <si>
    <t>Then, the man trim the sides of the pink hedge on front a house.</t>
  </si>
  <si>
    <t>v_-KbDXeEoQ1E</t>
  </si>
  <si>
    <t>Various pictures of shown of a girl and a horse and leads into a person riding a horse over jumps.</t>
  </si>
  <si>
    <t>More pictures are shown off the horse and person together followed by more clips of the girl riding the horse.</t>
  </si>
  <si>
    <t>In the end the horse is seen tied up to the stables and the girl wanders around him.</t>
  </si>
  <si>
    <t>v_p0_buoe9M7I</t>
  </si>
  <si>
    <t>A young woman is sitting on a red lounge chair as a tattoo artist begins doing his job.</t>
  </si>
  <si>
    <t>As he applies the needle,the girl fringes in her face but stays as still as possible.</t>
  </si>
  <si>
    <t>The tattoo is finally finished and the man dabs the rest of the tattoo on her foot.</t>
  </si>
  <si>
    <t>v_LNK_yYs6UOA</t>
  </si>
  <si>
    <t>A man walks into a circle on a field.</t>
  </si>
  <si>
    <t>He spins while holding a disc.</t>
  </si>
  <si>
    <t>He lets go of the disc, letting it fly through the air.</t>
  </si>
  <si>
    <t>v_r9X01daYa5o</t>
  </si>
  <si>
    <t>A man is sitting down in a chair.</t>
  </si>
  <si>
    <t>He is wearing a mask on his face.</t>
  </si>
  <si>
    <t>He is welding something in front of him.</t>
  </si>
  <si>
    <t>v_FuaxI8PkeHQ</t>
  </si>
  <si>
    <t>A young boy is seen sitting in a chair looking away with others walking by.</t>
  </si>
  <si>
    <t>The man then takes a sip of a drink and makes a funny face.</t>
  </si>
  <si>
    <t>v_F6cNWYlfUs8</t>
  </si>
  <si>
    <t>A large group of people are seen walking in the snow with several being interviewed on the camera.</t>
  </si>
  <si>
    <t>They're seen inside a shop sharpening skiis and laughing with one another.</t>
  </si>
  <si>
    <t>v_Zm32ORZly10</t>
  </si>
  <si>
    <t>A small group of people are seen standing around with one woman holding signs and leads into people playing tug of war.</t>
  </si>
  <si>
    <t>Several shots of the games are shown as well as a girl dancing and kids warming up.</t>
  </si>
  <si>
    <t>the kids play more tug of a war and a close up of a person's face is seen in slow motion.</t>
  </si>
  <si>
    <t>v_Tko7eefi1BI</t>
  </si>
  <si>
    <t>A woman is sitting outside on a white chair playing at accordion.</t>
  </si>
  <si>
    <t>There is a music stand sitting in front of her.</t>
  </si>
  <si>
    <t>v_S-8ogZOLiWU</t>
  </si>
  <si>
    <t>We see a man putting on gear and then hockey player walking to the rink.</t>
  </si>
  <si>
    <t>We see the crowd clapping.</t>
  </si>
  <si>
    <t>We see a game of hockey being played.</t>
  </si>
  <si>
    <t>We see people clapping in the crowd.</t>
  </si>
  <si>
    <t>A man's hand is shaken and see the whole team on the ice.</t>
  </si>
  <si>
    <t>v_5wchVLM0f5Y</t>
  </si>
  <si>
    <t>A man is seen solving a rubix cube was another sits beside him and watches.</t>
  </si>
  <si>
    <t>He solves the puzzle and puts it down on the table then smiles at the camera.</t>
  </si>
  <si>
    <t>v_vr7iD3pjmSU</t>
  </si>
  <si>
    <t>An archery competition montage video shows pitched battles taking place in fields, convention halls of hotels, indoor arenas, and warehouses.</t>
  </si>
  <si>
    <t>A logo for Archery Tag appears and an ad plays for another video and subscription.</t>
  </si>
  <si>
    <t>v_W4aPcuQSxFI</t>
  </si>
  <si>
    <t>A close up of a sink is shown followed by a person turning on a faucet and grabbing the camera.</t>
  </si>
  <si>
    <t>She faces a table and sprays down a rag followed by pushing the rag along the floor.</t>
  </si>
  <si>
    <t>The woman continues cleaning the floor and walks back to the camera.</t>
  </si>
  <si>
    <t>v_ZpuZEui-Bu0</t>
  </si>
  <si>
    <t>There are two little girls standing in an indoor court learning to play squash.</t>
  </si>
  <si>
    <t>They are standing with their racquets and trying to hit the ball against the wall.</t>
  </si>
  <si>
    <t>They attempt to hit the ball but end up brushing it on the floor.</t>
  </si>
  <si>
    <t>They run around the court trying to catch the ball with their racquets.</t>
  </si>
  <si>
    <t>they run around smiling with their oversized racquets and run to follow the ball around the court.</t>
  </si>
  <si>
    <t>v_55ziFpzx5oc</t>
  </si>
  <si>
    <t>Four young women and a man are on the stage, while one girl is playing the guitar.</t>
  </si>
  <si>
    <t>The lady in yellow began singing, then the lady in pink shirt.</t>
  </si>
  <si>
    <t>When the girls are finished singing the crowd cheered.</t>
  </si>
  <si>
    <t>v_PzNpPDd-VWE</t>
  </si>
  <si>
    <t>We see a man fall in the water in reverse.</t>
  </si>
  <si>
    <t>We watch people walk on a slackline over a body of water.</t>
  </si>
  <si>
    <t>We see a series of falls.</t>
  </si>
  <si>
    <t>A man makes it across.</t>
  </si>
  <si>
    <t>We see a man climb a tree and get a coconut.</t>
  </si>
  <si>
    <t>The pan puts a tap in the coconut and pours it in his mouth as he lays on the ground.</t>
  </si>
  <si>
    <t>The man sits up and smiles.</t>
  </si>
  <si>
    <t>v_AS1nLh3xfxI</t>
  </si>
  <si>
    <t>A close up of boots are seen as well as person digging a hole.</t>
  </si>
  <si>
    <t>The person lays out dirt and cut a hole into it while also putting a plant inside.</t>
  </si>
  <si>
    <t>The person waters the plant and ends by laying out more dirt.</t>
  </si>
  <si>
    <t>v_ZNsX4KYJlVQ</t>
  </si>
  <si>
    <t>A boy is standing at the counter facing backwards from the dart board.</t>
  </si>
  <si>
    <t>His mom is standing beside him and he is getting ready to throw his dart.</t>
  </si>
  <si>
    <t>He throws it and completely misses the dart board all together.</t>
  </si>
  <si>
    <t>He hits the top of the wall and he goes over to reach for it and take it out.</t>
  </si>
  <si>
    <t>v_8wNsOZHTsj0</t>
  </si>
  <si>
    <t>A man splits logs into using an ax in a grassy yard while his wife retrieves the pieces.</t>
  </si>
  <si>
    <t>A man splits logs in the yard by himself.</t>
  </si>
  <si>
    <t>The man sets his ax blade into the log and takes a brake.</t>
  </si>
  <si>
    <t>v_wv2baWJtSoc</t>
  </si>
  <si>
    <t>A man in a blue shirt is sitting down holding a bar on an exercise machine.</t>
  </si>
  <si>
    <t>He pushes off and uses the exercise machine.</t>
  </si>
  <si>
    <t>v_4Mo-IYfNKBo</t>
  </si>
  <si>
    <t>We see a man mopping a floor under women's feet.</t>
  </si>
  <si>
    <t>The middle lady uses her foot to move the mop.</t>
  </si>
  <si>
    <t>The left lady then moves the mop with her foot.</t>
  </si>
  <si>
    <t>The middle lady does it again then the man finishes mopping the floor.</t>
  </si>
  <si>
    <t>v_L6BxxvCbwpQ</t>
  </si>
  <si>
    <t>A guy is crawling on the ground.</t>
  </si>
  <si>
    <t>The guy is using a box knife to cut the carpet.</t>
  </si>
  <si>
    <t>The guy looks behind him.</t>
  </si>
  <si>
    <t>There are a lot of papers on the wall.</t>
  </si>
  <si>
    <t>v_4gQpW3zR-Aw</t>
  </si>
  <si>
    <t>A group of men are seen leading a camel around while a person rides on top of the camel.</t>
  </si>
  <si>
    <t>One man leads the camera around with the person on top and people recording them from the sides.</t>
  </si>
  <si>
    <t>The man lays the camel down for the person to climb off and the rider smiles and waves to the camera.</t>
  </si>
  <si>
    <t>v_xlOc6r6E08w</t>
  </si>
  <si>
    <t>A man is running down a pathway in the field in slow motion preparing to throw a javelin.</t>
  </si>
  <si>
    <t>As he comes closer,he begins to turn and run sideways and throws the javelin.</t>
  </si>
  <si>
    <t>Once it is released,he stumbles and has difficulty trying to catch his balance as the rest of the people surrounding him look to see his distance.</t>
  </si>
  <si>
    <t>v_eCzDH6PdtlE</t>
  </si>
  <si>
    <t>A gymnast performs on a pommel horse on front a crowd in the bleachers.</t>
  </si>
  <si>
    <t>Then, she flips backwards and lands stand on the foam mat.</t>
  </si>
  <si>
    <t>v_rQc7UhpiDU8</t>
  </si>
  <si>
    <t>A man is seen shooting a bow and arrow followed by another man taking a bow and aiming.</t>
  </si>
  <si>
    <t>Another man is seen kneeling down before bows and speaking to the camera.</t>
  </si>
  <si>
    <t>He points to various boxes and continues looking into the camera and speaking.</t>
  </si>
  <si>
    <t>v_wDlbcTFI90o</t>
  </si>
  <si>
    <t>The video is a tutorial about installing deck tiles.</t>
  </si>
  <si>
    <t>There's a contractor working on a deck.</t>
  </si>
  <si>
    <t>He begins installing the interlocking wooden tiles on a concrete deck surface.</t>
  </si>
  <si>
    <t>He covers the entire deck with the wooden tiles to evenly cover the surface area.</t>
  </si>
  <si>
    <t>v_HbXNXmCRFh4</t>
  </si>
  <si>
    <t>An older man is in a pool and he's holding a yellow ball in front of his face.</t>
  </si>
  <si>
    <t>The man throws it to a dog who is balancing on a blue floating device and the dog hits it back to the man using his nose.</t>
  </si>
  <si>
    <t>The man throws it back to the dog and the dog hits it back and then he slips off the floating device and splashes into the water.</t>
  </si>
  <si>
    <t>v_QbhMOqg9Tmg</t>
  </si>
  <si>
    <t>women are insisde a bathtub shving her legs with ceam and water.</t>
  </si>
  <si>
    <t>women are laughing in front of a mirror.</t>
  </si>
  <si>
    <t>v_T3rh5gQVFKA</t>
  </si>
  <si>
    <t>We see a wolf fall in the title screen.</t>
  </si>
  <si>
    <t>We see the landscape of a small town.</t>
  </si>
  <si>
    <t>A boy rides down a street on a skateboard.</t>
  </si>
  <si>
    <t>Four boys on skateboards ride past.</t>
  </si>
  <si>
    <t>We see a boy almost fall two times.</t>
  </si>
  <si>
    <t>We See the board on the curb.</t>
  </si>
  <si>
    <t>A group of boys walking up a hill.</t>
  </si>
  <si>
    <t>The end credits play and we see a boy on a bus.</t>
  </si>
  <si>
    <t>v_n9MONPwq7x0</t>
  </si>
  <si>
    <t>A man dressed in a black sweatshirt and black shorts, along with another person dressed in white athletic wear are standing in a tennis court near the net.</t>
  </si>
  <si>
    <t>They are both holding tennis rackets.</t>
  </si>
  <si>
    <t>The person in black is giving a tutorial on how to return a serve in tennis.</t>
  </si>
  <si>
    <t>There is a player demonstrating the serve as the coach explains.</t>
  </si>
  <si>
    <t>Then the person in white begins taking about more about the tennis serve and how to play effectively.</t>
  </si>
  <si>
    <t>The player continues to demonstrate the serves.</t>
  </si>
  <si>
    <t>v_SsAmEJvdpyU</t>
  </si>
  <si>
    <t>People are doing tricks on roller blades.</t>
  </si>
  <si>
    <t>A man jumps down a flight of stairs on roller blades.</t>
  </si>
  <si>
    <t>A man in a white shirt jumps down a flight of stairs.</t>
  </si>
  <si>
    <t>v_smGijLg8Cho</t>
  </si>
  <si>
    <t>Three men are set up to play darts.</t>
  </si>
  <si>
    <t>The man in the peach shirts throws a dart at the dart board.</t>
  </si>
  <si>
    <t>A man in blue hits a cue ball.</t>
  </si>
  <si>
    <t>The man in peach lines back up and shoots three darts at the dart board and removes them.</t>
  </si>
  <si>
    <t>He lines back up in front of the board and throws one more dart.</t>
  </si>
  <si>
    <t>More people gather around as two men remove the darts from the dartboards and walk back a distance.</t>
  </si>
  <si>
    <t>Both men throw a dart at the dartboard.</t>
  </si>
  <si>
    <t>The man in peach walks to remove the darts.</t>
  </si>
  <si>
    <t>A woman stands by the dart board and smiles.</t>
  </si>
  <si>
    <t>The man in peach throws three darts at the board again and smiles as he removes them.</t>
  </si>
  <si>
    <t>v_eqWQOAjF4-k</t>
  </si>
  <si>
    <t>We see a little boy standing on a platform on a jungle gym.</t>
  </si>
  <si>
    <t>The boy climbs across on the monkey bars.</t>
  </si>
  <si>
    <t>The boy reaches the other platform and turns and smiles for the camera.</t>
  </si>
  <si>
    <t>v_xlCOq0ryx-Y</t>
  </si>
  <si>
    <t>Two men sit in a room smoking cigarettes one playing guitar the other on keyboard.</t>
  </si>
  <si>
    <t>The man on guitar on the right takes his cigarette out of his mouth and puts it down.</t>
  </si>
  <si>
    <t>The man on the left takes his cigarette out and wipes mouth on his arm.</t>
  </si>
  <si>
    <t>They finish and the man on the left wipes his mouth and the right takes his cigarette out and blows smoke.</t>
  </si>
  <si>
    <t>v_XbSQ_7vh7yc</t>
  </si>
  <si>
    <t>An older woman and young child are seen washing dishes in a sink and speaking to one another.</t>
  </si>
  <si>
    <t>The people play in the water and the girl blows bubbles while the woman washes dishes.</t>
  </si>
  <si>
    <t>v_548xC74c6MQ</t>
  </si>
  <si>
    <t>A colorful hexagonal shaped kite is flying high in the air.</t>
  </si>
  <si>
    <t>The clear blue skies and the bright sun shinning make the kite look very colorful and radiant.</t>
  </si>
  <si>
    <t>v_0WVkoTBmhA0</t>
  </si>
  <si>
    <t>A cartoon animation video is shown with people wandering around and rockets being shot.</t>
  </si>
  <si>
    <t>Two men fight robots of evil and ends with a to be continued.</t>
  </si>
  <si>
    <t>v_xmb7j1e0wts</t>
  </si>
  <si>
    <t>A woman is seen speaking to the camera and leads into her laying out various food items and mixing ingredients into a blender.</t>
  </si>
  <si>
    <t>She pours more out more flours into the mixer and shows several shots of cookies being made.</t>
  </si>
  <si>
    <t>She lays out more ingredients, pours of spoonfuls of dough onto a pan, and then breaks apart a cooked cookie.</t>
  </si>
  <si>
    <t>v_ouEWLFNLLos</t>
  </si>
  <si>
    <t>An elderly man is walking and a large white bird is biting at his right foot.</t>
  </si>
  <si>
    <t>The man turns around and points and scolds the bird and continues to walk.</t>
  </si>
  <si>
    <t>The man then bends down near some stairs, wipes the outside of the building and the bird continues to attack the man.</t>
  </si>
  <si>
    <t>The man scolds the bird again and motions to the small dog that's also there that the dog and bird should interact but the bird keeps messing with the man and the dog stays out of it.</t>
  </si>
  <si>
    <t>v_FRX4LTw9650</t>
  </si>
  <si>
    <t>Various women are seen looking at the camera followed by a man speaking to the camera.</t>
  </si>
  <si>
    <t>Several tools are shown that lea into one woman brushing out her hair.</t>
  </si>
  <si>
    <t>Another woman brushes her hair and leads into more clips of women smiling and looking to the camera.</t>
  </si>
  <si>
    <t>v_4llkVfMzsN4</t>
  </si>
  <si>
    <t>Two people are playing wall ball in a room.</t>
  </si>
  <si>
    <t>A boy falls down diving for the ball.</t>
  </si>
  <si>
    <t>A person walks in front of the room.</t>
  </si>
  <si>
    <t>v_lMbDEY-CVwE</t>
  </si>
  <si>
    <t>A man is indoors, as he picks a frisbee off the ground.</t>
  </si>
  <si>
    <t>He then uses several frisbees to train and display the stunts of a medium sized collie dog.</t>
  </si>
  <si>
    <t>The dog runs off screen and brings back the frisbees.</t>
  </si>
  <si>
    <t>The scene ends with the dog trying desperately to remove a frisbee from the seated man's hand.</t>
  </si>
  <si>
    <t>v_6iBXtHrJ4gc</t>
  </si>
  <si>
    <t>An older man is seen walking towards the camera and points to various plants around him.</t>
  </si>
  <si>
    <t>The camera pans around the area with all the plants growing and shows the man holding a tool.</t>
  </si>
  <si>
    <t>The man then uses the tool along a hedge of bushes while looking back and smiling to the camera.</t>
  </si>
  <si>
    <t>v_ajYA9O6R-AY</t>
  </si>
  <si>
    <t>A young girl is seen speaking to the camera standing before a game of hop scotch drawn out.</t>
  </si>
  <si>
    <t>The girl then throws a rock and hops to end while grabbing it and hopping back.</t>
  </si>
  <si>
    <t>v_qVy_WDpLHRM</t>
  </si>
  <si>
    <t>A woman is standing behind a vacuum.</t>
  </si>
  <si>
    <t>She begins vacuuming the carpet.</t>
  </si>
  <si>
    <t>She takes off the hose attachment and cleans a lamp and the stairs.</t>
  </si>
  <si>
    <t>She empties the filter of the vacuum into the trash can.</t>
  </si>
  <si>
    <t>v_WKLLTGbDI7w</t>
  </si>
  <si>
    <t>The recipe for making limeade is shown.</t>
  </si>
  <si>
    <t>Limes are juiced and then combined with water and sugar.</t>
  </si>
  <si>
    <t>The whole thing is stirred.</t>
  </si>
  <si>
    <t>v_IkjulgI7gzg</t>
  </si>
  <si>
    <t>There are two body builders dressed in a black shirts demonstrating weightlifting in a gym.</t>
  </si>
  <si>
    <t>One of the bodybuilders is lifting the weights while the other is explaining the correct method of doing it.</t>
  </si>
  <si>
    <t>He bodybuilder lifts the weight gradually at first and then swiftly picks himself up to raise the weights.</t>
  </si>
  <si>
    <t>The other bodybuilder continues to explain the weightlifting strategies that is used professionally.</t>
  </si>
  <si>
    <t>v_5Eb_NVjFah0</t>
  </si>
  <si>
    <t>We see a title screen slide down the screen .</t>
  </si>
  <si>
    <t>We then watch an older boy and a boy bowl in a bowling alley.</t>
  </si>
  <si>
    <t>A small boy in an orange shirt rolls the ball down the aisle.</t>
  </si>
  <si>
    <t>We watch an older boy in a green shirt roll the ball 5 times and get 4 strikes.</t>
  </si>
  <si>
    <t>We see a title screen and a slow motion of one of the shots of the older boy.</t>
  </si>
  <si>
    <t>v_WttP_X-aCEA</t>
  </si>
  <si>
    <t>A man is shown outside in a kid park with grey shorts on a a pair of black and white Puma sneakers.</t>
  </si>
  <si>
    <t>He then pulls him self up on top of the monkey bars and stands on top of them and goes into a hand stand.</t>
  </si>
  <si>
    <t>Once he has got his balance,he travels across is and jumps off one he has gotten to the end.</t>
  </si>
  <si>
    <t>v_RJpWgi0EaUE</t>
  </si>
  <si>
    <t>Three individuals sit on stage and have a conversation.</t>
  </si>
  <si>
    <t>Two boys dance in the same fashion.</t>
  </si>
  <si>
    <t>An image of a man is incorporated into the screen with the dancers.</t>
  </si>
  <si>
    <t>The man cover his face with his hand.</t>
  </si>
  <si>
    <t>The man and woman gesture the dancers hand movements.</t>
  </si>
  <si>
    <t>This man gets off his seat and knees.</t>
  </si>
  <si>
    <t>The man gets of his knees and sits back down.</t>
  </si>
  <si>
    <t>The man and female touch hands while sitting.</t>
  </si>
  <si>
    <t>The man claps his hands together.</t>
  </si>
  <si>
    <t>The man waves at a man backstage to join them.</t>
  </si>
  <si>
    <t>A standing man who is backstage claps.</t>
  </si>
  <si>
    <t>The two boy dancers are shown extending one hand.</t>
  </si>
  <si>
    <t>A man walks from backstage.</t>
  </si>
  <si>
    <t>The man shake hands and hugs one of the man on stage.</t>
  </si>
  <si>
    <t>The female stands and also hugs the man.</t>
  </si>
  <si>
    <t>A man stand and then sits.</t>
  </si>
  <si>
    <t>The man in a black suit dances and then sits.</t>
  </si>
  <si>
    <t>The man in a brown suit returns to the backstage area.</t>
  </si>
  <si>
    <t>The man is shown while backstage.</t>
  </si>
  <si>
    <t>The show's name is shown.</t>
  </si>
  <si>
    <t>v_knY08LrNyHg</t>
  </si>
  <si>
    <t>Several shots are shown of people pushing sail boats into the water as well as riding them around one another.</t>
  </si>
  <si>
    <t>People are seen riding around on jet skis following the boat as well as close ups of the boats being shown as well as underwater.</t>
  </si>
  <si>
    <t>More people are seen riding on smaller boats and end by dragging a boat back to shore.</t>
  </si>
  <si>
    <t>v_5QZpCDyXNx4</t>
  </si>
  <si>
    <t>Kids are riding bicycles around a dirt track.</t>
  </si>
  <si>
    <t>One of them tips over and falls.</t>
  </si>
  <si>
    <t>They continue to go around the track.</t>
  </si>
  <si>
    <t>Another person crashes and falls.</t>
  </si>
  <si>
    <t>v_RcDEaYPwI6I</t>
  </si>
  <si>
    <t>A group of dancers in red outfits dance on stage.</t>
  </si>
  <si>
    <t>A group of cheerleaders in pink stand on a field while a group in white walk up to great the coach.</t>
  </si>
  <si>
    <t>A solo woman in a red blouse discusses the events in a room with lit up letters in the background.</t>
  </si>
  <si>
    <t>Both teams of women line up on the field together.</t>
  </si>
  <si>
    <t>Both groups of women dance together in unison with the coach leading in front.</t>
  </si>
  <si>
    <t>The women in pink uniforms dance on the field.</t>
  </si>
  <si>
    <t>The women in white uniforms dance on the field.</t>
  </si>
  <si>
    <t>v_Uot4XZns2b4</t>
  </si>
  <si>
    <t>We see a man prying shingles up around a pipe.</t>
  </si>
  <si>
    <t>The man then pushes the pipe down and nails it.</t>
  </si>
  <si>
    <t>The man add tar to the pipe base and nails shingles down around it.</t>
  </si>
  <si>
    <t>The man then puts tar under the top shingle.</t>
  </si>
  <si>
    <t>We see the house and a truck parked in the driveway.</t>
  </si>
  <si>
    <t>v_5aTek77vxBA</t>
  </si>
  <si>
    <t>A woman kneels outdoors on a concrete ground and rinses clothes out and washes them using a metal bucket for the rinsing and the ground as a washboard for the clothes.</t>
  </si>
  <si>
    <t>A little girl walks up to the woman and pours more water in the woman’s metal bucket then walks away to stand next to a well where another woman is kneeling and washing clothes in the same way.</t>
  </si>
  <si>
    <t>The first woman is shown again this time washing a large white sheet against the ground using the metal bucket again for the water supply.</t>
  </si>
  <si>
    <t>v_v7o9uSu9AVI</t>
  </si>
  <si>
    <t>A strong man is lifting his legs up and down across parallel bars.</t>
  </si>
  <si>
    <t>He begins to do shrugs on the bars.</t>
  </si>
  <si>
    <t>He starts to walk his body across with his hands.</t>
  </si>
  <si>
    <t>He circles around on the edge of the bars with his arms.</t>
  </si>
  <si>
    <t>He swings his legs and leaps with his arms across the parallel bars.</t>
  </si>
  <si>
    <t>A man does dips on the parallel bars.</t>
  </si>
  <si>
    <t>Another man does dips down to his elbows on the parallel bars.</t>
  </si>
  <si>
    <t>He then starts to do dips down to his armpits on the parallel bars called Russian Dips, while keeping his legs in the air.</t>
  </si>
  <si>
    <t>A man does dips with his body in front of the bar and legs swoops underneath the bar.</t>
  </si>
  <si>
    <t>He then does pushups on the parallel bars, by going down, pushing forward, then up.</t>
  </si>
  <si>
    <t>He begins to do pushups, with his knees tucked, with the parallel bars.</t>
  </si>
  <si>
    <t>A different man does leg dips, swings his legs up and around each parallel bar and pushes forward across the parallel bars.</t>
  </si>
  <si>
    <t>When he reaches the end, he tucks in his knees and lifts his body up and perpendicular to the bars.</t>
  </si>
  <si>
    <t>He then does knee and leg raises.</t>
  </si>
  <si>
    <t>A different man keeps his legs straight out and moves them across each bar.</t>
  </si>
  <si>
    <t>A different man brings his legs straight up into a V-shape on the bars.</t>
  </si>
  <si>
    <t>He then rests his elbows on the bars and swings his body perpendicular to the bars then parallel to the bars.</t>
  </si>
  <si>
    <t>He begins to do shoulder stands on the bars.</t>
  </si>
  <si>
    <t>He switches to doing a head stand and holds.</t>
  </si>
  <si>
    <t>A different man starts to swing his body from under the bars and presses himself up and over the bars.</t>
  </si>
  <si>
    <t>v_DzdNjXensv0</t>
  </si>
  <si>
    <t>A group of people are gathered outdoors at a market.</t>
  </si>
  <si>
    <t>People walk by looking at all the wares.</t>
  </si>
  <si>
    <t>A dog appears, as people continue to bustle.</t>
  </si>
  <si>
    <t>v_3j52keiQuiw</t>
  </si>
  <si>
    <t>A gymnast mounts a low beam in front of a crowd.</t>
  </si>
  <si>
    <t>She does bends, handsprings, and forward and back flips on the beam.</t>
  </si>
  <si>
    <t>She dismounts proudly, lifting her arms into the air.</t>
  </si>
  <si>
    <t>v_2OEa00knM9E</t>
  </si>
  <si>
    <t>A man is seen sitting on a horse with a rope in his hands.</t>
  </si>
  <si>
    <t>He then rides in on a horse and ropes up a calf with the rope.</t>
  </si>
  <si>
    <t>Several people are shown riding in and roping up cattle while others watch on the side.</t>
  </si>
  <si>
    <t>v_6h-WE-0eBlA</t>
  </si>
  <si>
    <t>A man is leaning over a pool table, hitting the ball with his cue.</t>
  </si>
  <si>
    <t>A woman in a pink bikini spins her cue as she waits her turn.</t>
  </si>
  <si>
    <t>Then she takes a shot at the ball, knocking them into the holes.</t>
  </si>
  <si>
    <t>v_1RJgvoFfbkI</t>
  </si>
  <si>
    <t>Two men are in the middle of the court fighting one another.</t>
  </si>
  <si>
    <t>They are practicing their moves while others stand by and watch.</t>
  </si>
  <si>
    <t>It's like a culture practiced by many who actually enjoy it and think it is a fun sport.</t>
  </si>
  <si>
    <t>They take it very seriously, some fight and some enjoy watching.</t>
  </si>
  <si>
    <t>v_O2Vd29Slt7g</t>
  </si>
  <si>
    <t>A young man on the roof of a tall building, with the backdrop of a city skyline, performs a series of dance moves, gymnastics moves, tumbling moves and high kicks.</t>
  </si>
  <si>
    <t>The man begins with his back to the camera and stands facing the city skyline from the roof top.</t>
  </si>
  <si>
    <t>The man then begins a series of high kicks, handless back flips, and breakdance moves.</t>
  </si>
  <si>
    <t>The dance moves end with more high kicks, head stands and semi martial art moves, as the camera circles the man, as the man finishes, and walks, with back to camera, to the edge of the roof again.</t>
  </si>
  <si>
    <t>v_rb-PUa4uGLQ</t>
  </si>
  <si>
    <t>A person wearing a costume is seen sitting in the middle of the street playing an accordion.</t>
  </si>
  <si>
    <t>The person continues playing while the camera zooms in and several cars and people move behind him.</t>
  </si>
  <si>
    <t>v_hRIXXCe0Hi0</t>
  </si>
  <si>
    <t>We see a man talking to a camera.</t>
  </si>
  <si>
    <t>We see shots of men and a crowd of people.</t>
  </si>
  <si>
    <t>The men play rock paper scissors.</t>
  </si>
  <si>
    <t>A lady in the crowd jumps up and down.</t>
  </si>
  <si>
    <t>We see the man high five each other.</t>
  </si>
  <si>
    <t>We see a lady in front a person in costume.</t>
  </si>
  <si>
    <t>The man in red raises his hands in triumph.</t>
  </si>
  <si>
    <t>Ladies bring a big check to the man in red.</t>
  </si>
  <si>
    <t>v_poERMbR_nY4</t>
  </si>
  <si>
    <t>People slides on inflatable sleds down the hill.</t>
  </si>
  <si>
    <t>People take turns to sled down the hills.</t>
  </si>
  <si>
    <t>Then people get together to sled on group.</t>
  </si>
  <si>
    <t>Also, people sled on on a line down the hill.</t>
  </si>
  <si>
    <t>v_q0P0EvJOfRQ</t>
  </si>
  <si>
    <t>A woman is seen dancing in the street placing an instrument while others watch on the side.</t>
  </si>
  <si>
    <t>The woman continues to play the instrument while moving her leg up and down and the people clap for her on the side.</t>
  </si>
  <si>
    <t>v_iNMxIXAcHYU</t>
  </si>
  <si>
    <t>First the man puts pink lipstick on his lips and he says he's a joker.</t>
  </si>
  <si>
    <t>Then he puts it on the side of his lips and the people laugh.</t>
  </si>
  <si>
    <t>Next he puts 2 thick lines of it under his eyes and he says something, he also attempts to put it on his chin, but the video ends.</t>
  </si>
  <si>
    <t>v_zacXKdNZHrI</t>
  </si>
  <si>
    <t>A text intro leads into a boy sitting on a stool holding an accordion.</t>
  </si>
  <si>
    <t>The boy then begins playing the instrument while looking away from the camera.</t>
  </si>
  <si>
    <t>The boy continues to play while looking around the room and pulling the accordion around.</t>
  </si>
  <si>
    <t>v_Zg7J_rLXbuk</t>
  </si>
  <si>
    <t>A girl lifts her arm and prepares to mount the balance beam in an arena.</t>
  </si>
  <si>
    <t>The girl get on and performs a routine on the balance beam.</t>
  </si>
  <si>
    <t>The girl is laying on the beam and does a flip to the standing position.</t>
  </si>
  <si>
    <t>The girl flips across the beam.</t>
  </si>
  <si>
    <t>The girl runs flips and dismounts the beam.</t>
  </si>
  <si>
    <t>The crowd cheers and claps for the girl as she lifts her hands.</t>
  </si>
  <si>
    <t>v_4taBobzpYNU</t>
  </si>
  <si>
    <t>A woman is seen speaking to the camera holding a sharpening tool in her hands.</t>
  </si>
  <si>
    <t>She then demonstrates how to properly cut the knife and placing the object down while speaking.</t>
  </si>
  <si>
    <t>v_e0-lO2jb8vo</t>
  </si>
  <si>
    <t>A baton twirler is standing on the gym floor.</t>
  </si>
  <si>
    <t>She begins her routine.</t>
  </si>
  <si>
    <t>She tosses the baton in the air.</t>
  </si>
  <si>
    <t>She does flips and twists.</t>
  </si>
  <si>
    <t>She continues to twirl the baton and dance.</t>
  </si>
  <si>
    <t>She drops her baton and goes after it.</t>
  </si>
  <si>
    <t>She is twirling, dancing and flipping again.</t>
  </si>
  <si>
    <t>She drops the baton again.</t>
  </si>
  <si>
    <t>She now has two batons and is twirling and dancing and throwing them in the air.</t>
  </si>
  <si>
    <t>She dropped it a third time.</t>
  </si>
  <si>
    <t>She picked it up and added a third baton and finished her routine.</t>
  </si>
  <si>
    <t>v_z9MMLl1isUk</t>
  </si>
  <si>
    <t>old man is holding a green pole hitting a piñata in the middle of a room.</t>
  </si>
  <si>
    <t>little kids are dancin and jumpin behind the man.</t>
  </si>
  <si>
    <t>man givs the pole to a kid and other kids stands behind him.</t>
  </si>
  <si>
    <t>v_ynpvos7UFZo</t>
  </si>
  <si>
    <t>There are some people knitting with yarn and knitting needles at a cultural center.</t>
  </si>
  <si>
    <t>A rack of knitted hats and sweaters is stacked up against the wall.</t>
  </si>
  <si>
    <t>A finished gray sweater with black embroidery is shown.</t>
  </si>
  <si>
    <t>A women representing The Daily news channel is talking about the sweater and then she wears it.</t>
  </si>
  <si>
    <t>There are people sitting and knitting with yarn and needles.</t>
  </si>
  <si>
    <t>There's a man named John George talking about his knitting experience in the class.</t>
  </si>
  <si>
    <t>He along with his other fellow knitters demonstrates how they knit.</t>
  </si>
  <si>
    <t>Another person named Charles Henry is talking about his knitting experience at the cultural center.</t>
  </si>
  <si>
    <t>Several people are seen at the cultural center sitting together and knitting as one of the organizers talks.</t>
  </si>
  <si>
    <t>The news reporter wears the gray sweater and looks very happy in it.</t>
  </si>
  <si>
    <t>v_J4WbF-bJ1T8</t>
  </si>
  <si>
    <t>Two people are fencing in a polka dot walled room, while dressed in fencing gear and fencing masks including a fencing weapon.</t>
  </si>
  <si>
    <t>An animated graphic populates displaying the physique of the two fencers in a grid pattern with the two animated figures exhibiting some fence/weapon movement.</t>
  </si>
  <si>
    <t>A cut away appears of several people interviewing and talking to the camera in front of an extreme fencing sign along with still images of people preparing to fence.</t>
  </si>
  <si>
    <t>The two people dressed in fencing outfits begin to fence in a demonstration.</t>
  </si>
  <si>
    <t>v_sx4zAnVDV9Y</t>
  </si>
  <si>
    <t>A CBS NEWS anchor reports on a story.</t>
  </si>
  <si>
    <t>A marching band appears on a large field performing.</t>
  </si>
  <si>
    <t>A student of the marching band gives an interview along with the marching band instructor.</t>
  </si>
  <si>
    <t>The marching band practices their performance.</t>
  </si>
  <si>
    <t>v_XnrQRuchl7E</t>
  </si>
  <si>
    <t>This young woman is in the studio playing the piano.</t>
  </si>
  <si>
    <t>No one else is in there with her and she looks very serious about what she's doing.</t>
  </si>
  <si>
    <t>She is wearing a pink t-shirt and flower colored leggings, then at some point she stops.</t>
  </si>
  <si>
    <t>v_i0jy3fjw8xQ</t>
  </si>
  <si>
    <t>A group of people are standing on an outdoor bridge.</t>
  </si>
  <si>
    <t>They are putting equipment around each other's bodies to protect them.</t>
  </si>
  <si>
    <t>The person jumps off the side of the bridge on a bungee cord, swinging over the water below.</t>
  </si>
  <si>
    <t>v_VIQG4W0vYxw</t>
  </si>
  <si>
    <t>a lot of people are gathered in a square.</t>
  </si>
  <si>
    <t>people start to run in the street and by the bay.</t>
  </si>
  <si>
    <t>v_Scv939uhNCc</t>
  </si>
  <si>
    <t>A group of young men are sitting at a table with Rubik cubes in front of them.</t>
  </si>
  <si>
    <t>The two boys to the right have already started and the two boys on the left are at a delay.</t>
  </si>
  <si>
    <t>In eight seconds,the boy solves his cube and the boys behind them jump up and begins to congratulate him as the others continue to solve their.</t>
  </si>
  <si>
    <t>v_smfBAiFujmE</t>
  </si>
  <si>
    <t>A person is seen sitting in the water with a pair of skis attached to his feet.</t>
  </si>
  <si>
    <t>The man then gets up on the skis and rides along the water behind a boat.</t>
  </si>
  <si>
    <t>v_5eM2Hcvj6R8</t>
  </si>
  <si>
    <t>A view of a wide berth of trees in a forest is shown.</t>
  </si>
  <si>
    <t>A woman walks out holding a hula hoop.</t>
  </si>
  <si>
    <t>She begins using the hoop seductively while dancing.</t>
  </si>
  <si>
    <t>She spins, flips, and does cartwheels while using the hoop.</t>
  </si>
  <si>
    <t>She finishes her performance with a frozen, upward staring pose.</t>
  </si>
  <si>
    <t>v_pRGlbeqRfM0</t>
  </si>
  <si>
    <t>man weaing a green shirt is standing next to a little girl.</t>
  </si>
  <si>
    <t>girl wearing glasses is talking to the camera.</t>
  </si>
  <si>
    <t>the man and the girl are drinking from a white cup.</t>
  </si>
  <si>
    <t>the girl holds the drink in her mouth and spit it on the grass and the man do the same.</t>
  </si>
  <si>
    <t>v_tSk1GWyofaU</t>
  </si>
  <si>
    <t>A girl walks to the end of a diving board and lifts her hands.</t>
  </si>
  <si>
    <t>The girl jumps on the diving board to prepare herself.</t>
  </si>
  <si>
    <t>The girl then does a backwards flipping dive into the pool.</t>
  </si>
  <si>
    <t>v_j6Kf_y7k-yU</t>
  </si>
  <si>
    <t>People watch competitors get ready near a red stage.</t>
  </si>
  <si>
    <t>The competitors put their robots down in the circle as the judge instructs them.</t>
  </si>
  <si>
    <t>The judge signals the beginning of the competition.</t>
  </si>
  <si>
    <t>The robots begin to move, and one of the robots is pushed out of the circle.</t>
  </si>
  <si>
    <t>The competitors walk back up to the stage and replace their robots.</t>
  </si>
  <si>
    <t>The judge signals for the competition to begin again and everyone applauds when one of them wins.</t>
  </si>
  <si>
    <t>v_X2GUUIGudxs</t>
  </si>
  <si>
    <t>A man stands in a room wearing blue.</t>
  </si>
  <si>
    <t>He is applying a picture to the wall.</t>
  </si>
  <si>
    <t>He uses a tool to smooth it out.</t>
  </si>
  <si>
    <t>He cuts the paper at the bottom.</t>
  </si>
  <si>
    <t>v_ThWgMXhkS2E</t>
  </si>
  <si>
    <t>A man standing outside of a building window cleaning with a large squeegee.</t>
  </si>
  <si>
    <t>He goes over the door window and then uses another gadget after to wipe down the soap.</t>
  </si>
  <si>
    <t>He starts all the way at the top making sure to get in the corners of the window.</t>
  </si>
  <si>
    <t>The window looks very clean and nice once he is down doing all of that.</t>
  </si>
  <si>
    <t>v_IhuwmiSPx0w</t>
  </si>
  <si>
    <t>A group of cheerleaders perform on stage while people watch.</t>
  </si>
  <si>
    <t>Then, the cheerleaders make a tower and then jump, then they do cartwheels.</t>
  </si>
  <si>
    <t>Two cheerleaders get up in a tower and then flips and fall on the arms of people.</t>
  </si>
  <si>
    <t>The girls do again a tower and then spin and jump.</t>
  </si>
  <si>
    <t>The cheerleaders raise the girls up and then flip down, then they continue performing.</t>
  </si>
  <si>
    <t>v__dFzOHyZSNk</t>
  </si>
  <si>
    <t>Two men are long boarding down a hill.</t>
  </si>
  <si>
    <t>He stops and puts his foot down on the ground.</t>
  </si>
  <si>
    <t>He is standing on his board upside down.</t>
  </si>
  <si>
    <t>A man in a green shirt is sitting on the ground with his long board in front of him.</t>
  </si>
  <si>
    <t>v_uqd8A4iJ6Bo</t>
  </si>
  <si>
    <t>The person is shown mixing the ingredients.</t>
  </si>
  <si>
    <t>The person rolls the dough and cuts it into little pieces and flattens the tiny balls out using their hands.</t>
  </si>
  <si>
    <t>The person uses a fork to put lines in the dough.</t>
  </si>
  <si>
    <t>Then the person puts the cookies on a baking sheet in a pan and bakes them for 15 minutes.</t>
  </si>
  <si>
    <t>Then takes the cookies out when they're done.</t>
  </si>
  <si>
    <t>v_rLlm6h0Nfvo</t>
  </si>
  <si>
    <t>A person flips and throw to the air a hula ring, then the woman pass the hula ring through her body.</t>
  </si>
  <si>
    <t>After, the woman pass the hula ring around her waist fast.</t>
  </si>
  <si>
    <t>Then, the woman does an exercise with her feet and body.</t>
  </si>
  <si>
    <t>v_drMXYzlmJQU</t>
  </si>
  <si>
    <t>grandma is talking with a little blond child sitting in a coach while is knitting in a red thread in a liing room.</t>
  </si>
  <si>
    <t>child holds the thread and run in the room pulling it and the woman is talking to him, the child grabs the thread from the floor and run in the living room.</t>
  </si>
  <si>
    <t>v_MwkRK7A46P4</t>
  </si>
  <si>
    <t>Several news logos are shown and then a male reporter shows up talking behind his desk.</t>
  </si>
  <si>
    <t>The camera then flips to a woman and she begins doing interviews with men who were playing a game of soccer.</t>
  </si>
  <si>
    <t>Many quarters are being played and after the goals are made,the players start to jump on each other's back and jump for joy and show their happiness.</t>
  </si>
  <si>
    <t>v_VzR7cskYnng</t>
  </si>
  <si>
    <t>Two men perform kick box in a room while a man supervise the moves.</t>
  </si>
  <si>
    <t>A person leans on the wall behind the men.</t>
  </si>
  <si>
    <t>A little child pass on front the men.</t>
  </si>
  <si>
    <t>A woman walks and stand on front the men.</t>
  </si>
  <si>
    <t>v_1hTqfvjis9E</t>
  </si>
  <si>
    <t>A large man is standing on a circular dome in a field.</t>
  </si>
  <si>
    <t>He holds a steel ball on a rope as he talks.</t>
  </si>
  <si>
    <t>He then shows how to stand before swinging the ball around his head in circles.</t>
  </si>
  <si>
    <t>He lets go, and the ball flies far across the field as he walks away.</t>
  </si>
  <si>
    <t>v_Nn4sVR3__DQ</t>
  </si>
  <si>
    <t>A mom is sitting at the top of a slide with her little baby.</t>
  </si>
  <si>
    <t>She is contemplating going down for a while.</t>
  </si>
  <si>
    <t>She finally slides down it with baby.</t>
  </si>
  <si>
    <t>When they reach the bottom she lets him go and he starts to walk around.</t>
  </si>
  <si>
    <t>v_YXl4cEB7E3Y</t>
  </si>
  <si>
    <t>A boy is standing in the middle of a parking lot.</t>
  </si>
  <si>
    <t>He is wearing a hat with a feather in it and sunglasses.</t>
  </si>
  <si>
    <t>He is playing a bagpipe.</t>
  </si>
  <si>
    <t>v_E3KLk-55yC0</t>
  </si>
  <si>
    <t>A man is seen kicking a soccer ball on his feet and gradually passing it to a wall.</t>
  </si>
  <si>
    <t>The man continues kicking the ball off of his foot and against the wall while the camera captures him.</t>
  </si>
  <si>
    <t>v_g0jF_Gh8c8g</t>
  </si>
  <si>
    <t>men are standing on ice fishing in a large ice region.</t>
  </si>
  <si>
    <t>man grabbed a fish from the ice and lay on the floor.</t>
  </si>
  <si>
    <t>v_n0Th8ZqMeGk</t>
  </si>
  <si>
    <t>A man is on a snowboard on a snowy hill.</t>
  </si>
  <si>
    <t>He glides over the thickly packed snow.</t>
  </si>
  <si>
    <t>He goes through a marker, and jumps over obstacles.</t>
  </si>
  <si>
    <t>v_Wg0xG-eRTho</t>
  </si>
  <si>
    <t>A standing pair of legs appear and the words "Summer Leg Routine" are displayed on the screen.</t>
  </si>
  <si>
    <t>The legs are now bent with the knee up from the ground and the girl rubs the mango scrub all over her legs, then wipes the excess off with a towel.</t>
  </si>
  <si>
    <t>On the upper right hand of the screen a small video plays and shows a VEET product while the girl takes two VEET wax strips and puts them on her leg, then removes them in the order they were put on.</t>
  </si>
  <si>
    <t>The girl then takes another VEET product which turns out to be wiping strips and wipes her legs down, then takes a towel to her legs.</t>
  </si>
  <si>
    <t>After she's done wiping her legs she takes Nivea lotion and rubs them all over her legs, stands up and then shows her legs to the camera at various angles.</t>
  </si>
  <si>
    <t>v_pJEOK1DbTfU</t>
  </si>
  <si>
    <t>A gymnast is doing flips and handsprings on a high bar.</t>
  </si>
  <si>
    <t>She goes forward and backward several times.</t>
  </si>
  <si>
    <t>The screen stops as she goes to the top of the beam.</t>
  </si>
  <si>
    <t>v_ipYVfTYZze8</t>
  </si>
  <si>
    <t>A camera pans around a large snowy hill as well as people sitting on a ski lift and riding around a mountain.</t>
  </si>
  <si>
    <t>The people do flips and tricks as well as follow one another down a hill and catch each other skiing from several angles.</t>
  </si>
  <si>
    <t>v_BMa9v2uZBp8</t>
  </si>
  <si>
    <t>A man in a coat is pulling a board up a hill of snow.</t>
  </si>
  <si>
    <t>He starts snowboarding down the hill.</t>
  </si>
  <si>
    <t>The man lifts the goggles off of his face and smiles.</t>
  </si>
  <si>
    <t>People are snowboarding down a hill together.</t>
  </si>
  <si>
    <t>v_Ar3eaYtLlKI</t>
  </si>
  <si>
    <t>A man puts dog treats into another man's hand.</t>
  </si>
  <si>
    <t>The man is walking a dog down the sidewalk.</t>
  </si>
  <si>
    <t>Someone else is walking behind them.</t>
  </si>
  <si>
    <t>v_INmaUkmVK24</t>
  </si>
  <si>
    <t>A man is seen kneeling down with a razor and looking up towards the camera.</t>
  </si>
  <si>
    <t>The man shaves off part of his leg and holds up an object while walking away.</t>
  </si>
  <si>
    <t>v_E0DbrJVJUho</t>
  </si>
  <si>
    <t>A black screen with a white banner at the bottom has various information that include a website, state, phone number and logo.</t>
  </si>
  <si>
    <t>A white screen follows and it includes a logo, name of the products and indicates that this is an "INSTRUCTIONAL VIDEO".</t>
  </si>
  <si>
    <t>Another white screen appears and a content list appears and there 1-5.</t>
  </si>
  <si>
    <t>On the next white screen a cardboard box is shown and then it begins to show the many different contents that come in the box, along with the names of them next to it.</t>
  </si>
  <si>
    <t>A woman is now standing in a hallway as she puts together her cleaning tool by screwing the top portion onto her pole and applying a cloth to the end, then she straps her spray bottle onto her hip.</t>
  </si>
  <si>
    <t>The woman then begins to spray the cloth on the cleaning tool and starts cleaning various different areas in the office including windows, elevator doors, TVs and changing out the clothes in between to suit the surface she is working on.</t>
  </si>
  <si>
    <t>The woman is now seen at a double glass door as she's now holding a cloth in her hand to clean the doors and other surfaces.</t>
  </si>
  <si>
    <t>The woman is then shown putting the different clothes into the washer and then hanging her cleaning tool up on the wall.</t>
  </si>
  <si>
    <t>A black screen appears and it includes the same white banner as it did in the very beginning.</t>
  </si>
  <si>
    <t>v_bTC_MdhURLg</t>
  </si>
  <si>
    <t>A man is rubbing his hands in a frantic manner as he stands next to a female.</t>
  </si>
  <si>
    <t>The camera shifts and you can see he is in a casino playing a game of Black Jack.</t>
  </si>
  <si>
    <t>Once the dealer has flipped over all of the cards,the two are shown again talking and smiling.</t>
  </si>
  <si>
    <t>v_HoQQlRzybmA</t>
  </si>
  <si>
    <t>A large choppy waterfall is shown.</t>
  </si>
  <si>
    <t>A man is laying on a slack line over the water.</t>
  </si>
  <si>
    <t>A person is playing the guitar sitting on a rock.</t>
  </si>
  <si>
    <t>v_m4ef0fCA2WU</t>
  </si>
  <si>
    <t>Children of different ages are playing on a playground.</t>
  </si>
  <si>
    <t>A couple of women are in the playground area talking.</t>
  </si>
  <si>
    <t>A young woman holding a baby walks to a swing and puts the baby in the swing.</t>
  </si>
  <si>
    <t>She then walks in front of the baby and sits in the adult seat attached to the baby swing.</t>
  </si>
  <si>
    <t>Another woman walks past with a few kids.</t>
  </si>
  <si>
    <t>The woman on the swing swings the baby while talking to him and making faces at him.</t>
  </si>
  <si>
    <t>v_C_bwHYiX-Vw</t>
  </si>
  <si>
    <t>A man shows how to change a tube in a tire.</t>
  </si>
  <si>
    <t>He takes the old tube out, puts the new one in, then pumps it up.</t>
  </si>
  <si>
    <t>v_mrT7FqQ0lCs</t>
  </si>
  <si>
    <t>Several shots of text are shown followed by a person walking into frame.</t>
  </si>
  <si>
    <t>The person then walks in and out of frame performing various dance moves on the ground.</t>
  </si>
  <si>
    <t>The person continues moving around on the ground and demonstrating how to perform moves.</t>
  </si>
  <si>
    <t>v_Vbkq1ldn3A8</t>
  </si>
  <si>
    <t>People are seen sitting at a table while a man stands beside them and taking a puff from a hookah.</t>
  </si>
  <si>
    <t>He hands the hose to a girl sitting who takes a few rips and the man is shown speaking to the camera.</t>
  </si>
  <si>
    <t>the girls hands the hose to other one sitting while she takes a few hits and passes it back to the other person.</t>
  </si>
  <si>
    <t>v_UAAk2SxqSvs</t>
  </si>
  <si>
    <t>Two boys skateboard through the streets at different times wearing helmets.</t>
  </si>
  <si>
    <t>A skateboarder in a blue t-shirt and black helmet skateboards through streets bordering countrysides and residential neighborhoods.</t>
  </si>
  <si>
    <t>A skateboarder wearing all black falls off of the skateboard onto the paved street, gets up and walks off.</t>
  </si>
  <si>
    <t>v_XbvlEwmvLko</t>
  </si>
  <si>
    <t>A man is seen with a rope in his mouth and rides in on a horse immediately roping a calf.</t>
  </si>
  <si>
    <t>He throws the calf down and ties him up, followed by several other men performing the same trick at different speeds.</t>
  </si>
  <si>
    <t>v_kzBTJEMgoj0</t>
  </si>
  <si>
    <t>A woman cleans a cafeteria floor with a mop while occasionally talking to the camera.</t>
  </si>
  <si>
    <t>The woman walks to and cleans a different part of the cafeteria floor.</t>
  </si>
  <si>
    <t>The woman plunges the mop head into a bucket.</t>
  </si>
  <si>
    <t>A number of people walk by in the background.</t>
  </si>
  <si>
    <t>v_vrWcBuRPDBw</t>
  </si>
  <si>
    <t>A man is standing next a brown horse.</t>
  </si>
  <si>
    <t>The horses are getting a drink of water.</t>
  </si>
  <si>
    <t>They continue walking along the trail on the horses.</t>
  </si>
  <si>
    <t>A picture of a brown house is shown.</t>
  </si>
  <si>
    <t>v__ENXbB6aaa4</t>
  </si>
  <si>
    <t>An intro begins for DX sports and shows two men skating down a road.</t>
  </si>
  <si>
    <t>The continue riding down the road while the camera follows them close behind down the winding road.</t>
  </si>
  <si>
    <t>The men eventually get to a car and their ride down the long road.</t>
  </si>
  <si>
    <t>v_3mymOHc5-Gs</t>
  </si>
  <si>
    <t>A man shows a boot and shining tools.</t>
  </si>
  <si>
    <t>Then, the man cleans the shoe with a cloth.</t>
  </si>
  <si>
    <t>After, the man points the tip of the shoe and applies black paint and shows insoles .</t>
  </si>
  <si>
    <t>Then, the man polish the shoes using a cream, after spray the shoes.</t>
  </si>
  <si>
    <t>v_fGA7nlbGmHU</t>
  </si>
  <si>
    <t>A kid is sitting behind a drum set.</t>
  </si>
  <si>
    <t>He starts playing the drums in front of him.</t>
  </si>
  <si>
    <t>He stands up and waves at the crowd.</t>
  </si>
  <si>
    <t>v_jfIcmcE320Q</t>
  </si>
  <si>
    <t>man is playing with a ball making balance with a lacrosse pole.</t>
  </si>
  <si>
    <t>little kid grab the ball from the floor with the pole.</t>
  </si>
  <si>
    <t>kid is playing with a ball in a green grassy field.</t>
  </si>
  <si>
    <t>v__Mz7KEe_mz0</t>
  </si>
  <si>
    <t>A forested area is seen and young men walk up the street.</t>
  </si>
  <si>
    <t>Groups of skateboarders race each other down a forested road and are pulled by trolley cars back to the top.</t>
  </si>
  <si>
    <t>Skateboarders ride down a forested street one after the other doing skids and hard turns as friends watch along the side.</t>
  </si>
  <si>
    <t>v_GQ1eaxmDlzQ</t>
  </si>
  <si>
    <t>A large group of people are seen sitting around a stage and leads into a man and woman hosting.</t>
  </si>
  <si>
    <t>The hosts lead into a large group of people on the stage performing a dance routine with one another.</t>
  </si>
  <si>
    <t>The people continue dancing around one another and end with the judges clapping and the host leading them off.</t>
  </si>
  <si>
    <t>v_zWA4Fb4fVmE</t>
  </si>
  <si>
    <t>little kid is playing saxophone in front of a wall.</t>
  </si>
  <si>
    <t>people are passing in front of the kid.</t>
  </si>
  <si>
    <t>old man kneels and put some coins in he hat of the kid.</t>
  </si>
  <si>
    <t>v_U9Ofeof4rlA</t>
  </si>
  <si>
    <t>An athletic man is seen standing in a circle with his arms out to the side.</t>
  </si>
  <si>
    <t>The man then begins swinging around an object around and around.</t>
  </si>
  <si>
    <t>The man continues to spin and ends by throwing it off into the distance.</t>
  </si>
  <si>
    <t>v_IJV7CwRhFvw</t>
  </si>
  <si>
    <t>There are three people playing racquetball on the enclosed court and the view is from the person wearing the camera.</t>
  </si>
  <si>
    <t>The camera person picks the ball up with racquet balances it on the racquet, rolls it off and then hits to the wall.</t>
  </si>
  <si>
    <t>The view changes to the door and there are two men standing at the door waiting to hit the ball.</t>
  </si>
  <si>
    <t>v_TVbPV7X49tw</t>
  </si>
  <si>
    <t>We see flashing images of motorcycle riding.</t>
  </si>
  <si>
    <t>We see a man talk standing high above a city.</t>
  </si>
  <si>
    <t>We then see motorcycle stunts.</t>
  </si>
  <si>
    <t>A bike jumps a group of people in a plaza.</t>
  </si>
  <si>
    <t>We see four bikes jump a ramp one after another.</t>
  </si>
  <si>
    <t>We see a man in red talking.</t>
  </si>
  <si>
    <t>A man jumps off his bike.</t>
  </si>
  <si>
    <t>A man kisses a woman on his bike.</t>
  </si>
  <si>
    <t>We see boy is talking.</t>
  </si>
  <si>
    <t>A bike is kicking up smoke.</t>
  </si>
  <si>
    <t>A man puts his arm in the air.</t>
  </si>
  <si>
    <t>We see a bike smash a bottle stop.</t>
  </si>
  <si>
    <t>v_1VAugQRO05g</t>
  </si>
  <si>
    <t>A black and white video is shown of a young marching band walking down the street in a parade.</t>
  </si>
  <si>
    <t>Several people in the band walk by then a close up of a boy playing the trumpet is shown and he is highlighted.</t>
  </si>
  <si>
    <t>The video continues and the majorette girls begin dancing.</t>
  </si>
  <si>
    <t>Now they are at a stand still and playing without marching as the little kids begin to watch them.</t>
  </si>
  <si>
    <t>v_x0tjkH_zfXA</t>
  </si>
  <si>
    <t>Two boys are raking leaves in a yard using large green and red rakes.</t>
  </si>
  <si>
    <t>A dog continuously runs through the leaves, messing them up.</t>
  </si>
  <si>
    <t>The boys laugh and keep trying to rake the leaves.</t>
  </si>
  <si>
    <t>v_KlxUgvLHP7M</t>
  </si>
  <si>
    <t>A large stage is seen that transitions to various angles of people performing jump roping tricks on a stage in slow motion.</t>
  </si>
  <si>
    <t>More shots are shown of various people performing incredible jump roping skills and ends with one group holding their arms up.</t>
  </si>
  <si>
    <t>v_AA1wvSZ4Mno</t>
  </si>
  <si>
    <t>A camera pans all around a yard and shows two dogs on leashes.</t>
  </si>
  <si>
    <t>The dogs move with the person as cars move in and out of frame.</t>
  </si>
  <si>
    <t>The camera pans around the sky in the end.</t>
  </si>
  <si>
    <t>v_P-6ITEpg0mw</t>
  </si>
  <si>
    <t>1 The opening of the video.</t>
  </si>
  <si>
    <t>2 a girl does a lot of flips on the bars.</t>
  </si>
  <si>
    <t>v_WMx0-3GZGUI</t>
  </si>
  <si>
    <t>A little girl is in a kitchen talking.</t>
  </si>
  <si>
    <t>The girl mixes several things from small bowls in a bigger bowl.</t>
  </si>
  <si>
    <t>An adult helps the girl spray her baking pans.</t>
  </si>
  <si>
    <t>The girl puts her mixture into the pans and puts them in an easy bake oven.</t>
  </si>
  <si>
    <t>The girl then removes what she made from the oven.</t>
  </si>
  <si>
    <t>A younger boy watches while eating a cupcake.</t>
  </si>
  <si>
    <t>The young girls cuts the desert she made and eats it.</t>
  </si>
  <si>
    <t>v_cfKMu6aeMwU</t>
  </si>
  <si>
    <t>A man is seen speaking to the camera while a woman works out on a machine in front of him and adjusts the settings.</t>
  </si>
  <si>
    <t>The man continues moving on the machine showing off it's different settings while the man continues to speak to the camera.</t>
  </si>
  <si>
    <t>v_x1Mb7cN8WgU</t>
  </si>
  <si>
    <t>A person is hammering nails into a roof.</t>
  </si>
  <si>
    <t>She slide tiles onto the roof and nail them into place.</t>
  </si>
  <si>
    <t>v_LTmYxVYBa90</t>
  </si>
  <si>
    <t>A group of people are sitting on camels in the sand beside a hill.</t>
  </si>
  <si>
    <t>A man reaches for the chain on the camels mouth as the camel sits.</t>
  </si>
  <si>
    <t>The man in light blue assists the man in dark blue to untie.</t>
  </si>
  <si>
    <t>The second camel holding the next couple starts to sit on the ground.</t>
  </si>
  <si>
    <t>v_vB2qMaP_JaI</t>
  </si>
  <si>
    <t>A woman braids her hair slowly.</t>
  </si>
  <si>
    <t>She then ties the braids together and ties the end together.</t>
  </si>
  <si>
    <t>v_K68iNoSnZMg</t>
  </si>
  <si>
    <t>A woman and a boy peel potatoes on front a trash can.</t>
  </si>
  <si>
    <t>Then, the boy puts the potato and the peeler over the counter, but again he takes it.</t>
  </si>
  <si>
    <t>The woman finishes to cut the potato.</t>
  </si>
  <si>
    <t>v_sJFgo9H6zNo</t>
  </si>
  <si>
    <t>A little boy playing on a jungle gym.</t>
  </si>
  <si>
    <t>He is climbing up a set of stairs.</t>
  </si>
  <si>
    <t>Now is sliding fast down a slide.</t>
  </si>
  <si>
    <t>Another boy is shown playing in the grass.</t>
  </si>
  <si>
    <t>Now the first boy is being picked up by a woman.</t>
  </si>
  <si>
    <t>Now he is going to go down the slide once again.</t>
  </si>
  <si>
    <t>The boy likes playing with a large wheel on the playground.</t>
  </si>
  <si>
    <t>Once again he goes down the slide, but with dad right behind him.</t>
  </si>
  <si>
    <t>He goes down the slide a 4th time but with another little boy.</t>
  </si>
  <si>
    <t>He goes down the slide several more times.</t>
  </si>
  <si>
    <t>v_ciIaZrpHqgs</t>
  </si>
  <si>
    <t>A group of teams are shown doing various sports events involving snow.</t>
  </si>
  <si>
    <t>The camera then shows handicap individuals playing a game where they are sitting in a wheelchair pushing puck like objects with handles.</t>
  </si>
  <si>
    <t>A man is then shown and begins talking describing the game that is taking place.</t>
  </si>
  <si>
    <t>v_HwYZEZYgeBI</t>
  </si>
  <si>
    <t>An intro leads into several tools laid out on a table and a women walking in an removing a plant.</t>
  </si>
  <si>
    <t>The woman then pulls out a rag and wipes off the table.</t>
  </si>
  <si>
    <t>She tend holds the rag again, sprays down the table, and wipes down the table in a proper motion.</t>
  </si>
  <si>
    <t>She is then shown again dusting over various areas and places the plant back on the table and pushing the chairs in.</t>
  </si>
  <si>
    <t>v_ekn9AFX2XX8</t>
  </si>
  <si>
    <t>A woman sits by the beach applying sunscreen to the top of her back.</t>
  </si>
  <si>
    <t>An air balloon flies through the air.</t>
  </si>
  <si>
    <t>A dj is seen spinning a disc.</t>
  </si>
  <si>
    <t>A woman walks her suitcase.</t>
  </si>
  <si>
    <t>Some graphic cars crash into each other.</t>
  </si>
  <si>
    <t>High orange flames are seen.</t>
  </si>
  <si>
    <t>v_U7OZcgwLRcc</t>
  </si>
  <si>
    <t>Three different women are shown in succession.</t>
  </si>
  <si>
    <t>Each woman is seated, playing drums and cymbals.</t>
  </si>
  <si>
    <t>They are billed as the top three female drummers in the world as they play continuously.</t>
  </si>
  <si>
    <t>v_C3BBG_9Vo48</t>
  </si>
  <si>
    <t>This video shows how to make a microwaved cake using Ganache frosting.</t>
  </si>
  <si>
    <t>First the woman adds 1 cup of sugar to 1/4 cup of vegetable oil and she puts it in a mixing bowl.</t>
  </si>
  <si>
    <t>then she mixes the sugar until it dissolves and he adds 1 whole cup of milk along with two teaspoons of lemon juice.</t>
  </si>
  <si>
    <t>Next she adds 1 teaspoon of vanilla extract and she mixes everything up, then she adds 1 1/4 cups of all purpose flour along with 1/4 cup of unsweetened cocoa powder and salt.</t>
  </si>
  <si>
    <t>Then she adds baking powder and baking soda and she whisks it until smooth.</t>
  </si>
  <si>
    <t>Finally, she pours the mix into a microwavable safe dish and it's done.</t>
  </si>
  <si>
    <t>She then let's the cake stand for 15 minutes.</t>
  </si>
  <si>
    <t>v_xZEl3yh0Cos</t>
  </si>
  <si>
    <t>A man wearing sunglasses is talking to the camera.</t>
  </si>
  <si>
    <t>He displays how to cut the strings on the front of a bike, and remove part of the tire.</t>
  </si>
  <si>
    <t>He replaces the part, explaining how the process is done as he goes.</t>
  </si>
  <si>
    <t>He then speaks to the camera further.</t>
  </si>
  <si>
    <t>v_WzAGE-xKDpw</t>
  </si>
  <si>
    <t>A man sitting on an exercise equipment.</t>
  </si>
  <si>
    <t>He put his feet on a holder, and put the strap on.</t>
  </si>
  <si>
    <t>He pull the bar, at the same time pushed his legs.</t>
  </si>
  <si>
    <t>He repeat the process several times.</t>
  </si>
  <si>
    <t>v_6KXVjADefBY</t>
  </si>
  <si>
    <t>A person vacuum dirt from a couch with a hand vacuum with a brush nozzle.</t>
  </si>
  <si>
    <t>Then, the person vacuum the crevasses of the couch using a crevasse noodle Then, the person uses a handle held vacuum to clean the top of the couch and the floor.</t>
  </si>
  <si>
    <t>After, the woman shows the battery of the vacuum and then she keeps it.</t>
  </si>
  <si>
    <t>v_ILeNuidJc00</t>
  </si>
  <si>
    <t>There's an outdoor swimming pool with a very high diving board.</t>
  </si>
  <si>
    <t>There's a woman in a green swim suit who dives down into the pool.</t>
  </si>
  <si>
    <t>She is doing various diving moves such as backward, forward and pike.</t>
  </si>
  <si>
    <t>She also does the hand stand before diving swiftly into the pool.</t>
  </si>
  <si>
    <t>She repeats her steps and dives several times into the pool.</t>
  </si>
  <si>
    <t>v_wVCDyGGog4I</t>
  </si>
  <si>
    <t>A small group of people are seen standing ready in a park with their arms and legs by their sides.</t>
  </si>
  <si>
    <t>The group then begins moving around with fans in their hands moving their arms and legs.</t>
  </si>
  <si>
    <t>The group continues moving around together and ends with them standing together and looking off into the distance.</t>
  </si>
  <si>
    <t>v_eT9oCTQUMhA</t>
  </si>
  <si>
    <t>A diver stretches out on a high dive platform bending at the waist.</t>
  </si>
  <si>
    <t>The diver towels off then tosses down her towel and approaches the end of the diving board for a first attempt.</t>
  </si>
  <si>
    <t>The diver makes multiple dives doing flips in the air before landing in the water.</t>
  </si>
  <si>
    <t>v_T4g31MwZ2ds</t>
  </si>
  <si>
    <t>Broken glass sits on the ground.</t>
  </si>
  <si>
    <t>A young man stretches in front of it.</t>
  </si>
  <si>
    <t>He then does break dancing moves.</t>
  </si>
  <si>
    <t>He puts his legs behind his head.</t>
  </si>
  <si>
    <t>v_zMrUSfQ_mzo</t>
  </si>
  <si>
    <t>A boy is seated at a table in a crowded room.</t>
  </si>
  <si>
    <t>He has a rubik's cube, and tries to solve the puzzle.</t>
  </si>
  <si>
    <t>He times himself as he finishes the cube, tossing it down on the table.</t>
  </si>
  <si>
    <t>v_KA6YYIl2z4E</t>
  </si>
  <si>
    <t>The video begins with various words and instructions on how to insert &amp; remove Halloween contact lenses.</t>
  </si>
  <si>
    <t>A contact lens container is then filled with contact solution and the contacts into both sides of the container.</t>
  </si>
  <si>
    <t>The woman then puts her thumb and finger into the left side and pulls out a white contact lens and inserts it into her right eye and blinks a few times as the words "featuring White Out contact lens" on the bottom of the screen.</t>
  </si>
  <si>
    <t>The woman reaches into the right side of the contact lens container and pulls out the other contact lens and inserts it into her left eye and then blinks multiple times.</t>
  </si>
  <si>
    <t>The woman then reaches back into her left eye first, then into her right to remove the contact lenses and a shot of them sitting in the contact lens container appears.</t>
  </si>
  <si>
    <t>Video ends with a screen telling you to subscribe to their YouTube channel for more helpful videos.</t>
  </si>
  <si>
    <t>v__8-4M5XVuwI</t>
  </si>
  <si>
    <t>A woman and man are raking leaves outside their home.</t>
  </si>
  <si>
    <t>They move the leaves into a firepit, burning them.</t>
  </si>
  <si>
    <t>v_jRnJRqvmZvk</t>
  </si>
  <si>
    <t>Boys arm wrestle in a match for a large crowd.</t>
  </si>
  <si>
    <t>The crowd congratulates the winner.</t>
  </si>
  <si>
    <t>The two boys shake hands after the match.</t>
  </si>
  <si>
    <t>v_Lme4KL45gwk</t>
  </si>
  <si>
    <t>A young boy is seen wearing a helmet, speaking to the camera, and holding up pads.</t>
  </si>
  <si>
    <t>The boy is then shown in various clips riding around on the board while also speaking to the camera.</t>
  </si>
  <si>
    <t>The boy demonstrates how to perform proper skating moves while bending down and grabbing his board.</t>
  </si>
  <si>
    <t>v_3zPoB-_JxEc</t>
  </si>
  <si>
    <t>A man talks on a telephone.</t>
  </si>
  <si>
    <t>The man puts a cigarette in his mouth.</t>
  </si>
  <si>
    <t>The man lights the cigarette.</t>
  </si>
  <si>
    <t>The man removes the cigarette from his mouth and holds it in his hand.</t>
  </si>
  <si>
    <t>v_K8W0PtyPlD4</t>
  </si>
  <si>
    <t>A group of adults plays a game of beach volleyball.</t>
  </si>
  <si>
    <t>Groups of children of kids play a game of beach volleyball.</t>
  </si>
  <si>
    <t>Rules are shown for the game.</t>
  </si>
  <si>
    <t>A group of girls play a volley ball game.</t>
  </si>
  <si>
    <t>A group of adults play a volleyball game on an overcast day.</t>
  </si>
  <si>
    <t>v_Le6fNx5IWRI</t>
  </si>
  <si>
    <t>A stadium is seen from above with a large audience.</t>
  </si>
  <si>
    <t>Gymnasts compete in an event and do stationary platform routine with hand grips.</t>
  </si>
  <si>
    <t>The medalists of the competition receive their awards and stand together waving.</t>
  </si>
  <si>
    <t>Athletes give interviews after the competition.</t>
  </si>
  <si>
    <t>v_I4B52tt3mNM</t>
  </si>
  <si>
    <t>woman is in front of a mirror make a yawn and drinks mouthwash and spit it in the handwash and smils at the camera.</t>
  </si>
  <si>
    <t>man stands in front of the mirror try to open the mouthwash bottle and drinks from it and is disgusted by it.</t>
  </si>
  <si>
    <t>v_ksyr3tHc0Vs</t>
  </si>
  <si>
    <t>Various text intro leads into a man holding a shot put and spinning himself around.</t>
  </si>
  <si>
    <t>The man throws the object off into the distance as the camera follows it's throw.</t>
  </si>
  <si>
    <t>v_SB08N4L6Ujw</t>
  </si>
  <si>
    <t>Several women are seen moving around a gym performing various exercises on a beam.</t>
  </si>
  <si>
    <t>The woman continue jumping up and down and leads into one moving a tire around as well as jumping up and down a punching a bag.</t>
  </si>
  <si>
    <t>The coach then speaks to the camera.</t>
  </si>
  <si>
    <t>v_D9eo9NfFhkg</t>
  </si>
  <si>
    <t>A bald man and a woman wearing handkerchief in her hair stand and wave next to a customized bus.</t>
  </si>
  <si>
    <t>The lady ads a scoop of ice cream to a sugar cone.</t>
  </si>
  <si>
    <t>The bald headed man places a menu on the side of the bus.</t>
  </si>
  <si>
    <t>The lady from the ice cream parlour bus hands an ice cream cone to a client.</t>
  </si>
  <si>
    <t>Multiple images and clips of many different people eating and showing their ice cream.</t>
  </si>
  <si>
    <t>The bald man and the lady inside of the ice cream parlour bus are shown working and picking up supplies as more images of patrons eat and show their ice cream treats.</t>
  </si>
  <si>
    <t>v_ttsZ4M-AKgY</t>
  </si>
  <si>
    <t>A group of bikers are going down a busy street filled with cars.</t>
  </si>
  <si>
    <t>They are seen with cameras mounted on skateboards before they start boarding in traffic.</t>
  </si>
  <si>
    <t>The man dismounts his board and takes off his helmet before running.</t>
  </si>
  <si>
    <t>v_JNr0oI927ng</t>
  </si>
  <si>
    <t>A woman is seen standing at the end of a diving board with her arms down and facing forward.</t>
  </si>
  <si>
    <t>The woman then begins jumping up and down on the board and diving back into the water.</t>
  </si>
  <si>
    <t>v_XeC4nqBB5BM</t>
  </si>
  <si>
    <t>A close up on the inside of a space ship is shown followed by a woman with crazy hair speaking into the microphone.</t>
  </si>
  <si>
    <t>She then plays a song on a flute with shots of another man in a different location playing a flute.</t>
  </si>
  <si>
    <t>The camera pans back and fourth between the two and ends with the man speaking to the camera, the woman waving back, and the man soluting.</t>
  </si>
  <si>
    <t>v_No2adeap68I</t>
  </si>
  <si>
    <t>A man is seen wiping down a door and then puts a large poster over the door.</t>
  </si>
  <si>
    <t>He puts the paper down and trims around the edges, ending with several pictures of posters shown and how to buy.</t>
  </si>
  <si>
    <t>v_KzK4sf7RmRM</t>
  </si>
  <si>
    <t>Bags of icing are sitting on a counter.</t>
  </si>
  <si>
    <t>Someone puts the icing in cake and muffin pans.</t>
  </si>
  <si>
    <t>They bake them in the oven.</t>
  </si>
  <si>
    <t>They put them on a plate and start to ice them.</t>
  </si>
  <si>
    <t>v_HDHS_7pOiDk</t>
  </si>
  <si>
    <t>A woman is shown outside high five two kids that are playing near her.</t>
  </si>
  <si>
    <t>The woman helps the girl down and jumps along the ground until she falls.</t>
  </si>
  <si>
    <t>v_UdBFm97tOJs</t>
  </si>
  <si>
    <t>A woman stares blankly at the camera.</t>
  </si>
  <si>
    <t>She takes a drink of tea.</t>
  </si>
  <si>
    <t>She repeats the same action exactly.</t>
  </si>
  <si>
    <t>She then takes another drink and makes a menacing face.</t>
  </si>
  <si>
    <t>v_F3tKnLz9YyE</t>
  </si>
  <si>
    <t>A boy and his dog are seen swimming under water in a large bowl.</t>
  </si>
  <si>
    <t>The two come above the surface and the dog runs around while the boy rubs his eyes.</t>
  </si>
  <si>
    <t>v_xijxN7XB4d8</t>
  </si>
  <si>
    <t>A man is standing in a bedroom practicing his violin.</t>
  </si>
  <si>
    <t>Another day passes by and it is now sunlight outside as the boy practices playing his instrument once more.</t>
  </si>
  <si>
    <t>The practicing continues on for several more days in the same room and finishes on until day 7.</t>
  </si>
  <si>
    <t>Finally,the man takes a set in the room and begins talking and demonstrating effective ways to hold the violin and play it efficiently.</t>
  </si>
  <si>
    <t>v_SOyOank50IY</t>
  </si>
  <si>
    <t>We see an opening screen on black.</t>
  </si>
  <si>
    <t>We see a man and woman washing dishes and talking.</t>
  </si>
  <si>
    <t>An image of a lady pops up on the screen.</t>
  </si>
  <si>
    <t>We see the ladies image again.</t>
  </si>
  <si>
    <t>The lady pops up in the subtitles.</t>
  </si>
  <si>
    <t>We see them from a darker, higher camera.</t>
  </si>
  <si>
    <t>We see them from the higher camera again.</t>
  </si>
  <si>
    <t>v_xH8l5rCWrMU</t>
  </si>
  <si>
    <t>woman is posing to the camera in a white game in a presentation.</t>
  </si>
  <si>
    <t>woman is standing in a kitchen talking to the camera and showing a plate of pasta and the ingedients.</t>
  </si>
  <si>
    <t>woman is chopping vegetables and saute vegetables in a pan.</t>
  </si>
  <si>
    <t>hen mix the vegetables with pasta.</t>
  </si>
  <si>
    <t>v_wz_kM0oBW5g</t>
  </si>
  <si>
    <t>We see a shuffle curling court.</t>
  </si>
  <si>
    <t>Arrows point to stones on the court.</t>
  </si>
  <si>
    <t>A lady walks off and returns.</t>
  </si>
  <si>
    <t>Arrows appear to point to the stones.</t>
  </si>
  <si>
    <t>We see two ladies, a different lady, then others.</t>
  </si>
  <si>
    <t>We see a team of player throw the stones.</t>
  </si>
  <si>
    <t>We see the crowd clap.</t>
  </si>
  <si>
    <t>We see the score appear on the screen.</t>
  </si>
  <si>
    <t>v_IRj0d3cLi6g</t>
  </si>
  <si>
    <t>A young child plays a bagpipe next to an adult bagpiper.</t>
  </si>
  <si>
    <t>The young bagpiper marches in place while playing his bagpipe while onlookers watch from behind.</t>
  </si>
  <si>
    <t>The adult bagpiper and the child stand next to each other while performing.</t>
  </si>
  <si>
    <t>The child finishes playing and walks forward to the camera.</t>
  </si>
  <si>
    <t>v_y80Jbcb5GWA</t>
  </si>
  <si>
    <t>A little boy is shown swinging on a swing on the public playground.</t>
  </si>
  <si>
    <t>He swings high into the air as someone pushes him.</t>
  </si>
  <si>
    <t>The boy smiles and talks to the person with the camera.</t>
  </si>
  <si>
    <t>v_7IW2BELXDHA</t>
  </si>
  <si>
    <t>Men are playing a sport n the sand.</t>
  </si>
  <si>
    <t>A man sits on the sand injured.</t>
  </si>
  <si>
    <t>v_nd5l829R8mw</t>
  </si>
  <si>
    <t>A marching band plays in the street.</t>
  </si>
  <si>
    <t>People walks behind the marching band.</t>
  </si>
  <si>
    <t>People pass on front a large window of a store.</t>
  </si>
  <si>
    <t>v_klqHoK_8ar8</t>
  </si>
  <si>
    <t>A man is painting the something on the floor green.</t>
  </si>
  <si>
    <t>She stroke up and down repeatedly trying to make sure he doesn't miss any spots in the area.</t>
  </si>
  <si>
    <t>He stands up a bit and looks at the piece for a little before dunking his brush back in the paint and starting again.</t>
  </si>
  <si>
    <t>He moves along to parts he hasn't yet gone over to paint.</t>
  </si>
  <si>
    <t>v_ewTlNriXY3c</t>
  </si>
  <si>
    <t>There is a competitive game of tug of war going on in an open field.</t>
  </si>
  <si>
    <t>Where a team wearing blue is competing against another team.</t>
  </si>
  <si>
    <t>The coach is giving directions to the team on how to pull the rope.</t>
  </si>
  <si>
    <t>He is encouraging them to not give and continue their efforts.</t>
  </si>
  <si>
    <t>There are spectators watching the event and cheering for the participants.</t>
  </si>
  <si>
    <t>There are few more rounds of tug of war played s the spectators watch and cheer for the players.</t>
  </si>
  <si>
    <t>The coach continues to encourage the players.</t>
  </si>
  <si>
    <t>After they win the tug of war, all the spectators run out and hug the players.</t>
  </si>
  <si>
    <t>A cameraman takes their pictures.</t>
  </si>
  <si>
    <t>The entire team poses for a team picture after their win.</t>
  </si>
  <si>
    <t>v__p0eoCHZ8BA</t>
  </si>
  <si>
    <t>A woman starts brushing a horse.</t>
  </si>
  <si>
    <t>She gets a pink brush and starts brushing the horse again.</t>
  </si>
  <si>
    <t>She gets a black brush and continues brushing the horse.</t>
  </si>
  <si>
    <t>She starts brushing the legs on the horse.</t>
  </si>
  <si>
    <t>She lifts up the horses foot and cleans the bottom of the foot.</t>
  </si>
  <si>
    <t>v_otGlbzsPIi0</t>
  </si>
  <si>
    <t>A man is seen speaking to the camera and leads into him holding a cooking pan out a hot stove.</t>
  </si>
  <si>
    <t>The man mixes ingredients together into a bowl and pours it into a pan while continuously stirring.</t>
  </si>
  <si>
    <t>He pours the food onto a plate and still holds the pan in his hand.</t>
  </si>
  <si>
    <t>v_HSEnmPWF5GY</t>
  </si>
  <si>
    <t>A montage of a priest is giving communion to people.</t>
  </si>
  <si>
    <t>Jesus and Mother Teresa are shown as a montage continues.</t>
  </si>
  <si>
    <t>v_DHfiz3MNbcc</t>
  </si>
  <si>
    <t>A young lady with burnette hair is standing behind a black counter in a bar with several alcohol on it.</t>
  </si>
  <si>
    <t>She then grabs a clear glass and puts ice in it.</t>
  </si>
  <si>
    <t>Next comes the liquor and she pours,orange juice and syrup in it and the drink is complete.</t>
  </si>
  <si>
    <t>v_FBL7iWMmTHU</t>
  </si>
  <si>
    <t>four men are standing on racquetball court.</t>
  </si>
  <si>
    <t>one man serves the ball.</t>
  </si>
  <si>
    <t>The men then begin to volley.</t>
  </si>
  <si>
    <t>One team scores a point.</t>
  </si>
  <si>
    <t>They all repeat the process.</t>
  </si>
  <si>
    <t>v_no9vPN7D-1s</t>
  </si>
  <si>
    <t>A person in an orange protective suit and a metal black mask solders something in an industrial setting.</t>
  </si>
  <si>
    <t>A person stands next to a black box in a metal helmet as fire sparks erupt from a wired box on the right.</t>
  </si>
  <si>
    <t>A large grey wheel spins behind the worker in the midst of the fire sparks and another worker walking by in a blue protective suit.</t>
  </si>
  <si>
    <t>v_Ch_qHjUtOpE</t>
  </si>
  <si>
    <t>Two women are standing on others' shoulders.</t>
  </si>
  <si>
    <t>They lift another woman into the air, balancing her between them before dropping her to be caught.</t>
  </si>
  <si>
    <t>However, the girls below are knocked to the ground.</t>
  </si>
  <si>
    <t>v_jIKAVLlyXIQ</t>
  </si>
  <si>
    <t>A man cuts into a piece of wood with an ax.</t>
  </si>
  <si>
    <t>Then, his action is replayed in slow motion.</t>
  </si>
  <si>
    <t>Next he takes a piece of the wood he cut an throws it into a pile.</t>
  </si>
  <si>
    <t>v_sDdgFSFaAdY</t>
  </si>
  <si>
    <t>An introduction comes onto the screen for a video about furniture repair.</t>
  </si>
  <si>
    <t>A woman is shown on the screen with gloves on and a cloth in her hand rubbing cream on a leather ottoman to repair the wear and tear.</t>
  </si>
  <si>
    <t>The video ends with the graphics for the closing credits at the end.</t>
  </si>
  <si>
    <t>v_jXORdfzz4oE</t>
  </si>
  <si>
    <t>man is standing in the court with a net behind he.</t>
  </si>
  <si>
    <t>men are playing volyball in a oofed court gym.</t>
  </si>
  <si>
    <t>v_lkSkFmHYdtI</t>
  </si>
  <si>
    <t>A young male athlete is standing in a field and turns backwards in a small circle.</t>
  </si>
  <si>
    <t>He then extends his arms and begins moving them back and forth.</t>
  </si>
  <si>
    <t>Once ready,he spins around and throws the discus out in the field,walks away and looks back at the distance.</t>
  </si>
  <si>
    <t>v_cvFFwMKFg7Q</t>
  </si>
  <si>
    <t>Two people are raking leaves in a park.</t>
  </si>
  <si>
    <t>The man in the rear turns his back to the camera.</t>
  </si>
  <si>
    <t>The lady on the left turns to the right.</t>
  </si>
  <si>
    <t>v_R6MnhM2omiE</t>
  </si>
  <si>
    <t>The man uses his match to set fire to the wooden logs.</t>
  </si>
  <si>
    <t>The fire is really small at first, but then it grows and gets bigger.</t>
  </si>
  <si>
    <t>After a while the video ends still showing the fire created by matches and tree branches.</t>
  </si>
  <si>
    <t>v_Y6UKk3t8Hj8</t>
  </si>
  <si>
    <t>The Livestrong website is showing a video on boxing.</t>
  </si>
  <si>
    <t>A woman boxer, Jolie Glassman is demonstrating how to properly punch and box the punching bag.</t>
  </si>
  <si>
    <t>She is in a gym demonstrating kicking and punching techniques.</t>
  </si>
  <si>
    <t>v_zrR9hGDeQhg</t>
  </si>
  <si>
    <t>A person is seen riding down a snowy hill close up as well as another person and child riding down the mountain.</t>
  </si>
  <si>
    <t>Several more clips are shown of people riding down the mountain from various angles with people yelling and cheering.</t>
  </si>
  <si>
    <t>v_QkqsI11OtC8</t>
  </si>
  <si>
    <t>We see a child playing hopscotch in a yard.</t>
  </si>
  <si>
    <t>An older girl the jumps.</t>
  </si>
  <si>
    <t>The first girl jumps back to the start location.</t>
  </si>
  <si>
    <t>The older girl then goes again.</t>
  </si>
  <si>
    <t>v_WnoJmKZC_qg</t>
  </si>
  <si>
    <t>A man demonstrates, through example how to play the recorder.</t>
  </si>
  <si>
    <t>A man stands in front of two windows covered in closed beige blinds, holding a wooden recorder instrument with both hands in front of him, while talking to the camera.</t>
  </si>
  <si>
    <t>The camera closes up on the body of the wooden recorder as the man begins to play lifting his fingers off of the various hole to make noise.</t>
  </si>
  <si>
    <t>The camera stays in a close up shot of just the man’s hands and the bottom of the recorder for the rest of the clip.</t>
  </si>
  <si>
    <t>v_qgQVbGtIn0M</t>
  </si>
  <si>
    <t>A group of rocks are shown washed up against the banks of a large blue river.</t>
  </si>
  <si>
    <t>The camera continues to span the river and a mountain range is shown.</t>
  </si>
  <si>
    <t>Another angle is shown and a small circle appears on the screen.</t>
  </si>
  <si>
    <t>Two hikers wearing backpacks are visible and show a rope.</t>
  </si>
  <si>
    <t>One man then gets in the water and tightens the ropes around a tree from one side of the water to another and sits on the rope.</t>
  </si>
  <si>
    <t>The man then stands up and attempts to tight rope across the water but falls into the water.</t>
  </si>
  <si>
    <t>v_U7SRRMoCGks</t>
  </si>
  <si>
    <t>A man is seen standing before an exercise beam and begins moving himself on the bars while others practice around him.</t>
  </si>
  <si>
    <t>The man continues to workout on the beam and pauses to speak to the camera while using his hands.</t>
  </si>
  <si>
    <t>v_brZ1m2qNUzc</t>
  </si>
  <si>
    <t>A person is seen wiping down a rag followed by several ingredients attached to her hip.</t>
  </si>
  <si>
    <t>She sprays down the rag and is then seen again washing various windows around an office.</t>
  </si>
  <si>
    <t>She wipes down door handles as well and then puts the rags into a washing machine, hanging up the pole in the end.</t>
  </si>
  <si>
    <t>v_z4B1JZQnHl4</t>
  </si>
  <si>
    <t>A group of skaters are going quickly around an outdoor track.</t>
  </si>
  <si>
    <t>A man who curls in a wheelchair speaks to the camera.</t>
  </si>
  <si>
    <t>A man is shown with a puck, performing.</t>
  </si>
  <si>
    <t>Several people alternate playing with talking to the camera.</t>
  </si>
  <si>
    <t>v_uc1RbyLfuSs</t>
  </si>
  <si>
    <t>A person is wind sailing through a body of water.</t>
  </si>
  <si>
    <t>The person passes someone swimming.</t>
  </si>
  <si>
    <t>The person turns on their board.</t>
  </si>
  <si>
    <t>v_xqYII12ta4E</t>
  </si>
  <si>
    <t>A group of cheerleaders are wearing dark red, white and black uniforms standing in formation getting ready to do their routine, and the words below on the screen say "Mill Creek HS Class AAAAA".</t>
  </si>
  <si>
    <t>The cheerleaders begin their routine and it includes a lot of jumping, cheering, flipping, either in sync or separetly, throwing and catching other cheerleaders, and many other moves.</t>
  </si>
  <si>
    <t>They end their routine, cheer themselves on and 2 women from the audience run up and hug some of the cheerleaders.</t>
  </si>
  <si>
    <t>v_HGK_K2XqhTA</t>
  </si>
  <si>
    <t>A teen shakes his hand on front a glass of water while a youth watch him.</t>
  </si>
  <si>
    <t>Then, the teen takes the glass shaking his hand and drinks the water while the laugh.</t>
  </si>
  <si>
    <t>After, the youth takes the glass, then holds a cup while the teen fold his right hand.</t>
  </si>
  <si>
    <t>Next, the teen takes a cup and pretend to drink while making gestures of pain.</t>
  </si>
  <si>
    <t>v_q7Ap96aMkZ8</t>
  </si>
  <si>
    <t>We see people jogging on a city street.</t>
  </si>
  <si>
    <t>We zoom in on a shirtless man juggling.</t>
  </si>
  <si>
    <t>We pan backwards towards the other runners.</t>
  </si>
  <si>
    <t>v_FwV1XbjLJHY</t>
  </si>
  <si>
    <t>A woman talks in a bar, then she puts ice in a stainless steel glass.</t>
  </si>
  <si>
    <t>Then the woman adds to the cup two measures of liquor, juice and sugar.</t>
  </si>
  <si>
    <t>After, the woman puts a cup on top and shake it, and serves in a cup with a slice of lemon.</t>
  </si>
  <si>
    <t>v_4CRacVTadPQ</t>
  </si>
  <si>
    <t>A woman in a yellow shirt is holding a bottle in her hand.</t>
  </si>
  <si>
    <t>She opens the bottle and pours it into a bucket on the ground.</t>
  </si>
  <si>
    <t>She puts a mop rag into the bucket and puts it on her mop.</t>
  </si>
  <si>
    <t>She then lifts the bucket out of the room.</t>
  </si>
  <si>
    <t>She starts mopping the tile on the floor.</t>
  </si>
  <si>
    <t>v_DU36SNYN-rw</t>
  </si>
  <si>
    <t>The tile screen plays with a picture of a long field.</t>
  </si>
  <si>
    <t>A man walks up with a disk and a dog hold onto it as he passes a few people.</t>
  </si>
  <si>
    <t>The man starts playing with the dog by throwing the think and having him bring it back.</t>
  </si>
  <si>
    <t>He then claps for the dog.</t>
  </si>
  <si>
    <t>The credits roll at the end.</t>
  </si>
  <si>
    <t>v_68m6uCPwwNo</t>
  </si>
  <si>
    <t>A red ball sits between two poles.</t>
  </si>
  <si>
    <t>A cricket bat begins swinging.</t>
  </si>
  <si>
    <t>Two shoes sit on either side.</t>
  </si>
  <si>
    <t>The bat strikes the ball.</t>
  </si>
  <si>
    <t>v_aWKZSqbOi2Q</t>
  </si>
  <si>
    <t>A large group of girls dressed in cheerleading outfits are standing in formation and at the same exact moment the girls do a flip in sync and they begin their very detailed routine that includes, jumps, flips, hand claps and etcetera.</t>
  </si>
  <si>
    <t>They break off into 5 different groups where all the girls huddle in each group and throw one girl in the air and hold her up, but suddenly the front group is unstable and the girl they are holding up drops, and the girls below all catch her and they just wait until the girls are done to resume their routine in sync.</t>
  </si>
  <si>
    <t>They are all standing still in formation when suddenly one of the girls pulls off her left shoe and throws it to the side and they all remain still for a few seconds.</t>
  </si>
  <si>
    <t>The girls resume their cheer and break up in 5 sections once again to hold a girl up in the air, but once again, the middle group loses the balance of the girl on top and they fail and she falls in their catch and they resume their routine that now include multiple flips from each girl until the finish.</t>
  </si>
  <si>
    <t>v_sz0GhFkkXYI</t>
  </si>
  <si>
    <t>A man leans forward as a baby in a swing tries to grab and chew on his hair.</t>
  </si>
  <si>
    <t>The baby laughs, swinging back and forth, then tries to grab the camera.</t>
  </si>
  <si>
    <t>v_xyZ87TEcDSI</t>
  </si>
  <si>
    <t>A few people go surfing on waves.</t>
  </si>
  <si>
    <t>They fall sometimes but are ok.</t>
  </si>
  <si>
    <t>v_KkBMOQOGTdk</t>
  </si>
  <si>
    <t>Band members in full dress stand in a yard.</t>
  </si>
  <si>
    <t>They are using a rake to rake leaves.</t>
  </si>
  <si>
    <t>A man walks by as they rake.</t>
  </si>
  <si>
    <t>v_VnBZR-yBLXA</t>
  </si>
  <si>
    <t>A woman is seen standing behind a counter speaking to the camera and then beginning to peel a potato.</t>
  </si>
  <si>
    <t>She continues to peel potatoes while pausing to speak to the camera and smile.</t>
  </si>
  <si>
    <t>v_EHVkkRI7mBQ</t>
  </si>
  <si>
    <t>Young men an a car talk and play around before arriving at the ski slope.</t>
  </si>
  <si>
    <t>We see men snowboarding over obstacles and ramps on the ski slope.</t>
  </si>
  <si>
    <t>A man jumps a ramp and falls to the ground.</t>
  </si>
  <si>
    <t>We see the boys standing in the parking lot and are shown their names.</t>
  </si>
  <si>
    <t>The last boy removes his helmet, shakes his hair and smiles at the camera.</t>
  </si>
  <si>
    <t>v_QjFioni0uCM</t>
  </si>
  <si>
    <t>A man is standing behind a woman sitting in a chair.</t>
  </si>
  <si>
    <t>He is putting a product into her hair.</t>
  </si>
  <si>
    <t>He begins to blow dry her hair.</t>
  </si>
  <si>
    <t>She starts to blow dry her hair herself.</t>
  </si>
  <si>
    <t>v_gJydcG-d1cs</t>
  </si>
  <si>
    <t>A woman holds a flute and practices the keys while lying down.</t>
  </si>
  <si>
    <t>A woman in a formal dress holds up a flute and gestures while talking.</t>
  </si>
  <si>
    <t>A woman plays the flute with exaggerated blowing.</t>
  </si>
  <si>
    <t>A woman plays a flute in a room with other instruments hanging in the background.</t>
  </si>
  <si>
    <t>The two women play flutes together.</t>
  </si>
  <si>
    <t>The woman shake their hands with a cramp.</t>
  </si>
  <si>
    <t>v_HK9tOFFF5II</t>
  </si>
  <si>
    <t>a scene from th big bang theory is shown and the man is lying down in a table in a tattoo room and a tattoo artist is standing by him.</t>
  </si>
  <si>
    <t>man in the bed stands and talk to a woman and remove the fake tattoo sleeves.</t>
  </si>
  <si>
    <t>v_rfxXEgc9RTQ</t>
  </si>
  <si>
    <t>A close up of a person's feet are shown followed by two men seen in an open room holding tennis rackets and hitting a ball.</t>
  </si>
  <si>
    <t>Then men hit the ball all around the room while running to each side to hit the ball.</t>
  </si>
  <si>
    <t>v_Cl0lsFUR5HE</t>
  </si>
  <si>
    <t>A vacant beach is visible and people began to pull their cars up against the coast.</t>
  </si>
  <si>
    <t>The sidewalk then appears and a boy begins to skateboard down the road near the beach.</t>
  </si>
  <si>
    <t>He continues doing tricks and skateboarding through the city passing people and cars.</t>
  </si>
  <si>
    <t>After a while,he sits down a takes a break and begins talking to another guy before he eventually gets back up to continue skateboarding.</t>
  </si>
  <si>
    <t>v_ptlSMte8xz0</t>
  </si>
  <si>
    <t>A guy is skiing with a camera on his helmet to show us what he is seeing as he ski.</t>
  </si>
  <si>
    <t>the guy ski down the hill and passes a guy that was in front of him.</t>
  </si>
  <si>
    <t>As the guy skis he start to come cross other skiers also skiing,finally the skier makes it to the end of down hill slop and comes to a stop.</t>
  </si>
  <si>
    <t>v_-0i3BpAQAgE</t>
  </si>
  <si>
    <t>A man and a woman are playing rock paper scissors.</t>
  </si>
  <si>
    <t>The man gets on his knee and pulls out a ring.</t>
  </si>
  <si>
    <t>They hug next to the swimming pool.</t>
  </si>
  <si>
    <t>They give each other a kiss.</t>
  </si>
  <si>
    <t>v_jwv7eQpeGW4</t>
  </si>
  <si>
    <t>A man is running down a track he jumps into a pile of sand.</t>
  </si>
  <si>
    <t>He runs down the track again and jumps into the sand several times.</t>
  </si>
  <si>
    <t>Scores are shown on the screen.</t>
  </si>
  <si>
    <t>v_-vKXPND_mD8</t>
  </si>
  <si>
    <t>A man wearing a green outfit is leading a camel.</t>
  </si>
  <si>
    <t>Two people are sitting on top of the camel.</t>
  </si>
  <si>
    <t>A man is walking next to the camel.</t>
  </si>
  <si>
    <t>v_lHsPZ49cpG8</t>
  </si>
  <si>
    <t>People are playing a game on a field using horses.</t>
  </si>
  <si>
    <t>The camera person rides near the parking lot on the right.</t>
  </si>
  <si>
    <t>The camera person rides near the parking lot again.</t>
  </si>
  <si>
    <t>The person slows down near the goal.</t>
  </si>
  <si>
    <t>v_4kriQ6h6ymI</t>
  </si>
  <si>
    <t>A graphic shows and then photos follow of a girl growing up with horseback riding.</t>
  </si>
  <si>
    <t>Three years after those photos the girl moves and she is shown riding horses.</t>
  </si>
  <si>
    <t>The girl is shown with other girls posing with some awards for horseback riding.</t>
  </si>
  <si>
    <t>Another video is shown of the girl riding the horse indoors.</t>
  </si>
  <si>
    <t>Photos of the girl taking care of her horses close out the video.</t>
  </si>
  <si>
    <t>v_RfsugL4sLso</t>
  </si>
  <si>
    <t>A woman is seen brushing her teeth and leads into toothpaste being spread on a toothbrush.</t>
  </si>
  <si>
    <t>Another girl brushes her teeth and shows several stills on how to properly brush teeth.</t>
  </si>
  <si>
    <t>More clips are shown of people brushing their teeth.</t>
  </si>
  <si>
    <t>v_sQo4gMcgfT4</t>
  </si>
  <si>
    <t>Several people are in bumper scooters moving around in a small entrapment.</t>
  </si>
  <si>
    <t>Finally,they get out of the big clump and start to move around the gym easier.</t>
  </si>
  <si>
    <t>The ride finally ends,and all of the people get out and a girl and boy walk up to the camera giving a thumbs up.</t>
  </si>
  <si>
    <t>v_09MaNbzc2TA</t>
  </si>
  <si>
    <t>A large group of people are seen wandering around a beached area followed by people dancing and enjoying the beach.</t>
  </si>
  <si>
    <t>Several clips are shown of a soccer match going on as well as fans celebrating to the camera.</t>
  </si>
  <si>
    <t>In the end the team all celebrates together while confetti falls from the sky.</t>
  </si>
  <si>
    <t>v_amCD-2TIKw0</t>
  </si>
  <si>
    <t>A woman is playing music on a stereo in a busy city.</t>
  </si>
  <si>
    <t>Another woman is standing on the sidewalk with headphones.</t>
  </si>
  <si>
    <t>They both smile at each other as they groove to the music.</t>
  </si>
  <si>
    <t>The woman picks up the stereo and starts walking.</t>
  </si>
  <si>
    <t>The other woman follows her on the same sidewalk.</t>
  </si>
  <si>
    <t>They walk together holding the stereo.</t>
  </si>
  <si>
    <t>A man in a red shirt starts dancing next to a car with another woman.</t>
  </si>
  <si>
    <t>They join the woman walking with the stereo in her hand.</t>
  </si>
  <si>
    <t>Several other people join them as they walk and dance to the music.</t>
  </si>
  <si>
    <t>All the people break into a synchronized dance right on the street.</t>
  </si>
  <si>
    <t>v_vH9gqDUaBQ0</t>
  </si>
  <si>
    <t>An old man talks next a sailboat in the shore, then the man carry the sailboat to the ocean.</t>
  </si>
  <si>
    <t>The old man sails the boat sitting on the border of the boat and pulling a handle.</t>
  </si>
  <si>
    <t>Then, the old man sits for awhile, and then continues sailing and stops when he talks.</t>
  </si>
  <si>
    <t>After, the old man stops and the boat turn over, then he pulls the boat to the shore.</t>
  </si>
  <si>
    <t>After, the old man continues sailing in the ocean.</t>
  </si>
  <si>
    <t>v_QKIkAfzncFc</t>
  </si>
  <si>
    <t>A person's hands are seen playing a set of bongo drums and pausing to talk to the camera.</t>
  </si>
  <si>
    <t>He presses a button on his phone and plays the drums again and ending with one final smack on the drum.</t>
  </si>
  <si>
    <t>v_dnJJWt0SBTc</t>
  </si>
  <si>
    <t>People are standing in a line holding swords.</t>
  </si>
  <si>
    <t>A man in a white jacket is talking into a microphone.</t>
  </si>
  <si>
    <t>Another older gentlemen is talking into a microphone.</t>
  </si>
  <si>
    <t>v_dGHCQVdC27c</t>
  </si>
  <si>
    <t>A man covers a wall with cement using a hose.</t>
  </si>
  <si>
    <t>A person works behind the wall.</t>
  </si>
  <si>
    <t>The person is covering the last section of the wall.</t>
  </si>
  <si>
    <t>v_UzmnkYD5YTA</t>
  </si>
  <si>
    <t>A person is seen walking into frame holding an instrument in front of a piano.</t>
  </si>
  <si>
    <t>He plays the instrument in front of the piano and walks back to the camera.</t>
  </si>
  <si>
    <t>v_CX5QUmM97DI</t>
  </si>
  <si>
    <t>The logo "FAB" appears with two crossed swords.</t>
  </si>
  <si>
    <t>The words "Meyerco Machete Cut Test" follow on screen.</t>
  </si>
  <si>
    <t>A man is trimming a damaged bush using a machette.</t>
  </si>
  <si>
    <t>The man continues chopping the cut branch on a deck.</t>
  </si>
  <si>
    <t>v_cpeevuvJKjE</t>
  </si>
  <si>
    <t>A group of ballet of dancers compete with a group of hip hop dancers.</t>
  </si>
  <si>
    <t>A boy dance hip hop, spins and make a flip.</t>
  </si>
  <si>
    <t>After, the boy climbs on a column to make a flip backward and stand on his hands, then a ballet dancer is raised by her friends.</t>
  </si>
  <si>
    <t>Then, a boy runs and break a door to enter to the other side where a girl is surprised.</t>
  </si>
  <si>
    <t>v_5OhIRnEFMyw</t>
  </si>
  <si>
    <t>A girl smiles at a camera holding a violin and pulls her hair behind her head.</t>
  </si>
  <si>
    <t>She continues talking to the camera followed by her playing the violin.</t>
  </si>
  <si>
    <t>She takes her hair down and continues talking to the camera and showing various violin moves while singing.</t>
  </si>
  <si>
    <t>She once again puts her hair up and continues with her playing.</t>
  </si>
  <si>
    <t>v_0kfJ7Lu4tvo</t>
  </si>
  <si>
    <t>A person turns on the emergency lights of a car and takes out the emergency tire.</t>
  </si>
  <si>
    <t>Then, the man loose the lug nuts of the tire, and then reads the manual.</t>
  </si>
  <si>
    <t>After, the man puts a jack below the car to raise it.</t>
  </si>
  <si>
    <t>Next, the man puts the emergency tire and tight the lug nuts.</t>
  </si>
  <si>
    <t>At the end, the man keeps the jack and the flat tire.</t>
  </si>
  <si>
    <t>v_Lou-YFz3kb0</t>
  </si>
  <si>
    <t>A woman is seen speaking to the camera while holding a violin.</t>
  </si>
  <si>
    <t>The woman continues speaking and them begins demonstrating how to play a song.</t>
  </si>
  <si>
    <t>She finishes playing the song and smiles to the camera.</t>
  </si>
  <si>
    <t>v_CV3pIbE8BnE</t>
  </si>
  <si>
    <t>A person is seen bending over his legs with a person putting shaving cream all over his leg.</t>
  </si>
  <si>
    <t>The person then grabs a razor and begins shaving the man's leg while dipping it into a sink.</t>
  </si>
  <si>
    <t>The woman continues shaving his leg while panning back to the sink and him having a drink.</t>
  </si>
  <si>
    <t>v_D32TzYSHM08</t>
  </si>
  <si>
    <t>A man ball rolls across a baseball field and a small boy in a green shirt kicks the ball and runs around the bases.</t>
  </si>
  <si>
    <t>The boy stops and looks at the camera then starts running again.</t>
  </si>
  <si>
    <t>A person runs in front of the camera.</t>
  </si>
  <si>
    <t>The boy makes it to home as a lady chases a ball to the fence.</t>
  </si>
  <si>
    <t>v_YmhbwAv0Xbc</t>
  </si>
  <si>
    <t>The boy in the red hat and the blue coat is being pulled in a red tube by a rope over some icy roads.</t>
  </si>
  <si>
    <t>A man in a black hat has his turn with the tube.</t>
  </si>
  <si>
    <t>A man in a grey hat hits a snow embankment with the tube.</t>
  </si>
  <si>
    <t>A man goes up a snow hill in the tube.</t>
  </si>
  <si>
    <t>More people begin sliding but this time it is with a small sled, not a tube.</t>
  </si>
  <si>
    <t>A man lets go of the rope and hits an embankment of snow.</t>
  </si>
  <si>
    <t>A group of friends sit on a couch together.</t>
  </si>
  <si>
    <t>v_OZpxc1X8Bsc</t>
  </si>
  <si>
    <t>A man wearing only black shorts, sandals and a gear belt, climbs a rock using a rope in a natural environment filled with trees and foliage.</t>
  </si>
  <si>
    <t>The man in the black shorts stands at the bottom of the rock and begins to climb the rock.</t>
  </si>
  <si>
    <t>The man climbs from the bottom using knees to gain balance and a rope to steady when losing grip with the rocks.</t>
  </si>
  <si>
    <t>The man reaches the top of the rock as the tan rope, behind, dangles.</t>
  </si>
  <si>
    <t>v_6gzU9P-5tqE</t>
  </si>
  <si>
    <t>A man falls down while trying bowl down a lane.</t>
  </si>
  <si>
    <t>A woman falls down trying to bowl.</t>
  </si>
  <si>
    <t>A man throws a bowling ball and it hits the ceiling.</t>
  </si>
  <si>
    <t>A man slips and falls as he's trying to bowl.</t>
  </si>
  <si>
    <t>v_v1ukgczEA5A</t>
  </si>
  <si>
    <t>A person flips a ski upside down.</t>
  </si>
  <si>
    <t>They melt onto onto the bottom of the ski.</t>
  </si>
  <si>
    <t>They run the iron over the top of the was on the ski.</t>
  </si>
  <si>
    <t>v_PSAfQ1qjtOA</t>
  </si>
  <si>
    <t>A gymnast stands and waves her arms before a performance.</t>
  </si>
  <si>
    <t>The gymnast hops up and mounts the balance beam.</t>
  </si>
  <si>
    <t>The gymnast does a routine on the balance beam doing flips and hand springs.</t>
  </si>
  <si>
    <t>The gymnast jump and does the splits in the air.</t>
  </si>
  <si>
    <t>The gymnast dismounts the balance beam onto the mat.</t>
  </si>
  <si>
    <t>v_wQHMoyzJx_w</t>
  </si>
  <si>
    <t>We see a white opening scene.</t>
  </si>
  <si>
    <t>We see a lady in a kitchen talking and cooking.</t>
  </si>
  <si>
    <t>The lady cuts a potato and puts it in the water.</t>
  </si>
  <si>
    <t>The lady puts the potato in cold water.</t>
  </si>
  <si>
    <t>The lady peels the skin off the potato easily.</t>
  </si>
  <si>
    <t>v_sx_npA4wRrw</t>
  </si>
  <si>
    <t>A chef is mixing water and vinegar in a glass bowl and adding dried chilies to it.</t>
  </si>
  <si>
    <t>Then in a blender, the chef mixes capers, garlic, anchovies and black olives along with some olive oil.</t>
  </si>
  <si>
    <t>The chef mashes the ingredients into a paste.</t>
  </si>
  <si>
    <t>The chef adds some garlic to oil in a saute pan and sautes it with some sun dried tomatoes.</t>
  </si>
  <si>
    <t>Then adds in the olive tapenade to the pan.</t>
  </si>
  <si>
    <t>The chef then chops some parsley and garlic together.</t>
  </si>
  <si>
    <t>Then he adds some spaghetti to boiling salt water and cooks it.</t>
  </si>
  <si>
    <t>He adds the chopped parsley to the spaghetti and mixes it well along with the olive tapenade.</t>
  </si>
  <si>
    <t>v_7yndv2xOmn0</t>
  </si>
  <si>
    <t>A person is putting black icing on a cake.</t>
  </si>
  <si>
    <t>They pour icing on the top out of a pot.</t>
  </si>
  <si>
    <t>They put strawberries, blueberries, raspberries and black berries on top of the cake.</t>
  </si>
  <si>
    <t>v_8Kj5Whf2JyA</t>
  </si>
  <si>
    <t>A large group of people are see bouncing around on trampolines throwing dodgeballs to one another.</t>
  </si>
  <si>
    <t>The camera pans around to the people on the outside and back onto the kids playing.</t>
  </si>
  <si>
    <t>v_ezugU3qibVQ</t>
  </si>
  <si>
    <t>A pink screen appears that have black numbers and words that read "handbagbuyer 82", then hearts appear to fade out the intro screen and a smiling blonde woman wearing green appears talking straight to the camera.</t>
  </si>
  <si>
    <t>The woman then picks up a tray with a cover that includes colorful curlers of different sizes and she continues talking while pointing at them.</t>
  </si>
  <si>
    <t>The woman then picks up a black bag and grabs a silver clip from it, puts it back in the bag and puts the bag on the side and continues to talk.</t>
  </si>
  <si>
    <t>The woman is now standing in a bathroom wearing a red sweater with hello kitty on the front and she's brushing her hair, rolling it in curlers and clipping each one individually with the silver clip and curlers she showed earlier.</t>
  </si>
  <si>
    <t>When she completes putting all the curlers that can fit on her entire head, she smiles to the camera and turns her head from side to side.</t>
  </si>
  <si>
    <t>The woman is now standing in the bathroom wearing green again and she has her hair down and she's talking and using her hands to move her hair around to show the curls.</t>
  </si>
  <si>
    <t>The outro screan is pink and ends with black words and then a black screen that has a clip art red pair of lips on it.</t>
  </si>
  <si>
    <t>v_xfOs5nRsSuQ</t>
  </si>
  <si>
    <t>woman is standing in a green field practicing balance a ball in a golf club.</t>
  </si>
  <si>
    <t>another woman is in the court and its practicing with the girl passing the ball from a golf club to another.</t>
  </si>
  <si>
    <t>in the background cars are parked in a parking lot.</t>
  </si>
  <si>
    <t>v_CrnNXizH0IQ</t>
  </si>
  <si>
    <t>A man is seen speaking to the camera while pointing to various tools and wooden objects in front of him.</t>
  </si>
  <si>
    <t>The man unhooks the side followed by sanding it down on the side.</t>
  </si>
  <si>
    <t>The man then takes a screwdriver and drills in holes while stopping to sand it and show it to the camera.</t>
  </si>
  <si>
    <t>v_CaDoaqs_5jE</t>
  </si>
  <si>
    <t>A camera pans all around a frozen lake with trees and leads into a group of people fishing around a hole.</t>
  </si>
  <si>
    <t>The men continue to sit around the holes with a pole speaking to one another and wandering around the ice.</t>
  </si>
  <si>
    <t>v_vUuC72xikqw</t>
  </si>
  <si>
    <t>A close up of a pumpkin is seen followed by a child scouping out the middle.</t>
  </si>
  <si>
    <t>Another child next to her is seen cutting out the pumpkin when an adults walks into frame.</t>
  </si>
  <si>
    <t>The adults helps the children with one smiling to the camera and holding up seeds while the camera pans around the room.</t>
  </si>
  <si>
    <t>v_28P5f3p_32g</t>
  </si>
  <si>
    <t>A man is shown holding a knife while taking to the camera and smiling.</t>
  </si>
  <si>
    <t>He begins cutting the tomato laid out on the table in various sections.</t>
  </si>
  <si>
    <t>He then sharpens the knife on the machine next to the vegetable and shows how much better it works.</t>
  </si>
  <si>
    <t>v_7MWDmMh3zyA</t>
  </si>
  <si>
    <t>A group of people are in tubes floating on top of murky water with huge rocks in it.</t>
  </si>
  <si>
    <t>The camera scans the crowd and people continuously paddle their way across the water.</t>
  </si>
  <si>
    <t>v_L3X8OmIbj2c</t>
  </si>
  <si>
    <t>Guys arm wrestle indoors in the presence of two referees.</t>
  </si>
  <si>
    <t>The referees point in the direction of the winner.</t>
  </si>
  <si>
    <t>The players give a dab handshake.</t>
  </si>
  <si>
    <t>v_83WXP5z80Y0</t>
  </si>
  <si>
    <t>Title screens are shown on the video.</t>
  </si>
  <si>
    <t>The woman demonstrates using a hula hoop in a large room while another person talks.</t>
  </si>
  <si>
    <t>Another person looks in through the window of the door.</t>
  </si>
  <si>
    <t>The woman stops hula hooping and takes a bow.</t>
  </si>
  <si>
    <t>The ending credits roll.</t>
  </si>
  <si>
    <t>v_X_9NiZmR2tQ</t>
  </si>
  <si>
    <t>Two people are playing tennis on a court.</t>
  </si>
  <si>
    <t>One person falls back on their back.</t>
  </si>
  <si>
    <t>v_cBCi-pOE5NQ</t>
  </si>
  <si>
    <t>A man has his sax around his neck and he is explaining about reeds and mouth pieces and how you should put your mouth on it or what nor.</t>
  </si>
  <si>
    <t>He talks for a while about this, demonstrates how you would move your tongue to make sound.</t>
  </si>
  <si>
    <t>He blows into the sax to demonstrate a little more.</t>
  </si>
  <si>
    <t>He even briefly puts his finger in mouth to try to explain a little better as well.</t>
  </si>
  <si>
    <t>v_rjgu0ucCW7U</t>
  </si>
  <si>
    <t>A man pushes a lawn mower around a grass lawn area with tents cutting the grass.</t>
  </si>
  <si>
    <t>The man cuts the tall grass around a tree.</t>
  </si>
  <si>
    <t>The man shuts down the lawnmower and takes a break.</t>
  </si>
  <si>
    <t>v_0Z_mhRoqG2E</t>
  </si>
  <si>
    <t>A close up of a landscape is shown followed by a woman climbing up a rock on it's side.</t>
  </si>
  <si>
    <t>The woman continues climbing and ends with her reaching the top and throwing her arms up.</t>
  </si>
  <si>
    <t>v_KDPa4AvVt0s</t>
  </si>
  <si>
    <t>A group of people is playing dodge ball in a court.</t>
  </si>
  <si>
    <t>People joke to the camera.</t>
  </si>
  <si>
    <t>v_fY2IeYSxY4U</t>
  </si>
  <si>
    <t>A white wall is shown with pegs poking out and strips of tape hanging down and a girl begins cliff climbing the wall as a man in a blue shirt begins to talk.</t>
  </si>
  <si>
    <t>The young lady continues progressing up the wall as the man continues to talk in a split screen.</t>
  </si>
  <si>
    <t>The man lifts his foot up to talk about a certain position and the girl demonstrates it as she begins getting off the plate.</t>
  </si>
  <si>
    <t>v_lC12SCZ_-1o</t>
  </si>
  <si>
    <t>A small car is covered in a thick layer of snow.</t>
  </si>
  <si>
    <t>A man appears with a sweeper.</t>
  </si>
  <si>
    <t>He uses it to rake all the snow off the vehicle.</t>
  </si>
  <si>
    <t>v_ZIBWRRBft8g</t>
  </si>
  <si>
    <t>man is kneeling on the floor talking to the camera and showing the tiles above the wooden floor.</t>
  </si>
  <si>
    <t>man is showing a place without the wooden floor and its putting the wooden pole in the floor measuring the space.</t>
  </si>
  <si>
    <t>the man puts a wood sheet in space and put floor tiles.</t>
  </si>
  <si>
    <t>v_pAAGm-KEFW0</t>
  </si>
  <si>
    <t>There is a boy sitting on the bed showing off his sunburn and putting cream on it.</t>
  </si>
  <si>
    <t>A friend is shaking his head because of the other guy's sunburn.</t>
  </si>
  <si>
    <t>The friend lifts his shirt to show his sunburn as well.</t>
  </si>
  <si>
    <t>The camera pans around room and back to the first guy.</t>
  </si>
  <si>
    <t>A girl walks by carrying a plate, puts it on the table and does a dance.</t>
  </si>
  <si>
    <t>The camera pans to a mirror with two men standing in it with a phone and waving.</t>
  </si>
  <si>
    <t>The camera looks over the balcony of the room.</t>
  </si>
  <si>
    <t>A woman puts a plate of food on a table and a man walks back inside.</t>
  </si>
  <si>
    <t>The sunburned man is taking his shirt off and laying it on the bed.</t>
  </si>
  <si>
    <t>His friends help him with cream on his sunburn.</t>
  </si>
  <si>
    <t>The woman is sitting at the table eating.</t>
  </si>
  <si>
    <t>v_QvM8SFUUvsw</t>
  </si>
  <si>
    <t>A man is shown solving a rubix rube at record speed while a timer is going and a man records him.</t>
  </si>
  <si>
    <t>Another player at a younger age is shown solving the rubix cube as well as a third patron shortly after.</t>
  </si>
  <si>
    <t>v_BJM1rUjXvkQ</t>
  </si>
  <si>
    <t>The candied fruits are in the bowl, then the woman pour liqueur in it and mixed them.</t>
  </si>
  <si>
    <t>The woman added brown sugar on the butter, then added eggs one by one and mixed and then cream, then flour, baking soda, cinnamon powder and mixed them well.</t>
  </si>
  <si>
    <t>The dried fruit mixture is added in the batter, and then shredded nuts and they were mixed well together.</t>
  </si>
  <si>
    <t>The batter is pour into the pan, smooth the batter and making sure that its evenly distributed.</t>
  </si>
  <si>
    <t>v_Y39LnzOipck</t>
  </si>
  <si>
    <t>A man is seen standing and looking around and then cleans off a bowling ball and stands before a lane.</t>
  </si>
  <si>
    <t>The man throws the ball down and hits several pins.</t>
  </si>
  <si>
    <t>v_I3WRp3QB8eg</t>
  </si>
  <si>
    <t>A girl is seen speaking to the camera and walks into a hair salon and shakes hands with an stylist.</t>
  </si>
  <si>
    <t>Several shots of an artist are shown and the man then begins cutting the girl's hair.</t>
  </si>
  <si>
    <t>He hands her the hair and washes her hair followed by more cuts and looking into a mirror.</t>
  </si>
  <si>
    <t>In the end her hair looks just like the artist and she is seen smiling and hugs a person, ending with a side by side picture of the artist and her.</t>
  </si>
  <si>
    <t>v__DiTdY1Mtj4</t>
  </si>
  <si>
    <t>A person is seen bending over near a crowd and begins playing a game of shuffleboard.</t>
  </si>
  <si>
    <t>The people continue playing back and fourth on the mat while other people playing around them and walk into frame.</t>
  </si>
  <si>
    <t>A man and woman are seen speaking to one another and is again shown pushing the pucks.</t>
  </si>
  <si>
    <t>v_RLdlDewtKbE</t>
  </si>
  <si>
    <t>An intro is shown for a cricket game.</t>
  </si>
  <si>
    <t>Several players begin to play a cricket game on a field.</t>
  </si>
  <si>
    <t>A man stumbles over one of the cricket posts.</t>
  </si>
  <si>
    <t>The players shake hands as the game ends.</t>
  </si>
  <si>
    <t>The results of the game a then shown on the screen.</t>
  </si>
  <si>
    <t>v_0EbXjHsMBmM</t>
  </si>
  <si>
    <t>At a store by the name of skinny ski's there is a table set up with things needed to saw down skis.</t>
  </si>
  <si>
    <t>A man uses some equipment to melt some wax over a ski, going over it a few times.</t>
  </si>
  <si>
    <t>He then directly uses the iron right on the ski too smoothen out the wax he just melted over it, going over it a few times.</t>
  </si>
  <si>
    <t>He then shows a package of dibloc low fluoro hot wax and information on how to contact for services.</t>
  </si>
  <si>
    <t>v_HVU5EmblAP8</t>
  </si>
  <si>
    <t>A man is playing the drums with is hands.</t>
  </si>
  <si>
    <t>The man pauses then plays again.</t>
  </si>
  <si>
    <t>The man pauses then plays slower.</t>
  </si>
  <si>
    <t>v_qb_5_9xDYqc</t>
  </si>
  <si>
    <t>An African American male is standing outside next to a tall rock wall.</t>
  </si>
  <si>
    <t>The man continues touching the rock and begins stretching.</t>
  </si>
  <si>
    <t>After, he begins to actively and ferociously climb the wall and come down on the other side but he does it without any ropes attached to him.</t>
  </si>
  <si>
    <t>v_MleQSQt6Utw</t>
  </si>
  <si>
    <t>A boy in a blue shirt is playing in the sand on the beach.</t>
  </si>
  <si>
    <t>A man in a white shirt is standing behind him helping him.</t>
  </si>
  <si>
    <t>A man in blue shorts is also helping the boy make the sand castle.</t>
  </si>
  <si>
    <t>v_GFQuGc1yY8o</t>
  </si>
  <si>
    <t>A man is shown with a woman dancing in front of a large crowd on a tv show.</t>
  </si>
  <si>
    <t>The woman spins around as the man leads her through the routine.</t>
  </si>
  <si>
    <t>She then is lifted up and spun around again.</t>
  </si>
  <si>
    <t>They dance very romantically and she is spun around various times before being tipped backwards by the man as they continue to dance.</t>
  </si>
  <si>
    <t>The two dancers reach out to one another and the routine ends.</t>
  </si>
  <si>
    <t>v_rML1aj5XW0M</t>
  </si>
  <si>
    <t>A wrestler is hoisted on a man's shoulders.</t>
  </si>
  <si>
    <t>The man throws the wrestler on a table.</t>
  </si>
  <si>
    <t>The other man hollers out loud.</t>
  </si>
  <si>
    <t>One of the other men stands over the injured man.</t>
  </si>
  <si>
    <t>v_1C0Ur7fen8s</t>
  </si>
  <si>
    <t>A group of boys are playing a game of foosball with girls.</t>
  </si>
  <si>
    <t>The two groups stand on either side of the machine.</t>
  </si>
  <si>
    <t>They use the little men to hit the ball back and forth.</t>
  </si>
  <si>
    <t>v_LlgGMRw16UY</t>
  </si>
  <si>
    <t>Teen compete skateboard down the road very fast.</t>
  </si>
  <si>
    <t>A teen falls face down from his skateboard on the ground.</t>
  </si>
  <si>
    <t>Another teen falls on the road.</t>
  </si>
  <si>
    <t>Other teens continue skating and some on them falls while skating.</t>
  </si>
  <si>
    <t>v_QXZkejzunpk</t>
  </si>
  <si>
    <t>People ride bikes on a bumpy track circuit.</t>
  </si>
  <si>
    <t>Then, they arrive to the finish line where people is washing the competition.</t>
  </si>
  <si>
    <t>v_XxMzH75Bhr8</t>
  </si>
  <si>
    <t>A large group of men are seen running around an indoor field when one scores a goal and the audience cheers.</t>
  </si>
  <si>
    <t>Several more shots of goals are shown followed by slowed down shots of each goal.</t>
  </si>
  <si>
    <t>Close up of players are shown and ends with a group of players all hugging and cheering with one another.</t>
  </si>
  <si>
    <t>v_aFlumCYsZgM</t>
  </si>
  <si>
    <t>A boy enjoys an ice cream cone.</t>
  </si>
  <si>
    <t>A girl eats licks and eats an ice cream cone.</t>
  </si>
  <si>
    <t>The boy finishes the ice cream cone.</t>
  </si>
  <si>
    <t>The girl lightly licks the ice cream cone.</t>
  </si>
  <si>
    <t>v_CkC1wxAaDjM</t>
  </si>
  <si>
    <t>An archery tournament begins and the montage shows the players hiding behind shields and firing back and forth.</t>
  </si>
  <si>
    <t>The parents of the children are shown watching the battle.</t>
  </si>
  <si>
    <t>v_gaNiULmtQg8</t>
  </si>
  <si>
    <t>A girl jumps onto a balance beam.</t>
  </si>
  <si>
    <t>She begins to do a routine on the balance beam.</t>
  </si>
  <si>
    <t>She dismounts and lands on the mat with her hands in the air.</t>
  </si>
  <si>
    <t>v_9XanCE5nX2Q</t>
  </si>
  <si>
    <t>There is a woman dancing on stage in front of a man in the beginning.</t>
  </si>
  <si>
    <t>There are many different women doing hip hop moves.</t>
  </si>
  <si>
    <t>v_Qg3Lih9PTBM</t>
  </si>
  <si>
    <t>Two sumos wrestle fiercely while a judge watch them.</t>
  </si>
  <si>
    <t>Then, the sumo wearing black slip pushed out of the ring the other sumo.</t>
  </si>
  <si>
    <t>Then, two sumo wrestle and trip with the judge, one of them falls.</t>
  </si>
  <si>
    <t>After, the sumosn continue wrestling and the sumo with black slip falls out the ring.</t>
  </si>
  <si>
    <t>v_QEfXMtnI6rw</t>
  </si>
  <si>
    <t>A man is seen speaking to the camera while holding up a piece of paper.</t>
  </si>
  <si>
    <t>The man also holds up a razor and begins writing on the paper.</t>
  </si>
  <si>
    <t>The man is then seen shaving his face and ending with credits.</t>
  </si>
  <si>
    <t>v_zyh16NahocQ</t>
  </si>
  <si>
    <t>We see a lady talking in the bathroom.</t>
  </si>
  <si>
    <t>She shows us her blow dryer box.</t>
  </si>
  <si>
    <t>She brings the blow dryer box back into view.</t>
  </si>
  <si>
    <t>The lady grabs and lifts her hair.</t>
  </si>
  <si>
    <t>The lady shows us dryer attachments and the dryer.</t>
  </si>
  <si>
    <t>The lady brushes hear hair and adds blow drys her hair.</t>
  </si>
  <si>
    <t>v_x9BN93AXNTQ</t>
  </si>
  <si>
    <t>A close up of a computer is shown followed by a man stepping into frame and singing into the microphone.</t>
  </si>
  <si>
    <t>The man continues singing while the camera captures him and fades to black in the end.</t>
  </si>
  <si>
    <t>v_5vlGKyxl22M</t>
  </si>
  <si>
    <t>An old woman talks before run in a marathon where there is a lot of people participate.</t>
  </si>
  <si>
    <t>Then, the woman cross the finish line and people help her.</t>
  </si>
  <si>
    <t>A cameraman films on front the finish line while people is arriving.</t>
  </si>
  <si>
    <t>A woman raise her arms when cross the finish line.</t>
  </si>
  <si>
    <t>v_3Z4b34lBnyU</t>
  </si>
  <si>
    <t>A very large man wearing a black speedo is standing in a wrestling rink huffing and puffing.</t>
  </si>
  <si>
    <t>A referee walks past the man, a man from the ground stands up and the very large man kicks him, picks him up, then slams him onto the rink.</t>
  </si>
  <si>
    <t>The man just lays there writhing in pain.</t>
  </si>
  <si>
    <t>v_memk6ryZCjE</t>
  </si>
  <si>
    <t>Two women are seen speaking to one another and leads into them performing martial arts against one another.</t>
  </si>
  <si>
    <t>The girls continue to fight and leads into one sitting down while the other continues to perform moves.</t>
  </si>
  <si>
    <t>v_qPZBSTNEl78</t>
  </si>
  <si>
    <t>A girl in red outfit serves the ball to her friend on an outdoor tennis match.</t>
  </si>
  <si>
    <t>The friend returns the ball and the two play a round of tennis.</t>
  </si>
  <si>
    <t>The ball is deflected by the net and the partner loses the round.</t>
  </si>
  <si>
    <t>v_IdEcXDZ4Cos</t>
  </si>
  <si>
    <t>Several men stand on a pier.</t>
  </si>
  <si>
    <t>One of the men is shirtless.</t>
  </si>
  <si>
    <t>They bring out some raw meat.</t>
  </si>
  <si>
    <t>One of the men gets on a board and does tricks.</t>
  </si>
  <si>
    <t>v_2zwUExKXw9s</t>
  </si>
  <si>
    <t>A group sits on horses as the stand and take a rest.</t>
  </si>
  <si>
    <t>The group rides on the horses along a trail.</t>
  </si>
  <si>
    <t>v_Ni7Lqloy5Qc</t>
  </si>
  <si>
    <t>A woman is seen speaking to the camera as well as other people in a car wit her.</t>
  </si>
  <si>
    <t>Shots of her and her friend are shown through a frame and leads into them looking at tattoos.</t>
  </si>
  <si>
    <t>They're shown singing in the car and waiting to get a tattoo down while still speaking to the camera.</t>
  </si>
  <si>
    <t>The girls are then each shown getting tattoos done and ends with pictures of their tattoos being shown off.</t>
  </si>
  <si>
    <t>v_Mk9n7isIyBs</t>
  </si>
  <si>
    <t>A woman wearing a pink and white shirt and black tights is standing in her front yard.</t>
  </si>
  <si>
    <t>She is holding two batons in her and twirling them.</t>
  </si>
  <si>
    <t>She twirls her body and turns around several times as she twirls the batons in both her hands.</t>
  </si>
  <si>
    <t>She also moves her foot back and forth and walks and lifts her foot as she twirls.</t>
  </si>
  <si>
    <t>She then throws the baton from underneath her leg and catches it with her other hand.</t>
  </si>
  <si>
    <t>she continues twirling the baton near a shady tree.</t>
  </si>
  <si>
    <t>she turns her entire body around as she twirls the batons.</t>
  </si>
  <si>
    <t>She finally bows down and holds the baton straight in her hand.</t>
  </si>
  <si>
    <t>v_zChDaAcfc2o</t>
  </si>
  <si>
    <t>We see water flowing over a river.</t>
  </si>
  <si>
    <t>A title appears on the screen.</t>
  </si>
  <si>
    <t>A person in a canoe goes over the waterfall.</t>
  </si>
  <si>
    <t>The person rides the rapids of the river.</t>
  </si>
  <si>
    <t>We see people on a rock on the riverbank watching the canoer.</t>
  </si>
  <si>
    <t>The person in the canoe smiles and talks to the camera.</t>
  </si>
  <si>
    <t>v_dL--vW-AJJo</t>
  </si>
  <si>
    <t>A close up of tires are shown followed by a man working on a tire as well as being interviewed on camera.</t>
  </si>
  <si>
    <t>The camera captures the tool on the tires from several angles as well as lifting up the car to work underneath.</t>
  </si>
  <si>
    <t>More shots of the men working as shown as one speaks to the camera and ends by fading to white.</t>
  </si>
  <si>
    <t>v_Qfi8dqC4E4s</t>
  </si>
  <si>
    <t>A man and woman wearing red jackets, the man was cheering, while the woman is taking video using her iPad, she has very serious look on her face, the woman handed the iPad to the man.</t>
  </si>
  <si>
    <t>A woman is picking up a pole, putting it inside the bigger pole, a man in blue jacket looked up from the ground.</t>
  </si>
  <si>
    <t>A male athlete wearing red and blue top, blue shorts ran, hopped and jumped, he fell on the #18 sand then got up walked around the grass and field towards the group of people.</t>
  </si>
  <si>
    <t>A male athlete wearing blue top ran to the lane, started hopping after passing the white line and jumped to the sand, hit the sandy ground then stood up, then walked to the track field.</t>
  </si>
  <si>
    <t>A male athlete in red and blue uniform started to run to the field, hopped when passed the white line then jumped towards bed of sandy ground, he hit the ground, fell on his side and stood up and walked towards the field.</t>
  </si>
  <si>
    <t>A woman in red top is shown.</t>
  </si>
  <si>
    <t>v_BnAG37ecNbA</t>
  </si>
  <si>
    <t>A woman is sitting on a hospital bed with a razor handle in her mouth and people around her are moving her hair out of her face.</t>
  </si>
  <si>
    <t>The woman then starts to pull the razor up and down the part of her left leg that she can reach with her bend.</t>
  </si>
  <si>
    <t>The woman then grabs the razor from her mouth with her right hand and starts shaving her left leg.</t>
  </si>
  <si>
    <t>The woman puts the razor handle back in her mouth and tries to shave again but it falls out of her mouth and she drops her head in frustration then leans back on the bed, laughs, and then crosses her arms.</t>
  </si>
  <si>
    <t>v_Et8xkGzQOTA</t>
  </si>
  <si>
    <t>A man in a black hat is standing on the street.</t>
  </si>
  <si>
    <t>A person starts dancing on the street.</t>
  </si>
  <si>
    <t>A man starts break dancing in front of a car.</t>
  </si>
  <si>
    <t>v_ghFOHoBiyD8</t>
  </si>
  <si>
    <t>A man wearing glasses is holding a book and talking.</t>
  </si>
  <si>
    <t>He is shown entering a bowling alley.</t>
  </si>
  <si>
    <t>The man interviews players and joins them in a game of bowling.</t>
  </si>
  <si>
    <t>A player explains the techniques he uses.</t>
  </si>
  <si>
    <t>v_rhfoyYzp93Q</t>
  </si>
  <si>
    <t>A person is paddling down a river in a canoe.</t>
  </si>
  <si>
    <t>The person turns and looks back.</t>
  </si>
  <si>
    <t>v_dUvZ6-IVo34</t>
  </si>
  <si>
    <t>A man is seen speaking to the camera while holding up an instrument.</t>
  </si>
  <si>
    <t>The man then begins playing the instrument in front of the camera.</t>
  </si>
  <si>
    <t>The man continues to play the instrument and stops to look at the camera.</t>
  </si>
  <si>
    <t>v_Cu8kOOnAjaw</t>
  </si>
  <si>
    <t>A dog is close to the camera, play fighting with another dog.</t>
  </si>
  <si>
    <t>They jump off a man's lap, then back on again as they continue to play.</t>
  </si>
  <si>
    <t>The man puts his glasses back on as the dogs calm down and lie down on his lap.</t>
  </si>
  <si>
    <t>v_eRh6V0bcBpU</t>
  </si>
  <si>
    <t>Inside a man and a woman are playing a game of raquet ball.</t>
  </si>
  <si>
    <t>She begins to talk about it for a little bit very causally.</t>
  </si>
  <si>
    <t>Then, she goes to practice hitting it by herself for a little bit.</t>
  </si>
  <si>
    <t>This is a game she really enjoys to play, its a hobby.</t>
  </si>
  <si>
    <t>v_X1bmeq4u6YE</t>
  </si>
  <si>
    <t>A video shows how to make curry toast.</t>
  </si>
  <si>
    <t>The curry is in a pan and the bread and butter are on a tray.</t>
  </si>
  <si>
    <t>The man applies the butter, then the curry to the bread before toasting it.</t>
  </si>
  <si>
    <t>A cartoon charicature of a stick person dances at the end.</t>
  </si>
  <si>
    <t>v_nuEK3POl9jA</t>
  </si>
  <si>
    <t>At the 2008 Olympics, a man prepares to lift a loaded barbell.</t>
  </si>
  <si>
    <t>He bends down and works his way up with great effort, finally lifting the barbell over his head.</t>
  </si>
  <si>
    <t>He drops the weights and they crash to the ground.</t>
  </si>
  <si>
    <t>He celebrates and we see that the Olympian has set a record.</t>
  </si>
  <si>
    <t>v_tp0L6sR1qts</t>
  </si>
  <si>
    <t>A man is seen rolling out a bike and begins checking the tires with another man.</t>
  </si>
  <si>
    <t>One man cuts a wire and checks more tires and another man spins the tires once more.</t>
  </si>
  <si>
    <t>v_JU_o9ZtH-VM</t>
  </si>
  <si>
    <t>A balded man is seen speaking to the camera with a head sitting behind him with a head full of hair.</t>
  </si>
  <si>
    <t>He then cuts the hair on the dummy in a certain fashion and the camera zooms in on the finished result in the end.</t>
  </si>
  <si>
    <t>v_5k0KMrksf8c</t>
  </si>
  <si>
    <t>Two teams are standing at the scrimmage line together waiting to play the game.</t>
  </si>
  <si>
    <t>The game begins and the two teams fight each ferociously in a game of Lacrosse.</t>
  </si>
  <si>
    <t>One person gets hit so bad,he is out and remains laying down on the field as the rest of the players take off down the field.</t>
  </si>
  <si>
    <t>v_z6IsPWucZnU</t>
  </si>
  <si>
    <t>A baby is shown floating upside down in a pool.</t>
  </si>
  <si>
    <t>Trainers are teaching the child how to stay afloat.</t>
  </si>
  <si>
    <t>He is learning how to swim, keeping himself above water.</t>
  </si>
  <si>
    <t>v__O6ONcIPR_s</t>
  </si>
  <si>
    <t>A wind kite is shown in the air.</t>
  </si>
  <si>
    <t>A man in a black shirt is controlling the wind kite and falls on the ground.</t>
  </si>
  <si>
    <t>Dogs are running around on the grass.</t>
  </si>
  <si>
    <t>v_qYN_YrwUCBs</t>
  </si>
  <si>
    <t>An introduction graphic comes onto the screen presenting a volleyball championship.</t>
  </si>
  <si>
    <t>A man comes onto the screen announcing the competition before it begins.</t>
  </si>
  <si>
    <t>Different girls are shown playing beach volley ball as the narrator tells the story of their road to the championship.</t>
  </si>
  <si>
    <t>Many of the team members are shown talking on the court and strategizing for the win.</t>
  </si>
  <si>
    <t>The video cuts to a conference room where there is a discussion about the volleyball players.</t>
  </si>
  <si>
    <t>The video ends with the graphics for the c losing credits.</t>
  </si>
  <si>
    <t>v_NKZzGiS5hv0</t>
  </si>
  <si>
    <t>men are siting in a dark room talking to the camera.</t>
  </si>
  <si>
    <t>sumo wrestlers are standing in stage ready to fight and people are gathered around them and sitting in he terraces.</t>
  </si>
  <si>
    <t>men are talking in the dark room and explaining their point of view.</t>
  </si>
  <si>
    <t>v_RQO61KXeBos</t>
  </si>
  <si>
    <t>A man starts running down with a stick he places it down and jumps over a really high obstacle, he lands and gloats.</t>
  </si>
  <si>
    <t>The next man takes his turn and he does the same using the stick to get over the obstacle and jumping up with excitement after landing.</t>
  </si>
  <si>
    <t>Then another man takes his turn and when he lands he throws off his helmet and yells and jumps for joy like the previous men.</t>
  </si>
  <si>
    <t>The audience is very thrilled too, they all take more turns trying to get the best score.</t>
  </si>
  <si>
    <t>v__nup1BwPnXc</t>
  </si>
  <si>
    <t>We see kids in purple pose for a photo.</t>
  </si>
  <si>
    <t>The kids then play tug of war as two girls stand nearby cheering.</t>
  </si>
  <si>
    <t>We switch to a girl and a boy cheering.</t>
  </si>
  <si>
    <t>We see two different kids cheering.</t>
  </si>
  <si>
    <t>We switch the cheering kids again.</t>
  </si>
  <si>
    <t>The kids win and an jump and cheer as one girl talks to a teacher.</t>
  </si>
  <si>
    <t>v_sA8fmJulHMs</t>
  </si>
  <si>
    <t>Several shirtless men are gathered in a room, one smokes a cigarette as the rest cheer him on.</t>
  </si>
  <si>
    <t>He sucks down the cigarette all the way down to the bud.</t>
  </si>
  <si>
    <t>He coughs a bit and then inhales it in his nose, pointing to the camera afterwards.</t>
  </si>
  <si>
    <t>v_eM-l2d8e-CA</t>
  </si>
  <si>
    <t>Pucks are seen sitting along the ice as well as a man speaking to the camera and people walking around.</t>
  </si>
  <si>
    <t>More clips are shown of people curling on the ice while also speaking to the camera.</t>
  </si>
  <si>
    <t>The people continue to push the puck along the ice while looking back to the camera as well as speaking to the camera.</t>
  </si>
  <si>
    <t>v_PgoRelvwBUI</t>
  </si>
  <si>
    <t>We see a tire well on a table in a clamp.</t>
  </si>
  <si>
    <t>A man puts a vice grip on the well.</t>
  </si>
  <si>
    <t>The man pushes and spins a tire over the wheel well.</t>
  </si>
  <si>
    <t>v_V3ZDyR7mVpc</t>
  </si>
  <si>
    <t>We see waterski and the side of a boat.</t>
  </si>
  <si>
    <t>We see a boy standing on a dock, people gas their boat then board.</t>
  </si>
  <si>
    <t>We see two boys playing.</t>
  </si>
  <si>
    <t>We see a person water skiing on a lake.</t>
  </si>
  <si>
    <t>We see the cars in the parking lot near the lake and a dog sniffs the camera.</t>
  </si>
  <si>
    <t>We see a shop then a person paddling on a kayak.</t>
  </si>
  <si>
    <t>A person jumps into the water and we see the water skier again.</t>
  </si>
  <si>
    <t>A boy on a trampoline in a shop, people on a raft and a boy jumps in the water.</t>
  </si>
  <si>
    <t>We see a boy on a toy bike, the water skier falls.</t>
  </si>
  <si>
    <t>A person on skis jumps a ramp.</t>
  </si>
  <si>
    <t>v_otWcr0Rxy5g</t>
  </si>
  <si>
    <t>a group of performers are standing on a stage.</t>
  </si>
  <si>
    <t>They turn, and begin playing the drums.</t>
  </si>
  <si>
    <t>They put on sunglasses while they play for the audience.</t>
  </si>
  <si>
    <t>v_uqAFtPVzEEs</t>
  </si>
  <si>
    <t>A news man is standing in front of a screen talking as it displays a volleyball game on the beach.</t>
  </si>
  <si>
    <t>Then we see the players, fighting over and kicking the ball, alternating with speaking to the camera individually before going back to scenes from the game.</t>
  </si>
  <si>
    <t>v_qpdREcmjhUw</t>
  </si>
  <si>
    <t>A young boy has a long stick in had and is pushing a puck across a white triangle with numbers in it.</t>
  </si>
  <si>
    <t>The puck goes to far down the board and the toddler chases after it.</t>
  </si>
  <si>
    <t>Once the puck is back on the board,he takes off running back down the board.</t>
  </si>
  <si>
    <t>v_9x7FyIJdVsI</t>
  </si>
  <si>
    <t>A male is shown deep underwater in a pool doing a breast stroke.</t>
  </si>
  <si>
    <t>As he is swimming,a man in an orange polo is standing on the outside describing his technique.</t>
  </si>
  <si>
    <t>v_DsnVkCHbEVM</t>
  </si>
  <si>
    <t>A series of screen flashes and it shows statistics about driving drunk and when to take breaks driving.</t>
  </si>
  <si>
    <t>After, a group of about forty individuals are in a large pool playing water polo.</t>
  </si>
  <si>
    <t>The people take turns going back and forth throwing the ball and a person finally makes a goal.</t>
  </si>
  <si>
    <t>v_wj0D-wiqEb0</t>
  </si>
  <si>
    <t>A man is playing a wooden instrument inext to another man, sitting inside a small room.</t>
  </si>
  <si>
    <t>When he is done, he lowers his instrument and smiles broadly.</t>
  </si>
  <si>
    <t>They appear to be riding inside a train.</t>
  </si>
  <si>
    <t>v_sbvdGKpHy2M</t>
  </si>
  <si>
    <t>The interior and supplies of an old fashioned barber shop are shown.</t>
  </si>
  <si>
    <t>A man sharpens a razor strap.</t>
  </si>
  <si>
    <t>He shows off the cream as he puts it on his client.</t>
  </si>
  <si>
    <t>He then gently and professionally gives the man a beard shave.</t>
  </si>
  <si>
    <t>The man lies still as he applies a cloth, then aftershave.</t>
  </si>
  <si>
    <t>A close up is shown of the clean shaven face.</t>
  </si>
  <si>
    <t>v_Ti3z17QofU8</t>
  </si>
  <si>
    <t>We see an opening scene on a black background.</t>
  </si>
  <si>
    <t>We see a man hammer a nail.</t>
  </si>
  <si>
    <t>The man shows us some bolts.</t>
  </si>
  <si>
    <t>We see the man screw a screw in.</t>
  </si>
  <si>
    <t>v_WYjtYDyHUxY</t>
  </si>
  <si>
    <t>Several shots are shown of paintball are shown followed by many pictures of guns.</t>
  </si>
  <si>
    <t>More pictures of guns are shown and ends with text across the screen.</t>
  </si>
  <si>
    <t>v_vLJz4a4NvRI</t>
  </si>
  <si>
    <t>We see an opening title screen and a man and lady look happy and the lady throws her hands in the air.</t>
  </si>
  <si>
    <t>We see a man dealing blackjack in front of a screen.</t>
  </si>
  <si>
    <t>We see a C emblem screen.</t>
  </si>
  <si>
    <t>We see the man continue to deal cards.</t>
  </si>
  <si>
    <t>v_v-mNvC8zVhE</t>
  </si>
  <si>
    <t>A young lady is in a room rolling down a piece of grey and white wallpaper on a wall.</t>
  </si>
  <si>
    <t>She is now on another wall and is using a utensil to smooth out the paper.</t>
  </si>
  <si>
    <t>Then,she is shown cutting the grey wallpaper and brushing it.</t>
  </si>
  <si>
    <t>Finally,she moves to another flower piece and begins to cut off the excess paper ensuring it is measured correctly.</t>
  </si>
  <si>
    <t>v_PzERiygIpkg</t>
  </si>
  <si>
    <t>A person is seen sticking their hands under a dink and rubbing soap on their hands.</t>
  </si>
  <si>
    <t>The person scrubs their hands thoroughly and then runs them under a faucet.</t>
  </si>
  <si>
    <t>She then grabs a paper towel to dry her hands and show them off.</t>
  </si>
  <si>
    <t>v_4WrU5OdkvY0</t>
  </si>
  <si>
    <t>A man is seen stretching on the floor followed by people fencing with one another.</t>
  </si>
  <si>
    <t>People move back and fourth around an arena fencing with one another and the camera capturing their movements.</t>
  </si>
  <si>
    <t>They continue fighting back and fourth and end by walking away.</t>
  </si>
  <si>
    <t>v_h2HRRkwHoKw</t>
  </si>
  <si>
    <t>There is a busy restaurant by the lakeside where nearly all the tables are occupied by guests dining there.</t>
  </si>
  <si>
    <t>The server fills in ice in the glasses and barista makes coffee.</t>
  </si>
  <si>
    <t>The customers are busy eating their food that is served.</t>
  </si>
  <si>
    <t>The bartender is mixing drinks to make various cocktails.</t>
  </si>
  <si>
    <t>The barista is making latte and cappuccino.</t>
  </si>
  <si>
    <t>A lady customer is seen enjoying her drinks.</t>
  </si>
  <si>
    <t>v_3_Gha8keu-A</t>
  </si>
  <si>
    <t>A group of women stand facing the camera.</t>
  </si>
  <si>
    <t>An older woman walks to the head of the group.</t>
  </si>
  <si>
    <t>The group dance together facing the camera.</t>
  </si>
  <si>
    <t>v_gHYcZYkrxxQ</t>
  </si>
  <si>
    <t>A man in a snow covered parking lot lined with tall street lamps scrapes hardened snow and ice off of his maroon sports car at night.</t>
  </si>
  <si>
    <t>The man begins by scraping ice and snow off of the bottom of his windshield and the hood of his car and front grill.</t>
  </si>
  <si>
    <t>The man then scrapes and kicks at ice chunks surrounding the area around the front passenger tire.</t>
  </si>
  <si>
    <t>Lastly, the man scrapes ice off of the trunk of the car and the rear passenger tire area before waiving and walking toward the camera.</t>
  </si>
  <si>
    <t>v_-s1MQAiOMeY</t>
  </si>
  <si>
    <t>A black template with scrolling print with white lettering goes across the screen in an upward motion.</t>
  </si>
  <si>
    <t>A motor boat with two canoe like hulls on either side of the sail, sails across an ocean, in daylight, with two people hanging on to the side.</t>
  </si>
  <si>
    <t>The image of the boat on the water changes to night vision with only green and white colors reflecting before the credits roll.</t>
  </si>
  <si>
    <t>v_MuOkEmd4Gp0</t>
  </si>
  <si>
    <t>There are four people participating the BMX dirt biking competition.</t>
  </si>
  <si>
    <t>They are doing incredible stunts on their bikes by jumping up high over ditches and steep terrain.</t>
  </si>
  <si>
    <t>One of the bikers takes a fall after he leaps over a hilly road.</t>
  </si>
  <si>
    <t>Several other bikers go in full speed over hilly terrain and steep hills.</t>
  </si>
  <si>
    <t>People are gathered to watch and participate in the BMX event.</t>
  </si>
  <si>
    <t>The bikers continue doing their stunts as they go over hilly terrain and hilltops.</t>
  </si>
  <si>
    <t>The winners of the race are awarded trophies and certificates.</t>
  </si>
  <si>
    <t>They proudly raise their trophies high up to show their accomplishment.</t>
  </si>
  <si>
    <t>v_xUHXFXela-0</t>
  </si>
  <si>
    <t>man is climbong a rock wall atached to harness.</t>
  </si>
  <si>
    <t>a group of friends are standing on the field and above them the man is climbing the rock wall.</t>
  </si>
  <si>
    <t>man is climbong the rock wall holding it and the other people on the floor is attached to harness ready to climb the wall too.</t>
  </si>
  <si>
    <t>v_wEwp63lUsrE</t>
  </si>
  <si>
    <t>A man wearing gloves is seen speaking to the camera while holding up various objects to the camera.</t>
  </si>
  <si>
    <t>He then puts the objects together to create a large flame and hammers down a tool in the end and shows the results.</t>
  </si>
  <si>
    <t>v_oYmE833AO2w</t>
  </si>
  <si>
    <t>A man in grey shirt applies plaster with a handheld spatula to the interior wall of a building.</t>
  </si>
  <si>
    <t>The main points to the corners of the room to show the line he is working.</t>
  </si>
  <si>
    <t>The man in applies more plaster the the wall and covers more area.</t>
  </si>
  <si>
    <t>The man in grey stops to discuss with his partner.</t>
  </si>
  <si>
    <t>The man in grey along with his partner begin to apply a coating on the wall together.</t>
  </si>
  <si>
    <t>The man in grey watches and gives tips to his friend.</t>
  </si>
  <si>
    <t>The man in grey and the friend both apply plaster together higher up on the wall and ceiling.</t>
  </si>
  <si>
    <t>v_R_HDifqMHSY</t>
  </si>
  <si>
    <t>A singer is shown standing on a piano on a large stage and talking into the mic while a drummer plays in the background.</t>
  </si>
  <si>
    <t>He continues singing to the audience followed by jumping off the piano and dancing around the stage.</t>
  </si>
  <si>
    <t>The drums continue to play and the lights flicker behind him while people shuffle other drums around the set.</t>
  </si>
  <si>
    <t>The two men then begin playing the drums back to back with each other while switching between drum kits and movements.</t>
  </si>
  <si>
    <t>v_l_R7AbA-d04</t>
  </si>
  <si>
    <t>A camera pans in on a television set that leads into a man holding a stick in front of a large crowd.</t>
  </si>
  <si>
    <t>He speaks to a woman and a shot of people playing shuffle board is shown in slow motion.</t>
  </si>
  <si>
    <t>v_ni6VySdH0XY</t>
  </si>
  <si>
    <t>A person is sharpening a knife behind a table.</t>
  </si>
  <si>
    <t>People are standing in front of the table watching.</t>
  </si>
  <si>
    <t>He picks up the knife sharpener and uses it to sharpen the knife.</t>
  </si>
  <si>
    <t>v_bXCOtMuaJf4</t>
  </si>
  <si>
    <t>A woman is seen washing dishes in a sink while a man speaks to the camera and zooms in on the dishes.</t>
  </si>
  <si>
    <t>The man continues to speak to the camera and demonstrate how to properly wash dishes.</t>
  </si>
  <si>
    <t>v_sbT8DfccM7I</t>
  </si>
  <si>
    <t>A person is seen standing in front of a picnic table speaking to the camera while holding a bike wheel.</t>
  </si>
  <si>
    <t>He then puts the tire on the ground, moving his hands around the make sure the tire is properly inflated.</t>
  </si>
  <si>
    <t>He paces the tire back onto the table then pulls out a rope to tie it with.</t>
  </si>
  <si>
    <t>v_Oheg1qwrESg</t>
  </si>
  <si>
    <t>Two people are seen moving back and fourth on a large mat while fencing with one another.</t>
  </si>
  <si>
    <t>The audience cheers as they finish and ends by showing the match again in slow motion.</t>
  </si>
  <si>
    <t>v_afL6f_pwgMs</t>
  </si>
  <si>
    <t>A person is seen sitting in a tube drinking a beer while other people are seen siting off in the distance.</t>
  </si>
  <si>
    <t>More shots are shown of the people riding along in tubes while drinking beers and speaking to one another.</t>
  </si>
  <si>
    <t>v_gLsHOCeeVUM</t>
  </si>
  <si>
    <t>A girl is seen speaking to the camera and leads into her holding bottles and washing her face.</t>
  </si>
  <si>
    <t>She wipes her face down with a towel and then puts lotion all over her face.</t>
  </si>
  <si>
    <t>v_4r0qYLCucEI</t>
  </si>
  <si>
    <t>A man dressed inn a black shirt and camouflage print shorts is demonstrating how to fix the rubber tires on a car wheel rim.</t>
  </si>
  <si>
    <t>He shows all the tools that are required to do the process.</t>
  </si>
  <si>
    <t>He takes the rubber tire and sprays it with a liquid.</t>
  </si>
  <si>
    <t>Then he fits the inner rim of the wheel into the tire.</t>
  </si>
  <si>
    <t>He uses a mallet to secure it in tightly.</t>
  </si>
  <si>
    <t>He then uses a tool to tighten the various screws that run across the entire diameter of the inner circle of the tire.</t>
  </si>
  <si>
    <t>Then he uses a torque wrench to tighten the screws further.</t>
  </si>
  <si>
    <t>He fills in air and checks the tire pressure.</t>
  </si>
  <si>
    <t>v_yEn-5y95DI0</t>
  </si>
  <si>
    <t>A group of girls are posing for a picture.</t>
  </si>
  <si>
    <t>They are then shown playing volleyall on a field in front of several tents.</t>
  </si>
  <si>
    <t>They lob the ball back and forth.</t>
  </si>
  <si>
    <t>A boy makes a hand gesture in front of the camera as he smiles.</t>
  </si>
  <si>
    <t>Again we are shown the group of girls posing in the photograph.</t>
  </si>
  <si>
    <t>v_lrM8LSnXmSw</t>
  </si>
  <si>
    <t>A woman is seen speaking to the camera while standing in front of a board.</t>
  </si>
  <si>
    <t>She begins moving up and down the board while spinning herself around and moving her body.</t>
  </si>
  <si>
    <t>She continues to move and stops to face the camera in the end.</t>
  </si>
  <si>
    <t>v_7lUaR1veDJU</t>
  </si>
  <si>
    <t>We see people playing water polo in a pool.</t>
  </si>
  <si>
    <t>A man in the rear on the right throws the ball to a player closer to the goal.</t>
  </si>
  <si>
    <t>That player then throws the ball across to a man on the left.</t>
  </si>
  <si>
    <t>A man grabs the ball and throws it in the goal.</t>
  </si>
  <si>
    <t>v_j_IJQAywTuU</t>
  </si>
  <si>
    <t>A young boy is seen riding along a skateboard followed by several more shots of people riding on boards.</t>
  </si>
  <si>
    <t>The boys perform several tricks while the camera pans into the sky and move up and down the track.</t>
  </si>
  <si>
    <t>v_rzZutQSmyJo</t>
  </si>
  <si>
    <t>A woman is playing a set of bagpipes in a room.</t>
  </si>
  <si>
    <t>She laughs as a man helps her adjust the pipes, and continues to play.</t>
  </si>
  <si>
    <t>v_hQIwXufRVGY</t>
  </si>
  <si>
    <t>A large black dog is walking down the street.</t>
  </si>
  <si>
    <t>He is holding the leash of another dog in his mouth.</t>
  </si>
  <si>
    <t>The second dog allows the first to lead him wherever he goes.</t>
  </si>
  <si>
    <t>v_afORRx0QZgI</t>
  </si>
  <si>
    <t>A woman lays on the floor in a room.</t>
  </si>
  <si>
    <t>Music starts to play and she gets up and begins belly dancing.</t>
  </si>
  <si>
    <t>As she dances, others watch.</t>
  </si>
  <si>
    <t>In the background, a child gives a woman a hug as they watch on.</t>
  </si>
  <si>
    <t>The music stops and the dancer walks off stage.</t>
  </si>
  <si>
    <t>v_izSjI7hH1-Y</t>
  </si>
  <si>
    <t>A young woman is sitting a chair extremely still as a pair of scissors are being put up her nose.</t>
  </si>
  <si>
    <t>The person who is piercing her septum continues to hold it and grabs the needle with the other hand.</t>
  </si>
  <si>
    <t>Once he pierces it,a drop of snot flies from her nose and the girl begins talking until the balls are on the end of the ring.</t>
  </si>
  <si>
    <t>v_iwHZqcYwZYU</t>
  </si>
  <si>
    <t>A man steps on a diving board and jumps.</t>
  </si>
  <si>
    <t>Then, the man flips three times and and dive in the pool.</t>
  </si>
  <si>
    <t>v_hR1HPLOmR1I</t>
  </si>
  <si>
    <t>A pinata is hanging from the ceiling.</t>
  </si>
  <si>
    <t>A boy is hitting the pinata with a stick.</t>
  </si>
  <si>
    <t>People are standing behind him watching.</t>
  </si>
  <si>
    <t>v_ThYidZUtnuo</t>
  </si>
  <si>
    <t>A worker removes moss from the top of a roof.</t>
  </si>
  <si>
    <t>Another worker sprays water all over the roof.</t>
  </si>
  <si>
    <t>The roof is then really clean.</t>
  </si>
  <si>
    <t>v_eC90hOqQ0yk</t>
  </si>
  <si>
    <t>Two men are seen kneeling before one another and begin wrestling one another.</t>
  </si>
  <si>
    <t>A large group of people are seen watching on the side while the men fight.</t>
  </si>
  <si>
    <t>The men continue fighting with one pushing the other out into the ring.</t>
  </si>
  <si>
    <t>v_--mFXNrRZ5E</t>
  </si>
  <si>
    <t>Two men are dressed in fencing gear.</t>
  </si>
  <si>
    <t>They are battling on a court with their swords.</t>
  </si>
  <si>
    <t>Green lines occasionally indicate the moves they are making.</t>
  </si>
  <si>
    <t>They stab at each other with the swords and jump about the stage.</t>
  </si>
  <si>
    <t>v_3IdaN49b9xg</t>
  </si>
  <si>
    <t>A person put objects in a pumpkin on a desk while looking inside it.</t>
  </si>
  <si>
    <t>When the man walks away, the pumpkin blast and turn on an light to see the a mouth and two eyes.</t>
  </si>
  <si>
    <t>v_894d9_pty3o</t>
  </si>
  <si>
    <t>A group of people are skiing down the side of a mountain.</t>
  </si>
  <si>
    <t>A group of moose are baying between scenes of lifts and helicopters overhead.</t>
  </si>
  <si>
    <t>People give each other high fives as they ski.</t>
  </si>
  <si>
    <t>v_6QImnhUemH0</t>
  </si>
  <si>
    <t>The man puts the mop into the blue mop bucket first and then he starts mopping.</t>
  </si>
  <si>
    <t>First he mops near the stove and the counter.</t>
  </si>
  <si>
    <t>Then he mops on the floor that between the refrigerator and another counter.</t>
  </si>
  <si>
    <t>Then he mops the center of the kitchen floor.</t>
  </si>
  <si>
    <t>v_7LvEI5zhENk</t>
  </si>
  <si>
    <t>We see a shot of a track and field arena.</t>
  </si>
  <si>
    <t>A lady in a blue shirt from Uzbekistan runs and performs a high jump and we see her score.</t>
  </si>
  <si>
    <t>We see a lady from china run and perform a high jump and see her score and we see her manager and a slow motion.</t>
  </si>
  <si>
    <t>An different lady from Uzbekistan performs a high jump and we see her score.</t>
  </si>
  <si>
    <t>The first lady performs again and knocks the bar over and looks disappointed.</t>
  </si>
  <si>
    <t>The lady from China has a second turn and also knocks over the bar and looks mad.</t>
  </si>
  <si>
    <t>The second lady from Uzbekistan performs and clears the bar and almost cries.</t>
  </si>
  <si>
    <t>We see the arena and scoreboard on the screen.</t>
  </si>
  <si>
    <t>v_UZNw4utsywI</t>
  </si>
  <si>
    <t>Several clips are shown of people riding around on skateboards in a park while looking back and smiling to the camera.</t>
  </si>
  <si>
    <t>The video continues with many more shots of people performing grinds and tricks on their skateboards and speaking to the camera.</t>
  </si>
  <si>
    <t>In the end they are seen driving around together in a car and laughing with one another.</t>
  </si>
  <si>
    <t>v_nxDAt9SkPoA</t>
  </si>
  <si>
    <t>A group of men and women are doing jump rope for aerobic exercise.</t>
  </si>
  <si>
    <t>They run in a circle, jumping as they run.</t>
  </si>
  <si>
    <t>They then lay out mats, and do several yoga cool down moves.</t>
  </si>
  <si>
    <t>v_WQXoBfyUpaY</t>
  </si>
  <si>
    <t>We see a man and a woman enter a bar room in costumes.</t>
  </si>
  <si>
    <t>The man and woman perform a dance.</t>
  </si>
  <si>
    <t>The man flips the woman and swings her around.</t>
  </si>
  <si>
    <t>The man picks up the woman and puts her on his shoulders.</t>
  </si>
  <si>
    <t>He then flips her off and onto the ground.</t>
  </si>
  <si>
    <t>The man puts the lady on his shoulder and flips her two times.</t>
  </si>
  <si>
    <t>The man spins the lady around and around and dips the lady.</t>
  </si>
  <si>
    <t>The crowd claps for the people.</t>
  </si>
  <si>
    <t>The man spins the lady around.</t>
  </si>
  <si>
    <t>The dances finish and take their bows and shake hands.</t>
  </si>
  <si>
    <t>v_S5Aj9b5T284</t>
  </si>
  <si>
    <t>Several men play table football while an audience watches on.</t>
  </si>
  <si>
    <t>A bald individual retrieves the ball and reinserts it into play.</t>
  </si>
  <si>
    <t>The bald individual reaches for the table for some reason.</t>
  </si>
  <si>
    <t>The bald individual retrieves the ball and reinserts it into play again.</t>
  </si>
  <si>
    <t>The players shake hands as the match ends.</t>
  </si>
  <si>
    <t>v_ursegSrjG1M</t>
  </si>
  <si>
    <t>A man is seen speaking to the camera and leads into clips of him moving dirt.</t>
  </si>
  <si>
    <t>Other men help plant the areas while moving around wheel barrows and planting plants while still speaking to the camera.</t>
  </si>
  <si>
    <t>v_IBte7CKOLSs</t>
  </si>
  <si>
    <t>A man throws a bowling balls and throws all the pins every time.</t>
  </si>
  <si>
    <t>Then, the man continues playing bowling successfully.</t>
  </si>
  <si>
    <t>The man miss one pin in the last play.</t>
  </si>
  <si>
    <t>v_LkA7hS3FBkQ</t>
  </si>
  <si>
    <t>A rests underneath a car in place but not lifting it off the ground.</t>
  </si>
  <si>
    <t>A man uses an electric drill to wind up the floor jack and lift the car tire off the ground.</t>
  </si>
  <si>
    <t>The man uses the electric drill again to mind down the floor jack and lower the car.</t>
  </si>
  <si>
    <t>v_PUHGXI6N0DA</t>
  </si>
  <si>
    <t>A male gymnast walks up to a beam, powdering his hands.</t>
  </si>
  <si>
    <t>He mounts the beam, then spins around it several times, changing between bars.</t>
  </si>
  <si>
    <t>He dismounts, then raises his arms into the air.</t>
  </si>
  <si>
    <t>v_a-6lVnhqU4w</t>
  </si>
  <si>
    <t>A young woman is holding a tablet to record a video of people running in a race and she is standing in the stands at a track filled with people.</t>
  </si>
  <si>
    <t>A man is running across the grass field with an orange shirt and a flag on the grass in the middle of the track.</t>
  </si>
  <si>
    <t>Another man in a black shirt runs towards the man in the orange shirt.</t>
  </si>
  <si>
    <t>The young woman continues to video the track with her tablet.</t>
  </si>
  <si>
    <t>The man in the orange shirt is running across the grass again.</t>
  </si>
  <si>
    <t>The young woman puts her tablet down after trying to video the game and looks off into the distance at the people on the track.</t>
  </si>
  <si>
    <t>Everyone starts clapping together in the stands.</t>
  </si>
  <si>
    <t>There is a photo with a guy wearing a track uniform.</t>
  </si>
  <si>
    <t>v_dzpsJQN4o-Y</t>
  </si>
  <si>
    <t>The door opens and two people wearing slippers enter the room.</t>
  </si>
  <si>
    <t>A logo briefly appears on the screen.</t>
  </si>
  <si>
    <t>Two men standing in front of a pair of bathroom sinks and mirrors remove the robes they're wearing to reveal spandex clothing, then turn to face the camera to speak.</t>
  </si>
  <si>
    <t>A large group of people ride bicycles down the road.</t>
  </si>
  <si>
    <t>A barefoot man stands in a bathroom.</t>
  </si>
  <si>
    <t>The title "How to Shave Your Legs" appears over a man performing that action.</t>
  </si>
  <si>
    <t>The men discuss and demonstrate using an electric razor to shave your legs.</t>
  </si>
  <si>
    <t>One then discusses how high your legs should be shaved.</t>
  </si>
  <si>
    <t>The man demonstrates how to lather up your legs.</t>
  </si>
  <si>
    <t>The two men demonstrate how to use a razor to shave your legs.</t>
  </si>
  <si>
    <t>They then demonstrate how to rinse your legs off.</t>
  </si>
  <si>
    <t>A man rides a bike down the road.</t>
  </si>
  <si>
    <t>The two men shave their other leg.</t>
  </si>
  <si>
    <t>v_Ye6_xb7h7jc</t>
  </si>
  <si>
    <t>two kids are standing in front of a christmas tree showing purple boots that are on the christmas tree hanging.</t>
  </si>
  <si>
    <t>the kids are pointing out the balls and the ornamens.</t>
  </si>
  <si>
    <t>the kids stands next to the three and say goodbye to the camera.</t>
  </si>
  <si>
    <t>v_bQ0L24YbGGI</t>
  </si>
  <si>
    <t>A person lifts them up in the air over them.</t>
  </si>
  <si>
    <t>Ballerinas are dancing on a stage.</t>
  </si>
  <si>
    <t>v_U7x4eGLBITE</t>
  </si>
  <si>
    <t>People are pulled up a hill on a tug rope sitting on inter tubes.</t>
  </si>
  <si>
    <t>A family pulls their inter tubes along by hand and the top of the hill.</t>
  </si>
  <si>
    <t>A person sits in an inter tube at the top of a hill then rides down the slope laughing.</t>
  </si>
  <si>
    <t>The family straps together the inter tubes in a circular grouping with the kids sitting in them.</t>
  </si>
  <si>
    <t>The family rides in a large grouping of inter tubes down a snowy slope.</t>
  </si>
  <si>
    <t>v_3kcGcDv0NOw</t>
  </si>
  <si>
    <t>An athletic man is seen spinning in circles and throwing a discuss long across a field.</t>
  </si>
  <si>
    <t>He steps up and throws several more balls in a circle while in the end wiping sweat off his face with his shirt.</t>
  </si>
  <si>
    <t>v_UNPQdg_tWh4</t>
  </si>
  <si>
    <t>A man is seen walking across a yard while holding a stick in his hand.</t>
  </si>
  <si>
    <t>The man is then seen playing a game of crochet while others watch on the side.</t>
  </si>
  <si>
    <t>The man continues to hit the ball around as well as bend down and measure out his shots.</t>
  </si>
  <si>
    <t>v_yHXZZEucV1I</t>
  </si>
  <si>
    <t>The credits of clip are shown.</t>
  </si>
  <si>
    <t>Limes are cut into pieces on a white cutting board.</t>
  </si>
  <si>
    <t>The cut limes are placed in a blender with a liquid and blended.</t>
  </si>
  <si>
    <t>The liquid is added to a pitcher with a strainer.</t>
  </si>
  <si>
    <t>The credits of video are shown.</t>
  </si>
  <si>
    <t>v_GLHsjvmOXRs</t>
  </si>
  <si>
    <t>A news woman sits at a desk, talking.</t>
  </si>
  <si>
    <t>We see numerous people running into water with kayaks, racing down a river of rapids.</t>
  </si>
  <si>
    <t>When they are done, several of the competitors are interviewed on camera, and others walk in the water on fake kayaks.</t>
  </si>
  <si>
    <t>v_eXUcFgDxslw</t>
  </si>
  <si>
    <t>We see a pregnant lady doing ballet in a studio.</t>
  </si>
  <si>
    <t>The lady spins and does a pliea.</t>
  </si>
  <si>
    <t>The people in the background clap for the lady.</t>
  </si>
  <si>
    <t>The lady then walks off camera while laughing.</t>
  </si>
  <si>
    <t>v_cht49ZCSDmY</t>
  </si>
  <si>
    <t>Two water faucets are running and show a persons hands under the sink.</t>
  </si>
  <si>
    <t>The man moves his hands around and then ends with him wiping his hands through his hair.</t>
  </si>
  <si>
    <t>v_PWriIL3pTWY</t>
  </si>
  <si>
    <t>A man in a pink suit talks to a man in a red suit and man not wearing a shirt.</t>
  </si>
  <si>
    <t>They play rock paper scissors.</t>
  </si>
  <si>
    <t>The man in the pink suit celebrates.</t>
  </si>
  <si>
    <t>The man not wearing a shirt chases the man in the pink suit.</t>
  </si>
  <si>
    <t>The man in the pink suit falls down.</t>
  </si>
  <si>
    <t>The man not wearing a shirt throws a white barrel at the man on the ground.</t>
  </si>
  <si>
    <t>A man in a black suit comes out from the bushes.</t>
  </si>
  <si>
    <t>He fights the man in the red suit.</t>
  </si>
  <si>
    <t>The man with out a shirt throws a barrel on the man in the black suit.</t>
  </si>
  <si>
    <t>v_uaIu2yDmhNU</t>
  </si>
  <si>
    <t>A jump runner warms up before going in for a long jump.</t>
  </si>
  <si>
    <t>He does the long jump, then immediately hops up and runs back, cheering and celebrating with the crowd.</t>
  </si>
  <si>
    <t>He beats his chest and hugs people.</t>
  </si>
  <si>
    <t>He then poses in front of a scoreboard while people take photographs.</t>
  </si>
  <si>
    <t>v_ODblEia5mcI</t>
  </si>
  <si>
    <t>A man makes repairs to a bicycle on the hardwood floors of a bedroom while two cats look on.</t>
  </si>
  <si>
    <t>A man enters a bedroom and takes a part a bicycle on his bedroom floor.</t>
  </si>
  <si>
    <t>The man then makes repairs using tools while two cats walk around the periphery watching and moving around.</t>
  </si>
  <si>
    <t>The man produces a lot of black dust while making the repairs to the bicycle, and he eventually leaves the room, comes back and then leaves again as one cat approaches the area the man was working from.</t>
  </si>
  <si>
    <t>v_Jt-DIHv8YK8</t>
  </si>
  <si>
    <t>A kid in a blue shirt is long boarding.</t>
  </si>
  <si>
    <t>He falls off and onto the street.</t>
  </si>
  <si>
    <t>He keeps going down the street on his long board.</t>
  </si>
  <si>
    <t>v_HoybOj2Ro7o</t>
  </si>
  <si>
    <t>A camera zooms in on various foods and ingredients as well as a pan on a stove.</t>
  </si>
  <si>
    <t>A person wearing gloves is seen spreading food onto a plate followed by a large pastry and spreading butter on it.</t>
  </si>
  <si>
    <t>The person continues making layers and then undoes the cake and shows off the solid cake.</t>
  </si>
  <si>
    <t>She takes tape out and then rolls out more dough and spreads it along the cake, showing off the finished result.</t>
  </si>
  <si>
    <t>v_L73C-2b0yEw</t>
  </si>
  <si>
    <t>A man stand on front a table full of objects while people listen to the man.</t>
  </si>
  <si>
    <t>A woman exhibit granola bars and explains to people around the table.</t>
  </si>
  <si>
    <t>Then, a person put wax on skis with an electric small machine in a room full of skis.</t>
  </si>
  <si>
    <t>v_nvsZFU73npI</t>
  </si>
  <si>
    <t>man is interviewing some people who is watching two women in bikini wrestling, the woman wins and start jumping.</t>
  </si>
  <si>
    <t>two women in bikini are standing with a dwarf and he is winning the fight while the interviewer is talking to people in the audience.</t>
  </si>
  <si>
    <t>women in bikini are preparing to wrest in the ring.</t>
  </si>
  <si>
    <t>some clips of youtube videos are shown.</t>
  </si>
  <si>
    <t>v_c21Y_pi3-Gg</t>
  </si>
  <si>
    <t>Several close ups of sandwiches are seen as well as a person cutting up meat and vegetables.</t>
  </si>
  <si>
    <t>The person cuts up bread following by laying various ingredients on the bread.</t>
  </si>
  <si>
    <t>The person closes the bread to make sandwiches followed by putting them in a french press and presenting them to the camera.</t>
  </si>
  <si>
    <t>v_xBtOxEIETtk</t>
  </si>
  <si>
    <t>A man is seen performing break dancing moves in the middle of a city square while people walk in and out of frame.</t>
  </si>
  <si>
    <t>The man continues to dance around and hold poses while looking back to the camera.</t>
  </si>
  <si>
    <t>v_12qgT1JASV4</t>
  </si>
  <si>
    <t>Two people does kick box in a boxing ring on front a crowd, while the referee turns around the boxers.</t>
  </si>
  <si>
    <t>The referee fix the helmet of the boxer.</t>
  </si>
  <si>
    <t>A stick fly and lands on the boxing ring.</t>
  </si>
  <si>
    <t>v_DyVqsDJYXdM</t>
  </si>
  <si>
    <t>A play the is part of a cricket game is shown on the screen.</t>
  </si>
  <si>
    <t>They players in the cricket game are shown celebrating and interacting with one another.</t>
  </si>
  <si>
    <t>A replay is shown and stats are then shown on the screen.</t>
  </si>
  <si>
    <t>The game continues with another play and a replay is shown of that play.</t>
  </si>
  <si>
    <t>Another play is shown and a replay of that play is shown as well.</t>
  </si>
  <si>
    <t>The next play is shown an the team begins to celebrate before a replay of that play is shown.</t>
  </si>
  <si>
    <t>The next play is shown and then the video ends.</t>
  </si>
  <si>
    <t>v_AdXXy6WTVi0</t>
  </si>
  <si>
    <t>A camera pans around a beach area followed by people walking with a surf board and proceeding to do tricks on the water.</t>
  </si>
  <si>
    <t>The camera captures the men performing different tricks as well as swimming in the ocean and moving in slow motion.</t>
  </si>
  <si>
    <t>v_M2pxaQiBbXA</t>
  </si>
  <si>
    <t>A water polo game is shown, with one player highlighted.</t>
  </si>
  <si>
    <t>A man dressed in white walks back and forth by the poolside in the background.</t>
  </si>
  <si>
    <t>A man dressed in white is shown standing in the foreground and gesturing.</t>
  </si>
  <si>
    <t>v_9yiXv7Hu5Lw</t>
  </si>
  <si>
    <t>A man dressed in yellow and black winter clothes ice fishes on a a frozen lake.</t>
  </si>
  <si>
    <t>The man is reeling in a fish for a long time.</t>
  </si>
  <si>
    <t>The mans catch finally reaches the surface.</t>
  </si>
  <si>
    <t>v_2cc7BoZHEJI</t>
  </si>
  <si>
    <t>People are playing a game of water polo in a swimming pool.</t>
  </si>
  <si>
    <t>A woman standing on the side of the pool is talking to the camera.</t>
  </si>
  <si>
    <t>A man blows a whistle on the side of the swimming pool.</t>
  </si>
  <si>
    <t>v_Y_QRRCIujIc</t>
  </si>
  <si>
    <t>A young man is shown in a room playing ping pong.</t>
  </si>
  <si>
    <t>At one point he shrugs his shoulders while waiting for his opponent to start.</t>
  </si>
  <si>
    <t>The video continues to show the man playing ping pong, and at times stopping due to the ball leaving the table.</t>
  </si>
  <si>
    <t>The video ends as the man comes up to the camera to turn it off.</t>
  </si>
  <si>
    <t>v_cYLIJC6QjQA</t>
  </si>
  <si>
    <t>There are several people in a park participating in outdoor activities.</t>
  </si>
  <si>
    <t>There is a person biking on a tight rope, trying to balance as he falls off towards the end of the rope.</t>
  </si>
  <si>
    <t>There are children running around on the ground.</t>
  </si>
  <si>
    <t>There's another man walking on the tight rope.</t>
  </si>
  <si>
    <t>There are also many people sitting on the ground as they watch the activities.</t>
  </si>
  <si>
    <t>One man continues to walk and jump and bounce on the tight rope, doing stunts as the people watch him.</t>
  </si>
  <si>
    <t>There is a bicycle fallen on the ground with its wheels turning fast.</t>
  </si>
  <si>
    <t>v_yqOW5LBA81w</t>
  </si>
  <si>
    <t>A man cuts the hedge of a house using a trimmer.</t>
  </si>
  <si>
    <t>The man stops cutting and pulls the wire of the trimmer and continues cutting.</t>
  </si>
  <si>
    <t>v_agIcVWDyeH0</t>
  </si>
  <si>
    <t>A young boy is seen sitting on a chair talking to the camera.</t>
  </si>
  <si>
    <t>He shows that his arm is in a cast and putting on his socks and shoes.</t>
  </si>
  <si>
    <t>He finally ties his shoes and looks back at the camera.</t>
  </si>
  <si>
    <t>v_9_7Z6Nhkzx8</t>
  </si>
  <si>
    <t>A few children are dressed up to go out on dirtbikes.</t>
  </si>
  <si>
    <t>The children do jumps and make fast turns.</t>
  </si>
  <si>
    <t>An onboard camera captures all of the fun.</t>
  </si>
  <si>
    <t>v_jCyrQzXK4eI</t>
  </si>
  <si>
    <t>A young man is painting the fence.</t>
  </si>
  <si>
    <t>A man in white shirt came up to the man in stripes and talk to him.</t>
  </si>
  <si>
    <t>The man in stripes painted the bread, then he is talking in his cellphone.</t>
  </si>
  <si>
    <t>v_MeGHSbUpM-U</t>
  </si>
  <si>
    <t>There are two people sailing on a speed boat through the ocean on a sunny day.</t>
  </si>
  <si>
    <t>They go through the ocean water steadily and at high speed.</t>
  </si>
  <si>
    <t>One of the sailors pulls a red rope as he wake boards on the steam boat.</t>
  </si>
  <si>
    <t>They speed through the water to catch up with another boat that is ahead of them.</t>
  </si>
  <si>
    <t>Several other steam boats pass by them as they sail through the ocean.</t>
  </si>
  <si>
    <t>v_a073aSPGTIw</t>
  </si>
  <si>
    <t>A woman is in a home gym, talking to the camera.</t>
  </si>
  <si>
    <t>She demonstrates how to use exercise equipment, pedalling and pulling ropes, even while sitting at a computer.</t>
  </si>
  <si>
    <t>She talks to the camera for an extended period, peppered with training on the equipment.</t>
  </si>
  <si>
    <t>v_rmGvgGOkqyk</t>
  </si>
  <si>
    <t>The audience look on at the games.</t>
  </si>
  <si>
    <t>A guy run with a thin, elongated stick and throws the stick.</t>
  </si>
  <si>
    <t>The guy sticks out his tongue.</t>
  </si>
  <si>
    <t>The guy holds his lips together and raises his hand.</t>
  </si>
  <si>
    <t>The guy smiles and puts a cloth down.</t>
  </si>
  <si>
    <t>v_k5lyc7zsox8</t>
  </si>
  <si>
    <t>The Scottish Archery Association has gathered in their range with several people ready to participate in an event.</t>
  </si>
  <si>
    <t>the participants take turns to use their bow and arrow to aim art the target board placed several feet away from them.</t>
  </si>
  <si>
    <t>The archers aim their arrows and shoot at the target to aim for the bulls eye.</t>
  </si>
  <si>
    <t>v_uJbM9KQBXak</t>
  </si>
  <si>
    <t>A person is walking along a slack line.</t>
  </si>
  <si>
    <t>They are moving back and forth on the slack line.</t>
  </si>
  <si>
    <t>He turns around and starts walking in the other direction.</t>
  </si>
  <si>
    <t>v_eAFFf5cSX5c</t>
  </si>
  <si>
    <t>A man and a woman perform various dance moves back and fourth in an empty room.</t>
  </si>
  <si>
    <t>The couple continue to spin and perform the tango routine while the man spins her around behind him.</t>
  </si>
  <si>
    <t>v_i3u27-oJzBY</t>
  </si>
  <si>
    <t>A man is seen speaking to the camera while holding a wire in his hands.</t>
  </si>
  <si>
    <t>He continues to speak while using his hands and stepping around a carpeted area.</t>
  </si>
  <si>
    <t>He then uses a vacuum on the floors while still speaking to the camera.</t>
  </si>
  <si>
    <t>v_bNGldPjMYHc</t>
  </si>
  <si>
    <t>A clip is shown of a bunch of people white water rafting down some pretty tough river streams.</t>
  </si>
  <si>
    <t>They work in unison and it is very rough.</t>
  </si>
  <si>
    <t>They almost hit a rock as they all paddle very hard.</t>
  </si>
  <si>
    <t>A still show of them after making it through is shown with them cheering.</t>
  </si>
  <si>
    <t>A shot of them in slow motion of the most difficult parts is then shown.</t>
  </si>
  <si>
    <t>The video shows some more slow motion and fast motion before coming to an end and showing ending credits and a youtube channel name.</t>
  </si>
  <si>
    <t>v_fpVaXCwccNk</t>
  </si>
  <si>
    <t>A lady is standing and holding a hammer.</t>
  </si>
  <si>
    <t>The lady spins with the hammer and throws the hammer.</t>
  </si>
  <si>
    <t>The lady leaves after releasing the hammer.</t>
  </si>
  <si>
    <t>v_ap2XL5wma4c</t>
  </si>
  <si>
    <t>children are playing in an olimpic pool and a woman is talking to camera.</t>
  </si>
  <si>
    <t>kid is using sunscreen and a woman is talking about coppertone sunscreen recommended for kids.</t>
  </si>
  <si>
    <t>v_ecVUPpBNpdA</t>
  </si>
  <si>
    <t>A man speaks holding a microphone, then the man performs arm wrestling with a person.</t>
  </si>
  <si>
    <t>The man grabs a weigh and practice weight lifting with his left hand.</t>
  </si>
  <si>
    <t>After, the man takes his watch off and performs arm wrestling with the person and wins, then he jumps happily.</t>
  </si>
  <si>
    <t>v_nlHN3bO_MOQ</t>
  </si>
  <si>
    <t>A drum line is happening on a city street.</t>
  </si>
  <si>
    <t>They get in formation then start marching down the street.</t>
  </si>
  <si>
    <t>v_oL1gGyMz79s</t>
  </si>
  <si>
    <t>A man is bowling and misses one pin with his first ball.</t>
  </si>
  <si>
    <t>He gets all strikes for the next six rounds.</t>
  </si>
  <si>
    <t>The man switches balls and bowls several more rounds getting mostly strikes.</t>
  </si>
  <si>
    <t>He changes his ball again and bowls two more strikes.</t>
  </si>
  <si>
    <t>A replay of the man bowling with each ball is shown.</t>
  </si>
  <si>
    <t>v_w2fsq9BOoZo</t>
  </si>
  <si>
    <t>People are in a city walking, talking and doing activities.</t>
  </si>
  <si>
    <t>Two men play in the street paper, scissors and stone on front other people.</t>
  </si>
  <si>
    <t>A man talks with people watching him.</t>
  </si>
  <si>
    <t>v_qnDHR-jYWf0</t>
  </si>
  <si>
    <t>a man is shown inside a swimming pool.</t>
  </si>
  <si>
    <t>He tosses a ball over and over to his dog.</t>
  </si>
  <si>
    <t>The dog continuously bounces the ball back with his nose.</t>
  </si>
  <si>
    <t>v_HbF6UM4jUDk</t>
  </si>
  <si>
    <t>A woman in a green shirt is standing outside holding a hula hoop.</t>
  </si>
  <si>
    <t>She starts hula hooping with the hula hoop.</t>
  </si>
  <si>
    <t>Words come up onto the screen at the end.</t>
  </si>
  <si>
    <t>v_l9mvKfKACio</t>
  </si>
  <si>
    <t>A group of people are outside a ski resort entitled Boulder ridge and they begin to wait in line with their tubes.</t>
  </si>
  <si>
    <t>As they are waiting,they can see several people going down the hill and tubing before it is finally their turn.</t>
  </si>
  <si>
    <t>Once they reach the bottom,they grab their tube and begin to walk off the slope.</t>
  </si>
  <si>
    <t>v_2vixXUJiNhk</t>
  </si>
  <si>
    <t>An intro video with a blue screen that has a picture of a drawn ship is in the background while yellow words scroll from the bottom to the top.</t>
  </si>
  <si>
    <t>A view from the water begins and a few houses and a lot of trees are shown on land.</t>
  </si>
  <si>
    <t>A person underwater in snorkeling gear is now swimming around the bottom of the water and meets up with another snorkeler and they both go into a ship that is underwater as they both hold their flashlights and cameras to explore the ship and everything else at the bottom of the water.</t>
  </si>
  <si>
    <t>A school of fishes appear and they're swimming and hanging around the boat.</t>
  </si>
  <si>
    <t>The focus goes back to the snorkelers as they continue to explore the area with their flashlights.</t>
  </si>
  <si>
    <t>The outro video appears and it's the same blue picture as the intro and includes some contact information on the video and the credits begin to roll with the text scrolling from bottom to top.</t>
  </si>
  <si>
    <t>v_CTmXCO7ha-Y</t>
  </si>
  <si>
    <t>A man is seated, playing a guitar.</t>
  </si>
  <si>
    <t>Close ups are occasionally shown of the instrument, then back to the man playing.</t>
  </si>
  <si>
    <t>v_PU6f-DcDngM</t>
  </si>
  <si>
    <t>People are playing a polo match in a field.</t>
  </si>
  <si>
    <t>The focus is on one man and horse who chase the ball.</t>
  </si>
  <si>
    <t>The camera stays on number 2 the whole time.</t>
  </si>
  <si>
    <t>v_XkTWEDKtP1A</t>
  </si>
  <si>
    <t>A man named bob is running and does a long jump.</t>
  </si>
  <si>
    <t>He does it again landing into some sand.</t>
  </si>
  <si>
    <t>He continues to do this run and jump again landing like a pro.</t>
  </si>
  <si>
    <t>Then another man named ralph is going to take his own turn next.</t>
  </si>
  <si>
    <t>v_q4jeW0iSA9Y</t>
  </si>
  <si>
    <t>Various text intros lead into several people running down a long track.</t>
  </si>
  <si>
    <t>The camera captures the runners from several angles and leads into them performing jumps.</t>
  </si>
  <si>
    <t>The runners continuously jump into the pit and end with text across the screen.</t>
  </si>
  <si>
    <t>v_eyfUkLbsixg</t>
  </si>
  <si>
    <t>A woman in a red suit is talking behind a desk.</t>
  </si>
  <si>
    <t>A man is standing up holding his foot behind is back.</t>
  </si>
  <si>
    <t>People are running down the sidewalk.</t>
  </si>
  <si>
    <t>A man in a blue shirt is talking to the camera.</t>
  </si>
  <si>
    <t>A woman in a black shirt is talking to the camera.</t>
  </si>
  <si>
    <t>People are running down a trail.</t>
  </si>
  <si>
    <t>v_oxcUr-Nlldo</t>
  </si>
  <si>
    <t>We see men walking down the street and a skateboarder fall.</t>
  </si>
  <si>
    <t>We see club kids and skateboarders with title screens.</t>
  </si>
  <si>
    <t>We see men skateboard down a street and stand around in groups.</t>
  </si>
  <si>
    <t>A man jumps over stairs and runs into the camera.</t>
  </si>
  <si>
    <t>A man falls and another runs into the camera.</t>
  </si>
  <si>
    <t>We see a man wave and another on a bull horn.</t>
  </si>
  <si>
    <t>The club lights flash and a band plays music as people dance.</t>
  </si>
  <si>
    <t>We see the credits and more skating.</t>
  </si>
  <si>
    <t>v_JRg3W4xKvJI</t>
  </si>
  <si>
    <t>An intro clip appears and it's an animation of a gray rocking chair rocking on a very light gray screen that have orange words that say "THE Strippers!" and the white letters M&amp;R in a dark blue oval.</t>
  </si>
  <si>
    <t>Clips of the shop exterior and interior are shown and it includes a person in an office, people in the shop working on the wood pieces, people being interviewed, wood supplies, and the finished wood pieces themselves.</t>
  </si>
  <si>
    <t>The outro appears and it's the video clip of the workers working on the wood pieces, and text appear on the screen that include the shops address, email, website and phone number, the exterior shop is shown again.</t>
  </si>
  <si>
    <t>The last screen is the light gray screen first shown and include the company name, number and the website.</t>
  </si>
  <si>
    <t>v_SOpFjnAT_SE</t>
  </si>
  <si>
    <t>A girl sits in front of a lap top.</t>
  </si>
  <si>
    <t>She is smoking a hookah with a red tip, and blowing the smoke out of her mouth.</t>
  </si>
  <si>
    <t>She laughs, then shares the hookah with another woman, who changes the tip and smokes as well.</t>
  </si>
  <si>
    <t>The women talk and smoke at the table for a long time.</t>
  </si>
  <si>
    <t>v_76RoR_LbIzQ</t>
  </si>
  <si>
    <t>Pictures of an office is shown.</t>
  </si>
  <si>
    <t>A woman is doing another woman's hair.</t>
  </si>
  <si>
    <t>People are doing hair in a hair salon.</t>
  </si>
  <si>
    <t>v_R7QwxoVTtE0</t>
  </si>
  <si>
    <t>A woman is seen speaking to the camera while holding various objects in her hands and begins spraying down a window in front of her.</t>
  </si>
  <si>
    <t>The woman wipes down the window with a rag as well as a scraper and continues to look back and speak to the camera.</t>
  </si>
  <si>
    <t>v_-06dWmCzbxY</t>
  </si>
  <si>
    <t>A person rides down a rapid on an inter tube in a group of friends on a rocky river.</t>
  </si>
  <si>
    <t>The people in the intertubes are helped along by a river guides in polo shirt.</t>
  </si>
  <si>
    <t>v_BetFWvm92nM</t>
  </si>
  <si>
    <t>A girl pours liquid from a bottle to a cup that holds a young lady, then they rinse their mouths while making gestures and laughing.</t>
  </si>
  <si>
    <t>After, the young lady spits the liquid and then she pock the cheek of the girl who spits.</t>
  </si>
  <si>
    <t>Next, the girl turns on the faucet of the bathtub and bend, after the girl turns off the faucet and clean her hands while speaking.</t>
  </si>
  <si>
    <t>v_YgrWck47C-g</t>
  </si>
  <si>
    <t>We see a man talking.</t>
  </si>
  <si>
    <t>The man wets his hands and adds soap.</t>
  </si>
  <si>
    <t>We see the man wash his hands.</t>
  </si>
  <si>
    <t>The man rinses his hands.</t>
  </si>
  <si>
    <t>The man drys his hands and turns the water off with the paper towel.</t>
  </si>
  <si>
    <t>v_xIAq1OdWQM0</t>
  </si>
  <si>
    <t>Several young men practice long jumps, and backward jumps inside of a gym with an American Flag hanging on the wall.</t>
  </si>
  <si>
    <t>A man practices a long jump inside of an indoor gym using a interior sandbox for landing and a drawn race track isle.</t>
  </si>
  <si>
    <t>Another man practices hurling himself backward over a pole onto a gym mat inside of the gym.</t>
  </si>
  <si>
    <t>Several more men practice long jumps and backward jumps inside of the gym using the sandbox and gym mats as landing tools.</t>
  </si>
  <si>
    <t>v_PziLzNjG2bI</t>
  </si>
  <si>
    <t>There are two contestants participating in the athletic jump competition.</t>
  </si>
  <si>
    <t>There are several spectators and judges watching them as they jump over the bar in a large indoor stadium.</t>
  </si>
  <si>
    <t>Both the contestants successfully jump over the bar.</t>
  </si>
  <si>
    <t>There is a slow motion video of the contestant jumping over the bar.</t>
  </si>
  <si>
    <t>v_3vs3ofTw1vY</t>
  </si>
  <si>
    <t>There are several people getting ready to ski.</t>
  </si>
  <si>
    <t>There's a person skiing downhill with full speed whose shadow can be seen.</t>
  </si>
  <si>
    <t>There are people sitting and waiting on top of a mountain waiting to start skiing.</t>
  </si>
  <si>
    <t>The skier going fast downhill is demonstrating how to turn and manage speed while going downhill.</t>
  </si>
  <si>
    <t>There are some people walking toward the ski mountain on a escalator.</t>
  </si>
  <si>
    <t>The skier continues to ski downhill steadily on steep and winding slopes.</t>
  </si>
  <si>
    <t>v_QrsOyEw4_7k</t>
  </si>
  <si>
    <t>There's a girl with light eyes and dark brown hair talking about a colored eye lenses.</t>
  </si>
  <si>
    <t>She is doing a tutorial on how to wear colored lenses in your eyes.</t>
  </si>
  <si>
    <t>She opens a small glass bottle that contains the colored lenses.</t>
  </si>
  <si>
    <t>She removes the lens out and places it on her finger.</t>
  </si>
  <si>
    <t>Then she gently wears the lens in her right eye first and then in her left eye.</t>
  </si>
  <si>
    <t>She shows the yellow colored lens that she has worn.</t>
  </si>
  <si>
    <t>v_L7Gt1NO1nx8</t>
  </si>
  <si>
    <t>We see the title over the scene.</t>
  </si>
  <si>
    <t>We see the reverse of a man is mowing his lawn with an electric mower.</t>
  </si>
  <si>
    <t>The man goes halfway up the yard and turns around.</t>
  </si>
  <si>
    <t>The ending title returns to the screen.</t>
  </si>
  <si>
    <t>v_nARkYpOZWyg</t>
  </si>
  <si>
    <t>A man rides on a small rail cart blowing leaves with a leaf blower.</t>
  </si>
  <si>
    <t>The man goes right on a fork in the tracks on a cart and around a bend.</t>
  </si>
  <si>
    <t>v_0zXTrkgUj0U</t>
  </si>
  <si>
    <t>A young child uses a toy vacuum cleaner on a wood floor.</t>
  </si>
  <si>
    <t>The mom comes and helps the child.</t>
  </si>
  <si>
    <t>v_EZZzVXqxG6U</t>
  </si>
  <si>
    <t>Multiple men begin to start turning their bodies as quickly as they possibly can.</t>
  </si>
  <si>
    <t>They each in different situations but all playing the same sport.</t>
  </si>
  <si>
    <t>They build up as much speed as possible so they can throw as far as possible.</t>
  </si>
  <si>
    <t>There are even audience for this sport that actually come to watch it.</t>
  </si>
  <si>
    <t>v_8klHUzPHtQw</t>
  </si>
  <si>
    <t>We see a BMX biker as he prepares to to ride.</t>
  </si>
  <si>
    <t>We see the gate open and see the field.</t>
  </si>
  <si>
    <t>The rider takes off down the course.</t>
  </si>
  <si>
    <t>We see riders perform jumps and people riding bikes.</t>
  </si>
  <si>
    <t>We see another start and a group of people take off in an indoor track.</t>
  </si>
  <si>
    <t>We see shots of men riding outdoors and another gate opens.</t>
  </si>
  <si>
    <t>We see a bike laying on it's side.</t>
  </si>
  <si>
    <t>v_7xLL5okHSIU</t>
  </si>
  <si>
    <t>A intro begins and shows a man holding a shovel and talking to the camera.</t>
  </si>
  <si>
    <t>He gradually rakes leaves and talks to the camera and shows several people also helping picking up leaves.</t>
  </si>
  <si>
    <t>Different people are interviewed on camera while several others are shown raking up the leaves.</t>
  </si>
  <si>
    <t>A man is seen sitting in his car and another puts his gloves on.</t>
  </si>
  <si>
    <t>The camera pans over the raked up leaves while several others discuss their hard work.</t>
  </si>
  <si>
    <t>v_kTStFRAp99E</t>
  </si>
  <si>
    <t>We see two girls one sitting the other bending over.</t>
  </si>
  <si>
    <t>The bending girl stands up.</t>
  </si>
  <si>
    <t>We see a person painting the sitting girls toe nails.</t>
  </si>
  <si>
    <t>v_QTD0vCdofTE</t>
  </si>
  <si>
    <t>little kid is in a parking playing hopscotch next to cars.</t>
  </si>
  <si>
    <t>man wearing shorts is standing next to the hopscotch game.</t>
  </si>
  <si>
    <t>litle blond kid is standing in street playing in font of a man.</t>
  </si>
  <si>
    <t>v_RX8YG2zlyUo</t>
  </si>
  <si>
    <t>There are horses, and they are getting off a trailer.</t>
  </si>
  <si>
    <t>They go to ride through the desert, through different portions of the desert.</t>
  </si>
  <si>
    <t>v_vfJnUQ9Tax0</t>
  </si>
  <si>
    <t>A woman is seen washing her hands under a sink with a light appearing in the water for temperature.</t>
  </si>
  <si>
    <t>The person continues scrubbing their hands and shakes them off in the end.</t>
  </si>
  <si>
    <t>v_4wIqgWw53XE</t>
  </si>
  <si>
    <t>People sail on sailboards in the ocean.</t>
  </si>
  <si>
    <t>A man sails on a sailboard passing on front other sailors.</t>
  </si>
  <si>
    <t>A plane fly above the beach where people sail.</t>
  </si>
  <si>
    <t>A woman takes picture of the city from a hill.</t>
  </si>
  <si>
    <t>v_BxyOAXTWkzk</t>
  </si>
  <si>
    <t>Several people are seen in different scenes, walking in public.</t>
  </si>
  <si>
    <t>A man helps a woman mount a horse in the woods.</t>
  </si>
  <si>
    <t>She feeds the horse apples as they ride through the wooded paths.</t>
  </si>
  <si>
    <t>v_BVzW_OoUmnU</t>
  </si>
  <si>
    <t>A boy is standing out in the woods holding a piece of bark and talking to the camera.</t>
  </si>
  <si>
    <t>A woman is seen making a stack of logs while the boy walks into frame.</t>
  </si>
  <si>
    <t>She continues lighting the stick until a flame begins and puts it into the fire.</t>
  </si>
  <si>
    <t>The fire gradually gets bigger and the woman puts more and more bark into it.</t>
  </si>
  <si>
    <t>v_aj2cioE_yG0</t>
  </si>
  <si>
    <t>A man is seen wearing a red shirt and standing next to a fooseball table.</t>
  </si>
  <si>
    <t>The man plays a bit followed by holding up a beer can and presenting it to the camera.</t>
  </si>
  <si>
    <t>The man then continues to play while the camera zooms in on the table.</t>
  </si>
  <si>
    <t>v_Zhfm2dWtnpc</t>
  </si>
  <si>
    <t>A man runs all around doing jump rope while the crowd cheers.</t>
  </si>
  <si>
    <t>Some people are crawling around in the background on the floor.</t>
  </si>
  <si>
    <t>The man finishes the routine and then runs over to hug a woman.</t>
  </si>
  <si>
    <t>v_t2wawfMaTzM</t>
  </si>
  <si>
    <t>Two kids are seen standing around in indoor room holding tennis rackets.</t>
  </si>
  <si>
    <t>The camera pans around to children hitting the ball holding tennis rackets.</t>
  </si>
  <si>
    <t>The kids continue to hit the ball around one another.</t>
  </si>
  <si>
    <t>v_Chj1_JbBc4A</t>
  </si>
  <si>
    <t>A small group of people are seen standing with one another and leads into them running and playing a game of paintball.</t>
  </si>
  <si>
    <t>The cameraman aims all around him from capturing others and shooting several times off into the distance.</t>
  </si>
  <si>
    <t>The game continues on with the man running around and stopping in the end.</t>
  </si>
  <si>
    <t>v_88Mt7VfUQBU</t>
  </si>
  <si>
    <t>A man is kneeling down on a blue mat.</t>
  </si>
  <si>
    <t>Another man kneels down on the ground next to him.</t>
  </si>
  <si>
    <t>The man lifts up one end of a weight and lifts it over his head.</t>
  </si>
  <si>
    <t>v_2DTwoKZsLMo</t>
  </si>
  <si>
    <t>A man wearing black socks is shown putting his black leather shoes on and tying his laces.</t>
  </si>
  <si>
    <t>There's another person wearing brown leather shoes on black socks.</t>
  </si>
  <si>
    <t>He ties the laces tightly to secure them.</t>
  </si>
  <si>
    <t>Then another scene shows a person wearing leather slip on shoes over black socks.</t>
  </si>
  <si>
    <t>Followed by several scenes showing the person wearing brown leather shoes with laces.</t>
  </si>
  <si>
    <t>He wears the shoes over black socks and ties the shoe laces securely.</t>
  </si>
  <si>
    <t>He then stands up after he's done wearing the brown leather shoes.</t>
  </si>
  <si>
    <t>v_3HUvtWSu4mA</t>
  </si>
  <si>
    <t>A person's hands are seen clipping the nails of a cat while the cat struggles a bit.</t>
  </si>
  <si>
    <t>More shots of her clipping the cat are shown and at one point he moves and she grabs him by the neck.</t>
  </si>
  <si>
    <t>v_i9t0zZzzbhE</t>
  </si>
  <si>
    <t>men are in a stadium cleaning te snow from the stands.</t>
  </si>
  <si>
    <t>men are riding horses in snowy field.</t>
  </si>
  <si>
    <t>men are puting boots and polo uniforms.</t>
  </si>
  <si>
    <t>women are standing in a field walking and sitting on stands.</t>
  </si>
  <si>
    <t>men are playing polo in snowy field while people is around watching them.</t>
  </si>
  <si>
    <t>v_GejFc4J2mfc</t>
  </si>
  <si>
    <t>A young man wearing a tie die shirt is seen speaking to the camera and then shows him picking out some clothes.</t>
  </si>
  <si>
    <t>He shows off his legs and then runs an electric razor down his legs shaving off the hair.</t>
  </si>
  <si>
    <t>He then puts shaving cream on his legs and shaves them, finally showing off his bare legs in the end and speaking to the camera.</t>
  </si>
  <si>
    <t>v_A9uBPwP7DQc</t>
  </si>
  <si>
    <t>We see astronauts floating in a ship.</t>
  </si>
  <si>
    <t>The man hands the lady the microphone.</t>
  </si>
  <si>
    <t>The middle man crosses his hands and has the microphone.</t>
  </si>
  <si>
    <t>The lady gets the microphone back and talks.</t>
  </si>
  <si>
    <t>The lady grabs flute and plays.</t>
  </si>
  <si>
    <t>v_bXp_reTHyHY</t>
  </si>
  <si>
    <t>A woman is seen walking with a horse and pans around to another girl walking away.</t>
  </si>
  <si>
    <t>More girls are seen holding a product and speaking to the camera and leads into the girls showing how to clean the horse and brushing the horse.</t>
  </si>
  <si>
    <t>v_PhioVMXx0yY</t>
  </si>
  <si>
    <t>A man is using an elliptical trainer while standing.</t>
  </si>
  <si>
    <t>Then a woman sits on it as she uses it in another fashion.</t>
  </si>
  <si>
    <t>It switches between the two as they exercise.</t>
  </si>
  <si>
    <t>A close up is shown as to how the machine works, and folds up for easy storage.</t>
  </si>
  <si>
    <t>v_AUSqTMtjD0Y</t>
  </si>
  <si>
    <t>A man and boy are outside on a driveway.</t>
  </si>
  <si>
    <t>They are competing to see how fast they can shovel snow off the driveway.</t>
  </si>
  <si>
    <t>They run back and forth as fast as they can.</t>
  </si>
  <si>
    <t>v_kgPvfYhmn54</t>
  </si>
  <si>
    <t>A group of people are floating on rafts on a river.</t>
  </si>
  <si>
    <t>They are paddling the rafts through harsh white water rapids.</t>
  </si>
  <si>
    <t>The people fall out, and are pulled back in by other rafters before continuing on their way.</t>
  </si>
  <si>
    <t>v_o9LZZeQZ-Zc</t>
  </si>
  <si>
    <t>A man is seen speaking to the camera while sitting in a kayak and holding a toy person on a kayak around in his lap.</t>
  </si>
  <si>
    <t>The man continues to speak to the camera while holding the object and leads into him riding around in the kayak.</t>
  </si>
  <si>
    <t>v_mXM5FOi_OoM</t>
  </si>
  <si>
    <t>A man is seen outside in front of a porch pushing a mower back and fourth.</t>
  </si>
  <si>
    <t>He runs the mower along the grass and moves up and down the lawn.</t>
  </si>
  <si>
    <t>v_iDofsMwceTo</t>
  </si>
  <si>
    <t>A man is wearing a suit and speaking and the words on the screen say that his name is Rich Noonan and that he's the host of Best of The Best Television.</t>
  </si>
  <si>
    <t>A series still shot pictures of homes, people, stucco work being done on a home, a list of stucco information begin to play and the opening words before the pictures start say "BEST OF THE BEST TELEVISION".</t>
  </si>
  <si>
    <t>When the pictures are done a dark gray screen appears that include the name of the stucco company, their phone number and their website.</t>
  </si>
  <si>
    <t>The host appears talking once again and it ends with the words a screen saying BEST OF THE BEST TELEVISION and then a screen naming the producer and his website.</t>
  </si>
  <si>
    <t>v_0z7qHOca3D4</t>
  </si>
  <si>
    <t>An introduction graphic is seen with title.</t>
  </si>
  <si>
    <t>A large empty beach is seen seen from the shore.</t>
  </si>
  <si>
    <t>A bird is seen walking along the shoreline.</t>
  </si>
  <si>
    <t>A group rides horses along the coast line together.</t>
  </si>
  <si>
    <t>Different species of flowers are seen.</t>
  </si>
  <si>
    <t>The group rides up along the bluffs.</t>
  </si>
  <si>
    <t>A female rider rides near the waters edge.</t>
  </si>
  <si>
    <t>The group rides through loose sand and the horses kick it up into the air.</t>
  </si>
  <si>
    <t>The group rides along a dune section and through some low vegetation.</t>
  </si>
  <si>
    <t>The group rides at a gallup through the water and along the beach.</t>
  </si>
  <si>
    <t>The riders ride slowly and then it becomes later in the day and the sun is getting low.</t>
  </si>
  <si>
    <t>The beach is seen from a distance as the sun has set.</t>
  </si>
  <si>
    <t>v_Yojuicji624</t>
  </si>
  <si>
    <t>Some white text on a black background explains that no humans were injured during this video.</t>
  </si>
  <si>
    <t>A young man is making some faces to the camera while standing in front of a rock.</t>
  </si>
  <si>
    <t>Some footage plays of other people tight rope walking and doing other tricks on the tight rope.</t>
  </si>
  <si>
    <t>An older man is riding a tiny bicycle inside a store.</t>
  </si>
  <si>
    <t>More footage is shown of tight rope walkers tripping and falling.</t>
  </si>
  <si>
    <t>Some graphics from the organizations who made the video are shown.</t>
  </si>
  <si>
    <t>v_1pOmOTz-bzk</t>
  </si>
  <si>
    <t>A person is seen riding along the water in a kayak.</t>
  </si>
  <si>
    <t>The person uses a paddle to push themselves around the water while looking off into the distance.</t>
  </si>
  <si>
    <t>The person continues riding around flipping in the water and moving away from the camera.</t>
  </si>
  <si>
    <t>v_QN2wHsiBEC0</t>
  </si>
  <si>
    <t>A man, with a saxophone around his neck, demonstrates how to play the saxophone in front of a green chalkboard and next to a brown piano.</t>
  </si>
  <si>
    <t>The man points to different sections of the saxophone as he talks to the camera.</t>
  </si>
  <si>
    <t>The man begins to play the saxophone briefly and then turns to the chalkboard and begins to write notes on it as he talks to the camera.</t>
  </si>
  <si>
    <t>The man points to notes written on the chalkboard before beginning to play as he reads the notes from the board, before returning to talking and playing in front of the camera.</t>
  </si>
  <si>
    <t>v_A_SU2jjfMJk</t>
  </si>
  <si>
    <t>A person walks into the view of the camera where there is an orange toy laying on the floor.</t>
  </si>
  <si>
    <t>The person begins to wipe their feet vigorously on the toy.</t>
  </si>
  <si>
    <t>The person kicks the toy away as the they finish wiping their feet on the toy.</t>
  </si>
  <si>
    <t>v_iKuBIzUHxYc</t>
  </si>
  <si>
    <t>A seated man is talking to a room full of soccer players.</t>
  </si>
  <si>
    <t>They kick the ball around in their locker room.</t>
  </si>
  <si>
    <t>The man talks to the camera about the game.</t>
  </si>
  <si>
    <t>He walks out, and a game is shown in progress as he discusses it longer.</t>
  </si>
  <si>
    <t>Men are shown talking, playing the game, and posing for a team photograph at the end.</t>
  </si>
  <si>
    <t>v_akMN3uX51Ws</t>
  </si>
  <si>
    <t>Teens skateboard on the road and a parking lot during the day.</t>
  </si>
  <si>
    <t>The teens skateboard in the street day and night.</t>
  </si>
  <si>
    <t>Teens skateboard in a busy street, then they skateboard on the rails of a building.</t>
  </si>
  <si>
    <t>After, the teens skateboard day and night in the street.</t>
  </si>
  <si>
    <t>v_NM4nBojCSwQ</t>
  </si>
  <si>
    <t>A man is seen holding up a shirt to the camera while the cameraman speaks and pans back to the man with the shirt.</t>
  </si>
  <si>
    <t>The man holding speaking and points to an iron near him.</t>
  </si>
  <si>
    <t>He picks up the iron waiting for it to get hot, then proceeds to iron his shirt while looking at the camera.</t>
  </si>
  <si>
    <t>v_2PAVJbmj2lQ</t>
  </si>
  <si>
    <t>A small group of people are seen standing around a gymnasium with one running down and shooting a basket.</t>
  </si>
  <si>
    <t>Several more people are seen running down the lane and shooting a basket above them.</t>
  </si>
  <si>
    <t>More girls run down to shoot a basket and end by walking back together.</t>
  </si>
  <si>
    <t>v_vdYFwqfqgJA</t>
  </si>
  <si>
    <t>A still image of a hockey team is shown and a number seven is shown across the screen.</t>
  </si>
  <si>
    <t>A circle then highlights the player and the game begins.</t>
  </si>
  <si>
    <t>As the game keeps going,the athlete is pictured several times when he does something spectacular.</t>
  </si>
  <si>
    <t>v_NwfosNrFnwk</t>
  </si>
  <si>
    <t>A man holding a pole runs quickly towards the finish line and throws it quite far.</t>
  </si>
  <si>
    <t>The athlete seems proud of his throw and his moment is shown again in slow motion.</t>
  </si>
  <si>
    <t>The commentator continues to discuss his technique while replaying the throw several times.</t>
  </si>
  <si>
    <t>v_C5KcdwGSvbw</t>
  </si>
  <si>
    <t>A person is pressing buttons on an oven.</t>
  </si>
  <si>
    <t>A girl pours ingredients into a bowl together.</t>
  </si>
  <si>
    <t>She mixes the ingredients using a mixer then puts more ingredients in the bowl.</t>
  </si>
  <si>
    <t>The mixes again and finally puts another small amount of ingredients in the bowl.</t>
  </si>
  <si>
    <t>She mixes a third time and adds chocolate chips, finally mixing one more time.</t>
  </si>
  <si>
    <t>The oven peeps and she prepares a pan with cookie dough.</t>
  </si>
  <si>
    <t>She puts the dough into the oven and presses bake options.</t>
  </si>
  <si>
    <t>After several minutes she takes out the pan and spread the cookies out.</t>
  </si>
  <si>
    <t>v_e1tC-0BSwV4</t>
  </si>
  <si>
    <t>Lemonade is seen being poured into a glass and a woman pouring out water.</t>
  </si>
  <si>
    <t>She mixes ingredients into a container and pours out more water.</t>
  </si>
  <si>
    <t>In the she she shows off her lemonade.</t>
  </si>
  <si>
    <t>v_G7kqlq8WhRo</t>
  </si>
  <si>
    <t>A large group of people is seen standing around several men holding a rope preparing to play tug of war.</t>
  </si>
  <si>
    <t>Another group of men is seen with pulling the rope while a crowd standing around cheers them on.</t>
  </si>
  <si>
    <t>A third group of men are seen playing tug of war with a crowd around them.</t>
  </si>
  <si>
    <t>A forth group of men is shown also playing tug of war in a crowd.</t>
  </si>
  <si>
    <t>A fifth group of men is shown playing tug of war in a crowd of people and dogs.</t>
  </si>
  <si>
    <t>A different group of men plays tug of war with a crowd watching.</t>
  </si>
  <si>
    <t>A seventh group of men is playing tug of war in a crowd.</t>
  </si>
  <si>
    <t>A different group of men is playing tug if war and appear to be winning while being cheered on by the crowd.</t>
  </si>
  <si>
    <t>Yet, another group of men is playing tug of war while a crowd watches on.</t>
  </si>
  <si>
    <t>Another group of men is shown playing tug if war up close while a crowd watches.</t>
  </si>
  <si>
    <t>Another group of men plays while people sit and stand in the background.</t>
  </si>
  <si>
    <t>A different group of men is seen playing while people sit and stand around them.</t>
  </si>
  <si>
    <t>A different group of men is shown up close while people sit and stand in the background.</t>
  </si>
  <si>
    <t>A group of men is shown up close playing tug of war with people around them.</t>
  </si>
  <si>
    <t>Another group of men is seen playing while people stand on the sidewalk watching.</t>
  </si>
  <si>
    <t>A group of men in all black plays tug of war while people stand around them.</t>
  </si>
  <si>
    <t>A different group of men plays tug of war among a large crowd cheering for them.</t>
  </si>
  <si>
    <t>Some of the men fall down as they win the game.</t>
  </si>
  <si>
    <t>Another group is seen up close with a crowd of people and a young girl screaming.</t>
  </si>
  <si>
    <t>v_sLtQvJXnrOE</t>
  </si>
  <si>
    <t>There's a guy wearing yellow rubber gloves demonstrating how to fix a tire on a car wheel.</t>
  </si>
  <si>
    <t>He is unscrewing the screws that hold the plates of the wheel.</t>
  </si>
  <si>
    <t>He loosens the screws to remove the tire.</t>
  </si>
  <si>
    <t>v_gY-TqRhcWY8</t>
  </si>
  <si>
    <t>A group of young men are inside a room.</t>
  </si>
  <si>
    <t>They are engaged in a game of foosball together.</t>
  </si>
  <si>
    <t>They laugh and kick the people back and forth.</t>
  </si>
  <si>
    <t>v_QRn9v8F8Nn0</t>
  </si>
  <si>
    <t>a sreet woth houses and cars covered by snow are shown.</t>
  </si>
  <si>
    <t>man is removing a thick layer of snow from a car.</t>
  </si>
  <si>
    <t>v_DfYDYCWkB-o</t>
  </si>
  <si>
    <t>A woman is seen speaking to the camera while sitting in a chair and leads to hear sitting in a shower holding a dog.</t>
  </si>
  <si>
    <t>She scrubs the dog down with soap and then rinses the dog off while speaking to the camera.</t>
  </si>
  <si>
    <t>She is then seen playing with the dog outside and intermittently speaking to the camera.</t>
  </si>
  <si>
    <t>v_rBEQh8V2TI8</t>
  </si>
  <si>
    <t>The words "Conga The Entertainers Dance Company Flemington New Jersey" appears on screen.</t>
  </si>
  <si>
    <t>Four young girls perform on stage at the "American Dance Championships.</t>
  </si>
  <si>
    <t>" The girls fall to the floor as part of the routine and continue to dance.</t>
  </si>
  <si>
    <t>v_rE2IiY5E8LQ</t>
  </si>
  <si>
    <t>A man stands around a giant ball.</t>
  </si>
  <si>
    <t>The man kneels down and takes hold of a ball.</t>
  </si>
  <si>
    <t>The man slides out with the ball, sliding the ball in front of him.</t>
  </si>
  <si>
    <t>A man is hit by the ball and falls down to the floor.</t>
  </si>
  <si>
    <t>The man stands up and starts walking.</t>
  </si>
  <si>
    <t>v_dNUZyM1gF1E</t>
  </si>
  <si>
    <t>Two teen boys are standing at a school playing rock, paper &amp; scissors and are surrounded by a large group of teens who are watching.</t>
  </si>
  <si>
    <t>A woman walks towards them to look at what they're doing then walks back out of the circle.</t>
  </si>
  <si>
    <t>A man then walks to the boys and stops them by putting his hands on each boy and walking them off.</t>
  </si>
  <si>
    <t>v_xI_XIVYtERk</t>
  </si>
  <si>
    <t>A moving cloudy sky with lightning appears before we see white text.</t>
  </si>
  <si>
    <t>Several people are shown close up, smoking cigarettes.</t>
  </si>
  <si>
    <t>Some talk to the camera.</t>
  </si>
  <si>
    <t>The video ends with the words South Beach Smoke.</t>
  </si>
  <si>
    <t>v_BFXSk5F0E_w</t>
  </si>
  <si>
    <t>A woman speaks to the camera, then it cuts to a little boy using a hula hoop.</t>
  </si>
  <si>
    <t>The woman shows colored tape used to wrap a hose around and create the tube herself.</t>
  </si>
  <si>
    <t>She shows off the final product, then the boy using the hula hoop again.</t>
  </si>
  <si>
    <t>v_9xC9rVAJHm8</t>
  </si>
  <si>
    <t>A woman is adjusting a camera in a bedroom.</t>
  </si>
  <si>
    <t>She is smoking a cigarette and ashing it into a tray.</t>
  </si>
  <si>
    <t>She grinds the cigarette into the tray when she is finished.</t>
  </si>
  <si>
    <t>v_UeH0TCDAbSU</t>
  </si>
  <si>
    <t>A woman doing a presentation on how to iron a shirt.</t>
  </si>
  <si>
    <t>She is discussing the shirt and brings out a startch spray.</t>
  </si>
  <si>
    <t>She begins to to use the spray on the shirt.</t>
  </si>
  <si>
    <t>She then rearranges the shirt.</t>
  </si>
  <si>
    <t>Next she demonstrates how to iron the shirt.</t>
  </si>
  <si>
    <t>She then shows how to get the harder creases out.</t>
  </si>
  <si>
    <t>Next she flips over the shirt and places the sleeve down.</t>
  </si>
  <si>
    <t>She then shows how to iron the sleeve.</t>
  </si>
  <si>
    <t>She then flips the shirt over.</t>
  </si>
  <si>
    <t>v_JLdp1Kz0naI</t>
  </si>
  <si>
    <t>A person is riding on a dirt bike.</t>
  </si>
  <si>
    <t>He sets up for a race.</t>
  </si>
  <si>
    <t>He starts racing on his dirt bike.</t>
  </si>
  <si>
    <t>Text appears on the screen as it fades.</t>
  </si>
  <si>
    <t>v_Iib8Qt_9HQc</t>
  </si>
  <si>
    <t>A man in a white shirt is standing in a gym.</t>
  </si>
  <si>
    <t>He sits on an exercise machine and starts working out.</t>
  </si>
  <si>
    <t>He finishes and puts the bar down.</t>
  </si>
  <si>
    <t>v__uTNqQhQA9w</t>
  </si>
  <si>
    <t>A lady dances and speaks indoors.</t>
  </si>
  <si>
    <t>The lady mixes all the ingredients and bakes colorful layers for a cake.</t>
  </si>
  <si>
    <t>The lady added a lot of colorful embellishment to the layered cake.</t>
  </si>
  <si>
    <t>The lady goes outside to a rabbit cage.</t>
  </si>
  <si>
    <t>v_B_-jPPr2RLA</t>
  </si>
  <si>
    <t>Two young boys stand on a residential driveway.</t>
  </si>
  <si>
    <t>The little boy plays hopscotch twice on the driveway.</t>
  </si>
  <si>
    <t>A little girl plays the game too and then follows the other children away from the driveway.</t>
  </si>
  <si>
    <t>v__BJqPK0NNZU</t>
  </si>
  <si>
    <t>The woman in the field is standing behind the net.</t>
  </si>
  <si>
    <t>The woman swirl around and threw a heavy metal towards the field.</t>
  </si>
  <si>
    <t>The field has people in the, a man is running.</t>
  </si>
  <si>
    <t>The athlete in pink top is walking forward.</t>
  </si>
  <si>
    <t>An athlete with Barrios tag on her shirt is standing behind the net.</t>
  </si>
  <si>
    <t>The woman raised the circular metal and she started to swirl around and threw the metal.</t>
  </si>
  <si>
    <t>The metal hit the field.</t>
  </si>
  <si>
    <t>A man is running towards the white circle on the ground.</t>
  </si>
  <si>
    <t>A woman is stretching behind the net.</t>
  </si>
  <si>
    <t>She swirl around and threw something towards the field.</t>
  </si>
  <si>
    <t>Two men running towards each other.</t>
  </si>
  <si>
    <t>The woman gave a hug to other woman.</t>
  </si>
  <si>
    <t>The green field has audiences on the sides of the field.</t>
  </si>
  <si>
    <t>v_lgXtDr9pNAk</t>
  </si>
  <si>
    <t>A man up on the roof putting up some metal pieces through the shingles.</t>
  </si>
  <si>
    <t>He's putting little metal pieces on the metal to keep them held.</t>
  </si>
  <si>
    <t>He talks about it a little bit jokingly.</t>
  </si>
  <si>
    <t>Then he tried to adjust it a little more.</t>
  </si>
  <si>
    <t>v_s-kFpQRPcyE</t>
  </si>
  <si>
    <t>Hair products and hair tools are displayed.</t>
  </si>
  <si>
    <t>The male stylist is does a client's hair with products, a clipper, and hair dryer.</t>
  </si>
  <si>
    <t>v_e6Ti5g_zQ_4</t>
  </si>
  <si>
    <t>At a pool place people are all gathered around some pool tables waiting for players to take their turns.</t>
  </si>
  <si>
    <t>A male takes hie turn and then another in red takes his hitting but bot making it in.</t>
  </si>
  <si>
    <t>No one makes it on their turn so they continue on to the next player.</t>
  </si>
  <si>
    <t>The game continues waiting for someone to make some shots.</t>
  </si>
  <si>
    <t>v_mvomkmq32vU</t>
  </si>
  <si>
    <t>A track athlete prepares and stretches out on a starting line.</t>
  </si>
  <si>
    <t>A track athlete runs down a track and high jumps over bar onto a mat.</t>
  </si>
  <si>
    <t>The athlete makes attempts at jumping over the bar but is unsuccessful knocking it down on the mat.</t>
  </si>
  <si>
    <t>v_ouqYXdtEuCI</t>
  </si>
  <si>
    <t>A girl is doing flips on a trampoline in a gymnasium.</t>
  </si>
  <si>
    <t>We then see a child dive backward into pool.</t>
  </si>
  <si>
    <t>We see the kid on the trampoline.</t>
  </si>
  <si>
    <t>We then see the kids diving again.</t>
  </si>
  <si>
    <t>We return to the kids practicing on the trampoline and back to them diving again.</t>
  </si>
  <si>
    <t>v_YynqCEoHKCk</t>
  </si>
  <si>
    <t>A woman is seen performing a dance routine on a stage in front of a large audience.</t>
  </si>
  <si>
    <t>The woman continues dancing all around the stage and ends with a bow and walking off stage.</t>
  </si>
  <si>
    <t>v_KYjWkaXVnbw</t>
  </si>
  <si>
    <t>A man is standing at a bar.</t>
  </si>
  <si>
    <t>We see the title screen on how to make a drink.</t>
  </si>
  <si>
    <t>The man pours three liquors and some lime soda in a glass.</t>
  </si>
  <si>
    <t>He stirs the glass with a metal tool.</t>
  </si>
  <si>
    <t>The man then drinks from the glass.</t>
  </si>
  <si>
    <t>The man points at the camera, we see the end sequence.</t>
  </si>
  <si>
    <t>v_WEohpavjsIY</t>
  </si>
  <si>
    <t>A pair of dancer begins preforming at the latin dance cup.</t>
  </si>
  <si>
    <t>The woman shows off cleavage.</t>
  </si>
  <si>
    <t>The dancers begin spinning around each other.</t>
  </si>
  <si>
    <t>The dancers begin to preform seperately.</t>
  </si>
  <si>
    <t>The dancers begins moving again together for a big finish.</t>
  </si>
  <si>
    <t>v_JK1Wn9sORbs</t>
  </si>
  <si>
    <t>A man is seen speaking to the camera outside while various objects and tools sit around him.</t>
  </si>
  <si>
    <t>The man continues speaking and leads into clips of him pushing around a low mower.</t>
  </si>
  <si>
    <t>He continues cutting the grass and leads into more clips of him speaking.</t>
  </si>
  <si>
    <t>v_Ke5MPiv-wrY</t>
  </si>
  <si>
    <t>The Awesomeness TV Network Logo Animation plays.</t>
  </si>
  <si>
    <t>A man is flipping and tumbling across a mat.</t>
  </si>
  <si>
    <t>The same man flips across the mat again, this time not wearing a shirt.</t>
  </si>
  <si>
    <t>The man is talking to the camera.</t>
  </si>
  <si>
    <t>A woman with a blue bow in hair walks across the screen behind the man and begins talking to another woman who exits the screen.</t>
  </si>
  <si>
    <t>The shirtless man is shown flipping and tumbling across the screen again, this time he does not land his final flip and he falls onto his side.</t>
  </si>
  <si>
    <t>He then starts walking towards a man on the side of the mat.</t>
  </si>
  <si>
    <t>The bystander points to his head and the gymnast also does the same to his own head.</t>
  </si>
  <si>
    <t>The gymnast is talking to the camera again explaining what happened during that routine.</t>
  </si>
  <si>
    <t>A small video pops up in the lower right replaying the moment he falls.</t>
  </si>
  <si>
    <t>He starts flipping across the mat again.</t>
  </si>
  <si>
    <t>The man is standing next to a couple of other guys, he jumps up in the air and does some kicks.</t>
  </si>
  <si>
    <t>Now he is doing back flips across the mat.</t>
  </si>
  <si>
    <t>He goes from a forward flip to back-flipping.</t>
  </si>
  <si>
    <t>Now he is standing on the side line getting ready to do flips.</t>
  </si>
  <si>
    <t>He is doing some more flips and landing on the red mat.</t>
  </si>
  <si>
    <t>Now he is flipping again and reverses and starts flipping the other way.</t>
  </si>
  <si>
    <t>This time he is wearing a yellow shirt and starts by doing a kick, then starts flipping backwards.</t>
  </si>
  <si>
    <t>Now he is walking across the mat slowly.</t>
  </si>
  <si>
    <t>v_UfrztSg9gf0</t>
  </si>
  <si>
    <t>A man is seen standing in on a large field performing various dog tricks with a dog.</t>
  </si>
  <si>
    <t>Another person watches in the distance as the man and dog continue to perform tricks and the dog running all around.</t>
  </si>
  <si>
    <t>v_3mlxwa9Ve5I</t>
  </si>
  <si>
    <t>A man looks around and grabs his face.</t>
  </si>
  <si>
    <t>He places a towel over his face.</t>
  </si>
  <si>
    <t>The man showcases a shaving unit and a balm.</t>
  </si>
  <si>
    <t>He shows a bowl and swivels the shaving brush around it.</t>
  </si>
  <si>
    <t>The man places shaving cream all over his face with the use of his shaving brush.</t>
  </si>
  <si>
    <t>He takes a razor and shaves.</t>
  </si>
  <si>
    <t>He grabs the bowl again and swivels the shaving brush around the inside.</t>
  </si>
  <si>
    <t>He smothers shaving cream over his face face.</t>
  </si>
  <si>
    <t>He shaves his face once more.</t>
  </si>
  <si>
    <t>He splashes his face and dries it with a purple towel.</t>
  </si>
  <si>
    <t>He rubs an oil over his face and excitedly shows off his muscles.</t>
  </si>
  <si>
    <t>v_AwoZxz8M8Jg</t>
  </si>
  <si>
    <t>A man in red turban stands in a kitchen.</t>
  </si>
  <si>
    <t>He pours some ingredients into a glass.</t>
  </si>
  <si>
    <t>He explains his methods holding a spoon.</t>
  </si>
  <si>
    <t>He then finishes the drink with a garnish.</t>
  </si>
  <si>
    <t>v_e0E2EVuhYu0</t>
  </si>
  <si>
    <t>A close up of an ocean floor is shown as well as a scuba diver and fish swimming around.</t>
  </si>
  <si>
    <t>The camera continues to capture the bottom of the floor as well as several fish and bottom feeders on the ground.</t>
  </si>
  <si>
    <t>The scuba diver moves a flashlight around to capture the bottom and watches the wildlife move around.</t>
  </si>
  <si>
    <t>v_NLTd7qCLT7o</t>
  </si>
  <si>
    <t>A man is walking on the grass wearing stilts.</t>
  </si>
  <si>
    <t>People are watching him next to a pond.</t>
  </si>
  <si>
    <t>He continues walking on the grass toward the people.</t>
  </si>
  <si>
    <t>v_xAPz4YOcIX0</t>
  </si>
  <si>
    <t>A close up of a painting is shown followed by a brush dipping into paint and moving all along the picture.</t>
  </si>
  <si>
    <t>The person continues painting bushes in the picture and ends with credits rolling above the screen.</t>
  </si>
  <si>
    <t>v_IAZV246DKis</t>
  </si>
  <si>
    <t>A close up of potatoes are shown followed by a woman speaking to the camera.</t>
  </si>
  <si>
    <t>The woman points to a pot and then begins peeling the potatoes and putting them into a pot.</t>
  </si>
  <si>
    <t>She mixes it with salt and dips the potatoes into ice water, watching them finish peeling.</t>
  </si>
  <si>
    <t>v_44htu_ovvLs</t>
  </si>
  <si>
    <t>A woman is seen looking off into the distance followed by shots of her riding a horse and looking off into the distance.</t>
  </si>
  <si>
    <t>The woman continues riding around on the horse and ends with her walking away and waving to the camera.</t>
  </si>
  <si>
    <t>v_bLpeUxij7YY</t>
  </si>
  <si>
    <t>A female weightlifter is attempting to lift a set of weights.</t>
  </si>
  <si>
    <t>She lifts at the knees slowly.</t>
  </si>
  <si>
    <t>She raises the bar to her chest, pausing.</t>
  </si>
  <si>
    <t>She then lifts it over her head before crouching beneath it.</t>
  </si>
  <si>
    <t>v_lsvZBtYMXZM</t>
  </si>
  <si>
    <t>Two people are standing face to face under a spotlight.</t>
  </si>
  <si>
    <t>The man wearing a black and white suit simulates a slap to the woman wearing a dress on the right.</t>
  </si>
  <si>
    <t>A man wearing a black tank top immediately runs into the spotlight to stand between the two and they all begin to dance as the room is lit up to show a large dancing area with people in the audience watching them.</t>
  </si>
  <si>
    <t>The three continue to dance until the man in the black tank top picks the woman up and throws her to the ground and leaves the dance floor.</t>
  </si>
  <si>
    <t>The man in the suit and the woman continue to dance alone.</t>
  </si>
  <si>
    <t>The man in the tank top returns to the dance floor and tries to punch the man in the suit, but the man in the suit dodges the punch and pushes the man in the tank top out of the dance floor.</t>
  </si>
  <si>
    <t>The man in the suit and the woman in the dress continue to dance alone and they end dramatically in a pose with her back on the ground and the man hovering above her.</t>
  </si>
  <si>
    <t>v_ShiBZnuxlmc</t>
  </si>
  <si>
    <t>A blond athletic girl with a serious face has her hands all chalked up and is standing next to a wooden balance beam, dressed in a black and white decorated bodysuit, and the banner on the bottom of the screen say's her name is SHAWN JOHNSON 1ST PLACE AFTER 2ND ROTATION.</t>
  </si>
  <si>
    <t>The girl rubs her hands together a few times, the audience claps, she smiles and raises her two arms in the air, smiles, turns to the horse and runs and jumps until she lands on the balance beam.</t>
  </si>
  <si>
    <t>The girl immediately begins her routine and it includes a lot of flips, walking, twirls, hand movements, spins and etcetera.</t>
  </si>
  <si>
    <t>The girl goes to the furthest end of the balance beam, stares at the other end, quickly flips on the balance beam, and then flips off of the balance beam a few times, lands on her feet, raises her two arms in the air and the crowd cheers.</t>
  </si>
  <si>
    <t>v_bMWWSk_YFY8</t>
  </si>
  <si>
    <t>An ox is held by a trainer in a city plaza.</t>
  </si>
  <si>
    <t>Two ox duel with horns in a corral while trainers guide them.</t>
  </si>
  <si>
    <t>The ox charge at the trainers lined up against the wall.</t>
  </si>
  <si>
    <t>Spectators watch and walk in the stands during the event.</t>
  </si>
  <si>
    <t>v_5vm6bjMeEN8</t>
  </si>
  <si>
    <t>People are working out in a room stepping on a step stools.</t>
  </si>
  <si>
    <t>A man in a white shirt is leading the group.</t>
  </si>
  <si>
    <t>He then walks off behind the camera.</t>
  </si>
  <si>
    <t>v_cgWhl3ZDuTQ</t>
  </si>
  <si>
    <t>A series of athletes are shown participating in a discus throw competition before a crowd.</t>
  </si>
  <si>
    <t>The crowd applauds the athletes as a man hands out prizes to the athletes.</t>
  </si>
  <si>
    <t>Journalists surround the athletes with cameras.</t>
  </si>
  <si>
    <t>More discus throw performances are shown.</t>
  </si>
  <si>
    <t>A camera crew focuses on a sweaty seated athlete.</t>
  </si>
  <si>
    <t>Yet another performance of discus throw is shown.</t>
  </si>
  <si>
    <t>Three people sit talking in front of an audience.</t>
  </si>
  <si>
    <t>v_C0F-xroK_Eg</t>
  </si>
  <si>
    <t>A man is talking about making a spicy pasta dish.</t>
  </si>
  <si>
    <t>The man takes sausage and cooks it in a pan.</t>
  </si>
  <si>
    <t>Parsley is added to the sausage.</t>
  </si>
  <si>
    <t>White wine is added to the mixture.</t>
  </si>
  <si>
    <t>Heavy cream is added to the meat along with a jar of marinara sauce.</t>
  </si>
  <si>
    <t>Water is shown boiling in the pot.</t>
  </si>
  <si>
    <t>Pasta and sauce are mixed together in the pot.</t>
  </si>
  <si>
    <t>The final pasta is added to a bowl and Parmesan cheese is added.</t>
  </si>
  <si>
    <t>v_F-jZv4hqYds</t>
  </si>
  <si>
    <t>A large group of people are sitting on horses near gated areas.</t>
  </si>
  <si>
    <t>The people are looking around in amazement as one horse riding catches a calf almost instantly.</t>
  </si>
  <si>
    <t>The man ropes of the calf and the crowd cheers him on as the announcer gives him his time.</t>
  </si>
  <si>
    <t>v_GqCS5MNl6a4</t>
  </si>
  <si>
    <t>Pictures of a town covered n snow is shown.</t>
  </si>
  <si>
    <t>A person is chipping the ice off of their car.</t>
  </si>
  <si>
    <t>v_tN8mcdcwCwc</t>
  </si>
  <si>
    <t>A cat is laying on its back in someone's lap.</t>
  </si>
  <si>
    <t>The person starts clipping the cats nails with a nail clipper.</t>
  </si>
  <si>
    <t>They finish and pet the cat's foot.</t>
  </si>
  <si>
    <t>v_hS7VEMlJ4N0</t>
  </si>
  <si>
    <t>A female is outside in a sports bra and bikini bottoms walking around prepping.</t>
  </si>
  <si>
    <t>She take her hair down and puts it back up in a ponytail.</t>
  </si>
  <si>
    <t>She spanks her butt and stands there getting ready to start her run.</t>
  </si>
  <si>
    <t>She starts her run and she jumps over the course and lands.</t>
  </si>
  <si>
    <t>v_U2aNQHCnVfI</t>
  </si>
  <si>
    <t>There are two young girls holding violins in their hands, standing with a music stand and a book with music notes behind them.</t>
  </si>
  <si>
    <t>The older girl is helping and teaching her younger sister to properly hold the violin by changing her head position.</t>
  </si>
  <si>
    <t>Then the older sister grabs her violin and tunes the strings of the violin.</t>
  </si>
  <si>
    <t>Then older sister begins playing the violin while the younger sister watches her.</t>
  </si>
  <si>
    <t>The older girl shows her sister how to play the violin.</t>
  </si>
  <si>
    <t>Then they both begin to play the violin together.</t>
  </si>
  <si>
    <t>v_aXnllTmgeqg</t>
  </si>
  <si>
    <t>A man is shown on a stage, playing drums.</t>
  </si>
  <si>
    <t>He beats the cymbals and drums very fast.</t>
  </si>
  <si>
    <t>He continues, making faces as he goes.</t>
  </si>
  <si>
    <t>v_E-bv464MTsQ</t>
  </si>
  <si>
    <t>A large group of people riding horses are walking around each other on a large field.</t>
  </si>
  <si>
    <t>One of them throws a ball onto the field and the people begin playing a game on their horses.</t>
  </si>
  <si>
    <t>v_hgTgOjkcvpc</t>
  </si>
  <si>
    <t>There's a man dressed in all white playing croquet in an open field.</t>
  </si>
  <si>
    <t>there are several chairs arranged in the field.</t>
  </si>
  <si>
    <t>He takes the mallet in his hand and hits the croquet ball to the hoop.</t>
  </si>
  <si>
    <t>He hits the ball and it lands straight into the hoop.</t>
  </si>
  <si>
    <t>v_NXFnVeZen1U</t>
  </si>
  <si>
    <t>A man picks up a ball with his racquet and swings it to his opponent over the net.</t>
  </si>
  <si>
    <t>The opponent serves the ball.</t>
  </si>
  <si>
    <t>The teams engage in rapid back and forth hitting of the ball.</t>
  </si>
  <si>
    <t>The game stops for a second and resumes with one of the teams serving the ball.</t>
  </si>
  <si>
    <t>They battle each other on the court, sending the ball back and forth over the net.</t>
  </si>
  <si>
    <t>The ball goes out of bounds.</t>
  </si>
  <si>
    <t>A man serves the ball and they engage in a brief back and forth of the ball before the ball falls to the ground.</t>
  </si>
  <si>
    <t>v_YVSD611Zpvo</t>
  </si>
  <si>
    <t>A man walks to a brick wall with a squeegee and shows us a bottle of windex.</t>
  </si>
  <si>
    <t>The man washes the window.</t>
  </si>
  <si>
    <t>The man sprays windex and washes off with squeegee.</t>
  </si>
  <si>
    <t>The man uses leaf blower to dry the window.</t>
  </si>
  <si>
    <t>The man finishes and talks about the window before walking off.</t>
  </si>
  <si>
    <t>v_88wc2an-eC4</t>
  </si>
  <si>
    <t>TWo children are doing mixed martial arts in front of a television.</t>
  </si>
  <si>
    <t>They are punching and kicking each other for sport.</t>
  </si>
  <si>
    <t>v_5HW6mjZZvtY</t>
  </si>
  <si>
    <t>A man is seen in several shots on a skateboard in a dark warehouse.</t>
  </si>
  <si>
    <t>The man then begins jumping on his board to demonstrate moves.</t>
  </si>
  <si>
    <t>He continues jumping around the room while the camera captures his movements.</t>
  </si>
  <si>
    <t>v_pbZVsdQNWNU</t>
  </si>
  <si>
    <t>We see a hockey goalie skating on the ice.</t>
  </si>
  <si>
    <t>The goalie blocks shots repeatedly.</t>
  </si>
  <si>
    <t>We see the goalie laying on the ice.</t>
  </si>
  <si>
    <t>A shot makes it past and the goalie has a tantrum.</t>
  </si>
  <si>
    <t>The goalie sits on the ground as a person makes their shot.</t>
  </si>
  <si>
    <t>v_j15g2ZTig1k</t>
  </si>
  <si>
    <t>A man wearing a black shirt and blue jeans is playing an acoustic guitar.</t>
  </si>
  <si>
    <t>He plays a riff as he moves his legs rhythmically.</t>
  </si>
  <si>
    <t>He continues playing the guitar as the camera focuses on his hands and the guitar only.</t>
  </si>
  <si>
    <t>He plays several different tunes one after the other as he strums the guitar with his pick.</t>
  </si>
  <si>
    <t>v_yslrb52Di5w</t>
  </si>
  <si>
    <t>A man is seen laughing and smiling to himself and leads into him playing a piano before him.</t>
  </si>
  <si>
    <t>The man pauses and looks off into the distance to see another man speaking to him as well as into a microphone.</t>
  </si>
  <si>
    <t>v_AKoregkLJgc</t>
  </si>
  <si>
    <t>A line of players are on a court together.</t>
  </si>
  <si>
    <t>They begin jumping rope in unison.</t>
  </si>
  <si>
    <t>They move alike, dancing and flipping through the ropes.</t>
  </si>
  <si>
    <t>v_czCM6ZNwHK8</t>
  </si>
  <si>
    <t>A guy prepares to play an instrument.</t>
  </si>
  <si>
    <t>The guy plays a saxophone and uses a microphone.</t>
  </si>
  <si>
    <t>The guy takes the saxophone out of his mouth and bents over.</t>
  </si>
  <si>
    <t>v_9-xf_gylOR0</t>
  </si>
  <si>
    <t>A person is painting a wooden fence.</t>
  </si>
  <si>
    <t>A cat's paws can be seen coming out from under the fence.</t>
  </si>
  <si>
    <t>A dog is looking at the cat's paws.</t>
  </si>
  <si>
    <t>v_IKrnz_OzqT8</t>
  </si>
  <si>
    <t>A man watches a performance on tv while playing a set of hand drums at home.</t>
  </si>
  <si>
    <t>The man looks forward and focuses while playing the drums.</t>
  </si>
  <si>
    <t>The man leans back and plays vigorously on the drums.</t>
  </si>
  <si>
    <t>v_oghT33khlYQ</t>
  </si>
  <si>
    <t>Many trees and deep water from a river is shown.</t>
  </si>
  <si>
    <t>A man is standing on the back of a speedboat.</t>
  </si>
  <si>
    <t>He places his board in the water and begins to water ski.</t>
  </si>
  <si>
    <t>He performs several tricks as he skis.</t>
  </si>
  <si>
    <t>v_ac1DjqY4xHs</t>
  </si>
  <si>
    <t>A young boy swings at a pinata without getting a good hit on it.</t>
  </si>
  <si>
    <t>The boy dodges the pinata that is swinging at him.</t>
  </si>
  <si>
    <t>The boy gives up and walks away.</t>
  </si>
  <si>
    <t>v_z8lxaUC1Shk</t>
  </si>
  <si>
    <t>A man walks into a room playing his bagpipes.</t>
  </si>
  <si>
    <t>He stops playing his bagpipes.</t>
  </si>
  <si>
    <t>v_FCKkV9mYuI4</t>
  </si>
  <si>
    <t>A group of men are talking in a room.</t>
  </si>
  <si>
    <t>Several fighting scenes are shown from a martial arts movie.</t>
  </si>
  <si>
    <t>They move quickly, pretending to fight for the camera.</t>
  </si>
  <si>
    <t>v_N84ci0Imc30</t>
  </si>
  <si>
    <t>A man is seen speaking to the camera and leads into shots of him walking down a hallway and getting a coffee.</t>
  </si>
  <si>
    <t>He grabs sugar, puts a lid over his coffee and then smiles off in the distance while walking away.</t>
  </si>
  <si>
    <t>v_Z8yKTJeRMOE</t>
  </si>
  <si>
    <t>A man professionally paints several pieces of furniture using a spray painter in a paint shop while wearing overalls, a denim shirt and a paint mask.</t>
  </si>
  <si>
    <t>The man begins by painting a wooden armchair metallic gray with a gold spray paint can.</t>
  </si>
  <si>
    <t>The man then paints a side table black with lights shining off of the black painted wood.</t>
  </si>
  <si>
    <t>The man ends with painting a dresser drawer pink before the scene fades to a black marketing graphic.</t>
  </si>
  <si>
    <t>v_SSLcbqaBiRM</t>
  </si>
  <si>
    <t>A man starts out riding a dirt bike and immediately crashes into the ground behind him.</t>
  </si>
  <si>
    <t>The video follows several more people attempting to race a dirt bike and instantly crashing on the path in front of them.</t>
  </si>
  <si>
    <t>v_5-ydqbn30kA</t>
  </si>
  <si>
    <t>A boy and a girl are sitting in their living room with colorful yarn and demonstrating how to knit.</t>
  </si>
  <si>
    <t>The boy is wearing a blue hoodie and the girl is wearing a white sweater with blue horizontal stripes.</t>
  </si>
  <si>
    <t>The mother who is not pictured in the video is taping them demonstrate.</t>
  </si>
  <si>
    <t>The boy holds the needles up and shows how he uses the yarn to knit.</t>
  </si>
  <si>
    <t>v_x164DXmWtRM</t>
  </si>
  <si>
    <t>A group of masked people, wearing all black, play an animated graphic game of paintball in a war field.</t>
  </si>
  <si>
    <t>An animated person runs through a field of black masked soldiers with a paint gun and begins shooting people, several people are wounded among a war field littered with empty stone shacks and abandoned cars.</t>
  </si>
  <si>
    <t>The fighting soldiers pass an animated dog on a leash with a person dressed in a black and white referee uniform holding the leash.</t>
  </si>
  <si>
    <t>The shooting continues among the masked soldiers until a "red team wins" letter box appears and the soldiers head to the right and thin out in numbers.</t>
  </si>
  <si>
    <t>v_4_MR2Tpc7SM</t>
  </si>
  <si>
    <t>A man is seen bending down while holding a crochet bat and hitting a ball through a hole.</t>
  </si>
  <si>
    <t>The man then holds his hands up and looks back to the camera and smiles.</t>
  </si>
  <si>
    <t>v_j_tKuqWYV-A</t>
  </si>
  <si>
    <t>Divers take turns diving from high dive platforms into a swimming pool.</t>
  </si>
  <si>
    <t>The crowd claps and watches the divers performance.</t>
  </si>
  <si>
    <t>A diver does a handstand dive from the highest platform into the swimming pool.</t>
  </si>
  <si>
    <t>v_yp1zqqLB57M</t>
  </si>
  <si>
    <t>A woman is belly dancing on a stage.</t>
  </si>
  <si>
    <t>There is a close up of her belly.</t>
  </si>
  <si>
    <t>She slows her dance down and turns circles.</t>
  </si>
  <si>
    <t>v_Wu3wa5Rc_Qw</t>
  </si>
  <si>
    <t>A large waterfall is shown outside near a rocky trail of water.</t>
  </si>
  <si>
    <t>All of a sudden,a person on a long raft comes paddling down the water and goes over the fall with ease.</t>
  </si>
  <si>
    <t>Once over,they continue paddling and sailing through the water as the people on the side watches.</t>
  </si>
  <si>
    <t>v_J7Q3b1uFHyc</t>
  </si>
  <si>
    <t>First the camera shows the three people who are snow tubing down the slippery snowy slide.</t>
  </si>
  <si>
    <t>Then one person is shown wearing glasses and other snow gear in the snow tubes.</t>
  </si>
  <si>
    <t>Then a great amount of other people are shown snow tubing next to each other.</t>
  </si>
  <si>
    <t>v_8K4cX9GfaII</t>
  </si>
  <si>
    <t>A person is seen painting a wall while the camera captures him moving quickly and others walking in and out of frame.</t>
  </si>
  <si>
    <t>The person continues painting along the wall with other people standing around and helping.</t>
  </si>
  <si>
    <t>v_2-h36nfbFK8</t>
  </si>
  <si>
    <t>A man is snowboarding down a very steep hill at a fast pace.</t>
  </si>
  <si>
    <t>The video intercuts with various angles showing this trip down the mountain in a very exciting way.</t>
  </si>
  <si>
    <t>The kid jumps off of a log intended for this purpose and continues down the hill.</t>
  </si>
  <si>
    <t>Another man in yellow does back-flips off of a small snow ramp while going down the mountain.</t>
  </si>
  <si>
    <t>Another man in blue does the same and there are various cuts going back and forth between the three of them.</t>
  </si>
  <si>
    <t>They are highly skilled and going down every obstacle they can find.</t>
  </si>
  <si>
    <t>The video then shows multiple people hiking up a very rocky mountain as they speak to the camera.</t>
  </si>
  <si>
    <t>The people who climbed is then snowboard down it in a daredevil like stunt.</t>
  </si>
  <si>
    <t>v_liK3LME0gNY</t>
  </si>
  <si>
    <t>A young girls is using a trowel on a wall and siting on the floor.</t>
  </si>
  <si>
    <t>She stands and wipes her trowel clean with a brush.</t>
  </si>
  <si>
    <t>She returns to the wall work.</t>
  </si>
  <si>
    <t>She stands and points and the wall.</t>
  </si>
  <si>
    <t>She she wipes the brush on the trowel again.</t>
  </si>
  <si>
    <t>She smooths the wall again.</t>
  </si>
  <si>
    <t>The girls uses a the brush to clean her tool.</t>
  </si>
  <si>
    <t>She wipes the wall again, then cleans her brush again twice.</t>
  </si>
  <si>
    <t>We are show the top of the wall and the girl as she works.</t>
  </si>
  <si>
    <t>v_mSPUMHD4F-E</t>
  </si>
  <si>
    <t>An intro screen appears with logos, company names and website.</t>
  </si>
  <si>
    <t>A woman bends down in front of 3 boxes and begins to pull out tiled carpet pieces from the top box.</t>
  </si>
  <si>
    <t>A bunch of tools appear on a tiled floor and they include: Carpet Tape,Knife, Sticky Tabs and a T-Square.</t>
  </si>
  <si>
    <t>The woman is on a tiled floor with a pile of tiled carpets in front of her and she begins to dust off the excess carpet pieces off of the front and back of the pieces.</t>
  </si>
  <si>
    <t>A screen appears with the words "Methods of Installation" and includes 3 different diagrams of layouts, and then shows different tiled carpets in each layout.</t>
  </si>
  <si>
    <t>A woman is now kneeling on a tiled piece of carpet and she's pulling double sided sticky tapes off of a sheet and places them onto the tiled carpets and sticks them onto the floor.</t>
  </si>
  <si>
    <t>A different woman appears near a wall and she's demonstrating how to cut tiles once a wall is reached and uses a long ruler to measure, cut, and break apart the carpet tile and places it back onto the floor.</t>
  </si>
  <si>
    <t>The outro is a white screen with the logos, company names, and website.</t>
  </si>
  <si>
    <t>v_Zzcj8Eea3Mc</t>
  </si>
  <si>
    <t>A man is seen walking forward and speaking to the camera while two people pull an object behind him.</t>
  </si>
  <si>
    <t>The man is then speaking while a woman exercises next to him.</t>
  </si>
  <si>
    <t>The man continues speaking and text is shown across the screen.</t>
  </si>
  <si>
    <t>v_b4KrsFjcj-o</t>
  </si>
  <si>
    <t>People stand around in a room.</t>
  </si>
  <si>
    <t>People do karate while some play the drums.</t>
  </si>
  <si>
    <t>The karate opponents shake hands and hug.</t>
  </si>
  <si>
    <t>v_N6y3yXiVo24</t>
  </si>
  <si>
    <t>A little girl/toddler stands outside, on a grass covered field, and hits, repeatedly, a pink pinata hanging from a tree.</t>
  </si>
  <si>
    <t>A little girl/toddler in a lime green hair bow and tutu stands outside under a tree and hits a pinata with a stick.</t>
  </si>
  <si>
    <t>The pinata flings around, and the girl hits the pinata again.</t>
  </si>
  <si>
    <t>The little girl turns to look at the camera in between hitting the pinata.</t>
  </si>
  <si>
    <t>v_5rtrGkZNfLo</t>
  </si>
  <si>
    <t>A standing man talks to the camera with two women seated beside him.</t>
  </si>
  <si>
    <t>The camera pans to focus on the two women.</t>
  </si>
  <si>
    <t>v_2syOa4jpZDU</t>
  </si>
  <si>
    <t>A person cuts the nails of the front legs of a cat.</t>
  </si>
  <si>
    <t>Then, the person cuts the nails of the back legs of a car.</t>
  </si>
  <si>
    <t>v_idACyRv-Sqk</t>
  </si>
  <si>
    <t>A man attempts to walk across a rope spread between two homemade pieces of wood.</t>
  </si>
  <si>
    <t>He balances on the rope, swinging back and forth.</t>
  </si>
  <si>
    <t>He loses his balance and jumps off the rope.</t>
  </si>
  <si>
    <t>v_FFUh8Fx4FsA</t>
  </si>
  <si>
    <t>There are two cars in the car wash and one parked in a spot.</t>
  </si>
  <si>
    <t>The owners of the cars are soaping them down and cleaning the tires very well.</t>
  </si>
  <si>
    <t>Inside of the car wash it it completely empty, no one is inside of it.</t>
  </si>
  <si>
    <t>One of the other car owners is rinsing his car off.</t>
  </si>
  <si>
    <t>v_OnfvTk_DECY</t>
  </si>
  <si>
    <t>A man is seen speaking to the camera followed by several shots of a celebrity and a dummy.</t>
  </si>
  <si>
    <t>The man then begins coming the dummy's hair and using scissors along the side.</t>
  </si>
  <si>
    <t>He continues cutting the dummy's hair and using hair gel in the end to spike it up.</t>
  </si>
  <si>
    <t>v_AH-3mF6wWhU</t>
  </si>
  <si>
    <t>A video on how to make a kite is shown.</t>
  </si>
  <si>
    <t>Materials are gathered and then the kite is assembled.</t>
  </si>
  <si>
    <t>v__7a80bvsbk8</t>
  </si>
  <si>
    <t>A few people are seen standing in a large pit with a bull inside and many watching on the sides.</t>
  </si>
  <si>
    <t>The man walks closer to the bull and the bull attacks several people while they also try to pull him down by his head and tail.</t>
  </si>
  <si>
    <t>They finally all break away at once.</t>
  </si>
  <si>
    <t>v_wqlEUeJzNVc</t>
  </si>
  <si>
    <t>A man is sitting in a gym with friends who make stupid signs at the camera.</t>
  </si>
  <si>
    <t>Then some dodgeball is played.</t>
  </si>
  <si>
    <t>v_F_EHrfbYsRE</t>
  </si>
  <si>
    <t>A graphic with some keywords forming the number '2' is shown.</t>
  </si>
  <si>
    <t>The scene switches to a black screen with some text about an upcoming marathon.</t>
  </si>
  <si>
    <t>A man is shown jogging through a city on some sidewalks, a bridge, some paths in a park, etc, with a counter on the side showing his progress in kilometers as he goes.</t>
  </si>
  <si>
    <t>v_Ym_hy49DaS4</t>
  </si>
  <si>
    <t>A person is covering her legs with soap while she is standing on the bathtub.</t>
  </si>
  <si>
    <t>Then, the person takes a blade to shave her legs while washing the blade under the faucet.</t>
  </si>
  <si>
    <t>After, the person, takes off the underwear and put it on the bathtub.</t>
  </si>
  <si>
    <t>v_8wKBvYGGldQ</t>
  </si>
  <si>
    <t>There is a fast motion video showing a family carving four pumpkins to make jack o lanterns in their kitchen.</t>
  </si>
  <si>
    <t>There is a little baby sitting on the dinning table watching the others carve the pumpkins.</t>
  </si>
  <si>
    <t>The two other girls are helping their parents carve the pumpkins and remove the seeds and pulp out of the pumpkin.</t>
  </si>
  <si>
    <t>v_UPZm0tx77Vw</t>
  </si>
  <si>
    <t>A man seated in front of a tennis net turns around and faces his opponent, with a coach and camera man looking on.</t>
  </si>
  <si>
    <t>As they both rise we see that they are actually heading to a table tennis game, the table on an actual tennis court.</t>
  </si>
  <si>
    <t>They being their match, one in a white tank top and green shorts, the other in an orange shirt and white shorts.</t>
  </si>
  <si>
    <t>They hit back and forth for some time, the enjoyment of the game seeming more important the winning, and they slap hands at the conclusion.</t>
  </si>
  <si>
    <t>v_h-A3CAx_eyU</t>
  </si>
  <si>
    <t>Two men are seen speaking to one another in front of the camera while moving their hands around to their voices.</t>
  </si>
  <si>
    <t>The men continue speaking with one another while acting crazy on the couch and pointing to one another.</t>
  </si>
  <si>
    <t>v_jw8yJ6tJXrA</t>
  </si>
  <si>
    <t>A man is seen kneeling down before a track while others watch on the sides.</t>
  </si>
  <si>
    <t>A person runs in on the side and jumps into a pit.</t>
  </si>
  <si>
    <t>The man sitting tracks his score and several more people are seen running in.</t>
  </si>
  <si>
    <t>v_Q5qIsUsM_-A</t>
  </si>
  <si>
    <t>A young man solves a rubix cube quickly in a digitally timed session.</t>
  </si>
  <si>
    <t>A man in a yellow shirt with a graphic of a man's face on it talks to the camera and holds up an unsolved rubix cube.</t>
  </si>
  <si>
    <t>A black digital timer appears on the screen in the lower right hand corner and begins to run time.</t>
  </si>
  <si>
    <t>The man begins to solve the rubix cube when the timer starts, and then solves the rubix cube with 00:34:08 time, at which point he holds the solved rubix cube in the air as demonstration.</t>
  </si>
  <si>
    <t>v_8uP35-qttBo</t>
  </si>
  <si>
    <t>Two men are seen speaking to the camera while each hold a bow and arrow.</t>
  </si>
  <si>
    <t>One man shows off his while clips are shown of people shooting the bow and shown in between.</t>
  </si>
  <si>
    <t>The other man shows off his bow while still showing off his specs.</t>
  </si>
  <si>
    <t>v_H8MY7XGrN6Q</t>
  </si>
  <si>
    <t>A person is seen roller balding around a street while many people are seen walking around him.</t>
  </si>
  <si>
    <t>A man is then being interviewed by reporters and ends with the camera panning away.</t>
  </si>
  <si>
    <t>v_PaPR1XQU0_A</t>
  </si>
  <si>
    <t>A person sets a piece of wall paper in place and lines it op with the other pieces.</t>
  </si>
  <si>
    <t>The wall paper is cut with sheers to the proper size.</t>
  </si>
  <si>
    <t>The man checks the wall paper then peels off an adhesive strip on the back.</t>
  </si>
  <si>
    <t>The wall paper is attached to the wall and smoothed down by hand.</t>
  </si>
  <si>
    <t>The person uses a towel to flatten out the wall paper.</t>
  </si>
  <si>
    <t>The wallpaper is cut at the bottom and creased against the floorboard.</t>
  </si>
  <si>
    <t>The wall paper is cut and creased along the ceiling.</t>
  </si>
  <si>
    <t>v_ul9kg5QdvJo</t>
  </si>
  <si>
    <t>A group of people are shown at a festival serving food and interacting with their crowd.</t>
  </si>
  <si>
    <t>The male continues,to play with the crowd and makes them work for their ice cream cone.</t>
  </si>
  <si>
    <t>Finally,the video ends,the man smiles,and the credits begin to roll.</t>
  </si>
  <si>
    <t>v_eMQ5sazq-q0</t>
  </si>
  <si>
    <t>People picks up piles of grass on a front yard.</t>
  </si>
  <si>
    <t>A dog walks in the yard where people pile grass.</t>
  </si>
  <si>
    <t>A man cut the grass using a hand cutter.</t>
  </si>
  <si>
    <t>The dogs smells on the ground.</t>
  </si>
  <si>
    <t>v_Vtnn6yJqHqM</t>
  </si>
  <si>
    <t>A pair of hands are shown playing piano.</t>
  </si>
  <si>
    <t>The piano player is shown playing with another person seated beside him.</t>
  </si>
  <si>
    <t>The playing is seen from a hand close up view again.</t>
  </si>
  <si>
    <t>The second man imitates the first man.</t>
  </si>
  <si>
    <t>The first man claps at the second man's imitation.</t>
  </si>
  <si>
    <t>v_8iQ_ZjJGQkE</t>
  </si>
  <si>
    <t>A man stands in front of the camera and then takes a puff of his cigarette.</t>
  </si>
  <si>
    <t>After,he appears with roller blades on and starts to jump on different blocks and boulders in the city.</t>
  </si>
  <si>
    <t>The man continues making his way through the city,passing cars,and jumping over rocks.</t>
  </si>
  <si>
    <t>v_nmMs1pWkiAU</t>
  </si>
  <si>
    <t>A woman and a man salute, and then they demonstrate karate moves in a gym.</t>
  </si>
  <si>
    <t>After, the woman and the man stand and salute.</t>
  </si>
  <si>
    <t>v_gee7iCW34_E</t>
  </si>
  <si>
    <t>A graphic is seen with drawings of mushrooms and plants.</t>
  </si>
  <si>
    <t>A tall pine tree is seen.</t>
  </si>
  <si>
    <t>A match is lit and a young man holds up another lit match along with sticks then blows it out.</t>
  </si>
  <si>
    <t>The young man builds a ring of rocks near a tent.</t>
  </si>
  <si>
    <t>The camper then shows various sized sticks in his hands and others that he breaks in two.</t>
  </si>
  <si>
    <t>The young man breaks sticks with his foot and carries them to the campsite.</t>
  </si>
  <si>
    <t>The young man builds a fire with the various sized sticks in the fire ring and lights it.</t>
  </si>
  <si>
    <t>The fire burns into the night.</t>
  </si>
  <si>
    <t>v_3N1tbv5Z6Kk</t>
  </si>
  <si>
    <t>A man in tuxedo and woman in party dress dance the tango in a ballroom surrounded by crowd in chairs during performance.</t>
  </si>
  <si>
    <t>The crowd cheers at the end and claps hands.</t>
  </si>
  <si>
    <t>v_rcqXzX-7ULg</t>
  </si>
  <si>
    <t>A woman is standing in front of a washer and dryer in a laundry room.</t>
  </si>
  <si>
    <t>Step by step instructions are given for ironing clothes.</t>
  </si>
  <si>
    <t>She shows how to prepare and iron clothing using a rag and steam.</t>
  </si>
  <si>
    <t>v_8GxWehFZVRE</t>
  </si>
  <si>
    <t>A woman is sitting next to a baby in a high chair.</t>
  </si>
  <si>
    <t>She is playing an accordian for the baby.</t>
  </si>
  <si>
    <t>The baby rocks back and forth, dancing to the music.</t>
  </si>
  <si>
    <t>v_iUIfmMljiOg</t>
  </si>
  <si>
    <t>A woman is giving instructions on how to make her lemonade.</t>
  </si>
  <si>
    <t>She shows all of the ingredients that she uses and starts to boil them and mix them on a pot on the stove.</t>
  </si>
  <si>
    <t>In a blender she blends some strawberries and lemon juice.</t>
  </si>
  <si>
    <t>She then starts to do more or less all of those steps again for all different types of other lemonades that she makes.</t>
  </si>
  <si>
    <t>v_FA4BDINxLmE</t>
  </si>
  <si>
    <t>A close up of a person walking on a rope is shown followed by and old man speaking to the camera and more shots of the person walking.</t>
  </si>
  <si>
    <t>More people are being interviewed while people walk behind them and show several more shots of people walking across a rope.</t>
  </si>
  <si>
    <t>v_Nn9qwOB-g34</t>
  </si>
  <si>
    <t>A small group of people are seen standing along an indoor with one player kicking the ball and scoring a goal.</t>
  </si>
  <si>
    <t>The audience cheers and the same shot is shown again several times and the player walking away.</t>
  </si>
  <si>
    <t>Many more shots of goals are shown during the game followed by the same shot shown again in slow motion.</t>
  </si>
  <si>
    <t>v_fHXgxSFDmJc</t>
  </si>
  <si>
    <t>We see man teasing a bull with a flag.</t>
  </si>
  <si>
    <t>The bull charges at the flag.</t>
  </si>
  <si>
    <t>The bull charges and goes after the flag.</t>
  </si>
  <si>
    <t>The bullfighter moves left and the bull follows him.</t>
  </si>
  <si>
    <t>v_uE3YXkZoV5c</t>
  </si>
  <si>
    <t>Two men walk holding sticks out in front of them.</t>
  </si>
  <si>
    <t>They arrange discs onto some numbers.</t>
  </si>
  <si>
    <t>One of the men throws a disc with his stick.</t>
  </si>
  <si>
    <t>The man in red throws his disc.</t>
  </si>
  <si>
    <t>The first man throws another disc.</t>
  </si>
  <si>
    <t>The man in the red shirt follows.</t>
  </si>
  <si>
    <t>The first man throws another disc and the man in the red shirt follows.</t>
  </si>
  <si>
    <t>They high five each other.</t>
  </si>
  <si>
    <t>v_vLEz1mHahdM</t>
  </si>
  <si>
    <t>A man in military uniform is standing in front of a group of soldiers.</t>
  </si>
  <si>
    <t>He is playing the bagpipes while the other soldiers stand and watch him.</t>
  </si>
  <si>
    <t>It may be a parade they are practicing for because they are standing and watching him on top of trailer.</t>
  </si>
  <si>
    <t>Once the soldier is done with his song on the bagpipe all the soldiers clap and cheer for him.</t>
  </si>
  <si>
    <t>v_yrf93aLQXBE</t>
  </si>
  <si>
    <t>An old video of people surfing is shown.</t>
  </si>
  <si>
    <t>People catch waves and the fat guy does a pretty good job.</t>
  </si>
  <si>
    <t>v_Jj7Xcisw62E</t>
  </si>
  <si>
    <t>A large black male and John Cena are in a wrestling ring arm wrestling.</t>
  </si>
  <si>
    <t>The black male is beginning to win but John Cena uses all of his might to not give in and gains enough strength to push the hand back the other way.</t>
  </si>
  <si>
    <t>After a certain amount of time,John Cena wins and someone jumps on his back and begins wrestling him and picks the black man up and drops him.</t>
  </si>
  <si>
    <t>As John Cena continues to celebrate the other guy begins talking trash and John Cena looks at him then talks back to the crowd.</t>
  </si>
  <si>
    <t>v_VqTyewe2R1A</t>
  </si>
  <si>
    <t>A marching band plays in a gym and people watch.</t>
  </si>
  <si>
    <t>Then, the marching band stops playing for a little bit, then it resumes.</t>
  </si>
  <si>
    <t>A woman pass on side the marching band.</t>
  </si>
  <si>
    <t>A young man drinks from a can.</t>
  </si>
  <si>
    <t>After, a child pass on front the Marching band.</t>
  </si>
  <si>
    <t>v_cxxiokwoVgg</t>
  </si>
  <si>
    <t>People in a home get ready to go sled on the street covered with snow.</t>
  </si>
  <si>
    <t>Two young men sled on the road pulled by a car.</t>
  </si>
  <si>
    <t>Splashes of snow falls on the young men who are covered with snow.</t>
  </si>
  <si>
    <t>A young man stands from the sled and enters the car and other person takes his place on the sled.</t>
  </si>
  <si>
    <t>A young men goes down the road sledding while snow splay on them.</t>
  </si>
  <si>
    <t>A young person snowboards holding a rope attached to a car, at the end he falls.</t>
  </si>
  <si>
    <t>v_UYzgXZIRUR8</t>
  </si>
  <si>
    <t>A boy skateboard on a road jumping and flipping the skateboard in the street.</t>
  </si>
  <si>
    <t>A skateboard leans on a tree.</t>
  </si>
  <si>
    <t>Then, the boy skateboard on small ramps and then continues skateboarding in the street.</t>
  </si>
  <si>
    <t>v_YJTz7mpI-mY</t>
  </si>
  <si>
    <t>A man places shaving cream on his face.</t>
  </si>
  <si>
    <t>A man spits some liquid out of his mouth.</t>
  </si>
  <si>
    <t>A man sharpens his razor blade.</t>
  </si>
  <si>
    <t>The man shaves his face with the razor.</t>
  </si>
  <si>
    <t>The man puts more shaving cream on his face.</t>
  </si>
  <si>
    <t>v_n6k21NjvqXE</t>
  </si>
  <si>
    <t>An intro appears and it has a logo and the words "outdoor interlaken +", and then yellow words and roman numerals appear.</t>
  </si>
  <si>
    <t>The outdoor shop appears and it quickly changes to the inside of the shop where people are all gathered to get instructions, get dressed in helmets and safety gear, and prepare for white water rafting.</t>
  </si>
  <si>
    <t>The people are then going outdoors where they practice on land on how to sit in the raft, paddle and etc.</t>
  </si>
  <si>
    <t>When they are done practicing the all walk to the water with their rafts and they are all seen in the very rough waters going down and paddling and in their rafts where they end up in calm waters and jump out of their rafts to celebrate their success.</t>
  </si>
  <si>
    <t>When they're done celebrating the people walk out of the water holding their raft and they end up in a vehicle where they are smiling and happy.</t>
  </si>
  <si>
    <t>The outro appears with contact information, website,logos and credits.</t>
  </si>
  <si>
    <t>v_0LebHO3TvzE</t>
  </si>
  <si>
    <t>Two people are seen sitting on shore while sitting in kayaks.</t>
  </si>
  <si>
    <t>One person inches himself closer to the water and begins riding along down the river.</t>
  </si>
  <si>
    <t>v_8J_erRJya-k</t>
  </si>
  <si>
    <t>Young men ride skateboards and do skidding turns in a city plaza.</t>
  </si>
  <si>
    <t>The skateboarder does a wheelie.</t>
  </si>
  <si>
    <t>The skateboarders ride along a sidewalk going somewhere.</t>
  </si>
  <si>
    <t>The boys walk around and go into a transportation station.</t>
  </si>
  <si>
    <t>v_JksdZ0YMkoQ</t>
  </si>
  <si>
    <t>A man in red in outside screwing in his rotors and putting his tire back on his truck.</t>
  </si>
  <si>
    <t>He grabs pieces to tighten it and begins to make sure they are on super tight.</t>
  </si>
  <si>
    <t>He does it repeatedly to make sure they all stay on well.</t>
  </si>
  <si>
    <t>Otherwise it would be dangerous to drive on if they are loose.</t>
  </si>
  <si>
    <t>v_KUorCsuIe2A</t>
  </si>
  <si>
    <t>We see a boy in a cap in a room laughing and sitting.</t>
  </si>
  <si>
    <t>We see the boy backstage talking to two men.</t>
  </si>
  <si>
    <t>The boy walks on the stage and talks to the judges.</t>
  </si>
  <si>
    <t>The boy performs a break dance.</t>
  </si>
  <si>
    <t>A judges mouth hangs open.</t>
  </si>
  <si>
    <t>The boy finises dancing and the judges give their feedback.</t>
  </si>
  <si>
    <t>The crowd lifts their arms in the air.</t>
  </si>
  <si>
    <t>The boy walks off stage and is interviewed.</t>
  </si>
  <si>
    <t>The boy walks away from the men.</t>
  </si>
  <si>
    <t>v_svZ7DPi7rLI</t>
  </si>
  <si>
    <t>A man is running throws a javelin.</t>
  </si>
  <si>
    <t>He puts his hands in the air and waves at the crowd.</t>
  </si>
  <si>
    <t>He grabs a towel and puts his hands in the air.</t>
  </si>
  <si>
    <t>v_xUDwlT5fw_o</t>
  </si>
  <si>
    <t>A man is standing at a bar and he begins pouring ice into a tall cup along with blue liquid, dark liquid, and a red liquid.</t>
  </si>
  <si>
    <t>The man then pours it into a shaker and shakes it until thoroughly mixed.</t>
  </si>
  <si>
    <t>When the man is finished shaking the drink he removes the cup from the shaker, pours the liquids into a smaller cup, and sticks a white straw in it.</t>
  </si>
  <si>
    <t>All while talking the man then picks up the cup, smells it, smiles and holds the drink up.</t>
  </si>
  <si>
    <t>v_2DCeEAz8iO8</t>
  </si>
  <si>
    <t>A camera pans around a person riding around on a horse.</t>
  </si>
  <si>
    <t>The person continues riding around the area and pauses to speak to the woman while she laughs and speaks to the camera.</t>
  </si>
  <si>
    <t>v_4-Xe_9Ywvd8</t>
  </si>
  <si>
    <t>A group of cheerleaders gather on a football field.</t>
  </si>
  <si>
    <t>They cheer and flip as they jog across the field.</t>
  </si>
  <si>
    <t>They then put on a performance, flipping and jumping.</t>
  </si>
  <si>
    <t>v_FGtoyNOi6gg</t>
  </si>
  <si>
    <t>An intro leads into several shots of a wooded area and several people bungee jumping off a bridge.</t>
  </si>
  <si>
    <t>Several shots of people jumping off the side and shown and many standing on the side and close ups of the jumpers.</t>
  </si>
  <si>
    <t>v_qhsK94t7x7w</t>
  </si>
  <si>
    <t>People in stands watch as two bulls walk around in a bullfighting ring, other people walk around in the ring taking pictures.</t>
  </si>
  <si>
    <t>The bulls lock horns, and are aggressive toward one another.</t>
  </si>
  <si>
    <t>One bull walks away from the other one, and then quickly turns to reengage in the fight.</t>
  </si>
  <si>
    <t>The bulls circle one another.</t>
  </si>
  <si>
    <t>The bulls begin to fight.</t>
  </si>
  <si>
    <t>v_w8PqH7bltJQ</t>
  </si>
  <si>
    <t>man is standing in a workshop standing in front of a bicycle talking to the camera.</t>
  </si>
  <si>
    <t>list of materials is shown in the screen.</t>
  </si>
  <si>
    <t>man is putting red tape on bicycle bars.</t>
  </si>
  <si>
    <t>the man is wrapping all the bar in the red tape.</t>
  </si>
  <si>
    <t>v_kM6v-XN8Ixo</t>
  </si>
  <si>
    <t>A man throws a frisbee on a field.</t>
  </si>
  <si>
    <t>A dog jumps and grabs the frisbee in the air.</t>
  </si>
  <si>
    <t>The man lays on his back and the dog stands on his feet.</t>
  </si>
  <si>
    <t>The man bends down and the dog jumps on his back.</t>
  </si>
  <si>
    <t>The dog runs and jumps into the mans arms and the man carries him.</t>
  </si>
  <si>
    <t>v_539ByIcbUPs</t>
  </si>
  <si>
    <t>A woman speaks to the camera.</t>
  </si>
  <si>
    <t>Many lemons fall onto a counter.</t>
  </si>
  <si>
    <t>The woman grabs a wooden bowl and pours brown sugar into it.</t>
  </si>
  <si>
    <t>She grabs a lemon and rubs brown sugar all over the lemon.</t>
  </si>
  <si>
    <t>She proceeds to rub two lemons onto the counter.</t>
  </si>
  <si>
    <t>With a knife, she cuts a lemon in half.</t>
  </si>
  <si>
    <t>She squeezes lemon juice into a bowl.</t>
  </si>
  <si>
    <t>She pours the squeezed lemon juice into a pitcher.</t>
  </si>
  <si>
    <t>She pours boiling water into the bowl with brown sugar in it.</t>
  </si>
  <si>
    <t>Shes pours the watered brown sugar into the pitcher and stirs.</t>
  </si>
  <si>
    <t>She breaks ice cubes by hitting them with a spoon.</t>
  </si>
  <si>
    <t>She places the ice into a glass and adds the lemonade.</t>
  </si>
  <si>
    <t>Lastly, she takes a sip of the lemonade she just made.</t>
  </si>
  <si>
    <t>v_047dUA_39x8</t>
  </si>
  <si>
    <t>A cowboy rides a horse out of a corral and enters into a fenced off area.</t>
  </si>
  <si>
    <t>The man rides his horse out of the fenced are and throws a rope around a cattle.</t>
  </si>
  <si>
    <t>The man is helped by other cowboys while tying up the cattle.</t>
  </si>
  <si>
    <t>v_cdHBwzbNI5Y</t>
  </si>
  <si>
    <t>A girl in a sparkling outfit marches onto the court followed by other girls.</t>
  </si>
  <si>
    <t>They are holding batons as they march.</t>
  </si>
  <si>
    <t>They then walk away, off the court.</t>
  </si>
  <si>
    <t>v_8eGaK2mVEhY</t>
  </si>
  <si>
    <t>An indoor track is shown as a male begins running with a pole vault but he isn't successful in his jump.</t>
  </si>
  <si>
    <t>Another person then comes behind the camera and begins talking.</t>
  </si>
  <si>
    <t>The athlete then does his jump several more times but he isn't successful.</t>
  </si>
  <si>
    <t>v_ZIbrxshdMu0</t>
  </si>
  <si>
    <t>Older people play croquet near the ocean.</t>
  </si>
  <si>
    <t>A group of people come and walk by in the background.</t>
  </si>
  <si>
    <t>The two groups play and interact with each other.</t>
  </si>
  <si>
    <t>v_Pw0ANcAM-zc</t>
  </si>
  <si>
    <t>A man l dead lifts a weight bar from the ground over his head in a gym.</t>
  </si>
  <si>
    <t>The man does repetitions lifting a weight bar up off the ground to waist level.</t>
  </si>
  <si>
    <t>v_r9vcB6tc1mM</t>
  </si>
  <si>
    <t>There are two men using defense techniques as a way of dance moves.</t>
  </si>
  <si>
    <t>They are in the middle of a circle of people, who are clapping.</t>
  </si>
  <si>
    <t>Two other men come in from the crowd to try and dance, but the video ends.</t>
  </si>
  <si>
    <t>v_REOP3JWB0yc</t>
  </si>
  <si>
    <t>A man is seen wearing sunglasses and speaking to the camera while holding a lacrosse stick.</t>
  </si>
  <si>
    <t>The man continues to speak to the camera while moving the stick all around.</t>
  </si>
  <si>
    <t>In the end is seen still speaking while moving his legs as well as showing how to properly throw the ball.</t>
  </si>
  <si>
    <t>v_xXRKrdnuZBQ</t>
  </si>
  <si>
    <t>A man is seen speaking to the camera and leads into clips of him hitting a ball around with a stick.</t>
  </si>
  <si>
    <t>The man continues speaking to the camera in several spots and as well as hitting the ball around an indoor area.</t>
  </si>
  <si>
    <t>v_jSxu2GOiBO0</t>
  </si>
  <si>
    <t>An introduction comes onto the screen for a video about how to ski.</t>
  </si>
  <si>
    <t>A man begins to talk about some key components of skiing and how to go about learning how to ski.</t>
  </si>
  <si>
    <t>The video then goes to video of people skiing down a slope while twisting and turning from side to side.</t>
  </si>
  <si>
    <t>A scene is shown of three men talking while riding up the ski lift.</t>
  </si>
  <si>
    <t>The closing credits and graphics are shown at the end.</t>
  </si>
  <si>
    <t>v_tSUzEX6ps0s</t>
  </si>
  <si>
    <t>A Subway employee is standing in the kitchen preparing sub.</t>
  </si>
  <si>
    <t>On a white piece is of paper is a foot long piece of bread and a row of ham,pepperoni,salami then cheese are added on the sub.</t>
  </si>
  <si>
    <t>Next,the man puts the sub in the oven to be toasted and moves a tray of cookies to the other side of the counter.</t>
  </si>
  <si>
    <t>As he waits,he begins talking to his friend and checking the cookies.</t>
  </si>
  <si>
    <t>Now,the sub is toasted a lettuce and tomatoes are added along with cucumbers,anchovies,oil,vinegar and mayo.</t>
  </si>
  <si>
    <t>The sub is finally finished cut in half,rolled in paper, and then totaled out on the register.</t>
  </si>
  <si>
    <t>v_MysxDDxgHNo</t>
  </si>
  <si>
    <t>Several boys are interacting in an ice rink.</t>
  </si>
  <si>
    <t>Two boys that are sliding on their knees towards each other collide and fall back.</t>
  </si>
  <si>
    <t>A boy releases a curling stone.</t>
  </si>
  <si>
    <t>Three boys walk together across on the ice.</t>
  </si>
  <si>
    <t>v_RhsCYNiAaV8</t>
  </si>
  <si>
    <t>Title cards flash across the screen.</t>
  </si>
  <si>
    <t>Images of rafts are shown.</t>
  </si>
  <si>
    <t>We see people sitting in their raft then start rowing.</t>
  </si>
  <si>
    <t>A waterfall spills into the raft.</t>
  </si>
  <si>
    <t>Two boats of rafters raft down a river.</t>
  </si>
  <si>
    <t>The first boat splashes the rear boat.</t>
  </si>
  <si>
    <t>The rafters splash each other.</t>
  </si>
  <si>
    <t>A raft turns over in the water and rafters float to the river bank.</t>
  </si>
  <si>
    <t>A van is then driving down the road.</t>
  </si>
  <si>
    <t>The end title card appears on the screen.</t>
  </si>
  <si>
    <t>v_aTl4KzTuJoU</t>
  </si>
  <si>
    <t>A man is in the ocean water, holding a rope.</t>
  </si>
  <si>
    <t>He is attached to a boat while he is on water skis.</t>
  </si>
  <si>
    <t>He lifts himself up, skiing in the waves.</t>
  </si>
  <si>
    <t>v_36lphp9tnMk</t>
  </si>
  <si>
    <t>A man is standing outside drinking beer.</t>
  </si>
  <si>
    <t>People are standing around watching him.</t>
  </si>
  <si>
    <t>He sets the beer glass down on a table.</t>
  </si>
  <si>
    <t>v_1y9s_l_DIEk</t>
  </si>
  <si>
    <t>A woman holds two big gloves where two little girls tap with both hands.</t>
  </si>
  <si>
    <t>Then, the woman puts the globes on front her chest.</t>
  </si>
  <si>
    <t>People practice karate in a room.</t>
  </si>
  <si>
    <t>v_PVAV7PdHhgE</t>
  </si>
  <si>
    <t>A person holds a boy that is on a swing rod, and then push the rod.</t>
  </si>
  <si>
    <t>Then, the boy swings on the rod to impulse his body to swing in circles until the rod loss force.</t>
  </si>
  <si>
    <t>After, a man helps stop the swing rod, while other people are fixing something.</t>
  </si>
  <si>
    <t>A young man wearing yellow t-shirt move his arms.</t>
  </si>
  <si>
    <t>v_npzRJiGHc9c</t>
  </si>
  <si>
    <t>A field hockey game is being played.</t>
  </si>
  <si>
    <t>As a team is trying to score,a player in a white shirt ducks as the puck flies over her head.</t>
  </si>
  <si>
    <t>After the puck goes through the goalie,the young lady smiles as she goes over to the sideline and is given a high five from her coach.</t>
  </si>
  <si>
    <t>v_R7uL6BvULN8</t>
  </si>
  <si>
    <t>Two people are carrying kite surf boards to the water and we see people riding them in the water.</t>
  </si>
  <si>
    <t>We see the board up close.</t>
  </si>
  <si>
    <t>We see a man riding and come to a stop.</t>
  </si>
  <si>
    <t>We see the board up close again.</t>
  </si>
  <si>
    <t>We see the man riding the board in the water again.</t>
  </si>
  <si>
    <t>v_h5fX5z-unJc</t>
  </si>
  <si>
    <t>A man wearing a white shirt is playing pool in a recreation room.</t>
  </si>
  <si>
    <t>There are some other players standing besides the pool table.</t>
  </si>
  <si>
    <t>The man playing pool hits the balls as he continues playing the game.</t>
  </si>
  <si>
    <t>v_bFHpaULTwsE</t>
  </si>
  <si>
    <t>A tree and mulching materials are show, then a man prepares the area around the tree.</t>
  </si>
  <si>
    <t>Then the man put mulch around the tree and gives form with a rack.</t>
  </si>
  <si>
    <t>v_K-E0UXNscjU</t>
  </si>
  <si>
    <t>A woman is seen throwing a dart to the board and looking back laughing while another watches from far away.</t>
  </si>
  <si>
    <t>She throws more darts onto the board while stopping to grab them and a man bending down beside her.</t>
  </si>
  <si>
    <t>v_9Tip00S7cFY</t>
  </si>
  <si>
    <t>A man is in an indoor racquetball court, talking as he holds a ball and racquet.</t>
  </si>
  <si>
    <t>He lobs the ball back and forth against the wall, interspersed with talking about the game.</t>
  </si>
  <si>
    <t>He speaks for a while longer before the video ends.</t>
  </si>
  <si>
    <t>v_tdHQb9Uwc4A</t>
  </si>
  <si>
    <t>Two men are standing on an indoor gym and in sync they both start jumping on their metal bouncy stits and they both do a backflip.</t>
  </si>
  <si>
    <t>Various clips of various different people also wearing the bouncy stilts play and they're all running, flipping and doing various tricks while landing onto blue mats in an indoor gym.</t>
  </si>
  <si>
    <t>Now there are a lot of people outdoors, both men and women, and they are all running, hopping, jumping, and doing flips outdoors.</t>
  </si>
  <si>
    <t>A large group of them all line up and a view from above show that they have formed the number 7.</t>
  </si>
  <si>
    <t>Various still shot pictures show and clips of more people outdoors in a different area play and they're all also jumping over poles, doing flips, jumps, running and etcetera.</t>
  </si>
  <si>
    <t>Now there are people jumping into the water with their bouncy stilts, then back in a large grassy area until a black screen appears and a lot of white words and websites scroll quickly from bottom to top.</t>
  </si>
  <si>
    <t>v_3ArMGKnxlcU</t>
  </si>
  <si>
    <t>People are canoeing down a river of water.</t>
  </si>
  <si>
    <t>They are going around poles in the water.</t>
  </si>
  <si>
    <t>They go under a bridge.</t>
  </si>
  <si>
    <t>v_Dty6AUdBdrE</t>
  </si>
  <si>
    <t>A little girl in gray and printed coat is standing at the center of dry leaves, she walked away from the pile of leaves, grab handful and put it on one side.</t>
  </si>
  <si>
    <t>A woman in gray sweater and blue pants walk from the girl's behind then towards her, the lady is carrying a rake.</t>
  </si>
  <si>
    <t>The little girl came up to her and try to reach for the rake.</t>
  </si>
  <si>
    <t>The woman adjusted the handle of the rake to make it shorter and handed to the girl.</t>
  </si>
  <si>
    <t>The little girl tried to rake but it wouldn't move so the woman sat beside the girl and take the rake from her, while the little girl got distracted by the kids running down the street.</t>
  </si>
  <si>
    <t>The little girl continue to rake, while the lady take a bigger rake and started to rake the leaves.</t>
  </si>
  <si>
    <t>v_h_Kt_rqmODs</t>
  </si>
  <si>
    <t>A person is walking along the street that has chalk on it.</t>
  </si>
  <si>
    <t>A person in a red shirt is hopping along the street with the chalk on it.</t>
  </si>
  <si>
    <t>They finish and smile at the camera.</t>
  </si>
  <si>
    <t>v_G4fSvtn1HAw</t>
  </si>
  <si>
    <t>This is a recipe for making chocolate chip cookies.</t>
  </si>
  <si>
    <t>Chocolate bars are cut up with a knife.</t>
  </si>
  <si>
    <t>Butter is microwaved and prepared with sugar and other ingredients.</t>
  </si>
  <si>
    <t>Everything is stirred and the chocolate is put in.</t>
  </si>
  <si>
    <t>The cookies are shaped and put in an oven.</t>
  </si>
  <si>
    <t>v_LIaNG_UliKk</t>
  </si>
  <si>
    <t>man is sitting in the driver's seat.</t>
  </si>
  <si>
    <t>people are in snowy mountain snowboarding.</t>
  </si>
  <si>
    <t>v_aFdYbgmbOeY</t>
  </si>
  <si>
    <t>Someone grabs a rubix cube off of their desk and begin to solve it.</t>
  </si>
  <si>
    <t>They are moving so fast, they put it down for a split second.</t>
  </si>
  <si>
    <t>They pick it back up quickly and get back to it, moving so fast again.</t>
  </si>
  <si>
    <t>When they finally solve the cube they show their time, it took them only 33,91 to solve the cube.</t>
  </si>
  <si>
    <t>v_PJvOR4ue3tU</t>
  </si>
  <si>
    <t>The man in black shirt is walking and then raised the ball up.</t>
  </si>
  <si>
    <t>The man put the ball on his neck and started to turn around and threw the ball.</t>
  </si>
  <si>
    <t>The man cheered and gave a high five to other man, then he is so happy he went to the ground on his stomach and he continue to cheer.</t>
  </si>
  <si>
    <t>v_yBjsQN4fzVY</t>
  </si>
  <si>
    <t>There's a woman in a pink dress sitting with a man in a gray shirt.</t>
  </si>
  <si>
    <t>They are talking about brushing teeth in underwear and how it is banned by Metacafe.</t>
  </si>
  <si>
    <t>The man has a script in his hand that he's reading.</t>
  </si>
  <si>
    <t>A man in folded pants is walking on the beach.</t>
  </si>
  <si>
    <t>He picks up a toothbrush from the sand and begins brushing his teeth.</t>
  </si>
  <si>
    <t>The woman in the bathroom is brushing her teeth and is attacked by a man with a knife.</t>
  </si>
  <si>
    <t>There is blood splattered all over the bathroom.</t>
  </si>
  <si>
    <t>The injured woman gets up and looks in the mirror only find out that she has the face of the man from the beach.</t>
  </si>
  <si>
    <t>The same man is now back on the beach, walking along the shore.</t>
  </si>
  <si>
    <t>v_6fjc0Brqa7A</t>
  </si>
  <si>
    <t>Various shots of landscapes are shown followed by a woman speaking to the camera, gearing up, and riding behind a vehicle.</t>
  </si>
  <si>
    <t>The person walks around and interacts with the driver and leads into more clips of the person riding a board behind a car.</t>
  </si>
  <si>
    <t>A man speaks into a walkie talkie and showing the speed of the car as well as people celebrating and the man receiving a plaque.</t>
  </si>
  <si>
    <t>v_h3GLEcwSvD4</t>
  </si>
  <si>
    <t>A group of men are in a room doing various hand movements and moving their feet.</t>
  </si>
  <si>
    <t>As they continue,the man in the back falls on the ground,gets up and continues moving in the back of the room.</t>
  </si>
  <si>
    <t>They finish,stand still and begin clapping and high-fiving one another.</t>
  </si>
  <si>
    <t>v_aBr9bdWrl0I</t>
  </si>
  <si>
    <t>blonde woman is raking dry leaves in a backyard and dog is playing with them running.</t>
  </si>
  <si>
    <t>dog is unning in the backyard and is drinkin water from a smal fountain and keep running through the field playing with the leaves while the woman keep raking.</t>
  </si>
  <si>
    <t>v_tnavaGow7BI</t>
  </si>
  <si>
    <t>Two people are standing behind a counter.</t>
  </si>
  <si>
    <t>One person is adding peppers to a salad.</t>
  </si>
  <si>
    <t>Another person is chopping the pepper on a board.</t>
  </si>
  <si>
    <t>v_LW8UDBQ1yJc</t>
  </si>
  <si>
    <t>The opening credits for a film appears on the screen.</t>
  </si>
  <si>
    <t>Several young men are shown performing various stunts on skateboards.</t>
  </si>
  <si>
    <t>They jump on tables, over fountains, and down stairs.</t>
  </si>
  <si>
    <t>v_-kky8-yaEPg</t>
  </si>
  <si>
    <t>A man is stirring something in a pot.</t>
  </si>
  <si>
    <t>The first man leaves the scene as a second man enters and stirs something in a bowl.</t>
  </si>
  <si>
    <t>The first man walks into and out of frame.</t>
  </si>
  <si>
    <t>The camera pans left to watch the first man working at an oven.</t>
  </si>
  <si>
    <t>v_hK3E6njydQA</t>
  </si>
  <si>
    <t>People in uniforms of various characters are shown running around a green field.</t>
  </si>
  <si>
    <t>Then, a lacrosse game begins and they compete against one another.</t>
  </si>
  <si>
    <t>The large yellow character attempts to get a goal but isn't successful and he falls to his knee in disappointment.</t>
  </si>
  <si>
    <t>v_ivivR6ZdgRM</t>
  </si>
  <si>
    <t>A man in a denim shirt and black baseball cap plays the harmonica at the beach in front of a sandy shore, ocean water and a grass and flower covered knoll.</t>
  </si>
  <si>
    <t>The man is standing at the top of a short wooden staircase, and, leaning against the railing the man begins to play the harmonica covering the entire instrument with both hands while playing.</t>
  </si>
  <si>
    <t>A beach goer in shorts walks past him in the distance on the wet sand of the beach.</t>
  </si>
  <si>
    <t>The man continues to play the harmonica ending by pulling the harmonica away from the mouth and wriggling a large, puffy, mustache dramatically.</t>
  </si>
  <si>
    <t>v_B6W_0AvgGTY</t>
  </si>
  <si>
    <t>A man and dog are seen standing in a field with the dog looking to the owner.</t>
  </si>
  <si>
    <t>The man throws a frisbee off into the distance and the dog chases after it.</t>
  </si>
  <si>
    <t>The dog grabs the frisbee and runs back to the man.</t>
  </si>
  <si>
    <t>v_XuFiQCgRsRo</t>
  </si>
  <si>
    <t>A young woman is in a gym.</t>
  </si>
  <si>
    <t>She sits on an exercise machine while speaking to the camera.</t>
  </si>
  <si>
    <t>Three other people are near her, also on exercise machines.</t>
  </si>
  <si>
    <t>The woman then begins to use the exercise machine.</t>
  </si>
  <si>
    <t>The video ends with the woman stopping the machine and smiling at the camera.</t>
  </si>
  <si>
    <t>v_6SWx37_Byzs</t>
  </si>
  <si>
    <t>A man and woman are seen performing a dancing routine on a floor with one another.</t>
  </si>
  <si>
    <t>The man and woman are also seen in shots dancing by themselves and leads into them dancing together again.</t>
  </si>
  <si>
    <t>v_ZREEgMgSz_o</t>
  </si>
  <si>
    <t>A girl stands in a bathroom talking to the camera as a man films her.</t>
  </si>
  <si>
    <t>The lady wipes her eye makeup off and washes her face.</t>
  </si>
  <si>
    <t>the lady rinses the soap off her face.</t>
  </si>
  <si>
    <t>The lady stands upright and wipes her face with her hands while smiling.</t>
  </si>
  <si>
    <t>v_cfwJd80WCZU</t>
  </si>
  <si>
    <t>A man walking on metal stilts is bouncing a basketball with his right hand as a man passes him on rollerblades in the opposite direction.</t>
  </si>
  <si>
    <t>The man on stilts turns around while still bouncing the ball, loses control for a little bit, but steps it up and bounces is again.</t>
  </si>
  <si>
    <t>The man then grabs the basketball with two hands and pretends that he's going to throw it towards the camera.</t>
  </si>
  <si>
    <t>v_7g3YO0-R4qk</t>
  </si>
  <si>
    <t>A swimming pool is shown in a room.</t>
  </si>
  <si>
    <t>Men are shown jumping into the pool and swimming laps.</t>
  </si>
  <si>
    <t>v_ir1jpnsK5p8</t>
  </si>
  <si>
    <t>Cars move on a road adjacent to a home.</t>
  </si>
  <si>
    <t>A person is power washing.</t>
  </si>
  <si>
    <t>The person is soaking up water and debris with a vacuum.</t>
  </si>
  <si>
    <t>A man is painting the wall, light blue.</t>
  </si>
  <si>
    <t>The man is painting the wall and floor of a roof, black.</t>
  </si>
  <si>
    <t>v_SZqwvjwqwK4</t>
  </si>
  <si>
    <t>A man is playing the drums while wearing earphones.</t>
  </si>
  <si>
    <t>We see the man's feet in the upper corner.</t>
  </si>
  <si>
    <t>the mans' feet return in the corner.</t>
  </si>
  <si>
    <t>We see a game being played before returning to the drummer.</t>
  </si>
  <si>
    <t>We see another scene from the game.</t>
  </si>
  <si>
    <t>The man throws and catches one of his drumsticks.</t>
  </si>
  <si>
    <t>We see a closing screen with a website on it.</t>
  </si>
  <si>
    <t>v_lzcVvTHZlQo</t>
  </si>
  <si>
    <t>A shot is seen of two men performing an arm wrestling match together while the audience cheers.</t>
  </si>
  <si>
    <t>One man beats the other and the two hold up their arms to cheer and everybody celebrates.</t>
  </si>
  <si>
    <t>One man in the audience looks disappointing and the winner holds up a boy.</t>
  </si>
  <si>
    <t>v_xcI2e5T_BL0</t>
  </si>
  <si>
    <t>A man is scooping out the inside of a watermelon.</t>
  </si>
  <si>
    <t>He eats a piece of the watermelon.</t>
  </si>
  <si>
    <t>He draws on the side of the watermelon.</t>
  </si>
  <si>
    <t>He starts cutting out portions of the watermelon to carve it.</t>
  </si>
  <si>
    <t>He pulls out a piece of the watermelon skin.</t>
  </si>
  <si>
    <t>He continues drawing and cutting the watermelon.</t>
  </si>
  <si>
    <t>He shows the carved watermelon.</t>
  </si>
  <si>
    <t>The lights turn off and he shows the carved watermelon.</t>
  </si>
  <si>
    <t>v_Isx1Q5wyJZg</t>
  </si>
  <si>
    <t>Two girls spin double jump ropes while a girl in a black skirt jumps and a crowd of spectators watches on.</t>
  </si>
  <si>
    <t>A girl in jeans enters the ropes and performs different jumping moves.</t>
  </si>
  <si>
    <t>A girl in a blue shirt enters the jump ropes and performs different moves while jumping.</t>
  </si>
  <si>
    <t>A girl enters the jump ropes going extra fast speed and performs fast jumps.</t>
  </si>
  <si>
    <t>v_s1E6EKs1MZw</t>
  </si>
  <si>
    <t>A man in a gorilla suit is playing a saxophone in the middle of a store.</t>
  </si>
  <si>
    <t>The employees look on and laugh at the person playing and use their phones to take pictures.</t>
  </si>
  <si>
    <t>The gorillas reaches out to grab one of the employees hands and the man is very embarrassed by it.</t>
  </si>
  <si>
    <t>They talk to each other a bit and the other employees begin to clap excitedly.</t>
  </si>
  <si>
    <t>The Gorilla suit man plays the sax some more as everyone is still laughing.</t>
  </si>
  <si>
    <t>He plays and plays to the camera as the video comes to an end.</t>
  </si>
  <si>
    <t>v_wC-k0Zfx-cM</t>
  </si>
  <si>
    <t>People are sumo wrestling on a mat.</t>
  </si>
  <si>
    <t>People are playing the drums.</t>
  </si>
  <si>
    <t>Sumo wrestlers are talking to the camera.</t>
  </si>
  <si>
    <t>v_nOm1JLcBD30</t>
  </si>
  <si>
    <t>A small group of people are seen riding around bumper cars and crashing into one another.</t>
  </si>
  <si>
    <t>The group continues driving around and passing one another.</t>
  </si>
  <si>
    <t>The people continue driving the cars and passing one another.</t>
  </si>
  <si>
    <t>v_BuaWU70q7cE</t>
  </si>
  <si>
    <t>A teenaged boy and his mother are sitting in bed dressed very relaxed and talking about how to wrap gifts.</t>
  </si>
  <si>
    <t>He gets side tracked on his phone and then gets back to business, they start cutting the wrapping paper.</t>
  </si>
  <si>
    <t>They put the presents in the middle of the paper and try to start wrapping.</t>
  </si>
  <si>
    <t>They seems to have different techniques as the son finishes much faster and mom's comes out looking a little bit better.</t>
  </si>
  <si>
    <t>v_mS7SAG1nW1o</t>
  </si>
  <si>
    <t>A woman is in a stable with a white horse.</t>
  </si>
  <si>
    <t>She shows a collection of brushes and grooming supplies.</t>
  </si>
  <si>
    <t>She pets the horse as she talks, and tries to keep him calm.</t>
  </si>
  <si>
    <t>She uses the brushes to groom him thoroughly, then cleans his hooves.</t>
  </si>
  <si>
    <t>v_cy3a8BJJ-YQ</t>
  </si>
  <si>
    <t>A small group of people are seen sitting around a poker table with a woman dealing cards in front.</t>
  </si>
  <si>
    <t>The woman deals cards to the people while they put their cards and chips in the middle.</t>
  </si>
  <si>
    <t>The dealer continues playing with the people and looking off into the distance.</t>
  </si>
  <si>
    <t>v_JZK-HJ-Tdw4</t>
  </si>
  <si>
    <t>We see an animated opening scene.</t>
  </si>
  <si>
    <t>We see see man run with a pole and perform a high jump.</t>
  </si>
  <si>
    <t>The man knocks the pole down and lays down in disappointment.</t>
  </si>
  <si>
    <t>We see the man holding his pole and make his 2nd attempt knocking over the pole.</t>
  </si>
  <si>
    <t>The man tries a third time and the poles stays up.</t>
  </si>
  <si>
    <t>The man raises his arms in the air.</t>
  </si>
  <si>
    <t>We then see attempt 1,2 and 3 again.</t>
  </si>
  <si>
    <t>The man raises his arms in the air for the crowd.</t>
  </si>
  <si>
    <t>The man throws his arms in the air and falls to the ground.</t>
  </si>
  <si>
    <t>v_cwVZNpqc-mQ</t>
  </si>
  <si>
    <t>A man in a black shirt is sitting down playing a drum set.</t>
  </si>
  <si>
    <t>He stops playing and starts talking into a microphone.</t>
  </si>
  <si>
    <t>v_hHiPEAiYKv0</t>
  </si>
  <si>
    <t>A man is shoveling snow off his driveway in a heavy snow storm.</t>
  </si>
  <si>
    <t>He is wearing winter clothing and his fully covered.</t>
  </si>
  <si>
    <t>Another man is also shoveling snow off of he walkway of the house is not wearing any winter gear.</t>
  </si>
  <si>
    <t>They both continue to shovel and clean the snow in the heavy snow storm.</t>
  </si>
  <si>
    <t>v_vbyMT7bdUX4</t>
  </si>
  <si>
    <t>A woman is sitting in front of a table covered in wrapping supplies.</t>
  </si>
  <si>
    <t>She shows off a mug filled with gifts.</t>
  </si>
  <si>
    <t>She places it in cut cellophane, the wraps it around the present.</t>
  </si>
  <si>
    <t>She then ties it off with colorful ribbons.</t>
  </si>
  <si>
    <t>v_FOlMVTmAeaQ</t>
  </si>
  <si>
    <t>A male athlete is shown and he spins around and throws the discus.</t>
  </si>
  <si>
    <t>Once complete,two people rush out to measure the distance.</t>
  </si>
  <si>
    <t>The sequence is then continued and other men are shown throwing the discus.</t>
  </si>
  <si>
    <t>v_k3MFZmhXynI</t>
  </si>
  <si>
    <t>A person is seen pushing a lawn mower all around a yard while moving around in fast motion.</t>
  </si>
  <si>
    <t>The person continues moving around to cut the grass and the camera captures his movements.</t>
  </si>
  <si>
    <t>v_3vVhq-v5-wM</t>
  </si>
  <si>
    <t>A person is seen grabbing a bowling ball and winding his arm while other people bowl around him.</t>
  </si>
  <si>
    <t>The man throws the ball and hits several pins while running back and cheering to the camera.</t>
  </si>
  <si>
    <t>v_14AnvDNV5BI</t>
  </si>
  <si>
    <t>A young man sits on a cardio machine.</t>
  </si>
  <si>
    <t>Then, the man grans the handle of the machine.</t>
  </si>
  <si>
    <t>After, the man pulls the handle of la machine to do abs.</t>
  </si>
  <si>
    <t>v_soE6TfvOiIo</t>
  </si>
  <si>
    <t>A news man is talking in front of an image of a bulldog puppy.</t>
  </si>
  <si>
    <t>Doors open to a store, with various images of people working on different projects.</t>
  </si>
  <si>
    <t>A man shows how he received prostetic legs for the dog.</t>
  </si>
  <si>
    <t>The dog is shown with his new legs as they heal.</t>
  </si>
  <si>
    <t>In the final scene, the dog is walking along with a leashed pet pig.</t>
  </si>
  <si>
    <t>v_68kccxCgbys</t>
  </si>
  <si>
    <t>A title screen appears and then several paragraphs begin to roll over the screen.</t>
  </si>
  <si>
    <t>Next,a man with average sized curly black hair dressed in a suit begins to talk.</t>
  </si>
  <si>
    <t>When he is finished,a man is shown playing the saxophone at a night time television show and then the man comes back to finish talking.</t>
  </si>
  <si>
    <t>v_WYyqptHdgkk</t>
  </si>
  <si>
    <t>The man is on his feet bouncing towards the camera while standing on a tight flat ribbon that is connected to two very tall rock walls.</t>
  </si>
  <si>
    <t>The man then turns around and starts bouncing on his backside then back and forth onto his feet and backside while holding and letting go of the ribbon.</t>
  </si>
  <si>
    <t>The man continues to do tricks on the tight ribbon until he gets off of the ribbon and walks away smiling.</t>
  </si>
  <si>
    <t>v_YaIuavIbk6A</t>
  </si>
  <si>
    <t>An introduction comes onto the screen for a video about a sporting competition.</t>
  </si>
  <si>
    <t>A woman is interviewing another woman about the competition and all the events.</t>
  </si>
  <si>
    <t>Several clips are shown of people enjoying different sports and activities.</t>
  </si>
  <si>
    <t>After the interview ends, the closing credits are shown with graphics.</t>
  </si>
  <si>
    <t>v_O8tsM_ilGx4</t>
  </si>
  <si>
    <t>A cowboy riding a horse exits a gate.</t>
  </si>
  <si>
    <t>He ropes a little calf with a lasso.</t>
  </si>
  <si>
    <t>He jumps down and ties up the calf.</t>
  </si>
  <si>
    <t>v_poI4vU4k1sY</t>
  </si>
  <si>
    <t>A cue ball rolls on a table slowly away from the pocket.</t>
  </si>
  <si>
    <t>A man stands holding a touch screen discussing.</t>
  </si>
  <si>
    <t>Men compete and play a games of billiards.</t>
  </si>
  <si>
    <t>v__79Qlv1SQ9k</t>
  </si>
  <si>
    <t>A leg wearing a blue pants with red and white lines is shown, it moves on the snow, the legs were crossed as the lifebuoy moves on the snow.</t>
  </si>
  <si>
    <t>A person from afar is on a lifebuoy sliding on the snow.</t>
  </si>
  <si>
    <t>v_8ErMpNsK3_c</t>
  </si>
  <si>
    <t>A little girl swings across the monkey bars on a playground.</t>
  </si>
  <si>
    <t>Her mother talks as she watches her slide to the ground and start again.</t>
  </si>
  <si>
    <t>v_UZIs0_W2Akw</t>
  </si>
  <si>
    <t>A close up of a horse is shown followed by a woman walking into frame and brushing the horse.</t>
  </si>
  <si>
    <t>She continues brushing the horse in various spots and ends with her feeding the horse.</t>
  </si>
  <si>
    <t>v_AJ_QqCET1iY</t>
  </si>
  <si>
    <t>He does a gymnastics routine on the balance beam.</t>
  </si>
  <si>
    <t>He dismounts and lands on a blue mat.</t>
  </si>
  <si>
    <t>He waves at the crowd and walks off.</t>
  </si>
  <si>
    <t>v_T3DSDybuBsU</t>
  </si>
  <si>
    <t>The camera pans around a large group of people holding bows and arrows followed by several shots of them shooting the arrows.</t>
  </si>
  <si>
    <t>Several man run across the field as they shoot arrows at them that lead into sword fights and people being injured.</t>
  </si>
  <si>
    <t>People throw sponges at a man, fist fight, and shoot more arrows at others.</t>
  </si>
  <si>
    <t>v_TxxUmibEy9Q</t>
  </si>
  <si>
    <t>A woman is standing and walking inside a store.</t>
  </si>
  <si>
    <t>She walks up to a man and shakes his hand.</t>
  </si>
  <si>
    <t>She walks away, perusing the items on the shelves before leaning onto the counter, flexing her biceps.</t>
  </si>
  <si>
    <t>The woman shows the man her biceps before engaging in arm wrestling with him.</t>
  </si>
  <si>
    <t>She sits beside the counter, continuing to talk with him for a while.</t>
  </si>
  <si>
    <t>v_qZTAv1s_eBQ</t>
  </si>
  <si>
    <t>man is running wearing stilts in a green grassy field.</t>
  </si>
  <si>
    <t>cars are parked on side of a street in the background.</t>
  </si>
  <si>
    <t>man get ous the grass and runs into a street.</t>
  </si>
  <si>
    <t>v_Nr49JFixNE4</t>
  </si>
  <si>
    <t>People are standing in a gymnasium talking.</t>
  </si>
  <si>
    <t>They start running and throwing balls at each other.</t>
  </si>
  <si>
    <t>v_XJ-knBky6S0</t>
  </si>
  <si>
    <t>A man is seen standing at the end of a dock and looking back to people partying.</t>
  </si>
  <si>
    <t>The man walks up and sees two people performing martial arts in the middle of a circle.</t>
  </si>
  <si>
    <t>The people continuing moving around while others watch on the side and the soldier joining in as well.</t>
  </si>
  <si>
    <t>v_EMOfWVKMqDM</t>
  </si>
  <si>
    <t>There's a young woman who is curling in a curling rink.</t>
  </si>
  <si>
    <t>There are several other players who are also curling.</t>
  </si>
  <si>
    <t>Various pictures of that same woman are being shown posing for some sort of photo shoot.</t>
  </si>
  <si>
    <t>The woman seems a bit distressed about the game.</t>
  </si>
  <si>
    <t>She is posing for a photo shoot with a curling rock.</t>
  </si>
  <si>
    <t>v_abWGVKYPffM</t>
  </si>
  <si>
    <t>A man is using a weed whacker to trim bushes.</t>
  </si>
  <si>
    <t>He turns away from the bushes and cuts weeds on the ground.</t>
  </si>
  <si>
    <t>v_q59X9izcjQc</t>
  </si>
  <si>
    <t>Various clips are shown of a woman standing and pointing on a beach that lead into her dragging along a board and and adjusting it on the water.</t>
  </si>
  <si>
    <t>The woman then grabs onto the board and moves around the water while demonstrating proper moves and the camera moving all around others.</t>
  </si>
  <si>
    <t>v_6Kbv1OpIpaA</t>
  </si>
  <si>
    <t>A boy is sitting in the room with three guitars and begins to play all three of them with a violin bow.</t>
  </si>
  <si>
    <t>The man then begins to play the one guitar that is on his lap with his fingers and finishes the song.</t>
  </si>
  <si>
    <t>v_cWdWucjUhks</t>
  </si>
  <si>
    <t>A person does a routine on parallel bars.</t>
  </si>
  <si>
    <t>He does his routine and then dismounts.</t>
  </si>
  <si>
    <t>v_cUEGoRjraxM</t>
  </si>
  <si>
    <t>Dog owner stand with and hold their dogs.</t>
  </si>
  <si>
    <t>People play with their dogs in a park with obstacles.</t>
  </si>
  <si>
    <t>A group holds signs with a dog on a city sidewalk.</t>
  </si>
  <si>
    <t>v_Q3cc0HlO7so</t>
  </si>
  <si>
    <t>A man and woman are seen standing on a stage with a spotlight shown on them.</t>
  </si>
  <si>
    <t>The duo begin playing instruments together while looking at one another as well as the camera.</t>
  </si>
  <si>
    <t>The two continue playing with one another and pause to look at the camera.</t>
  </si>
  <si>
    <t>v_Vi2gzCrS-fE</t>
  </si>
  <si>
    <t>A person is seen cutting up a tomato and demonstrating how the knife works on a piece of paper.</t>
  </si>
  <si>
    <t>The person then sharpens the blade on a coffee mug and cuts through the paper.</t>
  </si>
  <si>
    <t>v_IVHmmp3Nsd4</t>
  </si>
  <si>
    <t>The words "Abstract Birds/Oil Painting Katy Jade Dobson" appear on screen.</t>
  </si>
  <si>
    <t>Dobson sketches out a design on white canvas and starts painting it.</t>
  </si>
  <si>
    <t>She stands by her finished work as paint drips in lines down the canvas.</t>
  </si>
  <si>
    <t>v_SfiAcQAPpQ8</t>
  </si>
  <si>
    <t>A man is standing behind a bar.</t>
  </si>
  <si>
    <t>He puts ice into the glass and pours drinks into it.</t>
  </si>
  <si>
    <t>He stirs it with a straw.</t>
  </si>
  <si>
    <t>v_23ApAC123aQ</t>
  </si>
  <si>
    <t>The scene opens up with a carwash and and advertisement.</t>
  </si>
  <si>
    <t>Two men are talking while one is sitting in his car.</t>
  </si>
  <si>
    <t>A man is cleaning a car and talking to the camera.</t>
  </si>
  <si>
    <t>The car is dried and vacuumed, then on to the next car.</t>
  </si>
  <si>
    <t>The customer is handed his keys and he is on his way with a clean car.</t>
  </si>
  <si>
    <t>Two men are messing around while cleaning the car.</t>
  </si>
  <si>
    <t>A sign shows the services they offer.</t>
  </si>
  <si>
    <t>v_Tm0jUAQf6zY</t>
  </si>
  <si>
    <t>A young girl is standing in her living room holding a baton horizontal to her neck while a cat on the ground is moving about.</t>
  </si>
  <si>
    <t>The girl then unbends her arm, lets the baton roll to her hands then begins to do a series of twirling the baton.</t>
  </si>
  <si>
    <t>The cat below walks in and out of the screen while she's twirling the baton and even throws it up in the air, catches it then continues to twirl it.</t>
  </si>
  <si>
    <t>v_6YmUCNIMpB4</t>
  </si>
  <si>
    <t>A man bends on front a hedge holding an electric cutter.</t>
  </si>
  <si>
    <t>The man cuts a long hedge of a garden using an electric cutter.</t>
  </si>
  <si>
    <t>Then, the man removes leaves on top the hedge with his hand.</t>
  </si>
  <si>
    <t>v_GhvNhbL2ivg</t>
  </si>
  <si>
    <t>man is sitting in a room playing congas.</t>
  </si>
  <si>
    <t>keyboard is behind the man playing congsa in a room.</t>
  </si>
  <si>
    <t>man is playing salsa in congas in a music room.</t>
  </si>
  <si>
    <t>v_Vcxv3nyZpSs</t>
  </si>
  <si>
    <t>A girl is riding on a yellow riding lawn mower on a very large yard filled with green grass.</t>
  </si>
  <si>
    <t>When the girl reaches the end of the yard she makes a turn and drives up in the same direction she just came from.</t>
  </si>
  <si>
    <t>When she reaches that end, she makes a turn but it's too tight and she reverses a little.</t>
  </si>
  <si>
    <t>The girl then makes her turn in the opposite direction once again and when she reaches half way down the yard she turns once again and heads up the direction she just came from.</t>
  </si>
  <si>
    <t>v_eMkBTRYwBAU</t>
  </si>
  <si>
    <t>A man in ski jacket on a snowboard holds onto a rope attached to a truck.</t>
  </si>
  <si>
    <t>The truck starts driving and the man is pulled behind on the tow rope.</t>
  </si>
  <si>
    <t>The man maneuvers to pull up parallel with the truck and alternates going back and forth behind the truck.</t>
  </si>
  <si>
    <t>The man slows down before he lets go of the tow rope and comes to a stop.</t>
  </si>
  <si>
    <t>v_xFDQTAemadA</t>
  </si>
  <si>
    <t>A guy is on a horse with a white long rope that has a big circle tied at the end and seems to be waiting for some blue gates to open.</t>
  </si>
  <si>
    <t>The blue gates open and a little bull runs out and the guy on the horse chase it down.</t>
  </si>
  <si>
    <t>the guy the tosses the rope and catch the bull around the neck while the or end of the rope is tied to the horse.</t>
  </si>
  <si>
    <t>The guy then jumps off the horse,runs to the bull and flip it on his back then tie the bulls legs together.</t>
  </si>
  <si>
    <t>the guy then gets back on his horse while two other guys free the bull from the rope tie and take it away.</t>
  </si>
  <si>
    <t>v_r1dvt537JQU</t>
  </si>
  <si>
    <t>The man is kneeled down to the floor, but he stands up to raise his arm and get on the bars to perform his act.</t>
  </si>
  <si>
    <t>When he's done he flips off and bows, next a girl is shown sitting in the chair and then he is shown performing again but in slow motion.</t>
  </si>
  <si>
    <t>Next, a girl is shown swinging on the uneven bars and when she's done she goes to sit down and talk about what she does.</t>
  </si>
  <si>
    <t>v_pmbHoeudjKc</t>
  </si>
  <si>
    <t>A lady is walking across a lawn.</t>
  </si>
  <si>
    <t>A guy runs and stops on the lawn.</t>
  </si>
  <si>
    <t>A man is standing on a track.</t>
  </si>
  <si>
    <t>The man runs on the track, jumps, and lands in a sand box.</t>
  </si>
  <si>
    <t>The man gets up, falls to the ground, and lays there.</t>
  </si>
  <si>
    <t>v_OJJMEEsOdPQ</t>
  </si>
  <si>
    <t>girl us hanging from a pole in a roofed gym and make a jump to the land pool.</t>
  </si>
  <si>
    <t>woman wwearing a red shirt is standing in front of the pole.</t>
  </si>
  <si>
    <t>little girl is walking in front of he girl doing gymnastics.</t>
  </si>
  <si>
    <t>v_9029wVyGkvg</t>
  </si>
  <si>
    <t>A man stands in front of the camera before being shown playing a game of basketball while punching a man with a pair of boxing gloves.</t>
  </si>
  <si>
    <t>The two men shake hands.</t>
  </si>
  <si>
    <t>v_NWbWuVtgt9Y</t>
  </si>
  <si>
    <t>A man is seen sitting on a bench holding a guitar and speaking to the camera.</t>
  </si>
  <si>
    <t>He points to microphones in front of him and begins strumming the guitar.</t>
  </si>
  <si>
    <t>The man continues to play while moving his hands all around and stopping to look at the camera.</t>
  </si>
  <si>
    <t>v_Oz4q98BhqKo</t>
  </si>
  <si>
    <t>We see people standing in an aerobics class.</t>
  </si>
  <si>
    <t>The teacher starts and the class follows.</t>
  </si>
  <si>
    <t>While standing on the step the people swing their hands.</t>
  </si>
  <si>
    <t>The class swings their arms again.</t>
  </si>
  <si>
    <t>The man in red walks off to the left.</t>
  </si>
  <si>
    <t>The class finishes and stop dancing.</t>
  </si>
  <si>
    <t>The teacher walks to turn off the camera.</t>
  </si>
  <si>
    <t>v_OW_iCiS_U4Y</t>
  </si>
  <si>
    <t>A female swimmer is standing on a diving board in a black swim suit and she jumps off doing multiple flips.</t>
  </si>
  <si>
    <t>She is then shown on ground level talking and wiping her face with a towel.</t>
  </si>
  <si>
    <t>All of a sudden,she returns back to the diving board and does a crazy flip where her knees are tucked in and she's doing several flips and then men applaud her and there's an instant replay.</t>
  </si>
  <si>
    <t>The routine continues and the girl attempts to do more flips and the people react the same way and she puts her hand up to her mouth in awe.</t>
  </si>
  <si>
    <t>v_mlUg8iMtew0</t>
  </si>
  <si>
    <t>Various text intros lead into pictures of a girl and paint close up.</t>
  </si>
  <si>
    <t>A person is then seen painting on a piece of paper using different colors.</t>
  </si>
  <si>
    <t>The person continues painting with text shown and blending in the paint.</t>
  </si>
  <si>
    <t>v_xUKQWr2aLTU</t>
  </si>
  <si>
    <t>The video is about Bristol BMX Club holding a biking event.</t>
  </si>
  <si>
    <t>There's a man drawing a white starting line on the ground for the race.</t>
  </si>
  <si>
    <t>The bikers get ready to begin their race.</t>
  </si>
  <si>
    <t>They start the race and go through ramps and bumps.</t>
  </si>
  <si>
    <t>The bikers are from various age groups ranging from teenagers to adults.</t>
  </si>
  <si>
    <t>The races continue as the bikers make their way through the obstacle course of going over ramps and bumps.</t>
  </si>
  <si>
    <t>v_NogC2IkaaAI</t>
  </si>
  <si>
    <t>A couple of sumo wrestlers are on a stage.</t>
  </si>
  <si>
    <t>They engage in a wrestling match together.</t>
  </si>
  <si>
    <t>A please stand by sign appears as technical problems are encountered.</t>
  </si>
  <si>
    <t>v_jHbf_E8aY1k</t>
  </si>
  <si>
    <t>A white screen is shown and various logos are shown on top of the screen as it goes to a black screen.</t>
  </si>
  <si>
    <t>A sun is rising and men are walking up a hill,pulling a rope,and reading a book.</t>
  </si>
  <si>
    <t>They continue to do various hobbies in the mountains and a man comes back and starts talking as the credits begin rolling.</t>
  </si>
  <si>
    <t>v_qnozppP4rm0</t>
  </si>
  <si>
    <t>A young girl is outside at the park talking to what appears to be her older brother.</t>
  </si>
  <si>
    <t>The two begin a face off and they drop down to the sidewalk drawing a long game of hopscotch.</t>
  </si>
  <si>
    <t>Once complete,they stand up,throw their chalk and the girl moves to the right of the game.</t>
  </si>
  <si>
    <t>The boy starts the game off and the girl begins her turn moving forward and backwards down the game.</t>
  </si>
  <si>
    <t>To show her up,the boy begins to dance across the pavement and the girl returns it by flipping down the game.</t>
  </si>
  <si>
    <t>Now its the boy's turn and he tries to flip but ends up falling and the girl starts to laugh at him.</t>
  </si>
  <si>
    <t>The young girl wins and the boy gives her his Xbox as a result.</t>
  </si>
  <si>
    <t>v_woRQ2JxcVHA</t>
  </si>
  <si>
    <t>A man dressed in black plays a saxophone on a pool patio.</t>
  </si>
  <si>
    <t>The saxophone player glances over to his keyboard player.</t>
  </si>
  <si>
    <t>The camera pans over to the keyboard player playing a Korg electric piano.</t>
  </si>
  <si>
    <t>v_ofrX4WyAM-0</t>
  </si>
  <si>
    <t>The lady talks to the camera.</t>
  </si>
  <si>
    <t>We then see a pot.</t>
  </si>
  <si>
    <t>We see spaghetti in a box.</t>
  </si>
  <si>
    <t>We see salt in a cup.</t>
  </si>
  <si>
    <t>The water is boiling in the bot.</t>
  </si>
  <si>
    <t>She adds salt to the pot.</t>
  </si>
  <si>
    <t>She adds pasta to the water.</t>
  </si>
  <si>
    <t>We see the pasta box up close.</t>
  </si>
  <si>
    <t>We see the lady set the timer.</t>
  </si>
  <si>
    <t>She takes the pasta out of the pot.</t>
  </si>
  <si>
    <t>She talks and waves bye to the camera.</t>
  </si>
  <si>
    <t>v_biAQgXDFskw</t>
  </si>
  <si>
    <t>A man and woman are seen standing in the middle of a floor with a woman speaking to the camera and leading into her dancing with the man.</t>
  </si>
  <si>
    <t>The two spin and dance around one another and ends by walking away from each other.</t>
  </si>
  <si>
    <t>v_PcGzPNEnVD0</t>
  </si>
  <si>
    <t>A man is seen speaking to the camera while standing next to a car with an open trunk.</t>
  </si>
  <si>
    <t>The man then unscrews a tire and lifts the car with a jack.</t>
  </si>
  <si>
    <t>The man takes the tire off and puts a new one on, ending by screwing it into place.</t>
  </si>
  <si>
    <t>He takes off the jack and finishes by speaking to the camera.</t>
  </si>
  <si>
    <t>v_p6jip892RdM</t>
  </si>
  <si>
    <t>a bicycle is shown in a dark room.</t>
  </si>
  <si>
    <t>man is wearing motobike clothes and is riding a motorbike in a field.</t>
  </si>
  <si>
    <t>man is doing high jumps on the motorbike practicig motocross in a dusty field.</t>
  </si>
  <si>
    <t>v_opCMfcAl7yw</t>
  </si>
  <si>
    <t>A large group of flags is shown.</t>
  </si>
  <si>
    <t>Several swimmers are swimming in the pool.</t>
  </si>
  <si>
    <t>They swim competitively, shown from underneath.</t>
  </si>
  <si>
    <t>v_b2eonKWCocE</t>
  </si>
  <si>
    <t>A man is shown speedily raking leaves in his front yard.</t>
  </si>
  <si>
    <t>Several cars go by as he continues raking.</t>
  </si>
  <si>
    <t>He rakes around the bushes and tree in his yard.</t>
  </si>
  <si>
    <t>A woman appears and helps him rake and bag the leaves.</t>
  </si>
  <si>
    <t>They take the bags away when they are done.</t>
  </si>
  <si>
    <t>They stand in front of the camera and pose with the rake.</t>
  </si>
  <si>
    <t>v_RJus6sogyiM</t>
  </si>
  <si>
    <t>A person is walking in a yard while recording it with a camera.</t>
  </si>
  <si>
    <t>The person gets a tray of white paint and paints a fence.</t>
  </si>
  <si>
    <t>v_nd50oUKdygI</t>
  </si>
  <si>
    <t>A man talks to the camera from a kitchen.</t>
  </si>
  <si>
    <t>The man demonstrates sharpening a knife with several sharpening tools.</t>
  </si>
  <si>
    <t>The man talks to the camera again.</t>
  </si>
  <si>
    <t>The man sharpens and then holds up a knife.</t>
  </si>
  <si>
    <t>Several types of knife storage options are displayed.</t>
  </si>
  <si>
    <t>The man talks to the camera some more.</t>
  </si>
  <si>
    <t>v_OKTxSQMS560</t>
  </si>
  <si>
    <t>We see an opening screen with a dog.</t>
  </si>
  <si>
    <t>We see a lady in a nurse shirt talking and two dogs in a kitchen.</t>
  </si>
  <si>
    <t>The lady has a small wet dog she is vacuuming on table and is brushing the dog.</t>
  </si>
  <si>
    <t>We see the dogs running around on the kitchen floor.</t>
  </si>
  <si>
    <t>We see the lady shave a dogs fur and brush the dog.</t>
  </si>
  <si>
    <t>We then see the dogs on the floor again.</t>
  </si>
  <si>
    <t>We see the lady and her contact info over her face.</t>
  </si>
  <si>
    <t>v_eQnwUWfah9w</t>
  </si>
  <si>
    <t>An ad for football appears on the screen.</t>
  </si>
  <si>
    <t>Several men are playing football indoors.</t>
  </si>
  <si>
    <t>They kick the ball back and forth while some people watch on the sidelines.</t>
  </si>
  <si>
    <t>v_xCplsH6deic</t>
  </si>
  <si>
    <t>A baseball player hits a run on a sporting field and runs the bases making a home run.</t>
  </si>
  <si>
    <t>Players kick a ball and run the bases on a baseball field.</t>
  </si>
  <si>
    <t>The catcher has fun while dancing.</t>
  </si>
  <si>
    <t>A kick is caught midair by the baseman and the player is out.</t>
  </si>
  <si>
    <t>v_8lhODyltF2Q</t>
  </si>
  <si>
    <t>A person is riding a lawnmower with an umbrella through the rain.</t>
  </si>
  <si>
    <t>A light colored sedan passes on the road.</t>
  </si>
  <si>
    <t>The person on the mower drives up to the roadway.</t>
  </si>
  <si>
    <t>v_P7kSJ8SRNHQ</t>
  </si>
  <si>
    <t>A small child is seen sitting in a swing.</t>
  </si>
  <si>
    <t>The child moves back and fourth on the swing while a laughing.</t>
  </si>
  <si>
    <t>A person's hand is seen pushing the child as she moves back and fourth.</t>
  </si>
  <si>
    <t>v_CCMtNNSzHw8</t>
  </si>
  <si>
    <t>A lady is wiping her face.</t>
  </si>
  <si>
    <t>A little girl is applying makeup to her face.</t>
  </si>
  <si>
    <t>The mother does the girls makeup.</t>
  </si>
  <si>
    <t>The girls admires her reflection.</t>
  </si>
  <si>
    <t>The girl grabs her toothbrush.</t>
  </si>
  <si>
    <t>v_BtKLAioC21g</t>
  </si>
  <si>
    <t>A man wearing ski goggles adjusts the camera.</t>
  </si>
  <si>
    <t>Several people are seen skiing down a steep slope.</t>
  </si>
  <si>
    <t>They continue skiing faster and faster as they go downhill.</t>
  </si>
  <si>
    <t>v_VToS7Ma-V4g</t>
  </si>
  <si>
    <t>The woman is positioned to take off on the race track and the man moves out of the way for her to go.</t>
  </si>
  <si>
    <t>Then she speeds off and does the triple jump into the sand making it all the way to the end of the 16 inch ruler.</t>
  </si>
  <si>
    <t>Next she is shown standing off the track smiling with her arms raised in the air filled with joy.</t>
  </si>
  <si>
    <t>v_kCOMyIb7f0Q</t>
  </si>
  <si>
    <t>People are skiing in doors in between each other.</t>
  </si>
  <si>
    <t>A button is pushed on a machine.</t>
  </si>
  <si>
    <t>People walk into a cabin.</t>
  </si>
  <si>
    <t>A person is trying on skis.</t>
  </si>
  <si>
    <t>Other people are practicing skiing on a motor belt.</t>
  </si>
  <si>
    <t>v_KBxE7NIOkf8</t>
  </si>
  <si>
    <t>Men stand on a steel platform high in the area and an instructor talks.</t>
  </si>
  <si>
    <t>A man is seated on the edge of the platform and holds onto large ropes.</t>
  </si>
  <si>
    <t>A patron runs and jumps from the platform wearing a budgie cord and he bounces on it as he reaches the bottom.</t>
  </si>
  <si>
    <t>v_mdv8UW_871g</t>
  </si>
  <si>
    <t>We see a boat pulling out of the dock.</t>
  </si>
  <si>
    <t>We see the boat driving as a person jet skis behind it.</t>
  </si>
  <si>
    <t>We see the skier without the boat.</t>
  </si>
  <si>
    <t>We see the boat from above again.</t>
  </si>
  <si>
    <t>The skier falls into the water.</t>
  </si>
  <si>
    <t>We see the skier ski and perform 4 flips.</t>
  </si>
  <si>
    <t>We see the skier ski.</t>
  </si>
  <si>
    <t>We see the skier swim towards the boat.</t>
  </si>
  <si>
    <t>A person in the boat raises their hands in the air.</t>
  </si>
  <si>
    <t>v_MPolPBO-K-Y</t>
  </si>
  <si>
    <t>The man in black shirt is playing guitar in the studio.</t>
  </si>
  <si>
    <t>The man is strumming the guitar.</t>
  </si>
  <si>
    <t>The man is pressing the thread on the guitar keys as he strum the guitar.</t>
  </si>
  <si>
    <t>v_AlLg4ZaxDoQ</t>
  </si>
  <si>
    <t>A person cooks on a wood cooker, then a person rafts in a river.</t>
  </si>
  <si>
    <t>Young men unpack a car and then carry raft boats in the jungle and pass a rope bridge.</t>
  </si>
  <si>
    <t>Young men raft in a narrow choppy river on individual boats.</t>
  </si>
  <si>
    <t>The young men falls from small cascades in the rocky river.</t>
  </si>
  <si>
    <t>v_84uYA9rFoSw</t>
  </si>
  <si>
    <t>A woman bends over in a ballet pose.</t>
  </si>
  <si>
    <t>She then faces the camera talking.</t>
  </si>
  <si>
    <t>She displays more ballet moves.</t>
  </si>
  <si>
    <t>She finishes with the low fifth position.</t>
  </si>
  <si>
    <t>v_N3UOyPU2t0E</t>
  </si>
  <si>
    <t>Several pairs of shoes are shown as well as a large group of people socializing and pouring alcohol into glasses.</t>
  </si>
  <si>
    <t>The glasses are laid out on a table and several shots are shown of people playing beer pong.</t>
  </si>
  <si>
    <t>More shots are shown of people speaking to one another as well as playing beer pong in several locations and partying with one another.</t>
  </si>
  <si>
    <t>In the end medals are handed out and people wear them while celebrating in different spots.</t>
  </si>
  <si>
    <t>v_WiGOn6O-S1g</t>
  </si>
  <si>
    <t>There are several swimmers standing on the tallest diving board of a swimming pool.</t>
  </si>
  <si>
    <t>The divers are getting ready to dive into the pool.</t>
  </si>
  <si>
    <t>One of the divers dives and jumps into the pool from a great height.</t>
  </si>
  <si>
    <t>v_bDTQVC0ASbE</t>
  </si>
  <si>
    <t>A man in a red apron is talking.</t>
  </si>
  <si>
    <t>He is rubbing something on a board and ironing it.</t>
  </si>
  <si>
    <t>He's scraping the top of the board he ironed.</t>
  </si>
  <si>
    <t>v_m7wfcL6YSMY</t>
  </si>
  <si>
    <t>A woman is seen riding on a camel behind another man on a camel.</t>
  </si>
  <si>
    <t>She looks back and smiles to the camera while it pans around the area.</t>
  </si>
  <si>
    <t>Another person is seen riding from behind while people hold onto the camels.</t>
  </si>
  <si>
    <t>v_-xQvJmC2jhk</t>
  </si>
  <si>
    <t>Two women in a child are shown in a canoe while a man pulls the canoe while standing in the water, with other individuals visible in the background.</t>
  </si>
  <si>
    <t>The child and a different man sit in a canoe while the man paddles.</t>
  </si>
  <si>
    <t>The camera pans to show the first man in the foreground.</t>
  </si>
  <si>
    <t>The child and the first man are in a canoe while the first man paddles.</t>
  </si>
  <si>
    <t>A series of still images of the various people shown during the video are shown.</t>
  </si>
  <si>
    <t>v_NEKcJ0whvkg</t>
  </si>
  <si>
    <t>A person rolls in the grass after a fall and gets up to join a game of lacrosse.</t>
  </si>
  <si>
    <t>We see gear in the grass and a man speaking to the camera.</t>
  </si>
  <si>
    <t>Men play lacrosse and ladies cheer on the side.</t>
  </si>
  <si>
    <t>We see a man interviewed and a team huddle and see men play.</t>
  </si>
  <si>
    <t>A man in interviewed and we see the men play lacrosse.</t>
  </si>
  <si>
    <t>A man in red is interviewed and the teams shake hands, hold up their trophy and pose for photos.</t>
  </si>
  <si>
    <t>v_NiaE7amNW7s</t>
  </si>
  <si>
    <t>A young female gymnast wearing red prepares for her balance beam routine in the Olympics.</t>
  </si>
  <si>
    <t>The female gymnast runs to the springboard and jumps from it to the balance beam.</t>
  </si>
  <si>
    <t>The female gymnast then does her tumbling routine on the balance beam while commentators explain what she is doing and how difficult it is.</t>
  </si>
  <si>
    <t>A huge crowd watches and cheers the gymnast on.</t>
  </si>
  <si>
    <t>An Asian man walks to the balance beam and pulls the springboard away from the beam.</t>
  </si>
  <si>
    <t>The gymnast performs a difficult tumbling sequence and the crowd cheers louder than before.</t>
  </si>
  <si>
    <t>People in the crowd that is watching the gymnast enter the gym and find seats while others stand up and exit the gym.</t>
  </si>
  <si>
    <t>Another female gymnast walks past the balance beam in the background.</t>
  </si>
  <si>
    <t>The female gymnast prepares for her dismount.</t>
  </si>
  <si>
    <t>The female gymnast runs and completes a tumbling sequence to exit the balance beam.</t>
  </si>
  <si>
    <t>The female gymnast lands perfectly and throws her arms straight up in the air with a huge smile on her face Other gymnasts in the background watch and clap.</t>
  </si>
  <si>
    <t>A large group of photographers watch and take photographs of the gymnast.</t>
  </si>
  <si>
    <t>The gymnast waves while spinning in a circle and then runs to the side of the gym floor.</t>
  </si>
  <si>
    <t>Three Asian gymnasts in yellow watch and clap without smiling.</t>
  </si>
  <si>
    <t>The gymnast in red hugs and talks to her other teammates and her coach while several photographers take photos of her.</t>
  </si>
  <si>
    <t>The commentators replay several of the gymnasts more difficult tumbling sequences and her dismount in slow motion while explaining what she is doing.</t>
  </si>
  <si>
    <t>The female gymnast hugs another coach and another one of her teammates while a man films them with a large camera.</t>
  </si>
  <si>
    <t>All of the gymnasts on the United States team and their coaches walk through the gym while the crowd cheers very loudly.</t>
  </si>
  <si>
    <t>Several gymnasts from other teams also walk past.</t>
  </si>
  <si>
    <t>The female gymnast talks with her team while waiting for her score to be displayed.</t>
  </si>
  <si>
    <t>v_cSCskKqO7CE</t>
  </si>
  <si>
    <t>A little girl demonstrates how to apply make up using a mini makeup kit as a makeup source, all while talking to the camera.</t>
  </si>
  <si>
    <t>A little girl talks to the camera and then leans into the camera in a close up shot.</t>
  </si>
  <si>
    <t>The little girl pulls out a colorful make up palette and shows the camera the inside of the palette before beginning to apply some of the make up to her eyes.</t>
  </si>
  <si>
    <t>The girl then applies black mascara to her eyelashes and some eyeshadow and lip gloss taking breaks after the applications to talk to the camera.</t>
  </si>
  <si>
    <t>The little girl gives a final thumbs up and blows kisses to the camera before talking more and smiling as the scene fades out.</t>
  </si>
  <si>
    <t>v_RpyRgnHdUXc</t>
  </si>
  <si>
    <t>A man sits on a rowing machine in a gym and talks to the camera while demonstrating how to use a rowing exercise machine.</t>
  </si>
  <si>
    <t>The man begins to exercise on the machine slowly , all while talking to the camera, eventually building up to a more fast paced work out on the same machine.</t>
  </si>
  <si>
    <t>The man begins to demonstrate how to use the digital panel on the exercise machine by pointing at it and talking to the camera.</t>
  </si>
  <si>
    <t>v_8QbHeaXOJOA</t>
  </si>
  <si>
    <t>A kite is shown high in the air.</t>
  </si>
  <si>
    <t>A man is holding the kite before letting it go.</t>
  </si>
  <si>
    <t>It spins high into the air and flips in circles and angles, bouncing off the ground.</t>
  </si>
  <si>
    <t>v_9YYypM0JvUM</t>
  </si>
  <si>
    <t>A man is standing in a gym holding up a large bicycle wheel moving his hands along the tube inside the rubber.</t>
  </si>
  <si>
    <t>The man continuously performs the action as he moves the circle around on his knee.</t>
  </si>
  <si>
    <t>After, the man picks up a yellow object and starts to tighten the spokes on the wheel and sealing the lifting the rubber up.</t>
  </si>
  <si>
    <t>v_IRz9PYgpb8U</t>
  </si>
  <si>
    <t>A man uses a trimmer to trim the leaves on a tree in a backyard, starting in the middle.</t>
  </si>
  <si>
    <t>He moves to his left to continue trimming the tree.</t>
  </si>
  <si>
    <t>v__Y4czVoIxvE</t>
  </si>
  <si>
    <t>Two women are standing inside a house.</t>
  </si>
  <si>
    <t>They show off a canvas tile.</t>
  </si>
  <si>
    <t>They then show how they made the tile and laid it out on the ground, piecing it together like a puzzle.</t>
  </si>
  <si>
    <t>They sit on top talking about it before moving the furniture back in place on top of it.</t>
  </si>
  <si>
    <t>v_ZNVhz7ctTq0</t>
  </si>
  <si>
    <t>A fluffy dog is standing on a sidewalk with a child behind it.</t>
  </si>
  <si>
    <t>The dog begins walking on the sidewalk and closely behind him a child is riding on a scooter as the dog walks.</t>
  </si>
  <si>
    <t>v_V7C34-4tBok</t>
  </si>
  <si>
    <t>A sink is shown full of dirty dishes and leads into various products shown off.</t>
  </si>
  <si>
    <t>A person then scrubs the dishes and begins putting some of them into a bucket.</t>
  </si>
  <si>
    <t>They wash the dishes continuously while stacking them in a rack off to the side.</t>
  </si>
  <si>
    <t>v_ze6Bu0bcNbg</t>
  </si>
  <si>
    <t>A Phillips three headed razor is shown and then un-boxed on a red table.</t>
  </si>
  <si>
    <t>Next,the razor is assembled and place on its charge to charge once it is plugged in.</t>
  </si>
  <si>
    <t>Once fully charged,the man rinses the razors,applies shaving cream to this beard area and start to shave.</t>
  </si>
  <si>
    <t>As he is shaving,the man continues to talk and his face begins to turn a little big razor and the razor is then placed back on the charger.</t>
  </si>
  <si>
    <t>v_uRcVktMzlUc</t>
  </si>
  <si>
    <t>A man is standing on a stage in front of an american flag while reading into a microphone from a piece of paper.</t>
  </si>
  <si>
    <t>He then is shown in front of a crowd as they scream behind him.</t>
  </si>
  <si>
    <t>The men walk out, and begin competing in a dart throwing challenge.</t>
  </si>
  <si>
    <t>The winner is interviewed afterward.</t>
  </si>
  <si>
    <t>v_b_v5uGSheEw</t>
  </si>
  <si>
    <t>The Bali River tubing information is shown on the screen.</t>
  </si>
  <si>
    <t>There's a yellow and red tube shown with the name Bali River printed on it.</t>
  </si>
  <si>
    <t>There are several people wearing protective helmets tubing in the river.</t>
  </si>
  <si>
    <t>There's a man standing under a pipe with fast flowing water.</t>
  </si>
  <si>
    <t>There are some tubers paddling through the water with their hands.</t>
  </si>
  <si>
    <t>There's a man relaxing in his tube giving a thumbs up.</t>
  </si>
  <si>
    <t>The tubers continue tubing through the river.</t>
  </si>
  <si>
    <t>v_KlmlCbJup5A</t>
  </si>
  <si>
    <t>A man is seen wearing a mask and pushing an object along a wall.</t>
  </si>
  <si>
    <t>The man is then seen laying out paper across a table.</t>
  </si>
  <si>
    <t>He shortly after puts wallpaper up on the wall.</t>
  </si>
  <si>
    <t>v_buhaBimF4M0</t>
  </si>
  <si>
    <t>A woman on roller blades moves backwards, falls on the grass and laughs.</t>
  </si>
  <si>
    <t>A friend is talking with the fallen woman as she tries to get up.</t>
  </si>
  <si>
    <t>A friend talks to her while holding the camera and offers her a hand to get up.</t>
  </si>
  <si>
    <t>Two women hold hand and start rollerblading, while the girl in the red shirt learns how.</t>
  </si>
  <si>
    <t>The girl in the red shirt falls and they all laugh.</t>
  </si>
  <si>
    <t>v_7UrJuhFvlQ4</t>
  </si>
  <si>
    <t>A leaf blower is shown blowing a large pile of leaves across a green lawn in front of residential houses.</t>
  </si>
  <si>
    <t>The leaves fly up in the air but stick largely together as the the leaf blower wipes the ground clean of brown leaves and starts to form piles on the lawn.</t>
  </si>
  <si>
    <t>The camera occasionally and finally settles on a yellow riding lawn mower sitting in the yard beyond the piles of leaves.</t>
  </si>
  <si>
    <t>v_vxJlOKF1VB4</t>
  </si>
  <si>
    <t>We see a girl with purple hair talking to the camera.</t>
  </si>
  <si>
    <t>We see the girl looking down at the camera.</t>
  </si>
  <si>
    <t>We see the girl pretend to brush and spray her hair.</t>
  </si>
  <si>
    <t>She holds 2 bottle to the camera.</t>
  </si>
  <si>
    <t>The girl brushes her hair and puts it in a ponytail.</t>
  </si>
  <si>
    <t>The girl adds products to her hair.</t>
  </si>
  <si>
    <t>The girl points at the camera.</t>
  </si>
  <si>
    <t>The girl gives the camera a thumbs up.</t>
  </si>
  <si>
    <t>v_rAL6jEy54Tk</t>
  </si>
  <si>
    <t>man is standing on a room playing dart.</t>
  </si>
  <si>
    <t>man is throwing darts into a dartboard.</t>
  </si>
  <si>
    <t>the man grabs the darts from the board and talks to the camera.</t>
  </si>
  <si>
    <t>v_pMCPCsvxRBw</t>
  </si>
  <si>
    <t>There are people working in a drink food stand filling cups, shaking cups, holding cups or just walking around.</t>
  </si>
  <si>
    <t>A young man fills a clear cup with liquid, puts it on the counter, covers it with a paper cup, shakes it vigorously, and when he's done he puts the paper cup down and pours all the contents into it, puts a yellow straw into it and hands it to the person waiting.</t>
  </si>
  <si>
    <t>Next to him another boy was also shaking a cup, and then preparing to transfer the contents to a paper cup.</t>
  </si>
  <si>
    <t>v_cmzEDurFcwI</t>
  </si>
  <si>
    <t>A man in a blue shirt talks next to a air hockey table game in a showcase room, interspersed with video of four men demonstrating a game of air table hockey.</t>
  </si>
  <si>
    <t>A man begins speaking from a showroom, while standing in front of a air hockey table game.</t>
  </si>
  <si>
    <t>The camera cuts away to show four men playing a game of air hockey with the table game.</t>
  </si>
  <si>
    <t>The man speaks again, next to the table game, until the camera pans away again to the men playing air hockey until the scene fades to an elaborate Gold Standard Games marketing graphic.</t>
  </si>
  <si>
    <t>v_AoRk69eieek</t>
  </si>
  <si>
    <t>A man stands by a pole vault rig while a series of vaulters is shown attempting the vault with varying degrees of success.</t>
  </si>
  <si>
    <t>A group of people wearing white uniforms walk by in the background.</t>
  </si>
  <si>
    <t>Two people walk by in the background.</t>
  </si>
  <si>
    <t>v_PPXrVuZAb74</t>
  </si>
  <si>
    <t>A woman is closing her eyes standing on a diving board.</t>
  </si>
  <si>
    <t>She does a flip and dives into the water.</t>
  </si>
  <si>
    <t>She swims to the surface.</t>
  </si>
  <si>
    <t>v_54K2F3zAZ0o</t>
  </si>
  <si>
    <t>A band is playing on a stage.</t>
  </si>
  <si>
    <t>A man and woman kiss.</t>
  </si>
  <si>
    <t>A man in a yellow shirt plays the saxophone.</t>
  </si>
  <si>
    <t>v_i-G50GikqTg</t>
  </si>
  <si>
    <t>A young man sits down and pulls a drum close to him.</t>
  </si>
  <si>
    <t>He picks up his sticks and hits them together.</t>
  </si>
  <si>
    <t>He starts to count and drum.</t>
  </si>
  <si>
    <t>He drums faster as he looks away and then stops to adjust a few drums.</t>
  </si>
  <si>
    <t>He gets up and moves the camera to show a lever he moves and then he taps on the top of a drum over and over.</t>
  </si>
  <si>
    <t>He gives a thumbs up and peace sign.</t>
  </si>
  <si>
    <t>v_pZ8QqpYu-H8</t>
  </si>
  <si>
    <t>A man is seated at a piano, playing and singing into a microphone.</t>
  </si>
  <si>
    <t>When he finishes, he looks up and smiles.</t>
  </si>
  <si>
    <t>v_4hmJfJo6UI8</t>
  </si>
  <si>
    <t>A female athlete runs quickly down a track.</t>
  </si>
  <si>
    <t>She plows into the sand before getting up and walking away.</t>
  </si>
  <si>
    <t>The scene is repeated three times before ending with her cheering and clapping.</t>
  </si>
  <si>
    <t>v_0VHUSC4YFT4</t>
  </si>
  <si>
    <t>A person is seen hanging on the side of a beam going down while another man holds him.</t>
  </si>
  <si>
    <t>He then pulls the other man up and watches him jump off on the side on a bungee cord.</t>
  </si>
  <si>
    <t>v_ADbp9ObJVxE</t>
  </si>
  <si>
    <t>A man is in a worship, talking in front of a piece of wood.</t>
  </si>
  <si>
    <t>He sands the piece of wood down, then wipes sealant or stain onto the wood.</t>
  </si>
  <si>
    <t>v_qq1wRySmDTc</t>
  </si>
  <si>
    <t>a man is crouching in the woods next to a pile of stones.</t>
  </si>
  <si>
    <t>He is explaining the building of a fire.</t>
  </si>
  <si>
    <t>He lights the wood, creating a fire.</t>
  </si>
  <si>
    <t>v_8AP2he781Cw</t>
  </si>
  <si>
    <t>People are playing hockey on an ice rink.</t>
  </si>
  <si>
    <t>A person falls over onto the ice.</t>
  </si>
  <si>
    <t>A person runs after a puck and falls over again.</t>
  </si>
  <si>
    <t>He begins hitting the puck and falls again.</t>
  </si>
  <si>
    <t>v_wNwwiK6znIE</t>
  </si>
  <si>
    <t>We see a man in a shop holding a ski.</t>
  </si>
  <si>
    <t>The man shows us a can of product he this sprays on and wipes down a ski.</t>
  </si>
  <si>
    <t>The man then holds the ski for us to see.</t>
  </si>
  <si>
    <t>We see two ski products and an ending screen.</t>
  </si>
  <si>
    <t>v_-kmomJph-6E</t>
  </si>
  <si>
    <t>Two kids with extremly long hair are outside near a group of sheds.</t>
  </si>
  <si>
    <t>The shorter boy begins pulling the other guys hair and pulling him by it.</t>
  </si>
  <si>
    <t>However,the boy lets the guys hair go and the guy begins to knee him in the private area,pick him up over his head and drop him on a piece of wood.</t>
  </si>
  <si>
    <t>v_YnsusYE6i_0</t>
  </si>
  <si>
    <t>There are a lot of dressed up people sitting in a large dining area at a reception.</t>
  </si>
  <si>
    <t>A brunette woman taps a blonde woman on her back, points to something on the ground, and the women smile with the blonde woman leans over and picks up her sweater that was on the ground.</t>
  </si>
  <si>
    <t>A woman dressed in a blue flowing dress with a blue bodysuit underneath is standing up, and she begins to do a ballet dance routine in the middle of the large dancing floor while the people in the reception area are watching her every move, taking picture and videoing her.</t>
  </si>
  <si>
    <t>When the woman is done dancing she stands there with her arms crossed on her chest and the crowds applauds, and gives her a standing ovation while she takes a few bows.</t>
  </si>
  <si>
    <t>v_aKJKZHvP53E</t>
  </si>
  <si>
    <t>woman is standing in front of a poker tokens and cards.</t>
  </si>
  <si>
    <t>she turn around the cards and mixing it.</t>
  </si>
  <si>
    <t>cards are in a stack and split them in 4 and mixing it.</t>
  </si>
  <si>
    <t>cards are in a stack and other person split it in two and put them in a transparent box.</t>
  </si>
  <si>
    <t>v_7dx3MobORY0</t>
  </si>
  <si>
    <t>A girl shows how to bake cookies from scratch.</t>
  </si>
  <si>
    <t>Ingredients are added, stirred, and then the mixture is put in the oven.</t>
  </si>
  <si>
    <t>v_rzsp_r9fq_A</t>
  </si>
  <si>
    <t>There's a woman in a black raincoat standing next to a wooden fence.</t>
  </si>
  <si>
    <t>She is joined by a little girl wearing a polka dotted jacket who brings her some green paint.</t>
  </si>
  <si>
    <t>The woman begins painting the fence with a bush.</t>
  </si>
  <si>
    <t>There are several other people in the neighborhood who are seen volunteering to paint the fence with green paint.</t>
  </si>
  <si>
    <t>The volunteers are being interviewed.</t>
  </si>
  <si>
    <t>There are two boys dressed in Batman costumes standing there.</t>
  </si>
  <si>
    <t>The volunteers continue to paint the fence.</t>
  </si>
  <si>
    <t>Some people from the community gather around the parking lot.</t>
  </si>
  <si>
    <t>The people continue painting the fence.</t>
  </si>
  <si>
    <t>v_EPCb-f6yQxA</t>
  </si>
  <si>
    <t>Various mountain scenery is shown from different angles.</t>
  </si>
  <si>
    <t>A soldier plays a bagpipe in a mountain scene.</t>
  </si>
  <si>
    <t>v_YmAIoN4uuz0</t>
  </si>
  <si>
    <t>Various clips are shown of landscapes as well as people riding along on boats and a man speaking to the camera.</t>
  </si>
  <si>
    <t>The man dives into the water and is shown in several clips swimming around and fish moving along as well.</t>
  </si>
  <si>
    <t>The man gives hand gestures to the camera and swims to the surface when another man grabs his gear and he speaks to the camera.</t>
  </si>
  <si>
    <t>More men speak to the camera as he jumps in.</t>
  </si>
  <si>
    <t>v_-C9mAKWi9Ho</t>
  </si>
  <si>
    <t>An intro leads into two men fencing in a field.</t>
  </si>
  <si>
    <t>Several shots are shown of the men sticking swords to one another and the other blocking.</t>
  </si>
  <si>
    <t>In between clips are shown of the men boxing.</t>
  </si>
  <si>
    <t>v_U7MAQwyFeDQ</t>
  </si>
  <si>
    <t>Walking through the airport, flying on a plane and driving down the highway they get to where they are going.</t>
  </si>
  <si>
    <t>A man in a white mask is getting ready to go bungee jumping off a very high cliff, he stands with his arms out like they are wings on the edge.</t>
  </si>
  <si>
    <t>Then he jumps down, falling from a very high height, another man follows after him, and then the camera man himself takes the leap recording the entire fall.</t>
  </si>
  <si>
    <t>They all take turns jumping, one of them even goes down backwards.</t>
  </si>
  <si>
    <t>v_x2ztI3YNu9o</t>
  </si>
  <si>
    <t>A camera pans around a snowy area and leads into a man holding an accordion and beginning to play.</t>
  </si>
  <si>
    <t>The man continues to play the instrument while the camera shows off more scenery of snowy areas and the man continuing to play.</t>
  </si>
  <si>
    <t>v_BRApK7rWSAk</t>
  </si>
  <si>
    <t>A Capri Sun wrapper in a pile of rocks on the ground with a pile of sawdust on it.</t>
  </si>
  <si>
    <t>We see a pile of sticks to the left and see a flint.</t>
  </si>
  <si>
    <t>The person strikes the flint and a flame sits on he sawdust.</t>
  </si>
  <si>
    <t>The person then puts a handful of twigs on the fire.</t>
  </si>
  <si>
    <t>The fire grows and the cameraman backs up to show the rocks surrounding the fire.</t>
  </si>
  <si>
    <t>v_UWusSRe8Whg</t>
  </si>
  <si>
    <t>Two men are sitting in a room with four congos in front of them playing.</t>
  </si>
  <si>
    <t>They are both in unison and they're using their body parts as part of their routine to make different sounds.</t>
  </si>
  <si>
    <t>The men take an extremely brief pause before rapidly hitting the congo and end by pointing their finger at each other.</t>
  </si>
  <si>
    <t>v_GNzaxjYL0TM</t>
  </si>
  <si>
    <t>Two people are seen sitting on dirt bikes speaking to the camera with one shoveling dirt and the other riding along.</t>
  </si>
  <si>
    <t>Several shots are then shown of the two riding dirt bikes along a trail while stopping to gesture to the camera every now and then.</t>
  </si>
  <si>
    <t>v_G8-soqkFiI8</t>
  </si>
  <si>
    <t>A woman on a beach begins to build a sand castle.</t>
  </si>
  <si>
    <t>A man comes over and begins to build the sand castle with her.</t>
  </si>
  <si>
    <t>Several people walk by as they continue to build the castle.</t>
  </si>
  <si>
    <t>v_eaR8oEBlYWk</t>
  </si>
  <si>
    <t>A woman in a jacket is washing clothes in a sink.</t>
  </si>
  <si>
    <t>She pours water into a blue bowl.</t>
  </si>
  <si>
    <t>She puts clothes into the buckets of water that are in the sink.</t>
  </si>
  <si>
    <t>A white washing machine that is unplugged is shown.</t>
  </si>
  <si>
    <t>The woman continues to wash the clothes in the sink.</t>
  </si>
  <si>
    <t>She walks over and takes the lid off of a large bucket of water on the ground.</t>
  </si>
  <si>
    <t>She dips a pot into the bucket and dumps the water into the sink.</t>
  </si>
  <si>
    <t>v_qgJzdtHCebM</t>
  </si>
  <si>
    <t>A bull runs around a pen and tries to hit the clown with their horns.</t>
  </si>
  <si>
    <t>A guy jumps over a fence to get away from the bull.</t>
  </si>
  <si>
    <t>A clown is hiding behind a red barrel.</t>
  </si>
  <si>
    <t>The man falls onto the ground being chased by the bull.</t>
  </si>
  <si>
    <t>v_BzhREL6ncq4</t>
  </si>
  <si>
    <t>A gymnast exercise on the parallel bars while the coach give directions and fix a mat.</t>
  </si>
  <si>
    <t>Then, the gymnast spins on the high bar , then flip and fall stand on the mat.</t>
  </si>
  <si>
    <t>v_Kd_qpMbvRtI</t>
  </si>
  <si>
    <t>We see a title on a dark gray screen, We see a boat on a lake from different angles.</t>
  </si>
  <si>
    <t>A person riding a surfboard behind the boat does a flip.</t>
  </si>
  <si>
    <t>, We are shown the interior of the the boat.</t>
  </si>
  <si>
    <t>We see the interior then the outside of the boat intermittently.</t>
  </si>
  <si>
    <t>We see people on a raft being pulled by the boat.</t>
  </si>
  <si>
    <t>A girl grabs something form a cabinet then jumps in the water.</t>
  </si>
  <si>
    <t>We see the end credit scenes.</t>
  </si>
  <si>
    <t>v_qOi_E_uYCIo</t>
  </si>
  <si>
    <t>Vodka is shown being poured into a martini glass.</t>
  </si>
  <si>
    <t>A woman is behind a bar, showing off bottles of alcohol.</t>
  </si>
  <si>
    <t>She mixes the ingredients together, then shakes them up before pouring into a glass filled with ice.</t>
  </si>
  <si>
    <t>v_jdfe-CV_cpE</t>
  </si>
  <si>
    <t>Three men sit together on a couch.</t>
  </si>
  <si>
    <t>A man gets up and walks into a barber shop.</t>
  </si>
  <si>
    <t>He sits down and gets his hair cut.</t>
  </si>
  <si>
    <t>He is sleeping in the chair.</t>
  </si>
  <si>
    <t>He wakes up and looks in a mirror.</t>
  </si>
  <si>
    <t>Him and the man start fighting.</t>
  </si>
  <si>
    <t>The man pulls a gun and points it at the other man.</t>
  </si>
  <si>
    <t>He runs into another mans arms and they walk out the door.</t>
  </si>
  <si>
    <t>v_gCku1WVr608</t>
  </si>
  <si>
    <t>The video shows how to get discounts on amazon for a category of dog supplies.</t>
  </si>
  <si>
    <t>Then it shows a woman shaving a dog.</t>
  </si>
  <si>
    <t>v_CneLYCPg7Es</t>
  </si>
  <si>
    <t>A lady holds a toothbrush as a child sits on a counter.</t>
  </si>
  <si>
    <t>The lady brushes the boys teeth.</t>
  </si>
  <si>
    <t>She finishes and the little boy smiles.</t>
  </si>
  <si>
    <t>the lady backs away and the child puts a pacifier in his mouth.</t>
  </si>
  <si>
    <t>v_D5iU1Qfy-wk</t>
  </si>
  <si>
    <t>A man sits in a room laughing.</t>
  </si>
  <si>
    <t>The man joins a woman and man at a table eating.</t>
  </si>
  <si>
    <t>The man sees a bobble doll and pushes it.</t>
  </si>
  <si>
    <t>The man hits the doll and bounces a ball around the room knocking all the food off the table and making a mess.</t>
  </si>
  <si>
    <t>The people laugh and the man cleans up and creates a whirlpool in the well which breaks and he ball smashes walls.</t>
  </si>
  <si>
    <t>The man works out in a field.</t>
  </si>
  <si>
    <t>Dust rises from the man and leafs fly through the sky.</t>
  </si>
  <si>
    <t>v_uDqnGmLJyao</t>
  </si>
  <si>
    <t>She shows how to hang a border along a wall in a living room.</t>
  </si>
  <si>
    <t>She then goes back to talking to the camera.</t>
  </si>
  <si>
    <t>v_o4zmTkyTu8g</t>
  </si>
  <si>
    <t>A group is playing volleyball in a swimmming pool.</t>
  </si>
  <si>
    <t>They bounce the ball back and forth over the net as a golden retriever joins it, hitting the ball with his nose.</t>
  </si>
  <si>
    <t>v_6OLIr7E0eHA</t>
  </si>
  <si>
    <t>A boy plays the drums on front people.</t>
  </si>
  <si>
    <t>A man sings holding a microphone next to the drummer.</t>
  </si>
  <si>
    <t>A person pass on front the boy.</t>
  </si>
  <si>
    <t>v_hQeDWu5NOj8</t>
  </si>
  <si>
    <t>A small group of people are seen riding in a raft down a rough river.</t>
  </si>
  <si>
    <t>The people use paddles to move themselves along the water and under tunnels.</t>
  </si>
  <si>
    <t>The group continue riding down the river and end with text across the screen.</t>
  </si>
  <si>
    <t>v_7coVNZXiU6U</t>
  </si>
  <si>
    <t>A woman gets her hair cut very short in a kitchen by a woman with a pair of scissors.</t>
  </si>
  <si>
    <t>A man, wearing glasses, talks into the camera in a close up shot before the camera pans to a woman seated in a soft chair and focuses on her upper arm.</t>
  </si>
  <si>
    <t>The camera pans into a kitchen area and a seated woman holding up a lock of her own hair while another woman behind her ( the woman who was formerly seated) begins to cut her hair with a pair of scissors.</t>
  </si>
  <si>
    <t>The camera pans to a close up of the woman in the kitchen chair who has had most of her hair cut off and now how a very short haircut.</t>
  </si>
  <si>
    <t>The camera cuts again to the man who first appears in the film and a shot of a digital clock displaying the time.</t>
  </si>
  <si>
    <t>v_5P_Scs7Vo2c</t>
  </si>
  <si>
    <t>A young woman is seen kneeling in a tub with clothes all around her.</t>
  </si>
  <si>
    <t>She steps on the clothes and bends down again to scrub them while the camera pans around her.</t>
  </si>
  <si>
    <t>She holds up the clothes and continues to wash them as well as a man stepping into frame to help.</t>
  </si>
  <si>
    <t>v_BgsxbT9RCeg</t>
  </si>
  <si>
    <t>A woman ballerina dressed in a pink skirt and white blouse is standing in pose with her back bent forward and hands on her sides on a stage.</t>
  </si>
  <si>
    <t>A man in blue jeans and a white shirt walks in and strokes her back with a yellow cloth.</t>
  </si>
  <si>
    <t>Then a little girl ballerina comes and bumps into the woman.</t>
  </si>
  <si>
    <t>The woman breaks into a dance every time the little girl ballerina taps her.</t>
  </si>
  <si>
    <t>The little girl picks up a pair of wings and tries to put it on her back.</t>
  </si>
  <si>
    <t>The woman starts doing some ballet moves.</t>
  </si>
  <si>
    <t>She continues to dance to ballet moves as the little girl walks away.</t>
  </si>
  <si>
    <t>The woman ballerina twists and twirls on her toes as she dances to music.</t>
  </si>
  <si>
    <t>The crowd applauds and the man in the white shirt and blue jeans lifts her up and walks off the stage.</t>
  </si>
  <si>
    <t>v_2jHMUtvWP_0</t>
  </si>
  <si>
    <t>A camera pans around a room with a freshly painted wall and a man painting the wall on a stool is seen.</t>
  </si>
  <si>
    <t>The camera pans over the skylight and finishes by looking behind the area.</t>
  </si>
  <si>
    <t>v_OPqqbxGKp6E</t>
  </si>
  <si>
    <t>We see a person in a kitchen cooking on the stove.</t>
  </si>
  <si>
    <t>The person has skillet with butter they add eggs to.</t>
  </si>
  <si>
    <t>The person flips the eggs.</t>
  </si>
  <si>
    <t>A fire starts on the eye the person blow it out.</t>
  </si>
  <si>
    <t>The person flips the eggs with a spatula.</t>
  </si>
  <si>
    <t>The eggs are poured into a plate and salt and pepper are added.</t>
  </si>
  <si>
    <t>The person walks away from the stove.</t>
  </si>
  <si>
    <t>v_Ve0Ufrv-T0s</t>
  </si>
  <si>
    <t>A dog urinates consistently, without stopping, and while walking on its forelegs only, down and around a paved sidewalk all while a person is walking them on a yellow leash.</t>
  </si>
  <si>
    <t>The pug dog starts urinating on a stone curb along a low stone mini wall, lands on all four legs to turn around, and then proceeds to start walking on its two forelegs only.</t>
  </si>
  <si>
    <t>The dog begins urinating while walking on its forelegs only with the yellow leash following behind as an unseen person walks the dog from the background.</t>
  </si>
  <si>
    <t>The dog continues to urinate in this way, past more sidewalk and grass, and finally starts using three legs, stops and urinates more while stationary on three legs.</t>
  </si>
  <si>
    <t>v_VZ2CPdIPa30</t>
  </si>
  <si>
    <t>A man secures a seated woman in a bungee harness while others stand by.</t>
  </si>
  <si>
    <t>The woman talks to the camera in a close up view.</t>
  </si>
  <si>
    <t>Several shots of the scenery are shown interspersed with the woman waiting.</t>
  </si>
  <si>
    <t>The man finishes with the equipment.</t>
  </si>
  <si>
    <t>The woman carefully walks out to the jumping platform while one of the men stands behind her and an audience watches.</t>
  </si>
  <si>
    <t>The woman bungees off the platform.</t>
  </si>
  <si>
    <t>A replay of the woman bungeeing off the platform is shown.</t>
  </si>
  <si>
    <t>v_wBij_rEXdCk</t>
  </si>
  <si>
    <t>We see a table covered with papers and a laptop as a man works.</t>
  </si>
  <si>
    <t>The man leaves and goes to a graffiti covered garage and turns on a boombox.</t>
  </si>
  <si>
    <t>The man break dances then sees there is a man across the room.</t>
  </si>
  <si>
    <t>The men then take turns break dancing.</t>
  </si>
  <si>
    <t>The men stand face to face and break dance together.</t>
  </si>
  <si>
    <t>v_zkR_t6p3lto</t>
  </si>
  <si>
    <t>A person's skis are shown close up as they move continuously down a snowy hill moving quickly past trees.</t>
  </si>
  <si>
    <t>The person continues moving down the trail at a fast pace and meeting up with others at the bottom.</t>
  </si>
  <si>
    <t>v_H-PhEsI9njQ</t>
  </si>
  <si>
    <t>people are standing in a court playing shufleboard while people is in the terraces are watching the game.</t>
  </si>
  <si>
    <t>a lot of people wearing red uniforms are walking and sitting around the court.</t>
  </si>
  <si>
    <t>v_KEWlDtEt2cQ</t>
  </si>
  <si>
    <t>A man in a suit and a lady in a sparking dress stand on stage.</t>
  </si>
  <si>
    <t>The people then ballroom dance as people watch.</t>
  </si>
  <si>
    <t>The man spins the woman in the air in front of him.</t>
  </si>
  <si>
    <t>The man dips the lady and she kicks her feet in the air.</t>
  </si>
  <si>
    <t>They finish and the crowd claps as they walk off stage.</t>
  </si>
  <si>
    <t>v_BUmS918SyLA</t>
  </si>
  <si>
    <t>Two girls are seen holding a pose in the middle of a large gymnasium while others watch around them.</t>
  </si>
  <si>
    <t>The girls begin performing a dance routine while using batons.</t>
  </si>
  <si>
    <t>The girls continue to dance around and end by holding a pose.</t>
  </si>
  <si>
    <t>v_oAyygdg493M</t>
  </si>
  <si>
    <t>A woman is walking on the beach carrying a surfboard.</t>
  </si>
  <si>
    <t>She starts surfing in the water.</t>
  </si>
  <si>
    <t>v_sY7m7E-sAYc</t>
  </si>
  <si>
    <t>A woman is washing in a sink and shows a little bottle.</t>
  </si>
  <si>
    <t>Then, the woman add several potatoes in a steaming pot.</t>
  </si>
  <si>
    <t>After, the woman put the potatoes in a bowl and then peel a potatoes easily.</t>
  </si>
  <si>
    <t>v_5DhbyYavYp4</t>
  </si>
  <si>
    <t>There is a garden with many trees and shrubs.</t>
  </si>
  <si>
    <t>There is a man using a hedging and trimming equipment trimming the bushes.</t>
  </si>
  <si>
    <t>Another man is giving instructions on lawn and garden care.</t>
  </si>
  <si>
    <t>The man climbs up a tall ladder to trim the trees and bushes several times.</t>
  </si>
  <si>
    <t>He goes around the entire side to trim the hedges.</t>
  </si>
  <si>
    <t>The instructor continues talking about the gardening process, The man trims the hedges that form a barrier near a house.</t>
  </si>
  <si>
    <t>The instructor explains the process again to the viewers.</t>
  </si>
  <si>
    <t>The scene changes to a strange looking statue in a busy city and ends with a thank you for watching message.</t>
  </si>
  <si>
    <t>v_ynispYtdDq8</t>
  </si>
  <si>
    <t>A woman in lingerie is sitting on a couch waving at the camera.</t>
  </si>
  <si>
    <t>She opens a pack of cigarettes and lights up.</t>
  </si>
  <si>
    <t>She continues sitting and smoking while looking at the camera.</t>
  </si>
  <si>
    <t>v_PI1ZaFQ28Ao</t>
  </si>
  <si>
    <t>A lady discusses while standing in a kitchen adjacent to a sink.</t>
  </si>
  <si>
    <t>The lady is holding a sponge while the sink water is running.</t>
  </si>
  <si>
    <t>The lady is soaking dishes in soapy water.</t>
  </si>
  <si>
    <t>v_4-BW75h1D1A</t>
  </si>
  <si>
    <t>A woman in a white dress belly dances outside near columns and trees.</t>
  </si>
  <si>
    <t>The woman shakes her hips as she dances.</t>
  </si>
  <si>
    <t>Credits appear on the screen.</t>
  </si>
  <si>
    <t>v_YEZrwxz0Ysk</t>
  </si>
  <si>
    <t>A shot glass is shown, filled with three colors of liquid.</t>
  </si>
  <si>
    <t>Several bottles of different colored alcohols are shown.</t>
  </si>
  <si>
    <t>The liquids are poured one at a time into the glasses, forming the tricolored drink.</t>
  </si>
  <si>
    <t>v_jmmOBfS3JIg</t>
  </si>
  <si>
    <t>A man in dress shirt taps his cloth on the spout of a glass container to get it damp.</t>
  </si>
  <si>
    <t>The man uses his cloth wrapped around his index and middle finer to polish a shoe.</t>
  </si>
  <si>
    <t>The man rubs his cloth in a shoe polish tin for more of the substance.</t>
  </si>
  <si>
    <t>The man continues to polish the show around the toe of the shoe.</t>
  </si>
  <si>
    <t>The man again rubs his cloth in the tin for more polish.</t>
  </si>
  <si>
    <t>The man continues to polish the show around the toe of the shoe near the toe in a circular motion.</t>
  </si>
  <si>
    <t>v_by8QQWbyimw</t>
  </si>
  <si>
    <t>Two girls are acting silly and throwing signs at a camera.</t>
  </si>
  <si>
    <t>They then take turns doing cartwheels across the lawn.</t>
  </si>
  <si>
    <t>They do front and back flips, then run toward the camera.</t>
  </si>
  <si>
    <t>v_OhgsnOwo4b4</t>
  </si>
  <si>
    <t>A man is standing inside a kitchen in front of ingredients and tools for cooking.</t>
  </si>
  <si>
    <t>He shows dressing being poured onto a cabbage salad.</t>
  </si>
  <si>
    <t>He explains how to cut a melon, creating slices that go into his salad.</t>
  </si>
  <si>
    <t>Then he shreds a carrot, and moves the salad into a bowl before drizzling it with dressing.</t>
  </si>
  <si>
    <t>v_7TgvbmIn03A</t>
  </si>
  <si>
    <t>A black screen appears with white words that read "GoPro Hero3+Black Making everyday tasks fun 'Mowing The Lawn' Resolution: 1080p superwide.</t>
  </si>
  <si>
    <t>A view from the top of a lawn mower shows a woman pulling onto the pull handle of the lawn mower.</t>
  </si>
  <si>
    <t>The view change to the view of the lawn mower and the mower is moving along a yard filled with green grass.</t>
  </si>
  <si>
    <t>The view changes back and forth from lawn mower view and the view of the whole woman mowing the lawn.</t>
  </si>
  <si>
    <t>v_tgPjcWP7Vig</t>
  </si>
  <si>
    <t>A large group of people are seen sitting on bicycles exercising with one another.</t>
  </si>
  <si>
    <t>A woman speaks to the camera while more shots are shown of people riding.</t>
  </si>
  <si>
    <t>A woman leads the class as well as speaks to the camera and others riding around.</t>
  </si>
  <si>
    <t>v_j4vMVBSfyu0</t>
  </si>
  <si>
    <t>A hand is showing a curved blade knife, and then he showed an ice pick with white paper at the end of it.</t>
  </si>
  <si>
    <t>The man threw the blade on the plywood, then he threw the ice pick.</t>
  </si>
  <si>
    <t>v_C6DH4l7fop0</t>
  </si>
  <si>
    <t>A boy puts freshly baked cookies on a cooling rack.</t>
  </si>
  <si>
    <t>One gets stuck and he licks the spatula.</t>
  </si>
  <si>
    <t>v_KxY2z_xDsO8</t>
  </si>
  <si>
    <t>A person's hand is seen pushing various marbles down a long track and watching where they land.</t>
  </si>
  <si>
    <t>They push several more marbles while the camera moves up and down to catch the action.</t>
  </si>
  <si>
    <t>v_5XiBb9XGsg8</t>
  </si>
  <si>
    <t>A young man is seen speaking to the camera and leads into him trying to solve a rubix cube.</t>
  </si>
  <si>
    <t>The boy then solves the cube and pans the camera back to show his time.</t>
  </si>
  <si>
    <t>v_HrBa_UraJvc</t>
  </si>
  <si>
    <t>A man is seen using a hookah and blowing smoke out into the air and leads into him scraping tobacco and driving around.</t>
  </si>
  <si>
    <t>He speaks to the camera and pans back to a hookah and begins smoking out of it.</t>
  </si>
  <si>
    <t>v_c-3ed17J3F8</t>
  </si>
  <si>
    <t>A man is standing in a shed behind a crafts table talking to the camera.</t>
  </si>
  <si>
    <t>Next,a man in a navy uniform begins walking down the road and ends up in the room with the man.</t>
  </si>
  <si>
    <t>The two of them begin polishing a pair of boots together with a white cloth and a green brush.</t>
  </si>
  <si>
    <t>As they finish,the man in the green shirt is given a patch and a screen of tips come on the screen for properly caring for your boots.</t>
  </si>
  <si>
    <t>v_8SMXK2uOvk0</t>
  </si>
  <si>
    <t>People are biking down a path.</t>
  </si>
  <si>
    <t>A person is trying to start a fire.</t>
  </si>
  <si>
    <t>The person feeds the fire and moves it to a hole.</t>
  </si>
  <si>
    <t>v_HqGWA16ECWE</t>
  </si>
  <si>
    <t>A girl in a dress is crossing monkey bars.</t>
  </si>
  <si>
    <t>She gets to the end and steps on a rock.</t>
  </si>
  <si>
    <t>A boy in a blue shirt stands behind her.</t>
  </si>
  <si>
    <t>v_vygPNS-eAYM</t>
  </si>
  <si>
    <t>A father and daughter are playing hop scotch on their tiled porch.</t>
  </si>
  <si>
    <t>The girl is wearing a blue sleeveless shirt and shorts and the father is wearing a gray shirt and shorts.</t>
  </si>
  <si>
    <t>They take turns to jump on the squares.</t>
  </si>
  <si>
    <t>Then she little girl is joined by her mother who begins hopping on the squares.</t>
  </si>
  <si>
    <t>She gives the daughter a high five.</t>
  </si>
  <si>
    <t>then the girl begins to hop and jump across the squares.</t>
  </si>
  <si>
    <t>v_OtMNVvCSxVo</t>
  </si>
  <si>
    <t>A man stands on front a sink.</t>
  </si>
  <si>
    <t>Then, the man puts soap on a cloth.</t>
  </si>
  <si>
    <t>After, the man wash the pot outside and inside.</t>
  </si>
  <si>
    <t>Next, the man turns and dry his hands.</t>
  </si>
  <si>
    <t>v_UA_RDwuO47s</t>
  </si>
  <si>
    <t>The word funkin is on the screen and underneath it says Bacardi cocktail.</t>
  </si>
  <si>
    <t>A man in a funkin shirt talks about and demonstrates how to make the Bacardi cocktail from behind a bar.</t>
  </si>
  <si>
    <t>The man is showing people how to make a drink in a martini glass.</t>
  </si>
  <si>
    <t>The man puts ingredients in a regular glass while showing the bottles of ingredients he is using.</t>
  </si>
  <si>
    <t>The word funkin is on the screen.</t>
  </si>
  <si>
    <t>v_SQs7o8LeU6A</t>
  </si>
  <si>
    <t>A man stands in a rustic living room and plays a bagpipe in his socks.</t>
  </si>
  <si>
    <t>We see a man tapping his foot as he plays.</t>
  </si>
  <si>
    <t>The man switches to his other foot tapping.</t>
  </si>
  <si>
    <t>the man finishes playing and wipes his face.</t>
  </si>
  <si>
    <t>v_ZKtjyZhRB6E</t>
  </si>
  <si>
    <t>A group of older people are seen sitting on a bus speaking to one another.</t>
  </si>
  <si>
    <t>The camera pans around the bus to show more people sitting and speaking.</t>
  </si>
  <si>
    <t>A woman is seen speaking to a man next to her while he knits.</t>
  </si>
  <si>
    <t>v_8IlwMnM_n38</t>
  </si>
  <si>
    <t>Guys are break dancing on a stage in front of an audience.</t>
  </si>
  <si>
    <t>A guy breaks dance right off the stage and exits.</t>
  </si>
  <si>
    <t>v_64JprLAtnzg</t>
  </si>
  <si>
    <t>A group of girls are dancing along a ledge.</t>
  </si>
  <si>
    <t>Each girl dances on the ledge gracefully.</t>
  </si>
  <si>
    <t>The screen fades away to black.</t>
  </si>
  <si>
    <t>v_2YeImloBCA8</t>
  </si>
  <si>
    <t>We see people working out on exercise steps in an aerobics class.</t>
  </si>
  <si>
    <t>The leader puts her hand in the air.</t>
  </si>
  <si>
    <t>The lady in back left gets lost and stops.</t>
  </si>
  <si>
    <t>Rear right gets lost and throws out her arms.</t>
  </si>
  <si>
    <t>The instructors arm is in the air again.</t>
  </si>
  <si>
    <t>The lady second on right stops trying.</t>
  </si>
  <si>
    <t>v_hpU50i4WBK8</t>
  </si>
  <si>
    <t>Two people are on a boat getting ready to dive into the ocean.</t>
  </si>
  <si>
    <t>They dive in and are able to look at all the beautiful corals and see fish and other things.</t>
  </si>
  <si>
    <t>They find a cockpit that they begin to observe and look around also running into a jelly fish.</t>
  </si>
  <si>
    <t>They begin to explore the outside of the plane where they are also able to see more fish and other marine life around it.</t>
  </si>
  <si>
    <t>v_Eeq-noKrGwY</t>
  </si>
  <si>
    <t>A girl in an orange shirt takes a drink of mouth wash.</t>
  </si>
  <si>
    <t>She swishes it around in her mouth and spits it out into a sink.</t>
  </si>
  <si>
    <t>v_sYKtWOfH6VQ</t>
  </si>
  <si>
    <t>There's a lady doing a tutorial on how to wash hands in her kitchen.</t>
  </si>
  <si>
    <t>She walks towards the sink and turns on the tap.</t>
  </si>
  <si>
    <t>Then she takes some liquid soap in her hands and rubs her hands on the top, the palms and in between her fingers.</t>
  </si>
  <si>
    <t>She demonstrates how to properly rub the palms and the wrist area to ensure a clean wash.</t>
  </si>
  <si>
    <t>Then she turns the tap back on to wash off the soap.</t>
  </si>
  <si>
    <t>Then she uses her right elbow to turn off the tap to avoid touching it directly.</t>
  </si>
  <si>
    <t>Then she takes a paper towel from the window sill and wipes her hands dry.</t>
  </si>
  <si>
    <t>v__gDw8q2sRLk</t>
  </si>
  <si>
    <t>Three people are seen walking out onto a large gymnasium floor and lead into the three performing a jump roping routine.</t>
  </si>
  <si>
    <t>The three continue to jump around the floor while many watch and end with their arms up.</t>
  </si>
  <si>
    <t>v_bDf_xpUpdmU</t>
  </si>
  <si>
    <t>A falls off a skateboard in an awkward way.</t>
  </si>
  <si>
    <t>Then we see several other boys as they trip and fall.</t>
  </si>
  <si>
    <t>They take sharp turns on suburban roads, trying to stay on their boards.</t>
  </si>
  <si>
    <t>v_gKkk82LG8H0</t>
  </si>
  <si>
    <t>Group play the bongos while a young woman dances.</t>
  </si>
  <si>
    <t>A couple walks past the group.</t>
  </si>
  <si>
    <t>The drummer gives the camera a thumbs up gesture.</t>
  </si>
  <si>
    <t>Lots of people pass in the background.</t>
  </si>
  <si>
    <t>A small group are looking on at the musicians.</t>
  </si>
  <si>
    <t>The dancer poses with 2 other women.</t>
  </si>
  <si>
    <t>v_sjpWwjzCbrw</t>
  </si>
  <si>
    <t>A health professional washers her hands with soap in a sink.</t>
  </si>
  <si>
    <t>The woman scrubs between the fingers thoroughly.</t>
  </si>
  <si>
    <t>The hands are dried with a paper towel in between the fingers thoroughly.</t>
  </si>
  <si>
    <t>The woman throws the paper towel in a designated waste bin.</t>
  </si>
  <si>
    <t>The medical professional shuts off the water faucet using her elbow and also the paper towel.</t>
  </si>
  <si>
    <t>v_Mnhg-VEP69U</t>
  </si>
  <si>
    <t>A man is seen assembling a tire on a lift and taking the rubber off using a machine.</t>
  </si>
  <si>
    <t>He then puts the rubber back on using the machine and ends by moving back from the tire.</t>
  </si>
  <si>
    <t>v_3xoIXUMqmqA</t>
  </si>
  <si>
    <t>He pulls down on a rope and works out.</t>
  </si>
  <si>
    <t>He lowers the bar and starts pulling the rope in the other direction.</t>
  </si>
  <si>
    <t>v_KWeZbXoX8Ys</t>
  </si>
  <si>
    <t>There is a very tall and steep slide running through some trees in a large open ground.</t>
  </si>
  <si>
    <t>There is a rubber surface running lengthwise at the bottom end of the slide to protect people from getting hurt as they land down.</t>
  </si>
  <si>
    <t>A young boy wearing black shorts and a shirt comes sliding down in full force.</t>
  </si>
  <si>
    <t>He lands far from the slide as he tumbles down and off of the slide.</t>
  </si>
  <si>
    <t>v_HCZpS7mhvrE</t>
  </si>
  <si>
    <t>A man in a hat talks at a press conference.</t>
  </si>
  <si>
    <t>We see cabins and trailers in a snowy area.</t>
  </si>
  <si>
    <t>Three men re waxing skis in a workshop and we see the man at the press conference.</t>
  </si>
  <si>
    <t>A man runs behind trailers and two men walk on the snow before we see the press conference again.</t>
  </si>
  <si>
    <t>We see the men skiing.</t>
  </si>
  <si>
    <t>The man at the press conference and a men puts a mask on in the workshop and a machine sits in the field.</t>
  </si>
  <si>
    <t>Two men pose holding rifles in the snow.</t>
  </si>
  <si>
    <t>v_iHzyX1djHU4</t>
  </si>
  <si>
    <t>A man is seen sitting in a chair as well as shots of people riding wake boards and clips of a dock.</t>
  </si>
  <si>
    <t>The man continues speaking to the camera while more shots of people wake boarding are shown as well as doing flips and tricks.</t>
  </si>
  <si>
    <t>v_XJQlO4G5Fns</t>
  </si>
  <si>
    <t>We see a lady holding the camera and blow drying her hair.</t>
  </si>
  <si>
    <t>The lady sits the camera on the floor, and continues blow drying her hair.</t>
  </si>
  <si>
    <t>The lady throws her hair back and picks up the phone.</t>
  </si>
  <si>
    <t>v_jqEpQ-cRGFk</t>
  </si>
  <si>
    <t>We see a sleeping lady in a hospital.</t>
  </si>
  <si>
    <t>A person begins combing the hair of a sleeping elderly lady in a hospital.</t>
  </si>
  <si>
    <t>The camera moves to the top of the ladies head.</t>
  </si>
  <si>
    <t>The camera then moves to the front of the ladies face.</t>
  </si>
  <si>
    <t>v_1mksQqxFtv4</t>
  </si>
  <si>
    <t>A man in shorts is in a gym.</t>
  </si>
  <si>
    <t>He is jumping rope in there.</t>
  </si>
  <si>
    <t>He speeds up his jumping.</t>
  </si>
  <si>
    <t>He is doing it in front of a mirror.</t>
  </si>
  <si>
    <t>v_FRFjdn_pjYk</t>
  </si>
  <si>
    <t>An older man is shown standing on a piece of exercise equipment.</t>
  </si>
  <si>
    <t>He talks to the camera and holds a remote up and continues moving on the machine.</t>
  </si>
  <si>
    <t>v_5MpJCKOxRVs</t>
  </si>
  <si>
    <t>First, the person is seen unscrewing the handle bars.</t>
  </si>
  <si>
    <t>Then he unscrews the base to level it out to his liking.</t>
  </si>
  <si>
    <t>Then he sits on the bike seat to achieve the best results.</t>
  </si>
  <si>
    <t>Then he adjusts the handle bars again and makes sure they are firmly in place.</t>
  </si>
  <si>
    <t>v_Qm-XTJ-uG5s</t>
  </si>
  <si>
    <t>Two men are in a room with three walls and a set of glass doors behind them hitting a ball back and fourth against the wall with tennis rackets.</t>
  </si>
  <si>
    <t>As they continue,one boy falls to the ground and they have to start over.</t>
  </si>
  <si>
    <t>v_kUlwaBYvyBI</t>
  </si>
  <si>
    <t>We see a man standing in front of a workbench in a workshop and talking.</t>
  </si>
  <si>
    <t>The man shows a piece of wood and a sander.</t>
  </si>
  <si>
    <t>The man wipes a substance from a jug on the wood and the sander and sands the wood.</t>
  </si>
  <si>
    <t>The man shows us the finished product.</t>
  </si>
  <si>
    <t>v_LBC8Fa1oCGI</t>
  </si>
  <si>
    <t>Several people parasail on a body of water surrounded by other boats, foliage and houses in the distance.</t>
  </si>
  <si>
    <t>Several people in swim trunks sail in a body of water with multi colored parasails.</t>
  </si>
  <si>
    <t>A person in the foreground in blue swim trunks flips the sail over but the sail twists and lands on the bottom so that the person and the sail land on their feet.</t>
  </si>
  <si>
    <t>v_3hp7kPpZDhs</t>
  </si>
  <si>
    <t>On a track, a runner gets ready to perform.</t>
  </si>
  <si>
    <t>He runs and skips along the way, jumping high at the end.</t>
  </si>
  <si>
    <t>He walks along the track after being finished.</t>
  </si>
  <si>
    <t>The man runs and jumps again.</t>
  </si>
  <si>
    <t>The runner talks to someone.</t>
  </si>
  <si>
    <t>v_FKQIdqjY9nI</t>
  </si>
  <si>
    <t>A man plays the bagpipes on stage while wearing a Scottish skirt.</t>
  </si>
  <si>
    <t>Then, the man ends playing and holds the bagpipes on his left arm.</t>
  </si>
  <si>
    <t>v_zogfsf4O3Vg</t>
  </si>
  <si>
    <t>A man in yellow opens a beer.</t>
  </si>
  <si>
    <t>A man in gray grabs the beer, adjusts his clothes then sits on the floor holding the beer.</t>
  </si>
  <si>
    <t>The man puts one arm behind his back and adjusts himself to try and pick the bottle up with his mouth.</t>
  </si>
  <si>
    <t>The man then quickly drinks and puts the bottle down.</t>
  </si>
  <si>
    <t>We see a countdown clock.</t>
  </si>
  <si>
    <t>v_LB1A7BobPwg</t>
  </si>
  <si>
    <t>We see the white title screen.</t>
  </si>
  <si>
    <t>We then see a bartender talking to two people in a bar.</t>
  </si>
  <si>
    <t>The man puts his arm behind his back.</t>
  </si>
  <si>
    <t>The bartender puts two cards on the bar.</t>
  </si>
  <si>
    <t>They push their cards and drink beer, then pull cards and drink beer.</t>
  </si>
  <si>
    <t>The bartender spits the beer back in the glass.</t>
  </si>
  <si>
    <t>The bartender looks at the camera and speaks.</t>
  </si>
  <si>
    <t>We see the end title screen.</t>
  </si>
  <si>
    <t>v_6O8QXbjvYKs</t>
  </si>
  <si>
    <t>A little boy picks up a bowling ball.</t>
  </si>
  <si>
    <t>He sets it on a rail and pushes it down a lane.</t>
  </si>
  <si>
    <t>A woman with a baby strapped to her chest bowls a ball down a lane.</t>
  </si>
  <si>
    <t>v_G_kJ-Af89ew</t>
  </si>
  <si>
    <t>A man in plaid shirt hit the ball with stick, the ball scattered on the table.</t>
  </si>
  <si>
    <t>The man in gray sweater lean on the table and look at the ball, he then hit the white ball and hit the yellow ball, while the man in plaid shirt sat on the chair.</t>
  </si>
  <si>
    <t>The man in gray sweater continue to play the billiard, making the balls shoot in the holes.</t>
  </si>
  <si>
    <t>v_mTDRTiTnsjQ</t>
  </si>
  <si>
    <t>A hand is pushing a grass blower machine.</t>
  </si>
  <si>
    <t>The machine spit out dry leaves from a black pole.</t>
  </si>
  <si>
    <t>The machine turned in a curve towards the house.</t>
  </si>
  <si>
    <t>v_Z56Xq8Ud4I0</t>
  </si>
  <si>
    <t>A woman is seen speaking to the camera and then takes her ring off to run her hands under some water.</t>
  </si>
  <si>
    <t>She scrubs her hands with soap and then runs her fingers under the water.</t>
  </si>
  <si>
    <t>In the end people perform a little dance with showing how to properly wash your hands.</t>
  </si>
  <si>
    <t>v_G_npKjzxQLk</t>
  </si>
  <si>
    <t>We see people deep sea diving.</t>
  </si>
  <si>
    <t>We see the surface of the ocean.</t>
  </si>
  <si>
    <t>We see people holding hands underwater.</t>
  </si>
  <si>
    <t>People are throwing up hand signs.</t>
  </si>
  <si>
    <t>We see a man throw a hand sign and we see people standing in the water.</t>
  </si>
  <si>
    <t>A man goes under the water slowly.</t>
  </si>
  <si>
    <t>v_7qjiHcYuq2Y</t>
  </si>
  <si>
    <t>A small group of people are seen standing on a beach playing a game of volleyball.</t>
  </si>
  <si>
    <t>One person hits it to the other and they hit the ball game.</t>
  </si>
  <si>
    <t>The game continues on while people are seen watching on the sides.</t>
  </si>
  <si>
    <t>v_RkCSfz8GeNg</t>
  </si>
  <si>
    <t>A man is seen playing with her hair in front of the camera and leads into her brushing her hair.</t>
  </si>
  <si>
    <t>She then ties her hair up and proceeds to blow dry her hair while a comb.</t>
  </si>
  <si>
    <t>Then takes her hair down and runs lotion through her hair while still looking to the camera.</t>
  </si>
  <si>
    <t>v_2fp9Ni7Ms6A</t>
  </si>
  <si>
    <t>A shot of a board is shown followed by various groomers grooming dogs on tables.</t>
  </si>
  <si>
    <t>The people continue grooming the dogs on tables and the video ends with text across the screen.</t>
  </si>
  <si>
    <t>v_R4ouBBtg-B4</t>
  </si>
  <si>
    <t>Various people are shown smiling into a camera and being interviewed about a question.</t>
  </si>
  <si>
    <t>Several other questions are asked to the same people as well as shots of people doing activities around the beach on a string.</t>
  </si>
  <si>
    <t>v_DVlDRG0SxG8</t>
  </si>
  <si>
    <t>The front of a yellow kayak is seen as the boat floats through turbulent white waters of a river.</t>
  </si>
  <si>
    <t>It passes a rock and numerous trees before slowing down.</t>
  </si>
  <si>
    <t>v_586OlQMU420</t>
  </si>
  <si>
    <t>A young blonde boy is shown in several still images, including several while skiing.</t>
  </si>
  <si>
    <t>He is then seen skiing down a large hill from multiple angles and videos.</t>
  </si>
  <si>
    <t>He lands on top of a small hill, falling over.</t>
  </si>
  <si>
    <t>We then see an image of him sleeping on a couch.</t>
  </si>
  <si>
    <t>v_41xqneu4_RA</t>
  </si>
  <si>
    <t>A man is inside a room in a house.</t>
  </si>
  <si>
    <t>He is using a racquet to hit a tennis ball back and forth against a wall.</t>
  </si>
  <si>
    <t>He continues hitting the ball until he is finished playing the game.</t>
  </si>
  <si>
    <t>v_VA8SXILXTj0</t>
  </si>
  <si>
    <t>A couple of lemons are seen sitting on a table with glasses and plates and leads into a person putting the lemons in a container.</t>
  </si>
  <si>
    <t>He mixes ingredients with the lemons and shakes them up in another glass.</t>
  </si>
  <si>
    <t>He finishes the lemonade and presents it to the camera while also taking a sip.</t>
  </si>
  <si>
    <t>v_lJRwUE12drE</t>
  </si>
  <si>
    <t>People are seen walking around a gymnasium and leads into one standing in between bars.</t>
  </si>
  <si>
    <t>The gymnast then moves himself around the bars and jumps down afterwards.</t>
  </si>
  <si>
    <t>Another man steps up to the bars and attempts to spin around.</t>
  </si>
  <si>
    <t>v_O9qI26TB3R0</t>
  </si>
  <si>
    <t>A toddler wash a dog in a bathtub pouring water with the shower hose.</t>
  </si>
  <si>
    <t>The toddler rise the tail of the horse and wash the butt.</t>
  </si>
  <si>
    <t>After, the toddler, grab a brush and scrub and wash the dog.</t>
  </si>
  <si>
    <t>v_YtKUxxMo6Cs</t>
  </si>
  <si>
    <t>A man is riding a pair of water skis while attached to a boat.</t>
  </si>
  <si>
    <t>He swerves from side to side in the water, holding on.</t>
  </si>
  <si>
    <t>He jumps into the air as a stunt, then loses his balance and falls into the water.</t>
  </si>
  <si>
    <t>v_Hc7A90HiA28</t>
  </si>
  <si>
    <t>Two teams are playing a tug of war, while the referee is at the center and on the side are people taking pictures.</t>
  </si>
  <si>
    <t>The referee gave a go signal for the team to start pulling, the players are pulling the rope with all of their might until the blue team won, on the other side of the lane another team are playing tug of war, and the camera pans to the audiences who are watching the game.</t>
  </si>
  <si>
    <t>v_adz3kDJLCF4</t>
  </si>
  <si>
    <t>A woman is using a pink brush to brush her teeth.</t>
  </si>
  <si>
    <t>She is brushing very fast and vigorously.</t>
  </si>
  <si>
    <t>She is brushing her upper and lower teeth.</t>
  </si>
  <si>
    <t>She sticks her tongue out to clean the toothpaste.</t>
  </si>
  <si>
    <t>She checks her teeth to see if they're clean enough.</t>
  </si>
  <si>
    <t>While she continues brushing, she opens her mouth.</t>
  </si>
  <si>
    <t>Some of the toothpaste falls down.</t>
  </si>
  <si>
    <t>She starts brushing her tongue thoroughly.</t>
  </si>
  <si>
    <t>Then she continues brushing her upper and lower teeth again.</t>
  </si>
  <si>
    <t>She then sticks her tongue out and scrapes it against her teeth.</t>
  </si>
  <si>
    <t>She spits out some toothpaste.</t>
  </si>
  <si>
    <t>Some of the toothpaste falls on her chin making it look like a white beard.</t>
  </si>
  <si>
    <t>She pretends to be Santa Claus and says, ho, ho, Merry Christmas.</t>
  </si>
  <si>
    <t>Then she laughs as she shows her teeth with a wide smile.</t>
  </si>
  <si>
    <t>v_b0bM4vKxoXQ</t>
  </si>
  <si>
    <t>A large group of people are seen sitting around in a circle and 2 bulls standing in the pit.</t>
  </si>
  <si>
    <t>The animals and people continue to walk around one another and lead into the bulls fighting one another.</t>
  </si>
  <si>
    <t>v_bp1wsvCaiB0</t>
  </si>
  <si>
    <t>A logo appears then the word fencing.</t>
  </si>
  <si>
    <t>People begin to fence together.</t>
  </si>
  <si>
    <t>People gear up to fence and are shown fencing in a variety of ways.</t>
  </si>
  <si>
    <t>v_0Yb2EQlAEYM</t>
  </si>
  <si>
    <t>The bottom of a murky river is shown and then it flashes to the name of the springs.</t>
  </si>
  <si>
    <t>A group of people are shown and they begin to get floats and play and float throughout the springs.</t>
  </si>
  <si>
    <t>Two kids are on the rocks together and they catch a dragonfly.</t>
  </si>
  <si>
    <t>After,various group of people are shown and a couple floats together with a dog sitting on the male's lap.</t>
  </si>
  <si>
    <t>v_jcqRPdvb18w</t>
  </si>
  <si>
    <t>First the man pushes a tire and he steps inside of it.</t>
  </si>
  <si>
    <t>He then starts hula hooping inside of the tire with it around his waist.</t>
  </si>
  <si>
    <t>v_-t_Zhm1b0FI</t>
  </si>
  <si>
    <t>People playing instruments are on the stage.</t>
  </si>
  <si>
    <t>A man in a suit walks on the stage and starts talking.</t>
  </si>
  <si>
    <t>The band keeps playing in the background.</t>
  </si>
  <si>
    <t>v_59nQKYriHQc</t>
  </si>
  <si>
    <t>A woman is seen kneeling down on the floor speaking to the camera while a dog lays next to her.</t>
  </si>
  <si>
    <t>The woman is then seen running soap and water all over a dog in the sink and ending by cleaning him off and watching him run around and be excited.</t>
  </si>
  <si>
    <t>v_D5hsFA2ZrIQ</t>
  </si>
  <si>
    <t>A man is shown working in an outdoor garden.</t>
  </si>
  <si>
    <t>He is using tools as he works.</t>
  </si>
  <si>
    <t>He trims a long row of hedges, then cleans up the debris.</t>
  </si>
  <si>
    <t>v_Kmk0IVi2Xu4</t>
  </si>
  <si>
    <t>We see a set of drums and a man standing behind the drums talking and holding a drink.</t>
  </si>
  <si>
    <t>the man drinks from the drink and puts it down.</t>
  </si>
  <si>
    <t>the man plays the drums with his hands.</t>
  </si>
  <si>
    <t>The man stops and talks before playing the drums again.</t>
  </si>
  <si>
    <t>The man stands on the drums and dances.</t>
  </si>
  <si>
    <t>We see two men sitting and the first man is clapping his hands.</t>
  </si>
  <si>
    <t>We see the man playing the maracas as a lady dances nearby the man stops and the lady turns away.</t>
  </si>
  <si>
    <t>v_QeIsJBPG8EM</t>
  </si>
  <si>
    <t>There's a young boy dressed in a black shirt and black shorts in a field playing with a hockey stick.</t>
  </si>
  <si>
    <t>He is hitting the ball into the goal with his stick.</t>
  </si>
  <si>
    <t>He swings the stick when another person throws the ball to him and aims it towards the goal.</t>
  </si>
  <si>
    <t>v_HWkGANOfqQE</t>
  </si>
  <si>
    <t>The man is showing how he plays the guitar.</t>
  </si>
  <si>
    <t>Then he shows us how he plays flute.</t>
  </si>
  <si>
    <t>v_Yr2unlRQZa0</t>
  </si>
  <si>
    <t>A woman and a man performs cardiovascular fitness holding handles of a machine while running.</t>
  </si>
  <si>
    <t>A person adjust the angle of the pedal and continues running.</t>
  </si>
  <si>
    <t>The screen of the machine shows relevant information, and is show the audio input jack of the machine and the muscle profile while the man and the woman continues exercising.</t>
  </si>
  <si>
    <t>v_6_uxd3nj2d0</t>
  </si>
  <si>
    <t>A woman leans over a boy, dabbing his face with a substance.</t>
  </si>
  <si>
    <t>He laughs and struggles as she continues.</t>
  </si>
  <si>
    <t>He grabs her by the hair, eating the piece of food she had been rubbing on him.</t>
  </si>
  <si>
    <t>v_MTC0fs4QyEY</t>
  </si>
  <si>
    <t>There is an old man doing Tai Chi on a sidewalk while pedestrians walk by.</t>
  </si>
  <si>
    <t>The man continues doing Tai Chi on the sidewalk as several people walk by him.</t>
  </si>
  <si>
    <t>He then stands next to some well pruned shrubs and continues his exercise in the open while it rains heavily.</t>
  </si>
  <si>
    <t>He then takes his shirt and walks away after he is done with his Tai Chi exercise.</t>
  </si>
  <si>
    <t>v_EZsumzBA68I</t>
  </si>
  <si>
    <t>A man is seen standing before a large fence holding a spray hose in his hand.</t>
  </si>
  <si>
    <t>The man sprays paint all along the wall while the camera captures his movements.</t>
  </si>
  <si>
    <t>The man continues to spray the wall while the camera follows him from behind.</t>
  </si>
  <si>
    <t>v_znIFzXChO1M</t>
  </si>
  <si>
    <t>A girl in a white dress is hitting a pinata with a bat.</t>
  </si>
  <si>
    <t>A man is standing behind her watching.</t>
  </si>
  <si>
    <t>Two girls are standing by the house watching.</t>
  </si>
  <si>
    <t>v_G6qOkn-K6aw</t>
  </si>
  <si>
    <t>It is dark in the room and colorful lights come on.</t>
  </si>
  <si>
    <t>People continue dancing on the dance floor.</t>
  </si>
  <si>
    <t>v_l1oh52tqdPo</t>
  </si>
  <si>
    <t>A small white, medium size Christmas tree is standing in front of two green doors.</t>
  </si>
  <si>
    <t>A lady is carrying a bag that has a "SNO-BOND FLOCK #1" written on it.</t>
  </si>
  <si>
    <t>The lady put the sno-bond flock in a strainer and grab a water spray bottle.</t>
  </si>
  <si>
    <t>She started to sift the white stuff on the tree.</t>
  </si>
  <si>
    <t>After sifting she spray the dust towards the tree.</t>
  </si>
  <si>
    <t>v_d-cxJQcmBzA</t>
  </si>
  <si>
    <t>A man is buffing the floor with a blue buffer.</t>
  </si>
  <si>
    <t>Another man stands next to him watching.</t>
  </si>
  <si>
    <t>He goes over the tile with the buffer.</t>
  </si>
  <si>
    <t>v_jX26w60MxmU</t>
  </si>
  <si>
    <t>Two men are seen sitting in a canoe in low motion and then tips the canoe a bit with a paddle.</t>
  </si>
  <si>
    <t>The men do this several times followed by instructions and locations written in text.</t>
  </si>
  <si>
    <t>v_Vq2mQvMp_c4</t>
  </si>
  <si>
    <t>Someone is riding a horse across a grassy field and comes upon other people on horseback.</t>
  </si>
  <si>
    <t>We soon see the riders are part of a group, and we follow the group across a parking lot and into a stream.</t>
  </si>
  <si>
    <t>Celebratory cheers are heard as the group is enjoying riding across the stream.</t>
  </si>
  <si>
    <t>Then we see a couple of riders, one of them standing up in his saddle.</t>
  </si>
  <si>
    <t>v_Kb8SPjD121k</t>
  </si>
  <si>
    <t>two guys beginning a arm wrestling match,the guy in the back shirt wins the first match.</t>
  </si>
  <si>
    <t>the men switched hands and starts a new match.</t>
  </si>
  <si>
    <t>the finally match was won by the same guy with the back shirt.</t>
  </si>
  <si>
    <t>v_Oh83skxSJkQ</t>
  </si>
  <si>
    <t>A close up of a piano is seen followed by a person walking into frame.</t>
  </si>
  <si>
    <t>The person then stretches out their nails and begins playing the piano.</t>
  </si>
  <si>
    <t>The person continues playing on the instrument and stops to turn off the camera.</t>
  </si>
  <si>
    <t>v_0rDLcTmgzGQ</t>
  </si>
  <si>
    <t>The men riding the horses are playing polo in the field.</t>
  </si>
  <si>
    <t>The men are chasing the ball and hitting with mallet.</t>
  </si>
  <si>
    <t>A player hit the ball and then ran after it, behind him are other players.</t>
  </si>
  <si>
    <t>v_xr0tV2KNqgI</t>
  </si>
  <si>
    <t>A crowd of people watch as two bulls fight each other in a competition.</t>
  </si>
  <si>
    <t>The camera pans over to show many people in the crowd watching the show.</t>
  </si>
  <si>
    <t>A man walks by the camera.</t>
  </si>
  <si>
    <t>Several people are getting close to the bull trying to catch the action.</t>
  </si>
  <si>
    <t>The bulls begin to chase each other around the field.</t>
  </si>
  <si>
    <t>v_1JeK3U_nUUc</t>
  </si>
  <si>
    <t>Several shots are shown of people wandering on a beach that lead into clips of a soccer match and people celebrating.</t>
  </si>
  <si>
    <t>More people are seen dancing around as well as playing soccer and gesturing to the camera.</t>
  </si>
  <si>
    <t>v_VE-zu8cdL44</t>
  </si>
  <si>
    <t>A dog who is missing his front legs is walking across a lawn.</t>
  </si>
  <si>
    <t>He is following the camera man, then breaks into a hopping run.</t>
  </si>
  <si>
    <t>He returns, and does the same again.</t>
  </si>
  <si>
    <t>v_-IkL9Kq9zfQ</t>
  </si>
  <si>
    <t>A man in cold weather clothing is kayaking on a river.</t>
  </si>
  <si>
    <t>The shot pans out to show several kayaks, and the man stuck on a small waterfall.</t>
  </si>
  <si>
    <t>He finally gets himself unstuck, pulling away from the falls.</t>
  </si>
  <si>
    <t>v_KnF56TCKPYw</t>
  </si>
  <si>
    <t>A dog sniffs the feet of a man and a woman.</t>
  </si>
  <si>
    <t>The couple walk the dog down to a lake.</t>
  </si>
  <si>
    <t>There are other owners and dogs, and they play at the water's edge.</t>
  </si>
  <si>
    <t>v_BtGrWzfvmP0</t>
  </si>
  <si>
    <t>A girl is seen smiling and waving to the camera followed by her holding up a contact lens and cleanser.</t>
  </si>
  <si>
    <t>She mixes the two together followed by putting the contact lens in her eyes.</t>
  </si>
  <si>
    <t>She finally shows off her eyes in the end and gives the camera a thumbs up.</t>
  </si>
  <si>
    <t>v_hnwZmUR1FUw</t>
  </si>
  <si>
    <t>There are two men indoors and playing racquetball in an indoor court as they quickly hit the ball against the wall and take turns.</t>
  </si>
  <si>
    <t>One of the men wearing a green shirt looks angrily at the camera and throws the racquet at the camera.</t>
  </si>
  <si>
    <t>The camera person turns the camera to himself and he is running and laughing while looking in the camera.</t>
  </si>
  <si>
    <t>v_Y97KgwAmdrU</t>
  </si>
  <si>
    <t>Various ingredients are laid out on a counter and are all mixed together in a bowl.</t>
  </si>
  <si>
    <t>The person is then shown placing dough balls into the oven and pressing a button.</t>
  </si>
  <si>
    <t>Then person then takes the cookies out and they disappear, all in stop animation.</t>
  </si>
  <si>
    <t>v_EKyV_WFsJH0</t>
  </si>
  <si>
    <t>A man is seen speaking to the camera while a shot of a person playing basketball shows behind.</t>
  </si>
  <si>
    <t>The man continues speaking as more shots are shown of the boy playing basketball.</t>
  </si>
  <si>
    <t>The man continues speaking and ends with text across the screen.</t>
  </si>
  <si>
    <t>v_E5uAH7_WTFs</t>
  </si>
  <si>
    <t>A professional swimmer wipes his eyes before engaging in the competition.</t>
  </si>
  <si>
    <t>He takes off, swimming as he tries to beat the two competitors on either side of him.</t>
  </si>
  <si>
    <t>v_DEVD2oszH48</t>
  </si>
  <si>
    <t>A gymnast gets ready and stretches out before an event.</t>
  </si>
  <si>
    <t>The gymnast runs then tumbles down a platform during an Olympic game finally landing on a padded mat.</t>
  </si>
  <si>
    <t>A large crowd applauds the performance.</t>
  </si>
  <si>
    <t>Other gymnast look on and nod with approval.</t>
  </si>
  <si>
    <t>A replay shows the gymnasts performance in slow motion.</t>
  </si>
  <si>
    <t>The gymnast sits with her coach and is congratulated.</t>
  </si>
  <si>
    <t>v_-lV2zo5XsCg</t>
  </si>
  <si>
    <t>A close up of a horse is seen standing in a fenced in area.</t>
  </si>
  <si>
    <t>A person is then seen brushing the horse from the side.</t>
  </si>
  <si>
    <t>The person continues brushing as a close up of the horse is shown.</t>
  </si>
  <si>
    <t>v_Jo2-IPbuapw</t>
  </si>
  <si>
    <t>A person's hands are seen places in the middle of a paper and begins drawing along the picture.</t>
  </si>
  <si>
    <t>The person then paints a large tree while still moving around quickly on the painting.</t>
  </si>
  <si>
    <t>The person finishes the painting and signs their name and shows a picture of themselves.</t>
  </si>
  <si>
    <t>v_rWVpotNVeyM</t>
  </si>
  <si>
    <t>A black screen appears with with white words reading, Winter Sedona,AZ.</t>
  </si>
  <si>
    <t>A man begins walking through a field of trees and shrubs,wearing a yellow hat,cardigan,boots,and a bag.</t>
  </si>
  <si>
    <t>He then stops and begins playing a wooden recorder.</t>
  </si>
  <si>
    <t>The camera zooms in and he continues playing the recorder and various forms of the surrounding landscape is shown.</t>
  </si>
  <si>
    <t>v_7IfBJgi3WCE</t>
  </si>
  <si>
    <t>The camera moves in on two cars parked on the street facing one another.</t>
  </si>
  <si>
    <t>A young man is then seen riding a tractor along the lawn to cut the grass and moves all around the camera man.</t>
  </si>
  <si>
    <t>v_ikHGZpkhfNc</t>
  </si>
  <si>
    <t>Five people carrying skateboards are walking towards the light.</t>
  </si>
  <si>
    <t>The young people are skateboarding in a subdivision while sitting down using their hands as a break.</t>
  </si>
  <si>
    <t>The young people skateboard in a ramp, then to the parking lot, then to the subdivision, one of the skateboarders fell off their skateboards.</t>
  </si>
  <si>
    <t>v_JO_CW4PR3I8</t>
  </si>
  <si>
    <t>A man is holding a wooden case.</t>
  </si>
  <si>
    <t>He puts a towel through the case.</t>
  </si>
  <si>
    <t>He begins to shine his shoe with the towel.</t>
  </si>
  <si>
    <t>v_Y3j1uDKRpPU</t>
  </si>
  <si>
    <t>A man is seen wearing a suit and walk away.</t>
  </si>
  <si>
    <t>The man walks up to a large chair and sits down.</t>
  </si>
  <si>
    <t>Another man is seen standing in front of the chair and begins looking down at the man's feet.</t>
  </si>
  <si>
    <t>v_cxFt88Cs-fs</t>
  </si>
  <si>
    <t>Two men are outside on the side of a bridge talking to each other as several people are walking by talking to them and shaking their hands.</t>
  </si>
  <si>
    <t>After,the man that is in the harness grabs on to the shoulders of two men as they help him stand up on top of the bridge.</t>
  </si>
  <si>
    <t>Finally,the man does a free fall off of the bridge and a orange ball is thrown to him.</t>
  </si>
  <si>
    <t>v_rBnygEUFOvE</t>
  </si>
  <si>
    <t>A gymnast wearing red leotards is performing gymnastics on uneven bars in a large stadium with a several spectators.</t>
  </si>
  <si>
    <t>She is doing front flips and back flips with swift motion without falling down.</t>
  </si>
  <si>
    <t>After she's done, she gets off the uneven bars and walks off as she gives a high five to her coach.</t>
  </si>
  <si>
    <t>v_5jaIcPomOuM</t>
  </si>
  <si>
    <t>Two women are seen speaking to the camera with one holding a cat in her lap.</t>
  </si>
  <si>
    <t>The woman then proceeds to hold the cat's claws and cut the nails while pointing to the cat and looking to the camera.</t>
  </si>
  <si>
    <t>v_eOsASILOUZM</t>
  </si>
  <si>
    <t>A woman stands on a diving board.</t>
  </si>
  <si>
    <t>She jumps off of the diving board.</t>
  </si>
  <si>
    <t>She dives into the pool of water.</t>
  </si>
  <si>
    <t>She swims under the water.</t>
  </si>
  <si>
    <t>v_oZjx7F1doGs</t>
  </si>
  <si>
    <t>Two men exhibit and demonstrate the use of an automated tennis ball server on a tennis ball court.</t>
  </si>
  <si>
    <t>An animation graphic appears exhibiting two gold cylinders inside of a metal bracket.</t>
  </si>
  <si>
    <t>The animated graphic morphs into a real and actual version of the graphic, appearing on a outdoor tennis court and flanked by two men.</t>
  </si>
  <si>
    <t>The two men standing next to the machinery place tennis balls into the machine, which in turn spits out the balls acting as an automated tennis ball server for a player who is standing on the other side of the tennis court with a tennis racket.</t>
  </si>
  <si>
    <t>v_HqpflYNEI7o</t>
  </si>
  <si>
    <t>A pumpkin is sitting on a counter.</t>
  </si>
  <si>
    <t>A knife is carving a face into the pumpkin.</t>
  </si>
  <si>
    <t>The lights are turned off and the pumpkin is lit up.</t>
  </si>
  <si>
    <t>v_7-5sFmNf4i4</t>
  </si>
  <si>
    <t>There are band members talking about their concert in Canada.</t>
  </si>
  <si>
    <t>They are seated on a stage as they talk about their experience about surprising a fan.</t>
  </si>
  <si>
    <t>They surprise a fan who is the winner of a contest.</t>
  </si>
  <si>
    <t>The band members go bowling with the surprised fan and play at the bowling alley.</t>
  </si>
  <si>
    <t>After the bowling game is over, they further surprise the fan by inviting her to their concert ans sound check party.</t>
  </si>
  <si>
    <t>v_f5Ja983oTMw</t>
  </si>
  <si>
    <t>A man mounts a pommel horse and starts spinning.</t>
  </si>
  <si>
    <t>A gymnast in the background falls mid performance.</t>
  </si>
  <si>
    <t>The main performer dismounts and throws his arms in the air.</t>
  </si>
  <si>
    <t>The main performer walks away.</t>
  </si>
  <si>
    <t>v_ljxNDSS_AcA</t>
  </si>
  <si>
    <t>A man is standing in a room talking.</t>
  </si>
  <si>
    <t>Another man is painting the walls of the room.</t>
  </si>
  <si>
    <t>The man sets his paint can and his towel down next to him.</t>
  </si>
  <si>
    <t>v_hLyHeVmMDGU</t>
  </si>
  <si>
    <t>A tether rope rises up on a bar.</t>
  </si>
  <si>
    <t>Athletes prepare for an event getting poles ready and chalking hands.</t>
  </si>
  <si>
    <t>Athletes pole vault over a high bar in a competition.</t>
  </si>
  <si>
    <t>Athletes and fans meet after the event talking and signing autographs.</t>
  </si>
  <si>
    <t>A graphic is seen of event sponsors and website on the screen with black backround.</t>
  </si>
  <si>
    <t>v_KFIxTdJtXAE</t>
  </si>
  <si>
    <t>One group of adults are in a raft, paddling through the water with big waves.</t>
  </si>
  <si>
    <t>The group hit each other's paddle like a high five and then continue to paddle through the river.</t>
  </si>
  <si>
    <t>Other group of people are riding the rafts and stopped at the side of the river.</t>
  </si>
  <si>
    <t>v_QJKFphS_3UQ</t>
  </si>
  <si>
    <t>A woman is seen speaking to the camera holding an instrument and leads into her playing the flute.</t>
  </si>
  <si>
    <t>The camera continues to zoom in on her playing the instrument while she intervenes by speaking to the camera.</t>
  </si>
  <si>
    <t>v_5BuDj1xkpiI</t>
  </si>
  <si>
    <t>We see a bottle of face wash.</t>
  </si>
  <si>
    <t>We see a person holding face wash then putting it on their face.</t>
  </si>
  <si>
    <t>They rinse the face and add the face wash with a brush.</t>
  </si>
  <si>
    <t>We see an illustration on how to add the wash using a brush.</t>
  </si>
  <si>
    <t>v_lu7viu9nf6g</t>
  </si>
  <si>
    <t>Various clips of a large group of people are seen standing together leading into clips of people shooting bows and arrows.</t>
  </si>
  <si>
    <t>More clips are shown of people speaking to the camera are shown as well as people celebrating and shooting more bows and dancing.</t>
  </si>
  <si>
    <t>v_aKLKf4Qd_4U</t>
  </si>
  <si>
    <t>A close up of a house is seen when a person walks into frame.</t>
  </si>
  <si>
    <t>The person is seen grabbing lawn mower and pulling it to the side.</t>
  </si>
  <si>
    <t>The person then pushes the lawn mower all around the house.</t>
  </si>
  <si>
    <t>v_FSU0YVLCoSc</t>
  </si>
  <si>
    <t>A person's hands are seen close up on a tool and begins moving the handle around and taking the tool apart.</t>
  </si>
  <si>
    <t>The person unscrews some items and tightens the inside and moves the screwdriver around while holding the tool.</t>
  </si>
  <si>
    <t>v_ot7hBY4lQ2c</t>
  </si>
  <si>
    <t>A group of men have gathered indoors.</t>
  </si>
  <si>
    <t>Two of them crouch in the center.</t>
  </si>
  <si>
    <t>They flip to the center of the circle, doing ornate kickboxing stunts.</t>
  </si>
  <si>
    <t>Several more clips of other fighters are shown, flipping, rolling, and kicking.</t>
  </si>
  <si>
    <t>The two men hug at the end.</t>
  </si>
  <si>
    <t>v_mHe2twk5BDE</t>
  </si>
  <si>
    <t>Various still shot pictures of different men, different ages, different races and different sizes appear with white text names appearing over each of their faces.</t>
  </si>
  <si>
    <t>A blue screen then appears and white text words appear and say "WAIT!! SO WHAT IS WATER POLO??".</t>
  </si>
  <si>
    <t>Various clips of many men playing water polo in a pool start to play and it shows them splashing in the water, fighting for the ball, swimming, and trying to make a goal at the net that's at the end of a pool.</t>
  </si>
  <si>
    <t>Another blue screen appears and it has white text that say's "OK then so heres us in action" and numerous still shot pictures display of people playing water polo in the pool, or just hanging out are displayed.</t>
  </si>
  <si>
    <t>When the pictures are done a blue screen appears with a lot of white words on it that basically say that if you're interested in what you just saw, you just need to contact one of them.</t>
  </si>
  <si>
    <t>v_rYXmAD8u7N8</t>
  </si>
  <si>
    <t>Several people are talking into microphones on the stage.</t>
  </si>
  <si>
    <t>One of the men starts playing a violin.</t>
  </si>
  <si>
    <t>He gives the violin to another man who plays it.</t>
  </si>
  <si>
    <t>The audience starts clapping for them.</t>
  </si>
  <si>
    <t>v_Xj--zKhm6k4</t>
  </si>
  <si>
    <t>A large man is dancing inside a dark room.</t>
  </si>
  <si>
    <t>People behind him laugh and clap.</t>
  </si>
  <si>
    <t>He is throwing darts at a target in the distance.</t>
  </si>
  <si>
    <t>v_xi4puZ1ulP4</t>
  </si>
  <si>
    <t>A woman is seen with seen wearing a tanktop with introduction text.</t>
  </si>
  <si>
    <t>The woman have hair tied back and applies eye make up to eyes using various brushes and colors.</t>
  </si>
  <si>
    <t>The woman begins to puts eye liner on with a fine pencil.</t>
  </si>
  <si>
    <t>The women takes cloth ties out of here hair and lets her hair down which is now curled.</t>
  </si>
  <si>
    <t>The woman uses a comb and hairspray to straighten parts of here hair then ties it back.</t>
  </si>
  <si>
    <t>Messages of tex are shown on the end of the video.</t>
  </si>
  <si>
    <t>v_U8m-9nmAfGU</t>
  </si>
  <si>
    <t>A person fixes a strap on a guy.</t>
  </si>
  <si>
    <t>The guy moves closer to the edge.</t>
  </si>
  <si>
    <t>Two men places hooks on the guy.</t>
  </si>
  <si>
    <t>A man release a rope.</t>
  </si>
  <si>
    <t>The guy jumps of the edge or bungee jumps.</t>
  </si>
  <si>
    <t>v_gS4dNLjHouo</t>
  </si>
  <si>
    <t>A marching band parades down the street, playing drums and other instruments.</t>
  </si>
  <si>
    <t>People on both sides of the street watch the band perform.</t>
  </si>
  <si>
    <t>v_Pl4zAGveukQ</t>
  </si>
  <si>
    <t>A woman with long hair speaks to the camera.</t>
  </si>
  <si>
    <t>She holds up a long brush.</t>
  </si>
  <si>
    <t>She demonstrates how to use the brush to scrape snow off a car.</t>
  </si>
  <si>
    <t>When she is done, she continues talking about the brush.</t>
  </si>
  <si>
    <t>v__EKqIcXdW04</t>
  </si>
  <si>
    <t>A lady knees, while a guy walks and instructs.</t>
  </si>
  <si>
    <t>The lady places both hands behind her head.</t>
  </si>
  <si>
    <t>v_gDhfInESf_E</t>
  </si>
  <si>
    <t>A lady is brushing her hair.</t>
  </si>
  <si>
    <t>The lady brushes her hair from underneath.</t>
  </si>
  <si>
    <t>115 The lady runs her hand through her hair.</t>
  </si>
  <si>
    <t>The lady finishes and sits upright.</t>
  </si>
  <si>
    <t>v_7Lkcan0X5VA</t>
  </si>
  <si>
    <t>A person's hands are shown playing piano.</t>
  </si>
  <si>
    <t>A close up of a trumpet shows a man playing.</t>
  </si>
  <si>
    <t>The video fades to the people playing on stage.</t>
  </si>
  <si>
    <t>The camera zooms in on the trumpet player.</t>
  </si>
  <si>
    <t>A girl is shown playing piano.</t>
  </si>
  <si>
    <t>The duo continue playing until the song ends.</t>
  </si>
  <si>
    <t>v_rI-Iq496Sgk</t>
  </si>
  <si>
    <t>A man has climbed a large ladder outside.</t>
  </si>
  <si>
    <t>He is using trimmers to cut and trim large trees.</t>
  </si>
  <si>
    <t>He reaches up, cutting the branches and twigs.</t>
  </si>
  <si>
    <t>v_HdgVytIzu4s</t>
  </si>
  <si>
    <t>A man is seen holding a tennis racket and begins hitting a ball around a room.</t>
  </si>
  <si>
    <t>Another man is in frame also holding a tennis racket and hitting a ball around.</t>
  </si>
  <si>
    <t>The men continue to play with one another around the room while the camera follows their movements.</t>
  </si>
  <si>
    <t>v_RNqJj9tt3F0</t>
  </si>
  <si>
    <t>Several NHL players are playing a hockey game in a hockey stadium.</t>
  </si>
  <si>
    <t>One of the player is shown expressing his anger at the game.</t>
  </si>
  <si>
    <t>A news caster comes onto the screen to announce a a segment about hockey meltdowns.</t>
  </si>
  <si>
    <t>The top ten hockey melt downs are then shown.</t>
  </si>
  <si>
    <t>v_Ka0Rtjfi9fI</t>
  </si>
  <si>
    <t>A man trims a large hedge with a pole trimmer.</t>
  </si>
  <si>
    <t>There are several close ups of the tool in action.</t>
  </si>
  <si>
    <t>Several extensions are shown for it.</t>
  </si>
  <si>
    <t>The man trims a tree with it.</t>
  </si>
  <si>
    <t>v_VFOpGMVouVg</t>
  </si>
  <si>
    <t>A woman is seen speaking to the camera and leads into her playing with her hair and pining it up.</t>
  </si>
  <si>
    <t>She ten begins braiding her hair in various places while speaking to the camera.</t>
  </si>
  <si>
    <t>She ties her hair back around her head and ends by speaking to the camera.</t>
  </si>
  <si>
    <t>v_eQMT-WmxKM8</t>
  </si>
  <si>
    <t>a girl is holding a baton her hand.</t>
  </si>
  <si>
    <t>She tosses it to a boy beside her.</t>
  </si>
  <si>
    <t>They take turns throwing it into the air and catching it.</t>
  </si>
  <si>
    <t>v_a42c_maArv4</t>
  </si>
  <si>
    <t>The camera shakes on an image of an indoor volleyball court.</t>
  </si>
  <si>
    <t>A woman races back from the net to hit the incoming volleyball.</t>
  </si>
  <si>
    <t>A fellow team member also hits the ball and sends it across the net.</t>
  </si>
  <si>
    <t>v_e60HGAzBOvo</t>
  </si>
  <si>
    <t>The man is wearing an apron as he walks into the works space and the words "Conti Ski-Boots Service Presents Race Operation" is overlayed onto the screen as he grabs a ski pole and picks up a drill and uses it on the top of the ski.</t>
  </si>
  <si>
    <t>The man then grabs the ski and puts it into the green machinery that is located behind him and runs it through the machine a few times then removes it and stars to work on the backside of the ski which appears to look like he is sanding, taping and pouring some type of clear finish onto it.</t>
  </si>
  <si>
    <t>The man then runs a device over the sky that looks like an iron, and continues to sand it, clear it off, scrape it, and use the ironing device again.</t>
  </si>
  <si>
    <t>The man then removes the tape and turns the ski onto it's side to scrape at it.</t>
  </si>
  <si>
    <t>When he's finished he grabs the ski and puts it into a compartment that is located above the green machine.</t>
  </si>
  <si>
    <t>v_0rDb-zfhH0E</t>
  </si>
  <si>
    <t>A boy and girl in a karate uniform are playing in front of a camera.</t>
  </si>
  <si>
    <t>They talk about how they earned their karate uniforms and what they like about karate.</t>
  </si>
  <si>
    <t>The girl talks about her brother and more about karate.</t>
  </si>
  <si>
    <t>The girl plays effects on her brother.</t>
  </si>
  <si>
    <t>The girl does various karate moves for the camera.</t>
  </si>
  <si>
    <t>Then the brother does several different karate moves for the camera.</t>
  </si>
  <si>
    <t>v_MzYA5oo-mzk</t>
  </si>
  <si>
    <t>A man is in a screened area standing on a concrete circle and swings a ball on a rope around two times above his head.</t>
  </si>
  <si>
    <t>The man then quickly starts spinning himself along with swinging the ball on the rope.</t>
  </si>
  <si>
    <t>After numerous and quick swings and spins the man lets the rope go and the ball goes flying.</t>
  </si>
  <si>
    <t>v_DsqNpc9JChY</t>
  </si>
  <si>
    <t>A person wash the dishes using a brush in a sink.</t>
  </si>
  <si>
    <t>Then, the person wash the utensils while cleaning with the brush.</t>
  </si>
  <si>
    <t>After, the person pours dishwasher in a glass and a cup, then brush and rinse.</t>
  </si>
  <si>
    <t>v_BshSmo_rRII</t>
  </si>
  <si>
    <t>A man watch through a window two bears copulate while brushing a shoe.</t>
  </si>
  <si>
    <t>A girl enters the room and see the bears, then she leaves the room.</t>
  </si>
  <si>
    <t>v_g-KEU43sCt4</t>
  </si>
  <si>
    <t>Children perform martial arts moves in a dojo as adults watch.</t>
  </si>
  <si>
    <t>A girl flips and takes her turn then flips out of the center.</t>
  </si>
  <si>
    <t>A teen does a flip to the other side of the room.</t>
  </si>
  <si>
    <t>One of the teachers moves to the middle of the floor.</t>
  </si>
  <si>
    <t>The teen talks to another one of the children and send the boy in when it's his turn.</t>
  </si>
  <si>
    <t>the teen attempts to have a scared boy take a turn but the boy refuses.</t>
  </si>
  <si>
    <t>The children all run to the floor.</t>
  </si>
  <si>
    <t>v_2SnFlGUHKnc</t>
  </si>
  <si>
    <t>A woman is dancing in the middle of the street with a baton.</t>
  </si>
  <si>
    <t>She twirls and throws the baton while a small crowd watches.</t>
  </si>
  <si>
    <t>She continues down the road, performing with the baton.</t>
  </si>
  <si>
    <t>v_KRfdZgxLZPY</t>
  </si>
  <si>
    <t>In the snow, various young men perform snowboard tricks before the camera.</t>
  </si>
  <si>
    <t>A man in a blue sweatshirt jumps down a staircase.</t>
  </si>
  <si>
    <t>A young man in a black outfit performs a double trick by grinding down one railing and jumping down a staircase.</t>
  </si>
  <si>
    <t>A man in a purple sweatshirt grinds down a staircase railing.</t>
  </si>
  <si>
    <t>A man in a purple and black striped sweatshirt jumps down a staircase.</t>
  </si>
  <si>
    <t>The man in the blue sweatshirt grinds down a railing and lands stylishly on the floor.</t>
  </si>
  <si>
    <t>v_lxNV7FI-LQQ</t>
  </si>
  <si>
    <t>A shot of a sunset leads into a large group of people riding camels along the beach.</t>
  </si>
  <si>
    <t>Many people are seen riding the camels one after another on the sand.</t>
  </si>
  <si>
    <t>The video continues on showing more people riding the camels and others leading in the front.</t>
  </si>
  <si>
    <t>v_zCijq4G1B3Q</t>
  </si>
  <si>
    <t>A man is painting the wood with brush, the wood is being shown.</t>
  </si>
  <si>
    <t>The man is painting the fence with brown paint, then painting the table.</t>
  </si>
  <si>
    <t>The man mixed the paint and then began painting the wooden table, then he clean up the floor and brush it.</t>
  </si>
  <si>
    <t>v_4XX5rcqpOXA</t>
  </si>
  <si>
    <t>A person is seen sitting at a table followed by two people dancing with one another and others sitting around watch.</t>
  </si>
  <si>
    <t>The people continue dancing around one another and end by stopping and having other two dancing beside them.</t>
  </si>
  <si>
    <t>v_J80e9M4AQ5w</t>
  </si>
  <si>
    <t>We see an opening screen with a black background.</t>
  </si>
  <si>
    <t>We see a lot of people moving snow with shovel, brooms, pots, and bowls.</t>
  </si>
  <si>
    <t>A man is shoveling with a dist pan followed by ladies with a hoe and plate.</t>
  </si>
  <si>
    <t>A man throws snow on a lady.</t>
  </si>
  <si>
    <t>A man throws snow on people.</t>
  </si>
  <si>
    <t>A person is stuck in the snow is buried by others.</t>
  </si>
  <si>
    <t>A lady talks to the camera and it goes black and white.</t>
  </si>
  <si>
    <t>People are mainge snow angels.</t>
  </si>
  <si>
    <t>We see the closing credits of the video.</t>
  </si>
  <si>
    <t>v___dXUJsj3yo</t>
  </si>
  <si>
    <t>A middle age woman is shown squatting down picking up snow and dumping it in pile.</t>
  </si>
  <si>
    <t>She then walks towards the camera and sticks her tongue out.</t>
  </si>
  <si>
    <t>v_UIrn2ziRgEM</t>
  </si>
  <si>
    <t>a woman lights a cigarette in front of the camera.</t>
  </si>
  <si>
    <t>She takes a big pull off the cigarette.</t>
  </si>
  <si>
    <t>She blows smoke at the camera and smiles.</t>
  </si>
  <si>
    <t>She takes another pull of the cigarette and blows smoke out.</t>
  </si>
  <si>
    <t>She plays with her hair.</t>
  </si>
  <si>
    <t>Then she continues to smoke the cigarette while looking around.</t>
  </si>
  <si>
    <t>v_oGwn4NUeoy8</t>
  </si>
  <si>
    <t>A small group of people are seen on a stage getting their instruments ready.</t>
  </si>
  <si>
    <t>A woman begins playing the drums while another plays piano and the others watch.</t>
  </si>
  <si>
    <t>The two continue to play their instruments and others on the side watch.</t>
  </si>
  <si>
    <t>v_dukaFaotZGc</t>
  </si>
  <si>
    <t>Two men quickly dismantle a red chimney.</t>
  </si>
  <si>
    <t>One man puts wood over the gaping hole.</t>
  </si>
  <si>
    <t>The man then covers the wood with shingles.</t>
  </si>
  <si>
    <t>v_nIpT_lGpjck</t>
  </si>
  <si>
    <t>We see a person chopping a fruit.</t>
  </si>
  <si>
    <t>The person then cuts off the chopped portion.</t>
  </si>
  <si>
    <t>The person chops the fruit again and cuts off the chopped bit.</t>
  </si>
  <si>
    <t>The person picks up a slice from the bowl and cuts it.</t>
  </si>
  <si>
    <t>We then see the person chop and cut more.</t>
  </si>
  <si>
    <t>The person picks up bits off their pants.</t>
  </si>
  <si>
    <t>v_P17kaxPrbdc</t>
  </si>
  <si>
    <t>A boy is seen holding a stick while other people watch and clap on the sidelines.</t>
  </si>
  <si>
    <t>The boy holding the stick performs a martial arts routine in front of the people and ends with a pose while everyone around him claps.</t>
  </si>
  <si>
    <t>v_S2VKbwm0uE8</t>
  </si>
  <si>
    <t>A man is seen giving the camera a piece sign while others around him talk and gear up.</t>
  </si>
  <si>
    <t>One man is then seen stepping up on a platform and jumping off the side.</t>
  </si>
  <si>
    <t>v_QF7wNOCJpMU</t>
  </si>
  <si>
    <t>A man competes in a canoe in a river moving the oar very fast.</t>
  </si>
  <si>
    <t>Then, the man pass turbulent waters.</t>
  </si>
  <si>
    <t>v_SXlSHYVNcvM</t>
  </si>
  <si>
    <t>The word ehow appears on the screen.</t>
  </si>
  <si>
    <t>We see a woman dressed in red standing in a room of a house.</t>
  </si>
  <si>
    <t>She is talking about a table in front of her.</t>
  </si>
  <si>
    <t>She picks up some furniture polish, and applies it to the wood, polishing it with a sock she has put over her hand.</t>
  </si>
  <si>
    <t>v_lwo7fssfLiw</t>
  </si>
  <si>
    <t>A woman is seen speaking to the camera while holding onto a piece of exercise equipment with her arms.</t>
  </si>
  <si>
    <t>She moves the machine back and fourth while still laughing and smiling to the camera.</t>
  </si>
  <si>
    <t>v_HEfOp_pz_j4</t>
  </si>
  <si>
    <t>In a dark crystal ball, an alien looking thing is looking at the characters inside.</t>
  </si>
  <si>
    <t>Three men are playing paper, scissor, stick and stone while creatures with different colors are watching them with shock.</t>
  </si>
  <si>
    <t>One character won by using scissor, he then talked to the people around him.</t>
  </si>
  <si>
    <t>v_8JKK6JayDeA</t>
  </si>
  <si>
    <t>A woman bends down and lifts a heavy weight over her head.</t>
  </si>
  <si>
    <t>People are sitting behind them on benches.</t>
  </si>
  <si>
    <t>Several more people keep lifting the weights.</t>
  </si>
  <si>
    <t>v_vRf9sof3dwU</t>
  </si>
  <si>
    <t>A woman is seen speaking to the camera in an aggressive manner and leads into her holding up a hula hoop.</t>
  </si>
  <si>
    <t>The woman attempts to hula hoop several times and succeeds by using it on her neck and bending down to the camera.</t>
  </si>
  <si>
    <t>v_R2izNBHhctM</t>
  </si>
  <si>
    <t>A woman in pink dress is clipping the right paw of a white cat who is sitting on her lap.</t>
  </si>
  <si>
    <t>She took the left paw to clip, the cat looked up and the woman looked down and gave her a quick kiss on the head.</t>
  </si>
  <si>
    <t>The cat looked up while the woman is clipping the right back paw of the cat.</t>
  </si>
  <si>
    <t>While the woman is clipping the left back paw, the cat was blinking to the camera.</t>
  </si>
  <si>
    <t>v_GN0TdqHETvc</t>
  </si>
  <si>
    <t>Two men are seen standing in a room and speaking to the camera while holding rackets.</t>
  </si>
  <si>
    <t>The two then continuously hit the ball around the closed area back and fourth and point to the camera with a racket and run around.</t>
  </si>
  <si>
    <t>v_l866oFamRY4</t>
  </si>
  <si>
    <t>A group of numerous people are walking down a public street.</t>
  </si>
  <si>
    <t>One couple is walking a pit bull on a leash.</t>
  </si>
  <si>
    <t>We see smoke billowing from a building as the people walk away.</t>
  </si>
  <si>
    <t>v_OVf4tUiUqA0</t>
  </si>
  <si>
    <t>Two workers are shown at a shop outdoors.</t>
  </si>
  <si>
    <t>They are washing down cars with soap, including the Maserati's tires.</t>
  </si>
  <si>
    <t>They then rinse the cars and wipe them clean.</t>
  </si>
  <si>
    <t>The final product is shown as a clean, shiny italian car.</t>
  </si>
  <si>
    <t>v_G02h5bFOpCE</t>
  </si>
  <si>
    <t>A man is holding a surf board.</t>
  </si>
  <si>
    <t>Birds fly into the sky above the water.</t>
  </si>
  <si>
    <t>He surfs the waves in the water.</t>
  </si>
  <si>
    <t>He is in the car talking.</t>
  </si>
  <si>
    <t>He surfs in the water some more.</t>
  </si>
  <si>
    <t>The birds are flying over the water again.</t>
  </si>
  <si>
    <t>v_JjUQ6dWZIL0</t>
  </si>
  <si>
    <t>A large flag is flowing in the wind.</t>
  </si>
  <si>
    <t>A man is on a street, hitting a stick with another stick.</t>
  </si>
  <si>
    <t>Two men engage in martial arts kick boxing, kicking and swinging and flipping.</t>
  </si>
  <si>
    <t>v_Xfu6WQuFEks</t>
  </si>
  <si>
    <t>A man is chopping wood in a snowy yard.</t>
  </si>
  <si>
    <t>There is a pile of snow behind him.</t>
  </si>
  <si>
    <t>The log split in two with one strike.</t>
  </si>
  <si>
    <t>v_cqgecSy943o</t>
  </si>
  <si>
    <t>A man bends over to talk to the camera.</t>
  </si>
  <si>
    <t>The man then skateboards on a ramp.</t>
  </si>
  <si>
    <t>He tries to run up the ramp without a skateboard.</t>
  </si>
  <si>
    <t>A child slides down the ramp on her butt.</t>
  </si>
  <si>
    <t>The man's skateboard gets away from him.</t>
  </si>
  <si>
    <t>The man chases his skareboard.</t>
  </si>
  <si>
    <t>The man talks to the camera.</t>
  </si>
  <si>
    <t>v_1WR4jgFCqRw</t>
  </si>
  <si>
    <t>An older gentleman in a blue shirt is painting a wooden fence.</t>
  </si>
  <si>
    <t>He picks up the paint bucket and walks up the sidewalk.</t>
  </si>
  <si>
    <t>v_6tzQ5-VBgVU</t>
  </si>
  <si>
    <t>A man is seen riding around on roller blades in a park and performs a grind while the camera slows down.</t>
  </si>
  <si>
    <t>Several more roller bladers are shown grinding around a park in various locations as well as showing several more tricks.</t>
  </si>
  <si>
    <t>The camera man holds the camera close to his face and zooms in on a man sitting and smoking.</t>
  </si>
  <si>
    <t>v_a2Y7AK4VD0o</t>
  </si>
  <si>
    <t>A girl plays a wind box instrument inside of a house.</t>
  </si>
  <si>
    <t>The woman laughs then resumes playing the song on the instrument.</t>
  </si>
  <si>
    <t>v_sNeT1WZ9UwA</t>
  </si>
  <si>
    <t>A small group of people are seen sitting on horses and leads into them riding down along a dirt path.</t>
  </si>
  <si>
    <t>The camera follows the people riding along on the horses and leads to them back at the stables.</t>
  </si>
  <si>
    <t>v_FDTkn9SFPfs</t>
  </si>
  <si>
    <t>A person holding a cat straightens the cat's paw.</t>
  </si>
  <si>
    <t>The person cuts the cat's claws with a scissor shape clipper.</t>
  </si>
  <si>
    <t>The cat attacks the the cutter.</t>
  </si>
  <si>
    <t>v_Cw5NDI8NnZU</t>
  </si>
  <si>
    <t>People are surfing on a large wave in the water.</t>
  </si>
  <si>
    <t>A boat is in the water.</t>
  </si>
  <si>
    <t>A large wave crashes in the water.</t>
  </si>
  <si>
    <t>v_s0Pw7vKtqpo</t>
  </si>
  <si>
    <t>Two people are shown and then several boats are advertised.</t>
  </si>
  <si>
    <t>After,the two people in the water surfing over large huge waves together.</t>
  </si>
  <si>
    <t>Next,people on the boat comes into the water as well as on jet skis as a man stands on top of a large cliff over the water.</t>
  </si>
  <si>
    <t>v_b1RAYvxWawA</t>
  </si>
  <si>
    <t>A camera pans all around a lake showing the trees and mountains as well as the canoe sitting in front of him.</t>
  </si>
  <si>
    <t>Another boy is seen riding along the water in a canoe as well as several others paddling by.</t>
  </si>
  <si>
    <t>More shots are shown of people riding in their canoes and capturing the scenery around them.</t>
  </si>
  <si>
    <t>v_Sma-ydx49eQ</t>
  </si>
  <si>
    <t>A man starts jump roping on a stage.</t>
  </si>
  <si>
    <t>People are in the audience watching him.</t>
  </si>
  <si>
    <t>Two men stand behind cameras filming him.</t>
  </si>
  <si>
    <t>v_snPtOKtIEA4</t>
  </si>
  <si>
    <t>A team of basketball players are shown on the right side of the court doing lay-ups.</t>
  </si>
  <si>
    <t>After several turns,they move to the left side of the court and begin practicing the lay ups once more.</t>
  </si>
  <si>
    <t>As they are going,a chair sits in front of them to serve as the marker and a man walks back and forth watching them go.</t>
  </si>
  <si>
    <t>v_Zhf052cWrv8</t>
  </si>
  <si>
    <t>A man is standing and walking in the gym.</t>
  </si>
  <si>
    <t>The man sat on the rowing machine and put his feet on the pedal.</t>
  </si>
  <si>
    <t>The man began to pull the belt.</t>
  </si>
  <si>
    <t>v_6SHSstpZN1I</t>
  </si>
  <si>
    <t>We see kids on dirt bikes on a dirt field with adults standing over them.</t>
  </si>
  <si>
    <t>The kids take off and start down the dirk track.</t>
  </si>
  <si>
    <t>The kids have a hard time turning to come up the dirt track.</t>
  </si>
  <si>
    <t>One of the boys has fallen and dropped his bike.</t>
  </si>
  <si>
    <t>We see the kids high fiveing men and women on the sidelines.</t>
  </si>
  <si>
    <t>v_i5kuZ8zlhMg</t>
  </si>
  <si>
    <t>The video is about girls varsity water polo.</t>
  </si>
  <si>
    <t>There are several girls getting ready to go to a water polo sport event.</t>
  </si>
  <si>
    <t>They are holding their backpacks and gear.</t>
  </si>
  <si>
    <t>They are traveling to the event together and check into a hotel.</t>
  </si>
  <si>
    <t>The entire team spends time together before the event.</t>
  </si>
  <si>
    <t>Two of the team members talk about their experience with the water polo event.</t>
  </si>
  <si>
    <t>The team members talk about the competition and how they fared in the sport.</t>
  </si>
  <si>
    <t>The screen shows all the final wins and loses in the girls varsity water polo.</t>
  </si>
  <si>
    <t>v_apPeChgjzs4</t>
  </si>
  <si>
    <t>A shirtless man is playing bongo drums in front of a microphone.</t>
  </si>
  <si>
    <t>There are other sets of drums to his left.</t>
  </si>
  <si>
    <t>To his right is a green bag and a hat situated on a table.</t>
  </si>
  <si>
    <t>v_0WJX2A6PSnA</t>
  </si>
  <si>
    <t>Cleaning supplies (and the list of names appear on the screen) are on an island in a kitchen.</t>
  </si>
  <si>
    <t>A woman walks in, grabs the supplies, starts spraying the sink and begins scrubbing with a sponge.</t>
  </si>
  <si>
    <t>The woman then starts rinsing the sink with the hand held sprayer until it's all clean.</t>
  </si>
  <si>
    <t>The cleaning spray is on the edge of the counter and text on the screen below it read "For tough stains repeat as necessary.</t>
  </si>
  <si>
    <t>v_g2GZd1160m4</t>
  </si>
  <si>
    <t>Two young boys perform martial arts dances.</t>
  </si>
  <si>
    <t>A group of boys around them watches on.</t>
  </si>
  <si>
    <t>Behind the performs sits a group of men playing music for the performance.</t>
  </si>
  <si>
    <t>The performers return to their seats.</t>
  </si>
  <si>
    <t>v_dB4SbhaQQV8</t>
  </si>
  <si>
    <t>A bunch of kids are standing on a soccer field and a girl is talking.</t>
  </si>
  <si>
    <t>The girl is ready to kick a red ball rolled on the ground.</t>
  </si>
  <si>
    <t>The young woman wearing blue shorts and a t-shirt runs and kicks the ball.</t>
  </si>
  <si>
    <t>The young girl slides into the first water slide.</t>
  </si>
  <si>
    <t>The girl then gets up and then slides into the second water slide.</t>
  </si>
  <si>
    <t>v_6diEN8nUqsI</t>
  </si>
  <si>
    <t>A man catch a fish from a hole in the ice.</t>
  </si>
  <si>
    <t>Then, the man holds the fish that moves on the ice.</t>
  </si>
  <si>
    <t>After, the man put a metal rod on the mouth of the fish.</t>
  </si>
  <si>
    <t>v_5SzzJMuyC_M</t>
  </si>
  <si>
    <t>A person is seen throwing plaster onto a wall while the camera follows the person close behind.</t>
  </si>
  <si>
    <t>The person gradually throws more and more onto the wall and the camera pans over the finished product.</t>
  </si>
  <si>
    <t>v_2pJTak2Qz8Q</t>
  </si>
  <si>
    <t>Lots of people are seen walking by in the beginning of the video.</t>
  </si>
  <si>
    <t>Then different people are shown skiing up ramps to do cool tricks.</t>
  </si>
  <si>
    <t>v_F79Tzy2i7bI</t>
  </si>
  <si>
    <t>A baby eats bread in a high chair.</t>
  </si>
  <si>
    <t>A person puts something in the baby's eyes.</t>
  </si>
  <si>
    <t>A person messes with the baby's hair.</t>
  </si>
  <si>
    <t>v_sYphlW-m1pU</t>
  </si>
  <si>
    <t>A young boy is sitting in front of a desktop as he plays with a Rubik cube.</t>
  </si>
  <si>
    <t>He finishes the cube and sets it on the desk and quickly stops a timer.</t>
  </si>
  <si>
    <t>He grabs the cube again and begins to complete it.</t>
  </si>
  <si>
    <t>He finishes again and starts another game of the cube.</t>
  </si>
  <si>
    <t>v_DYahQgHG1Gk</t>
  </si>
  <si>
    <t>An intro appears on the screen for a video bout a man who will be playing the rums.</t>
  </si>
  <si>
    <t>The man begins to play the drums as the camera records him.</t>
  </si>
  <si>
    <t>He pauses and people are laughing and enjoying the music.</t>
  </si>
  <si>
    <t>He pauses again and waits for a reaction from the crowd.</t>
  </si>
  <si>
    <t>the camera turns to show the people that are enjoying the music.</t>
  </si>
  <si>
    <t>v_bzHSF5GJc8o</t>
  </si>
  <si>
    <t>A group of women are wearing volleyball team uniforms standing in an indoor gym, and a young woman that has a number 10 on her shirt is bouncing the volleyball and getting ready to serve.</t>
  </si>
  <si>
    <t>The woman serves the ball and a game ensues as all the women keep the ball in the area and hit it over the net multiple times trying to keep it in bounds.</t>
  </si>
  <si>
    <t>The same woman that served the ball spikes the ball very hard ,the other team misses it and her team mates cheer.</t>
  </si>
  <si>
    <t>The same woman that served earlier serves the volleyball once again and the other team quickly spikes the ball that sends the opposing team member rolling on the ground in an attempt to save the ball from hitting the ground.</t>
  </si>
  <si>
    <t>v_9A0BwCxAKAg</t>
  </si>
  <si>
    <t>A man is seen talking to the camera and leads into him rubbing down a window.</t>
  </si>
  <si>
    <t>He streaks the window with cleaner and shows several methods on how to use a wiper properly.</t>
  </si>
  <si>
    <t>The window is all clean in the end and he is still seen talking to the camera.</t>
  </si>
  <si>
    <t>v_L6Uf3epn3zA</t>
  </si>
  <si>
    <t>Several canoes are sen laid out that leads into shots of people riding in the canoes.</t>
  </si>
  <si>
    <t>A man is seen speaking to the camera as well as riding in a canoe with another woman.</t>
  </si>
  <si>
    <t>More people are seen riding down the river in canoes while the man continues to speak.</t>
  </si>
  <si>
    <t>v_YYpeT1sH_m0</t>
  </si>
  <si>
    <t>Fit guys stand on a bleach.</t>
  </si>
  <si>
    <t>The guys play beach soccer.</t>
  </si>
  <si>
    <t>A man gives an interview.</t>
  </si>
  <si>
    <t>A player juggles two soccer balls.</t>
  </si>
  <si>
    <t>v_Ox51OBhM5Ak</t>
  </si>
  <si>
    <t>A girl in a yellow shirt is eating an ice cream cone.</t>
  </si>
  <si>
    <t>A boy in a striped shirt is sitting across from her eating an ice cream cone.</t>
  </si>
  <si>
    <t>A man next to him looks back at her.</t>
  </si>
  <si>
    <t>v_rHMMgJBUWh8</t>
  </si>
  <si>
    <t>A guy spins a ball attached to a rope.</t>
  </si>
  <si>
    <t>The guy releases the ball and rope attachment to the area behind him.</t>
  </si>
  <si>
    <t>The guy spins the ball attached to a rope and falls to the ground.</t>
  </si>
  <si>
    <t>v_9A9wnSoXs48</t>
  </si>
  <si>
    <t>A man in white shirt and white lifevest is sitting in a single orange raft.</t>
  </si>
  <si>
    <t>The man in a raft is going against the water waves, he paddles and the raft is turning in circle.</t>
  </si>
  <si>
    <t>v_ZpwXqrCxcGg</t>
  </si>
  <si>
    <t>An empty room is shown with yellow tile.</t>
  </si>
  <si>
    <t>A man in a white shirt is painting a wall.</t>
  </si>
  <si>
    <t>He turns around and looks at the camera.</t>
  </si>
  <si>
    <t>v_-9B2XtqICFw</t>
  </si>
  <si>
    <t>We see a series of title screens.</t>
  </si>
  <si>
    <t>We then see a badminton match.</t>
  </si>
  <si>
    <t>We see a illustration of badminton.</t>
  </si>
  <si>
    <t>We then see a lady and a man playing indoors.</t>
  </si>
  <si>
    <t>We see animations as the man hits the ball.</t>
  </si>
  <si>
    <t>We see a illustration of the man.</t>
  </si>
  <si>
    <t>A man is talking in a green room.</t>
  </si>
  <si>
    <t>v_zGDecqEw9AU</t>
  </si>
  <si>
    <t>Two people are seen playing a fooseball table and cheering with one another.</t>
  </si>
  <si>
    <t>The people continue playing and pausing to cheer ending with a handshake.</t>
  </si>
  <si>
    <t>v_w4CiGbHLTBg</t>
  </si>
  <si>
    <t>A green paint brush holder is shown.</t>
  </si>
  <si>
    <t>The brush of the paint brush is being shown on a person's finger.</t>
  </si>
  <si>
    <t>They are painting with the brush.</t>
  </si>
  <si>
    <t>They are dropping thinner into the paint with a dropper.</t>
  </si>
  <si>
    <t>There is a model airplane sitting on the table.</t>
  </si>
  <si>
    <t>The airplane is being painted a gold color.</t>
  </si>
  <si>
    <t>A green paint brush is being shown and turned around.</t>
  </si>
  <si>
    <t>v_73zt29iKyL4</t>
  </si>
  <si>
    <t>A person is seen walking along the snow and pulling a sled behind him.</t>
  </si>
  <si>
    <t>The person cuts a hole in the ice as well as bait and finally catches a fish.</t>
  </si>
  <si>
    <t>The man cuts the fish, cooks it, and is then seen eating it and walking away.</t>
  </si>
  <si>
    <t>v_y76trNI6U0Y</t>
  </si>
  <si>
    <t>A lady is washing a small dog in a sink.</t>
  </si>
  <si>
    <t>The lady puts shampoo on the dog.</t>
  </si>
  <si>
    <t>The lady picks the dog up again.</t>
  </si>
  <si>
    <t>The lady takes the dog over to a table and stands him up.</t>
  </si>
  <si>
    <t>She drapes the dog over a rolled up towel.</t>
  </si>
  <si>
    <t>She then picks up the dog.</t>
  </si>
  <si>
    <t>v_UJebyFqxDXI</t>
  </si>
  <si>
    <t>A man is seen speaking to the camera holding various objects and transitions into him cutting the edge of a lawn.</t>
  </si>
  <si>
    <t>He is then shown mowing lawns and trimming hedges while speaking to the camera as well as blowing leaves out of a yard.</t>
  </si>
  <si>
    <t>v_9pJZsi04xBk</t>
  </si>
  <si>
    <t>Two teams play a game of indoor field hockey.</t>
  </si>
  <si>
    <t>Teams take shots on a goal keeper that are blocked.</t>
  </si>
  <si>
    <t>The referee starts and stops the game.</t>
  </si>
  <si>
    <t>v_Lr0Vm9zBXKE</t>
  </si>
  <si>
    <t>snowy mountain range is shown and people are doing snowboarding.</t>
  </si>
  <si>
    <t>helicopter is in the air landing in a mountain leaving people in the top of the mountain.</t>
  </si>
  <si>
    <t>people are inside the helicopter talking between them.</t>
  </si>
  <si>
    <t>people start going down the slope snowboarding in the mountain.</t>
  </si>
  <si>
    <t>peolpe inside the helicopter are talking and puting the winter clothes and talking to the camera.</t>
  </si>
  <si>
    <t>v_iKnRiVXMMGg</t>
  </si>
  <si>
    <t>Scenes of women using various methods to curl their hair are shown.</t>
  </si>
  <si>
    <t>A computer graphics sequence shows one particular device's functionality.</t>
  </si>
  <si>
    <t>Several women display their curled hair.</t>
  </si>
  <si>
    <t>The curling product is once again demonstrated by several women.</t>
  </si>
  <si>
    <t>One woman's before and after pictures are shown.</t>
  </si>
  <si>
    <t>v_yGO1YnMQNRI</t>
  </si>
  <si>
    <t>A man in a green shirt throws a disc onto a field.</t>
  </si>
  <si>
    <t>A man in a blue shirt throws a disc onto the field.</t>
  </si>
  <si>
    <t>A man in a purple shirt throws a disc onto the field.</t>
  </si>
  <si>
    <t>v_8DIfyvX7H8Y</t>
  </si>
  <si>
    <t>A man works on a kite.</t>
  </si>
  <si>
    <t>Another man holding a baby holds up the kite's spool.</t>
  </si>
  <si>
    <t>A third man works on a similar kite while the second man holds a spool.</t>
  </si>
  <si>
    <t>The men fly the kites from a rooftop.</t>
  </si>
  <si>
    <t>The scene changes to a nighttime view of the sky with some unidentified light.</t>
  </si>
  <si>
    <t>v_RsHk6sq_9IY</t>
  </si>
  <si>
    <t>An advertising screen appears momentarily as the video begins.</t>
  </si>
  <si>
    <t>A group of men are shown kicking a ball back and forth in a stadium.</t>
  </si>
  <si>
    <t>The men run after the ball, attempting to capture it from the opposing team.</t>
  </si>
  <si>
    <t>A yellow circle is shown around a particular player.</t>
  </si>
  <si>
    <t>v_YJ4ynq5Adg0</t>
  </si>
  <si>
    <t>A group of kids are standing around wearing lifejackets as the camera pans around a lake.</t>
  </si>
  <si>
    <t>A man is seen sitting in a boat and the camera continues panning around the area.</t>
  </si>
  <si>
    <t>The kids wander into the boats and beginning paddling down the river.</t>
  </si>
  <si>
    <t>The water becomes more furious and the kids splash the camera man playfully.</t>
  </si>
  <si>
    <t>The continue riding down the treacherous waves as the camera watches them from afar.</t>
  </si>
  <si>
    <t>v_Te1d8H4VWYw</t>
  </si>
  <si>
    <t>A small group of people are seen swimming around a pool grabbing a ball and throwing it back and fourth.</t>
  </si>
  <si>
    <t>The people continue playing with one another and throw the ball around.</t>
  </si>
  <si>
    <t>v_JgHubY5Vw3Y</t>
  </si>
  <si>
    <t>A man and woman are talking in a room.</t>
  </si>
  <si>
    <t>A person is riding a bike down the street.</t>
  </si>
  <si>
    <t>Someone falls over after riding a bike.</t>
  </si>
  <si>
    <t>The man and woman are talking in a room.</t>
  </si>
  <si>
    <t>A bike is leaning against a fence.</t>
  </si>
  <si>
    <t>A man puts a lock around the tire of his bike.</t>
  </si>
  <si>
    <t>v_HW9c7WFW6q8</t>
  </si>
  <si>
    <t>A shot of a sunset set is shown followed by peaking smoking and walking around a paint ball pit.</t>
  </si>
  <si>
    <t>The men speak to one another and lead into running around and playing paint ball.</t>
  </si>
  <si>
    <t>They pauses for a few moments to speak to one another and the camera captures the shooters from different angles.</t>
  </si>
  <si>
    <t>v_W01QffZYsxQ</t>
  </si>
  <si>
    <t>A small child is seen laying down on a rug while the camera records them.</t>
  </si>
  <si>
    <t>The child then covers their eyes with their hands and moves their head up and down.</t>
  </si>
  <si>
    <t>Finally they smile to the camera in the end.</t>
  </si>
  <si>
    <t>v_hYgheCsbtco</t>
  </si>
  <si>
    <t>A close up is seen of chords and numbers scrolling next to the top of a guitar.</t>
  </si>
  <si>
    <t>Instructions are being given for playing the instrument.</t>
  </si>
  <si>
    <t>The person's fingers move up and down on the chords as they are shown.</t>
  </si>
  <si>
    <t>v_k6pU9VaFsZ8</t>
  </si>
  <si>
    <t>man is wearing stils and is making high jumps above a trasher bin in a parking lot.</t>
  </si>
  <si>
    <t>man is doing high jumps inf ront of the las vegas sign in the street and above a stoned wall in the street.</t>
  </si>
  <si>
    <t>v_XQ0_P0LpCFM</t>
  </si>
  <si>
    <t>Two teams are shown on a field and the man is running playing lacrosse and runs directly into the other opponent.</t>
  </si>
  <si>
    <t>Another play starts and this time another person is ran into except it is more fragrant and the person lays on the ground hurt for quite some time.</t>
  </si>
  <si>
    <t>After consulting with the referee and seeking help,the male finally gets up and the rest of the game continues.</t>
  </si>
  <si>
    <t>v_m_ST2LDe5lA</t>
  </si>
  <si>
    <t>Two people wearing scuba gear are underwater.</t>
  </si>
  <si>
    <t>They look at each other, remove their mouth pieces, then kiss.</t>
  </si>
  <si>
    <t>The man places his mouth piece back in.</t>
  </si>
  <si>
    <t>v_R3YoG3Hi4iI</t>
  </si>
  <si>
    <t>A person jumps off a boat into the water.</t>
  </si>
  <si>
    <t>A boy is long boarding down a street.</t>
  </si>
  <si>
    <t>They stop and sit on a park bench.</t>
  </si>
  <si>
    <t>A person is riding an escalator up.</t>
  </si>
  <si>
    <t>v_eZdao9O8jrw</t>
  </si>
  <si>
    <t>She shows a bottle in her hand.</t>
  </si>
  <si>
    <t>She pours some of the lotion onto her hands and rubs it on her face.</t>
  </si>
  <si>
    <t>She uses a towel to dry her face.</t>
  </si>
  <si>
    <t>v_FjfWqx-NL_w</t>
  </si>
  <si>
    <t>A little boy is in an outdoor parking lot.</t>
  </si>
  <si>
    <t>He is trying to roll around on a pair of inline skates.</t>
  </si>
  <si>
    <t>He tries to balance on a small piece of wood.</t>
  </si>
  <si>
    <t>v_gusezUdYfNA</t>
  </si>
  <si>
    <t>A man is seen speaking to the camera while holding a toilet paper roll and begins blowing smoke into the roll.</t>
  </si>
  <si>
    <t>The man continues to take several drags off a pipe and blow it out into the toilet paper roll.</t>
  </si>
  <si>
    <t>v__3lgJ6yp7o8</t>
  </si>
  <si>
    <t>A person is seen sitting in a kayak and moving himself down a rough river.</t>
  </si>
  <si>
    <t>The person continues riding down the river while another people watches on the side.</t>
  </si>
  <si>
    <t>v_XSu5dteR2Ko</t>
  </si>
  <si>
    <t>A man in a black shirt is playing a harmonica.</t>
  </si>
  <si>
    <t>Another man sits on a porch of a house.</t>
  </si>
  <si>
    <t>A woman in a white scarf turns a lantern off.</t>
  </si>
  <si>
    <t>v_-fLJHBqizNM</t>
  </si>
  <si>
    <t>A man is shown on parallel bars doing a routine on them.</t>
  </si>
  <si>
    <t>He is very focused and flipping and rocking back and forth.</t>
  </si>
  <si>
    <t>The athlete then dismounts the bars and lands on his feet.</t>
  </si>
  <si>
    <t>Various shots of the same routine are shown with pauses in between and notes as to proper technique are shown.</t>
  </si>
  <si>
    <t>v_yJN4jnk_S1U</t>
  </si>
  <si>
    <t>A woman is seen walking onto a stage performing a belly dancing routine in front of an audience.</t>
  </si>
  <si>
    <t>The woman continues dancing around the stage and ends with her posing.</t>
  </si>
  <si>
    <t>v_CIQ-mnURg9E</t>
  </si>
  <si>
    <t>woman is standing in front of a screenboard.</t>
  </si>
  <si>
    <t>man is cooking chopping carrots and sautee the vegetables in a fying pan and serving it in bowls abd out the dressing and cheese while pople behind him are watching him cook.</t>
  </si>
  <si>
    <t>v_rRoRvt4p2LU</t>
  </si>
  <si>
    <t>A small group of people are seen riding down a rough river past others while many watch on the side.</t>
  </si>
  <si>
    <t>The group continues to paddle along and meeting up with other groups at the bottom.</t>
  </si>
  <si>
    <t>v_xbWSMxwcP_8</t>
  </si>
  <si>
    <t>A young girl is seen sitting on a couch next to an adult looking down at their feet.</t>
  </si>
  <si>
    <t>The girl plays with a toy iron and moves the item up and down on a shirt.</t>
  </si>
  <si>
    <t>v_F03y7m3Nwuw</t>
  </si>
  <si>
    <t>A German man is throwing a discus in competition.</t>
  </si>
  <si>
    <t>He drops the discus and then walks away.</t>
  </si>
  <si>
    <t>A replay is shown and he looks sad.</t>
  </si>
  <si>
    <t>v_YdfWewUrcTw</t>
  </si>
  <si>
    <t>We see a man talking to two other men outside a warehouse.</t>
  </si>
  <si>
    <t>Inside the warehouse we see a box the men ride their skateboards over.</t>
  </si>
  <si>
    <t>The man falls off his skateboard repeatedly.</t>
  </si>
  <si>
    <t>He flips the skateboard, and we see it in slow motion.</t>
  </si>
  <si>
    <t>The man gets a hat, and we see the end screen.</t>
  </si>
  <si>
    <t>A man jumps on a pile of boxes and we see the end screen again.</t>
  </si>
  <si>
    <t>v_gYBIX_tGaXo</t>
  </si>
  <si>
    <t>Betty Heidler competes in the Olimpic games in the women's hammer category.</t>
  </si>
  <si>
    <t>Betty Haidler seems really focused and determined to go home with a prize.</t>
  </si>
  <si>
    <t>Betty Heidler starts spinning and then with all the momentum tossed the hammer really far away.</t>
  </si>
  <si>
    <t>Betty Heidler classified to the next round as the toss was successfull.</t>
  </si>
  <si>
    <t>Someone interviews Betty Heidler and she's really happy about qualifying to the next rounds of the game.</t>
  </si>
  <si>
    <t>v_o8wdvkauJQQ</t>
  </si>
  <si>
    <t>People workout on a fitness machine pulling a strings on a rod and going back and forth.</t>
  </si>
  <si>
    <t>A man folds a fitness machine in a gym.</t>
  </si>
  <si>
    <t>Then, a man make workouts in a fitness machine.</t>
  </si>
  <si>
    <t>v_IPehEfMBLM0</t>
  </si>
  <si>
    <t>A woman in blue shirt is chopping the wood, when she chopped the wood in half, she put them aside then she take another log and chopped it in half.</t>
  </si>
  <si>
    <t>The woman try to chop the wood in half but it won't get chopped in half, then it fell on ground and she put it back on the chopping board, and she continue to chop the wood, after several attempts she finally chopped the wood in half.</t>
  </si>
  <si>
    <t>v_uy9Z2i8AmyY</t>
  </si>
  <si>
    <t>Various picnic tables are shown on a field followed by a man putting on gear and others running through the forest.</t>
  </si>
  <si>
    <t>Several people are seen playing a paintball match with one another and continuously moving around the forest and holding up a gun.</t>
  </si>
  <si>
    <t>The person then runs through an area holding his gun up and shooting when a person arrives.</t>
  </si>
  <si>
    <t>v_YufXlj-WpEw</t>
  </si>
  <si>
    <t>The video leads into several shots of people running down a long track and jumping into a sand pit.</t>
  </si>
  <si>
    <t>More women are shown running down the track and landing into the sand pit as others watch.</t>
  </si>
  <si>
    <t>v_xmvwhxB1q30</t>
  </si>
  <si>
    <t>A man and two children paddle down a river.</t>
  </si>
  <si>
    <t>Two canoes are tied together.</t>
  </si>
  <si>
    <t>The water gets choppier as they go on.</t>
  </si>
  <si>
    <t>The river is lined with many trees.</t>
  </si>
  <si>
    <t>v_iC1C5wfb0iU</t>
  </si>
  <si>
    <t>A group of men play foosball outdoors.</t>
  </si>
  <si>
    <t>The men on the right win and shake hands and hung.</t>
  </si>
  <si>
    <t>One man high fives a child held up by a lady behind them.</t>
  </si>
  <si>
    <t>v_ihMn28mft2s</t>
  </si>
  <si>
    <t>A man sporting a beard and mustache and wearing a white shirt is giving a tutorial on volleyball safety.</t>
  </si>
  <si>
    <t>He then wears a black sweatshirt and demonstrates how to do stretching exercises.</t>
  </si>
  <si>
    <t>He continues to explain what gear to wear while playing and warming up for volleyball.</t>
  </si>
  <si>
    <t>There are some athletes playing volleyball as he talks.</t>
  </si>
  <si>
    <t>There is a game of volleyball shown where players are in an indoor gym.</t>
  </si>
  <si>
    <t>v_Sk1RSHPavBU</t>
  </si>
  <si>
    <t>We see men playing soccer in the sand.</t>
  </si>
  <si>
    <t>The ball enters and everyone runs towards the ball.</t>
  </si>
  <si>
    <t>A man on the right kicks the ball into the goal.</t>
  </si>
  <si>
    <t>The men in red all high five.</t>
  </si>
  <si>
    <t>v_zM1-aiWdPvY</t>
  </si>
  <si>
    <t>A woman is seen speaking to the camera while standing next to a horse and holding a brush.</t>
  </si>
  <si>
    <t>She begins brushing all along the horse while still speaking to the camera.</t>
  </si>
  <si>
    <t>She pauses for a moment to end while speaking to the camera.</t>
  </si>
  <si>
    <t>v_8WJWtfmEipI</t>
  </si>
  <si>
    <t>A car is stopped at a red light and there's a view of a small town that has some snow on the ground.</t>
  </si>
  <si>
    <t>The light turns green and the car drives down the street and there's no people walking on the sidewalk and just one truck parked.</t>
  </si>
  <si>
    <t>On the right side there's someone shoveling ice from the road and the car passes him.</t>
  </si>
  <si>
    <t>v_uxsZFuXKs3A</t>
  </si>
  <si>
    <t>A man is outdoors standing on a 4 step tool and swipes his hedge cutter to the right.</t>
  </si>
  <si>
    <t>The man then lifts the cutters up and begins cutting more towards his left side.</t>
  </si>
  <si>
    <t>The man stops cutting and begins to step down from the ladder.</t>
  </si>
  <si>
    <t>v_fvUckFYBQks</t>
  </si>
  <si>
    <t>A woman starts braiding her hair.</t>
  </si>
  <si>
    <t>Directions come up on the side of the screen.</t>
  </si>
  <si>
    <t>The woman turns to the side to show her braid.</t>
  </si>
  <si>
    <t>v_T3ngvDyxYiE</t>
  </si>
  <si>
    <t>Two teams are on either side of a field.</t>
  </si>
  <si>
    <t>They are holding a rope, getting ready to pull.</t>
  </si>
  <si>
    <t>The two teams begin pulling, trying to win the competition as a crowd watches.</t>
  </si>
  <si>
    <t>The yellow group begin to be pulled forward against their will.</t>
  </si>
  <si>
    <t>v_EM0N4dzewIg</t>
  </si>
  <si>
    <t>The front of a building called Giant is seen.</t>
  </si>
  <si>
    <t>Technicians are shown inside, working on bicycles.</t>
  </si>
  <si>
    <t>They work in teams, trying to build and repair.</t>
  </si>
  <si>
    <t>v_trV2ycq9rkU</t>
  </si>
  <si>
    <t>Two men are shown on the side of a building roof.</t>
  </si>
  <si>
    <t>One turns to the side, using a piece of equipment.</t>
  </si>
  <si>
    <t>They appear to be building a roof.</t>
  </si>
  <si>
    <t>v_2bnO6YWXCiU</t>
  </si>
  <si>
    <t>A man is spreading mulch around plants.</t>
  </si>
  <si>
    <t>A man is sitting at a table reading a newspaper.</t>
  </si>
  <si>
    <t>A well manicured yard is shown.</t>
  </si>
  <si>
    <t>v_8LB2tdMOZ6g</t>
  </si>
  <si>
    <t>a football game is showing and a man in the news is talking about a voleyball game.</t>
  </si>
  <si>
    <t>the set is shown with the voleyball game and some women in bikini playing white the spectators are on the grades clapping.</t>
  </si>
  <si>
    <t>back to the studio are three commentators talking.</t>
  </si>
  <si>
    <t>v_-rKS00dzFxQ</t>
  </si>
  <si>
    <t>A man and a woman stand by a table speaking to the camera.</t>
  </si>
  <si>
    <t>A recipe of mashed potatoes sits on the table.</t>
  </si>
  <si>
    <t>The man peels and cuts potatoes before throwing them into a yellow pot.</t>
  </si>
  <si>
    <t>The man throws in three handfuls of salt into the yellow pot.</t>
  </si>
  <si>
    <t>The man cuts up some garlic.</t>
  </si>
  <si>
    <t>Into the pot, the man throws the garlic along with two leaves.</t>
  </si>
  <si>
    <t>The woman joins the man at the table and she cuts butter in half.</t>
  </si>
  <si>
    <t>The woman throws the butter into a saucepan.</t>
  </si>
  <si>
    <t>The man speaks to her briefly and the woman proceeds to pour some milk into the saucepan.</t>
  </si>
  <si>
    <t>The man places the yellow pot and the saucepan on the stove.</t>
  </si>
  <si>
    <t>The man grabs the pot's lid and covers the pot.</t>
  </si>
  <si>
    <t>Back at the table, the man removes the lid from the pot and removes the leaves.</t>
  </si>
  <si>
    <t>The man mashes the potatoes.</t>
  </si>
  <si>
    <t>The man throws in a pinch of salt onto the potatoes.</t>
  </si>
  <si>
    <t>The man resumes mashing the potatoes.</t>
  </si>
  <si>
    <t>The man pours in the milk from the saucepan into the pot.</t>
  </si>
  <si>
    <t>The man mashes the potatoes some more.</t>
  </si>
  <si>
    <t>The man grabs some pepper and throws it onto the potatoes.</t>
  </si>
  <si>
    <t>The man adds some more milk.</t>
  </si>
  <si>
    <t>The man returns to mashing the potatoes and stirring them as they have thoroughly become soft.</t>
  </si>
  <si>
    <t>The man pauses for a second to throw in some water and resumes to stirring the potatoes.</t>
  </si>
  <si>
    <t>The finished mashed potatoes dish is left on a counter.</t>
  </si>
  <si>
    <t>v_45v95EtrJX0</t>
  </si>
  <si>
    <t>A close up of a board with shown with several pucks sitting around the side.</t>
  </si>
  <si>
    <t>Suddenly another puck is pushed down and knocked into others while people watch.</t>
  </si>
  <si>
    <t>v_iPc-u9aU_SQ</t>
  </si>
  <si>
    <t>Two men are crouched beside a car, and a third stands.</t>
  </si>
  <si>
    <t>They remove the tire while another man takes pictures.</t>
  </si>
  <si>
    <t>The two men change the tire, putting on a spare.</t>
  </si>
  <si>
    <t>v_RmwaWeIPX70</t>
  </si>
  <si>
    <t>A woman carry a heavy ball and stands on a circle.</t>
  </si>
  <si>
    <t>Then, the woman spins the weight.</t>
  </si>
  <si>
    <t>Then, the woman throw the weight.</t>
  </si>
  <si>
    <t>v_hog7gGdk4i4</t>
  </si>
  <si>
    <t>the kids are on the swing while one kid stand and push a little dog on the swing.</t>
  </si>
  <si>
    <t>three bikers are riding there bike in the parking lot passing the swing area.</t>
  </si>
  <si>
    <t>A women then jogs on the sidewalk passing the swing area as well.</t>
  </si>
  <si>
    <t>v_WL4iqWa_1Z0</t>
  </si>
  <si>
    <t>Two young males are sitting at a desk behind two microphones and two computers.</t>
  </si>
  <si>
    <t>One boy leaves and the other guys stays to gather his belongings.</t>
  </si>
  <si>
    <t>As he is packing up,a young woman walks in and begins shutting off the equipment and cleaning up around the radio station.</t>
  </si>
  <si>
    <t>Once everything is packed up,the boy leaves and begins blowing kisses to the camera.</t>
  </si>
  <si>
    <t>v_jzl0Ar3H5f8</t>
  </si>
  <si>
    <t>A man dressed in black walks through a long hall in a palace.</t>
  </si>
  <si>
    <t>Two men in dressed in white practice stretching and prepare for a fencing match while a coach dressed in black looks on with a butler in the rear stands by.</t>
  </si>
  <si>
    <t>The two men dressed in white put on their fencing masks and begin a fencing match.</t>
  </si>
  <si>
    <t>The coach dressed in black begins critiquing the two fencers and holds the tips of the swords in his hand.</t>
  </si>
  <si>
    <t>The coach turns and walks to the butler and begins conversing.</t>
  </si>
  <si>
    <t>v_Oj_PLXsWxL4</t>
  </si>
  <si>
    <t>A weightlifter stands on a wooden platform in a gym room and lifts heavily weighted bar bells above his head, several times while surrounded by onlookers.</t>
  </si>
  <si>
    <t>A weightlifter lifts over three bar bells above his head squatting under the weight as other gym attendees look on as he hoists the weight above his head and then allows the bell to fall to the floor.</t>
  </si>
  <si>
    <t>The man performs several more lifts of the bell bending at the knees first and then hoisting the bell to the shoulders before throwing the weight on the floor.</t>
  </si>
  <si>
    <t>The man shakes hands and hugs the onlookers when through with the demonstration.</t>
  </si>
  <si>
    <t>v_fM4pJeHb8hQ</t>
  </si>
  <si>
    <t>A woman is sitting down in a chair with a woman standing behind her.</t>
  </si>
  <si>
    <t>The woman begins to brush the woman's hair.</t>
  </si>
  <si>
    <t>She starts to braid the hair.</t>
  </si>
  <si>
    <t>v_iM8ZD2PwKDg</t>
  </si>
  <si>
    <t>There is a group of ladies in a gym dressed in workout tops and tights.</t>
  </si>
  <si>
    <t>They are all participating in a structured aerobics class.</t>
  </si>
  <si>
    <t>They are coordinating their steps and synchronizing their moves as they step on and off of the platform.</t>
  </si>
  <si>
    <t>They are dancing as they exercise to music.</t>
  </si>
  <si>
    <t>After they're done, they stop and raise remove the platforms.</t>
  </si>
  <si>
    <t>v_L9cxYlPkUYs</t>
  </si>
  <si>
    <t>An d for About dot com starts with a man in white speaking to the camera in front of a white background.</t>
  </si>
  <si>
    <t>The video then shows a series of professionals working hard and then cuts to two women running on the beach.</t>
  </si>
  <si>
    <t>A shot of a cyclist is shown and then it cuts back to the same man in white speaking.</t>
  </si>
  <si>
    <t>A woman is shown running and the man continues speaking about fitness tips.</t>
  </si>
  <si>
    <t>v_ymwMEUuXygs</t>
  </si>
  <si>
    <t>A man with a blue shirt is outside walking up a stair case into a building.</t>
  </si>
  <si>
    <t>As he walks in ,he walks down a row of several bicycles and sets up a camera.</t>
  </si>
  <si>
    <t>The man then enters another room with three other males and they begin to unbox and assemble several bicycles together.</t>
  </si>
  <si>
    <t>Once they are secured,the men get on them,testing them out and making the final touches on them.</t>
  </si>
  <si>
    <t>The bikes are finally finished and the man lifts it up to the camera and begins riding it down the sidewalk.</t>
  </si>
  <si>
    <t>v_EOvotFy4YX0</t>
  </si>
  <si>
    <t>A man is seen riding a camel that has a cart attached to the back with two passengers.</t>
  </si>
  <si>
    <t>The people in the back have a conversation while riding through several people watching on the sidelines.</t>
  </si>
  <si>
    <t>The man riding the camel smiles and waves to the camera.</t>
  </si>
  <si>
    <t>v_wZEf-Bs__sU</t>
  </si>
  <si>
    <t>A group of athletes are on a track outside.</t>
  </si>
  <si>
    <t>A man walks down the path, then runs.</t>
  </si>
  <si>
    <t>He takes a giant leap into a sand pit.</t>
  </si>
  <si>
    <t>v_pI-rY6fLM1Q</t>
  </si>
  <si>
    <t>A group of people ice fish on an ice covered lake on an overcast day.</t>
  </si>
  <si>
    <t>A man walks on a snow covered lake and pulls a fish out of a fishing hole.</t>
  </si>
  <si>
    <t>A woman and a man then run on the ice and pull another fish out of another hole in the lake.</t>
  </si>
  <si>
    <t>A third fish is pulled out of another hole in the ice and then thrown back into the hole.</t>
  </si>
  <si>
    <t>v_BN3ejP3RbkQ</t>
  </si>
  <si>
    <t>A man is sitting on a street.</t>
  </si>
  <si>
    <t>He is playing an instrument next to an open instrument case.</t>
  </si>
  <si>
    <t>People are passing on the sidewalk in front of him.</t>
  </si>
  <si>
    <t>v_D4LoDBsIFjw</t>
  </si>
  <si>
    <t>A boy watches as a semi truck drives through the desert.</t>
  </si>
  <si>
    <t>A man puts on his helmet and pushes off into the river on a kayak.</t>
  </si>
  <si>
    <t>A man paddles on rapids and down a river on a kayak.</t>
  </si>
  <si>
    <t>A man fishes from a beach on the shore of a river.</t>
  </si>
  <si>
    <t>A group prepares a picnic on the shore.</t>
  </si>
  <si>
    <t>A man flips over on his kayak from being turned over in the water.</t>
  </si>
  <si>
    <t>v_uHPrH22rPgU</t>
  </si>
  <si>
    <t>A guy is throwing darts across the room.</t>
  </si>
  <si>
    <t>The speed of the clip is quickened.</t>
  </si>
  <si>
    <t>v_7LkHBg_eAfU</t>
  </si>
  <si>
    <t>A man and woman are standing in a dance position.</t>
  </si>
  <si>
    <t>They then shift, showing different steps slowly.</t>
  </si>
  <si>
    <t>They continue dancing, showing how to perform different moves.</t>
  </si>
  <si>
    <t>v_p2RMXdo5avw</t>
  </si>
  <si>
    <t>A shuffleboard is sitting against a wall.</t>
  </si>
  <si>
    <t>Someone throws a ball down it.</t>
  </si>
  <si>
    <t>A green ball gets through down after it.</t>
  </si>
  <si>
    <t>v_dh4bxvmrCNs</t>
  </si>
  <si>
    <t>The girl is shoot the arrow.</t>
  </si>
  <si>
    <t>Five young people are shooting arrows.</t>
  </si>
  <si>
    <t>The young people removed the arrows from the target boards.</t>
  </si>
  <si>
    <t>v_tYZJ4O5Hsz4</t>
  </si>
  <si>
    <t>A little girl plays softly the drums holding two sticks while she is singing on a microphone.</t>
  </si>
  <si>
    <t>The, the girl plays more fast the drums.</t>
  </si>
  <si>
    <t>v_WBRQ4vHBFMY</t>
  </si>
  <si>
    <t>A woman is laying down in a chair as a man with gloves works.</t>
  </si>
  <si>
    <t>He places clamps on various parts of her nose.</t>
  </si>
  <si>
    <t>He then inserts a rod before creating a piercing.</t>
  </si>
  <si>
    <t>v_xZOzVaTezm8</t>
  </si>
  <si>
    <t>A person in a green jacket walks around on the snow.</t>
  </si>
  <si>
    <t>A young girl lays in a tube on the snow.</t>
  </si>
  <si>
    <t>She is then pushed down the ramp.</t>
  </si>
  <si>
    <t>Eventually she comes to a stop.</t>
  </si>
  <si>
    <t>v_VCg6_fuipp8</t>
  </si>
  <si>
    <t>An athletic man is seen standing ready in front of a large crowd and then runs down the track and jumps over a beam.</t>
  </si>
  <si>
    <t>The man celebrates with other people and his same jump is shown several times in slow motion.</t>
  </si>
  <si>
    <t>v_mRe2xY_amWw</t>
  </si>
  <si>
    <t>The video leads into various text shown across the screen followed by cheerleaders performing a routine.</t>
  </si>
  <si>
    <t>Several shots of cheer leading performers are shown completing impressive stunts and moving across a stage while others watch.</t>
  </si>
  <si>
    <t>v_VEDRmPt_-Ms</t>
  </si>
  <si>
    <t>women are in a gymnastics competition doing high jumps in a roofed gym with a lot of people gathered around them watching them.</t>
  </si>
  <si>
    <t>participants are on the podium receiveng thei medals.</t>
  </si>
  <si>
    <t>v_ggGw9EGSMs8</t>
  </si>
  <si>
    <t>A man paints a fence as the man next to him waters the fence.</t>
  </si>
  <si>
    <t>Both of them go over the fence a second time.</t>
  </si>
  <si>
    <t>They do it a third time.</t>
  </si>
  <si>
    <t>And they do it a fourth time.</t>
  </si>
  <si>
    <t>They do it a fifth time.</t>
  </si>
  <si>
    <t>v_mi_zRluISrE</t>
  </si>
  <si>
    <t>A construction worker named Dave begins to show you how to grout.</t>
  </si>
  <si>
    <t>He starts on the wall and begins to explain what he is doing and why he is doing.</t>
  </si>
  <si>
    <t>Once the grout begins to dry he informs you that you should wipe it down with a sponge various times.</t>
  </si>
  <si>
    <t>With a finer sponge you go over it again and get it out while wet so it doesn't ruin the tile and all the work you have done.</t>
  </si>
  <si>
    <t>v_R4aCl2dLS1w</t>
  </si>
  <si>
    <t>A man is seen wearing boxing gloves and hitting a bag in the middle of a large room.</t>
  </si>
  <si>
    <t>The man continues to hit the bag while several others are seen hitting bags in the background.</t>
  </si>
  <si>
    <t>He kicks and punches the bag and ends by walking towards the camera.</t>
  </si>
  <si>
    <t>v_O2vrVwjqktg</t>
  </si>
  <si>
    <t>A volleyball is spinning on a ledge.</t>
  </si>
  <si>
    <t>We then see a game being played of table tennis, the players showing the mechanics of the paddle, ball, and table as they play.</t>
  </si>
  <si>
    <t>v_byO53jHoAwI</t>
  </si>
  <si>
    <t>A man standing in a yard and playing bagpipes.</t>
  </si>
  <si>
    <t>The man is taking deep breaths and moving the keys.</t>
  </si>
  <si>
    <t>v_vrMWYB0UuGM</t>
  </si>
  <si>
    <t>Two individuals play squash together in an indoor court.</t>
  </si>
  <si>
    <t>One of the individuals recovers the ball and serves.</t>
  </si>
  <si>
    <t>The same individual recovers the ball and serves again.</t>
  </si>
  <si>
    <t>v_cB5ozEChN5Q</t>
  </si>
  <si>
    <t>People ride a line up a hill in a tubing resort.</t>
  </si>
  <si>
    <t>A person rides a tube down a hill.</t>
  </si>
  <si>
    <t>We watch the people walking up the hill holding their tubes and watch people go down the hill.</t>
  </si>
  <si>
    <t>We watch as the camera man goes down the hill.</t>
  </si>
  <si>
    <t>v_u3nOmvgcs84</t>
  </si>
  <si>
    <t>A girl stands by a counter with various food items placed out on the counter.</t>
  </si>
  <si>
    <t>She holds up the ingredients and instructs what you'll need to make a sandwich.</t>
  </si>
  <si>
    <t>She begins chopping the vegetables and putting the dressing on the bread.</t>
  </si>
  <si>
    <t>She spreads around the dressing and puts the other ingredients on the sandwich to finish.</t>
  </si>
  <si>
    <t>v_Irmh66trRY4</t>
  </si>
  <si>
    <t>We see the title go across the screen.</t>
  </si>
  <si>
    <t>We see baking supplies and ingredients.</t>
  </si>
  <si>
    <t>Someone stirs cookie dough and puts cookies on a sheet.</t>
  </si>
  <si>
    <t>The cookies go into the oven and bake for 9 minutes, and a new batch is put in the oven.</t>
  </si>
  <si>
    <t>The warm cookies are put on a cooling rack.</t>
  </si>
  <si>
    <t>The person washes, and drys the silicone baking sheet.</t>
  </si>
  <si>
    <t>They roll the baking sheet up and show us the finished cooling cookies.</t>
  </si>
  <si>
    <t>v_MfSdXqOC-f0</t>
  </si>
  <si>
    <t>A man is standing on an open field outdoors.</t>
  </si>
  <si>
    <t>He uses an archery set to pull back and arrow at a flying disc.</t>
  </si>
  <si>
    <t>He hits the discs with the arrow every time.</t>
  </si>
  <si>
    <t>v_Ft3SzVtUsKA</t>
  </si>
  <si>
    <t>A camera is shown sitting on the side of a pool capturing bubble underneath.</t>
  </si>
  <si>
    <t>More bubbles are shown followed by a man jumping in.</t>
  </si>
  <si>
    <t>The man jumps all the way into the pool and the camera captures his movements.</t>
  </si>
  <si>
    <t>v_QaNQrUpmmgo</t>
  </si>
  <si>
    <t>A woman in an orange shirt is sitting on an exercise machine.</t>
  </si>
  <si>
    <t>People are walking past a window behind her.</t>
  </si>
  <si>
    <t>v__zAfwnDt4VE</t>
  </si>
  <si>
    <t>A man is kneeling down in the dirt over a a silver bowl that is full of soap.</t>
  </si>
  <si>
    <t>In the large bowl,he begins to move a white shirt as if he is washing it.</t>
  </si>
  <si>
    <t>Finally,he stops and takes a hose to finish rinsing the water.</t>
  </si>
  <si>
    <t>v_XoCvj2IbVGE</t>
  </si>
  <si>
    <t>A person;s hand is seen turning a knob followed by their foot stepping on a button and a man holding up an iron.</t>
  </si>
  <si>
    <t>He adjusts more settings While testing the iron and begins ironing a shirt on a table.</t>
  </si>
  <si>
    <t>The men continues to flip around the shirt and iron and en by showing off the ironing machine to the camera.</t>
  </si>
  <si>
    <t>v_ItFq_6cIByw</t>
  </si>
  <si>
    <t>A man sits behind a drum set.</t>
  </si>
  <si>
    <t>The man starts playing the drum set.</t>
  </si>
  <si>
    <t>The man keeps playing the drums.</t>
  </si>
  <si>
    <t>v_980U7SiE0Nk</t>
  </si>
  <si>
    <t>Two girls are seen standing on a gymnasium floor in front of a large crowd.</t>
  </si>
  <si>
    <t>The girls then begin dancing around the area while twirling batons in their hands.</t>
  </si>
  <si>
    <t>They continue to spin around one another and end by holding a pose.</t>
  </si>
  <si>
    <t>v_N-92_rikI8U</t>
  </si>
  <si>
    <t>There's a man skiing down a very steep mountain slope.</t>
  </si>
  <si>
    <t>The man is going down very fast and steadily while fully dressed in ski gear and goggles.</t>
  </si>
  <si>
    <t>He then falls down to the ground as he reaches the bottom of the slope.</t>
  </si>
  <si>
    <t>He gets right back up and dusts off the snow from his clothes.</t>
  </si>
  <si>
    <t>He talks to another person through a hands free device attached on his coat to let him know he's okay.</t>
  </si>
  <si>
    <t>v_mcS9LX_P4BA</t>
  </si>
  <si>
    <t>an image of a girl with her vlog asking people to subscribe.</t>
  </si>
  <si>
    <t>a girl wearing red hirt with her face is sitting on a living room and is reading tweets and talking about them.</t>
  </si>
  <si>
    <t>girl holds a small pumpkin and a knife and cut the pumpkin while talking.</t>
  </si>
  <si>
    <t>the pumkkin is slice in two and is shown the inside while the girl keps talking and reading tweets.</t>
  </si>
  <si>
    <t>v_8ltNqT5N-xs</t>
  </si>
  <si>
    <t>A woman is seen belly dancing on a large stage while people watch her on the side.</t>
  </si>
  <si>
    <t>She moves her hips all around while a band plays instruments behind her.</t>
  </si>
  <si>
    <t>The woman continues dancing and ends by holding a pose and flipping back her hair.</t>
  </si>
  <si>
    <t>v_k4a5XXRYKK4</t>
  </si>
  <si>
    <t>A game of lacrosse of being shown with a large group of people running around a field.</t>
  </si>
  <si>
    <t>Several people watch on the sidelines as the game continues and a ref steps in to make a call.</t>
  </si>
  <si>
    <t>v_q_DajTs5gIA</t>
  </si>
  <si>
    <t>A person holds and pet a hairless cat.</t>
  </si>
  <si>
    <t>The person cleans and cuts the nails of the front legs of the cat.</t>
  </si>
  <si>
    <t>v_Fi_ja3Urdtg</t>
  </si>
  <si>
    <t>A man is talking from behind a bar.</t>
  </si>
  <si>
    <t>He shows off several kinds of bottles and taps.</t>
  </si>
  <si>
    <t>He shows how to mix a drink which he serves to a woman.</t>
  </si>
  <si>
    <t>v_XFZ5_uNU7jE</t>
  </si>
  <si>
    <t>A person peels potatoes in a sink, suddenly a cat jumps to the bench to watch the woman.</t>
  </si>
  <si>
    <t>The cat touch the sink with his mouth and intend to pass to the other side of the sink but the woman prevents it.</t>
  </si>
  <si>
    <t>Then, the cat drinks water from the sink and cat continues watching the woman.</t>
  </si>
  <si>
    <t>After, the cat touch the potato peeler with a leg while the person continue peeling the potatoes.</t>
  </si>
  <si>
    <t>v_86S2O0fpX4g</t>
  </si>
  <si>
    <t>A woman is lying on equipment in a gym.</t>
  </si>
  <si>
    <t>She has her feet tied with chain to a machine.</t>
  </si>
  <si>
    <t>She holds her head as she pulls her feet back and forth.</t>
  </si>
  <si>
    <t>v_JrRtv8puAZI</t>
  </si>
  <si>
    <t>A guy holds a light cloth.</t>
  </si>
  <si>
    <t>A guy gets a white basin from beneath the sink and fills it with water in a sink.</t>
  </si>
  <si>
    <t>The guy puts down the light cloth and adds dish soap to the basin.</t>
  </si>
  <si>
    <t>The guy gets a rack from beneath the sink and places it on the counter top.</t>
  </si>
  <si>
    <t>The guy adds utensils and a dish to the white basin and washes them with a red rug.</t>
  </si>
  <si>
    <t>A boy watches from behind.</t>
  </si>
  <si>
    <t>The guy rinses the dishes and puts them in a rack.</t>
  </si>
  <si>
    <t>The guy dries the dish with the light cloth.</t>
  </si>
  <si>
    <t>v_vSpl69BWMKI</t>
  </si>
  <si>
    <t>A man in gray shirt and jeans with orange helmet is trimming the hedges, he is standing in a ladder to reach the top of the hedge and trim it, the man continue to trim the hedge.</t>
  </si>
  <si>
    <t>A man in white shirt and orange helmet is trimming the burned hedges.</t>
  </si>
  <si>
    <t>v_2u1gdf_53C0</t>
  </si>
  <si>
    <t>A person in a protective white suit and goggles sprays a surface with purple paint using a spray gun in a room with white walls and floors.</t>
  </si>
  <si>
    <t>The person then spins the surface around on a spinning table and paints the sides.</t>
  </si>
  <si>
    <t>The finishes matte product is shown, dried, in the plain white room where the painting happened.</t>
  </si>
  <si>
    <t>v_C8hdbmjUMRc</t>
  </si>
  <si>
    <t>man is standing in a room mixing cement on a bucket.</t>
  </si>
  <si>
    <t>the man grabs the mix and spread it in the floor and put white tiles.</t>
  </si>
  <si>
    <t>the man sweeps the floor and spread cement again to put the tiles in the remaining part of the room.</t>
  </si>
  <si>
    <t>v_uX-UwKfRvJY</t>
  </si>
  <si>
    <t>The video begins with four pictures of contracted human abdomens.</t>
  </si>
  <si>
    <t>There's a young girl dressed in a blue tank top and black tights demonstrating the proper way to do planks and crunches.</t>
  </si>
  <si>
    <t>She is laying on a blue Yoga mat as she does crunches.</t>
  </si>
  <si>
    <t>Then she lays on her stomach by raising herself up on her elbows to show how to do planks.</t>
  </si>
  <si>
    <t>v_P0N68OQDhNs</t>
  </si>
  <si>
    <t>An athlete in black shirt gives instructions for a practice drill while standing on a large sporting field.</t>
  </si>
  <si>
    <t>The man sets up for an exercise and squats up and down for practice.</t>
  </si>
  <si>
    <t>The man jumps multiple times and goes further each jump.</t>
  </si>
  <si>
    <t>The man bends down and touches the ground while twisting.</t>
  </si>
  <si>
    <t>The man gives more instructions on a practice run while giving hand gestures.</t>
  </si>
  <si>
    <t>The man sets up on the edge of a line and jumps with one foot, then repeats.</t>
  </si>
  <si>
    <t>The man gives a final set of instructions while breathing heavy.</t>
  </si>
  <si>
    <t>A set of text is seen with information.</t>
  </si>
  <si>
    <t>v_OdLcbH2H_zI</t>
  </si>
  <si>
    <t>An arrow graphic is seen and title text.</t>
  </si>
  <si>
    <t>A woman stands on a dark lit room holding an accordion and demonstrating how to play it.</t>
  </si>
  <si>
    <t>The woman begins to play a song pressing in the keys.</t>
  </si>
  <si>
    <t>The woman pauses to discuss then plays more of the song.</t>
  </si>
  <si>
    <t>The woman finishes and closes the accordion.</t>
  </si>
  <si>
    <t>v_Mgvj2B6MyjI</t>
  </si>
  <si>
    <t>A girl is nervous on the edge of a diviing board.</t>
  </si>
  <si>
    <t>She falls in after standing up and then squatting again.</t>
  </si>
  <si>
    <t>v_eWG5T3TC_cg</t>
  </si>
  <si>
    <t>A marching band walk in the street playing instruments while a woman on front holds a flag.</t>
  </si>
  <si>
    <t>A boy on front the band holds a rode and raise and spin around.</t>
  </si>
  <si>
    <t>Then, band arrives and pass a traffic light.</t>
  </si>
  <si>
    <t>v_k1WnO7UeBJ8</t>
  </si>
  <si>
    <t>Two people are shown walking around with a rug over their shoulders and walk inside a building.</t>
  </si>
  <si>
    <t>They open the rug then pull out measuring tape and hammer down the rug.</t>
  </si>
  <si>
    <t>They then put plaster all over the floor and present the finished product of the rug by shaking hands with the owners and smiling for pictures.</t>
  </si>
  <si>
    <t>v_AffS41W1Jgg</t>
  </si>
  <si>
    <t>A man is seen speaking to the camera and leads into him laying up wallpaper on the wall.</t>
  </si>
  <si>
    <t>He continues speaking to the camera while still spreading paper on the wall.</t>
  </si>
  <si>
    <t>v_iGOGz6M_zcE</t>
  </si>
  <si>
    <t>A woman is washing her face in a sink.</t>
  </si>
  <si>
    <t>She looks in a mirror in front of her.</t>
  </si>
  <si>
    <t>She continues wiping her face.</t>
  </si>
  <si>
    <t>v_LYrqEz_vttQ</t>
  </si>
  <si>
    <t>A dog is sitting on an orange couch.</t>
  </si>
  <si>
    <t>A dog is sitting in a bath tub getting a bath.</t>
  </si>
  <si>
    <t>A person is drying the dog with a towel.</t>
  </si>
  <si>
    <t>The dog is getting blow dried with a hair dryer.</t>
  </si>
  <si>
    <t>v_h61C_KfvG0Y</t>
  </si>
  <si>
    <t>The logo "Weldy" appears over a photo of welding tools.</t>
  </si>
  <si>
    <t>The words "energy 1600" and the Weldy website address appears.</t>
  </si>
  <si>
    <t>A man is working on a white rooftop with one of the Weldy tools.</t>
  </si>
  <si>
    <t>"energy 1600" and the website appears on screen again.</t>
  </si>
  <si>
    <t>v_PeMJjLrDjhQ</t>
  </si>
  <si>
    <t>A woman is seen speaking to the camera while turning on a faucet.</t>
  </si>
  <si>
    <t>She then pumps soap off and scrubs her hands.</t>
  </si>
  <si>
    <t>She runs her hands under the sink and ends by drying her hands and walking out to put hand sanitizor on.</t>
  </si>
  <si>
    <t>v_uOxKf-kNEyg</t>
  </si>
  <si>
    <t>A woman is using polish in a container to polish a black shoe.</t>
  </si>
  <si>
    <t>She talks to the camera as she works.</t>
  </si>
  <si>
    <t>Black polish is shown dripping onto her legs.</t>
  </si>
  <si>
    <t>v_JyjONoyBr4Q</t>
  </si>
  <si>
    <t>There is a lady dog trainer dressed in a blue hoodie playing with a black and white dog in a park.</t>
  </si>
  <si>
    <t>She is throwing a Frisbee to the dog and makes the dog fetch it for her.</t>
  </si>
  <si>
    <t>The dog runs every time she throws the Frisbee at a distance and fetches it for her.</t>
  </si>
  <si>
    <t>The doh jumps high up to grab the Frisbee off her hand.</t>
  </si>
  <si>
    <t>He dog even jumps over the lady when she is laying on the ground.</t>
  </si>
  <si>
    <t>He continues to run and fetch the Frisbee for the lady as she throws multiple Frisbee.</t>
  </si>
  <si>
    <t>The same lady is now wearing an orange shirt and is throwing the Frisbee to the dog.</t>
  </si>
  <si>
    <t>The dog continues to jump and catch the Frisbee in his mouth.</t>
  </si>
  <si>
    <t>v_qmOYKPkURiw</t>
  </si>
  <si>
    <t>A young boy is standing outside watching another person play their bag pipes.</t>
  </si>
  <si>
    <t>Several people walk by and a lady stops and throws money into the person's case.</t>
  </si>
  <si>
    <t>v_35DlDj_hzvg</t>
  </si>
  <si>
    <t>A man is seen bending forward and holding onto a set of weights while gripping tightly.</t>
  </si>
  <si>
    <t>The man then lifts the weight over his end and throws it down in the end.</t>
  </si>
  <si>
    <t>v_6-P9SRNbwac</t>
  </si>
  <si>
    <t>Two young friends are together on a sandy beach.</t>
  </si>
  <si>
    <t>First the girl on the right speaks, and then her friend in a purple t-shirt speaks next.</t>
  </si>
  <si>
    <t>She finishes by turning to her friend and they get up, grabbing hands, and exit the scene to the right.</t>
  </si>
  <si>
    <t>Next we see them again seated on the sand facing each other as they begin to build something in the sand.</t>
  </si>
  <si>
    <t>The focus is shifted to one girl, who speaks, and finishes by writing something in the sand.</t>
  </si>
  <si>
    <t>v_1Om21fCH1sI</t>
  </si>
  <si>
    <t>Various clips are shown of people riding around on bikes as well as sitting on bikes ready to race.</t>
  </si>
  <si>
    <t>Several clips are shown of people up close as well as them riding around on bikes.</t>
  </si>
  <si>
    <t>v_yiFKPKXevOU</t>
  </si>
  <si>
    <t>A man puts a wood upright on a tree stump.</t>
  </si>
  <si>
    <t>A guy is splitting wood into halves.</t>
  </si>
  <si>
    <t>A guy repeatedly tries to cut a wood.</t>
  </si>
  <si>
    <t>v_zqXJkZgKmSk</t>
  </si>
  <si>
    <t>A ball flies through he air on a baseball field.</t>
  </si>
  <si>
    <t>The person with the camera takes off running.</t>
  </si>
  <si>
    <t>The runner stops on the home base and turns around.</t>
  </si>
  <si>
    <t>We see the people at the back of the field.</t>
  </si>
  <si>
    <t>v_3pBldeB3uaE</t>
  </si>
  <si>
    <t>A large group of people are seen standing around a pool as well as people writing on paper and speaking to one another.</t>
  </si>
  <si>
    <t>More people are seen diving on a board and jumping off onto the side.</t>
  </si>
  <si>
    <t>Several people are seen watching on the side as the kids continue to dive.</t>
  </si>
  <si>
    <t>v_O_bDLIcx5k0</t>
  </si>
  <si>
    <t>A drawing of airplanes and machineries are being use, then pictures of men and a woman.</t>
  </si>
  <si>
    <t>A man in blue shirt is brushing a paint to an airplane model, then he paint a different color to make the plane looks like a camouflage.</t>
  </si>
  <si>
    <t>v_pOIJeK3YZr8</t>
  </si>
  <si>
    <t>A man is sitting next to several small trees.</t>
  </si>
  <si>
    <t>He pulls some leaves off of the trees.</t>
  </si>
  <si>
    <t>He takes scissors and cuts some leaves off the tree.</t>
  </si>
  <si>
    <t>v_LdAT5MEBkuQ</t>
  </si>
  <si>
    <t>A man water skiis at a river.</t>
  </si>
  <si>
    <t>A long haired man operates a boat and the boat drags a man water skiing across the water.</t>
  </si>
  <si>
    <t>A guy holding onto a rope attached to a boat water skiis.</t>
  </si>
  <si>
    <t>The man in the glasses appears again, speaking to the camera and points to a man water skiing on the river.</t>
  </si>
  <si>
    <t>The water skiier glides back and forth on the water of the river.</t>
  </si>
  <si>
    <t>The man in glasses talks about the water skiis.</t>
  </si>
  <si>
    <t>v_0ys4fnsu9Jc</t>
  </si>
  <si>
    <t>A small child is seen standing on a trampoline and throwing a ball off into the distance.</t>
  </si>
  <si>
    <t>More kids are seen picking up balls and throwing them to the other side.</t>
  </si>
  <si>
    <t>More kids are seen throwing balls and playing dodgeball with one another.</t>
  </si>
  <si>
    <t>v_VqZr2oZk4z4</t>
  </si>
  <si>
    <t>Various shots are shown of scuba divers moving along the water as well as people riding and riding boats.</t>
  </si>
  <si>
    <t>More clips are shown of people getting ready on land as well as swimming around the ocean.</t>
  </si>
  <si>
    <t>v_mU3ujj4Z7lE</t>
  </si>
  <si>
    <t>A small dog is seen standing in snow and a person pushing snow with a shovel.</t>
  </si>
  <si>
    <t>The dog follows the person shoveling while biting at the shovel and barking at the camera man.</t>
  </si>
  <si>
    <t>v_ESsUwNlkJoo</t>
  </si>
  <si>
    <t>The letters RPM appear on the screen.</t>
  </si>
  <si>
    <t>A room is filled with people riding exercise bikes.</t>
  </si>
  <si>
    <t>They go as fast as they can, advertising a fitness gym.</t>
  </si>
  <si>
    <t>v_krqxyYFHzBI</t>
  </si>
  <si>
    <t>People start fighting outside on the ground.</t>
  </si>
  <si>
    <t>They knock a man onto the ground.</t>
  </si>
  <si>
    <t>They lift him up in the air and slam him back on the ground.</t>
  </si>
  <si>
    <t>v_ivkkCEynzPs</t>
  </si>
  <si>
    <t>A man wears a welding helmet and holds a rod.</t>
  </si>
  <si>
    <t>Then, the man use the road to held a piece of metal on the floor.</t>
  </si>
  <si>
    <t>v_U-N92yQynQA</t>
  </si>
  <si>
    <t>There is a badminton ladies double match taking place in an indoor court.</t>
  </si>
  <si>
    <t>There are several spectators watching the match as the doubles partners hit the shuttlecock with their rackets.</t>
  </si>
  <si>
    <t>The crowd cheers on as the match goes on and the players hit with their rackets back and forth.</t>
  </si>
  <si>
    <t>v_GXEuuWhEMCY</t>
  </si>
  <si>
    <t>A man stands, screaming loudly as he lifts a barbell.</t>
  </si>
  <si>
    <t>He lifts a weight above his head.</t>
  </si>
  <si>
    <t>Another man is shown lifting a weight as a crowd watches.</t>
  </si>
  <si>
    <t>Several weight lifters continue lifting barbells.</t>
  </si>
  <si>
    <t>A man is shown lying down as he is injured.</t>
  </si>
  <si>
    <t>v_HJws_Cwu3qE</t>
  </si>
  <si>
    <t>Two men are seen standing around a room and begin hitting a ball while others watch.</t>
  </si>
  <si>
    <t>More men appear in the room and are seen chasing around a tennis ball and hitting it.</t>
  </si>
  <si>
    <t>v_A1U24_iC6ww</t>
  </si>
  <si>
    <t>Cement is being made in the cement mixer.</t>
  </si>
  <si>
    <t>Three Hispanic men are laying the foundation of the pool with a cement gun.</t>
  </si>
  <si>
    <t>A man that is dressed in white is doing the cement finish as the other men lay the cement with a gun.</t>
  </si>
  <si>
    <t>Once the cement is done all the men start to do finish.</t>
  </si>
  <si>
    <t>v_dgXPoqHrKRM</t>
  </si>
  <si>
    <t>Skiers walk and stand on skis at the bottom of the hill at of a ski resort.</t>
  </si>
  <si>
    <t>Kids ride on inflatable tubes down lanes on a ski slope.</t>
  </si>
  <si>
    <t>Snowboarders and skiers ride down ski runs while other groups sit on the ski lift.</t>
  </si>
  <si>
    <t>A group hangs onto a tow rope on inter tubes and throws snowballs.</t>
  </si>
  <si>
    <t>v_Zsaa3XXIAhk</t>
  </si>
  <si>
    <t>A man plays a song on an acoustic guitar in a studio.</t>
  </si>
  <si>
    <t>The man resets his hands and finishes the song.</t>
  </si>
  <si>
    <t>v_Nb87GFizCB8</t>
  </si>
  <si>
    <t>A woman walks through a snowy parking lot, looking for her car.</t>
  </si>
  <si>
    <t>She is seen using a mop in an attempt to wipe the snow off her car.</t>
  </si>
  <si>
    <t>Snow begins to fall as she continues cleaning.</t>
  </si>
  <si>
    <t>v_oXPgInpuHDA</t>
  </si>
  <si>
    <t>A group of cheerleaders perform in the middle of a basketball court while an audience watches.</t>
  </si>
  <si>
    <t>A man walks through the bottom of the frame.</t>
  </si>
  <si>
    <t>The cheerleaders finish, and a group of younger cheerleaders replace them.</t>
  </si>
  <si>
    <t>v_oHDeMg1ZFp8</t>
  </si>
  <si>
    <t>A man is talking and standing in a kitchen wearing a white robe and a lot of colorful vegetables in front of him.</t>
  </si>
  <si>
    <t>Now the vegetables are gone and the man is now scooping something from a little bowl onto a white plate that is sitting on a wooden cutting board.</t>
  </si>
  <si>
    <t>The man then begins to break the contents up with his utensil and then his hands until they are into separate pieces.</t>
  </si>
  <si>
    <t>v_4Y94njisJd0</t>
  </si>
  <si>
    <t>A young man in a black shirt hits a small ball against the wall.</t>
  </si>
  <si>
    <t>A man in a red shirt hands the ball to him with his racket.</t>
  </si>
  <si>
    <t>The young man hits the ball against the wall again.</t>
  </si>
  <si>
    <t>A group of men walk around trying to hit the ball.</t>
  </si>
  <si>
    <t>The young man in the black shirt hands the ball to the man in the red shirt.</t>
  </si>
  <si>
    <t>The man in the red shirt hits the ball against the wall.</t>
  </si>
  <si>
    <t>The group of men run around the court, swinging their rackets and trying to catch the ball.</t>
  </si>
  <si>
    <t>v_whwserG3XGc</t>
  </si>
  <si>
    <t>team wearing yellow uniform are running in a field.</t>
  </si>
  <si>
    <t>photographers are standing in he ield taking pictures of the yellow and blue team.</t>
  </si>
  <si>
    <t>teams start to pla lacrosse in a big gren grassy field.</t>
  </si>
  <si>
    <t>v_bXEG4X7pRds</t>
  </si>
  <si>
    <t>The lady picks up a brush and scissors.</t>
  </si>
  <si>
    <t>She sweeps the base of the stand.</t>
  </si>
  <si>
    <t>She brushes the dogs right leg.</t>
  </si>
  <si>
    <t>She then clips the hair on this paw.</t>
  </si>
  <si>
    <t>She brushes the fur upwards.</t>
  </si>
  <si>
    <t>She then clips the fur on the paw again.</t>
  </si>
  <si>
    <t>She brushes his paw again.</t>
  </si>
  <si>
    <t>She then clips the fur on the paw another time.</t>
  </si>
  <si>
    <t>She then combs the cut hair off the paw.</t>
  </si>
  <si>
    <t>She clips the hair off the back of the paw.</t>
  </si>
  <si>
    <t>Fade to black, and the credits occur.</t>
  </si>
  <si>
    <t>v_fRLDhkPqrTE</t>
  </si>
  <si>
    <t>A lady looks behind her with delight.</t>
  </si>
  <si>
    <t>The lady plays a black piano.</t>
  </si>
  <si>
    <t>The lady looks to her side.</t>
  </si>
  <si>
    <t>v_qwBFQf5STBA</t>
  </si>
  <si>
    <t>Colorful zebra nails are shown and a colorful screen appears with colorful text that say's "Acid Zebra Nail Art by professionalDQ", and then followed by a lot of other words that include a list of supplies needed.</t>
  </si>
  <si>
    <t>A still shot of six different solid colors of nail polish are shown and some are rounded bottles and some are square bottles.</t>
  </si>
  <si>
    <t>The demonstration begins and it shows someone is sponge painting various colors onto a long white painted nail.</t>
  </si>
  <si>
    <t>A colorful screen briefly appears with colorful text and it say's "Then added a coat of sparkle flakes Awesome",shows the bottle of sparkle nail polish, then more text appears on a colorful screen.</t>
  </si>
  <si>
    <t>A black paint bottle is shown then the person paints a thin black line unto the sparkly and multi colored nail and paints them in the pattern of zebra stripes.</t>
  </si>
  <si>
    <t>A colorful screen along with colorful text appears and it has instructions to "Finish with topcoat And now you're an invincible Nyan Zebra!!".</t>
  </si>
  <si>
    <t>The finished nails are modeled and shown at different angles and a colorful screen with colorful letters appear and it say's "Don't forget your tail!" and then it shows the person holding a furry pink and black, long tail.</t>
  </si>
  <si>
    <t>A colorful screen with colorful text appears and it say's "Thanks for watching SWOOSH!" and more still shots of the finished colorful zebra nails are displayed in different positions and angles.</t>
  </si>
  <si>
    <t>v_W40iaV960sw</t>
  </si>
  <si>
    <t>The camel is sitting on the ground, but then the man puts on his glasses while he's sitting on the camel as it lifts up bringing the man forward a little bit.</t>
  </si>
  <si>
    <t>Then someone grabs the rope on the camel to guide the camel to the right place.</t>
  </si>
  <si>
    <t>Finally the man pulls the camel the man is sitting on while the other 2 camels walk behind the camel in the front.</t>
  </si>
  <si>
    <t>v_wHxB-5jKjbQ</t>
  </si>
  <si>
    <t>People sail in canoes rowing with a paddle in a choppy river.</t>
  </si>
  <si>
    <t>Two men in a canoe sail near the bank of the river, but then sail in the river.</t>
  </si>
  <si>
    <t>The men spins the canoe an pass near an arch of the canoe course.</t>
  </si>
  <si>
    <t>The two men cross a person alone in a canoe.</t>
  </si>
  <si>
    <t>The men continue sailing down the river passing between arches.</t>
  </si>
  <si>
    <t>Men in a canoes are on the border of the river.</t>
  </si>
  <si>
    <t>After, continue sailing straight in the river.</t>
  </si>
  <si>
    <t>v_PLvg8riZZVw</t>
  </si>
  <si>
    <t>A man is holding a fishing pole over an ice fishing hole.</t>
  </si>
  <si>
    <t>He gently tries to pull up and then reel the fishing line out of the hole.</t>
  </si>
  <si>
    <t>He dips and lowers while taking a break.</t>
  </si>
  <si>
    <t>He tries to reel the line out again.</t>
  </si>
  <si>
    <t>He removes his gloves and gets to his knees and back up as he tries to pull the line out of the hole repeatedly.</t>
  </si>
  <si>
    <t>He steps around the hole and continually gently pulls the line from the water as another man pulls the fish out of the water.</t>
  </si>
  <si>
    <t>v_Ktxr4ZiqO3o</t>
  </si>
  <si>
    <t>A person is shaving their beard with an electric shaver.</t>
  </si>
  <si>
    <t>They are slowly moving the shaver up their chin.</t>
  </si>
  <si>
    <t>v_hjDGz9OhwvM</t>
  </si>
  <si>
    <t>A young girl is showing sitting on a floor talking to the camera and pretending to iron.</t>
  </si>
  <si>
    <t>She prays the bottle of water onto the clothes and irons doing this several times.</t>
  </si>
  <si>
    <t>She flips over the shirt to continue ironing and looks off into the distance.</t>
  </si>
  <si>
    <t>v_oXqzXQRqAhI</t>
  </si>
  <si>
    <t>Two kids are seen sitting in a bath tub with one holding a bucket and the holding smiling and laughing.</t>
  </si>
  <si>
    <t>The boy pours the bucket over his face and a hand gives him a towel while the girl also splashes her face.</t>
  </si>
  <si>
    <t>The sprays water again with the bucket and rubs his eyes.</t>
  </si>
  <si>
    <t>v_HaprTZfP4sQ</t>
  </si>
  <si>
    <t>A gold ornament is shown hanging from a christmas tree.</t>
  </si>
  <si>
    <t>Two women are on the floor, wrapping presents.</t>
  </si>
  <si>
    <t>They cut the paper and tape it around boxes before adding bows.</t>
  </si>
  <si>
    <t>We then see the completed tree, adorned with a ring of wrapped presents at the base.</t>
  </si>
  <si>
    <t>v_sanasW2azw4</t>
  </si>
  <si>
    <t>A young boy wearing sunglasses is shown pushing a long a lawn mower across a lawn.</t>
  </si>
  <si>
    <t>The camera continuously follows him as he moves back and fourth with the mower on the lawn.</t>
  </si>
  <si>
    <t>Finally a picture of him sleeping on the couch is shown.</t>
  </si>
  <si>
    <t>v_zxOcSuLSrU4</t>
  </si>
  <si>
    <t>A woman is seen pushing a lawn mower along some tall grass while moving back and fourth.</t>
  </si>
  <si>
    <t>The woman continues pushing the machine around the yard and turns her back towards the camera to mow the back.</t>
  </si>
  <si>
    <t>v_jETKNHeojN8</t>
  </si>
  <si>
    <t>The woman says a few words in the beginning while the dancer stands silently.</t>
  </si>
  <si>
    <t>First the dancer makes sure her legs are positioned correctly.</t>
  </si>
  <si>
    <t>Then the ballet dancer brings one foot into a coupe.</t>
  </si>
  <si>
    <t>Next she straightens both legs and puts one leg in the front and brings it back down.</t>
  </si>
  <si>
    <t>She then repeats those 3 steps over again.</t>
  </si>
  <si>
    <t>v_73ZdOEJcsUw</t>
  </si>
  <si>
    <t>An old lady knits with a red needle and red wool.</t>
  </si>
  <si>
    <t>An old lady stops knitting and talks continuously.</t>
  </si>
  <si>
    <t>The old lady knits again and examines her creation.</t>
  </si>
  <si>
    <t>v_WSpfyZuoi3A</t>
  </si>
  <si>
    <t>A little girl sled in an inflatable boat hold to a string on front a man, suddenly she falls in a hollow.</t>
  </si>
  <si>
    <t>People carry sled boats and the little girl is in a sled boat.</t>
  </si>
  <si>
    <t>After a group of people sled do down the hill until meet other persons.</t>
  </si>
  <si>
    <t>v_fevlUD03yCM</t>
  </si>
  <si>
    <t>A young girl is applying sunscreen to her face.</t>
  </si>
  <si>
    <t>A beach is crowded with people while a motoroboat speeds across the water.</t>
  </si>
  <si>
    <t>A doctor from the Cleveland Clinic named Jennifer Lucas speaks.</t>
  </si>
  <si>
    <t>People apply sunblock to each other outdoors.</t>
  </si>
  <si>
    <t>v_aEopPs2eY-Q</t>
  </si>
  <si>
    <t>A girl names Ashley dressed in all purple walks up slowly, then it turns to nature view of dirt and flowers.</t>
  </si>
  <si>
    <t>Ashley comes out getting dressed in her motor cross gear and slowly walks her bike out.</t>
  </si>
  <si>
    <t>She goes out and starts riding through the dirt, catching some air really high after hitting little mountain hills.</t>
  </si>
  <si>
    <t>She speaks in sign language with another rider for a little but before returning toe the dirt to ride some more.</t>
  </si>
  <si>
    <t>v_tn8YmTHinZc</t>
  </si>
  <si>
    <t>woman is standing in kitchen talking to the camera and showing ingredients that are on top of a counter.</t>
  </si>
  <si>
    <t>woman holds a lemon and squeeze it in a plastic water jar and mix it with sugar.</t>
  </si>
  <si>
    <t>woman holds a knife and chop the lemons in small pieces and add soda to the jar and the chopped lemons along with strawberries.</t>
  </si>
  <si>
    <t>v_QFWxdR_C71M</t>
  </si>
  <si>
    <t>A woman uses a piece of chalk on a canvas.</t>
  </si>
  <si>
    <t>She then uses several colors of paint to create an image.</t>
  </si>
  <si>
    <t>When she is done, we see a still life image of an orange on a counter.</t>
  </si>
  <si>
    <t>v_BWanQWn1OYQ</t>
  </si>
  <si>
    <t>A small group of girls are seen walking out onto a lake holding tubes and leads into others riding along in tubes.</t>
  </si>
  <si>
    <t>The people continue riding along the river on the tubes and the camera pans around the large group.</t>
  </si>
  <si>
    <t>The walk off shore and speak to one another followed by the tubes hung up and the bus parked.</t>
  </si>
  <si>
    <t>v_Z7zc7zs5Zj8</t>
  </si>
  <si>
    <t>A woman is seen walking down a set of stairs and begins performing a routine in front of a large audience.</t>
  </si>
  <si>
    <t>The woman continues dancing around the stage while a group of people play instruments behind her.</t>
  </si>
  <si>
    <t>v_j5SX_9JKtfs</t>
  </si>
  <si>
    <t>cleaning materials sit next to a double sink, then a person puts a bottle with blue liquid next to the cleaning materials.</t>
  </si>
  <si>
    <t>After, the person pours a little bit of blue liquid in the sink and scrubs the sinks with a sponge.</t>
  </si>
  <si>
    <t>After, the person rinse the sinks with water and dries with a cloth.</t>
  </si>
  <si>
    <t>v_cMeMbnjX-pg</t>
  </si>
  <si>
    <t>A man is skating on an indoor rink with a sweeper as people watch.</t>
  </si>
  <si>
    <t>He cleans the floor as people try to talk to him.</t>
  </si>
  <si>
    <t>A man falls and slides, and another grabs him in a fight.</t>
  </si>
  <si>
    <t>v_JFupxdGxgPQ</t>
  </si>
  <si>
    <t>Several men stand in a dirt arena.</t>
  </si>
  <si>
    <t>Several other men sit on horses.</t>
  </si>
  <si>
    <t>A gate opens and a calf runs out closely followed by a man on a horse.</t>
  </si>
  <si>
    <t>The man on the horse throws a lasso around the calf's neck yanking the calf back to land on it's back.</t>
  </si>
  <si>
    <t>The man jumps from his horse and runs over and ties up the calf.</t>
  </si>
  <si>
    <t>The man gets up and walks back to get on his horse.</t>
  </si>
  <si>
    <t>Several men run over to free the calf as it gets up and runs away.</t>
  </si>
  <si>
    <t>v_8L1xXJvKuv4</t>
  </si>
  <si>
    <t>A group of people are swimming in an indoor pool with other swimmers standing on the side of the pool watching.</t>
  </si>
  <si>
    <t>The children on the sidelines are jumping up and down with swim caps and swimsuits on as they watch the people who are already in the pool swim.</t>
  </si>
  <si>
    <t>A person walks by the camera as the shaky camera focuses on the people who are already in the pool swimming.</t>
  </si>
  <si>
    <t>v_AkeJ-lJLNkw</t>
  </si>
  <si>
    <t>Two people are seen performing various kicks and tricks around one another while a large group of people watch on the sides.</t>
  </si>
  <si>
    <t>More continue kicking around one another in the middle of the circle while others watch and react on the side.</t>
  </si>
  <si>
    <t>v_f00gW6PbWDE</t>
  </si>
  <si>
    <t>A young man wearing blue jeans and a blue and white plaid long sleeved button up shirt is sitting on the ground with his legs wide opened on a board that has numbers on it in a triangular shape.</t>
  </si>
  <si>
    <t>There are two elderly women holding sticks, and they are getting ready to hit the disks across the board into the man's crotch while 5 men are standing alongside the board watching and cringing.</t>
  </si>
  <si>
    <t>The woman shoves the disk across the board and it hits the man in the crotch, the second woman shoves the disc across the board and it hits the man in the crotch very hard and the guys all laugh and gringe then help the guy up.</t>
  </si>
  <si>
    <t>v_NfVL1o5HMEo</t>
  </si>
  <si>
    <t>A gymnast is seen rubbing his hands together and walks over to a set of uneven bars and raises his hands up.</t>
  </si>
  <si>
    <t>The man performs a routine on the bars while hundreds of people watch on the sidelines.</t>
  </si>
  <si>
    <t>He jumps down, waves his arms in the air, and walks over to high five his coach afterwards.</t>
  </si>
  <si>
    <t>v_x0cSfzhQRAs</t>
  </si>
  <si>
    <t>A man walks across a rope suspended between two mountains high in the air using his arms for balance.</t>
  </si>
  <si>
    <t>A man walks across a suspended rope high in the air, losing balance at one point and holding on to the rope with his hands and feet wrapped around the rope.</t>
  </si>
  <si>
    <t>The man then is able to hoist himself back enough on the rope to sit on it with the rope between his legs.</t>
  </si>
  <si>
    <t>v_NqYEX8tUjYg</t>
  </si>
  <si>
    <t>A person is seen performing a trick on a snowboard followed by more a woman speaking to the camera.</t>
  </si>
  <si>
    <t>Several more clips are shown of people riding snowboards and performing tricks on a board.</t>
  </si>
  <si>
    <t>More people are seen riding on a board and speaking to the camera.</t>
  </si>
  <si>
    <t>v_Tbo7I63oIms</t>
  </si>
  <si>
    <t>A person ski over a ski rail and spins in the air, then land stand on the snow.</t>
  </si>
  <si>
    <t>The person ski over a ramp and fly in the air very high.</t>
  </si>
  <si>
    <t>Then, the person ski over the rails of a home turning ans spinning and then land on the street.</t>
  </si>
  <si>
    <t>Then, a person ski over the fence of a walking bridge and also ski on the stairs.</t>
  </si>
  <si>
    <t>v_6S9NCdsUxfE</t>
  </si>
  <si>
    <t>A man is seen waxing a set of skis while looking back to speak to the camera.</t>
  </si>
  <si>
    <t>The man continues moving his arms up and down the skis while looking up to speak at the camera every once and a while.</t>
  </si>
  <si>
    <t>v_uM6ErLnAGW4</t>
  </si>
  <si>
    <t>Carved pepper jack-o-lanterns are seen prepared.</t>
  </si>
  <si>
    <t>A woman uses a knife to carve out the center and facial features of a bell pepper then places in a dish.</t>
  </si>
  <si>
    <t>The woman adds chopped vegetables, salsa, and eggs to a large bowl.</t>
  </si>
  <si>
    <t>The woman uses a spatula to mix everything together.</t>
  </si>
  <si>
    <t>A spoon is used to add ingredients into the hollow bell peppers.</t>
  </si>
  <si>
    <t>Cheese is added to the tops of the bell peppers and the tops are placed back on them.</t>
  </si>
  <si>
    <t>The bell peppers are removed from the dish and put on a plate.</t>
  </si>
  <si>
    <t>the finished bell peppers are seen on the cutting board.</t>
  </si>
  <si>
    <t>A woman adds ingredients to a casserole dish.</t>
  </si>
  <si>
    <t>v_lxlXHOHSOlk</t>
  </si>
  <si>
    <t>Ships are shown in the water.</t>
  </si>
  <si>
    <t>Men are walking on a street.</t>
  </si>
  <si>
    <t>A man in a yellow shirt is riding on a boat.</t>
  </si>
  <si>
    <t>People watching the men in the boat are applauding.</t>
  </si>
  <si>
    <t>v_w24Pub_hNSw</t>
  </si>
  <si>
    <t>A woman is seated, a man is standing, and a little girl is climbing on playground equipment.</t>
  </si>
  <si>
    <t>She drops down, hanging from the monkey bars as she pretends to kick the man.</t>
  </si>
  <si>
    <t>She swings to the end, and lands in another man's arms.</t>
  </si>
  <si>
    <t>v_8slE1UskRS4</t>
  </si>
  <si>
    <t>Three people are standing outside under a very large concrete gazebo and briefly the white word "MARANHAO" is on the right side of the screen.</t>
  </si>
  <si>
    <t>A man with an instrument starts walking towards the three people and he begins to adjust his instrument.</t>
  </si>
  <si>
    <t>Two of the people start dancing, the woman starts singing, then all the people are now holding instruments and are smiling as they start playing their instruments, dancing, and singing together.</t>
  </si>
  <si>
    <t>v_zwQYVBQnn4o</t>
  </si>
  <si>
    <t>This man is shown lifting a very heavy weight in the beginning of the video.</t>
  </si>
  <si>
    <t>Then another man does the same thing and he lifts it successfully.</t>
  </si>
  <si>
    <t>When he's done, someone comes on stage and gives him a hug.</t>
  </si>
  <si>
    <t>He is then given a medal.</t>
  </si>
  <si>
    <t>v_v8Dqgro-f-U</t>
  </si>
  <si>
    <t>We see a gym filled with people watching as people jump rope.</t>
  </si>
  <si>
    <t>We see the outside of the building and a man is interviewed with shots of the inside cut in.</t>
  </si>
  <si>
    <t>We watch girl perform see ladies serving snacks and watch another person perform.</t>
  </si>
  <si>
    <t>We see girls interviewed outside the main room and scenes from inside the gym.</t>
  </si>
  <si>
    <t>We see people on bleachers and kids jumping.</t>
  </si>
  <si>
    <t>We then see the blue ending screen.</t>
  </si>
  <si>
    <t>v_DCKwTvFrA6Q</t>
  </si>
  <si>
    <t>The woman introduces herself in the beginning of the video and then different pictures are shown.</t>
  </si>
  <si>
    <t>She also talks about the fun you can have in Chicago and her big production of being the black widow.</t>
  </si>
  <si>
    <t>v_5Qav3tLfiZA</t>
  </si>
  <si>
    <t>The man in dark blue shirt is kneeling with one knee.</t>
  </si>
  <si>
    <t>The man is dribbling the blue ball.</t>
  </si>
  <si>
    <t>The man is dribbling the ball on his side.</t>
  </si>
  <si>
    <t>v_5sUctxaAFrw</t>
  </si>
  <si>
    <t>Several pictures are shown in the beginning of old roofs as well as new roofs and people working on top of these roofs.</t>
  </si>
  <si>
    <t>More shots are shown of people spraying down the roofs and looking away from the camera.</t>
  </si>
  <si>
    <t>v_ZL7xefcDWYc</t>
  </si>
  <si>
    <t>A gymnast is performing on the bars while a crowds is watching.</t>
  </si>
  <si>
    <t>At the end, the gymnast flips around the bars and jump on the mattress.</t>
  </si>
  <si>
    <t>v_sd2MhdKdQTo</t>
  </si>
  <si>
    <t>A woman is seen sitting on stage while singing into a microphone and people sitting behind her playing instruments.</t>
  </si>
  <si>
    <t>The girl continues singing with the band and ending by speaking to the audience.</t>
  </si>
  <si>
    <t>v_rWfi4xN3XQI</t>
  </si>
  <si>
    <t>A woman stands next to a horse in a field.</t>
  </si>
  <si>
    <t>"HJCTV presents: Grooming your horse 101" is overlaid.</t>
  </si>
  <si>
    <t>A woman stands in a stall with a horse with a grooming brush, she starts brushing it.</t>
  </si>
  <si>
    <t>Two girls stand outdoors with another horse and brush it.</t>
  </si>
  <si>
    <t>The first woman returns with a new brush and allows children to help brush the horse.</t>
  </si>
  <si>
    <t>v_0PLaN0hmMDY</t>
  </si>
  <si>
    <t>A person holds a ring in a small box.</t>
  </si>
  <si>
    <t>Then, the man wraps the box with gift paper.</t>
  </si>
  <si>
    <t>After, the man tries to find the end of a scotch tape roll, but he can not find it.</t>
  </si>
  <si>
    <t>The man cuts the excess of paper and put take on the gift.</t>
  </si>
  <si>
    <t>v_l3k_7ydV74A</t>
  </si>
  <si>
    <t>Four men perform a wrestling stunt in costume while standing on an elevated, lit, stage in front of a seated audience.</t>
  </si>
  <si>
    <t>Two men in black lift one man in a blue shiny outfit, up, on their shoulders.</t>
  </si>
  <si>
    <t>The two men in black place the man in blue's legs around the neck of another man, the biggest man on the stage, who is also dressed in black.</t>
  </si>
  <si>
    <t>The large man in black then takes the man in blue and slams him down, off the stage and onto a table next to the stage, at which point the man lands with a force that breaks the table in two causing the man to fall to the floor under the table.</t>
  </si>
  <si>
    <t>v_j82E082KJSw</t>
  </si>
  <si>
    <t>There are two teams playing volley ball in an indoor stadium in front of a large number of spectators.</t>
  </si>
  <si>
    <t>The green and yellow team is playing against the red team.</t>
  </si>
  <si>
    <t>The players dive up high to throw the ball across the net to their opposing team.</t>
  </si>
  <si>
    <t>Then the green and yellow team plays against the blue team.</t>
  </si>
  <si>
    <t>The red team is back to play with the green and yellow team.</t>
  </si>
  <si>
    <t>Then the blue team returns to play against the green and yellow team.</t>
  </si>
  <si>
    <t>The volley ball game continues as the red team and blue team alternately play with their opponents.</t>
  </si>
  <si>
    <t>v_d6uMS_ZgMg4</t>
  </si>
  <si>
    <t>A camera pans all around a piece of exercise equipment followed by a woman riding on it.</t>
  </si>
  <si>
    <t>A person is seen adjusting the settings of the bike as well as riding around and drinking water.</t>
  </si>
  <si>
    <t>More shots are shown of the woman adjusting the machine as well as rolling it away and continuing to ride.</t>
  </si>
  <si>
    <t>v_QESBvmN1hcM</t>
  </si>
  <si>
    <t>A small group of people are seen swimming around a pool and lead into several clips of people playing the game as well as celebrating.</t>
  </si>
  <si>
    <t>Various people are then seen speaking to the camera followed by more clips of the game being shown and people celebrating.</t>
  </si>
  <si>
    <t>v_yzmPtZyuo4s</t>
  </si>
  <si>
    <t>An African American male athlete is walking preparing himself to run.</t>
  </si>
  <si>
    <t>The male then begins to run from an angle towards the mat and does a high jump clearing the bar.</t>
  </si>
  <si>
    <t>A replay is shown and the crowd begins to cheer for him.</t>
  </si>
  <si>
    <t>v_Z9pWpZK4k2M</t>
  </si>
  <si>
    <t>Two men, a woman, and a toddler are walking down the road but all of the adults have on Kangaroo shoes.</t>
  </si>
  <si>
    <t>People continue to walk pass them and the two males begin jumping extremely high as the lady walks away with the child.</t>
  </si>
  <si>
    <t>The four individuals then move in front of a building and start hoping around then eventually to a set of steps in what looks to be a court yard.</t>
  </si>
  <si>
    <t>v_-V00wKlFJA0</t>
  </si>
  <si>
    <t>A man is seen standing in a garage and proceeds to play a set of bagpipes.</t>
  </si>
  <si>
    <t>The man continues playing the instrument while moving his hands around and stops in the end to turn off the camera.</t>
  </si>
  <si>
    <t>v_bVOD0M4LCEY</t>
  </si>
  <si>
    <t>Several pairs of people are out in the desert holding a selfie stick as they travel around on camels.</t>
  </si>
  <si>
    <t>As they continue,some people come around and begin to film the people with their own camera.</t>
  </si>
  <si>
    <t>Now,a line of people are in the sand just standing around watching them as the people on the camel begin to talk back to them.</t>
  </si>
  <si>
    <t>v_9-XGzUTSsuI</t>
  </si>
  <si>
    <t>A white screen appears and green letters appear in the middle of the screen and read "eHow"and changes to a blue screen that has a large white word that reads "health" under a small white square that contains the green eHow.</t>
  </si>
  <si>
    <t>A man wearing athletic clothing is standing in an indoor gym doing some fighting exercises and when he stops to talk, a banner on the bottom left say his name is Steve Hess and he's a Personal Trainer.</t>
  </si>
  <si>
    <t>While talking the man is also doing arm and leg movements and the camera is zoomed out to show his whole body.</t>
  </si>
  <si>
    <t>When the man is done the same blue screen from the beginning appears and ends with the same white screen with the green eHow written in the middle.</t>
  </si>
  <si>
    <t>v_paY7wXmzcTQ</t>
  </si>
  <si>
    <t>A person is seen standing on a pair of skis while others move around an area.</t>
  </si>
  <si>
    <t>One person sits on a tube while others walk from behind.</t>
  </si>
  <si>
    <t>A person then kicks the person n the tube down the hill.</t>
  </si>
  <si>
    <t>v_aeEMrTpNUss</t>
  </si>
  <si>
    <t>A man steps up to a set of uneven bars while a man does flips behind him and begins performing a gymnastics routine.</t>
  </si>
  <si>
    <t>The man flips and spins himself around on the bars and ends by jumping down and waving his hands up.</t>
  </si>
  <si>
    <t>v_FFZOmzFc_us</t>
  </si>
  <si>
    <t>A man is seen wearing an apron in front of sink stacked with many dishes.</t>
  </si>
  <si>
    <t>The man begins washing the dishes in a quick motion and throwing them into a pile.</t>
  </si>
  <si>
    <t>The man continues washing the dishes while looking back to the camera.</t>
  </si>
  <si>
    <t>v_n1LmL6_vxKs</t>
  </si>
  <si>
    <t>A man is seen bending down before a large weight while looking off into the distance.</t>
  </si>
  <si>
    <t>He then picks the weight up over his head.</t>
  </si>
  <si>
    <t>Finally he throws the weight down on the floor.</t>
  </si>
  <si>
    <t>v_PAF5AIQNXhs</t>
  </si>
  <si>
    <t>A baby is seated in a swing, rocking gently.</t>
  </si>
  <si>
    <t>A little girl is seen swinging herself back and forth.</t>
  </si>
  <si>
    <t>Then a toddler and baby look at each other as they continue to lightly swing.</t>
  </si>
  <si>
    <t>v_1V0TqgcXSVk</t>
  </si>
  <si>
    <t>A woman is standing in a room, surrounded by yoga gear.</t>
  </si>
  <si>
    <t>She then shows how to use a stepper to exercise, stepping on and off, side to side.</t>
  </si>
  <si>
    <t>She talks a little longer about the exercise.</t>
  </si>
  <si>
    <t>v_Wzpyu5NEqZ4</t>
  </si>
  <si>
    <t>Men are playing wall ball in a room against each other.</t>
  </si>
  <si>
    <t>A man in a red shirt and glasses is talking.</t>
  </si>
  <si>
    <t>A man in a black shirt talks to a man in a red shirt.</t>
  </si>
  <si>
    <t>Papers are being shown on the screen.</t>
  </si>
  <si>
    <t>The man continues to talk to the microphone.</t>
  </si>
  <si>
    <t>A man in a black shirt is talking.</t>
  </si>
  <si>
    <t>The men are playing more wall ball.</t>
  </si>
  <si>
    <t>v_UCBAyJpXuCw</t>
  </si>
  <si>
    <t>People are on a stage playing instruments.</t>
  </si>
  <si>
    <t>A man in a black shirt is playing a drum set.</t>
  </si>
  <si>
    <t>A man in a green shirt plays a guitar at the front of the stage.</t>
  </si>
  <si>
    <t>v_xq7Gr0FUwpo</t>
  </si>
  <si>
    <t>Two scientist throws stones in the water while talking.</t>
  </si>
  <si>
    <t>Scientist writes a formula on a board, then the scientists run and jumps in the water.</t>
  </si>
  <si>
    <t>Then, people water ski in the water pulling by a boat.</t>
  </si>
  <si>
    <t>A woman water ski while two men explains the movements made by the girl.</t>
  </si>
  <si>
    <t>After, a man water ski holding a water sky rope tie to a pole while a person watch, then he falls in the water.</t>
  </si>
  <si>
    <t>After, a person water ski and then falls in the water.</t>
  </si>
  <si>
    <t>v_5HLW2AI1Ink</t>
  </si>
  <si>
    <t>A swimmer is shown putting on his goggles and spreading his hands out before he dives into a pool.</t>
  </si>
  <si>
    <t>A side view of the man is shown as he does the side stroke underneath the water.</t>
  </si>
  <si>
    <t>The male continues to swim and several techniques of his are highlighted such as the way his hand is cuffed and the position of his legs.</t>
  </si>
  <si>
    <t>v_I4mFeQwqjnE</t>
  </si>
  <si>
    <t>The credits of the clips are shown.</t>
  </si>
  <si>
    <t>People in black play dodge ball on a court.</t>
  </si>
  <si>
    <t>A guy dives to the ground to prevent ball from hitting him.</t>
  </si>
  <si>
    <t>v_UsqhZb0co6o</t>
  </si>
  <si>
    <t>A man is laying in bed and looks at his phone.</t>
  </si>
  <si>
    <t>He runs into a room and gets dressed.</t>
  </si>
  <si>
    <t>He sits down on his bed and puts shoes on.</t>
  </si>
  <si>
    <t>He stands up and runs out the door.</t>
  </si>
  <si>
    <t>v_czh5nNO_Eow</t>
  </si>
  <si>
    <t>A black screen appears with white words that read "How to Paint a Paneled Door".</t>
  </si>
  <si>
    <t>A man then appears in front of a red door that is leaning up against a wall that has plastic on it, and he's talking and touching the door.</t>
  </si>
  <si>
    <t>The man then grabs a paint brush and begins painting on paints various parts of the door while continuing to talk.</t>
  </si>
  <si>
    <t>The man stops painting, and begins talking as he points at a few things on the door.</t>
  </si>
  <si>
    <t>A black screen appears with white words that include a website if someone wants more information.</t>
  </si>
  <si>
    <t>v_eL4Ce4WPI0Y</t>
  </si>
  <si>
    <t>A woman is seen wiping off her feet and stepping into a circle pit.</t>
  </si>
  <si>
    <t>The woman then spins around and throws a discuss off into the air while the camera follows her.</t>
  </si>
  <si>
    <t>v_ItpDcSURusI</t>
  </si>
  <si>
    <t>A professional diver named Pandelela Rinong is getting ready to dive in a competition.</t>
  </si>
  <si>
    <t>She goes forward on the diving board and does a backward dive into the pool from several feet.</t>
  </si>
  <si>
    <t>She twists her body as she dives down into the pool.</t>
  </si>
  <si>
    <t>After she's done, she smiles and walks out of the pool.</t>
  </si>
  <si>
    <t>v_JGStyHrlN2U</t>
  </si>
  <si>
    <t>Several player on horseback are playing cricket on a field.</t>
  </si>
  <si>
    <t>All players ride their horses to one side of the field.</t>
  </si>
  <si>
    <t>The ride around and around as the try to hit the cricket ball.</t>
  </si>
  <si>
    <t>The ball is hit into the middle of the field away from all the players.</t>
  </si>
  <si>
    <t>v_CJCONq_i1cQ</t>
  </si>
  <si>
    <t>We see a man in a driveway cleaning snow from his car.</t>
  </si>
  <si>
    <t>The man cleans the snow under his windshield wipers.</t>
  </si>
  <si>
    <t>We see the building behind the car.</t>
  </si>
  <si>
    <t>We do a 360 spin to see the parking lot.</t>
  </si>
  <si>
    <t>The man opens the doors on his car and gets in.</t>
  </si>
  <si>
    <t>The man backs out and and gets out of the car.</t>
  </si>
  <si>
    <t>v_ZluOmpTPdWw</t>
  </si>
  <si>
    <t>A group of people seen running around a sandy field playing a soccer match in front of a large crowd.</t>
  </si>
  <si>
    <t>The people continue kick the ball around with several more balls being thrown in as well.</t>
  </si>
  <si>
    <t>v_E2KlBkQJyzU</t>
  </si>
  <si>
    <t>Two people are seen sitting on a ski bench putting on gear and leads into people pushing a puck around a hockey rink.</t>
  </si>
  <si>
    <t>Several shots are shown of the players skating around the ice and playing the sport of hockey.</t>
  </si>
  <si>
    <t>In the end they all kneel down next to one another and skate away.</t>
  </si>
  <si>
    <t>v_tlNpR7CkM-4</t>
  </si>
  <si>
    <t>A man is shown inside a church.</t>
  </si>
  <si>
    <t>He is playing a set of bagpipes while wearing a kilt.</t>
  </si>
  <si>
    <t>He continues to play, not moving.</t>
  </si>
  <si>
    <t>v_az-UGTdlbaA</t>
  </si>
  <si>
    <t>A woman in a black top and shorts wears boxing gloves.</t>
  </si>
  <si>
    <t>She spares with a man in black.</t>
  </si>
  <si>
    <t>She kicks and hits at him.</t>
  </si>
  <si>
    <t>She does several different exercises.</t>
  </si>
  <si>
    <t>v_K0XdsHfUpco</t>
  </si>
  <si>
    <t>Players play croquet in a lawn.</t>
  </si>
  <si>
    <t>A guy plays a bag pipe on the croquet field.</t>
  </si>
  <si>
    <t>Players shake hands to demonstrate sportsmanship.</t>
  </si>
  <si>
    <t>Players carry a huge check.</t>
  </si>
  <si>
    <t>A guy steps out of a line and charges at the camera.</t>
  </si>
  <si>
    <t>v_QWXzDdMjZOw</t>
  </si>
  <si>
    <t>A man holds a saxophone, then he takes out the neck and blows the mouthpiece while talking.</t>
  </si>
  <si>
    <t>Then, the man puts on the neck in the saxophone and shows the keys while talking.</t>
  </si>
  <si>
    <t>Then, the man plays the saxophone while explaining.</t>
  </si>
  <si>
    <t>v_4KgCkxpsN2g</t>
  </si>
  <si>
    <t>People are in a large yellow raft going down a water fall.</t>
  </si>
  <si>
    <t>A man in a boat is going down the river.</t>
  </si>
  <si>
    <t>Several pictures of rafters are displayed on the screen.</t>
  </si>
  <si>
    <t>Rafters are going down a rough hill and hitting the rocks.</t>
  </si>
  <si>
    <t>v_rHD_vDxPpDA</t>
  </si>
  <si>
    <t>A shoe is cleaned with a toothbrush by a sink.</t>
  </si>
  <si>
    <t>The counter is wiped with a towel.</t>
  </si>
  <si>
    <t>The shoe is cleaned more with the toothbrush and a towel.</t>
  </si>
  <si>
    <t>v_IB068eD8A7Y</t>
  </si>
  <si>
    <t>We see a man and a small boy holding a bow and arrow in a field.</t>
  </si>
  <si>
    <t>The boy shoots the arrow stretches and shoots more arrows.</t>
  </si>
  <si>
    <t>We see the man shoot three arrows and see the target.</t>
  </si>
  <si>
    <t>We see the boy as he tries to shoot balloons on the target and misses them all.</t>
  </si>
  <si>
    <t>The boy walks away and we see lady shoot two arrows and turn and kiss her hand.</t>
  </si>
  <si>
    <t>v_M_hfBH8xEig</t>
  </si>
  <si>
    <t>Blue text talks about the description of the video.</t>
  </si>
  <si>
    <t>Some boys are shown performing backetball layups, one after the other.</t>
  </si>
  <si>
    <t>One boy continuously does layups until the end.</t>
  </si>
  <si>
    <t>v_ZzarNWOJnro</t>
  </si>
  <si>
    <t>A man picks up an ax.</t>
  </si>
  <si>
    <t>He swings it at a piece of wood on a stump.</t>
  </si>
  <si>
    <t>He picks another one up and chops it.</t>
  </si>
  <si>
    <t>v_17ODXa4CEmI</t>
  </si>
  <si>
    <t>A person puts slices of lemon over two glasses of lemonade with ice.</t>
  </si>
  <si>
    <t>Then, the person pours water and adds sugar in a pot to make syrup.</t>
  </si>
  <si>
    <t>The person press hard a lemon, and then cuts the lemmons and squeeze them using an electric citrus juicer.</t>
  </si>
  <si>
    <t>next, the person pours a glass of water in a jar, then adds the syrup, the lemon juice, slices of lemon and ice.</t>
  </si>
  <si>
    <t>Then the person serves the lemonade.</t>
  </si>
  <si>
    <t>v_P49Ci0Ph8eU</t>
  </si>
  <si>
    <t>A gymnast stands before a large crowd in an arena and puts his hands up.</t>
  </si>
  <si>
    <t>He begins his routine that involves many flips and rotations.</t>
  </si>
  <si>
    <t>The crowd sits silently while he does this.</t>
  </si>
  <si>
    <t>He does a handstand and a series of more rotations and flips before dismounting.</t>
  </si>
  <si>
    <t>He claps as the crowd cheers him on after his routine is over.</t>
  </si>
  <si>
    <t>v_GYh4XH7jUL4</t>
  </si>
  <si>
    <t>A person dives off a board into a pool.</t>
  </si>
  <si>
    <t>They come up from under the water.</t>
  </si>
  <si>
    <t>v_xH_1O0mckTU</t>
  </si>
  <si>
    <t>man is standing in street holding a board and skateboarding through the street.</t>
  </si>
  <si>
    <t>man is walking in a yard and doing jumps and talking to a microphone.</t>
  </si>
  <si>
    <t>v_U01xasUtlvw</t>
  </si>
  <si>
    <t>a man is outside wearing a superman shirt.</t>
  </si>
  <si>
    <t>He spins in circles, looking around.</t>
  </si>
  <si>
    <t>He finds a broken bike, and repairs it while an angry man yells at him.</t>
  </si>
  <si>
    <t>v_6LOfAoP4Mg8</t>
  </si>
  <si>
    <t>A man is shown sanding a wall and laying out a large piece of water paper across the wall.</t>
  </si>
  <si>
    <t>He continues pushing the paper into the wall and sanding it from behind.</t>
  </si>
  <si>
    <t>v_XQ4owd3yQ_4</t>
  </si>
  <si>
    <t>A man pushes a table into the sand.</t>
  </si>
  <si>
    <t>He is then shown surfing on the bottom of the table in the ocean, gliding across a wave.</t>
  </si>
  <si>
    <t>Another angle is shown with the surfer effortlessly riding a wave on a table.</t>
  </si>
  <si>
    <t>He crashes along with the wave.</t>
  </si>
  <si>
    <t>v_x_BIktHkEc4</t>
  </si>
  <si>
    <t>A man wearing headphones is in a studio, speaking into a microphone.</t>
  </si>
  <si>
    <t>Other men are shown, one of which begins playing a harmonica.</t>
  </si>
  <si>
    <t>He stops playing and says something that makes the DJ laugh.</t>
  </si>
  <si>
    <t>v_pv6CNBFhgCU</t>
  </si>
  <si>
    <t>A machine draws a face on a pumpkin.</t>
  </si>
  <si>
    <t>The lights turn off and it shows the carved pumpkin turned on.</t>
  </si>
  <si>
    <t>It shows the pumpkin in the light.</t>
  </si>
  <si>
    <t>v_HVhLOYGU9E4</t>
  </si>
  <si>
    <t>A large semi truck is driving in the rain.</t>
  </si>
  <si>
    <t>Then we see boys riding skateboards outside a house.</t>
  </si>
  <si>
    <t>They perform several stunts on a board in the driveway.</t>
  </si>
  <si>
    <t>v_d4prmED8v-w</t>
  </si>
  <si>
    <t>A pole vaulter runs up and launches himself over the bar.</t>
  </si>
  <si>
    <t>The vaulter introduces his challenge to the camera, which is to make it over ten times in a row in 20 minutes.</t>
  </si>
  <si>
    <t>He launches himself over 10 times successfully and easily gets under the 20 minute limit.</t>
  </si>
  <si>
    <t>v_6AwS8vWMwSA</t>
  </si>
  <si>
    <t>We see a man and a woman playing competitive rock paper scissors cut with scenes of the crowd.</t>
  </si>
  <si>
    <t>We see a man with a mustache clapping.</t>
  </si>
  <si>
    <t>The lady wins and the man in the suit raises her hand.</t>
  </si>
  <si>
    <t>The man and the woman shake each others hands.</t>
  </si>
  <si>
    <t>The man in the game shakes his head as he turns around.</t>
  </si>
  <si>
    <t>v_jBKlpn2mE8I</t>
  </si>
  <si>
    <t>A woman walks into a backyard, and flips her hair forward.</t>
  </si>
  <si>
    <t>She brushes her hair for a long time, smoothing and tossing it.</t>
  </si>
  <si>
    <t>She then walks away from the camera, continuing to brush.</t>
  </si>
  <si>
    <t>She stands upright, then bends over to brush some more.</t>
  </si>
  <si>
    <t>v_icOO9whIgX8</t>
  </si>
  <si>
    <t>A yellow frame with girls playing Lacross opens up the video.</t>
  </si>
  <si>
    <t>A game of girls Lacross is going on as different slides are shown.</t>
  </si>
  <si>
    <t>The game ends with a penalty shot.</t>
  </si>
  <si>
    <t>v_-G-sh-NhYtk</t>
  </si>
  <si>
    <t>A person in a black coat is shoveling show from a driveway.</t>
  </si>
  <si>
    <t>A man is being shown standing in a garage.</t>
  </si>
  <si>
    <t>v_r7Z5Pm3pKMA</t>
  </si>
  <si>
    <t>We see a man and people entering a stadium.</t>
  </si>
  <si>
    <t>We switch to people on teams, and military marching in a yard.</t>
  </si>
  <si>
    <t>People are playing a game with sticks.</t>
  </si>
  <si>
    <t>We see a group of people on a team standing in a a circle.</t>
  </si>
  <si>
    <t>We see a man walking down the street then a person sitting on the sidewalk.</t>
  </si>
  <si>
    <t>v_BdKxwCdax_w</t>
  </si>
  <si>
    <t>A man is standing in a room in front of a mirror talking.</t>
  </si>
  <si>
    <t>He gets down on his knees and stands on his head.</t>
  </si>
  <si>
    <t>He moves around in a circle on his head and spins.</t>
  </si>
  <si>
    <t>v_fgEMvRrOCRI</t>
  </si>
  <si>
    <t>There are players, one in yellow and the other in red hurling in an open air stadium.</t>
  </si>
  <si>
    <t>They are part of a team that is playing in the large stadium with several spectators.</t>
  </si>
  <si>
    <t>The video is demonstrating how to catch the ball and scoop it up with the stick.</t>
  </si>
  <si>
    <t>It also demonstrates how to balance the ball on the stick as the player runs.</t>
  </si>
  <si>
    <t>The players are showing all the steps in the tutorial where the one of the player shoots the ball bravely for a point.</t>
  </si>
  <si>
    <t>There's a player in a blue and white uniform shooting the ball for a point and scoring a goal.</t>
  </si>
  <si>
    <t>v_x2CZHFxoZaM</t>
  </si>
  <si>
    <t>A man is crossing the finish line of a race.</t>
  </si>
  <si>
    <t>Lots of people are running in a race.</t>
  </si>
  <si>
    <t>People are running down a dirt road.</t>
  </si>
  <si>
    <t>v_EEaLID3z9tM</t>
  </si>
  <si>
    <t>A group of four young girls are standing beside each other in the bathroom and they chug something.</t>
  </si>
  <si>
    <t>They are swishing it in their mouths and almost all of them have their hands over their mouths.</t>
  </si>
  <si>
    <t>One of them spits it out in the sink and the other three are trying to carry on.</t>
  </si>
  <si>
    <t>They are having a really hard time and eventually they all spit out and one girl wins.</t>
  </si>
  <si>
    <t>v_jvQU6RyhY7I</t>
  </si>
  <si>
    <t>A woman has a bandana tied around her eyes.</t>
  </si>
  <si>
    <t>She uses a stick to swing at a pinata.</t>
  </si>
  <si>
    <t>She hits the pinata numerous times.</t>
  </si>
  <si>
    <t>v_TMnmi7WJr_o</t>
  </si>
  <si>
    <t>A man is standing outside a tattoo and piercing parlor.</t>
  </si>
  <si>
    <t>He lies down on a bench while a tattoo artist works on a tattoo on his back.</t>
  </si>
  <si>
    <t>He shows a close up of his work, which says thuglife.</t>
  </si>
  <si>
    <t>The man looks at the work in the mirror.</t>
  </si>
  <si>
    <t>v_MhWIIdVyWVs</t>
  </si>
  <si>
    <t>A martial arts artists performs slow moves with her arms and legs simultaneously.</t>
  </si>
  <si>
    <t>A man speaks to the camera after the woman finishes her martial arts routine.</t>
  </si>
  <si>
    <t>v_O8TIRkB99Lo</t>
  </si>
  <si>
    <t>A man stands in a doorway talking.</t>
  </si>
  <si>
    <t>The man climbs a ladder and adds a piece of wallpaper to the wall.</t>
  </si>
  <si>
    <t>The man uses a tool before turning to speak then smooths it out.</t>
  </si>
  <si>
    <t>The man speaks and uses another tool to cut a piece off then wipes the ceiling.</t>
  </si>
  <si>
    <t>v_5kdiJ2cC5_w</t>
  </si>
  <si>
    <t>A woman stands holding a violin against herself.</t>
  </si>
  <si>
    <t>The woman plays the violin.</t>
  </si>
  <si>
    <t>The woman stops playing the violin.</t>
  </si>
  <si>
    <t>v_jkmbAc9BWaE</t>
  </si>
  <si>
    <t>There's a man in a red shirt and a checked shirt over it, standing in a park.</t>
  </si>
  <si>
    <t>He throws a rubber tire on the ground.</t>
  </si>
  <si>
    <t>He is standing near a park bench with a skateboard in his hand.</t>
  </si>
  <si>
    <t>He is demonstrating how to do stunts on the skateboard by jumping up on the park bench.</t>
  </si>
  <si>
    <t>He repeats the same stunt over and over again.</t>
  </si>
  <si>
    <t>He falls off the skateboard a couple times but is successful most of the time.</t>
  </si>
  <si>
    <t>Then he holds the skateboard in his hand as he talks while pointing to the bench.</t>
  </si>
  <si>
    <t>v_aOrDnKEJAwQ</t>
  </si>
  <si>
    <t>An "eesa" logo is shown on screen.</t>
  </si>
  <si>
    <t>Two men wearing scuba diving gear in an indoor pool talk to the camera.</t>
  </si>
  <si>
    <t>The camera follows one of the men underwater where numerous manmade obstacles are present.</t>
  </si>
  <si>
    <t>Other men dressed like astronauts are underwater with them.</t>
  </si>
  <si>
    <t>The scuba divers wave goodbye and credits roll.</t>
  </si>
  <si>
    <t>v_BPpq8m93LSI</t>
  </si>
  <si>
    <t>We see balls and paddle and a blue table then a man talks and two men playing table tennis.</t>
  </si>
  <si>
    <t>We see an instructional title screen.</t>
  </si>
  <si>
    <t>The man demonstrates hitting a ball and we see him in play hitting the ball.</t>
  </si>
  <si>
    <t>v_sjyZWmvTGA4</t>
  </si>
  <si>
    <t>Several men are blowing leaves in front of a home.</t>
  </si>
  <si>
    <t>One man is going all throughout the yard to blow the leaves.</t>
  </si>
  <si>
    <t>He clears out in front of the home.</t>
  </si>
  <si>
    <t>He also clears out by the shed.</t>
  </si>
  <si>
    <t>Another man is shown wandering through the yard.</t>
  </si>
  <si>
    <t>v_ckzLOLHjP44</t>
  </si>
  <si>
    <t>We see men on a lacrosse field playing a game.</t>
  </si>
  <si>
    <t>A man hits the ball and the men run on the field.</t>
  </si>
  <si>
    <t>We see a man in red run on the screen and walk back.</t>
  </si>
  <si>
    <t>v_smk2WJV1Zmo</t>
  </si>
  <si>
    <t>woman is in a gym doing leg exercise and abs.</t>
  </si>
  <si>
    <t>thw woman is sitting in a terrace talking to the camera.</t>
  </si>
  <si>
    <t>woman is walking in a sidewalk with a white small dog and enters in a house.</t>
  </si>
  <si>
    <t>the woman is again in the terrace talking to the camera.</t>
  </si>
  <si>
    <t>v_xxXspvK4tEY</t>
  </si>
  <si>
    <t>An elderly woman is sitting on the couch with a young girl, showing her how to thread yard onto a knitting hook.</t>
  </si>
  <si>
    <t>The girl smiles and laughs as she figures out how to handle it.</t>
  </si>
  <si>
    <t>v_SwXGVQXyXkQ</t>
  </si>
  <si>
    <t>A man sits in a barber chair.</t>
  </si>
  <si>
    <t>The barber begins to shave his head.</t>
  </si>
  <si>
    <t>He shaves stars into his head.</t>
  </si>
  <si>
    <t>The design is intricately done.</t>
  </si>
  <si>
    <t>v_S2jbh7QMrKc</t>
  </si>
  <si>
    <t>People surf in the choppy waters of the ocean while a cat sits on a rock.</t>
  </si>
  <si>
    <t>One person surfs on a big wave going to the right, while other surfer gets in a wave to surf and falls but get on the surfboard again.</t>
  </si>
  <si>
    <t>A man surfs on a wave going to the left while other people surfs in the ocean.</t>
  </si>
  <si>
    <t>Suddenly, a man appears rowing a canoe.</t>
  </si>
  <si>
    <t>v_legHHtPK5fA</t>
  </si>
  <si>
    <t>A group of men are standing in a row.</t>
  </si>
  <si>
    <t>They are throwing darts at targets.</t>
  </si>
  <si>
    <t>The people converse as they try to hit their targets.</t>
  </si>
  <si>
    <t>v_QV2QXt6eDdI</t>
  </si>
  <si>
    <t>A young child is seen washing various dishes in a sink while wearing gloves and running them under water.</t>
  </si>
  <si>
    <t>The boy continues to stick a bowl under the water while the camera pans around his movements.</t>
  </si>
  <si>
    <t>v_0_BvBpwDMpU</t>
  </si>
  <si>
    <t>A gymnast is seen raising his arm in the air and climbing on top a gymnastics beam.</t>
  </si>
  <si>
    <t>He spins himself around performing various tricks on the beam and finishes by jumping down and smiling to the applauding audience.</t>
  </si>
  <si>
    <t>v_PmyAt4zuLRY</t>
  </si>
  <si>
    <t>a woman wearing butterflies wings costume playing beerpong.</t>
  </si>
  <si>
    <t>a woman is wearing a catty costume is standing behind the table.</t>
  </si>
  <si>
    <t>woman is sitting in front of the table and dance when the woman fails the ball.</t>
  </si>
  <si>
    <t>v_E4PIKUW4v0k</t>
  </si>
  <si>
    <t>A man and a woman stand on a street talking on front a window.</t>
  </si>
  <si>
    <t>A person passes on front the man and the woman.</t>
  </si>
  <si>
    <t>People pass on front the woman and the man.</t>
  </si>
  <si>
    <t>v_F8pv5rFrEm4</t>
  </si>
  <si>
    <t>We see gymnasts in a gym on each other shoulders.</t>
  </si>
  <si>
    <t>They then begin an aerobic dance.</t>
  </si>
  <si>
    <t>The people walk to their steps and step on them.</t>
  </si>
  <si>
    <t>The people moves the steps to the center of the room.</t>
  </si>
  <si>
    <t>A lady does a split on the floor and they finish.</t>
  </si>
  <si>
    <t>The ending title appears on the screen.</t>
  </si>
  <si>
    <t>v_FzdLe1mjk7c</t>
  </si>
  <si>
    <t>There is a wall of paintings then the scene fades out.</t>
  </si>
  <si>
    <t>People are standing on a balcony over looking a soccer event and the screen says Wuzler Cup Finale.</t>
  </si>
  <si>
    <t>Two rows of people are playing table soccer.</t>
  </si>
  <si>
    <t>The ball jumped off the table and a woman put it back into play and a goal was made.</t>
  </si>
  <si>
    <t>There are cheerleaders for this event.</t>
  </si>
  <si>
    <t>The red team won and are showing off their tshirts.</t>
  </si>
  <si>
    <t>The scene changes to a reported behind a desk.</t>
  </si>
  <si>
    <t>v_PxEu0AAH9LI</t>
  </si>
  <si>
    <t>A group of women wearing blue dresses are dancing on a stage in sync they dropped to the ground and the screen fades to black.</t>
  </si>
  <si>
    <t>A woman alone then appears on the stage with white words on the bottom left that say "BALLET D'ORIENT",and a special effect background and she begins to belly dance, then other women join her.</t>
  </si>
  <si>
    <t>The spotlight fades as the routine ends and the screen fades to black.</t>
  </si>
  <si>
    <t>v_f0lxilPpXeM</t>
  </si>
  <si>
    <t>A man and woman are sitting behind a desk talking.</t>
  </si>
  <si>
    <t>A doctor is performing surgery in a room.</t>
  </si>
  <si>
    <t>A woman in a red shirt is standing at a counter talking.</t>
  </si>
  <si>
    <t>A woman wipes her mouth with a napkin.</t>
  </si>
  <si>
    <t>v_YeNlYRWhFzE</t>
  </si>
  <si>
    <t>An intro leads into several shots of a man riding a large wave of a surf board from various angles.</t>
  </si>
  <si>
    <t>One man is then interviewed by the cameraman and is shown again riding large waves in the ocean.</t>
  </si>
  <si>
    <t>Another man is interviewed by the camera and shows off his surfing skills on his board.</t>
  </si>
  <si>
    <t>v_k8ZXFB6xqZs</t>
  </si>
  <si>
    <t>A man is outside in a tennis court talking while he is holding a tennis racket.</t>
  </si>
  <si>
    <t>He goes on the court and with the racket and a ball from his pocket and hits it.</t>
  </si>
  <si>
    <t>He gives some very detailed information a for a while, tennis seems to be something he knows about very well.</t>
  </si>
  <si>
    <t>He shows how you should hit the ball properly and goes on talking some more.</t>
  </si>
  <si>
    <t>v_tkHJgKq3jTs</t>
  </si>
  <si>
    <t>woman is in an offece talking to a men that are decorating a christmas tree.</t>
  </si>
  <si>
    <t>man talks to the one who was standing by the tree and gives him a barbie.</t>
  </si>
  <si>
    <t>man walks to a woman and start talking in te corner of the room.</t>
  </si>
  <si>
    <t>man is holding a ball next to the christmas tree putting the balls.</t>
  </si>
  <si>
    <t>v_0IN40z63WAU</t>
  </si>
  <si>
    <t>A man is shown working out on several different pieces of exercise equipment as well as adjusting the settings.</t>
  </si>
  <si>
    <t>The man puts in a USB and continues to ride around on the machines.</t>
  </si>
  <si>
    <t>He adjusts more settings as well as watches tv when he works out and close ups of his feet and body shown.</t>
  </si>
  <si>
    <t>v_bWquUXC2Te8</t>
  </si>
  <si>
    <t>A man is seen looking to the camera wile holding a razor.</t>
  </si>
  <si>
    <t>He begins shaving his face while looking into the mirror.</t>
  </si>
  <si>
    <t>He points to the razor and continues shaving his face and looking to the camera.</t>
  </si>
  <si>
    <t>v_GSXP6BYeS-o</t>
  </si>
  <si>
    <t>1 A guy shows the tools to clip his cats nails.</t>
  </si>
  <si>
    <t>2 The guy wraps up the cat.</t>
  </si>
  <si>
    <t>3 The Guy cut the cats nails and the cat tries to bite him a few times.</t>
  </si>
  <si>
    <t>4 The guy lets the cat go.</t>
  </si>
  <si>
    <t>v_etqiXPKlthk</t>
  </si>
  <si>
    <t>A young man drinks six bottles of beer while a person stand on front him holding a chronometer.</t>
  </si>
  <si>
    <t>Then, the young man spits beer on the person who fall on the ground.</t>
  </si>
  <si>
    <t>After, the person stand sand take off his pants and t-shirt, then he crowls on the grass.</t>
  </si>
  <si>
    <t>v_l0aksT_7wKo</t>
  </si>
  <si>
    <t>A man is seen laying on the floor while speaking out loud and crossing his arms overs his chest.</t>
  </si>
  <si>
    <t>The man then does several crunches in various ways and ends by speaking to the camera.</t>
  </si>
  <si>
    <t>v_VcyO9tZ3NkY</t>
  </si>
  <si>
    <t>A roof is repaired by PVC.</t>
  </si>
  <si>
    <t>The roof is cleaned and the seal is made again.</t>
  </si>
  <si>
    <t>v_Q7R3ajucvyE</t>
  </si>
  <si>
    <t>The boy holds open his eyelids and places in a contact lens.</t>
  </si>
  <si>
    <t>The man tilts back his head and closes his eyes to adjust the contact lens.</t>
  </si>
  <si>
    <t>The man rubs his eyes then opens them wide to show the contacts.</t>
  </si>
  <si>
    <t>v_nDGhaYCgRiI</t>
  </si>
  <si>
    <t>people is in a gym doing exercise some push ups and stretching.</t>
  </si>
  <si>
    <t>men start settle the gym and bring some mats and strings to ge gym.</t>
  </si>
  <si>
    <t>people are balancing on the srings on the gym and jumping in the elastic bed in gym class.</t>
  </si>
  <si>
    <t>men and women are balancing on th string and doing tricks making jumps.</t>
  </si>
  <si>
    <t>v_PKdQIdYuXo8</t>
  </si>
  <si>
    <t>man is standing holding an harmonica while is playing the guitar and its reading the music sheet.</t>
  </si>
  <si>
    <t>man is teaching how to play the harmonica in the key of A and its talking and playing the guitar.</t>
  </si>
  <si>
    <t>v_ha40KZvmcEo</t>
  </si>
  <si>
    <t>Several clips are shown of people riding in water on kayaks.</t>
  </si>
  <si>
    <t>The people perform flips in the water while text is shown.</t>
  </si>
  <si>
    <t>More clips are shown of people riding in the water and doing flips in the kayaks.</t>
  </si>
  <si>
    <t>v_YApgx2YL9wM</t>
  </si>
  <si>
    <t>A firefighter is shown walking on a tight rope in his gear very slowly.</t>
  </si>
  <si>
    <t>He moves along the rope towards the end and walks back to the start until he fails.</t>
  </si>
  <si>
    <t>v_7vXt9RxeXWY</t>
  </si>
  <si>
    <t>A man is standing up behind him talking.</t>
  </si>
  <si>
    <t>The man on the mat has a brown belt around his waist.</t>
  </si>
  <si>
    <t>v_16Mq9vM7Nck</t>
  </si>
  <si>
    <t>Two people are seen walking out of a building and leads into them playing crochet with one another.</t>
  </si>
  <si>
    <t>The men continue hitting the ball around the yard while speaking to one another and measuring out the ball.</t>
  </si>
  <si>
    <t>The men continue playing and one holding out his arm and end by walking away.</t>
  </si>
  <si>
    <t>v_78je-JBAqxQ</t>
  </si>
  <si>
    <t>A man is blowing a whislet in front of a room filled with people.</t>
  </si>
  <si>
    <t>They are playing beer pong with several red solo cups, drinking in between plays.</t>
  </si>
  <si>
    <t>A blonde woman watches as a man wins the game, hugging the woman next to him.</t>
  </si>
  <si>
    <t>v_w5J3Gt5WLwU</t>
  </si>
  <si>
    <t>A water polo match is shown and a person scores goals.</t>
  </si>
  <si>
    <t>This is a recruiting video.</t>
  </si>
  <si>
    <t>v_HCraAphAW1A</t>
  </si>
  <si>
    <t>A person in a black t-shirt clips the nails on the front paws of a brown and tan speckled cat.</t>
  </si>
  <si>
    <t>A brown and tan speckled cat is lying on a white cushion when a person walks in holding a pair of red handled nail clippers.</t>
  </si>
  <si>
    <t>The person cuts the forepaws of the cat as the cat watches on.</t>
  </si>
  <si>
    <t>The person finishes cutting the cat's nails and pets the cats head and shows the clippers close to the camera before walking away.</t>
  </si>
  <si>
    <t>v_f0Z-qud2N74</t>
  </si>
  <si>
    <t>Two boys are wrestling in a bedroom.</t>
  </si>
  <si>
    <t>One boy is picked up and thrown on the bed.</t>
  </si>
  <si>
    <t>The boy turns off the camera.</t>
  </si>
  <si>
    <t>v_rrXdhD3WDy4</t>
  </si>
  <si>
    <t>A piercing artist inserts a bar into a woman's nipple.</t>
  </si>
  <si>
    <t>The man screws on hardware to the end of the piercing.</t>
  </si>
  <si>
    <t>The woman wearing a costume sits up and shows her new piercings.</t>
  </si>
  <si>
    <t>v_Sn8IRyUFNac</t>
  </si>
  <si>
    <t>A woman smoking a cigarette speaks to another about how much they need smoking.</t>
  </si>
  <si>
    <t>They continue talking about their smoking habit and what they can do to continue smoking if they please.</t>
  </si>
  <si>
    <t>v_aVDyPmUgHU0</t>
  </si>
  <si>
    <t>A man comes onto the screen to introduce a video about him trimming trees.</t>
  </si>
  <si>
    <t>He picks up a trimming saw and starts the engine.</t>
  </si>
  <si>
    <t>He climbs the ladder and begins trimming the tree.</t>
  </si>
  <si>
    <t>He looks back to the camera and smiles.</t>
  </si>
  <si>
    <t>v_FYv-2ehoGWo</t>
  </si>
  <si>
    <t>A blonde woman wearing a dress has two, side by side shots of her playing a violin.</t>
  </si>
  <si>
    <t>She plays two different melodies on the violin and finishes together at the same time, smiling at the camera.</t>
  </si>
  <si>
    <t>v_UIZN2F8pjzE</t>
  </si>
  <si>
    <t>A man is standing outside in the dark smoking a cigarette in front of a green garage.</t>
  </si>
  <si>
    <t>After,an image of a lung is shown and shows how cigarettes affect your organs.</t>
  </si>
  <si>
    <t>v_KKbfCtmIE0o</t>
  </si>
  <si>
    <t>A woman demonstrates how to do Tai Chi outside on the grass.</t>
  </si>
  <si>
    <t>The same woman demonstrates Tai Chi indoors on a stage.</t>
  </si>
  <si>
    <t>A second woman joins the first woman to help demonstrate.</t>
  </si>
  <si>
    <t>v_VeU_EBE-YPE</t>
  </si>
  <si>
    <t>There are several Seagull brand acoustic guitars are shown displayed in a store.</t>
  </si>
  <si>
    <t>A man dressed in black, seated on a stool is playing the acoustic guitar in the store where the guitars are displayed.</t>
  </si>
  <si>
    <t>The man continues playing the guitar.</t>
  </si>
  <si>
    <t>v_4CTczKzaPa4</t>
  </si>
  <si>
    <t>Several men stand around a pinata.</t>
  </si>
  <si>
    <t>A man spins a blindfolded man around.</t>
  </si>
  <si>
    <t>The blindfolded man takes a few swings at the pinata.</t>
  </si>
  <si>
    <t>A woman in red shirt laughs.</t>
  </si>
  <si>
    <t>v_DDZFQKi1v2U</t>
  </si>
  <si>
    <t>A woman is seen laying on the couch with another girl sitting above her.</t>
  </si>
  <si>
    <t>The girl is then shown piercing the nipple of the girl laying down.</t>
  </si>
  <si>
    <t>She finishes the piercing and ends by smiling to the camera.</t>
  </si>
  <si>
    <t>v_7c5vvEn3uLk</t>
  </si>
  <si>
    <t>A cowboy is riding on a horse in a large arena and is swinging his rope.</t>
  </si>
  <si>
    <t>The view changes to show a group of men with their horses and they're each holding onto their ropes and doing various things with them like tying and swinging them.</t>
  </si>
  <si>
    <t>The focus switches to a man talking whose name is Trevor Brazile and it flashes from him talking and then to clips of him riding his horse in different arenas as he is also wrangling a small calf.</t>
  </si>
  <si>
    <t>Another man by the name of Stran Smith is now talking and clips of him riding his horse in different arenas as he wrangles a calf also plays.</t>
  </si>
  <si>
    <t>Clips of both of men talking and clips of them riding horses and wrangling calves play and rotate between the two of them.</t>
  </si>
  <si>
    <t>The outro video begins and it shows a hanging banner at the arena that reads "CALGARY STAMPEDE", a woman riding a horse and holding a red flag that say's "1912-2012 Calgary Stampede",and a calf is running across a dirt field.</t>
  </si>
  <si>
    <t>v_hS4L3PMfYqA</t>
  </si>
  <si>
    <t>A person sings on front a crowd dressed on hip hop clothes.</t>
  </si>
  <si>
    <t>A man dance hip hop doing acrobatics moves with his hands and legs on the floor on front a crowd.</t>
  </si>
  <si>
    <t>People takes pictures and film the man who are behind the man.</t>
  </si>
  <si>
    <t>v_-5xWaBSwnjY</t>
  </si>
  <si>
    <t>woman is in a large green field holding a yellow frisbee and playing with a dog.</t>
  </si>
  <si>
    <t>a lot of acrs are parked in the street behind the alrge field.</t>
  </si>
  <si>
    <t>woman is throwing the frisbee to the dog.</t>
  </si>
  <si>
    <t>v_DxNIzbD6uD4</t>
  </si>
  <si>
    <t>A woman is seen speaking to the camera in front of a large exercise bar and begins standing on the equipment while speaking and using her hands.</t>
  </si>
  <si>
    <t>The woman continues to demonstrate how to properly execute the exercises while moving her arms and legs back and fourth.</t>
  </si>
  <si>
    <t>v_S4ppfXBp5o0</t>
  </si>
  <si>
    <t>There are three body builders exercising and working out in a small gym with weightlifting equipment.</t>
  </si>
  <si>
    <t>One of the body builders lifts the weight bar several times and then drops it down while the other two body builders watch him.</t>
  </si>
  <si>
    <t>Then he goes and wipes off his sweat with a towel and lifts the weight bar again and drops it.</t>
  </si>
  <si>
    <t>He then wears an abdominal belt and lifts the weight bar again and drops it.</t>
  </si>
  <si>
    <t>He struggles to lift the weight bar, lifts it slightly and then drops it down.</t>
  </si>
  <si>
    <t>v_Hujj6Q1Et3k</t>
  </si>
  <si>
    <t>A man wearing headphones stands behind a pair of large drums.</t>
  </si>
  <si>
    <t>The man plays drums with his palms.</t>
  </si>
  <si>
    <t>The man ceases playing the drums and turns away.</t>
  </si>
  <si>
    <t>v_Mcutz37Bowg</t>
  </si>
  <si>
    <t>A man lays out a scarf and puts some accessories in the middle of it.</t>
  </si>
  <si>
    <t>He ties the end and folds it into double knots.</t>
  </si>
  <si>
    <t>He opens it again and puts something else into the middle of it.</t>
  </si>
  <si>
    <t>Then pulls it together and it closes, he made a little bag out of a scarf.</t>
  </si>
  <si>
    <t>v_Lbdp-HCjWw8</t>
  </si>
  <si>
    <t>An introduction comes onto the screen for a video about how to play squash.</t>
  </si>
  <si>
    <t>Two men are shown on a squash court playing a game of squash.</t>
  </si>
  <si>
    <t>Text shows up on the screen showing the things you will need for the game.</t>
  </si>
  <si>
    <t>An indication shows on the screen letting you know the different lines.</t>
  </si>
  <si>
    <t>Tips for the game also show up on the screen.</t>
  </si>
  <si>
    <t>At the end of the video a text box shows up with a fun fact about squash.</t>
  </si>
  <si>
    <t>v_Vvco5y9PUFM</t>
  </si>
  <si>
    <t>A man cross a parking lot bouncing with bouncing shoes.</t>
  </si>
  <si>
    <t>There are car in the paring lot.</t>
  </si>
  <si>
    <t>v_YpXe04ALJw4</t>
  </si>
  <si>
    <t>Several people are outdoors enjoying the beach.</t>
  </si>
  <si>
    <t>In the middle of the sand however,there are a group of men playing a game of beach volley ball.</t>
  </si>
  <si>
    <t>After several hits,one man decides to kick the ball over the net and another man takes off running from the other side and tackles him in the dirt.</t>
  </si>
  <si>
    <t>v_dtT0BzjTStw</t>
  </si>
  <si>
    <t>A coach gives instructions to boys in a basketball court.</t>
  </si>
  <si>
    <t>Then, two young men demonstrate the boys how to pass and shoot the ball in the basket.</t>
  </si>
  <si>
    <t>After, the young man helps the boys throw the ball in the basket, while by two run passing the ball to shoot in a basket.</t>
  </si>
  <si>
    <t>Then, the boys practice basketball defense taking turns while running to the other side of the court.</t>
  </si>
  <si>
    <t>v_5t_hQVg9NsE</t>
  </si>
  <si>
    <t>Old clips are shown of a man drawing a picture and two children watching.</t>
  </si>
  <si>
    <t>The kids are then shown in several clips performing dives off a board and walk along the sides climbing back to the top.</t>
  </si>
  <si>
    <t>v_P14X14uarj0</t>
  </si>
  <si>
    <t>A person is seen passing a basketball all around a court to others and ending by shooting a basket.</t>
  </si>
  <si>
    <t>The group continues to pass the ball around to one another performing drills while the coach instructs.</t>
  </si>
  <si>
    <t>v_B0jASjqZl7s</t>
  </si>
  <si>
    <t>A man is seen speaking to the camera and leads of a clip of people riding down a snowy hill on tubes.</t>
  </si>
  <si>
    <t>More people are seen riding down the hill while pointing to one another.</t>
  </si>
  <si>
    <t>The group continues riding down the hill while also stopping to talk to the camera.</t>
  </si>
  <si>
    <t>v_qiw2I1oQIVQ</t>
  </si>
  <si>
    <t>Several black and white photos are being shown of people who played drums.</t>
  </si>
  <si>
    <t>A group of drum players gather, playing in a room.</t>
  </si>
  <si>
    <t>Their playing is interspersed with images of sheet music, then returns to their performance.</t>
  </si>
  <si>
    <t>v_Y5puaQ9oNVw</t>
  </si>
  <si>
    <t>The gymnasts run to and then did cartwheel and thumbling as he go through the end of the mat.</t>
  </si>
  <si>
    <t>The player jumped and cartwheel high.</t>
  </si>
  <si>
    <t>The male gymnast rotate up in the air and then he landed on the end of the mat.</t>
  </si>
  <si>
    <t>v_CBDFNn15G90</t>
  </si>
  <si>
    <t>Several shots are shown of forests that lead into a person gearing up and riding in a kayak.</t>
  </si>
  <si>
    <t>The person paddles themselves along the rough river as well as showing other people riding along.</t>
  </si>
  <si>
    <t>They move past rough waters along the river and end by sitting near one another.</t>
  </si>
  <si>
    <t>v_aJsAuChVmlY</t>
  </si>
  <si>
    <t>A woman is seen inside a bathroom.</t>
  </si>
  <si>
    <t>She is using a dryer to blow dry her hair.</t>
  </si>
  <si>
    <t>She occasionally uses a brush to help speed the process.</t>
  </si>
  <si>
    <t>v_k67UWfSt-iE</t>
  </si>
  <si>
    <t>A small group of people are seen playing a game of volleyball while people watch along the sidelines.</t>
  </si>
  <si>
    <t>The players hit the ball several times over the net as well as chasing after the ball.</t>
  </si>
  <si>
    <t>The continue to play the game while others cheer and high five one another after.</t>
  </si>
  <si>
    <t>v_mJQS2T-IVWc</t>
  </si>
  <si>
    <t>A man in a hard hat walks across a yard to a metal structure.</t>
  </si>
  <si>
    <t>He adjusts a ladder and leans it up against the structure, walks back to look, and adjusts it a couple more times.</t>
  </si>
  <si>
    <t>When satisfied, he tightens a strap, and grabs a second ladder.</t>
  </si>
  <si>
    <t>He climbs up, taking this one with him.</t>
  </si>
  <si>
    <t>v_LLD4SapVrgQ</t>
  </si>
  <si>
    <t>BMX waiting at the gate for the gate to come down and the race to begin.</t>
  </si>
  <si>
    <t>They take off on the track going really fast through it really fast.</t>
  </si>
  <si>
    <t>Florida has several locations for BMXing if you love to do it and don't know where to go, they have 1500 licensed riders and 30 sponsored teams.</t>
  </si>
  <si>
    <t>They even have some bikes for mini riders that want to be like their daddy's.</t>
  </si>
  <si>
    <t>v_TJFl99tLNWk</t>
  </si>
  <si>
    <t>Different shades of nail polish bottles are seen.</t>
  </si>
  <si>
    <t>Pieces of taper are wrapped around the tips of fingers around the nails.</t>
  </si>
  <si>
    <t>Different shades of nail polish are applied to a foam pad then dabbed on the finger nails.</t>
  </si>
  <si>
    <t>A clear coating is coating is applied onto the nails.</t>
  </si>
  <si>
    <t>The tape is removed and the edges are cleaned up with nail polish remover solution.</t>
  </si>
  <si>
    <t>v_5zPTTiJiXUY</t>
  </si>
  <si>
    <t>A woman is sitting in a car barefoot, trying to drive.</t>
  </si>
  <si>
    <t>She lights a cigarette as she drives.</t>
  </si>
  <si>
    <t>v_mQCFphhDFw8</t>
  </si>
  <si>
    <t>A man in yellow shirt and black tights, walked towards the bike, bend over and unscrew the screw.</t>
  </si>
  <si>
    <t>The man in yellow shirt took out his tools from his pocket, he took off the bike wheel from the bike, pull out a yellow tool, insert it between the rubber and metal, removed the rubber inside the tire, tried to find the hole, took a square cloth, wipe the tire, then put the sticker, he pumped the rubber then put it back in the tire.</t>
  </si>
  <si>
    <t>The person screw the wheel back to the bike.</t>
  </si>
  <si>
    <t>v_WWip1_lFvGg</t>
  </si>
  <si>
    <t>A person holds their eye open.</t>
  </si>
  <si>
    <t>They put a contact lens in the eye.</t>
  </si>
  <si>
    <t>They then take the contact lens out of their eye.</t>
  </si>
  <si>
    <t>v_c4GQ3WTOeAA</t>
  </si>
  <si>
    <t>A small child is seen sitting on a coach opening a present.</t>
  </si>
  <si>
    <t>The camera pans all around her while she opens the present and smiles to the camera.</t>
  </si>
  <si>
    <t>She continues to try to open the box while looking and smiling.</t>
  </si>
  <si>
    <t>v_k_z03d9w_Mk</t>
  </si>
  <si>
    <t>A woman and man wearing matching green color dance on stage during a performance.</t>
  </si>
  <si>
    <t>The man spins his partner during the dance.</t>
  </si>
  <si>
    <t>The dancers kick up there feet while dancing.</t>
  </si>
  <si>
    <t>v_qknJO39WUGk</t>
  </si>
  <si>
    <t>A boy talks to the camera.</t>
  </si>
  <si>
    <t>The boy scrubs a metal sink with a brush.</t>
  </si>
  <si>
    <t>The boy switches his grip on the brush.</t>
  </si>
  <si>
    <t>v_aaMrQi25WHc</t>
  </si>
  <si>
    <t>Three people sit on front the ocean.</t>
  </si>
  <si>
    <t>A man surfs on a small wave, then fly in the air and lands on the shore.</t>
  </si>
  <si>
    <t>A person takes picture to the surfer.</t>
  </si>
  <si>
    <t>The man continues surfing, spinning and jumping, after he takes his surfboard and walks on the beach.</t>
  </si>
  <si>
    <t>A surfer turn over in a wave.</t>
  </si>
  <si>
    <t>v_8K_gkiWH5EI</t>
  </si>
  <si>
    <t>A surfer is standing in the ocean current.</t>
  </si>
  <si>
    <t>A couple of other surfers join him as they surf into the waves.</t>
  </si>
  <si>
    <t>They rides the waves to the shore together.</t>
  </si>
  <si>
    <t>v_kIIAJsYMjyc</t>
  </si>
  <si>
    <t>A man is seen sitting on the floor and jumping to a standing position.</t>
  </si>
  <si>
    <t>he then goes back in to a kneeling position and jumps to his feet again.</t>
  </si>
  <si>
    <t>The same man does this two more times.</t>
  </si>
  <si>
    <t>v_MRt7pz2OY5M</t>
  </si>
  <si>
    <t>A black intro screen appears and it has the words SUPER WASH in the middle.</t>
  </si>
  <si>
    <t>A red car and a car behind it is at a car wash and both of them are being worked on by two sets of people at each car.</t>
  </si>
  <si>
    <t>Now there are 3 cars visible and the same men are working on washing the red car while another man starts working on the 3rd car that's to the side of the red car and all the cars continue to get washed.</t>
  </si>
  <si>
    <t>The red car is parked outside of the building and it's clean, dry and very shiny.</t>
  </si>
  <si>
    <t>v_i69NhEDno_M</t>
  </si>
  <si>
    <t>People are driving a car down a street.</t>
  </si>
  <si>
    <t>They are paddling in a boat down a river.</t>
  </si>
  <si>
    <t>A man is standing in the water holding an oar.</t>
  </si>
  <si>
    <t>v_rwUlqI6HWyY</t>
  </si>
  <si>
    <t>A chef in a white chef’s uniform stands in an empty commercial kitchen and demonstrates how to make an omelette.</t>
  </si>
  <si>
    <t>A chef stands in a kitchen talks to the camera before taking an egg and pouring it into a mini black skillet.</t>
  </si>
  <si>
    <t>The chef maneuvers the egg over the stove with a fork gently prodding it.</t>
  </si>
  <si>
    <t>The chef then fold the egg in half in the skillet and plates it on a white plate before turning to the camera and talking again.</t>
  </si>
  <si>
    <t>v_RWTLd_0BeAg</t>
  </si>
  <si>
    <t>Two girls are dancing and twirling batons on a gym floor.</t>
  </si>
  <si>
    <t>One of the girls leaves and the other girl continues dancing alone.</t>
  </si>
  <si>
    <t>She starts throwing the batons in the air.</t>
  </si>
  <si>
    <t>The second girl joins her again and they finish dancing.</t>
  </si>
  <si>
    <t>v_b2YyPJ02NNQ</t>
  </si>
  <si>
    <t>We see a babies and kids playing.</t>
  </si>
  <si>
    <t>Kids walk on silts in circles.</t>
  </si>
  <si>
    <t>The kids walk in lines on their stilts.</t>
  </si>
  <si>
    <t>A man helps a girl walk on slits.</t>
  </si>
  <si>
    <t>A kid on stilts falls to their knees.</t>
  </si>
  <si>
    <t>Kids walk in a circle on their stilts.</t>
  </si>
  <si>
    <t>I see a closing screen and it fade to black.</t>
  </si>
  <si>
    <t>v_jJNDLjhemaE</t>
  </si>
  <si>
    <t>We see an indoor hockey game.</t>
  </si>
  <si>
    <t>The goalie blocks a shot and a handful of players fight over the puck.</t>
  </si>
  <si>
    <t>The puck hits the referee and knocks him over.</t>
  </si>
  <si>
    <t>The goalie blocks a shot.</t>
  </si>
  <si>
    <t>v_BahcBS2r0es</t>
  </si>
  <si>
    <t>Several children sit along a pool.</t>
  </si>
  <si>
    <t>They are all wearing flippers.</t>
  </si>
  <si>
    <t>A girl is underwater wearing scuba gear.</t>
  </si>
  <si>
    <t>Several children practice wearing scuba gear.</t>
  </si>
  <si>
    <t>v_j-FGgYaQVio</t>
  </si>
  <si>
    <t>A woman in an office is holding a pair of grooming clippers while standing next to a black dog who is standing on a table next to her while tethered to a metal pole on the table.</t>
  </si>
  <si>
    <t>The woman begins to groom the dogs face with the clippers.</t>
  </si>
  <si>
    <t>The woman then begins to groom under the dogs front legs.</t>
  </si>
  <si>
    <t>Finally, the woman grooms the dogs back legs and tail before a blue and white advertising sign populates.</t>
  </si>
  <si>
    <t>v_WJ4tCIdAgVo</t>
  </si>
  <si>
    <t>A girl is tying a blind fold around another while several children on look and an adult holds the girl in place.</t>
  </si>
  <si>
    <t>The girl is then handed a bat and attempts to break open a pinata.</t>
  </si>
  <si>
    <t>The girl succeeds in breaking the pinata and the children get very excited.</t>
  </si>
  <si>
    <t>v_MDdCBN1o2sE</t>
  </si>
  <si>
    <t>A camera pans all around the sky and shows a close up of a kite.</t>
  </si>
  <si>
    <t>A person is seen standing on the ground and pans back to the kite.</t>
  </si>
  <si>
    <t>The kite continues to move in the air while a person continue flying it.</t>
  </si>
  <si>
    <t>v_fZ729TTJq8g</t>
  </si>
  <si>
    <t>We see a bike tire and a man interviews BMX bike riders.</t>
  </si>
  <si>
    <t>We see the riders names and countries.</t>
  </si>
  <si>
    <t>The men wait then take off riding around the track.</t>
  </si>
  <si>
    <t>A man falls off his bike and the bike slides.</t>
  </si>
  <si>
    <t>Another man falls off his bike and is almost run over.</t>
  </si>
  <si>
    <t>The man interviews two men after the race and the screen goes green.</t>
  </si>
  <si>
    <t>v_zEyFuCsJh3Y</t>
  </si>
  <si>
    <t>People are working out on cycle bikes in a gym.</t>
  </si>
  <si>
    <t>A woman in the front stands up and pedals on the bike.</t>
  </si>
  <si>
    <t>A banner hanging on the wall is shown.</t>
  </si>
  <si>
    <t>v_3nvVkcxxaJ4</t>
  </si>
  <si>
    <t>A man in black is sitting and playing at a piano while a man in red is standing near drums.</t>
  </si>
  <si>
    <t>As the man in black plays, the man in red is rolling up a wire.</t>
  </si>
  <si>
    <t>The man in red begins bobbing his head to the beat of the piano music.</t>
  </si>
  <si>
    <t>The man then places the wire down.</t>
  </si>
  <si>
    <t>v_N6vpa6BarX4</t>
  </si>
  <si>
    <t>A boat is seen riding along the water with people sitting on the sides and watching.</t>
  </si>
  <si>
    <t>A young boy is then seen swimming underwater that leads into people riding the boat and driving around a city.</t>
  </si>
  <si>
    <t>The camera continues to pan around the city as well as the nightlife.</t>
  </si>
  <si>
    <t>v_ujWG6rjlN3s</t>
  </si>
  <si>
    <t>woman are practicing jumps in a cheerlading team.</t>
  </si>
  <si>
    <t>woman is laying down in a bed and a man is assisting her.</t>
  </si>
  <si>
    <t>v_0gkxTQGR6zI</t>
  </si>
  <si>
    <t>There are two people dressed in red shirts and blue shorts playing ping pong in a large stadium with lots of spectators watching them.</t>
  </si>
  <si>
    <t>The players play a long round of ping pong as they continue to maintain a great rally.</t>
  </si>
  <si>
    <t>The player on the right slices the ball across the ping pong table as he returns the ball to his opponent.</t>
  </si>
  <si>
    <t>The opponent manages to return the ball without missing it.</t>
  </si>
  <si>
    <t>They continue to play a great rally as one of the players literally jumps on the ping pong table to return the ball.</t>
  </si>
  <si>
    <t>The other player falls down on the ground trying to hit the ball back to his opponent.</t>
  </si>
  <si>
    <t>v_Va3NsrY1DJ8</t>
  </si>
  <si>
    <t>A man is on a tighrope in the snowy woods.</t>
  </si>
  <si>
    <t>He bounches high into the air, off the rope and back on.</t>
  </si>
  <si>
    <t>He continues this action throughout the video.</t>
  </si>
  <si>
    <t>v_GVn7MSMHXxk</t>
  </si>
  <si>
    <t>A teen boy is running on the beach.</t>
  </si>
  <si>
    <t>A dog is chasing him, trying to catch his frisbee.</t>
  </si>
  <si>
    <t>He throws the frisbee, and the dog jumps into the air to catch it.</t>
  </si>
  <si>
    <t>v__0sDAdyMtnk</t>
  </si>
  <si>
    <t>We see a man conducting an orchestra.</t>
  </si>
  <si>
    <t>We see a lady in a blue dress is playing in front of the other players.</t>
  </si>
  <si>
    <t>We see the lady from the back, and we see the other players.</t>
  </si>
  <si>
    <t>We see a shot of the whole orchestra.</t>
  </si>
  <si>
    <t>We see the basoon players playing.</t>
  </si>
  <si>
    <t>We fade to black and the video ends.</t>
  </si>
  <si>
    <t>v_bd3Df5_QMNw</t>
  </si>
  <si>
    <t>A picture of a dog in shown in a tub and leads into hands holding tools and a dog wandering around a tub.</t>
  </si>
  <si>
    <t>The person puts toothpaste onto a brush and brushes the dog's teeth back and fourth.</t>
  </si>
  <si>
    <t>Finally she puts gel in the dog's mouth and the dog is seen sitting on a bed waving to the camera.</t>
  </si>
  <si>
    <t>v_X5_KlfVvi6E</t>
  </si>
  <si>
    <t>Two woman are seen performing on a stage with one playing a flute and the other playing the piano.</t>
  </si>
  <si>
    <t>The women play a song while the camera zooms in on the flute player and them bowing and leaving in the end.</t>
  </si>
  <si>
    <t>v_NtX9Q0QX3sw</t>
  </si>
  <si>
    <t>A man cleans a window using a soft squeegee with detergent while explaining, then the man takes a steel wiper to clean the detergent on the window.</t>
  </si>
  <si>
    <t>Then, the man applies more detergent with the soft squeegee, then clean with the steep wiper.</t>
  </si>
  <si>
    <t>After, the man wash again the window using the soft squeegee and the steel wipe while explaining the procedure.</t>
  </si>
  <si>
    <t>v_TfFVoogTDJY</t>
  </si>
  <si>
    <t>The bikers are biking on the ramp, while on the starting line the group of bikers are in positioned.</t>
  </si>
  <si>
    <t>The small fence was put down the the bikers went bike racing over the big ramps.</t>
  </si>
  <si>
    <t>The spectators are on the side of the tracks.</t>
  </si>
  <si>
    <t>v_a6Wwa7qvlrA</t>
  </si>
  <si>
    <t>A man holds an iron that pass on top a painting.</t>
  </si>
  <si>
    <t>A man snowboard down a hill holding a stick.</t>
  </si>
  <si>
    <t>Snow flying in the air lands on the face of the man, then the man continue snowboarding.</t>
  </si>
  <si>
    <t>After, the man arrives to the ski station.</t>
  </si>
  <si>
    <t>v_cyJAifECfH0</t>
  </si>
  <si>
    <t>A man is seen bending down before a heavy set of weights.</t>
  </si>
  <si>
    <t>The man then bends down and lifts the weights over his head.</t>
  </si>
  <si>
    <t>He continues to hold the weights up and throws them down in the end while walking away.</t>
  </si>
  <si>
    <t>v_2QeU2xYPdWE</t>
  </si>
  <si>
    <t>A woman prepares for a shot put throw swinging her arms on a sporting field.</t>
  </si>
  <si>
    <t>The athlete winds back her shoulders than spins her body throwing a shot put.</t>
  </si>
  <si>
    <t>v_Paus1tL8KjE</t>
  </si>
  <si>
    <t>Several young men board a small powered boat on a very nice and sunny day.</t>
  </si>
  <si>
    <t>The slowly back the boat out to go water skiing.</t>
  </si>
  <si>
    <t>The boat leaves the dock and they're off.</t>
  </si>
  <si>
    <t>After picking up speed on the powered boat, their friends jump off and have a great time.</t>
  </si>
  <si>
    <t>A line of rope is thrown out for them to grab onto and it begins.</t>
  </si>
  <si>
    <t>They pick up speed and a young woman is skiing on the water at a very brisk pace.</t>
  </si>
  <si>
    <t>She goes back and forth and side to side in slow motion.</t>
  </si>
  <si>
    <t>The friends look back to see how she is doing.</t>
  </si>
  <si>
    <t>A young man is shown skiing on the water and is doing a great job.</t>
  </si>
  <si>
    <t>After he is done he lets go of the line and continues to ski on the water, only to fall back.</t>
  </si>
  <si>
    <t>v_kF7p6irju1Q</t>
  </si>
  <si>
    <t>A couple of women are shown inside a gym.</t>
  </si>
  <si>
    <t>One woman talks to the camera while another shows off dance moves.</t>
  </si>
  <si>
    <t>She demonstrates different ballet moves and positions.</t>
  </si>
  <si>
    <t>v_NrKBxbZXXg4</t>
  </si>
  <si>
    <t>People are rafting down a choppy river.</t>
  </si>
  <si>
    <t>A blue raft goes down a high waterfall.</t>
  </si>
  <si>
    <t>v_VkJ03vm8FJk</t>
  </si>
  <si>
    <t>Two men are holding a flute while one blows and the other moves his hands.</t>
  </si>
  <si>
    <t>An orchestra shows behind the men while they continue playing on the same instrument.</t>
  </si>
  <si>
    <t>The men continue playing until the song is finished and take a bow as the band claps.</t>
  </si>
  <si>
    <t>v_eCNng1eGQ_0</t>
  </si>
  <si>
    <t>We see the title screen on a red background.</t>
  </si>
  <si>
    <t>We see women playing lacrosse.</t>
  </si>
  <si>
    <t>We see the players through the net of a goal.</t>
  </si>
  <si>
    <t>We see a lady in pink talking to the camera.</t>
  </si>
  <si>
    <t>We then see a lady in a blue shirt talking.</t>
  </si>
  <si>
    <t>A lady in a backpack talks to the camera.</t>
  </si>
  <si>
    <t>We then see the ending screen and black.</t>
  </si>
  <si>
    <t>v_NAl-SP-92dI</t>
  </si>
  <si>
    <t>A "Monkeysee com" logo appears on screen with the tagline "See how the experts do it.</t>
  </si>
  <si>
    <t>" A young man stands in the foreground speaking while a female cheerleader stands behind him performing routines.</t>
  </si>
  <si>
    <t>The copyright and logo screen appears on a black screen.</t>
  </si>
  <si>
    <t>v_VOxaxr5LPiQ</t>
  </si>
  <si>
    <t>A shop attendant holds up the hula hoop and shows how to grip it.</t>
  </si>
  <si>
    <t>The woman drops the hoop and lets it spin around her body to the ground.</t>
  </si>
  <si>
    <t>The woman drops the hula hoop and lets it spin around her body then catches it.</t>
  </si>
  <si>
    <t>The woman practices swinging the hoop between two legs.</t>
  </si>
  <si>
    <t>The woman catches the spinning hula hoop as it falls between her legs.</t>
  </si>
  <si>
    <t>The woman spins the hoop upwards around her body.</t>
  </si>
  <si>
    <t>v_ck05xSh9-ig</t>
  </si>
  <si>
    <t>A guy is wiping a car tire.</t>
  </si>
  <si>
    <t>A female walks from driver side lightly rubbing a black cloth on the join the guy.</t>
  </si>
  <si>
    <t>The female throws the black cloth on a car directly above the tire the man is cleaning.</t>
  </si>
  <si>
    <t>The man picks up the black cloth, drops the rug on the sidewalk, and uses it to wipe the tire.</t>
  </si>
  <si>
    <t>v_zE1l4avJZaU</t>
  </si>
  <si>
    <t>A person is making a bow out of ribbon.</t>
  </si>
  <si>
    <t>They tie the ribbon onto a wrapped package.</t>
  </si>
  <si>
    <t>They tape the bow they made onto the package.</t>
  </si>
  <si>
    <t>v_y3Ll1puxM8c</t>
  </si>
  <si>
    <t>A black screen appears and the white words read "Nevena &amp; Goran Rodry-Go! El Mambo del Tra".</t>
  </si>
  <si>
    <t>A man and woman appear outdoors on a concrete brick deck and they begin dancing a routine in unison that include arm movements, steps, spins and various other dance moves.</t>
  </si>
  <si>
    <t>They stop dancing and the woman walks closer to the camera and sings to it while the man behind her dances along.</t>
  </si>
  <si>
    <t>She stops singing and they both laugh and walk away.</t>
  </si>
  <si>
    <t>v_wxoe1M2L4Qo</t>
  </si>
  <si>
    <t>A camera records a shop with two people standing inside, eventually leading over to a group of people standing by docks.</t>
  </si>
  <si>
    <t>A man walks down the docks while another holds a bucket and the camera pans to a woman talking.</t>
  </si>
  <si>
    <t>The woman puts on a vest and goggles and walks down into a boat.</t>
  </si>
  <si>
    <t>She talks to the camera while adjusting her goggles and is led over to the water wearing a tank.</t>
  </si>
  <si>
    <t>She hops in the water with the man and climbs back into the boat talking to the camera.</t>
  </si>
  <si>
    <t>v_Z8yNbpjUSLc</t>
  </si>
  <si>
    <t>A woman is in a kitchen talking about how to make lemonde.</t>
  </si>
  <si>
    <t>She presents various ingredients that you need to have.</t>
  </si>
  <si>
    <t>She blends all the juices together into a grinder to make a mixture.</t>
  </si>
  <si>
    <t>She then pours the mixture into a glass and drinks the juice.</t>
  </si>
  <si>
    <t>v_3zT7x5jZEfI</t>
  </si>
  <si>
    <t>Several shots of an audience cheering are shown as well as many clips of impressive sports events happening.</t>
  </si>
  <si>
    <t>People hit volleyballs back and fourth to one another while also showing clips of the people celebrating with their team mates.</t>
  </si>
  <si>
    <t>v_DXG4djsPk7s</t>
  </si>
  <si>
    <t>A person is wind surfing out on a lake.</t>
  </si>
  <si>
    <t>Other windsurfers pass behind him.</t>
  </si>
  <si>
    <t>v_lrxLP-R_ILw</t>
  </si>
  <si>
    <t>A girl does a tutorial on how to pack a bag.</t>
  </si>
  <si>
    <t>She then gives ballerina tips, especially on how to treat one's feet right.</t>
  </si>
  <si>
    <t>v_LFbW1KVHT8s</t>
  </si>
  <si>
    <t>a elder man is on water standing on a jet ski.</t>
  </si>
  <si>
    <t>The man begins to jet ski.</t>
  </si>
  <si>
    <t>The man takes on hand off of the handle.</t>
  </si>
  <si>
    <t>The man places both hands back on the handle and jet skis.</t>
  </si>
  <si>
    <t>v_gjyT6Rt985k</t>
  </si>
  <si>
    <t>A man walking very slowly toward a woman as she walks slowly towards him.</t>
  </si>
  <si>
    <t>They meet up and begin their dance, it is very intense and very well done, they work very well together,when they are done they bow and high five each other while the audience cheers for them.</t>
  </si>
  <si>
    <t>Then one of the judges stands up and speaks to them, causing them to smile and be more ecstatic.</t>
  </si>
  <si>
    <t>Another female judge critics them and the woman dancer runs up and hugs them, then the final judge tells them what he thinks of their performance.</t>
  </si>
  <si>
    <t>v_7PSicg5Q2ZI</t>
  </si>
  <si>
    <t>A woman in a green shirt stands in a kitchen.</t>
  </si>
  <si>
    <t>She stands in front of several ingredients.</t>
  </si>
  <si>
    <t>She cuts a lemon in half.</t>
  </si>
  <si>
    <t>She laughs a lot throughout the video.</t>
  </si>
  <si>
    <t>v_ze4292jVUcQ</t>
  </si>
  <si>
    <t>A group of people in swim caps are playing volleyball in an outdoor pool, surrounded by a spattering of onlookers, and an upright digital scoreboard.</t>
  </si>
  <si>
    <t>A yellow ball flies into the right side of the pool and the people in the pool swim and move it to the left side of the pool, while a man in all white tracks them from the side of the pool on a raised cement border.</t>
  </si>
  <si>
    <t>A person in the front spikes the yellow ball against a blue goal and past a goal blocker in the pool.</t>
  </si>
  <si>
    <t>A person on the far left of the pool throws the ball into the right side of the pool where all of the players swim to follow it.</t>
  </si>
  <si>
    <t>v_A7PBp9PDW80</t>
  </si>
  <si>
    <t>A young boy is seen looking off into the distance as well as a girl.</t>
  </si>
  <si>
    <t>People are seen walking inside followed by clips of people fencing.</t>
  </si>
  <si>
    <t>More shots are shown of people practicing and a girl bumping into an older man.</t>
  </si>
  <si>
    <t>v_X2LI_I_qw-A</t>
  </si>
  <si>
    <t>A group of kids are hanging out by a picnic table.</t>
  </si>
  <si>
    <t>A young girl peels potatoes.</t>
  </si>
  <si>
    <t>A young boy cuts the potatoes.</t>
  </si>
  <si>
    <t>v_7uumfT4aGLU</t>
  </si>
  <si>
    <t>A male gymnast is in an arena full of people and grabs two bars to begin his routine.</t>
  </si>
  <si>
    <t>After he is on the bars,he does several flips and turns before landing his performance and leaving the mat.</t>
  </si>
  <si>
    <t>v_RAaRFD5M8h4</t>
  </si>
  <si>
    <t>A close up of a dog is seen with a person holding a razor.</t>
  </si>
  <si>
    <t>The person then holds up the dogs face and begins trimming around it's eyes.</t>
  </si>
  <si>
    <t>The person continues shaving and ends by combing it's face.</t>
  </si>
  <si>
    <t>v_R586XlFT7Go</t>
  </si>
  <si>
    <t>A woman is seen speaking to the camera and leads into a woman running and interviewing other runners.</t>
  </si>
  <si>
    <t>She interviews two twins while running and the news shows off other runners in the area.</t>
  </si>
  <si>
    <t>v_M96TST6CN4M</t>
  </si>
  <si>
    <t>A large man is seen bending down on his knees moving his arms around and looking off into the distance.</t>
  </si>
  <si>
    <t>The man continues moving all around on the mat performing various martial arts moves and moving back and fourth to the camera.</t>
  </si>
  <si>
    <t>v_7QvvqWJRwNo</t>
  </si>
  <si>
    <t>People are sliding down a snowy slope with inflated tires.</t>
  </si>
  <si>
    <t>A child stands in the tire and jumps for joy.</t>
  </si>
  <si>
    <t>An adult gets up and pulls both tires.</t>
  </si>
  <si>
    <t>v_3VkqckKyshc</t>
  </si>
  <si>
    <t>A man dressed in a camouflaged suit is standing in a large grassy field with other people and he's pulling on a string we can barely see.</t>
  </si>
  <si>
    <t>There are a lot of other people moving around on the field doing their own thing.</t>
  </si>
  <si>
    <t>The camera angles are changing and when we get a close up of the man we can finally see the string he is pulling on.</t>
  </si>
  <si>
    <t>v_V90aT-d_FKo</t>
  </si>
  <si>
    <t>A woman is bathing two white colored puppies in an orange tub filled with water.</t>
  </si>
  <si>
    <t>She is joined by a man wearing a wrist watch, who helps the woman bathe the two puppies.</t>
  </si>
  <si>
    <t>One of the puppies tries to step out of the tub and the man holds him and puts him back in.</t>
  </si>
  <si>
    <t>The woman continues washing the puppies.</t>
  </si>
  <si>
    <t>v_OM0jqPYx700</t>
  </si>
  <si>
    <t>A man in black shirt wipe the table with white cloth.</t>
  </si>
  <si>
    <t>The white lights are reflected on the table.</t>
  </si>
  <si>
    <t>The man wipe the edge of the table with white rag.</t>
  </si>
  <si>
    <t>v__0mR06FcftE</t>
  </si>
  <si>
    <t>A woman is doing a tutorial on how to clean a kitchen sink with baking soda, a toothbrush and cloth rag.</t>
  </si>
  <si>
    <t>She first takes some baking soda on the rag and scrubs it on the sink.</t>
  </si>
  <si>
    <t>Then she takes the toothbrush and dips it in the baking soda.</t>
  </si>
  <si>
    <t>she brushes the toothbrush on the sink edges to clean it.</t>
  </si>
  <si>
    <t>She turns on the tap and washes the baking soda off of the sink.</t>
  </si>
  <si>
    <t>Then she takes some vinegar on the wash cloth and wipes the sink down with it.</t>
  </si>
  <si>
    <t>v_wlAnWPxnQ8k</t>
  </si>
  <si>
    <t>girlwearnig a purple body is in fornt of a balance pole and make a jump to stands on top.</t>
  </si>
  <si>
    <t>the girl is doing gymnastics on top of balance beam.</t>
  </si>
  <si>
    <t>people in the stands around the court are watching the kid doing gymnastics.</t>
  </si>
  <si>
    <t>the girl make a big somersault and lands on the floor.</t>
  </si>
  <si>
    <t>v_jEN2smSwZ-o</t>
  </si>
  <si>
    <t>A man with tattoed arms swabs the ear of young lady with an ear swab.</t>
  </si>
  <si>
    <t>The lady stand up and looks at herself in the mirror.</t>
  </si>
  <si>
    <t>She lays down on a black medical chair and the man pierces her ear's tragus with medical tools.</t>
  </si>
  <si>
    <t>The lady looks at herself and her new piercing in the mirror, smiles and gives two thumbs up.</t>
  </si>
  <si>
    <t>The words "If you want to know anything else about piercing just comment or message me:) New beauty videos along with a makeup collection will be up soon Bveeees&lt;3" appear on screen.</t>
  </si>
  <si>
    <t>v_RW7LEc-Ykh8</t>
  </si>
  <si>
    <t>A gymnast walks up to a beam, preparing himself.</t>
  </si>
  <si>
    <t>He mounts the beam, then does several acts around it, including spinning and flipping.</t>
  </si>
  <si>
    <t>He dismounts and walks away.</t>
  </si>
  <si>
    <t>v_SthTqCtPg7s</t>
  </si>
  <si>
    <t>A camera captures a net in front of the sky and shows two people preparing ropes for bungee jumping.</t>
  </si>
  <si>
    <t>The camera man jumps off the ledge and shows his feet while spinning around.</t>
  </si>
  <si>
    <t>Another camera captured his jump from the bottom and leads into several people waiting at the bottom and driving away.</t>
  </si>
  <si>
    <t>v_uC27rJLCn70</t>
  </si>
  <si>
    <t>A young boy in a blue jacket pulls onto a donut snow tube.</t>
  </si>
  <si>
    <t>Two young kids watch him.</t>
  </si>
  <si>
    <t>The whole group goes down the snow.</t>
  </si>
  <si>
    <t>v_pYUqRy9Ujaw</t>
  </si>
  <si>
    <t>man is wearing a back wetsuit doing windsurf in a lake.</t>
  </si>
  <si>
    <t>man is windsurfing in a lake doing tricks.</t>
  </si>
  <si>
    <t>he man windsurfing say hi to the camera.</t>
  </si>
  <si>
    <t>v_ObqrS-ZONKM</t>
  </si>
  <si>
    <t>A couple is seen performing a tango routine with one another in a small room.</t>
  </si>
  <si>
    <t>The people continue spinning and dancing all around the room and ends with them stopping and facing the camera.</t>
  </si>
  <si>
    <t>v_s3JuGKwna6o</t>
  </si>
  <si>
    <t>A group sits at a cafe table and enjoys cafe and pastries.</t>
  </si>
  <si>
    <t>The women pass condiments to each other.</t>
  </si>
  <si>
    <t>A small group sits on a balcony and talk.</t>
  </si>
  <si>
    <t>v_VEzhpSPnBrY</t>
  </si>
  <si>
    <t>A man is kneeling down on the ground.</t>
  </si>
  <si>
    <t>He is pulling on a cord that is attached to the wall.</t>
  </si>
  <si>
    <t>He continues pulling on the cord and working out.</t>
  </si>
  <si>
    <t>v_M4IUb6kp2yo</t>
  </si>
  <si>
    <t>A man walks up to a hedge carrying a large pair of hedge trimmers.</t>
  </si>
  <si>
    <t>He shows how to trim the hedges neatly, going down them a little at a time.</t>
  </si>
  <si>
    <t>He stops, talking to the camera as he goes.</t>
  </si>
  <si>
    <t>v_gzuLIo5ZR9A</t>
  </si>
  <si>
    <t>We see a little girl holding the leash for a big dog.</t>
  </si>
  <si>
    <t>The little girl falls and drops the leash.</t>
  </si>
  <si>
    <t>The little girl then follows the dog to get the leash.</t>
  </si>
  <si>
    <t>She gets the leash and walks the dog.</t>
  </si>
  <si>
    <t>v_wuZkli4TSZQ</t>
  </si>
  <si>
    <t>A woman is seen standing before pinata and swinging a bat.</t>
  </si>
  <si>
    <t>People watch on the side as the woman continue to hit the object.</t>
  </si>
  <si>
    <t>The woman swings over and over and a man comes into frame to kick it.</t>
  </si>
  <si>
    <t>v_DlJPKOVd0bA</t>
  </si>
  <si>
    <t>A group of children are standing outside a building.</t>
  </si>
  <si>
    <t>Adults supervise them as an officer walks by.</t>
  </si>
  <si>
    <t>The kids perform various exercises led by the adults.</t>
  </si>
  <si>
    <t>v_AS0hqTk_mIs</t>
  </si>
  <si>
    <t>In 2009, a man is shown sitting at a table.</t>
  </si>
  <si>
    <t>He has two rubik's cubes in front of him.</t>
  </si>
  <si>
    <t>As a timer runs, he solves the puzzle using only one hand.</t>
  </si>
  <si>
    <t>He jumps up in victory after only 17 seconds.</t>
  </si>
  <si>
    <t>v_DrigU09Wf7k</t>
  </si>
  <si>
    <t>The person is climbing on the stairs as the waves hit them, the surfers are surfing over the strong waves.</t>
  </si>
  <si>
    <t>Two people carrying their surfboards are climbing on the stairs.</t>
  </si>
  <si>
    <t>The people behind fence are watching the surfers as the run before the big wave hit them.</t>
  </si>
  <si>
    <t>v_o_Davs3OrOw</t>
  </si>
  <si>
    <t>A little boy wearing goggles jumps into a pool.</t>
  </si>
  <si>
    <t>He dives down to the bottom and picks something up off the bottom of the pool.</t>
  </si>
  <si>
    <t>He swims back to the top and above water.</t>
  </si>
  <si>
    <t>v_wZgSzWl5Hgg</t>
  </si>
  <si>
    <t>A line of people pick up a rope.</t>
  </si>
  <si>
    <t>They begin playing a game of tug of war.</t>
  </si>
  <si>
    <t>One side falls over and the crowd cheers.</t>
  </si>
  <si>
    <t>v_VIjOP5ZBvHg</t>
  </si>
  <si>
    <t>A black screen appears with the words,"Ticas Grooming Purse" along with their url.</t>
  </si>
  <si>
    <t>A dog is then shown hanging from a silver pole with two straps on him.</t>
  </si>
  <si>
    <t>A human then begins grabbing the dogs paws as the little dog tries to bite her.</t>
  </si>
  <si>
    <t>The grooming continues and then the dog is eventually put back down on the ground.</t>
  </si>
  <si>
    <t>v_OMYnLCWTdEA</t>
  </si>
  <si>
    <t>A man is squatting down in a big open room talking.</t>
  </si>
  <si>
    <t>The man demonstrates how to do a dance move.</t>
  </si>
  <si>
    <t>He then does the move several times and hops up to his feet.</t>
  </si>
  <si>
    <t>v_8JgckTuL1WA</t>
  </si>
  <si>
    <t>People are playing a game of badminton on a court.</t>
  </si>
  <si>
    <t>People are sitting behind them watching the game.</t>
  </si>
  <si>
    <t>A girl in a pink shirt picks up the ball.</t>
  </si>
  <si>
    <t>v_Ouy1exEw_dI</t>
  </si>
  <si>
    <t>A man prepares himself on a dock to go water skiing.</t>
  </si>
  <si>
    <t>He launches into the water as the boat guns off.</t>
  </si>
  <si>
    <t>The man holds onto the rope while gliding through the water, looking very confident and skilled.</t>
  </si>
  <si>
    <t>The boat is tied up on the dock and the man is finished for the day.</t>
  </si>
  <si>
    <t>v_LublNVXGH5I</t>
  </si>
  <si>
    <t>A man points to and picks up a pressurized spray can to display it.</t>
  </si>
  <si>
    <t>The man then picks up a roll of paper towels.</t>
  </si>
  <si>
    <t>The man shakes the pressurized spray can.</t>
  </si>
  <si>
    <t>The man sprays the window where the stain is and wipes the area with a paper towel.</t>
  </si>
  <si>
    <t>sprays the glass cleaner on the middle of the window in multiple spots and wipes them off.</t>
  </si>
  <si>
    <t>v_rZmNsUX-7SU</t>
  </si>
  <si>
    <t>A girl and a dog are on the swing set.</t>
  </si>
  <si>
    <t>They swing up and back down.</t>
  </si>
  <si>
    <t>They swing up and back down again.</t>
  </si>
  <si>
    <t>v_0xJPQ1I8-e0</t>
  </si>
  <si>
    <t>The man in blue helmet is paddling through the water current.</t>
  </si>
  <si>
    <t>Two rafts are stuck in running water.</t>
  </si>
  <si>
    <t>The people are paddling through the water but they are stuck in one spot.</t>
  </si>
  <si>
    <t>v_6Bm-_hI5A9A</t>
  </si>
  <si>
    <t>A man is shown playing a violin in front of a video game being played on tv.</t>
  </si>
  <si>
    <t>The man continues playing the instrument while the tv in the background shows a game being played.</t>
  </si>
  <si>
    <t>v_pF-r_m8LVPs</t>
  </si>
  <si>
    <t>A large group of people are seen standing at the bottom of a snowy hill speaking to one another.</t>
  </si>
  <si>
    <t>The people are then seen riding in tubes and going down a snowy trail.</t>
  </si>
  <si>
    <t>Several shots are shown of people riding down the mountain while looking and smiling to the camera.</t>
  </si>
  <si>
    <t>v_HnM44lX65cQ</t>
  </si>
  <si>
    <t>A seated man is using a sharpener to sharpen a large knife.</t>
  </si>
  <si>
    <t>He scrapes it along the surface and underbelly of the knife, sharpening it.</t>
  </si>
  <si>
    <t>v_L1XpfS1RCzE</t>
  </si>
  <si>
    <t>The person is riding a blue single raft.</t>
  </si>
  <si>
    <t>The man is paddling through the strong current of water.</t>
  </si>
  <si>
    <t>The man fell in the small falls.</t>
  </si>
  <si>
    <t>v_34cQhizPKfc</t>
  </si>
  <si>
    <t>A video of back country skiing is shown.</t>
  </si>
  <si>
    <t>The group prepares its equipment and then looks at its yurt.</t>
  </si>
  <si>
    <t>They then show skiing videos.</t>
  </si>
  <si>
    <t>v_lUw8OA9R4mQ</t>
  </si>
  <si>
    <t>A large group of people are seen standing around a room with a woman in front grabbing a drink.</t>
  </si>
  <si>
    <t>The woman puts her drink down and begins leading a group of people dancing around.</t>
  </si>
  <si>
    <t>The group continues to dance around while the camera captures their movements.</t>
  </si>
  <si>
    <t>v_HM3Rd5ZcME8</t>
  </si>
  <si>
    <t>A girl wearing a white ski jacket runs along the ski slope pulling an orange inner tube.</t>
  </si>
  <si>
    <t>A tubing attendant assists a group of kids load up on their inner tubes.</t>
  </si>
  <si>
    <t>The kids slide down the slope together in their inner tubes.</t>
  </si>
  <si>
    <t>The kids climb back up the tubing slope and slide down on their inner tubes once again.</t>
  </si>
  <si>
    <t>v_27e4y89XeyI</t>
  </si>
  <si>
    <t>An older black male is standing in the kitchen ironing a dark grey t-shirt.</t>
  </si>
  <si>
    <t>The man then pauses his ironing and looks at the person who is filming him and continues to put on his shirt.</t>
  </si>
  <si>
    <t>v__il2j9UtSe4</t>
  </si>
  <si>
    <t>A man is seen with messy hair and looking off in the distance.</t>
  </si>
  <si>
    <t>He holds up a coffee cup and turns towards the camera.</t>
  </si>
  <si>
    <t>He then gives a big smile while looking to the camera.</t>
  </si>
  <si>
    <t>v_jIQFVSymHQs</t>
  </si>
  <si>
    <t>An inflatable ball bounces on the grass as kids watch playing a game.</t>
  </si>
  <si>
    <t>A young boy in blue shirt and jeans retrieves the ball and runs towards the group.</t>
  </si>
  <si>
    <t>v_cP2LVnGxiww</t>
  </si>
  <si>
    <t>This man is shown holding a pumpkin in the beginning of the video then he carves the top off and gets the seeds and everything else out of the pumpkin.</t>
  </si>
  <si>
    <t>Someone gives one of the snow dogs a piece of the pumpkin.</t>
  </si>
  <si>
    <t>Then he puts the stencil on the pumpkin and carves a snow dog into the pumpkin.</t>
  </si>
  <si>
    <t>v_rBVbsbJJcyM</t>
  </si>
  <si>
    <t>An introduction comes onto the screen for a fine linen company.</t>
  </si>
  <si>
    <t>A woman explains that she will describe how to fold cloth napkins.</t>
  </si>
  <si>
    <t>She starts by pressing the napkin with a hot iron.</t>
  </si>
  <si>
    <t>She folds the napkin and continues to press it some more.</t>
  </si>
  <si>
    <t>v_Wr7YbcQ_Q9g</t>
  </si>
  <si>
    <t>A young boy mows the front lawn in a suburban residential neighborhood.</t>
  </si>
  <si>
    <t>A young boy in t-shirt and shorts maneuvers a lawn moves back and forth across a small patch of lawn as he mows the lawn.</t>
  </si>
  <si>
    <t>The boy then walks the mower down a longer stretch of lawn near the corner across from a stop sign.</t>
  </si>
  <si>
    <t>v_R_ffZ9kGeTI</t>
  </si>
  <si>
    <t>A large open outdoor area is shown by a moving camera.</t>
  </si>
  <si>
    <t>A man wearing a helmet is shown riding a skateboard with a long wooden plan base in various outdoors locations.</t>
  </si>
  <si>
    <t>A second rider joins the first rider on the skateboard.</t>
  </si>
  <si>
    <t>A clip of a man not wearing a helmet and riding another skateboard is shown.</t>
  </si>
  <si>
    <t>The helmeted man with the plank as a skateboard is shown again.</t>
  </si>
  <si>
    <t>Several other individuals riding other skateboards are shown.</t>
  </si>
  <si>
    <t>The original skateboarder is shown again.</t>
  </si>
  <si>
    <t>v_QjaqFPDoImc</t>
  </si>
  <si>
    <t>A man is running through a concrete sidewalk with steps in his Kangaroo shoes.</t>
  </si>
  <si>
    <t>More people appear and they too begin to jump throughout crowds of people.</t>
  </si>
  <si>
    <t>v_H0gSWEElh6A</t>
  </si>
  <si>
    <t>There's a man demonstrating how to use a hand setting tool.</t>
  </si>
  <si>
    <t>He is hammering nails into a wooden bar.</t>
  </si>
  <si>
    <t>He uses the tool to properly align the nails before hammering it in.</t>
  </si>
  <si>
    <t>He then demonstrates how the hammering process would look without using the alignment tool.</t>
  </si>
  <si>
    <t>Then he uses the alignment tool to show thew difference it makes to hammer a nail into wood when the tool is used.</t>
  </si>
  <si>
    <t>v_0-auIBOTx9E</t>
  </si>
  <si>
    <t>A skinny man,is talking on the phone bowling and knocks down all the bowling pins.</t>
  </si>
  <si>
    <t>Next,he has to go through several obstacles to roll the ball down and he ends up making it anyways.</t>
  </si>
  <si>
    <t>Some of them include,bowling with pins in the lane,standing from behind a chart,and even doing it with his eyes covered.</t>
  </si>
  <si>
    <t>v_dsCJ4xdRq-Q</t>
  </si>
  <si>
    <t>A group of four boys are at a table.</t>
  </si>
  <si>
    <t>As a timer counts, a boy is trying to solve a rubik's cube.</t>
  </si>
  <si>
    <t>He solves the cube, and shakes hands with the other boys.</t>
  </si>
  <si>
    <t>v_Q711Ki5aFHw</t>
  </si>
  <si>
    <t>A group dances in a spotlight wearing traditional chines robes and hats.</t>
  </si>
  <si>
    <t>The men pretend to pull imaginary ropes.</t>
  </si>
  <si>
    <t>The men crouch down one after the other and thrust there hips.</t>
  </si>
  <si>
    <t>The men stand back to back in a partial circle and dance.</t>
  </si>
  <si>
    <t>The men hold up there arms like a Hindu goddess.</t>
  </si>
  <si>
    <t>v_WwcbpTANbeU</t>
  </si>
  <si>
    <t>A view is seen of a deep canyon with a lift above it.</t>
  </si>
  <si>
    <t>A man is dressed in bungee gear by another man.</t>
  </si>
  <si>
    <t>He jumps out, then swings back and forth over the thin waters.</t>
  </si>
  <si>
    <t>v_bV4xdc71azY</t>
  </si>
  <si>
    <t>man is in a kichen holding a pan on stove and preparing an omelette.</t>
  </si>
  <si>
    <t>man is holding a bag and holds the pan, grab some cheese fom he bag and bend the omelette.</t>
  </si>
  <si>
    <t>v_PTkNBVyhUuo</t>
  </si>
  <si>
    <t>A group of people are seen standing around bow and arrows then the camera camera down a long line of people shooting bows.</t>
  </si>
  <si>
    <t>A man is then seen speaking to the camera followed by Several shots of random people shooting the arrows to a target.</t>
  </si>
  <si>
    <t>Many people watch on the sidelines and is followed by more shots of people shooting bows.</t>
  </si>
  <si>
    <t>v_JlgDwIT9KLI</t>
  </si>
  <si>
    <t>A red bowl contains a spoon and tuna fish in chunks.</t>
  </si>
  <si>
    <t>Someone pours mayonnaise into the tuna, as well as seasoning.</t>
  </si>
  <si>
    <t>The substance is mixed together, then spread onto the bread to make a sandwich.</t>
  </si>
  <si>
    <t>v_PUGP8PSlJEA</t>
  </si>
  <si>
    <t>A man is rock climbing on a wall next to a rock.</t>
  </si>
  <si>
    <t>He gets to the top and releases himself to fall to the bottom.</t>
  </si>
  <si>
    <t>v_LHu41OIGw7Q</t>
  </si>
  <si>
    <t>A camera pans around a lake area and leads into a person climbing into a kayak.</t>
  </si>
  <si>
    <t>The person then begins paddling along the water while moving underneath bridges.</t>
  </si>
  <si>
    <t>The person continues paddling all along the water and looking up to the camera.</t>
  </si>
  <si>
    <t>v_5kXIZCs22l8</t>
  </si>
  <si>
    <t>woman is posing to a camera in a white room.</t>
  </si>
  <si>
    <t>man is standing behind the wmoan cutting her hair with a scissor and the model is posing.</t>
  </si>
  <si>
    <t>v_YamDoDK71Ds</t>
  </si>
  <si>
    <t>A woman in a belly dancing outfit is dancing moving her body very strategically.</t>
  </si>
  <si>
    <t>She has her hands up in the air moving as she moves her hips very quickly.</t>
  </si>
  <si>
    <t>She talks about her love for belly dancing and stuff.</t>
  </si>
  <si>
    <t>Then you see her a different purple belly dancing outfit dancing outside.</t>
  </si>
  <si>
    <t>v_IvkpJMxlRKc</t>
  </si>
  <si>
    <t>A man was peeling a potato using a green peeler.</t>
  </si>
  <si>
    <t>He peeled the middle part one more time.</t>
  </si>
  <si>
    <t>Thrown it in the container.</t>
  </si>
  <si>
    <t>v_JguB9cLEXGY</t>
  </si>
  <si>
    <t>A person is seen holding up a stick followed by several clips of people throwing a javelin.</t>
  </si>
  <si>
    <t>More shots are shown of athletes throwing the javelin great distances while screaming each time after their throw.</t>
  </si>
  <si>
    <t>v_lBfyQsXSvUk</t>
  </si>
  <si>
    <t>A man is sitting in a chair.</t>
  </si>
  <si>
    <t>He is getting a tattoo on his arm.</t>
  </si>
  <si>
    <t>A man watches him get the tattoo.</t>
  </si>
  <si>
    <t>He gets his tattoo wraps with saran wrap.</t>
  </si>
  <si>
    <t>v_9PvtW0Uvnl0</t>
  </si>
  <si>
    <t>A camera pans away from a road and shows a person's feet moving around.</t>
  </si>
  <si>
    <t>Several shots are shown of people tying their shoes, hitting a button, and checking a watch.</t>
  </si>
  <si>
    <t>People are then seen running down the road one at a time followed by many more following.</t>
  </si>
  <si>
    <t>v_pRzFL4_I-cE</t>
  </si>
  <si>
    <t>Several shots of a casino is shown that includes close ups of poker tables and people sitting at a table playing.</t>
  </si>
  <si>
    <t>Many shots are shown of the dealer dealing cards while turning them around and the audience reacting.</t>
  </si>
  <si>
    <t>v_UyqM2sglj1s</t>
  </si>
  <si>
    <t>A person is snowboarding on a mountain.</t>
  </si>
  <si>
    <t>There is a montage of roads leading to a mountain and a chairlift.</t>
  </si>
  <si>
    <t>People jump on ramps and halfpipes.</t>
  </si>
  <si>
    <t>v_sZbkKa2iKrM</t>
  </si>
  <si>
    <t>A text intro leads into a wrestler slamming down another wrestler in a ring.</t>
  </si>
  <si>
    <t>The video continues with more shots of the man pinning down wrestlers.</t>
  </si>
  <si>
    <t>Several more shots are shown and ends with a subscribe option.</t>
  </si>
  <si>
    <t>v_vY77rUOOgwg</t>
  </si>
  <si>
    <t>The man in brown shirt is talking to the camera.</t>
  </si>
  <si>
    <t>The man placed a tool on the carpet with long pole.</t>
  </si>
  <si>
    <t>The man used the stretcher to flatten the carpet on the floor.</t>
  </si>
  <si>
    <t>v_AY2usHrPYL0</t>
  </si>
  <si>
    <t>We see a store, maps, and people on a bus.</t>
  </si>
  <si>
    <t>We see people at the beach.</t>
  </si>
  <si>
    <t>We see people in the lake and in rafts.</t>
  </si>
  <si>
    <t>We see a dog on the raft.</t>
  </si>
  <si>
    <t>We see a person paddling a raft.</t>
  </si>
  <si>
    <t>We see a dog swimming in the river.</t>
  </si>
  <si>
    <t>We see the ending screen in blue.</t>
  </si>
  <si>
    <t>v_GMwV9roiBYo</t>
  </si>
  <si>
    <t>A man is skating on a hockey rink and goes to make a goal.</t>
  </si>
  <si>
    <t>He shoots and makes a point and the crowd cheers.</t>
  </si>
  <si>
    <t>He makes another point and the crowd cheers.</t>
  </si>
  <si>
    <t>A team of yellow jerseys rushes onto the ice to congratulate him.</t>
  </si>
  <si>
    <t>They are lined up on the court while a man in a suit walks away from them.</t>
  </si>
  <si>
    <t>The man in the suit stops and talks to another man.</t>
  </si>
  <si>
    <t>He waves and walks back towards the players.</t>
  </si>
  <si>
    <t>The team beings skating towards the people.</t>
  </si>
  <si>
    <t>They skate across the ice and a man stands on the stands and holds up a trophy.</t>
  </si>
  <si>
    <t>v_eC4l8AuAmKw</t>
  </si>
  <si>
    <t>A large group of people are dancing in pairs on a dance floor.</t>
  </si>
  <si>
    <t>People watch from tables all around the dance floor.</t>
  </si>
  <si>
    <t>A man with a microphone stands on the dance floor.</t>
  </si>
  <si>
    <t>v_tRAntV9Om2o</t>
  </si>
  <si>
    <t>A man wearing a hat is seen putting on gloves and starting up a machine in some tall grass.</t>
  </si>
  <si>
    <t>The man then moves the machine all along the grass to cut it down.</t>
  </si>
  <si>
    <t>He pauses for a moment to speak to the camera and raises his hands up.</t>
  </si>
  <si>
    <t>v_9S9hPRDwi24</t>
  </si>
  <si>
    <t>A stick is being held from the ground.</t>
  </si>
  <si>
    <t>A man uses the croquette bat to hit a ball, then places it back to the ground.</t>
  </si>
  <si>
    <t>v_-t2ikmhg9_w</t>
  </si>
  <si>
    <t>A woman is seated on the floor, talking about a vacuum cleaner.</t>
  </si>
  <si>
    <t>She demonstrates how to apply powder to the carpet, and vacuum it up.</t>
  </si>
  <si>
    <t>She then shows how to clean the vacuum out, and the mechanics of the machine.</t>
  </si>
  <si>
    <t>v_KaGXQh-UHVU</t>
  </si>
  <si>
    <t>A group of people are in a house.</t>
  </si>
  <si>
    <t>A man is mopping the floor with a mop.</t>
  </si>
  <si>
    <t>Another boy attempts to walk through where he is mopping.</t>
  </si>
  <si>
    <t>The man takes a drink of beer and complains to the camera.</t>
  </si>
  <si>
    <t>He mops through the room in between the people.</t>
  </si>
  <si>
    <t>He stops mopping and speaks to the camera.</t>
  </si>
  <si>
    <t>v_1LdbczjQPII</t>
  </si>
  <si>
    <t>A globe is turning with writing in front of it.</t>
  </si>
  <si>
    <t>A man throws a bowling ball into various pins.</t>
  </si>
  <si>
    <t>He bounces it off of trampoline and knocks pins down.</t>
  </si>
  <si>
    <t>The throws a bowling ball off a bridge.</t>
  </si>
  <si>
    <t>A woman throws the ball down at pins.</t>
  </si>
  <si>
    <t>A man catches the bowling ball and throws it to pins.</t>
  </si>
  <si>
    <t>A man bounces it off a car and hits pins.</t>
  </si>
  <si>
    <t>Another trampoline trick is shown.</t>
  </si>
  <si>
    <t>A man throws a bowling ball down a slide and a person catches it at the bottom.</t>
  </si>
  <si>
    <t>A man throws a bowling ball up a hill and it rolls back down and hits pins.</t>
  </si>
  <si>
    <t>Two men bounce balls off trampolines to hit pins.</t>
  </si>
  <si>
    <t>A remote control car drives the bowling ball to hit pins.</t>
  </si>
  <si>
    <t>Two men high five after knocking pins down.</t>
  </si>
  <si>
    <t>A man standing on top of a building throws a ball down and hits pins.</t>
  </si>
  <si>
    <t>v_57J-q04z1Hs</t>
  </si>
  <si>
    <t>Two dancers dance in the center of the floor where there aren't many people watching.</t>
  </si>
  <si>
    <t>They're both wearing black decor and they're turning the batons in many different ways and music is playing.</t>
  </si>
  <si>
    <t>Many people are cheering, some are standing and others are sitting.</t>
  </si>
  <si>
    <t>v_k_bvz0NHKBo</t>
  </si>
  <si>
    <t>Two boys and two girls compete beer pong while other persons watch.</t>
  </si>
  <si>
    <t>Almost all the balls throw by the boys land in the cups, only one ball is missed.</t>
  </si>
  <si>
    <t>The girls talk each other while looking the boys.</t>
  </si>
  <si>
    <t>v_yFOZHa2pn1g</t>
  </si>
  <si>
    <t>A guy is putting a cloth shackles on a lady's ankles.</t>
  </si>
  <si>
    <t>The guy positions the lady at the edge.</t>
  </si>
  <si>
    <t>The lady bungee jumps when the guy removes his hand.</t>
  </si>
  <si>
    <t>v_YUN8d87DNNY</t>
  </si>
  <si>
    <t>A woman is sweeping in front of a barn.</t>
  </si>
  <si>
    <t>Chickens are on the ground behind her.</t>
  </si>
  <si>
    <t>She is shoveling dirt into a wheel barrow.</t>
  </si>
  <si>
    <t>Men are sweeping in front of the barn.</t>
  </si>
  <si>
    <t>A woman is brushing a horse with a brush.</t>
  </si>
  <si>
    <t>v_SzCK4QuEG3c</t>
  </si>
  <si>
    <t>A set of knifes rest on top of pin cones.</t>
  </si>
  <si>
    <t>A pocket knife is taken from wooden box and held with a clamp.</t>
  </si>
  <si>
    <t>The man uses sharpening stones on the blade of the knife.</t>
  </si>
  <si>
    <t>The man cuts through pieces of paper to show the knifes sharpness.</t>
  </si>
  <si>
    <t>A still shot of a hot open fire pit is seen.</t>
  </si>
  <si>
    <t>v_f0rWFvJ7uTk</t>
  </si>
  <si>
    <t>A group of boys line up in a baseball field then run to chase the ball.</t>
  </si>
  <si>
    <t>A woman rolls a kick ball on the field.</t>
  </si>
  <si>
    <t>The ball is returned to the field by someone on the sideline.</t>
  </si>
  <si>
    <t>A boy runs around the bases on the field.</t>
  </si>
  <si>
    <t>The group of boys point and signal to other players on the field.</t>
  </si>
  <si>
    <t>A boy kicks the ball and the other players run around the bases.</t>
  </si>
  <si>
    <t>v_NDvp3JeVWcM</t>
  </si>
  <si>
    <t>There is large indoor gym where a gymnastic event is being held.</t>
  </si>
  <si>
    <t>There is a girl gymnast who is performing on the bars.</t>
  </si>
  <si>
    <t>There are spectators watching her as she swings swiftly.</t>
  </si>
  <si>
    <t>She gets off the bars and is congratulated by her coach.</t>
  </si>
  <si>
    <t>The awards are then presented to the winners of the competition.</t>
  </si>
  <si>
    <t>the winners stand on stage to receive their medals of victory.</t>
  </si>
  <si>
    <t>The score board shows the names of all the winners.</t>
  </si>
  <si>
    <t>v_0-igBOtXYeE</t>
  </si>
  <si>
    <t>Several different wrestling battles are shown with many different wrestlers showcased.</t>
  </si>
  <si>
    <t>A man is hoisted onto the shoulders of another man and is then thrown down onto a table, which breaks in half with the force of his weight.</t>
  </si>
  <si>
    <t>Several more wrestlers are thrown violently onto ring floors and flat surfaces and tables, with one dark and long haired man appearing several times throughout the clip screaming in an animated way.</t>
  </si>
  <si>
    <t>A red haired man talks to a camera near the end of the clip.</t>
  </si>
  <si>
    <t>v_asyXgaH1Sro</t>
  </si>
  <si>
    <t>Two men are talking on the sidewalk.</t>
  </si>
  <si>
    <t>An orange fork lift goes by behind them.</t>
  </si>
  <si>
    <t>One of the men is brushing the other mans hair.</t>
  </si>
  <si>
    <t>The man in the red shirt plays with his hair.</t>
  </si>
  <si>
    <t>v_-L-LiCO1v-s</t>
  </si>
  <si>
    <t>A man standing in front of orange flowers talks.</t>
  </si>
  <si>
    <t>A small dog is laying on the ground.</t>
  </si>
  <si>
    <t>A shower head is shown.</t>
  </si>
  <si>
    <t>A woman is sitting on a bed with the dog.</t>
  </si>
  <si>
    <t>Her and the dog are in the shower.</t>
  </si>
  <si>
    <t>She is spraying the dog with water.</t>
  </si>
  <si>
    <t>A bottle is being held up to be shown.</t>
  </si>
  <si>
    <t>She dries the dog off with a white towel.</t>
  </si>
  <si>
    <t>A robot is dancing on the screen.</t>
  </si>
  <si>
    <t>v_LjfF72Hwpyg</t>
  </si>
  <si>
    <t>A snow piled lawn is shown.</t>
  </si>
  <si>
    <t>A man on a tractor is pulling a kid on a tube over mounds of snow over and over.</t>
  </si>
  <si>
    <t>It ends with the boy close up, and another eating cereal from the top of a staircase.</t>
  </si>
  <si>
    <t>v_V3uCGRAWG2M</t>
  </si>
  <si>
    <t>A representative of the GCN Network is talking and demonstrating how to use tools to fix bike wheels.</t>
  </si>
  <si>
    <t>He is standing near an elevated blue bike with several tools displayed on a wall behind him.</t>
  </si>
  <si>
    <t>He is using an Allen key to lever the bike tire.</t>
  </si>
  <si>
    <t>He rotates the bike tire and then uses the Allen key to adjust the screws.</t>
  </si>
  <si>
    <t>Then he resets the pistons of the wheel to realign them.</t>
  </si>
  <si>
    <t>Then he precisely fits in the attachment into the wheel.</t>
  </si>
  <si>
    <t>v_JtQSDGSKnsY</t>
  </si>
  <si>
    <t>A person uses a vacuum cleaner the clean the carpet of debris in a room sweeping it back and forth.</t>
  </si>
  <si>
    <t>The vacuum cleaner collecting bucket is moved in order to reach a new area of carpet.</t>
  </si>
  <si>
    <t>The person vacuums the carpet area around the couch.</t>
  </si>
  <si>
    <t>The person lifts up the head of the vacuum and examines the wheels underneath.</t>
  </si>
  <si>
    <t>v_ifmHO5lQq18</t>
  </si>
  <si>
    <t>A blonde woman runs and does a high jump repeatedly.</t>
  </si>
  <si>
    <t>A woman in white in the background does a high jump.</t>
  </si>
  <si>
    <t>A black lady walks past the camera.</t>
  </si>
  <si>
    <t>The black lady appears again and adjusts something on the ground.</t>
  </si>
  <si>
    <t>A man raises a red flag.</t>
  </si>
  <si>
    <t>v_tjUuEqmLGeI</t>
  </si>
  <si>
    <t>A girl in her dance uniform is standing with her mom talking waiting for her turn to come up, when it's her turn she and her partner walk on stage.</t>
  </si>
  <si>
    <t>They begin to do their routine with their batons.</t>
  </si>
  <si>
    <t>They work well together and one of the girls does a flip while the other girl holds her, they continue on with the rest of their routine.</t>
  </si>
  <si>
    <t>They end their routine, one of them kneeling and the other behind her and get up and walk off the stage.</t>
  </si>
  <si>
    <t>v_x1wy8QmHZL8</t>
  </si>
  <si>
    <t>A girl in a blue and sparkly costume is standing on a court while holding two batons.</t>
  </si>
  <si>
    <t>The girl begins her baton routine and starts her routine and twirls the batons and her body.</t>
  </si>
  <si>
    <t>Judges at a table watch her the whole time while they also write on a piece of paper.</t>
  </si>
  <si>
    <t>The girl drops her baton, picks it up and then continues on with her routine.</t>
  </si>
  <si>
    <t>v_7iuU-zsauOY</t>
  </si>
  <si>
    <t>A man is deep water scuba diving with some type of machine as if he is searching for something.</t>
  </si>
  <si>
    <t>In the midst,he begins playing with a small fish before continuing on his search.</t>
  </si>
  <si>
    <t>The man continues traveling through the water at a slow pace but he isn't finding anything.</t>
  </si>
  <si>
    <t>v_dI6TWaB6tls</t>
  </si>
  <si>
    <t>Two dancers engage in a ballroom dance in front of a live band and a full televised audience.</t>
  </si>
  <si>
    <t>A woman in a ballroom outfit approaches a man in a ballroom dance, when the two meet they begin to dance across the floor using elaborate footwork during the dance.</t>
  </si>
  <si>
    <t>A phone number inviting people to call in and vote for them appears on the screen along with the network logo.</t>
  </si>
  <si>
    <t>The two continue to dance exhibiting slides, pickups, a last kiss and slides on the dance floor as the people in the audience clap.</t>
  </si>
  <si>
    <t>v_55bimE5eU9E</t>
  </si>
  <si>
    <t>A man and a woman stand by each other as the man speaks.</t>
  </si>
  <si>
    <t>The woman reaches down and lifts a bar.</t>
  </si>
  <si>
    <t>She makes small lifts against her thighs.</t>
  </si>
  <si>
    <t>She continues the small lifts and adds a variance of big lifts.</t>
  </si>
  <si>
    <t>She lifts the bar over her head and brings it down to her thigh area to continue the small lifts.</t>
  </si>
  <si>
    <t>She brings the bar back over her head and drops it down to the ground.</t>
  </si>
  <si>
    <t>v_3HP2E_a9xrU</t>
  </si>
  <si>
    <t>A small child is seen swinging at a pinata with a large group of children behind them.</t>
  </si>
  <si>
    <t>More kids stand up to take a swing at the pinata as parents walk around the kids.</t>
  </si>
  <si>
    <t>One last girl attempts to break the pinata in the end.</t>
  </si>
  <si>
    <t>v_g_T8qK7qTFI</t>
  </si>
  <si>
    <t>People in traffic in a city look irritated as a cop directs traffic.</t>
  </si>
  <si>
    <t>A man sticks something in his ears.</t>
  </si>
  <si>
    <t>A man in a green shirt mocks a cop and people laugh and clap.</t>
  </si>
  <si>
    <t>The cop gives the man a Pepsi.</t>
  </si>
  <si>
    <t>We see the man on the cricket field throwing a ball.</t>
  </si>
  <si>
    <t>The man drinks the Pepsi and we see the closing screen.</t>
  </si>
  <si>
    <t>v_t_D9MYkEPEo</t>
  </si>
  <si>
    <t>an audience claps as a couple appears on stage.</t>
  </si>
  <si>
    <t>They dance gracefully, spinning and twirling.</t>
  </si>
  <si>
    <t>The couple bow as they finish their routine.</t>
  </si>
  <si>
    <t>v__BHoMDR2ZVg</t>
  </si>
  <si>
    <t>A man wearing glasses is seen speaking to the camera in a tattoo shop.</t>
  </si>
  <si>
    <t>The man is laying on a table and waving to the camera.</t>
  </si>
  <si>
    <t>He shows his outline and a man begins tattooing his leg.</t>
  </si>
  <si>
    <t>v_X1WExPnfJjE</t>
  </si>
  <si>
    <t>A young girl is seen sitting in front of the camera running a brush down her long hair.</t>
  </si>
  <si>
    <t>She suddenly jumps and screams towards the camera while smiling and setting the brush down.</t>
  </si>
  <si>
    <t>v_aFVthcfDK9Q</t>
  </si>
  <si>
    <t>A city next a river is displayed on a screen.</t>
  </si>
  <si>
    <t>Reporters talk in a TV set where other people are working.</t>
  </si>
  <si>
    <t>A man wearing white shirt clean his face while looking a mirror.</t>
  </si>
  <si>
    <t>v_pD-zyfLtC6w</t>
  </si>
  <si>
    <t>A biker seated on a bike revs the engine.</t>
  </si>
  <si>
    <t>Another biker is shown seated on a bike, making a gesture with both arms.</t>
  </si>
  <si>
    <t>Scenes of various bikers failing stunt jumps are shown, with occasional crowd reaction and aftermath shots.</t>
  </si>
  <si>
    <t>v__wo35butdOc</t>
  </si>
  <si>
    <t>A lady stands raising a metal disk in one hand.</t>
  </si>
  <si>
    <t>The lady spins with the disk and releases the disk.</t>
  </si>
  <si>
    <t>The lady places a towel around her back.</t>
  </si>
  <si>
    <t>v_zkLld95_bhg</t>
  </si>
  <si>
    <t>Between clips of a man on a catamaran moving in the ocean, black screens appear and different times with different words describing each movement the catamaran makes.</t>
  </si>
  <si>
    <t>The man is now standing on the boat and is pulling on ropes that move on the boat and then is shown once again as the boat is moving.</t>
  </si>
  <si>
    <t>The outro appears and it's a white screen with a picture of the boat and the words "MULTIHULL CENTRAL".</t>
  </si>
  <si>
    <t>v_3AWvyAJv20g</t>
  </si>
  <si>
    <t>A woman folds towels on an ironing board at home.</t>
  </si>
  <si>
    <t>Different clothing items are seen such as shirts, socks, and ties.</t>
  </si>
  <si>
    <t>The woman adds a tag to a piece of clothing and irons it in place.</t>
  </si>
  <si>
    <t>The tag is shown close up.</t>
  </si>
  <si>
    <t>v_HddRC-twMLc</t>
  </si>
  <si>
    <t>There's man dressed in a blue shirt and blue shorts shooting darts in a room that has beige walls.</t>
  </si>
  <si>
    <t>He has two darts in his hands which he aims and shoots at a target.</t>
  </si>
  <si>
    <t>v_-yn3D1fOfr0</t>
  </si>
  <si>
    <t>A woman in a black shirt is talking in front of a Christmas tree.</t>
  </si>
  <si>
    <t>She begins putting decorations on the Christmas tree.</t>
  </si>
  <si>
    <t>She places a gold bow on the top of the tree.</t>
  </si>
  <si>
    <t>Three women are talking in front of the tree.</t>
  </si>
  <si>
    <t>v_CIcVR4m7nOc</t>
  </si>
  <si>
    <t>Several people stand outside of cars.</t>
  </si>
  <si>
    <t>They get in a river on tubes.</t>
  </si>
  <si>
    <t>They float near a large bridge.</t>
  </si>
  <si>
    <t>The water gets a little choppy.</t>
  </si>
  <si>
    <t>v_JVfhBvlv0IY</t>
  </si>
  <si>
    <t>An athletic man is seen standing ready and runs down a long track into a sand pit.</t>
  </si>
  <si>
    <t>The man walks away while looking into the audience followed by another man running into the pit.</t>
  </si>
  <si>
    <t>Several more men take turns running down with their run showed again afterwards.</t>
  </si>
  <si>
    <t>v_efaYmJsTDJc</t>
  </si>
  <si>
    <t>A camera ia seen showing the outside of a home followed by a girl sitting in a tub.</t>
  </si>
  <si>
    <t>She looks to the mirror and has a friend hand her a solo cup.</t>
  </si>
  <si>
    <t>She runs throughout the house outside and shows a close up of mouth wash.</t>
  </si>
  <si>
    <t>v_gLPJ7_VhWVU</t>
  </si>
  <si>
    <t>A young lady explains how to put makeup on the eye lid using a brush.</t>
  </si>
  <si>
    <t>The young lady use an eyeliner to paint the border of the top lid.</t>
  </si>
  <si>
    <t>Then, she puts mascara to her eyelashes, and paint the the lower lid.</t>
  </si>
  <si>
    <t>After, she brush her cheek and put lipstick on the lips.</t>
  </si>
  <si>
    <t>v_xC5RVs9mXyM</t>
  </si>
  <si>
    <t>A large marching band are seen standing in the middle of a big crowd.</t>
  </si>
  <si>
    <t>The band then begins playing with one another in the circle.</t>
  </si>
  <si>
    <t>The people continuing playing with one another while people watch on the sides.</t>
  </si>
  <si>
    <t>v_zFb7PKk_-vA</t>
  </si>
  <si>
    <t>A woman is seen speaking to the camera while a group of people sit in tubes around her.</t>
  </si>
  <si>
    <t>The other people smile and wave to the camera while showing off the other tubes.</t>
  </si>
  <si>
    <t>The people continue to ride around the water while the camera pans all around their movements.</t>
  </si>
  <si>
    <t>v_s24-UW2mnjM</t>
  </si>
  <si>
    <t>This man is roller blading through the streets extremely fast.</t>
  </si>
  <si>
    <t>He jumps over a closed off area and keeps on skating passed people into the streets.</t>
  </si>
  <si>
    <t>He is skating in the streets of paris along with another skater, still skating past people and going down into the subway.</t>
  </si>
  <si>
    <t>He hold on to the back of someones motorcycle and uses it to catch speed and then continues back out of the subway back on to the sidewalks.</t>
  </si>
  <si>
    <t>v_U_Pb3Wm_pb4</t>
  </si>
  <si>
    <t>An orange rope is tied to a tree and dangling in the wind.</t>
  </si>
  <si>
    <t>A man steps up on the rope and begins to walk across it.</t>
  </si>
  <si>
    <t>The man jumps down off of the rope and starts at the beginning to walk across it.</t>
  </si>
  <si>
    <t>The man jumps off again and gets back on the rope and jumps off.</t>
  </si>
  <si>
    <t>The man tightens the rope.</t>
  </si>
  <si>
    <t>The camera shows the ground.</t>
  </si>
  <si>
    <t>v_Uo9q4riquHM</t>
  </si>
  <si>
    <t>It is raining outside while a man is on a lawn mower mowing his lawn.</t>
  </si>
  <si>
    <t>The camera focuses on water dripping down.</t>
  </si>
  <si>
    <t>The man rearranges himself on the mower.</t>
  </si>
  <si>
    <t>He continues to mow the lawn.</t>
  </si>
  <si>
    <t>The camera focuses on the running water again.</t>
  </si>
  <si>
    <t>Then switches back to the running water.</t>
  </si>
  <si>
    <t>v_QosVN26lb1g</t>
  </si>
  <si>
    <t>We see a woman hitting a pinata.</t>
  </si>
  <si>
    <t>The lady pauses to line up her shot.</t>
  </si>
  <si>
    <t>The lady holds the pinata as she hits it.</t>
  </si>
  <si>
    <t>A man takes the bat from the ladies hands.</t>
  </si>
  <si>
    <t>v_ivmBrbO32Qo</t>
  </si>
  <si>
    <t>a man in a lab coat uses a swiffer broom.</t>
  </si>
  <si>
    <t>He rakes it across a floor with cleaning solution.</t>
  </si>
  <si>
    <t>The floor shines as it comes clean beneath his feet.</t>
  </si>
  <si>
    <t>v_HzmT-lvHrpM</t>
  </si>
  <si>
    <t>A man stands with a bicycle on a rack and shows its different parts and features including the wheels.</t>
  </si>
  <si>
    <t>The man turns the crank and the wheel spins on the bike.</t>
  </si>
  <si>
    <t>The man spins the front wheel by hand.</t>
  </si>
  <si>
    <t>The man tightens a screw with his hand tool.</t>
  </si>
  <si>
    <t>v_HafSt7EDin0</t>
  </si>
  <si>
    <t>A basketball is focused on as it sits on a grass.</t>
  </si>
  <si>
    <t>Then it zooms out and a small girl is standing at the beginning of a hopscotch written in chalk, and a man is standing at the end and he throws a piece of chalk her way, it breaks, he hops to pick it up, she picks up the other piece and returns it to the chalk container off to the side.</t>
  </si>
  <si>
    <t>The girl returns to the beginning of the hopscotch and takes her turn, and they go back and forth and play taking turns jumping up and down the hopscotch.</t>
  </si>
  <si>
    <t>v_WhEdTfs7U5E</t>
  </si>
  <si>
    <t>At beach, several volleyball nets in different colors are set up, while people are standing or sitting on the side off the nets.</t>
  </si>
  <si>
    <t>Different teams, with combination of males and females played the beach volleyballs in the nets assigned to them.</t>
  </si>
  <si>
    <t>v_PMy2EyktRmo</t>
  </si>
  <si>
    <t>People are working out on exercise bikes.</t>
  </si>
  <si>
    <t>A man in a blue shirt is standing in front of them running around.</t>
  </si>
  <si>
    <t>v_lj-VovhJcPA</t>
  </si>
  <si>
    <t>A reporter talks in a TV set, then a reporter talks in a park, then a map of London is shown.</t>
  </si>
  <si>
    <t>A man shows a bag with a cigarette and then it is show next of papers.</t>
  </si>
  <si>
    <t>After, the man is in a backyard explaining to the reporter.</t>
  </si>
  <si>
    <t>People are in a park walking, a person with a pet and mother with a child.</t>
  </si>
  <si>
    <t>A man and a woman talk with the reporter.</t>
  </si>
  <si>
    <t>v_avxSMcGBdG8</t>
  </si>
  <si>
    <t>Individuals play croquet, with the camera only showing their lower legs an the balls and mallets.</t>
  </si>
  <si>
    <t>A group of people in witch costumes stand together as one talks.</t>
  </si>
  <si>
    <t>More small videos of people playing croquet are shown.</t>
  </si>
  <si>
    <t>The group of people in witch costumes are shown again.</t>
  </si>
  <si>
    <t>A series of croquet teams are shown, with some of them wearing costumes.</t>
  </si>
  <si>
    <t>The group of people in witch costumes is shown once more.</t>
  </si>
  <si>
    <t>Yet more small videos of people playing croquet are shown.</t>
  </si>
  <si>
    <t>And ending title screen is shown.</t>
  </si>
  <si>
    <t>v_n9P4ltD0g2k</t>
  </si>
  <si>
    <t>He starts cutting up fruit and putting it in the glass.</t>
  </si>
  <si>
    <t>He starts mashing the fruit with a stick.</t>
  </si>
  <si>
    <t>He adds ice to the glass and pours alcohol in.</t>
  </si>
  <si>
    <t>He shakes the drink and pours it into a tall glass.</t>
  </si>
  <si>
    <t>He adds some liquid and stirs it with a straw.</t>
  </si>
  <si>
    <t>v_tEAEFVJGGG0</t>
  </si>
  <si>
    <t>A man trims the bush on the lawn with a electric cutter.</t>
  </si>
  <si>
    <t>v_I9ZeyASdgTk</t>
  </si>
  <si>
    <t>A person turn on a button of a device with a long road next to a wood box.</t>
  </si>
  <si>
    <t>Then, the man put the rod in a hole and sparks come out, after the man end doing sparkles.</t>
  </si>
  <si>
    <t>v_nnWON1EzK0o</t>
  </si>
  <si>
    <t>A person is seen riding on a horse into a pit chasing down a baby calf.</t>
  </si>
  <si>
    <t>The man ropes the calf and jumps off the horse to tie him up then walks back to the horse.</t>
  </si>
  <si>
    <t>v_9ZGy24Geu5k</t>
  </si>
  <si>
    <t>A man is seen in the ocean on a surf board.</t>
  </si>
  <si>
    <t>The man glides towards an on coming wave.</t>
  </si>
  <si>
    <t>The man then jumps over the wave.</t>
  </si>
  <si>
    <t>The man then rides the inside of a new wave.</t>
  </si>
  <si>
    <t>v_maXU1lGguxs</t>
  </si>
  <si>
    <t>A beautiful young woman holding a violin in hand begins to motion back and forth against the strings with the bow to play a song that she has practiced.</t>
  </si>
  <si>
    <t>The nicely dressed woman in black with white sleeves continues playing and smiling intermittently while eloquently holding down different chords and notes in the corner of the room next to a piano dancing back and forth as she plays.</t>
  </si>
  <si>
    <t>The woman stops playing and smiles once more before walking out of view of the camera putting the violin down and ending the song.</t>
  </si>
  <si>
    <t>v_EfJIu_moZaE</t>
  </si>
  <si>
    <t>A person goes sailing by another boat in the water.</t>
  </si>
  <si>
    <t>Several scenes are shown of people sailing on the boats.</t>
  </si>
  <si>
    <t>A man is standing and talking to the camera.</t>
  </si>
  <si>
    <t>v_TjMdEjgAKLw</t>
  </si>
  <si>
    <t>A man stands on metal stilts an pulls a large straight edge over a ceiling to flatten out the plaster.</t>
  </si>
  <si>
    <t>The man reaches the nearest side and then turns around to continue.</t>
  </si>
  <si>
    <t>The man reaches the far side of the room and turns around to continue.</t>
  </si>
  <si>
    <t>The man finishes and lowers the straight edge tool smiling.</t>
  </si>
  <si>
    <t>v_ykcLgz3DlYg</t>
  </si>
  <si>
    <t>We see half a cake on a form with a person hand pointing to things.</t>
  </si>
  <si>
    <t>We see the person spins the cake with the cardboard above it.</t>
  </si>
  <si>
    <t>A person scrapes wax paper over the cake.</t>
  </si>
  <si>
    <t>We see a whole globe covered in chocolate.</t>
  </si>
  <si>
    <t>v_WP8YccCA2Jc</t>
  </si>
  <si>
    <t>Man scraps the ice from his windshield.</t>
  </si>
  <si>
    <t>The man in black puts a piece of cardboard on his windshield.</t>
  </si>
  <si>
    <t>Man pours hot water mixture on his cold windshield.</t>
  </si>
  <si>
    <t>v_YNVK-pb7fWM</t>
  </si>
  <si>
    <t>Two women are seen sitting in a park with one behind the other.</t>
  </si>
  <si>
    <t>One girl begins braiding the hair of another while sitting behind.</t>
  </si>
  <si>
    <t>The girl finishes the hair while the other looks back to the camera.</t>
  </si>
  <si>
    <t>v_eEfvYiuGULM</t>
  </si>
  <si>
    <t>Athletes throw a javelin across the field during a competition in a stadium.</t>
  </si>
  <si>
    <t>The athlete is not pleased with his throw and slaps his legs in frustration.</t>
  </si>
  <si>
    <t>The athlete is moderately pleased with his throw and claps his hands walking away and nods his head.</t>
  </si>
  <si>
    <t>A scoreboard is seen with the results of the competition.</t>
  </si>
  <si>
    <t>v_nDRaXY5ddPs</t>
  </si>
  <si>
    <t>A person is using a mop to mop the floor.</t>
  </si>
  <si>
    <t>A small dog is chasing the mop.</t>
  </si>
  <si>
    <t>They continue to mop with the dog on the mop.</t>
  </si>
  <si>
    <t>v_ZKo3_ifK2tQ</t>
  </si>
  <si>
    <t>A toy bear wearing red and white overalls pours a cup of coffee into a yellow coffee cup.</t>
  </si>
  <si>
    <t>The camera man zooms in on the toy bear from a side view to a front view.</t>
  </si>
  <si>
    <t>The camera man pans out and moves to a side view of the toy bear and zooms out.</t>
  </si>
  <si>
    <t>v_D_GSISuQw3Y</t>
  </si>
  <si>
    <t>There's a girl wearing a brown Cheers shirt doing a demonstration on how to paint her nails.</t>
  </si>
  <si>
    <t>She shows a bottle of magenta nail polish that she has already used on her nails.</t>
  </si>
  <si>
    <t>Then she takes a strip of rhinestones that she meticulously places and glues on her painted fingernails.</t>
  </si>
  <si>
    <t>Then she coats her nails and the rhinestones with a layer of neutral polish to secure the rhinestones.</t>
  </si>
  <si>
    <t>She talks in the camera as two boys stand behind her trying to participating in the video tutorial.</t>
  </si>
  <si>
    <t>v_nD4VObLUOuE</t>
  </si>
  <si>
    <t>We see a man in an orange shirt twirl and spin to throw the hammer over 80km .</t>
  </si>
  <si>
    <t>Next we see a man in a blue shirt throw 73km.</t>
  </si>
  <si>
    <t>We see a man in a white shirt throw 75km.</t>
  </si>
  <si>
    <t>The man in orange goes again and throws 81km.</t>
  </si>
  <si>
    <t>v_9WXl-2sINno</t>
  </si>
  <si>
    <t>A young girl giving a make up tutorial.</t>
  </si>
  <si>
    <t>She begins with the eye shadow.</t>
  </si>
  <si>
    <t>She gets a little bit distracted and starts talking to someone else in the room.</t>
  </si>
  <si>
    <t>She then finishes her other eye and laughs a little bit.</t>
  </si>
  <si>
    <t>v_U4ua-VD7hNM</t>
  </si>
  <si>
    <t>A person is seen laying on a long wire and walks his way all the way to end.</t>
  </si>
  <si>
    <t>He attempts to flip across the string again but fails and hurts himself.</t>
  </si>
  <si>
    <t>Several more men are seen watching from the sides when one slides across again.</t>
  </si>
  <si>
    <t>Another man is seen doing a flip on a rock and more shots people walking and jumping onto the string are shown.</t>
  </si>
  <si>
    <t>v_1gM0xfKN-Kc</t>
  </si>
  <si>
    <t>Several men and women are outside on a silver adult monkey bars climbing across it.</t>
  </si>
  <si>
    <t>After they all finish,the people get off and run back to do another set on the monkey bars.</t>
  </si>
  <si>
    <t>In the distance,more people are coming from the trail and a young boy is shown going across the bars before a group of images of them doing different activities are shown.</t>
  </si>
  <si>
    <t>v_zoSNO_k9RoM</t>
  </si>
  <si>
    <t>A person puts a contact lens in his right eye.</t>
  </si>
  <si>
    <t>Then, the person puts a contact lens in his left eye.</t>
  </si>
  <si>
    <t>v_ytvIoI5uwFA</t>
  </si>
  <si>
    <t>A man is standing in front of another man while someone adjusts the table between them.</t>
  </si>
  <si>
    <t>The men lock arms, and begin to arm wrestle.</t>
  </si>
  <si>
    <t>They push and pull hard, trying to win.</t>
  </si>
  <si>
    <t>They suddenly begin punching each other, breaking out in a fight.</t>
  </si>
  <si>
    <t>One begins to fall after a punch.</t>
  </si>
  <si>
    <t>v_M5UrBI13R3s</t>
  </si>
  <si>
    <t>A white intro screen appears and red letters in a foreign language appear flashing on the screen.</t>
  </si>
  <si>
    <t>A white bowl filled with water and 3 potatoes appear in one bowl, and ice cubes are in another white bowl.</t>
  </si>
  <si>
    <t>A hand then grabs the top potato, the bowl of ice cubes and pours the cubes into a bigger white bowl that already has water in it.</t>
  </si>
  <si>
    <t>The two hands now drop the potato into the larger bowl with the ice cubes and water and the fingers begin to peel off all of the skin under the water and when all the peels are gone the potato is placed onto a clean white plate.</t>
  </si>
  <si>
    <t>The white outro screen appears and more foreign red letters appear.</t>
  </si>
  <si>
    <t>v_VFVAkH9zPIM</t>
  </si>
  <si>
    <t>We see the title introducing us to Jesse.</t>
  </si>
  <si>
    <t>Jesse the dog runs and catches Frisbee.</t>
  </si>
  <si>
    <t>We see Jesse close up in the camera.</t>
  </si>
  <si>
    <t>Jesse is running around catching the Frisbee the lady throws.</t>
  </si>
  <si>
    <t>We see five still shots of Jesse jumping in the air.</t>
  </si>
  <si>
    <t>Jesse continues to run around with his Frisbee.</t>
  </si>
  <si>
    <t>We see the end credits on a black screen.</t>
  </si>
  <si>
    <t>v_We0DJIKCBOw</t>
  </si>
  <si>
    <t>A woman is shown preparing to lift a barbell into the air.</t>
  </si>
  <si>
    <t>She lifts it into the air and above her head.</t>
  </si>
  <si>
    <t>She drops the barbell to the ground.</t>
  </si>
  <si>
    <t>She bows for the crowd and blows them a kiss.</t>
  </si>
  <si>
    <t>She then walks off stage.</t>
  </si>
  <si>
    <t>v_zBg0FEtpC-o</t>
  </si>
  <si>
    <t>A man in a black knit hat talks to the camera while standing in front of a table with items on it and in front of a yellow truck with a black star on the door.</t>
  </si>
  <si>
    <t>The man picks up an orange packet from the table and later a smaller yellow packet and an orange device, all while talking.</t>
  </si>
  <si>
    <t>The man then places the yellow packet and orange device on the table next to each other on a metal table.</t>
  </si>
  <si>
    <t>The man then takes a metal plate, puts it upside down and starts a fire on top of it using the materials in the packet, before returning to talk to the camera again.</t>
  </si>
  <si>
    <t>v_6RxF2UHMYQM</t>
  </si>
  <si>
    <t>A person picks up a paint brush and can of varnish on an outside lawn.</t>
  </si>
  <si>
    <t>The person paints a coat various boards leaning up against an exterior wall of home.</t>
  </si>
  <si>
    <t>v_yWvyLG3kq2I</t>
  </si>
  <si>
    <t>A large water fall is shown.</t>
  </si>
  <si>
    <t>A person goes over the water fall in a green kayak.</t>
  </si>
  <si>
    <t>People are standing on the rocks above the water watching.</t>
  </si>
  <si>
    <t>v_KkpQ347Ceak</t>
  </si>
  <si>
    <t>A person is putting food into a bowl.</t>
  </si>
  <si>
    <t>They crack a nut and put that into the bowl.</t>
  </si>
  <si>
    <t>They crack another nut over a black tray.</t>
  </si>
  <si>
    <t>v_-HKsU_uFUWo</t>
  </si>
  <si>
    <t>woman is kneeling down in the floor talking to the camera holding a bend slide and opens it in the living room.</t>
  </si>
  <si>
    <t>dog is walking behind th woman.</t>
  </si>
  <si>
    <t>baby is walking to the woman and climb to the slide.</t>
  </si>
  <si>
    <t>v_Q9UovyMsTLc</t>
  </si>
  <si>
    <t>Three girls are seen standing behind a counter speaking to the camera with one spreading butter around a pan.</t>
  </si>
  <si>
    <t>Another mixes ingredients into a bowl with another girl's help and the girls lick the spoon used afterwards.</t>
  </si>
  <si>
    <t>They pour the mixture into a pan, put it in the oven, then shortly take it out some time after.</t>
  </si>
  <si>
    <t>Frosting is then seen all over the cake and the girl's spread it around and serve pieces onto a plate, followed by them eating on in a living room.</t>
  </si>
  <si>
    <t>v_7CNEttu-t7g</t>
  </si>
  <si>
    <t>A large exercise machine is shown.</t>
  </si>
  <si>
    <t>A man sits down and starts working out on the exercise machine.</t>
  </si>
  <si>
    <t>v_weeD4A7gl2A</t>
  </si>
  <si>
    <t>A car is seen sitting inside a car wash on a security camera with rags moving up and down the vehicle.</t>
  </si>
  <si>
    <t>A man then opens his door which is followed by the machine taking off the door and the car driving away.</t>
  </si>
  <si>
    <t>v_jx7_0MRlScw</t>
  </si>
  <si>
    <t>People are driving around playing bumper cars.</t>
  </si>
  <si>
    <t>A man has to help get cars unstuck.</t>
  </si>
  <si>
    <t>v_G0g7vEwI0z8</t>
  </si>
  <si>
    <t>Two people are cooking in pans on the oven.</t>
  </si>
  <si>
    <t>Two plates of food are on the counter.</t>
  </si>
  <si>
    <t>v_p3-tF0riSpQ</t>
  </si>
  <si>
    <t>A man is first seen speaking to the camera with text questions being asked to him.</t>
  </si>
  <si>
    <t>He is then seen putting a cleaner on his teeth and taking a bit of food.</t>
  </si>
  <si>
    <t>He continues speaking to the camera while occasionally eating food.</t>
  </si>
  <si>
    <t>v_hQl2eeYX3IY</t>
  </si>
  <si>
    <t>There's a man in a red shirt and brown hat blowing leaves off his driveway with a leaf blower.</t>
  </si>
  <si>
    <t>He begins by blowing the leaves off from near the front lawn.</t>
  </si>
  <si>
    <t>Then he moves towards where his white van is parked.</t>
  </si>
  <si>
    <t>He walks all around the driveway and blow the leaves, making sure he covers the entire driveway.</t>
  </si>
  <si>
    <t>Then he goes towards the corner of the garage and blow off a large pile of leaves that is lying there in a heap.</t>
  </si>
  <si>
    <t>v_MVVhOW7t3u0</t>
  </si>
  <si>
    <t>A track athlete walks down the path.</t>
  </si>
  <si>
    <t>A female participant prepares to run.</t>
  </si>
  <si>
    <t>She runs with a javelin over her shoulder, throwing it as far as she can.</t>
  </si>
  <si>
    <t>She then runs away from the spot on the track.</t>
  </si>
  <si>
    <t>v_zYN_cbLO3MU</t>
  </si>
  <si>
    <t>Several people surf with paddles in ocean water navigating rough waves as onlookers watch from boats and kayaks.</t>
  </si>
  <si>
    <t>A man is paddle rowing on a surfboard in a body of water, when he begins to surf the ocean waves using the paddle to navigate and guide the surfboard.</t>
  </si>
  <si>
    <t>Another man is shown in a red outfit performing the same feat with the paddle along with yet another man in a green shirt.</t>
  </si>
  <si>
    <t>Another man in is paddle surfboarding in a clear blue type of water before the scene switches again to another several more people navigating large and rough waves with surfboard and paddles.</t>
  </si>
  <si>
    <t>v_g9sYWTE6LTg</t>
  </si>
  <si>
    <t>A large group of people are sitting around while two men bring out a table and a man and woman stand on it.</t>
  </si>
  <si>
    <t>The man and woman speak to the crowd and perform a tango routine while standing on the table the entire time.</t>
  </si>
  <si>
    <t>The people step off the table and bow to the audience clapping and the camera panning around.</t>
  </si>
  <si>
    <t>v_kt_sGN-1prU</t>
  </si>
  <si>
    <t>Various text shown leads into several clips of people swinging around on uneven bars.</t>
  </si>
  <si>
    <t>More and more gymnasts are shown jumping off of a beam and onto uneven bars.</t>
  </si>
  <si>
    <t>Several woman are shown back to back performing these tricks.</t>
  </si>
  <si>
    <t>v_x06fLYM58wM</t>
  </si>
  <si>
    <t>A female ballet dancer is in a studio room by herself wearing a purple leotard with a skirt attached to it.</t>
  </si>
  <si>
    <t>She begins gracefully dancing throughout the room doing a series of turns and kicks all while on the tip of her toes.</t>
  </si>
  <si>
    <t>Finally,she begins doing a series of tiny backward steps and finishes in the position she started in.</t>
  </si>
  <si>
    <t>v_cXw6os9Xk5c</t>
  </si>
  <si>
    <t>A man on the side of the street drumming away on an actual drum set.</t>
  </si>
  <si>
    <t>People are standing around waiting an watching him.</t>
  </si>
  <si>
    <t>Cars are passing by and he just continues to drum like it's normal.</t>
  </si>
  <si>
    <t>He jams out using the cymbals and everything.</t>
  </si>
  <si>
    <t>v_6x3qs7jQQko</t>
  </si>
  <si>
    <t>A woman is styling the hair of a mannequin.</t>
  </si>
  <si>
    <t>She rolls the hair into curlers on top of the head of the mannequin.</t>
  </si>
  <si>
    <t>She takes the curlers out of the hair and styles it.</t>
  </si>
  <si>
    <t>v_x7PDVqDFw6c</t>
  </si>
  <si>
    <t>Film strips appear to roll across the screen.</t>
  </si>
  <si>
    <t>A man is using a telescoping pole by the side of a building.</t>
  </si>
  <si>
    <t>He stretches it upward, then cleans the side of the building with it.</t>
  </si>
  <si>
    <t>He uses it to clean the windows tha are highest.</t>
  </si>
  <si>
    <t>v_dIlpPraDc-I</t>
  </si>
  <si>
    <t>The man in red jacket is skiing on the slope.</t>
  </si>
  <si>
    <t>The man in is skiing down slope with is knees bend down.</t>
  </si>
  <si>
    <t>The man is skiing down the mountain.</t>
  </si>
  <si>
    <t>v_mhHoL-9mY1E</t>
  </si>
  <si>
    <t>We see a person sitting in front of a shoe holding a can with brush.</t>
  </si>
  <si>
    <t>The man takes the top off and sprays the shoes.</t>
  </si>
  <si>
    <t>The man uses the brush on the shoe to rub the shoe.</t>
  </si>
  <si>
    <t>The man puts the top back on the can.</t>
  </si>
  <si>
    <t>The man gets up and grabs the camera.</t>
  </si>
  <si>
    <t>v_VEihQG2UWKE</t>
  </si>
  <si>
    <t>People are flying kites on grass.</t>
  </si>
  <si>
    <t>The kites are shown in the sky.</t>
  </si>
  <si>
    <t>A woman is holding a purple umbrella.</t>
  </si>
  <si>
    <t>People are walking around in a park.</t>
  </si>
  <si>
    <t>v_hpoReoD1vD0</t>
  </si>
  <si>
    <t>A white plate is sitting on a white table in a kitchen.</t>
  </si>
  <si>
    <t>A child places turkey slices on two pieces of white bread, then adds a slice of cheese.</t>
  </si>
  <si>
    <t>Finally, she adds a layer of miracle whip.</t>
  </si>
  <si>
    <t>She leans forward, taking a large bite of the sandwich.</t>
  </si>
  <si>
    <t>v_8fqxUtHLyoE</t>
  </si>
  <si>
    <t>Two women are on a court with jump ropes.</t>
  </si>
  <si>
    <t>They do several stunts while jumping the ropes.</t>
  </si>
  <si>
    <t>They flip forward, backward and sideways in unison.</t>
  </si>
  <si>
    <t>v_IjmeHBgFb3g</t>
  </si>
  <si>
    <t>A gymnast is seen sitting before a beam and begins performing a routine with another person attached to his lower half.</t>
  </si>
  <si>
    <t>The two present to be one gymnast on a bar and end with them jumping off with their arms up.</t>
  </si>
  <si>
    <t>v_h9YbUJuYzLk</t>
  </si>
  <si>
    <t>A male stylist talks as he smooths a woman's hair.</t>
  </si>
  <si>
    <t>He then demonstrates how to cut and style her hair, clipping it as he goes.</t>
  </si>
  <si>
    <t>When he is done, he blows her hair dry and gives it it's final styling.</t>
  </si>
  <si>
    <t>v_XNzQVEmoJrY</t>
  </si>
  <si>
    <t>We see finger in front of the camera.</t>
  </si>
  <si>
    <t>A man in green walks unto a squash court.</t>
  </si>
  <si>
    <t>The light goes out and the room is dark.</t>
  </si>
  <si>
    <t>The man in green walks to the middle of the court and hits the ball back and forth.</t>
  </si>
  <si>
    <t>The man finishes and walks towards the camera.</t>
  </si>
  <si>
    <t>v_deU1mGcNh1Q</t>
  </si>
  <si>
    <t>A young child is seen sitting on the floor grabbing ice cream with it's hands.</t>
  </si>
  <si>
    <t>The child then grabs a spoon and continues to use his hands to eat.</t>
  </si>
  <si>
    <t>v_wEI_iPEfLNk</t>
  </si>
  <si>
    <t>A woman is seen speaking to the camera and leads into her holing up a jar of honey.</t>
  </si>
  <si>
    <t>She continues speaking and leads into her rubbing honey on her face.</t>
  </si>
  <si>
    <t>She dries off the mask and continues speaking while smiling to the camera.</t>
  </si>
  <si>
    <t>v_085A7Iv6xzA</t>
  </si>
  <si>
    <t>A view is shown of a man removing a paddle from a fence.</t>
  </si>
  <si>
    <t>We see his face as he speaks, before he kayaks down a very thin stream into open waters.</t>
  </si>
  <si>
    <t>He uses his phone as another person arrives, then videos others shooting down the passageway.</t>
  </si>
  <si>
    <t>v_FtAQcl1h7O8</t>
  </si>
  <si>
    <t>People are riding spin bikes in a gym.</t>
  </si>
  <si>
    <t>Two women are working out on exercise bikes.</t>
  </si>
  <si>
    <t>Yellow words come on the screen.</t>
  </si>
  <si>
    <t>v_v1hQ0vf66QY</t>
  </si>
  <si>
    <t>A countdown of text is shown that leads into clips of sumo wrestlers performing impressive throws.</t>
  </si>
  <si>
    <t>The video continues counting down as more shots are shown of sumo wrestlers fighting one another and people watching on the side.</t>
  </si>
  <si>
    <t>v_ILwwD00q1ZY</t>
  </si>
  <si>
    <t>A person in a furniture store is talking about popular furniture made from reclaimed wood.</t>
  </si>
  <si>
    <t>He shows rustic, contemporary and traditional type of furniture that is in his store.</t>
  </si>
  <si>
    <t>He shows the high quality reclaimed wood and the different furniture made from it.</t>
  </si>
  <si>
    <t>v_jkWqhnD8hyQ</t>
  </si>
  <si>
    <t>We see a title in the upper left corner.</t>
  </si>
  <si>
    <t>The man drills the cabinets apart and wipes and paints them.</t>
  </si>
  <si>
    <t>The cabinets dry and the man wipes them.</t>
  </si>
  <si>
    <t>We see a person applying a product over the paint.</t>
  </si>
  <si>
    <t>We see the cabinet faces put back on the cabinets.</t>
  </si>
  <si>
    <t>v_5BAvlsHfTLk</t>
  </si>
  <si>
    <t>Santa Cruz Nomad Bike company is demonstrating how to install a bike.</t>
  </si>
  <si>
    <t>The company representative is putting together the bike parts piece by piece.</t>
  </si>
  <si>
    <t>He starts with the main body and then goes to attach the wheels, the handle and the pedals.</t>
  </si>
  <si>
    <t>Then he goes ahead and attaches the rubber tires.</t>
  </si>
  <si>
    <t>After that he fixes the handles of the bike with black rubber tops.</t>
  </si>
  <si>
    <t>He finally reinforces all the parts and ensures the bike is ready for use.</t>
  </si>
  <si>
    <t>when he's done, he gets on the bike and rides it.</t>
  </si>
  <si>
    <t>v_q0buJ1CKj-Y</t>
  </si>
  <si>
    <t>A person is seen sitting in front of a desk holding a guitar in his hands.</t>
  </si>
  <si>
    <t>The man then begins playing the instrument moving his hands up and down.</t>
  </si>
  <si>
    <t>The person continues playing on the guitar and looking off into the distance.</t>
  </si>
  <si>
    <t>v_m5T_w1mhWgY</t>
  </si>
  <si>
    <t>A person is seen riding down a snowy hill followed by a man working on a machine and pulling paper out.</t>
  </si>
  <si>
    <t>The camera zooms in on the machine and the man takes a ski and runs the ski over the machine.</t>
  </si>
  <si>
    <t>He shows off the ski while continuing to use them on the machine and showing off how they look.</t>
  </si>
  <si>
    <t>v_KEUJ7ulD-_A</t>
  </si>
  <si>
    <t>The video opens up with an intro segment for a BMX race.</t>
  </si>
  <si>
    <t>The racers are shown at the gate getting ready for the race.</t>
  </si>
  <si>
    <t>Several racers are introduced with their names shown on the screen.</t>
  </si>
  <si>
    <t>The race starts and the racers race around the track.</t>
  </si>
  <si>
    <t>v_Mvw0hvMeM-w</t>
  </si>
  <si>
    <t>The video begins with the annual BMX biking event where several participants are gathered to begin their competitive event.</t>
  </si>
  <si>
    <t>Several bikers begin biking on their bikes on curved slopes in the open air arena.</t>
  </si>
  <si>
    <t>The bikers go over bumpy and hilly slopes in their gears and helmets.</t>
  </si>
  <si>
    <t>There are several bikers beginning a race from the top of the biking slope.</t>
  </si>
  <si>
    <t>They show off their stunts and skills as they speed through the obstacle course of the biking arena.</t>
  </si>
  <si>
    <t>v_bUCMSDMB7MU</t>
  </si>
  <si>
    <t>Two side by side videos are shown of a man in slow motion playing frisbee and doing tricks with a dog.</t>
  </si>
  <si>
    <t>The same man is shown again performing various tricks with his dog that are shown in real time as well as slow motion.</t>
  </si>
  <si>
    <t>v_ziJaskA3588</t>
  </si>
  <si>
    <t>People are in a boat while a person is attached to the back and waterboarding.</t>
  </si>
  <si>
    <t>As a large splash of water flies into the air white words appear in the middle of the screen that say "Wipeout Bay of Plenty".</t>
  </si>
  <si>
    <t>The person is shown from different angles waterboarding and then falling hard into the water multiple times.</t>
  </si>
  <si>
    <t>v_8UyB9XigBXM</t>
  </si>
  <si>
    <t>A young girl is seen brushing her hair as well as spraying product into her hair.</t>
  </si>
  <si>
    <t>She takes her hair in parts and begins braiding her hair.</t>
  </si>
  <si>
    <t>She finishes braiding her hair and ends by a picture of the braid.</t>
  </si>
  <si>
    <t>v_VmjCJxgPSiE</t>
  </si>
  <si>
    <t>A campfire is surrounded by stones.</t>
  </si>
  <si>
    <t>A person adds browned leafs to the campfire.</t>
  </si>
  <si>
    <t>A person uses a stick to move the leaves inside the fire.</t>
  </si>
  <si>
    <t>A person moves backwards away from the fire.</t>
  </si>
  <si>
    <t>A person moves forward towards the fire.</t>
  </si>
  <si>
    <t>v_kLpYpfT5bok</t>
  </si>
  <si>
    <t>Two people are fighting on the ground.</t>
  </si>
  <si>
    <t>People are sitting around them watching.</t>
  </si>
  <si>
    <t>People are sitting on chairs playing drums.</t>
  </si>
  <si>
    <t>v_9jFyJhik9VM</t>
  </si>
  <si>
    <t>A person goes windsurfing on a lime green board in a body of water.</t>
  </si>
  <si>
    <t>The person does a few spins.</t>
  </si>
  <si>
    <t>v_do_AQlxV9SI</t>
  </si>
  <si>
    <t>A large man is doing behind the neck shoulder presses.</t>
  </si>
  <si>
    <t>He is holding his breath doing them and then he stands up and starts to walk.</t>
  </si>
  <si>
    <t>He gets back on the bench and does a few more pf the shoulder presses again.</t>
  </si>
  <si>
    <t>Then, he goes outside and practices spinning and throwing.</t>
  </si>
  <si>
    <t>v_yUC6HXP9S8A</t>
  </si>
  <si>
    <t>A boy is standing outside on top of ice fishing out of a small hole in the ice.</t>
  </si>
  <si>
    <t>The boy struggles to get the fish out and someone comes and takes it out for him.</t>
  </si>
  <si>
    <t>Now there are four men visible and they all begin to fish out of the ice pond.</t>
  </si>
  <si>
    <t>Eventually,a man grabs a chair and starts fishing and taking his fish off of his line.</t>
  </si>
  <si>
    <t>v_1zyyumIi0iQ</t>
  </si>
  <si>
    <t>An intro leads into a group of cheerleaders performing several moves as a team and girls being interviewed on camera.</t>
  </si>
  <si>
    <t>They perform a routine shown by several videos and pictures and continue showing various tricks backstage and on stage.</t>
  </si>
  <si>
    <t>The girls speak to one another back stage with their coach and many people interact with them in the audience.</t>
  </si>
  <si>
    <t>v_i3H8cucgXEc</t>
  </si>
  <si>
    <t>A person is seen riding around on roller blades and performing a grind on a bar.</t>
  </si>
  <si>
    <t>Several more clips are shown of the person performing grinds with roller blades as well as other flips and tricks.</t>
  </si>
  <si>
    <t>v_XN7mRI1qGlQ</t>
  </si>
  <si>
    <t>woman is holding a hairdryer and dying a little kid hair.</t>
  </si>
  <si>
    <t>little kid in the back is standing and laughing.</t>
  </si>
  <si>
    <t>v_UeN7XgwLkOU</t>
  </si>
  <si>
    <t>man is standing in a room opening the blinds.</t>
  </si>
  <si>
    <t>men are skating on sidewalks by the street with a lot of people around.</t>
  </si>
  <si>
    <t>v_aMexiSP5Vjc</t>
  </si>
  <si>
    <t>A young child is seen using an elliptical while watching a computer video in front of her.</t>
  </si>
  <si>
    <t>The girl controls the moves on the video using the machine while the camera zooms in and out of the area.</t>
  </si>
  <si>
    <t>v_TIfAkOBMf5A</t>
  </si>
  <si>
    <t>People run out onto a stage.</t>
  </si>
  <si>
    <t>They begin to dance and work out on the stage.</t>
  </si>
  <si>
    <t>An audience is watching them perform.</t>
  </si>
  <si>
    <t>v_qwJhmfZKdNQ</t>
  </si>
  <si>
    <t>A man wearing a purple sweater is demonstrating how to use garden shears.</t>
  </si>
  <si>
    <t>He is trimming the hedges and bushes in the yard.</t>
  </si>
  <si>
    <t>He shows how the shears can be used effectively in hard to reach places.</t>
  </si>
  <si>
    <t>v_g9bIJ1MIvPk</t>
  </si>
  <si>
    <t>A roll of shingles is shown lying on a roof.</t>
  </si>
  <si>
    <t>A man holds up a sheet of the shingles.</t>
  </si>
  <si>
    <t>He uses pliers to remove damaged shingles before replacing them with new ones.</t>
  </si>
  <si>
    <t>v_e34P8tr-Mi4</t>
  </si>
  <si>
    <t>Three men are applying plaster to the ceiling of an unfinished room while another man watches.</t>
  </si>
  <si>
    <t>One of the men climbs a ladder to reach the ceiling.</t>
  </si>
  <si>
    <t>One man performs a short dance.</t>
  </si>
  <si>
    <t>The camera moves to reveal that the man dancing and another one of the men are using stilts to reach the ceiling.</t>
  </si>
  <si>
    <t>v_e-44ig51evc</t>
  </si>
  <si>
    <t>We see a title screen for the video.</t>
  </si>
  <si>
    <t>We then see little boys playing soccer in a couple of gymnasiums.</t>
  </si>
  <si>
    <t>We watch the boy in the white shirt score a goal.</t>
  </si>
  <si>
    <t>We see a boy kick a goal and the goalie reaches to stop the ball but misses.</t>
  </si>
  <si>
    <t>We see the boy in white score a goal and his Teammates hug him.</t>
  </si>
  <si>
    <t>3:10 The white ream number 10 scores and a teammate gives him a high five.</t>
  </si>
  <si>
    <t>v_zVOj9aaq4L0</t>
  </si>
  <si>
    <t>A woman is shown, playing with her hair.</t>
  </si>
  <si>
    <t>A salon artist appears, and his tools are shown on a table.</t>
  </si>
  <si>
    <t>The woman blows her hair dry before posing, and is shown step by step creating curls in her hair with his tools.</t>
  </si>
  <si>
    <t>She adjusts and brushes her hair, then shows off the final result.</t>
  </si>
  <si>
    <t>v__CYdiU1sMwc</t>
  </si>
  <si>
    <t>A man is using a leaf blower to blow the leaves off the grass.</t>
  </si>
  <si>
    <t>A car drives by on the road at a decent speed.</t>
  </si>
  <si>
    <t>He continues to blow the leaves mindlessly.</t>
  </si>
  <si>
    <t>The leaves are all falling on the road making the grass look so much better.</t>
  </si>
  <si>
    <t>v_cDV1vDdAT1w</t>
  </si>
  <si>
    <t>Several people are seen riding around on surf board with kites on the top.</t>
  </si>
  <si>
    <t>They continue riding around and a small child is seen up close.</t>
  </si>
  <si>
    <t>More shots are shown of them riding around one another and riding along the water.</t>
  </si>
  <si>
    <t>v_CiryRTSYkC4</t>
  </si>
  <si>
    <t>A person is seen gearing up while speaking to the camera and leads into him doing push ups.</t>
  </si>
  <si>
    <t>The man walks down a hallway with a women being introduced and leads into the two playing ping pong.</t>
  </si>
  <si>
    <t>The two continue playing and leads into the man holding up a basketball and the woman shocked.</t>
  </si>
  <si>
    <t>v_W2Wjbhsuacw</t>
  </si>
  <si>
    <t>Outside in a bucket there is some wood and someone come out and starts to blow something on it.</t>
  </si>
  <si>
    <t>He is blowing fire on to it with some kind of fire contraption that looks like a gardening tool.</t>
  </si>
  <si>
    <t>It is catching nicely and the woods is burning quick.</t>
  </si>
  <si>
    <t>The fire dies down a little but is still burning.</t>
  </si>
  <si>
    <t>v_rkDuiu5H8JY</t>
  </si>
  <si>
    <t>A woman demonstrates how to create a braided hairstyle using a young woman as a model for the style in a hands on tutorial.</t>
  </si>
  <si>
    <t>The hairstylist begins by parting the hair in four sections with a comb before braiding each section and clipping a hairpin on the ends of each braid.</t>
  </si>
  <si>
    <t>The woman then pulls each braid across the front of the models hairline.</t>
  </si>
  <si>
    <t>The model showcases the look while sitting in the chair and the camera captures her hairstyle from different angles before and image of three women on a sofa with a fly away helium balloon appears.</t>
  </si>
  <si>
    <t>v_3kEAg-JtDBY</t>
  </si>
  <si>
    <t>A woman is wearing a white robe and a black belt.</t>
  </si>
  <si>
    <t>She does karate moves in her room.</t>
  </si>
  <si>
    <t>She kicks her legs up several times.</t>
  </si>
  <si>
    <t>She finishes and stands up right with her arms by her side and bows.</t>
  </si>
  <si>
    <t>v_HdNOiIdGqvE</t>
  </si>
  <si>
    <t>A man in a white lab coat is seen talking to the camera and showing various tools in a laboratory.</t>
  </si>
  <si>
    <t>Towel are seen sitting in a sink and the man shows the proper hand washing tools.</t>
  </si>
  <si>
    <t>He puts his hands under the sink with soap and washes his hand thoroughly.</t>
  </si>
  <si>
    <t>He dries his hands and continues talking to the camera how why this is important.</t>
  </si>
  <si>
    <t>v_FyxltEKCfZ0</t>
  </si>
  <si>
    <t>We see nurses giving children shots.</t>
  </si>
  <si>
    <t>We see a laboratory with a scientist.</t>
  </si>
  <si>
    <t>We see a person in an MRI and we see a doctor looking at the results.</t>
  </si>
  <si>
    <t>Coffee is poured into a white mug.</t>
  </si>
  <si>
    <t>Coffee beans are spilling on each other.</t>
  </si>
  <si>
    <t>We see people making coffee in a coffee shop.</t>
  </si>
  <si>
    <t>v__NwkwvaC7Bg</t>
  </si>
  <si>
    <t>The scene transitions into a bunch of young people carrying pieces of wood to an open area outdoors.</t>
  </si>
  <si>
    <t>They begin to attempt to chop the wood, but have trouble getting the axe out at first.</t>
  </si>
  <si>
    <t>A woman finally gets the axe out and they start chopping the wood.</t>
  </si>
  <si>
    <t>The camera pans around to the spectators as a woman in a bandanna successfully chops the wood and takes a bow.</t>
  </si>
  <si>
    <t>The scene returns to the woman at that was at the beginning of the video.</t>
  </si>
  <si>
    <t>The video ends with the women around the wood startled as something falls.</t>
  </si>
  <si>
    <t>v_lQP65cm11FA</t>
  </si>
  <si>
    <t>A person puts on safety glasses and walks through a gate into a courtyard.</t>
  </si>
  <si>
    <t>The person blows the leaves from a driveway using an electric blower.</t>
  </si>
  <si>
    <t>The person blows the leaves from a grass area using the blower.</t>
  </si>
  <si>
    <t>The blower is seen up close with different attachments and settings featured.</t>
  </si>
  <si>
    <t>v_Qm7AL0RjHxI</t>
  </si>
  <si>
    <t>A man step on a square drawn in the beach and turns the body back and forth.</t>
  </si>
  <si>
    <t>Then, the man step on the triangle and does hand movements, after the man joint the hands.</t>
  </si>
  <si>
    <t>v_alcSAjjsH9w</t>
  </si>
  <si>
    <t>a man wearing an apron is laughing over a table.</t>
  </si>
  <si>
    <t>He is shown with a large bowl and several cracked eggs.</t>
  </si>
  <si>
    <t>He talks to a group of people about what to do with the eggs.</t>
  </si>
  <si>
    <t>He creates an omelette, then plates it.</t>
  </si>
  <si>
    <t>v_nt9tMdFVQ1c</t>
  </si>
  <si>
    <t>A group of men are playing volleyball on the beach, 3 on one side, and 2 on the other side.</t>
  </si>
  <si>
    <t>One team attempts to serve and it crashes into the net.</t>
  </si>
  <si>
    <t>The other (shorthanded) team sends its own serve, a simple lob, but the opposing team knock their return out of bounds.</t>
  </si>
  <si>
    <t>v_f2W1Mt04CIM</t>
  </si>
  <si>
    <t>People rides bumper cars in a carnival.</t>
  </si>
  <si>
    <t>An old man rides a small bumper car.</t>
  </si>
  <si>
    <t>Several people get stuck with other bumper cars.</t>
  </si>
  <si>
    <t>There are a lot of people in the carnival.</t>
  </si>
  <si>
    <t>v_9UGNhbRWM14</t>
  </si>
  <si>
    <t>A girl and a man are practicing boxing in a gym.</t>
  </si>
  <si>
    <t>There is a punching bag swinging in the background.</t>
  </si>
  <si>
    <t>The girl and man move around the floor swinging at each other.</t>
  </si>
  <si>
    <t>v_wyARf3xHOgs</t>
  </si>
  <si>
    <t>Children practice gymnastics in a room.</t>
  </si>
  <si>
    <t>A woman helps a child do a flip.</t>
  </si>
  <si>
    <t>Some children kick off of a wall.</t>
  </si>
  <si>
    <t>Some other kids do more flips.</t>
  </si>
  <si>
    <t>v_VcthLhKIntA</t>
  </si>
  <si>
    <t>A man wearing a hat is talking on a stage.</t>
  </si>
  <si>
    <t>A woman enters, and she begins to dance.</t>
  </si>
  <si>
    <t>The woman lights a hula hoop on fire, dancing with the hoop.</t>
  </si>
  <si>
    <t>v_9XyrLUWZl40</t>
  </si>
  <si>
    <t>A boy puts together a rubix cube and excitedly drops it.</t>
  </si>
  <si>
    <t>He jumps up and claps his hands together so happy about it.</t>
  </si>
  <si>
    <t>Another boy is doing it with only his feet.</t>
  </si>
  <si>
    <t>It's a competition, the audience is watching as the people competing are being timed.</t>
  </si>
  <si>
    <t>v_BG4QxmqBaS4</t>
  </si>
  <si>
    <t>Screens begin to appear with white words on them describing events that are about to take place.</t>
  </si>
  <si>
    <t>A still image is then shown before a guy attempts to do several pole vault jumps.</t>
  </si>
  <si>
    <t>Another black screen appears and a different person tries to do the jump but he too hits the pole.</t>
  </si>
  <si>
    <t>Once he is done, a different man attempts to do it but he isn't successful either.</t>
  </si>
  <si>
    <t>v_Pi5fonaOYTI</t>
  </si>
  <si>
    <t>A woman is talking to the camera while standing against a white background.</t>
  </si>
  <si>
    <t>She holds up a hula hoop while she talks.</t>
  </si>
  <si>
    <t>She then shows how to utilize the hula hoop while doing exercises and yoga poses, sometimes inserting parts of her body into the hoop.</t>
  </si>
  <si>
    <t>v_CXP20cVQN30</t>
  </si>
  <si>
    <t>People walk past the camera .</t>
  </si>
  <si>
    <t>The camera zooms in to show people swimming in the pool and some playing volleyball in the pool.</t>
  </si>
  <si>
    <t>One person gets out of the pool and walks away.</t>
  </si>
  <si>
    <t>A person throws the ball at someones face.</t>
  </si>
  <si>
    <t>People throw the balls so far that they go out of the pool.</t>
  </si>
  <si>
    <t>v_zDBpa2miW8A</t>
  </si>
  <si>
    <t>An intro starts entitled how to cut the grass.</t>
  </si>
  <si>
    <t>A man walks out wearing funny attire and showing off to the camera with a lawn mower.</t>
  </si>
  <si>
    <t>The man then walks around and blows the leaves off still wearing the funny outfit.</t>
  </si>
  <si>
    <t>v_79gvzh0wn0Q</t>
  </si>
  <si>
    <t>A woman in white karate uniform does a demonstration of a routine on the mat for judges during event.</t>
  </si>
  <si>
    <t>The woman bows and walks off the mat.</t>
  </si>
  <si>
    <t>A woman in black uniform shakes hands with judges.</t>
  </si>
  <si>
    <t>A woman in white uniform walks up and greets judges shaking their hands.</t>
  </si>
  <si>
    <t>v_TfIGKODkpPY</t>
  </si>
  <si>
    <t>There are people flying kites collectively in a huge parking lot where several cars and mini vans are parked.</t>
  </si>
  <si>
    <t>There's a man in a blue striped shirt standing with another man in a brown shirt, both getting ready to fly their orange kite.</t>
  </si>
  <si>
    <t>They pull the strings out of the spool and begin flying the kite.</t>
  </si>
  <si>
    <t>v_Y5VEl3e9Hbo</t>
  </si>
  <si>
    <t>Two boys are polishing shoes with brushes.</t>
  </si>
  <si>
    <t>Then, one boy takes a shoe up to play.</t>
  </si>
  <si>
    <t>A little boy put his leg in a big shoe and polish with a brush.</t>
  </si>
  <si>
    <t>Then, the other boy put his hand in the shoe to polish it.</t>
  </si>
  <si>
    <t>v_5rO2DwFhdwo</t>
  </si>
  <si>
    <t>Two men are on an indoor racquetball court.</t>
  </si>
  <si>
    <t>They pick the ball up and continue competing.</t>
  </si>
  <si>
    <t>v_3GgQdXjJfEU</t>
  </si>
  <si>
    <t>man wearing black shorts is running on race track and make a javelin throw.</t>
  </si>
  <si>
    <t>men are sitting on a side of the race track.</t>
  </si>
  <si>
    <t>man is standing in a dusty diamond behind green net.</t>
  </si>
  <si>
    <t>thee men are standing next to a green net watching the javelin throw.</t>
  </si>
  <si>
    <t>referees wearing green shirts are standing on the field.</t>
  </si>
  <si>
    <t>v_c6wINALtTvs</t>
  </si>
  <si>
    <t>woman is in a kitchen talking to the camera and showing how to prepare cookies.</t>
  </si>
  <si>
    <t>woman is mixing ingredients ni a kitchen aid and making balls and putnig them in a pan and on the oven.</t>
  </si>
  <si>
    <t>v_2QO41PbOUJ0</t>
  </si>
  <si>
    <t>A woman is seen looking off into the distance while smoking a cigarette.</t>
  </si>
  <si>
    <t>She speaks to someone out of frame while taking puffs from her cigarette.</t>
  </si>
  <si>
    <t>She continues smoking while the camera captures her movements.</t>
  </si>
  <si>
    <t>v_7jGKlEvH_uw</t>
  </si>
  <si>
    <t>A woman is seen spinning two hoops around her hands while looking back to the camera and speaking.</t>
  </si>
  <si>
    <t>She continues spinning around the hoops while pausing inbetween to hold them and speak.</t>
  </si>
  <si>
    <t>v_31KEa5VhvPs</t>
  </si>
  <si>
    <t>A group of spectators are gathered in a gym.</t>
  </si>
  <si>
    <t>A man and his teammates are pushing a puck.</t>
  </si>
  <si>
    <t>They are engaged in a game of curling on the ice.</t>
  </si>
  <si>
    <t>v_Xc2CUi0Rnpw</t>
  </si>
  <si>
    <t>The camera zooms in on several players and leads into a small group of people playing soccer against one another.</t>
  </si>
  <si>
    <t>Coaches and audience members react as they watch the game and the players continue kicking the ball up and down the field.</t>
  </si>
  <si>
    <t>v_nt8MurhX7HY</t>
  </si>
  <si>
    <t>A small group of people are seen standing on each side of a rope wile putting their hands up.</t>
  </si>
  <si>
    <t>The men then grab onto the rope and pull against one another.</t>
  </si>
  <si>
    <t>Men watch on the side as one team wins.</t>
  </si>
  <si>
    <t>v_YH3571KWDpM</t>
  </si>
  <si>
    <t>A large group of people are seen standing around an indoor gym behind one another.</t>
  </si>
  <si>
    <t>The group then begins dancing with one another performing the same moves.</t>
  </si>
  <si>
    <t>The people continue to dance around the room while the camera records their movements.</t>
  </si>
  <si>
    <t>v_ZmUk9OQ1zfk</t>
  </si>
  <si>
    <t>Several team members from a volleyball games are interviewed.</t>
  </si>
  <si>
    <t>They are shown playing on the beach, kicking the ball.</t>
  </si>
  <si>
    <t>v_hN9diyaOK4E</t>
  </si>
  <si>
    <t>A man competes solving a puzzle cube.</t>
  </si>
  <si>
    <t>A person pass behind the man.</t>
  </si>
  <si>
    <t>A hand extends a sheet on front the player.</t>
  </si>
  <si>
    <t>After finish, the man puts on his glasses.</t>
  </si>
  <si>
    <t>v_l-YtPYZ_534</t>
  </si>
  <si>
    <t>We see two men sitting then shaking their heads.</t>
  </si>
  <si>
    <t>We see tools and tips for croquet.</t>
  </si>
  <si>
    <t>The two men argue about the game.</t>
  </si>
  <si>
    <t>We see the men playing croquet.</t>
  </si>
  <si>
    <t>We see a diagram on the screen.</t>
  </si>
  <si>
    <t>The man has his foot on a red ball.</t>
  </si>
  <si>
    <t>We see a man laugh and dance while another is upset.</t>
  </si>
  <si>
    <t>v_ghWwS5ev6xk</t>
  </si>
  <si>
    <t>A man is seen sitting in a kayak while speaking to the camera and holding a paddle.</t>
  </si>
  <si>
    <t>The man then moves himself around on the kayak while demonstrating how to properly move.</t>
  </si>
  <si>
    <t>He continues to spin around while looking up at the camera.</t>
  </si>
  <si>
    <t>v_HVD8N0bbPVo</t>
  </si>
  <si>
    <t>A man in sunglasses is standing outside a building.</t>
  </si>
  <si>
    <t>He is then seen inside an elevator, acting strangely as he punches the air with different people riding.</t>
  </si>
  <si>
    <t>He is intentionally trying to scare and worry them.</t>
  </si>
  <si>
    <t>v_Ogx1hUoOSrE</t>
  </si>
  <si>
    <t>Four girls are shown looking into the camera.</t>
  </si>
  <si>
    <t>A girl up front begins waving a bottle of mouthwash.</t>
  </si>
  <si>
    <t>The girl then takes a cup of the mouthwash and drinks it.</t>
  </si>
  <si>
    <t>The cup of mouthwash is passed around until all the girls drink from it.</t>
  </si>
  <si>
    <t>v_PofMK_beoR8</t>
  </si>
  <si>
    <t>Several people begin walking into a room wearing Kangaroo shoes and bouncing around.</t>
  </si>
  <si>
    <t>On the left side of the room,there is a bar on two poles that is about five feet high that each person takes turns jumping over.</t>
  </si>
  <si>
    <t>v_qt-0mo_8ufU</t>
  </si>
  <si>
    <t>Skiers ride up a ski lift.</t>
  </si>
  <si>
    <t>A man in yellow skis down a slope.</t>
  </si>
  <si>
    <t>Several tricks are done by skiers.</t>
  </si>
  <si>
    <t>They jump over several ramps.</t>
  </si>
  <si>
    <t>v_kcB7HQPxzDM</t>
  </si>
  <si>
    <t>Lithuanian Zinaida Sendriute throws the discus 64 meters to lead out for her third throw, waving to the camera as she walks off.</t>
  </si>
  <si>
    <t>Cuban Yarelis Barrios is next and unleashes a mighty 67 meter toss with a thunderous scream.</t>
  </si>
  <si>
    <t>Croatian Sandra Perkovic out distances both of the previous throwers with a 69 meter toss to claim the lead.</t>
  </si>
  <si>
    <t>v_p35FXT4drA0</t>
  </si>
  <si>
    <t>An athletic man is seen stepping up to a circle and throwing an object off into the distance.</t>
  </si>
  <si>
    <t>His throw is shown again while others measure his throw on the side.</t>
  </si>
  <si>
    <t>The man grabs a flag and walks around the arena.</t>
  </si>
  <si>
    <t>v_Y_ITwC4_pEY</t>
  </si>
  <si>
    <t>A large screen is shown followed by a band playing on stage.</t>
  </si>
  <si>
    <t>A man wearing a mickey costume and playing the drums.</t>
  </si>
  <si>
    <t>The man continues playing the drums and ends with the curtain closing.</t>
  </si>
  <si>
    <t>v_YMsyF-g2TqE</t>
  </si>
  <si>
    <t>We see a carved pumpkin and a title screen.</t>
  </si>
  <si>
    <t>A man draws a face on a pumpkin.</t>
  </si>
  <si>
    <t>A man then carves a pumpkin into a snarling old man.</t>
  </si>
  <si>
    <t>The man takes an image of the pumpkin with a phone.</t>
  </si>
  <si>
    <t>The man tilts the pumpkin back into the light.</t>
  </si>
  <si>
    <t>We see still shots of the carved pumpkin.</t>
  </si>
  <si>
    <t>We see the ending screen with a website.</t>
  </si>
  <si>
    <t>v_OkCu0QymO10</t>
  </si>
  <si>
    <t>A man is seen standing on a ladder and working on a roof while the camera captures his movements.</t>
  </si>
  <si>
    <t>The man then sprays down the roof and moves back and fourth.</t>
  </si>
  <si>
    <t>v_FRsHew2Pcko</t>
  </si>
  <si>
    <t>A young boy is seated in front of a drum set.</t>
  </si>
  <si>
    <t>He is rapidly playing the drums in front of him.</t>
  </si>
  <si>
    <t>He also hits the cymbals several times.</t>
  </si>
  <si>
    <t>v_fkgojk18K0E</t>
  </si>
  <si>
    <t>We see a lady in a dancing costume.</t>
  </si>
  <si>
    <t>She points at her hips and waist.</t>
  </si>
  <si>
    <t>She begins to belly dance slowly.</t>
  </si>
  <si>
    <t>She picks up speed and spins her hands.</t>
  </si>
  <si>
    <t>She goes slower then goes fast again.</t>
  </si>
  <si>
    <t>The lady finishes her dance, stops and bows.</t>
  </si>
  <si>
    <t>v_c5Io6wg8D60</t>
  </si>
  <si>
    <t>A man is standing by a desk talking with some coaches about something.</t>
  </si>
  <si>
    <t>He begins to walk backwards and get himself ready to start running.</t>
  </si>
  <si>
    <t>He starts running and builds up speed pretty quickly.</t>
  </si>
  <si>
    <t>He lands into the sand and when he is done and man come behind him to smooth the sand out.</t>
  </si>
  <si>
    <t>v_88qqQjRPFUQ</t>
  </si>
  <si>
    <t>A camera shows a young child walking up a playground set with a dog wandering in the back.</t>
  </si>
  <si>
    <t>The child climbs up a set of stairs and slides down a slide.</t>
  </si>
  <si>
    <t>v_wdecG9VSAl0</t>
  </si>
  <si>
    <t>A young man is seen paddling a canoe down a river.</t>
  </si>
  <si>
    <t>He talks to the camera as he approaches.</t>
  </si>
  <si>
    <t>He gets out, continuing to talk about canoeing.</t>
  </si>
  <si>
    <t>v_V50vtrHboIE</t>
  </si>
  <si>
    <t>A woman is seen moving a hula hoop close up in front of the camera.</t>
  </si>
  <si>
    <t>The girl then speaks to the camera and leads into her spinning a hula hoop around.</t>
  </si>
  <si>
    <t>The woman continues speaking to the camera while spinning the hoop and demonstrating how to perform proper moves.</t>
  </si>
  <si>
    <t>v_BJWL_X79HRc</t>
  </si>
  <si>
    <t>Several men dreassed in lacrosse gear run onto a field.</t>
  </si>
  <si>
    <t>The opposing teams are shown in several clips, fighting and hitting the ball into each other's goals.</t>
  </si>
  <si>
    <t>v_6kUeZVukTEI</t>
  </si>
  <si>
    <t>Several clips are shown of people lifting heavy weights as well as jumping on a track.</t>
  </si>
  <si>
    <t>People are seen jumping over poles, squatting with weights, as well as performing various other exercises.</t>
  </si>
  <si>
    <t>In the end more people are seen jumping over a pole.</t>
  </si>
  <si>
    <t>v_fzHg9PhhlAg</t>
  </si>
  <si>
    <t>Several men from different places are outside on a large field playing cricket.</t>
  </si>
  <si>
    <t>Men come to the middle of the field and stand around a small rectangle and begin hitting the ball extremely far.</t>
  </si>
  <si>
    <t>As the ball goes to the outfield,the teammates begin jumping up and down and cheering for their team.</t>
  </si>
  <si>
    <t>Finally,a man is shown holding up a large silver award.</t>
  </si>
  <si>
    <t>v_SHT08nPhIb4</t>
  </si>
  <si>
    <t>A man is shooting a basketball into a hoop.</t>
  </si>
  <si>
    <t>Another man starts shooting a basketball into the hoop.</t>
  </si>
  <si>
    <t>The first man watches the second man.</t>
  </si>
  <si>
    <t>v_btMVEIvr0oc</t>
  </si>
  <si>
    <t>We see kids playing dodge ball in a trampoline park.</t>
  </si>
  <si>
    <t>We see a boy hit with the ball and throw it back.</t>
  </si>
  <si>
    <t>We see a boy in green throw the ball hard.</t>
  </si>
  <si>
    <t>The boy in striped shirt joins the game and the boy in red is out.</t>
  </si>
  <si>
    <t>A girl walks past the camera waving her hand.</t>
  </si>
  <si>
    <t>A boy in a yellow shirt walks towards the camera.</t>
  </si>
  <si>
    <t>v_xaMEGQCxddY</t>
  </si>
  <si>
    <t>Old videos are shown of track meets.</t>
  </si>
  <si>
    <t>A man is shown multiple times as he throws a discus.</t>
  </si>
  <si>
    <t>He spins in circles, then throws the disc as far as he can.</t>
  </si>
  <si>
    <t>v_f1HMhfSlPSw</t>
  </si>
  <si>
    <t>Gymnasts do tumbling routines with flips and spins on a mat inside of a gym.</t>
  </si>
  <si>
    <t>Men swings on hand rings as part of his tumbling routine.</t>
  </si>
  <si>
    <t>The man falls on the ground while swinging on the rings.</t>
  </si>
  <si>
    <t>The gymnast plays around a bit batting his ear and waiting for another person to clear the mat.</t>
  </si>
  <si>
    <t>v_ptY-0n53uq0</t>
  </si>
  <si>
    <t>A little boy is inside a garage room.</t>
  </si>
  <si>
    <t>He is playing a large drum set while wearing headphones.</t>
  </si>
  <si>
    <t>He hits the cymbals and drums hard with the sticks.</t>
  </si>
  <si>
    <t>v_G-EDozcMT_4</t>
  </si>
  <si>
    <t>An intro leads into several shots of skateboarders riding around on rails in a large city.</t>
  </si>
  <si>
    <t>The camera follows these borders closely as they perform tricks up stairs and over benches.</t>
  </si>
  <si>
    <t>The men continue skating on and ends with a police woman smiling and giving a thumbs up to the camera.</t>
  </si>
  <si>
    <t>v_qWdjYyFfrTM</t>
  </si>
  <si>
    <t>A production graphic is shown along with a link for more media.</t>
  </si>
  <si>
    <t>This fades into a man starting to play the saxophone in his living room up to a microphone.</t>
  </si>
  <si>
    <t>The man is now wearing sunglasses while playing, grooving to the music.</t>
  </si>
  <si>
    <t>The man is shown back without the sunglasses.</t>
  </si>
  <si>
    <t>Another window displaying the performer is shown in the corner of the video.</t>
  </si>
  <si>
    <t>v_KaGGtAhiH64</t>
  </si>
  <si>
    <t>A group of young men are seated at tables at a rubiks cube competition.</t>
  </si>
  <si>
    <t>An official removes a slip of paper from a rubiks cube sitting in front of a young man at the end of a table after which the competitor solves the cube and celebrates by banging his hands on the table.</t>
  </si>
  <si>
    <t>An official lifts a cup to reveal a rubiks cube that the same man then solves.</t>
  </si>
  <si>
    <t>A young man wearing a beige shirt solves a cube and presses his hands to his face before standing up.</t>
  </si>
  <si>
    <t>An official removes a piece of paper from on top of a cube as the young man in the black sweatshirt solves another cube.</t>
  </si>
  <si>
    <t>The young man solves two more cubes in front of an official before moving to get up.</t>
  </si>
  <si>
    <t>v_gIFI03m-ATM</t>
  </si>
  <si>
    <t>A large paint ball arena is shown with a group of people standing off to the side.</t>
  </si>
  <si>
    <t>The people then begin running around the course shooting guns at one another.</t>
  </si>
  <si>
    <t>The people continue running around and stop i the end to speak to one another.</t>
  </si>
  <si>
    <t>v_Jz2xJx1ICCM</t>
  </si>
  <si>
    <t>Some kids in class are about to start arm wrestling, they get their arms in place to start.</t>
  </si>
  <si>
    <t>The other kid on the side feels on one of the wrestlers muscles.</t>
  </si>
  <si>
    <t>He's writing things down keeping score and what not.</t>
  </si>
  <si>
    <t>The female arm wrestler wins bringing down the other guys arm.</t>
  </si>
  <si>
    <t>v_n7dHbqoEiek</t>
  </si>
  <si>
    <t>A man trims a wall of foliage outdoors, while wearing shorts and a pair of noise canceling headphones with a tree trimming motorized tool.</t>
  </si>
  <si>
    <t>The man takes a break and then climbs a ladder and uses the tool with an extended arm to trim the top of the wall from the top of the ladder.</t>
  </si>
  <si>
    <t>The man then moves the ladder down the length of the wall to continue trimming the foliage.</t>
  </si>
  <si>
    <t>v_mXb1tduBEj8</t>
  </si>
  <si>
    <t>A man is seen speaking to the camera holding a volleyball and leads into shots of him hitting the ball.</t>
  </si>
  <si>
    <t>He continues speaking to the camera while holding the ball and looking off into the distance.</t>
  </si>
  <si>
    <t>v_8Zgys8Vn-4Y</t>
  </si>
  <si>
    <t>A person is shown on skis riding behind a boat on water performing various tricks.</t>
  </si>
  <si>
    <t>The man continues doing several different tricks on the skis and the boat moving a lot faster.</t>
  </si>
  <si>
    <t>v_ywl6JVt7-7I</t>
  </si>
  <si>
    <t>A person is seen riding around on a lawn mower cutting the grass in a large field.</t>
  </si>
  <si>
    <t>The young boy moves closer to the camera while still driving around and cutting the grass.</t>
  </si>
  <si>
    <t>v_6iA4RXGAR_k</t>
  </si>
  <si>
    <t>Two ballroom dances are shown performing a routine in a large auditorium.</t>
  </si>
  <si>
    <t>The couple spin multiple times while the audience cheers them on loudly.</t>
  </si>
  <si>
    <t>They continue performing their dance routine and several people on look using phones and cameras.</t>
  </si>
  <si>
    <t>The couple does one last spin and eventually takes a bow.</t>
  </si>
  <si>
    <t>v_xIB7VSLKvaM</t>
  </si>
  <si>
    <t>A man is shown mowing his lawn with a push mower.</t>
  </si>
  <si>
    <t>He turns and goes back and forth, leaving marks on the lawn.</t>
  </si>
  <si>
    <t>A man talks in the corner of the screen about the process.</t>
  </si>
  <si>
    <t>v__j5JUQzOCtc</t>
  </si>
  <si>
    <t>An Olympic logo is seen with the 5 rings.</t>
  </si>
  <si>
    <t>A young boy wearing striped shirt in a gym lifts a weight bar over his head.</t>
  </si>
  <si>
    <t>A young man in blue shorts lifts a weight bar over his head in a crowded gym.</t>
  </si>
  <si>
    <t>Professional athletes in competitions lift large heavily weighted bars overhead for judging.</t>
  </si>
  <si>
    <t>v_r-xtiGmrKxA</t>
  </si>
  <si>
    <t>A man is standing in the gym alone and begins talking to the camera.</t>
  </si>
  <si>
    <t>He then puts his fist up and begins shadow boxing as he moves around the room.</t>
  </si>
  <si>
    <t>Next,he adds his feet and starts to kick the air and does twist as if someone is there hitting him.</t>
  </si>
  <si>
    <t>Finally,he comes back to the screen slightly out of breath to end the video.</t>
  </si>
  <si>
    <t>v_RZFU1gXLqDs</t>
  </si>
  <si>
    <t>A small group of people are seen sitting in bumper car and begin driving around crashing into one another.</t>
  </si>
  <si>
    <t>The camera follows around a woman he cannot seem to move the car and others on the side instruct her on how to drive as others crash into her.</t>
  </si>
  <si>
    <t>v_TbFqsEFrCB4</t>
  </si>
  <si>
    <t>A man is seen speaking to the camera in front of a large pool while using his hands with enthusiasm.</t>
  </si>
  <si>
    <t>The man continues to speak while using his hands and pans to the man swimming around the pool and back to talking.</t>
  </si>
  <si>
    <t>v_koSLx0E23gU</t>
  </si>
  <si>
    <t>We see an arena from out doors.</t>
  </si>
  <si>
    <t>We see people on trampoline performing flips in the arena.</t>
  </si>
  <si>
    <t>We see a person almost fall after flipping.</t>
  </si>
  <si>
    <t>The person lands and almost falls.</t>
  </si>
  <si>
    <t>A person flips multiple times down a strip on the ground.</t>
  </si>
  <si>
    <t>We see a man jump and land on the trampoline in slow motion.</t>
  </si>
  <si>
    <t>v_jrXoqceGS-k</t>
  </si>
  <si>
    <t>We see an animated opening screen.</t>
  </si>
  <si>
    <t>A man is driving then gets out of his car.</t>
  </si>
  <si>
    <t>We see a man rollerblading in a plaza and a skate park.</t>
  </si>
  <si>
    <t>We see the man's feet in the blades then a man's face.</t>
  </si>
  <si>
    <t>We see the man standing on an elevated sidewalk then skating on the railing.</t>
  </si>
  <si>
    <t>We see the man skate across a bench then put on sunglasses.</t>
  </si>
  <si>
    <t>We see the man turn and click a button and a car blows up.</t>
  </si>
  <si>
    <t>v_zq621OgpFFk</t>
  </si>
  <si>
    <t>A man services a tennis ball across the court.</t>
  </si>
  <si>
    <t>The man turns to talk to the camera.</t>
  </si>
  <si>
    <t>v_XWG_-4VMTcA</t>
  </si>
  <si>
    <t>A wrestler, standing at the top of a ladder, with another man on the ladder with him, but in front of him, jumps off the ladder from the top and takes the other person with him.</t>
  </si>
  <si>
    <t>A man in a wrestling costumer stands at the top of a ladder in the middle of a ring with a referee and people in the audience.</t>
  </si>
  <si>
    <t>The man jumps off the ladder as people in the audience clap for him and the other man falls off as well.</t>
  </si>
  <si>
    <t>v_43OU5XCzLzo</t>
  </si>
  <si>
    <t>People sails in a rocky river on inflatable individual boats.</t>
  </si>
  <si>
    <t>The boats pass with difficulty between the rocks.</t>
  </si>
  <si>
    <t>Then, people enters in more troubled waters.</t>
  </si>
  <si>
    <t>v_e4ZTZDDFtYY</t>
  </si>
  <si>
    <t>kids are standing in the opening of a cartoon.</t>
  </si>
  <si>
    <t>woman is talking in front of a micropone in front of a big audience.</t>
  </si>
  <si>
    <t>mmen are in the middle of an arena in a big stadium fighting between them.</t>
  </si>
  <si>
    <t>v_99A2KqvfBLI</t>
  </si>
  <si>
    <t>A man walks onto the stage to join a band.</t>
  </si>
  <si>
    <t>A man plays up front of a band with a harmonica.</t>
  </si>
  <si>
    <t>The keyboardist plays a spirited solo during the song.</t>
  </si>
  <si>
    <t>The man congratulates and gives a high five to the keyboardist at the end of the song.</t>
  </si>
  <si>
    <t>v_jgHYzuDU2Iw</t>
  </si>
  <si>
    <t>A man in tan khakis and a button down shirt sweeps a floor with a wide broom.</t>
  </si>
  <si>
    <t>A man walks and sweeps a floor walking to the left of the room pushing the wide broom in front of him.</t>
  </si>
  <si>
    <t>The man then walks to the right side of the room with the same wide broom.</t>
  </si>
  <si>
    <t>The man then finishes sweeping, lleans the broom in the corner of the room and stands against the wall in front of a window.</t>
  </si>
  <si>
    <t>v_sqEsAtdFfrg</t>
  </si>
  <si>
    <t>A young child is seen standing ready holding a pole and then runs down a long track and throws the pole.</t>
  </si>
  <si>
    <t>He walks back around the track when another person is seen running down and throwing the stick.</t>
  </si>
  <si>
    <t>Finally one last boy steps up to the track to throw the javelin and then walks back to the others.</t>
  </si>
  <si>
    <t>v_KIOvUY8S2pQ</t>
  </si>
  <si>
    <t>An intro with text is shown across the screen followed by two cartoon characters.</t>
  </si>
  <si>
    <t>The characters speak to one another and lead into them playing a game.</t>
  </si>
  <si>
    <t>One character loses the game and then disappears.</t>
  </si>
  <si>
    <t>v_1Cf8TkmsbMU</t>
  </si>
  <si>
    <t>We see a young man speaking in a news studio.</t>
  </si>
  <si>
    <t>We see a man riding a stationary bike and see a photo of the man holding a cake.</t>
  </si>
  <si>
    <t>We see the man being interviewed cut with scenes of the man working out.</t>
  </si>
  <si>
    <t>We see the man in the image holding the cake again and see the man in the shirt which no longer fits and is too big.</t>
  </si>
  <si>
    <t>We see the man working out again.</t>
  </si>
  <si>
    <t>We see three newscasters in the studio.</t>
  </si>
  <si>
    <t>v_DRK5oUhjwTg</t>
  </si>
  <si>
    <t>A pilates instructor on skates explains how to strap your risk protectors tight and shows that you need knee pads to protect your knees.</t>
  </si>
  <si>
    <t>The lady then explains the skates movement and how to use the breaks that is in the back of the skates.</t>
  </si>
  <si>
    <t>finally the lady shows you the right way to skate to have fun.</t>
  </si>
  <si>
    <t>v_E5bRptEXtq8</t>
  </si>
  <si>
    <t>Kids are sitting in bumper cars.</t>
  </si>
  <si>
    <t>They begin crashing into each other.</t>
  </si>
  <si>
    <t>They stop and start getting out of their cars.</t>
  </si>
  <si>
    <t>v_tnk1skdLN0Q</t>
  </si>
  <si>
    <t>A strong young man is standing in a large open green field preparing to throw a shot put.</t>
  </si>
  <si>
    <t>Once he throws the ball,a man runs out to mark the distance and he walks to the tent and takes the tape off of his wrist.</t>
  </si>
  <si>
    <t>Another man who is slightly shorter and larger approaches the circle and does the same thing followed by another person.</t>
  </si>
  <si>
    <t>All three of the men are finished and there scores shown.</t>
  </si>
  <si>
    <t>v_cDnJjAQtf-g</t>
  </si>
  <si>
    <t>Three men discuss the topic of playing water polo with kayaks.</t>
  </si>
  <si>
    <t>The scene changes to show a display of water polo with kayaks.</t>
  </si>
  <si>
    <t>Two boats crash as two men try to paddle their way to the ball, The men commentate over the scene, they players look severely injured.</t>
  </si>
  <si>
    <t>The display changes back to the men talking about the water polo, they are very intrigued and shocked.</t>
  </si>
  <si>
    <t>The scene reverts back to the water polo accident, the show banner concludes the video.</t>
  </si>
  <si>
    <t>v_G0vkQmcalvk</t>
  </si>
  <si>
    <t>A woman plays the drums and sings on stage.</t>
  </si>
  <si>
    <t>The camera pulls back on the scene.</t>
  </si>
  <si>
    <t>The woman finishes and stands up.</t>
  </si>
  <si>
    <t>v_3HEJb83Wm_I</t>
  </si>
  <si>
    <t>We see a green title screen.</t>
  </si>
  <si>
    <t>A lady in a bathroom talks to the camera.</t>
  </si>
  <si>
    <t>We see her pour baking soda and vinegar on her sink drain and talks and moves her hands while the solution foams.</t>
  </si>
  <si>
    <t>The lady turns the water on to rinse the solution down the drain.</t>
  </si>
  <si>
    <t>v_Kq115s7yL3I</t>
  </si>
  <si>
    <t>A window cleaning commercial demonstrates all the materials and techniques need to clean a house window.</t>
  </si>
  <si>
    <t>The commercial begins with a closeup up a two story house and the interior of the house including a line of large windows.</t>
  </si>
  <si>
    <t>Images of a person cleaning a window, soap, a bucket and sponge are showed along with a chalkboard with ingredients needed to clean a window.</t>
  </si>
  <si>
    <t>A person cleans a window using all of the tools, including removing screens to clean them and removing stickers on windows.</t>
  </si>
  <si>
    <t>v_oqX-n2KHWAM</t>
  </si>
  <si>
    <t>A man is talking as he stands in a kitchen.</t>
  </si>
  <si>
    <t>The man boils milk and adds fresh vanilla and pours the solution into a bowl with other ingredients.</t>
  </si>
  <si>
    <t>The man cooks the custard and pours into a bowl and freezes to make ice cream.</t>
  </si>
  <si>
    <t>The man cuts and cooks rubarb in sugar on the stove.</t>
  </si>
  <si>
    <t>He eats the ice cream over the cooked rubarb.</t>
  </si>
  <si>
    <t>We see a shot of London and fade out.</t>
  </si>
  <si>
    <t>v_uMAjCPUZfp0</t>
  </si>
  <si>
    <t>Several clips are shown of various people fencing with one another.</t>
  </si>
  <si>
    <t>The people continue moving back and fourth while the camera zooms in on the people playing.</t>
  </si>
  <si>
    <t>v_CV9n0jgThLY</t>
  </si>
  <si>
    <t>A person is in the basket of crane on a roof of a barn, while a man stands on the truck holding a rope.</t>
  </si>
  <si>
    <t>Smoke comes near a table.</t>
  </si>
  <si>
    <t>People stand on front the barn watching, also two women and two children stand on front the barn.</t>
  </si>
  <si>
    <t>v_exxji9vqjSw</t>
  </si>
  <si>
    <t>Various shots are shown of snowy mountains that transition in between shots of people skiing and snowboarding down the mountain.</t>
  </si>
  <si>
    <t>The people are seen performing various flips and tricks down the mountain while the camera captures them from many angles as well as the mountain.</t>
  </si>
  <si>
    <t>v_RZkwDTyxMZI</t>
  </si>
  <si>
    <t>We enter a room and see a boy putting a shirt on an ironing board.</t>
  </si>
  <si>
    <t>The boy begins ironing the tank top with an unplugged iron.</t>
  </si>
  <si>
    <t>The little boy irons a gray shirt and sits the iron on the board next to it.</t>
  </si>
  <si>
    <t>The little boy walks away smiling.</t>
  </si>
  <si>
    <t>The boy shows two fingers and walks around the room with the iron.</t>
  </si>
  <si>
    <t>v_EeGunBjmpFw</t>
  </si>
  <si>
    <t>A man in a jacket talks in front of house as men stand on the roof.</t>
  </si>
  <si>
    <t>A man throws shingles off the roof in the background.</t>
  </si>
  <si>
    <t>The men continue to throw the shingles off the roof.</t>
  </si>
  <si>
    <t>The man holding the camera turns and climbs the ladder and stands on the rooftop.</t>
  </si>
  <si>
    <t>The man turns the camera on himself and continues to talk.</t>
  </si>
  <si>
    <t>v_-5K3KZ6fHuI</t>
  </si>
  <si>
    <t>A group of friends are seated on sleds at the top of the hill.</t>
  </si>
  <si>
    <t>The two friends are pushed down the hill and they slide to the bottom.</t>
  </si>
  <si>
    <t>The two friends are stopped by rubber mats at the bottom of the hill.</t>
  </si>
  <si>
    <t>v_Yg6jFRYIyXw</t>
  </si>
  <si>
    <t>An Aurora Borealis is seen over a northern landscape.</t>
  </si>
  <si>
    <t>A man shovels snow from his porch with a snow shovel.</t>
  </si>
  <si>
    <t>The man shovels snow from a stair case with a snow shovel.</t>
  </si>
  <si>
    <t>The man finishes the job and shows his muscles.</t>
  </si>
  <si>
    <t>v_zQFC5vNZ_Qs</t>
  </si>
  <si>
    <t>A little girl is crossing the monkey bars.</t>
  </si>
  <si>
    <t>A woman is helping her standing under her.</t>
  </si>
  <si>
    <t>The girl drops and the woman catches her.</t>
  </si>
  <si>
    <t>v_y3LlQBDXAHI</t>
  </si>
  <si>
    <t>An athlete is seen standing in a circle and spinning herself around and around.</t>
  </si>
  <si>
    <t>She throws an object off in the distance and is shown again in slow motion.</t>
  </si>
  <si>
    <t>She walks back while cheering and others hold up a flag.</t>
  </si>
  <si>
    <t>v_eFq3gsEi9yI</t>
  </si>
  <si>
    <t>Two white pegs are shown in the wall with a red bed on the side and someone hitting it with a large block of wood.</t>
  </si>
  <si>
    <t>Another angle is shown and the person takes 21 shots at the balls.</t>
  </si>
  <si>
    <t>For the 22nd shot,a man is standing in a large field of white pegs and begins to hit all three balls at the same time in different directions.</t>
  </si>
  <si>
    <t>v_tr8JRPrfAN0</t>
  </si>
  <si>
    <t>A woman cleans the carpet and the floor with a vacuum, after the vacuum picks up dirt from the carpet.</t>
  </si>
  <si>
    <t>Then, the woman takes out the canister of the vacuum and continues cleaning the floor, the wall, the sofa and the floor.</t>
  </si>
  <si>
    <t>After, the woman cleans the frames of picture and pick up hair from a pillow.</t>
  </si>
  <si>
    <t>Next, the woman rewinds the wire of the canister and drops the trash in the trash can.</t>
  </si>
  <si>
    <t>v_drVqGhjI558</t>
  </si>
  <si>
    <t>A man is seen sitting at several tables and peeling potatoes while the camera looks around in fast motion.</t>
  </si>
  <si>
    <t>Another person is seen peeling potatoes and the man walks back over to the table to continue peeling.</t>
  </si>
  <si>
    <t>v_zu960Glpzo4</t>
  </si>
  <si>
    <t>Two men film themselves in an arm wrestling match that someone asked them to make.</t>
  </si>
  <si>
    <t>Two men are sitting in a room next to each other while one man reads off a laptop then they both grab one another's hand to motion what is about to happen.</t>
  </si>
  <si>
    <t>One man sets up the camera to film the match.</t>
  </si>
  <si>
    <t>The men get prepared at the corner of a table, grab hands and then countdown from three.</t>
  </si>
  <si>
    <t>The two men arm wrestle as the make jokes and laugh while doing it.</t>
  </si>
  <si>
    <t>One man gives up and both of the men talk and laugh about the match.</t>
  </si>
  <si>
    <t>One man grunts and throws his hands up in victory.</t>
  </si>
  <si>
    <t>v_YrS64TBX798</t>
  </si>
  <si>
    <t>A young girl is seen moving quickly around a horse brushing it's sides.</t>
  </si>
  <si>
    <t>She brushes all over the horse while another horse walks in and out of frame.</t>
  </si>
  <si>
    <t>She continues to brush the horse while the camera captures her movements.</t>
  </si>
  <si>
    <t>v_6B7fKzdJAbo</t>
  </si>
  <si>
    <t>women are standing in a wooden court in a roofed gym playing voleyball while public is in teraces watching the game.</t>
  </si>
  <si>
    <t>the ball hits a woman for the red team and people run to her.</t>
  </si>
  <si>
    <t>v_aEnq40UPxJ0</t>
  </si>
  <si>
    <t>They are playing a game of water polo.</t>
  </si>
  <si>
    <t>A woman throws the ball into the net and it's caught by the goalie.</t>
  </si>
  <si>
    <t>v_LITdMW0xh7o</t>
  </si>
  <si>
    <t>A man is outside in the good with an ax attempting to cut down a tree.</t>
  </si>
  <si>
    <t>Finally,the tree comes down and the man begins to hit the tree with the ax.</t>
  </si>
  <si>
    <t>v_L9MTwigRhmk</t>
  </si>
  <si>
    <t>BMX biker going down a track practicing in his lane by himself.</t>
  </si>
  <si>
    <t>Then there is another biker too, they're probably racing, They're going super fast down the track turning and hitting high bumps that make them go high up in the air.</t>
  </si>
  <si>
    <t>The track opens again and they start another race.</t>
  </si>
  <si>
    <t>Two bikers are dancing around before getting back on their bikes to get back on the track for another little race.</t>
  </si>
  <si>
    <t>v_YoJxVl_hUWg</t>
  </si>
  <si>
    <t>A man is underneath an RV trying to fix the wheel as a man stands on the outside helping.</t>
  </si>
  <si>
    <t>The wheel is then taken off and the other group of people crowd around to find the problem.</t>
  </si>
  <si>
    <t>As they are talking,the man remains underneath the RV and begins smiling as he holds the rig.</t>
  </si>
  <si>
    <t>v_p-uTwZ9Ph-A</t>
  </si>
  <si>
    <t>A man serves a ball to play squash with a partner.</t>
  </si>
  <si>
    <t>The men hit the ball to the wall.</t>
  </si>
  <si>
    <t>The man bounce the ball on the floor.</t>
  </si>
  <si>
    <t>v_tD-wp39rjnE</t>
  </si>
  <si>
    <t>A man holding a javelin runs down a track.</t>
  </si>
  <si>
    <t>The man throws the javelin.</t>
  </si>
  <si>
    <t>The man falls to the ground.</t>
  </si>
  <si>
    <t>We see the javelin flying through the air.</t>
  </si>
  <si>
    <t>We see people run to measure the distance of the javelin.</t>
  </si>
  <si>
    <t>The man pumps his arms and we see happy people in the crowd.</t>
  </si>
  <si>
    <t>we then see a reply of the man's toss.</t>
  </si>
  <si>
    <t>v_PVAHm5MjHdw</t>
  </si>
  <si>
    <t>A group of baton twirlers are practices their routine for an upcoming competition.</t>
  </si>
  <si>
    <t>The news announcer is commenting on the events.</t>
  </si>
  <si>
    <t>The coach is then interviewed stating what the girls are working on.</t>
  </si>
  <si>
    <t>Multiple twirlers are interviewed for their point of view on why they are working so hard.</t>
  </si>
  <si>
    <t>The coach states what she loves about the process and what is most important.</t>
  </si>
  <si>
    <t>The commentator announces where the competition will be help and states her name.</t>
  </si>
  <si>
    <t>v_OOcsprnRCQQ</t>
  </si>
  <si>
    <t>Three people are walking on a bridge on a lagoon.</t>
  </si>
  <si>
    <t>We see a man on a boat and a lady putting on scuba gear.</t>
  </si>
  <si>
    <t>The man and the woman are underwater looking at sea life.</t>
  </si>
  <si>
    <t>We see a man holding an underwater animal he hands to a lady.</t>
  </si>
  <si>
    <t>We see a man and a lady on a tropical patio talking and laughing.</t>
  </si>
  <si>
    <t>v_y2MSbfOsukM</t>
  </si>
  <si>
    <t>A woman is seen bending forward while sitting on a bed and holding a brush in her hands.</t>
  </si>
  <si>
    <t>She then runs the brush through her hair over and over again.</t>
  </si>
  <si>
    <t>She continues to run the brush through her hair and ends by smiling to the camera.</t>
  </si>
  <si>
    <t>v_diBZlwUO8rc</t>
  </si>
  <si>
    <t>We see a lady in a chefs coat in a kitchen talking.</t>
  </si>
  <si>
    <t>A lady sharpens a knife on a rod.</t>
  </si>
  <si>
    <t>The lady puts water on a black sharpener block.</t>
  </si>
  <si>
    <t>The lady then sharpens the knife.</t>
  </si>
  <si>
    <t>She then returns to the rod.</t>
  </si>
  <si>
    <t>Then back to the black block.</t>
  </si>
  <si>
    <t>We see a closing title screen.</t>
  </si>
  <si>
    <t>v_j_YetAlzwbk</t>
  </si>
  <si>
    <t>A child is standing on a stool filling a cup up with water in the sink.</t>
  </si>
  <si>
    <t>The child puts purple gloves on.</t>
  </si>
  <si>
    <t>They take the gloves off and set them in the sink.</t>
  </si>
  <si>
    <t>v_RtbfdVDciWQ</t>
  </si>
  <si>
    <t>A man wiggles his toes while seated in a room barefoot.</t>
  </si>
  <si>
    <t>The man puts on his shoes and ties the laces.</t>
  </si>
  <si>
    <t>The man dances his feet around while seated.</t>
  </si>
  <si>
    <t>v_-JqLjPz-07E</t>
  </si>
  <si>
    <t>Three men are presenting an instructional video for Slikhaar Studios.</t>
  </si>
  <si>
    <t>The man in the center is demonstrating a hairstyle on the person wearing the blue shirt.</t>
  </si>
  <si>
    <t>The man in the blue shirt sits on the chair next to the sink.</t>
  </si>
  <si>
    <t>The other man begins washing his hair.</t>
  </si>
  <si>
    <t>He scrubs in the shampoo and then washes it off.</t>
  </si>
  <si>
    <t>He then combs it and blow dries his hair after styling it with gel.</t>
  </si>
  <si>
    <t>He uses an electric clipper to groom the sideburns and the temples.</t>
  </si>
  <si>
    <t>He also trims the back and sides of his head with the clippers.</t>
  </si>
  <si>
    <t>He uses scissors to trim the hair and give it a finished look.</t>
  </si>
  <si>
    <t>The model uses some hair gel to style his hair after the haircut.</t>
  </si>
  <si>
    <t>The host of the show then explains how the hair was cut and styled and gives information about his website.</t>
  </si>
  <si>
    <t>v_gF0ymMmpS_M</t>
  </si>
  <si>
    <t>A woman is shown standing in front of an elliptical trainer, talking.</t>
  </si>
  <si>
    <t>She flips through a booklet before walking over to the trainer.</t>
  </si>
  <si>
    <t>She begins to demonstrate how to prepare the trainer for use.</t>
  </si>
  <si>
    <t>She climbs onto the trainer and shows how it is used by pedaling with her feet.</t>
  </si>
  <si>
    <t>A close up of the display screen is then shown.</t>
  </si>
  <si>
    <t>The trainer is folded to show compaction and ease of storage.</t>
  </si>
  <si>
    <t>v_hThdSxhMhDo</t>
  </si>
  <si>
    <t>A grey bunny is standing on a bed on a black towel eating something in his hand.</t>
  </si>
  <si>
    <t>As he eats,the bunny begins to grabs his ears and shakes its head.</t>
  </si>
  <si>
    <t>Struggling more,the bunny bends down and keeps eating something before looking out.</t>
  </si>
  <si>
    <t>v_5_UEjPqtnE0</t>
  </si>
  <si>
    <t>A young child is seen sitting before a fooseball table when one hands her the ball and she puts it into the game.</t>
  </si>
  <si>
    <t>The man then helps the girl play on the table by moving the poles all around and pushing the people.</t>
  </si>
  <si>
    <t>v_PmWF-HawRw0</t>
  </si>
  <si>
    <t>Athletes run down a track and throw a javelins across the field.</t>
  </si>
  <si>
    <t>A referees runs out to check the javelin position.</t>
  </si>
  <si>
    <t>A leader board is shows scores of athletes.</t>
  </si>
  <si>
    <t>v_5sl-E-AwptI</t>
  </si>
  <si>
    <t>A field hockey player dribbles a ball on the field between his legs.</t>
  </si>
  <si>
    <t>Th field hockey play dribble the ball back and forth in front of him.</t>
  </si>
  <si>
    <t>The field hockey player hits up while juggling the ball in the air and balances on his stick.</t>
  </si>
  <si>
    <t>The players dribble through a set of cones and takes shots on the goal.</t>
  </si>
  <si>
    <t>v_hrN0hOmQrD4</t>
  </si>
  <si>
    <t>People are driving a car with rafts on the back.</t>
  </si>
  <si>
    <t>They get in the rafts and are rafting down a river.</t>
  </si>
  <si>
    <t>They go to a hot dog stand and get food.</t>
  </si>
  <si>
    <t>They continue rafting down the river.</t>
  </si>
  <si>
    <t>v_ILgkiTHnGVI</t>
  </si>
  <si>
    <t>A man shows up on the screen wearing a martial arts uniform showing people how to do a side kick.</t>
  </si>
  <si>
    <t>He sways from side to side to show how to control your balance.</t>
  </si>
  <si>
    <t>He lifts his knees, one after alternating from left to right to show how to begin the kick.</t>
  </si>
  <si>
    <t>He continues to show how to finish the side kick with a follow through.</t>
  </si>
  <si>
    <t>Then he demonstrates how to do the kick from several angles.</t>
  </si>
  <si>
    <t>v_mGgidUE8drE</t>
  </si>
  <si>
    <t>We see an opening white screen.</t>
  </si>
  <si>
    <t>We then see a man pushing a bike brake and adjusting it.</t>
  </si>
  <si>
    <t>The man pulls a cord on the bike near the tire.</t>
  </si>
  <si>
    <t>The men then adjusts the bake lever again.</t>
  </si>
  <si>
    <t>We then see the man talking to the camera.</t>
  </si>
  <si>
    <t>v_KKAPxOMogDE</t>
  </si>
  <si>
    <t>woman that is sitting in a chair is holding a cup in the dog's mouth so the fog can lick the cup.</t>
  </si>
  <si>
    <t>black dog is standing in a living oom licking water from a cup.</t>
  </si>
  <si>
    <t>a woman is standing in a living with a black dog in a white carpet.</t>
  </si>
  <si>
    <t>v_tB_B3HVdO2I</t>
  </si>
  <si>
    <t>A boy is swinging across monkey bars in a park.</t>
  </si>
  <si>
    <t>A man is doing something behind him.</t>
  </si>
  <si>
    <t>The boy makes his way all the way across.</t>
  </si>
  <si>
    <t>v_KPfKLVV-HCQ</t>
  </si>
  <si>
    <t>A large group of people are seen moving around together in a large gymnasium.</t>
  </si>
  <si>
    <t>The people move up and down on a beam kicking their legs up and moving around.</t>
  </si>
  <si>
    <t>The people continue moving all around the board while the camera captures their movements.</t>
  </si>
  <si>
    <t>v_OhXBMlKOHMI</t>
  </si>
  <si>
    <t>There are a lot of people in an opened court area and they look to be mostly elderly people playing some kind of sport.</t>
  </si>
  <si>
    <t>A man and a woman begin to walk across the court together and they stop to watch a man with a stick who hits something across the court using his stick.</t>
  </si>
  <si>
    <t>Another man then walks up to the court to take his turn while the man who just had a turn moves out of his way.</t>
  </si>
  <si>
    <t>v_RW-nnJiVPsU</t>
  </si>
  <si>
    <t>A man puts on welding safety gear.</t>
  </si>
  <si>
    <t>The man starts welding something on a metal table.</t>
  </si>
  <si>
    <t>He stops welding, lifts his face mask and adjusts things in the table.</t>
  </si>
  <si>
    <t>He then lowers his face mask and starts welding again.</t>
  </si>
  <si>
    <t>He stops and lifts his mask again.</t>
  </si>
  <si>
    <t>He uses a tool to hit something on the table before sanding it.</t>
  </si>
  <si>
    <t>The man pulls off his gloves while walking to the camera.</t>
  </si>
  <si>
    <t>He brings the camera to the table to show the work he has done.</t>
  </si>
  <si>
    <t>v_mpyN1mrMl3U</t>
  </si>
  <si>
    <t>A woman is pouring ingredients into a mixer.</t>
  </si>
  <si>
    <t>She then makes the dough into balls and puts them on a cookie sheet.</t>
  </si>
  <si>
    <t>She places them in the oven.</t>
  </si>
  <si>
    <t>v_xAxax-pfZsk</t>
  </si>
  <si>
    <t>A man is sitting down on the ground and has a skate show on one foot and a prosthetic leg for the other.</t>
  </si>
  <si>
    <t>The man then puts the roller blade over his prosthetic and then follows with the other foot.</t>
  </si>
  <si>
    <t>Once they are both on,he scoots to the grass and someone assists him as he gets up.</t>
  </si>
  <si>
    <t>After he is steady,he gets up and goes rollerblading down the sidewalk before coming back and sitting on the pavement.</t>
  </si>
  <si>
    <t>v_ZjuM-Xv_jqY</t>
  </si>
  <si>
    <t>Several items are seen laid out on a table followed by a person presenting each item to the camera.</t>
  </si>
  <si>
    <t>The person dips a brush into water followed by a cleaner and rubbing a rag across the brush.</t>
  </si>
  <si>
    <t>The person scrubs down the shoes with the brush and wipes off the side with a rag.</t>
  </si>
  <si>
    <t>He waits a certain amount of time and rubs the shoes again and presents them.</t>
  </si>
  <si>
    <t>v_HdOylJP08Lk</t>
  </si>
  <si>
    <t>man is walking in a casino watching the pople and the machines.</t>
  </si>
  <si>
    <t>woman is sitting in a black jack table and is talking to men.</t>
  </si>
  <si>
    <t>woman is smiling and stretching her arm behind her back.</t>
  </si>
  <si>
    <t>man sits in a table and start playing black jack in a casino.</t>
  </si>
  <si>
    <t>v_IgEc5mY9L44</t>
  </si>
  <si>
    <t>A foreman wear blue colored gloves before he begins welding metal.</t>
  </si>
  <si>
    <t>He continues welding the metal with his torch and protective gear on.</t>
  </si>
  <si>
    <t>He welds the metal for a very long time.</t>
  </si>
  <si>
    <t>Then switches off the welding torch and puts the equipment away.</t>
  </si>
  <si>
    <t>v_O4LdjwlsGKI</t>
  </si>
  <si>
    <t>A young man in a brown hoodie and cargo pants is standing on a road in a forested area, instructing viewers as he holds onto the end of a skateboard.</t>
  </si>
  <si>
    <t>After demonstrating a stance on the board, he picks it up and walks back several yards, and places the skateboard on the ground, tiling it up with one foot on the end.</t>
  </si>
  <si>
    <t>He puts it down flat, and begins to skate forward on the board.</t>
  </si>
  <si>
    <t>He flips around on the board, doing a tricky move, and then heads back to where he began to skate.</t>
  </si>
  <si>
    <t>60 After speaking for a little longer, and gesturing to the board, he repeats the move again, heading back once again to the spot he started from.</t>
  </si>
  <si>
    <t>v_yWfTd8pRLgM</t>
  </si>
  <si>
    <t>A girl is doing back flips on a blue mat.</t>
  </si>
  <si>
    <t>A girl does the splits in the air.</t>
  </si>
  <si>
    <t>People are laying down on the mat next to her.</t>
  </si>
  <si>
    <t>She does several flips on a trampoline.</t>
  </si>
  <si>
    <t>v_Imui46JTe7s</t>
  </si>
  <si>
    <t>We see a fitness center sign.</t>
  </si>
  <si>
    <t>We then see a man talking to the camera and sitting and laying on a exercise ball.</t>
  </si>
  <si>
    <t>The man performs sits ups while on the ball and talking.</t>
  </si>
  <si>
    <t>The man sits up and talks to the camera.</t>
  </si>
  <si>
    <t>The end screen is seen on a black background.</t>
  </si>
  <si>
    <t>v_aCiN9mqkXoA</t>
  </si>
  <si>
    <t>Ingredients are prepared and poured into a large mixing bowl.</t>
  </si>
  <si>
    <t>A woman washes a bowl in a kitchen sink with a sponge.</t>
  </si>
  <si>
    <t>The woman smells the bowl to make sure it is clean.</t>
  </si>
  <si>
    <t>The woman places the bowl into a dish washer and shows the proper placement.</t>
  </si>
  <si>
    <t>A woman washes a plate in a kitchen sink with a sponge.</t>
  </si>
  <si>
    <t>The woman smells the plate to make sure it is clean.</t>
  </si>
  <si>
    <t>The woman places the plate into a dish washer and shows the proper placement.</t>
  </si>
  <si>
    <t>A woman washes glass cups in a kitchen sink with a sponge.</t>
  </si>
  <si>
    <t>The woman smells the glass cups to make sure they are clean.</t>
  </si>
  <si>
    <t>The woman places the glass cups into a dish washer and shows the proper placement.</t>
  </si>
  <si>
    <t>End credits are seen for the film.</t>
  </si>
  <si>
    <t>v_aMQVH3dF0QM</t>
  </si>
  <si>
    <t>An introduction appears on the screen for a video about galloping along the beach.</t>
  </si>
  <si>
    <t>Several images are shown of people riding on horseback along the beach.</t>
  </si>
  <si>
    <t>The images turn into a video of several people going along the sand dunes.</t>
  </si>
  <si>
    <t>The video then alternates between images and video of people enjoying the beach ride.</t>
  </si>
  <si>
    <t>The video ends with text displayed showing more information about the trip.</t>
  </si>
  <si>
    <t>v_xmK2kbPSGUs</t>
  </si>
  <si>
    <t>A woman demonstrates how to make a mixed drink in a bar at a bar countertop in front of a countertop filled with alcohol.</t>
  </si>
  <si>
    <t>The woman begins by talking to the camera and pulling out a bottle of alcohol next to a mason jar prepped with a slice of lemon and mint in it.</t>
  </si>
  <si>
    <t>The woman pours ice in the glass and a few shots of alcohol and then pours lemonade in the glass with a mint sprig and lemon wedge on the rim.</t>
  </si>
  <si>
    <t>The woman takes a sip of the drink before the scene fades.</t>
  </si>
  <si>
    <t>v_iZImXrduFlA</t>
  </si>
  <si>
    <t>a man is outside in his yard.</t>
  </si>
  <si>
    <t>He is using a pressure washer to wash the leaves off his lawn.</t>
  </si>
  <si>
    <t>He sprays them up and down, pushing them down an incline.</t>
  </si>
  <si>
    <t>v_UYhKDweME3A</t>
  </si>
  <si>
    <t>A man fills a pot with water and adds salt and oil, and then boil the water while talking.</t>
  </si>
  <si>
    <t>Then, the man puts the spaghetti in the bowling pot.</t>
  </si>
  <si>
    <t>After, the man taste the spaghetti and drain it.</t>
  </si>
  <si>
    <t>Next, the man adds grated cheese and oil on the spaghetti.</t>
  </si>
  <si>
    <t>v_f1YrGAkQd0U</t>
  </si>
  <si>
    <t>There are 3 men and 1 woman.</t>
  </si>
  <si>
    <t>Each of them show and tell you their way of bowling to earn strikes and get perfect scores on the high scoreboard.</t>
  </si>
  <si>
    <t>v_Mvl-TR0rDdA</t>
  </si>
  <si>
    <t>We see the title for Kyla Ross on the parallel bars.</t>
  </si>
  <si>
    <t>The girls lifts, then lowers her arms.</t>
  </si>
  <si>
    <t>Kyla then jumps onto the short bar.</t>
  </si>
  <si>
    <t>She transfers to the tall bar, then back to the short one.</t>
  </si>
  <si>
    <t>She spins back to the tall one and spins.</t>
  </si>
  <si>
    <t>She flips to the short bar, then back to the tall and flips.</t>
  </si>
  <si>
    <t>She dismounts and hugs her coach.</t>
  </si>
  <si>
    <t>We see her final score on a black screen.</t>
  </si>
  <si>
    <t>v_K9cQxJ37xzA</t>
  </si>
  <si>
    <t>A woman in a white tank top is riding an exercise bike in a room.</t>
  </si>
  <si>
    <t>She is doing push ups on a black mat.</t>
  </si>
  <si>
    <t>She is back to riding the exercise bike.</t>
  </si>
  <si>
    <t>She is lifting weights up and down at her sides.</t>
  </si>
  <si>
    <t>She is riding on the exercise bike again.</t>
  </si>
  <si>
    <t>v_jafEh82XETQ</t>
  </si>
  <si>
    <t>A man is demonstrating how to cook a friend bologna sandwich in his kitchen.</t>
  </si>
  <si>
    <t>He takes two slices of sandwich bread and puts them in the toaster.</t>
  </si>
  <si>
    <t>Then he takes a little butter and bologna in a frying pan and fries it.</t>
  </si>
  <si>
    <t>He flips the bologna to fry it on both sides.</t>
  </si>
  <si>
    <t>Then he takes two slices of American cheese.</t>
  </si>
  <si>
    <t>He takes the bologna out of the pan and places it on the toast along with the cheese slices.</t>
  </si>
  <si>
    <t>He shows the finished sandwich with the bologna and cheese.</t>
  </si>
  <si>
    <t>v_yfeKtTU0aOE</t>
  </si>
  <si>
    <t>A man is sitting on a weight machine and grabbing onto handle bars.</t>
  </si>
  <si>
    <t>He pulls the handlebars back and fourth as the seat he's moving on continuously moves.</t>
  </si>
  <si>
    <t>He performs this set several times and eventually pauses to let the instruction end.</t>
  </si>
  <si>
    <t>v_5l2_BVOqQX8</t>
  </si>
  <si>
    <t>A bald man in gray shirt is standing at the playground, he walked towards the monkey bars and started to pull himself up and down, he walked towards a lower pole and started to pull himself up while his legs are stretched down.</t>
  </si>
  <si>
    <t>He walked back to the monkey bar and pull himself up and down, his legs are moves from side to side then pull him up and down.</t>
  </si>
  <si>
    <t>v_9Ds9DvdPQkM</t>
  </si>
  <si>
    <t>A woman is talking while holding a saxophone.</t>
  </si>
  <si>
    <t>She begins to play the saxophone.</t>
  </si>
  <si>
    <t>v_fULvroAfMAo</t>
  </si>
  <si>
    <t>A guy raises a metal ball above his head, spins with a metal ball, and releases the metal ball.</t>
  </si>
  <si>
    <t>A guy cheers after releasing the metal ball.</t>
  </si>
  <si>
    <t>The score board is shown.</t>
  </si>
  <si>
    <t>v_dDYQNtOtb-Q</t>
  </si>
  <si>
    <t>A little boy is riding in a car drinking a drink and playing with his phone.</t>
  </si>
  <si>
    <t>He begins to have a conversation with an older man who is recording him in the car.</t>
  </si>
  <si>
    <t>v_VOLBBe1br3Q</t>
  </si>
  <si>
    <t>A man runs out on a professional stadium and throws a ball at a batter.</t>
  </si>
  <si>
    <t>Two women watching the game cheer after the batter hits the ball with his plank.</t>
  </si>
  <si>
    <t>One of the women exposes her bare chest to the camera, a black bar is overlaid.</t>
  </si>
  <si>
    <t>The camera returns to action on the field.</t>
  </si>
  <si>
    <t>v_WjX-xi2Ocbo</t>
  </si>
  <si>
    <t>A dirt clodden rodea is shown, as a man on a horse is released from a gate.</t>
  </si>
  <si>
    <t>He ropes a calf, dismounted to tie it up.</t>
  </si>
  <si>
    <t>Another man rides on screen momentarily.</t>
  </si>
  <si>
    <t>v_PPJ6gSuk33o</t>
  </si>
  <si>
    <t>A man is seen standing in a bathroom with a woman and looking back to speak to the camera.</t>
  </si>
  <si>
    <t>The man then moves all around the bathroom while continuing to speak and the camera zooms in.</t>
  </si>
  <si>
    <t>v_AuVL_nkYXw0</t>
  </si>
  <si>
    <t>A man is seen speaking to the camera while standing in front of exercise equipment.</t>
  </si>
  <si>
    <t>He continues speaking and leads into clips of a person's feet moving on the machine.</t>
  </si>
  <si>
    <t>The man the uses the machine continuously while pointing to his body and showing off his legs.</t>
  </si>
  <si>
    <t>v_daSrmaPxaZA</t>
  </si>
  <si>
    <t>A set of black boots are shown on a small table along with a bottle oil and a rag in front of a woman.</t>
  </si>
  <si>
    <t>The woman then grabs the rag and puts olive oil on it and begins polishing the boots.</t>
  </si>
  <si>
    <t>She then pauses with the rags and starts talking.</t>
  </si>
  <si>
    <t>v_PRTcRz--03E</t>
  </si>
  <si>
    <t>A person is seen walking into frame and begins playing on a set of bongo drums.</t>
  </si>
  <si>
    <t>The man continues playing on the drums while the camera doesn't move and ends with him hitting them once and walking away.</t>
  </si>
  <si>
    <t>v_J9OSz5iCwNU</t>
  </si>
  <si>
    <t>A young boy roller blades off a ramp and onto another ramp.</t>
  </si>
  <si>
    <t>The boy speeds off onto a ramp and jumps off it, landing on the cement.</t>
  </si>
  <si>
    <t>Later, the boy roller blades onto another ramp.</t>
  </si>
  <si>
    <t>The young boy is seen in another outfit, performing spins at the end of his roller blading.</t>
  </si>
  <si>
    <t>The boy roller blades criss cross style around some orange cones.</t>
  </si>
  <si>
    <t>The boy does it again, this time weaving in and out of the cones.</t>
  </si>
  <si>
    <t>v_5Z-78AmLjFo</t>
  </si>
  <si>
    <t>A man is using a welding tool on a pile of random metal indoors.</t>
  </si>
  <si>
    <t>Another man is holding up a shield to protect himself.</t>
  </si>
  <si>
    <t>The man holds up a shield to his face as he welds.</t>
  </si>
  <si>
    <t>v_oyljZJZJ7IA</t>
  </si>
  <si>
    <t>A man demonstrates how to use a special dog collar and harness on a dog using both a stuffed toy dog and real dogs.</t>
  </si>
  <si>
    <t>A man standing in front of a wooden fence holds a stuffed dog with a red collar/harness and holds the dog up while talking and demonstrating features of the collar harness.</t>
  </si>
  <si>
    <t>Two hands are showcased holding the red collar by itself and demonstrating the features of the collar harness with still graphics to accompany the hand showcase.</t>
  </si>
  <si>
    <t>The man stands, now, with a real dog and demonstrates how to put the harness on the real dog, then goes back to demonstrating with the stuffed dog before finally ending with petting the collared, real, tan, dog as a black Labrador Retriever wanders into the final shot.</t>
  </si>
  <si>
    <t>v_OMGTFZ9csg0</t>
  </si>
  <si>
    <t>A camera zooms in on a backyard that contains a volkswagon and other various items.</t>
  </si>
  <si>
    <t>A man is shown putting skis together at a rapid pace.</t>
  </si>
  <si>
    <t>The man finishes up the skis and leaves his hat on top of the skis.</t>
  </si>
  <si>
    <t>v_JA-B3KK9A-I</t>
  </si>
  <si>
    <t>An underwater view of blue water appear at the deep end of the pool.</t>
  </si>
  <si>
    <t>In slow motion someone splashes into the water.</t>
  </si>
  <si>
    <t>Various clips of men appear doing different dives into the pool and from different heights.</t>
  </si>
  <si>
    <t>A man goes into the water feet first, lands at the bottom of the deep pool, then drops to do a push up and then quickly shoots up.</t>
  </si>
  <si>
    <t>One guys jumps on the diving board but instead of diving he loses his footing and falls into the water.</t>
  </si>
  <si>
    <t>A boy is standing at a wall pressing a button and talking into an intercom then stops and laughs.</t>
  </si>
  <si>
    <t>v_3zMCxmdkcRY</t>
  </si>
  <si>
    <t>A man and woman are dancing on a roof top of a building in a city.</t>
  </si>
  <si>
    <t>He lifts the woman up into the air.</t>
  </si>
  <si>
    <t>The camera pans up to a tall building in the background.</t>
  </si>
  <si>
    <t>v_Qlh-VSBxcJs</t>
  </si>
  <si>
    <t>An intro leads into a belly dancer performing a routine in front of a mirror.</t>
  </si>
  <si>
    <t>She continues dancing around while moving all around the floor whipping her hair and grabbing her skirt.</t>
  </si>
  <si>
    <t>She finishes by sitting down on the floor and looking into the mirror.</t>
  </si>
  <si>
    <t>v_JYRVSy54UUY</t>
  </si>
  <si>
    <t>A woman is seen speaking to the camera while holding onto an accordion.</t>
  </si>
  <si>
    <t>She begins moving the instrument slowly while looking to the camera.</t>
  </si>
  <si>
    <t>She continues playing the accordion while speaking and looking away.</t>
  </si>
  <si>
    <t>v_NoVa1C5KBno</t>
  </si>
  <si>
    <t>A young teenaged boy is standing outside of the house with a tennis ball and racket.</t>
  </si>
  <si>
    <t>He goes to the tennis court and begins to talk about the game of tennis.</t>
  </si>
  <si>
    <t>He does some stretches for a little but and then gets ready to hit the ball over to the other side of the court.</t>
  </si>
  <si>
    <t>He talks about it on the court and then he leaves to go home.</t>
  </si>
  <si>
    <t>v_L35c6QI1l_0</t>
  </si>
  <si>
    <t>A scene of sand dunes leading to a beach shoreline.</t>
  </si>
  <si>
    <t>A girl in a blue blouse walks and poses in the sand.</t>
  </si>
  <si>
    <t>A man wearing a safari hat leads a group of camels with riders in a single file.</t>
  </si>
  <si>
    <t>The camera pans a close up of the camels lying in the sand with their riding saddles on.</t>
  </si>
  <si>
    <t>A rider captures the view of the sand dunes leading to the ocean.</t>
  </si>
  <si>
    <t>The camel caravan arrives to a camp on the beach.</t>
  </si>
  <si>
    <t>v_SlogVhfmTVs</t>
  </si>
  <si>
    <t>A boy sprays shaving cream into his hand from a can in his bathroom.</t>
  </si>
  <si>
    <t>The boy applies the shaving cream to his face.</t>
  </si>
  <si>
    <t>A man has shaving cream on his face and reads a label on a pressurized can and discusses it.</t>
  </si>
  <si>
    <t>A man rubs his smooth face.</t>
  </si>
  <si>
    <t>The man holds up a metal oil can.</t>
  </si>
  <si>
    <t>The man applies a medicine dropper with liquid to a razor and demonstrates how to use it.</t>
  </si>
  <si>
    <t>v_G9m5zxl2f08</t>
  </si>
  <si>
    <t>A person is seen putting their hands in a sink full of dirty water and pressing his face up against the water.</t>
  </si>
  <si>
    <t>The man continues wiping the mud off of his face as the mud drips down into the sink.</t>
  </si>
  <si>
    <t>v_J3qC2hqRhPc</t>
  </si>
  <si>
    <t>Elmo from Sesame Street is presenting how to brush teeth along with singer Bruno Mars.</t>
  </si>
  <si>
    <t>Elmo pulls out a toothbrush and begins dancing while Bruno Mars appears brushing his teeth on the mirror.</t>
  </si>
  <si>
    <t>Elmo is singing along as Bruno Mars continues to brush his teeth and the multicolored lights on the mirror flicker.</t>
  </si>
  <si>
    <t>Elmo and Bruno Mars continue to dance along as they teach little kids the importance of brushing teeth.</t>
  </si>
  <si>
    <t>v_pmIJcJiydpk</t>
  </si>
  <si>
    <t>A small child is seen standing with her hands on her hips and between jumping down a hop scotch outline.</t>
  </si>
  <si>
    <t>She jumps all the way down and speaks to the camera in the end.</t>
  </si>
  <si>
    <t>v_QdvC8Xt-ym0</t>
  </si>
  <si>
    <t>Two teams on horses ride around on a field.</t>
  </si>
  <si>
    <t>Using cricket bats they hit a ball back and forth.</t>
  </si>
  <si>
    <t>A team finally makes a goal.</t>
  </si>
  <si>
    <t>The scoring team then rides around in victory.</t>
  </si>
  <si>
    <t>v_rBmFxH3BUOw</t>
  </si>
  <si>
    <t>A man points to some products for the usage of waxing skis.</t>
  </si>
  <si>
    <t>The man cleans the ski with a towel.</t>
  </si>
  <si>
    <t>The man grabs one of the products and rubs it all over the ski, letting the product sit there for a while.</t>
  </si>
  <si>
    <t>After some time has passed, the man grabs another product and rubs it all over the ski.</t>
  </si>
  <si>
    <t>v_UU8a7vp6tgY</t>
  </si>
  <si>
    <t>A woman is puts a rod in a base.</t>
  </si>
  <si>
    <t>She then puts a skirt over the rod on the floor.</t>
  </si>
  <si>
    <t>She puts a fake Christmas tree up on the rod.</t>
  </si>
  <si>
    <t>A close up of the bow of the Christmas tree is shown.</t>
  </si>
  <si>
    <t>She fixes the bow on the tree.</t>
  </si>
  <si>
    <t>v_Rte9HqaQ1tw</t>
  </si>
  <si>
    <t>A white wall on the interior of a room is shown.</t>
  </si>
  <si>
    <t>A hand holding a lit match lights a candle.</t>
  </si>
  <si>
    <t>A man sets the candle beside a sink and begins to wash dishes.</t>
  </si>
  <si>
    <t>v_u713piB4VWk</t>
  </si>
  <si>
    <t>A close up of people sweeping is shown followed by people walking around an arena.</t>
  </si>
  <si>
    <t>Two wrestlers then bend down and walk around the pit a bit followed by wrestling one another.</t>
  </si>
  <si>
    <t>One man throws the other down and leads into clips of the city.</t>
  </si>
  <si>
    <t>v_Wh-Q13ZAffE</t>
  </si>
  <si>
    <t>A person is seen riding a sled down a hill followed by several people climbing up the hill and sliding back down again.</t>
  </si>
  <si>
    <t>An adult and child ride down as the person pulls the child out of the sled followed by more people riding down and walking up again.</t>
  </si>
  <si>
    <t>v_ognXkeWL7h8</t>
  </si>
  <si>
    <t>A toddler paint her lips with a lipstick.</t>
  </si>
  <si>
    <t>Then, the toddler applies make up to her eyelids on front a blue mirror.</t>
  </si>
  <si>
    <t>Next, the toddle takes more make up from a palette to continues applying to her eyelids.</t>
  </si>
  <si>
    <t>v_KVaTsulE5Z0</t>
  </si>
  <si>
    <t>A man is crossing a slack line.</t>
  </si>
  <si>
    <t>He puts something in the trunk of a car.</t>
  </si>
  <si>
    <t>He crosses the slack line onto the other side.</t>
  </si>
  <si>
    <t>v_ZdgWC6Jk2Nk</t>
  </si>
  <si>
    <t>A close up of a lawn mower is seen with a person's shoes walking behind.</t>
  </si>
  <si>
    <t>A camera pans out of a dirt hole and shows a man placing it down next to a tree.</t>
  </si>
  <si>
    <t>The camera pans around the tree and shows the man checking up on the dirt.</t>
  </si>
  <si>
    <t>v_dSOVaLk3ZmU</t>
  </si>
  <si>
    <t>A man sitting in a kayak pushing himself around swirling water using his paddles for support.</t>
  </si>
  <si>
    <t>The man flips several times in the water attempting to break free and he eventually does.</t>
  </si>
  <si>
    <t>v_Po6rrhjsS8g</t>
  </si>
  <si>
    <t>A man is talking in the camera, while another man with scarf is behind him, then they went in the building and sat on two couches, a woman came over to give them water.</t>
  </si>
  <si>
    <t>The man in sweater checked his phone then get two rackets in the bag, handed one to the guy, the guy standing bounced the ball on the racket.</t>
  </si>
  <si>
    <t>The two men started playing tennis while they are sitting.</t>
  </si>
  <si>
    <t>Then they moved the couches and started playing on the wall, then play in the area where people where working.</t>
  </si>
  <si>
    <t>A bald man went down on the stairs and went to the two men who were playing tennis on the wall.</t>
  </si>
  <si>
    <t>v_XpFkoI5hz7s</t>
  </si>
  <si>
    <t>A woman is seen working out with a man and leads into her speaking to the camera.</t>
  </si>
  <si>
    <t>She then steps back and fourth on a board moving her legs around and continuing to speak to the camera.</t>
  </si>
  <si>
    <t>She then hops around the camera and bit and ends by still speaking to the camera.</t>
  </si>
  <si>
    <t>v_0vIFg1eE7Tw</t>
  </si>
  <si>
    <t>A woman blowing kisses at the camera, then inserting her contact lenses.</t>
  </si>
  <si>
    <t>She begins to put eye shadow on her eyelids and rubbing it in.</t>
  </si>
  <si>
    <t>She adds eyelash extensions on her eyes.</t>
  </si>
  <si>
    <t>Then, she begins to contour her entire face little by little patting it down as she goes along.</t>
  </si>
  <si>
    <t>v_ECjumI_otNw</t>
  </si>
  <si>
    <t>A group of cheerleaders perform doing a tower, then the cheerleaders jump down.</t>
  </si>
  <si>
    <t>After, the cheerleaders jump, flip and does cartwheels.</t>
  </si>
  <si>
    <t>Next, the cheerleaders form human towers and dance together.</t>
  </si>
  <si>
    <t>v_pA8QJ2ZoeBM</t>
  </si>
  <si>
    <t>A woman is working out on an elliptical machine.</t>
  </si>
  <si>
    <t>The woman is sitting on a couch in heels.</t>
  </si>
  <si>
    <t>She continues to work out on the machine.</t>
  </si>
  <si>
    <t>v_LlpV8R-EaDQ</t>
  </si>
  <si>
    <t>A girl is sitting in the sand.</t>
  </si>
  <si>
    <t>She is putting sand in a blue bucket in front of her.</t>
  </si>
  <si>
    <t>Two people walk along the beach in front of her.</t>
  </si>
  <si>
    <t>v_lnieKUxnxuY</t>
  </si>
  <si>
    <t>A man walks into a room and puts his hand on a ladder while talking.</t>
  </si>
  <si>
    <t>We see a man putting orange tiles on a floor.</t>
  </si>
  <si>
    <t>We see aa man tiling a shower.</t>
  </si>
  <si>
    <t>We see the man putting the tiles on a floor again.</t>
  </si>
  <si>
    <t>We return to the man talking near the ladder and a website appears on the screen.</t>
  </si>
  <si>
    <t>v_kbRciA51ouY</t>
  </si>
  <si>
    <t>A newsman in a suit is talking.</t>
  </si>
  <si>
    <t>Older women are behind sewing machines sewing blankets.</t>
  </si>
  <si>
    <t>v_kZXVFSjRt5g</t>
  </si>
  <si>
    <t>A few people are sitting down indian style with life vest on watching a man inside of a float boat talk.</t>
  </si>
  <si>
    <t>They get ins the boat with paddles and some others next to them in a kayak.</t>
  </si>
  <si>
    <t>They use the paddle to try to control the boat, but get splashed by the very brown water.</t>
  </si>
  <si>
    <t>Another little boat comes and bumps into them, they paddle until they are about to reach back to land.</t>
  </si>
  <si>
    <t>v_ZHVzukkU9sk</t>
  </si>
  <si>
    <t>Two cookies are shown on a plate.</t>
  </si>
  <si>
    <t>The ingredients are mixed into a bowl one at a time, adding eggs, sugar, and butter.</t>
  </si>
  <si>
    <t>The cookies are cut out of the dough.</t>
  </si>
  <si>
    <t>They are then baked and assembled.</t>
  </si>
  <si>
    <t>v_blMN_9ZtxsY</t>
  </si>
  <si>
    <t>People are dressed up playing ping pong.</t>
  </si>
  <si>
    <t>People are standing next to the table watching.</t>
  </si>
  <si>
    <t>They continue to play and two of the men high five.</t>
  </si>
  <si>
    <t>v_2VvCuSFicyA</t>
  </si>
  <si>
    <t>A person is seen riding on a bicycle down a street with a dog tied next to him.</t>
  </si>
  <si>
    <t>The camera is shown in various angles the man riding the bike with the dog.</t>
  </si>
  <si>
    <t>The man continues riding around with the dog.</t>
  </si>
  <si>
    <t>v_0X34KkUlCAI</t>
  </si>
  <si>
    <t>A man with a whistle holds the middle of the rope.</t>
  </si>
  <si>
    <t>Two men are at each end of the rope pulling in their own direction over the mud.</t>
  </si>
  <si>
    <t>The red rope is leaning toward the man in blue as he nearly sits on the ground.</t>
  </si>
  <si>
    <t>The referee is on his knee observing.</t>
  </si>
  <si>
    <t>The competitor is taking short breaths as he stares.</t>
  </si>
  <si>
    <t>A man with a beard gives a wink and grins.</t>
  </si>
  <si>
    <t>Each man continues to pull as they lean back in the mud.</t>
  </si>
  <si>
    <t>It shows 6 minutes has passed as they continue to pull.</t>
  </si>
  <si>
    <t>It shows 8 minutes and 30 seconds have passed.</t>
  </si>
  <si>
    <t>The man in red stands up and runs backwards pulling the other man across the line.</t>
  </si>
  <si>
    <t>The two men shake hands and hug and walk away.</t>
  </si>
  <si>
    <t>The man in blue puts his arms around two men and walk away.</t>
  </si>
  <si>
    <t>v_Nkcc9kLDQz8</t>
  </si>
  <si>
    <t>People are standing on a hill of snow.</t>
  </si>
  <si>
    <t>People are skiing down a hill.</t>
  </si>
  <si>
    <t>The skiiers stop at the bottom and talk.</t>
  </si>
  <si>
    <t>v_p1yEPOr467M</t>
  </si>
  <si>
    <t>A group of men are pulled on an inflatable hot dog which make a swift turn causing them to fall of.</t>
  </si>
  <si>
    <t>People on water skis and inter tubes have comical crashes while being pulled along in the water.</t>
  </si>
  <si>
    <t>A boy on skis holds onto a tug rope on a dock and is pulled over falling in the water.</t>
  </si>
  <si>
    <t>A large group on inter tubes are pulled on tug ropes in the water then hit a large wave and flip into the air.</t>
  </si>
  <si>
    <t>A man on a boat jumps ship after an item with the boat still moving.</t>
  </si>
  <si>
    <t>v_S7MZle1gPzI</t>
  </si>
  <si>
    <t>A man lays back in ocean water as he holds onto a bar.</t>
  </si>
  <si>
    <t>He is drug by a boat filled with people.</t>
  </si>
  <si>
    <t>He gains his balance, and is water skiing quickly behind the boat.</t>
  </si>
  <si>
    <t>v_mG8h5rX3OnU</t>
  </si>
  <si>
    <t>Several people are captured decorating a Christmas tree in a living room in a fast forward, speed motion video.</t>
  </si>
  <si>
    <t>A Christmas tree stands undecorated in a living room.</t>
  </si>
  <si>
    <t>Two people decorate the tree with a light cord.</t>
  </si>
  <si>
    <t>Three people decorate the tree with blue and silver balls.</t>
  </si>
  <si>
    <t>The tree lights are turned on and wrapped gifts are placed under the tree as people start to sit under the tree and a dog casually walks by the tree.</t>
  </si>
  <si>
    <t>v_PdNb0g36a6U</t>
  </si>
  <si>
    <t>A guy is standing, gesturing, and instructing in a gym.</t>
  </si>
  <si>
    <t>A man demonstrates a gymnastic stunt on a hand platform.</t>
  </si>
  <si>
    <t>The man poses with his hands extended in the air.</t>
  </si>
  <si>
    <t>v_96kej9yK8To</t>
  </si>
  <si>
    <t>There's man dressed in a black sweater playing the violin in a church.</t>
  </si>
  <si>
    <t>There's a woman standing next to him, also dressed on black holding a violin in her hands.</t>
  </si>
  <si>
    <t>There's a statue of Jesus Christ right behind them.</t>
  </si>
  <si>
    <t>After the man stops playing the violin, the woman joins in and begins playing her violin.</t>
  </si>
  <si>
    <t>there are a few people seated in the front row, watching the woman play.</t>
  </si>
  <si>
    <t>v_IrO7Fgr102M</t>
  </si>
  <si>
    <t>A group of men on donkeys play a form of polo on a dirt field.</t>
  </si>
  <si>
    <t>The camera pans to people watching the game.</t>
  </si>
  <si>
    <t>The camera returns to the people riding the donkeys.</t>
  </si>
  <si>
    <t>v_1sA-lEbrgak</t>
  </si>
  <si>
    <t>A close up of a score board is shown followed by a man lifting a heavy set of weights.</t>
  </si>
  <si>
    <t>The man lifts it over his head and his score his shown afterwards.</t>
  </si>
  <si>
    <t>He does this several more times.</t>
  </si>
  <si>
    <t>v_uPyciwjOz3E</t>
  </si>
  <si>
    <t>Several dogs are at a park.</t>
  </si>
  <si>
    <t>Their owners talk about the.</t>
  </si>
  <si>
    <t>Several vendors are set up in tents.</t>
  </si>
  <si>
    <t>The ownders walk the dogs around.</t>
  </si>
  <si>
    <t>v_JbAvSsIaI8g</t>
  </si>
  <si>
    <t>A man is sitting behind a laptop.</t>
  </si>
  <si>
    <t>He takes a contact out of his eye.</t>
  </si>
  <si>
    <t>He rubs his eye before putting it back in.</t>
  </si>
  <si>
    <t>v_AWPlbtK7afY</t>
  </si>
  <si>
    <t>A group of people is learning how to rollerblade.</t>
  </si>
  <si>
    <t>Some peeople go in groups, but generally they are slow and awkward.</t>
  </si>
  <si>
    <t>v_Bc0_vvpfMAE</t>
  </si>
  <si>
    <t>A woman is shown talking in her kitchen.</t>
  </si>
  <si>
    <t>She fills a bowl with butter, flour and sugar, and adds eggs.</t>
  </si>
  <si>
    <t>She creates a dough, and then makes and bakes a batch of cookies.</t>
  </si>
  <si>
    <t>v__bj64aqyIyk</t>
  </si>
  <si>
    <t>A girl is crossing the monkey bars.</t>
  </si>
  <si>
    <t>A girl in a yellow shirt is standing on the ground watching.</t>
  </si>
  <si>
    <t>A girl on a blue shirt is standing on a playground.</t>
  </si>
  <si>
    <t>v_Il0IelOoXa4</t>
  </si>
  <si>
    <t>A woman is seen sitting in a canoe when a man pushes her along and climbs in back.</t>
  </si>
  <si>
    <t>The man is seen riding around and looking at her surroundings while the man behind paddles.</t>
  </si>
  <si>
    <t>The woman continues sitting and looking around her at the trees and sights.</t>
  </si>
  <si>
    <t>v_jSHcj_pXiI4</t>
  </si>
  <si>
    <t>A man is getting his ear pierced by another individual who only has his or her hands in frame.</t>
  </si>
  <si>
    <t>The second individual pushes a cart behind the first individual.</t>
  </si>
  <si>
    <t>The camera focus on the first individual.</t>
  </si>
  <si>
    <t>The second individual pierces the first man's other ear.</t>
  </si>
  <si>
    <t>v_AG2g8djPKV0</t>
  </si>
  <si>
    <t>We see a lady washing clothes by hand outdoors.</t>
  </si>
  <si>
    <t>The lady pours water on the clothes from a bowl.</t>
  </si>
  <si>
    <t>The lady pushes her hair back.</t>
  </si>
  <si>
    <t>The lady pours more water on the clothes.</t>
  </si>
  <si>
    <t>v_A49K-WtIzsY</t>
  </si>
  <si>
    <t>A man is outside scraping the ice off of the windows of his car.</t>
  </si>
  <si>
    <t>Once he is finished,he puts the tool in the back of his seat and gets in the car.</t>
  </si>
  <si>
    <t>v_T9jiC2SRLJQ</t>
  </si>
  <si>
    <t>A person is seen making a drink close up followed by him speaking to others on a mountain.</t>
  </si>
  <si>
    <t>More shots are shown of the man having a drink as well as speaking to others.</t>
  </si>
  <si>
    <t>The man has another drink and plays pool followed by a picture of them.</t>
  </si>
  <si>
    <t>v_RVOBQBamjDA</t>
  </si>
  <si>
    <t>A lady is sitting and playing the piano.</t>
  </si>
  <si>
    <t>A guy is standing and playing a saxophone.</t>
  </si>
  <si>
    <t>The lady and guy are performing on the same stage, together.</t>
  </si>
  <si>
    <t>The lady and guy stop playing.</t>
  </si>
  <si>
    <t>v_z31xpHUGgO0</t>
  </si>
  <si>
    <t>A man and a little boy play badminton in an indoor court.</t>
  </si>
  <si>
    <t>The little boy serves and returns the ball well.</t>
  </si>
  <si>
    <t>The little boy miss a ball that ends in the net, then the man recovers the ball and they continue playing.</t>
  </si>
  <si>
    <t>v_KCOzA0Suy5U</t>
  </si>
  <si>
    <t>Two young motorcycle riders sit on the bikes and wave on a dirt trail.</t>
  </si>
  <si>
    <t>The boys ride their bikes over jumps on the trails.</t>
  </si>
  <si>
    <t>A young rider jumps a ramp and clutches the handlebars with his feet.</t>
  </si>
  <si>
    <t>The boy does heal clicks and kicks his feet to the side of the motor bike in mid air.</t>
  </si>
  <si>
    <t>v_x9VlxLDK-VM</t>
  </si>
  <si>
    <t>A young girl with messy curly hair is standing in front of the sink cleaning a dish with a blue sponge.</t>
  </si>
  <si>
    <t>She then rinses the top of the plate and hands it to somebody standing behind her.</t>
  </si>
  <si>
    <t>As she grabs the next dish,someone comes along and puts another dish in the sink as she continues to dump water in and out of the container.</t>
  </si>
  <si>
    <t>v_XklHV0q3w40</t>
  </si>
  <si>
    <t>A man is sitting down playing a saxophone.</t>
  </si>
  <si>
    <t>He stops playing the saxophone and talks.</t>
  </si>
  <si>
    <t>He stands up and continues playing the saxophone.</t>
  </si>
  <si>
    <t>v_VOyKKN3NdXM</t>
  </si>
  <si>
    <t>A colorful intro with a lot of flashing words flash across the screen along with a logo and a banner with foreign language written on it.</t>
  </si>
  <si>
    <t>A woman dressed in an orange and red dress and scarf is standing and talking has she hold white paper in her hands.</t>
  </si>
  <si>
    <t>The woman is no longer shown and there are various pictures flashing that seem to be about SPEED CAR WASH.</t>
  </si>
  <si>
    <t>A few short video clips begin and they all take place at the SPEED CAR WASH company where cars are driving, products are shown, a man is washing a car and various people are talking either together or alone.</t>
  </si>
  <si>
    <t>The woman from before who is dressed in an orange and red dress appears again and is still holding the white paper as she talks.</t>
  </si>
  <si>
    <t>Flashing words appear after the woman is talking and continues to the end.</t>
  </si>
  <si>
    <t>v_q8TBL7DBgXY</t>
  </si>
  <si>
    <t>A pier is shown at a beach, with people walking alongside it.</t>
  </si>
  <si>
    <t>Many pictures are shown of a woman tying up a pair of skates.</t>
  </si>
  <si>
    <t>She skates and we see bikes, people riding them, palm trees, and ferris wheels.</t>
  </si>
  <si>
    <t>We follow the woman as she skates alongside surfboards and other people.</t>
  </si>
  <si>
    <t>v_4gEDonpfTeY</t>
  </si>
  <si>
    <t>A man and a woman dance in a restaurant full of people.</t>
  </si>
  <si>
    <t>The woman approaches a young male and touch his face, then the man gets angry and push the woman who ends on his arms and they continues dancing.</t>
  </si>
  <si>
    <t>A fire appears on the floor.</t>
  </si>
  <si>
    <t>A man puts two bread sticks on the nose while a woman watch with surprise.</t>
  </si>
  <si>
    <t>The man helps a woman light a cigarette, then he flips and takes as red table cloth to make tricks, the the man and the woman continues dancing until they kiss while liquid come out of bottles and appears the moon at the end.</t>
  </si>
  <si>
    <t>v_HeMpg3SAUUs</t>
  </si>
  <si>
    <t>A little girl is wiping water all over her face.</t>
  </si>
  <si>
    <t>She looks at the camera and smiles as she continues to wash her face.</t>
  </si>
  <si>
    <t>She sticks her tongue out slightly at the camera.</t>
  </si>
  <si>
    <t>v_d_z2CA-o13U</t>
  </si>
  <si>
    <t>people are having fun playing with paint ball guns in interesting ways,some are riding in cars and other are on the ground shooting paint balls at each other.</t>
  </si>
  <si>
    <t>there are people on motorcycles as well as up in the air in parachutes just have a big fun day.</t>
  </si>
  <si>
    <t>One guy seems to have a paint ball rocket launcher and shoots a guy with it.</t>
  </si>
  <si>
    <t>there are people on motor skate boards also.</t>
  </si>
  <si>
    <t>they show that a group of people made it to the top of a small hill to plant there flag and many of there team mates were defeated.</t>
  </si>
  <si>
    <t>v_DVsLkoQijV4</t>
  </si>
  <si>
    <t>Two girls dressed in a red shirt and black spanxs are bending over preparing for a volley ball game.</t>
  </si>
  <si>
    <t>The other team is shown on the other side of the net and they serve the ball.</t>
  </si>
  <si>
    <t>Both of the girls begin to play,hits the ball back over and the girl cheers as they gain a point.</t>
  </si>
  <si>
    <t>v_L9ons75VGCg</t>
  </si>
  <si>
    <t>There are a lot of different teams rowing very fast in a very large body of water that is outdoors, surrounded by a lot of trees and a lot of buildings.</t>
  </si>
  <si>
    <t>Now the focus is on canoes that only have one woman in it and they are racing on another just like the teams did but they are alone and they have numbers behind them.</t>
  </si>
  <si>
    <t>Now they are showing canoes with two men racing and they are also rowing very fast, and then teams of 4 men begin to race.</t>
  </si>
  <si>
    <t>When they are done racing they are now shown walking up to a man and a woman who are placing medals on ribbons around men and women that walk up to him.</t>
  </si>
  <si>
    <t>When the medals have all been given out the list of winners begin to display on different screens.</t>
  </si>
  <si>
    <t>v_Hcoc9euI0tk</t>
  </si>
  <si>
    <t>Two people are skiing down a very cold and snowy mountain slope during winter.</t>
  </si>
  <si>
    <t>Going left and right and starting to build up some more speed as they go.</t>
  </si>
  <si>
    <t>One of them falls and still moving down the slope ends up running into another skier causing him to fall down also.</t>
  </si>
  <si>
    <t>They try to grab hands and they end up finally at a halt.</t>
  </si>
  <si>
    <t>v_zuNQFkkyBNo</t>
  </si>
  <si>
    <t>We see green writing on a black title screen.</t>
  </si>
  <si>
    <t>A lady in a lacy black and white bra sits in a black room under bright spot lights smoking a cigarette.</t>
  </si>
  <si>
    <t>The lady adjusts her position in the chair and looks down.</t>
  </si>
  <si>
    <t>v_UusDcf16TVQ</t>
  </si>
  <si>
    <t>A person wearing a mask plays the accordion.</t>
  </si>
  <si>
    <t>A woman waves to the person with the camera.</t>
  </si>
  <si>
    <t>v_Xk3KngL2ZH0</t>
  </si>
  <si>
    <t>A close up of snow is shown that leads into a man playing drums.</t>
  </si>
  <si>
    <t>The man leans over a set of drums in the snow while the camera pans around.</t>
  </si>
  <si>
    <t>The man still plays the drums and stops to walk away and look at the camera.</t>
  </si>
  <si>
    <t>v_dtYofkPozXM</t>
  </si>
  <si>
    <t>A man is painting a room.</t>
  </si>
  <si>
    <t>He stands on many ladders to reach the walls.</t>
  </si>
  <si>
    <t>He poses in front of a fireplace.</t>
  </si>
  <si>
    <t>v_8WFB_LUOx4k</t>
  </si>
  <si>
    <t>A camera captures several shots of sites as well as people standing outside drinking and celebrating.</t>
  </si>
  <si>
    <t>One man pulls out a weed and a drone is seen flying in the distance.</t>
  </si>
  <si>
    <t>The people attempt to hit the drone and then are seen driving around on a golf cart around other people.</t>
  </si>
  <si>
    <t>A man shows up in a guerrilla suit and the drone flies over people playing games and riding around.</t>
  </si>
  <si>
    <t>v_Q1mh4F0L8Ec</t>
  </si>
  <si>
    <t>A girl in white top and blue jeans is brushing the fur of the horse on one side then she moved on the other side and then brushed his leg.</t>
  </si>
  <si>
    <t>The lady picked up a black bottle and spray the body of the horse, then brushed off the dirt off the horse shoes then put polished on the horse's feet.</t>
  </si>
  <si>
    <t>v_2ESPauwYUnQ</t>
  </si>
  <si>
    <t>A young boy arranges a shirt on the floor.</t>
  </si>
  <si>
    <t>He grabs and iron and irons the shirt.</t>
  </si>
  <si>
    <t>He places the iron down and looks around the room.</t>
  </si>
  <si>
    <t>v_UD4RnQp5tPY</t>
  </si>
  <si>
    <t>A young man stands in a dark room holding two maraca's and speaking to the camera.</t>
  </si>
  <si>
    <t>Another man walks in scolding him and then eventually take off their shirts.</t>
  </si>
  <si>
    <t>They walk to the bathroom and rub shaving cream all over their legs.</t>
  </si>
  <si>
    <t>They begin shaving their legs and hold up a razor smiling at the camera.</t>
  </si>
  <si>
    <t>v_4ksF9BUdQJM</t>
  </si>
  <si>
    <t>A man walks outside plugs his lawn mower in and gets ready to mow.</t>
  </si>
  <si>
    <t>He starts mowing his lawn casually going over all the grass.</t>
  </si>
  <si>
    <t>His dog comes outside and starts to follow him a little while he's closer to the house.</t>
  </si>
  <si>
    <t>The yard is slowly starting to look really really nice, once he is completely finished the yard looks great, nice and smooth.</t>
  </si>
  <si>
    <t>v_L0K-WJuI1-I</t>
  </si>
  <si>
    <t>A man is standing in a kitchen talking.</t>
  </si>
  <si>
    <t>He uses a vacuum to clean the floor.</t>
  </si>
  <si>
    <t>He removes the filter from the vacuum.</t>
  </si>
  <si>
    <t>He talks some more after this.</t>
  </si>
  <si>
    <t>v_syy0FVZ7SkQ</t>
  </si>
  <si>
    <t>A middle aged man talks while holding a mop.</t>
  </si>
  <si>
    <t>The man throws a mop pad on the floor and puts the mop on it picking up the pad.</t>
  </si>
  <si>
    <t>The man goes around the room mopping the floor.</t>
  </si>
  <si>
    <t>The same man is standing in a kitchen.</t>
  </si>
  <si>
    <t>The man runs water over the mop pad and then wrings it out.</t>
  </si>
  <si>
    <t>The man throws the mop pad on the floor again and picks it up with the mop.</t>
  </si>
  <si>
    <t>The man mops the floor going around the furniture.</t>
  </si>
  <si>
    <t>v_TrRsujPlt5w</t>
  </si>
  <si>
    <t>An elderly man is using an elliptical trainer inside a gym.</t>
  </si>
  <si>
    <t>He pedals and pushes back and forth as he talks to the person with the camera.</t>
  </si>
  <si>
    <t>v_wtA-5-6DRcY</t>
  </si>
  <si>
    <t>A group is lazily floating on intertubes in a river.</t>
  </si>
  <si>
    <t>The people are holding hands so they stay together.</t>
  </si>
  <si>
    <t>They float down the water in the rain, through the rapids.</t>
  </si>
  <si>
    <t>v_aDsRltSdQak</t>
  </si>
  <si>
    <t>We see the ocean and an island in the water.</t>
  </si>
  <si>
    <t>We see a person kitesurfing in the water.</t>
  </si>
  <si>
    <t>We then see two people kitesurfing.</t>
  </si>
  <si>
    <t>We go back to just one person surfing.</t>
  </si>
  <si>
    <t>We see the island from above.</t>
  </si>
  <si>
    <t>We return to the surfer in the water.</t>
  </si>
  <si>
    <t>v_v0mUPr68x2U</t>
  </si>
  <si>
    <t>A man get out a home while a dog follows him.</t>
  </si>
  <si>
    <t>Then a toddler get out the home, stand on the border of the swimming pool an falls in the water.</t>
  </si>
  <si>
    <t>The baby floats face up, then a man comes and take the baby.</t>
  </si>
  <si>
    <t>A woman puts a baby in the swimming pool, and the baby swims fast to reach the border of the swimming pool.</t>
  </si>
  <si>
    <t>A woman puts the baby in the swimming pool who swings and floats.</t>
  </si>
  <si>
    <t>v_0-ReTddxkhg</t>
  </si>
  <si>
    <t>Two women are in front of a camera, the woman in the red shirt is speaking.</t>
  </si>
  <si>
    <t>The women both put something from a cup in there mouths.</t>
  </si>
  <si>
    <t>The woman in red begins to dance.</t>
  </si>
  <si>
    <t>The woman in black makes a face to the camera.</t>
  </si>
  <si>
    <t>Both girls bend over a bit in front of the camera.</t>
  </si>
  <si>
    <t>The woman in red stops dancing and begins to laugh and the woman in black does this as well.</t>
  </si>
  <si>
    <t>It appears that both women either swallow or spit out whatever was in their mouths.</t>
  </si>
  <si>
    <t>v_yhWPzE-kmk4</t>
  </si>
  <si>
    <t>A young child is seen talking to the camera while wearing oven mits and holding a stick.</t>
  </si>
  <si>
    <t>The boy then opens and oven door and pulls out a plate of cookies.</t>
  </si>
  <si>
    <t>He uses the stick to push the rack back and closes the oven while waves to the camera.</t>
  </si>
  <si>
    <t>v_QT2l100KJe0</t>
  </si>
  <si>
    <t>A man in a yellow shirt has his hands behind his head.</t>
  </si>
  <si>
    <t>He is running down a track and throwing a javelin.</t>
  </si>
  <si>
    <t>He trips and falls forward.</t>
  </si>
  <si>
    <t>A shot of the field is shows with many people walking on it.</t>
  </si>
  <si>
    <t>v_OvSf6kk07uE</t>
  </si>
  <si>
    <t>Gymnasts stretch and prepare for a routine.</t>
  </si>
  <si>
    <t>They do a bunch of things with their shirts off.</t>
  </si>
  <si>
    <t>v_352jrqIWSFY</t>
  </si>
  <si>
    <t>Two wrestlers are seen hunches over in a ring with one running over to the other.</t>
  </si>
  <si>
    <t>One wrestler grabs the other and flips him over his shoulders, then a ref hits the side to tap out.</t>
  </si>
  <si>
    <t>v_0OxOI3sAIrM</t>
  </si>
  <si>
    <t>A woman is sitting on a mat on the floor.</t>
  </si>
  <si>
    <t>A man is talking about how to use a bowflex.</t>
  </si>
  <si>
    <t>She lies down, doing sit ups as he continues to talk.</t>
  </si>
  <si>
    <t>v__CJaovqcgtM</t>
  </si>
  <si>
    <t>A flat screen television is sitting on a stand showing the television show RAW.</t>
  </si>
  <si>
    <t>On the show,two men are wrestling each over moving on the ground.</t>
  </si>
  <si>
    <t>The fat man then picks up the skinny guy,drops him,and stands over him.</t>
  </si>
  <si>
    <t>v_iAWXaWo82u4</t>
  </si>
  <si>
    <t>A person is holding a dog covered in suds and holding a bottle of shampoo in a yard.</t>
  </si>
  <si>
    <t>We see the person standing next to the dog and washing him with the shampoo.</t>
  </si>
  <si>
    <t>A person waves their hand in front of the dog.</t>
  </si>
  <si>
    <t>The camera pans and we see another dog laying on the ground.</t>
  </si>
  <si>
    <t>v_1FFbrlvDQ7c</t>
  </si>
  <si>
    <t>A white screen appears with a picture of a globe and a banner around it with yellow words that say "ABADA-CAPOEIRA"and is followed with various white screens that have black writing on each individual screen.</t>
  </si>
  <si>
    <t>People that include both children and adults are gathered in a room and are watching a film being projected on a large wall.</t>
  </si>
  <si>
    <t>Now there are people that are dressed in white and are in a room with blue mats on the ground and various different people including both adults and children are all dancing capoeira style either together, or separately while some people play instruments and some people just watch them.</t>
  </si>
  <si>
    <t>When they're done dancing a lot of the children pile onto and around an adult man and they take a group picture.</t>
  </si>
  <si>
    <t>Outro appears and it's the globe, white screens with black words on each one, and then logos.</t>
  </si>
  <si>
    <t>v_J3TwVc0v89A</t>
  </si>
  <si>
    <t>Two sister toddlers enter in a kitchen, then one toddler wash the dishes in the sink.</t>
  </si>
  <si>
    <t>The mother puts dishes on the sink and open the dishwasher.</t>
  </si>
  <si>
    <t>The toddler sister helps with the dishwasher and then climbs the high chair and help wash the dishes and the toddler loads the dishwasher.</t>
  </si>
  <si>
    <t>The mother stands near the refrigerator drinking tea and texting.</t>
  </si>
  <si>
    <t>The sister toddler go down the chair and leave the kitchen.</t>
  </si>
  <si>
    <t>Then, the toddler go down the chair, then she close and turn on the dishwasher.</t>
  </si>
  <si>
    <t>v_QFz-keqof9g</t>
  </si>
  <si>
    <t>A rope is strung between two trees.</t>
  </si>
  <si>
    <t>A man walks on the rope.</t>
  </si>
  <si>
    <t>He falls several times off the rope.</t>
  </si>
  <si>
    <t>Eventually he is able to balance and walks back and forth.</t>
  </si>
  <si>
    <t>v_JKVOi9DE8Hs</t>
  </si>
  <si>
    <t>A little boy is throwing darts at a board.</t>
  </si>
  <si>
    <t>He walks over to the target, looking at where the darts hit.</t>
  </si>
  <si>
    <t>v_1o9RGnujlkI</t>
  </si>
  <si>
    <t>A girl is standing in a room taking out several arrows out of her pack and using her arrow to release them.</t>
  </si>
  <si>
    <t>She then moves around the gym,takes a deep breath and continues going.</t>
  </si>
  <si>
    <t>After she moves again,two carpets are shown hanging from the wall and she continues to aim at her target until all of her bows are gone.</t>
  </si>
  <si>
    <t>v_K1G84xfLr9s</t>
  </si>
  <si>
    <t>A girl walks onto a mat, bowing before the judges.</t>
  </si>
  <si>
    <t>She performs several martial arts moves using a large wooden stick.</t>
  </si>
  <si>
    <t>When she is done, a man blows a whistle.</t>
  </si>
  <si>
    <t>v_bKec2fA5RZ8</t>
  </si>
  <si>
    <t>A woman is shown talking to the camera holding a vacuum and followed by her vacuuming up her floor at a fast pace.</t>
  </si>
  <si>
    <t>She vacuums all around the area while still talking to the camera and eventually transitioning to a close up of the vacuum.</t>
  </si>
  <si>
    <t>v_gMaakjqhNmM</t>
  </si>
  <si>
    <t>There are some men playing darts in a basement where two dart boards are hung on the wall.</t>
  </si>
  <si>
    <t>One of the men wearing a green shirt aims the dart board with a dart to hit the bull's eye on one board.</t>
  </si>
  <si>
    <t>Another man also hits the dart on the other dart board.</t>
  </si>
  <si>
    <t>The man in green shoots another dart and then goes to remove it from the dart board.</t>
  </si>
  <si>
    <t>v_8kkKxLpiMus</t>
  </si>
  <si>
    <t>a group of people are gathered inside a room.</t>
  </si>
  <si>
    <t>They are walking back and forward together.</t>
  </si>
  <si>
    <t>They are dancing as a form of aerobics.</t>
  </si>
  <si>
    <t>v_kp-mNHSU5Rc</t>
  </si>
  <si>
    <t>Several shots of people leading around horses are shown and one ties a horse to pole and wets down a razor.</t>
  </si>
  <si>
    <t>The woman then cuts the horses mane and rubs down the horses coat while the camera pans around.</t>
  </si>
  <si>
    <t>The woman unties the horse and finishes by speaking to the camera.</t>
  </si>
  <si>
    <t>v_kcMJk5dg-Wc</t>
  </si>
  <si>
    <t>A small spout of water is shown outdoors between the forest and the rocks and is creating small waves.</t>
  </si>
  <si>
    <t>All of a sudden a person comes down the water kayaking.</t>
  </si>
  <si>
    <t>Once he gets to the bottom,the kayaker turns and the waves continue flowing washing up against the rocks.</t>
  </si>
  <si>
    <t>v_k3rWocPJ428</t>
  </si>
  <si>
    <t>A table soccer set is seen without players that is built out of Lego type blocks.</t>
  </si>
  <si>
    <t>A ball is dispensed from an enclosure.</t>
  </si>
  <si>
    <t>Two boys play a game of table soccer.</t>
  </si>
  <si>
    <t>A boy scores a goal and the ball is retrieved from the slot.</t>
  </si>
  <si>
    <t>A ball falls down a square chute.</t>
  </si>
  <si>
    <t>v_KoP6ZgL6fMY</t>
  </si>
  <si>
    <t>A woman in red is practicing to jump in the sand, She runs a little and jumps in the sand again.</t>
  </si>
  <si>
    <t>Then she starts to try from further back, sprinting and jumping into the sand.</t>
  </si>
  <si>
    <t>She starts to jump over little stands next and then another man joins in to practice with her.</t>
  </si>
  <si>
    <t>Then, an actual race begins and everyone is racing along.</t>
  </si>
  <si>
    <t>v_hKa9wV1orM8</t>
  </si>
  <si>
    <t>A teen wearing red cup gets hit by other cars.</t>
  </si>
  <si>
    <t>People spin around and then continue riding and bumping.</t>
  </si>
  <si>
    <t>Then, people spin without hitting and then continue riding and bumping cars.</t>
  </si>
  <si>
    <t>A boy wearing white shirt spins around and get hit by several cars.</t>
  </si>
  <si>
    <t>v_CZISTSKNsSk</t>
  </si>
  <si>
    <t>A man presents the videos with the topics he will cover as well as the equipment that will be needed to ski.</t>
  </si>
  <si>
    <t>Throughout the video, several people are shown demonstrating some key concepts of the skiing lesson.</t>
  </si>
  <si>
    <t>The video ends with the closing credits for the segment.</t>
  </si>
  <si>
    <t>v__kdhjXHUfes</t>
  </si>
  <si>
    <t>A woman is seen holding a pose on a stage and leads into another man walking on stage.</t>
  </si>
  <si>
    <t>The man and woman then perform a dance routine together around the stage while looking at one another.</t>
  </si>
  <si>
    <t>The two continue dancing and end with a bow and the audience applauding.</t>
  </si>
  <si>
    <t>v_rmaHl5HTcwE</t>
  </si>
  <si>
    <t>A close up of a dart board is seen that leads into darts appearing.</t>
  </si>
  <si>
    <t>A person's hand takes off the darts and more darts are shown hitting the board.</t>
  </si>
  <si>
    <t>This happens several more times while the camera captures it's movements.</t>
  </si>
  <si>
    <t>v_yJgC3-t_ciw</t>
  </si>
  <si>
    <t>There are two men playing Foos ball with two young boys in a living room.</t>
  </si>
  <si>
    <t>There is a large decorated Christmas tree behind them.</t>
  </si>
  <si>
    <t>There is a woman sitting in the living room with a little girl.</t>
  </si>
  <si>
    <t>The boys play Foos ball with the men.</t>
  </si>
  <si>
    <t>They laugh and enjoy themselves as they continue to play.</t>
  </si>
  <si>
    <t>v_BK8yiRJkfcU</t>
  </si>
  <si>
    <t>A large arena is seen with a person running by and pointing to the camera.</t>
  </si>
  <si>
    <t>Several shots are shown of the athlete playing football and leads into him standing.</t>
  </si>
  <si>
    <t>The man then runs down the field and long jumps into a sand pit and his jump is shown again.</t>
  </si>
  <si>
    <t>v_asWvAGhlbdQ</t>
  </si>
  <si>
    <t>A man is seen holding a sharp knife in his hands while the camera zooms in and the man points to two boxes.</t>
  </si>
  <si>
    <t>He then glides the knife along the boxes and shows off the sharpened knife to the camera.</t>
  </si>
  <si>
    <t>He ends by holding the knife and smiling to the camera.</t>
  </si>
  <si>
    <t>v_8aYk3so14fE</t>
  </si>
  <si>
    <t>A man is seen looking off into the distance and leads into him speaking to the camera.</t>
  </si>
  <si>
    <t>The man continues to speak to the camera and then walks behind a set of drums.</t>
  </si>
  <si>
    <t>The man plays the drums continuously and ends by speaking to the camera.</t>
  </si>
  <si>
    <t>v_hDV6wQKvKCg</t>
  </si>
  <si>
    <t>A young girl is shown swinging back and fourth on a swingset and smiling into the camera.</t>
  </si>
  <si>
    <t>She continues going back and fourth while the camera captures her yelling at the camera.</t>
  </si>
  <si>
    <t>v_vBCnsp-NEAg</t>
  </si>
  <si>
    <t>A person slices and ground garlic and chop parsley.</t>
  </si>
  <si>
    <t>Then, the person adds the garlic in the hot oil in a pan.</t>
  </si>
  <si>
    <t>The person cooks and drain the pasta, then put the pasta in the pot and add chicken broth, the cooked garlic, parsley, salt, pepper and cheese on top.</t>
  </si>
  <si>
    <t>Next, the person make fried chicken, then serves the pasta with the chicken.</t>
  </si>
  <si>
    <t>v_1f_EQl4C700</t>
  </si>
  <si>
    <t>Different people enjoy having a cup of tea together.</t>
  </si>
  <si>
    <t>A woman blends the holds up a greased pan then adds a yellow butter to a bowl.</t>
  </si>
  <si>
    <t>Flour is added to the bowl and everything is blended together.</t>
  </si>
  <si>
    <t>Eggs are added to the mixture and blended in with a blender.</t>
  </si>
  <si>
    <t>The woman adds a liquid extracts as well as additional powdered flour to the dish.</t>
  </si>
  <si>
    <t>The woman adds cubed fruit to the mixture and stirs it with a spatula.</t>
  </si>
  <si>
    <t>The host pours the ingredients into a pan then cooks them in an oven.</t>
  </si>
  <si>
    <t>The women enjoy a bite of the dish together.</t>
  </si>
  <si>
    <t>The host pours a cup of tea to enjoy.</t>
  </si>
  <si>
    <t>v_kS_wMOFfMDk</t>
  </si>
  <si>
    <t>A woman rubs her hand very well.</t>
  </si>
  <si>
    <t>Then, the woman rinse her hands with water.</t>
  </si>
  <si>
    <t>v_2ehPAKS6Gpo</t>
  </si>
  <si>
    <t>People are playing hockey on a rink of ice.</t>
  </si>
  <si>
    <t>A referee skates over to the people.</t>
  </si>
  <si>
    <t>They continue playing the game of hockey.</t>
  </si>
  <si>
    <t>v_Z4OyG8ZzUpg</t>
  </si>
  <si>
    <t>Two boys are out in the yard playing ball.</t>
  </si>
  <si>
    <t>One stands in front of the net and passes to the other with lacrosse sticks.</t>
  </si>
  <si>
    <t>The boys continue passing the ball bath and fourth to each other.</t>
  </si>
  <si>
    <t>One boy throws the ball out into the road while the other runs after it.</t>
  </si>
  <si>
    <t>Another boy comes in with a wig and the boys start wrestling each other.</t>
  </si>
  <si>
    <t>The boys then pretend the beat the boy with the wig up.</t>
  </si>
  <si>
    <t>The boys all continue wrestling each other while grabbing the objects and running away.</t>
  </si>
  <si>
    <t>v_E8r9-dSKLwc</t>
  </si>
  <si>
    <t>People are riding bikes around a dirt trail.</t>
  </si>
  <si>
    <t>They go over a hill several times.</t>
  </si>
  <si>
    <t>The boy is wearing a helmet.</t>
  </si>
  <si>
    <t>v_pv73L2pQX1s</t>
  </si>
  <si>
    <t>A person is welding a small square metal object.</t>
  </si>
  <si>
    <t>A flame exit a tube and a light sparkles form the welding machine.</t>
  </si>
  <si>
    <t>Two men weld to join to big cylinders.</t>
  </si>
  <si>
    <t>v_-1IBHYS3L-Y</t>
  </si>
  <si>
    <t>A man removes snow on a car using a snowbrush.</t>
  </si>
  <si>
    <t>Then, the man writes over the snow covering the window of a car, and a woman wearing winter clothes smiles.</t>
  </si>
  <si>
    <t>Then, the man continues removing the snow on his car.</t>
  </si>
  <si>
    <t>v_OYPyiUC4h68</t>
  </si>
  <si>
    <t>A man in bathing suit and his wife float down a river on intertubes.</t>
  </si>
  <si>
    <t>The man falls from his intertube and walks over to the waters edge.</t>
  </si>
  <si>
    <t>The man, now wearing life jacket, with his wife float down a river in the middle of a large group.</t>
  </si>
  <si>
    <t>A group from behind floats next to the man and woman as they slow down near the side of the river.</t>
  </si>
  <si>
    <t>v_oB6h3DscMUw</t>
  </si>
  <si>
    <t>A woman cuts the ends off a sweet potato on a cutting board with a knife.</t>
  </si>
  <si>
    <t>The woman uses a peeling tool to skin a sweet potato over the cutting board.</t>
  </si>
  <si>
    <t>v_L4ZhAK04yjg</t>
  </si>
  <si>
    <t>We see a man and a a woman dancing together.</t>
  </si>
  <si>
    <t>The man spins the woman back and forth.</t>
  </si>
  <si>
    <t>The screen turns a green shade.</t>
  </si>
  <si>
    <t>The lady takes her hair out of a pony tail.</t>
  </si>
  <si>
    <t>The screen turns a blue shade.</t>
  </si>
  <si>
    <t>A person enter the room then leaves.</t>
  </si>
  <si>
    <t>The people start spining again.</t>
  </si>
  <si>
    <t>The person returns and moves to the left.</t>
  </si>
  <si>
    <t>The color becomes normal again.</t>
  </si>
  <si>
    <t>The man stops and the woman is upset.</t>
  </si>
  <si>
    <t>v_ZWHFbIjh0N8</t>
  </si>
  <si>
    <t>An intro appears on a dark screen with red and white special effects and the words "MILWAUKEE OPEN" and "BEST PLAYS" show up on separate screens.</t>
  </si>
  <si>
    <t>Clips of various people, both men and women are outdoors at beaches, wearing beach attire as they play sand volleyball during different matches while a lot of spectators watching them and cheering them on.</t>
  </si>
  <si>
    <t>The clips end and the outro appears and looks just like the intro and ends with the words "BEST PLAYS" and "MILWAUKEE OPEN" on two different screens.</t>
  </si>
  <si>
    <t>v_tO1VJnsd8sg</t>
  </si>
  <si>
    <t>A person in a yellow shirt stands outside watching.</t>
  </si>
  <si>
    <t>A woman opens the door and walks out.</t>
  </si>
  <si>
    <t>v_3AZgr5HkSDY</t>
  </si>
  <si>
    <t>A large group of people are seen performing a routine together in an exercise class while moving up and down on a beam.</t>
  </si>
  <si>
    <t>The people continue moving around one another while moving their arms up and down on the beam and end by holding onto one another and walking around the room.</t>
  </si>
  <si>
    <t>v_9Ht1yvo936I</t>
  </si>
  <si>
    <t>people is playing black jack around a table.</t>
  </si>
  <si>
    <t>dealer is dealnig the cards and the tokens to the women.</t>
  </si>
  <si>
    <t>man stands from a table and walks in a room.</t>
  </si>
  <si>
    <t>v_hYj38k-VOFM</t>
  </si>
  <si>
    <t>A person is seen raking a yard and pauses to put his hand in his pocket.</t>
  </si>
  <si>
    <t>Another man comes walking in with a leaf blower pushing the leaves around.</t>
  </si>
  <si>
    <t>The man rakes more leaves and the leaf blower man comes in again.</t>
  </si>
  <si>
    <t>v_Ho0eNR4jvEg</t>
  </si>
  <si>
    <t>We see the underwater sea floor.</t>
  </si>
  <si>
    <t>Two people swim in front of the camera.</t>
  </si>
  <si>
    <t>We see a man holding a camera.</t>
  </si>
  <si>
    <t>We see a fin enter the camera.</t>
  </si>
  <si>
    <t>The camera is spinning wildly.</t>
  </si>
  <si>
    <t>Bubbles rise out of a tube.</t>
  </si>
  <si>
    <t>A man hands another person the mouthpiece.</t>
  </si>
  <si>
    <t>v_4S09Z8HRtdo</t>
  </si>
  <si>
    <t>Two people are seen walking around a yard in front of a board.</t>
  </si>
  <si>
    <t>Another man walks in and the group are seen laying up a fence.</t>
  </si>
  <si>
    <t>The men continue to put boards up on the fence and end by presenting it to the camera.</t>
  </si>
  <si>
    <t>v_f3Mse2A5edA</t>
  </si>
  <si>
    <t>A man is sitting behind a table completing a Rubik's cube.</t>
  </si>
  <si>
    <t>A person in a blue shirt is standing next to the table holding a stop watch.</t>
  </si>
  <si>
    <t>The man completes the Rubik's cube and sets it down.</t>
  </si>
  <si>
    <t>He hugs a person that walks up next to him.</t>
  </si>
  <si>
    <t>v_STR26rN9GcA</t>
  </si>
  <si>
    <t>Two men are outdoors on a sidewalk, playing drums with their bare hands.</t>
  </si>
  <si>
    <t>A large crowd crosses the sidewalk as they complete the show, and the man on the left stands upright.</t>
  </si>
  <si>
    <t>v_Y1j_e1DXW6I</t>
  </si>
  <si>
    <t>A group of people line up against a wall in front of a set of balls at the start of a game in a gym.</t>
  </si>
  <si>
    <t>The group runs up to retrieve the balls.</t>
  </si>
  <si>
    <t>The group trows balls back and forth with an opposing team in a dodge ball game.</t>
  </si>
  <si>
    <t>A man gets hit multiple times as he runs forward on the court and retrieves balls.</t>
  </si>
  <si>
    <t>v_oeFUzyNgxQU</t>
  </si>
  <si>
    <t>We see men on a stage walking on a slack line as two other men film the event.</t>
  </si>
  <si>
    <t>They switch and a different man then walks the slackline who flips off the slackline.</t>
  </si>
  <si>
    <t>The men switch again and the first man is on the slackline.</t>
  </si>
  <si>
    <t>The man fall off the slackline onto his butt.</t>
  </si>
  <si>
    <t>The second man bounces and flips off.</t>
  </si>
  <si>
    <t>The first man bounces and flips off.</t>
  </si>
  <si>
    <t>the men clap and take the slackline off stage.</t>
  </si>
  <si>
    <t>v_p8C7govzEPw</t>
  </si>
  <si>
    <t>A close up of a clock is shown followed by a person making and pouring out coffee as well as the outside of a building.</t>
  </si>
  <si>
    <t>A women sets up her keys, writes on a board, and leads into her grooming and petting the dogs.</t>
  </si>
  <si>
    <t>Several clips are shown of the woman grooming the animals from various views and the animals shown afterwards.</t>
  </si>
  <si>
    <t>v_CZGDWYYkO-U</t>
  </si>
  <si>
    <t>A girl wearing glasses is seen speaking to the camera that leads into her taking them off and holding them to her camera.</t>
  </si>
  <si>
    <t>She then holds up various items and holds her eye open to put in contact lens for both eyes.</t>
  </si>
  <si>
    <t>v_Ygy-zufAejI</t>
  </si>
  <si>
    <t>We see a man walking a tightrope high above a mountain range.</t>
  </si>
  <si>
    <t>We see a picture in picture in the upper left corner.</t>
  </si>
  <si>
    <t>We see the man holding a selfie stick.</t>
  </si>
  <si>
    <t>The man reaches the other side and turns around.</t>
  </si>
  <si>
    <t>the ending title screen loads.</t>
  </si>
  <si>
    <t>v_enESbo2pA9U</t>
  </si>
  <si>
    <t>Several shots are shown of a celebrity walking the red carpet as well as a woman hosting a news segment and pictures being shown beside her.</t>
  </si>
  <si>
    <t>More pictures are shown as well as the celebrity skiing and snowboarding and ends with men escorting the celebrity into a building and more pictures as the woman speaks.</t>
  </si>
  <si>
    <t>v_JhoGvKrhs8s</t>
  </si>
  <si>
    <t>A large marching band is seen standing together in front of a large building with others standing around.</t>
  </si>
  <si>
    <t>More shots are shown of the group standing around one another while the camera pans around.</t>
  </si>
  <si>
    <t>v_7hxCoi0XU6I</t>
  </si>
  <si>
    <t>An intro leads into two women in front of the camera, one standing and speaking, and the other sitting and watching.</t>
  </si>
  <si>
    <t>The woman standing holds up a brush and begins brushing the woman's hair.</t>
  </si>
  <si>
    <t>She finishes brushing the woman's hair and looks back to the camera smiling.</t>
  </si>
  <si>
    <t>v_vlBzrnOuW9U</t>
  </si>
  <si>
    <t>A woman helps a little boy kick a ball during a kickball game.</t>
  </si>
  <si>
    <t>Each time the ball reaches base, another kid has a turn to kick.</t>
  </si>
  <si>
    <t>v_bqsWU8HqpxE</t>
  </si>
  <si>
    <t>A man runs with a pole and a jumps high, then people jumps several times.</t>
  </si>
  <si>
    <t>Two men are boxing, then people gather, men parachute and a man dive in the water.</t>
  </si>
  <si>
    <t>People dressed with military clothes, then they are doing other activities.</t>
  </si>
  <si>
    <t>People practice pole vault, climbing and other activities.</t>
  </si>
  <si>
    <t>v_P5Sg_kACPRM</t>
  </si>
  <si>
    <t>Two men run on a track while a large crowd of spectators and press watch.</t>
  </si>
  <si>
    <t>A man in the grass in the background runs with the men for a moment.</t>
  </si>
  <si>
    <t>The man on the inside lane of the track starts running very fast and then jumps into a sand pit.</t>
  </si>
  <si>
    <t>the other man runs past the sand pit.</t>
  </si>
  <si>
    <t>The man that jumped steps out of the sand pit and walks to the side.</t>
  </si>
  <si>
    <t>v_xXGc5_0_2QI</t>
  </si>
  <si>
    <t>Inside of a fence men are sitting upon horses waiting.</t>
  </si>
  <si>
    <t>One of the men starts to chase after a bull on his horse.</t>
  </si>
  <si>
    <t>He gets off of his horse and brings the bull down and starts walking back to his horse.</t>
  </si>
  <si>
    <t>He gets back on the horse as the bull just lays on the ground defeated.</t>
  </si>
  <si>
    <t>v_v26OP6f29Qc</t>
  </si>
  <si>
    <t>The men discuss a project sitting at the table.</t>
  </si>
  <si>
    <t>Two men sit at a table together and read from a document.</t>
  </si>
  <si>
    <t>The two men play a game of rock paper scissors.</t>
  </si>
  <si>
    <t>v_1Z3mjpu1I2A</t>
  </si>
  <si>
    <t>There's a little girl washing dishes and spoons in the kitchen sink.</t>
  </si>
  <si>
    <t>She uses a blue dish scrub and plenty of dish soap and washes the glass and spoons while keeping the tap running.</t>
  </si>
  <si>
    <t>She has her hands covered with soap foam as she washes the spoons and knives under the tap.</t>
  </si>
  <si>
    <t>She then washes a pizza cutter and spoon thoroughly with the soap and water.</t>
  </si>
  <si>
    <t>v_VyQ4ZbgqMXk</t>
  </si>
  <si>
    <t>A man is playing a game of shuffleboard.</t>
  </si>
  <si>
    <t>A man falls down onto the shuffleboard.</t>
  </si>
  <si>
    <t>A disc is dropped onto the ground.</t>
  </si>
  <si>
    <t>v_pieT6K771WQ</t>
  </si>
  <si>
    <t>A girl talks stand on the sidewalk, then she walks to a hopscotch.</t>
  </si>
  <si>
    <t>The girl stands on the hopscotch, then she jumps hopscotch while talking.</t>
  </si>
  <si>
    <t>v_FLL06mU-ua8</t>
  </si>
  <si>
    <t>A man gives tips on outdoor physical training.</t>
  </si>
  <si>
    <t>He demonstrates on the monkey bars going back and forth with upper body strength.</t>
  </si>
  <si>
    <t>v_QgklQUCQcV4</t>
  </si>
  <si>
    <t>A news report on physical fitness is given.</t>
  </si>
  <si>
    <t>A few people discuss the benefits of hulahooping and then do a demonstration.</t>
  </si>
  <si>
    <t>v_vcRCId1-xdA</t>
  </si>
  <si>
    <t>A woman is seen holding a drink on stage speaking into a mic as well as the audience.</t>
  </si>
  <si>
    <t>The woman continues speaking and looking around the audience while taking sips of her drink and putting it down.</t>
  </si>
  <si>
    <t>Finally she picks up a guitar and grabs a pic from the front and steps away.</t>
  </si>
  <si>
    <t>v__W8m7v1Ir5I</t>
  </si>
  <si>
    <t>A large group of people are seen standing behind one another with others watching on the sides and leads into the group running down a road.</t>
  </si>
  <si>
    <t>The large group of kids continue running down the road after one another while people still watch on the sides.</t>
  </si>
  <si>
    <t>v_mtF0AFNSFnI</t>
  </si>
  <si>
    <t>A man is seen sitting in front of a woman who begins playing a piano.</t>
  </si>
  <si>
    <t>Another man is seen sitting next to her playing an accordion.</t>
  </si>
  <si>
    <t>The man and woman play together while smiling and nodding and end by stopping and the man applauding.</t>
  </si>
  <si>
    <t>v_VlfnvORj6KY</t>
  </si>
  <si>
    <t>A man is sitting behind three drums.</t>
  </si>
  <si>
    <t>He begins playing the drums in front of him.</t>
  </si>
  <si>
    <t>He finishes playing and pictures are shown on the screen.</t>
  </si>
  <si>
    <t>v_-bzI8_hCbWk</t>
  </si>
  <si>
    <t>A large group of people are seen standing around a large gymnasium playing a game of dodge ball with one another.</t>
  </si>
  <si>
    <t>One man performs an impressive flip that leads to a man speaking to the camera and showing more shots of impressive dodgeball play.</t>
  </si>
  <si>
    <t>v_Il2jGm3L0-0</t>
  </si>
  <si>
    <t>A male athlete puts powder on his hands.</t>
  </si>
  <si>
    <t>He mounts a high beam in the gym.</t>
  </si>
  <si>
    <t>He spins and flips several times before dismounting.</t>
  </si>
  <si>
    <t>v_IeMeu-7QihI</t>
  </si>
  <si>
    <t>A shot of people are shown from several angles and leads into various shots of people riding skis and doing tricks.</t>
  </si>
  <si>
    <t>More close up of water skiers are shown while the boat trails around the area.</t>
  </si>
  <si>
    <t>v_hV9sBYo342M</t>
  </si>
  <si>
    <t>A man is running down a track.</t>
  </si>
  <si>
    <t>He jumps onto a blue mat.</t>
  </si>
  <si>
    <t>He jumps over a high bar and lands on the blue mat.</t>
  </si>
  <si>
    <t>v_Zfo0XXcWXiU</t>
  </si>
  <si>
    <t>A woman brushes and dries her hair.</t>
  </si>
  <si>
    <t>The woman puts the blow dryer down and brushes her hair again.</t>
  </si>
  <si>
    <t>v_O_IrzZbXiCc</t>
  </si>
  <si>
    <t>A child smiles at the camera.</t>
  </si>
  <si>
    <t>The child practices field hockey with obstacles on the ground.</t>
  </si>
  <si>
    <t>The child walks away from the camera.</t>
  </si>
  <si>
    <t>v_2-hF-v79XyQ</t>
  </si>
  <si>
    <t>We see two men in a TV studio talking.</t>
  </si>
  <si>
    <t>We see people playing an indoor soccer game.</t>
  </si>
  <si>
    <t>A man in black is running with his arms in the air.</t>
  </si>
  <si>
    <t>A man in yellow slides on the ground.</t>
  </si>
  <si>
    <t>The 10 in yellow throws a tantrum.</t>
  </si>
  <si>
    <t>The yellow team all hug each other.</t>
  </si>
  <si>
    <t>We return to the men in the studio.</t>
  </si>
  <si>
    <t>v_FNX7CeuIvIQ</t>
  </si>
  <si>
    <t>A man is outside with two dogs on leashes.</t>
  </si>
  <si>
    <t>He puts on a show with the trained dogs.</t>
  </si>
  <si>
    <t>He throws frisbees, and the small crowd claps for the performing dogs.</t>
  </si>
  <si>
    <t>v_eWP99kNayuU</t>
  </si>
  <si>
    <t>A man stands over a roof of a house and puts a took on the roof.</t>
  </si>
  <si>
    <t>Then, the man holds the handle of a tool with one hand.</t>
  </si>
  <si>
    <t>The man holds the handle with two hands, then he continues holding the tool with one hand.</t>
  </si>
  <si>
    <t>v_vKShqwBJrME</t>
  </si>
  <si>
    <t>A person's hands are seen attempting to solve a rubix cube while the end of a table is shown.</t>
  </si>
  <si>
    <t>The person continues until they finish the cube and then shows his time on the screen.</t>
  </si>
  <si>
    <t>v_JxEnKQ7iXUI</t>
  </si>
  <si>
    <t>A group of young girls are dressed in pink tutus, standing on a stage and doing their ballerina routine.</t>
  </si>
  <si>
    <t>One of the girls goes out of sync from the rest and starts moving her feet as she's doing her routine and everything other girl is just standing on their feet and moving just their arms.</t>
  </si>
  <si>
    <t>The girls are now starting to sing as they continue to dance and the same girl that was doing her own thing out of sync continues to do her own dancing different from the majority of the young girls.</t>
  </si>
  <si>
    <t>The dance ends and some of the girls do a curtsy and then they all walk off the stage.</t>
  </si>
  <si>
    <t>v_oq8DE3Cbar0</t>
  </si>
  <si>
    <t>A man in a movie mask is seated by a flight of stairs.</t>
  </si>
  <si>
    <t>He is playing an accordian for the people passing by.</t>
  </si>
  <si>
    <t>A few pause to listen, then continue on their way.</t>
  </si>
  <si>
    <t>v_34eCEU2Y4T0</t>
  </si>
  <si>
    <t>A woman demonstrates, on a toy baby, how to swaddle a baby and wash a baby’s face using cotton balls and wet towels.</t>
  </si>
  <si>
    <t>A woman stands in front of a toy baby and talks to the camera.</t>
  </si>
  <si>
    <t>The woman swaddles the baby in a white blanket and then begins to apply water soaked cotton balls, from a nearby water filled container, to the baby’s eyes and nose and face.</t>
  </si>
  <si>
    <t>The woman finishes and talks to the camera again.</t>
  </si>
  <si>
    <t>v_s789WxU8PFY</t>
  </si>
  <si>
    <t>A woman is seen speaking to the camera and begins unboxing an item.</t>
  </si>
  <si>
    <t>She pulls out the panels as well as putting sunglasses on and presents a pan of objects to the camera.</t>
  </si>
  <si>
    <t>She continues speaking to the camera and pulls the objects out to present baked cookies.</t>
  </si>
  <si>
    <t>The cookies are seen again on a tray and she breaks them open to see.</t>
  </si>
  <si>
    <t>v_7845vSLQoG8</t>
  </si>
  <si>
    <t>A little boy is bending over dipping a paint brush into a blue bucket.</t>
  </si>
  <si>
    <t>He paints the fence in front of him.</t>
  </si>
  <si>
    <t>He walks towards the camera.</t>
  </si>
  <si>
    <t>v_3G3Zear4vog</t>
  </si>
  <si>
    <t>Two girls are seen moving quickly around the room while switching places and looking into a camera.</t>
  </si>
  <si>
    <t>The younger girl laughs to the camera while putting on makeup and the other moves around quick.</t>
  </si>
  <si>
    <t>v_yB35e1u3pJs</t>
  </si>
  <si>
    <t>A young girl is seen speaking to the camera while sitting at a table and leads into her holding up a contacts case.</t>
  </si>
  <si>
    <t>The girl then holds her eye open and takes out the contact, followed by her dipping it in liquid and putting it back in while still speaking.</t>
  </si>
  <si>
    <t>v_JRr3BruqS2Y</t>
  </si>
  <si>
    <t>A woman is rollerskating across a street with people crossing behind her.</t>
  </si>
  <si>
    <t>She goes back across the street alone.</t>
  </si>
  <si>
    <t>A woman in a grey sweater talks to the camera on the sidewalk.</t>
  </si>
  <si>
    <t>A man in a black hat talks to the camera in front of a blue building.</t>
  </si>
  <si>
    <t>A man in a black shirt is sitting down and talking.</t>
  </si>
  <si>
    <t>It goes back to the man in a black hat talking.</t>
  </si>
  <si>
    <t>It goes back to the man in the black shirt talking.</t>
  </si>
  <si>
    <t>The girl is bent over on roller blades pulling something out of a bench.</t>
  </si>
  <si>
    <t>She does tricks on the bench.</t>
  </si>
  <si>
    <t>A woman in a brown hat is talking.</t>
  </si>
  <si>
    <t>A man with a mohawk talks.</t>
  </si>
  <si>
    <t>The girl does more tricks on her roller blades.</t>
  </si>
  <si>
    <t>Three kids are sitting on a bench in roller skates talking.</t>
  </si>
  <si>
    <t>The girl on roller blades does another trick.</t>
  </si>
  <si>
    <t>An older woman is talking to the camera.</t>
  </si>
  <si>
    <t>v_mBZAFJ-Q6Mw</t>
  </si>
  <si>
    <t>A boy is drawing with chalk on concrete as he deals with the troubles of family life and school.</t>
  </si>
  <si>
    <t>He finishes drawing hopscotch boxes on the concrete as he begins to jump on the squares and begins to dance only to be reminded of the bullying at school.</t>
  </si>
  <si>
    <t>The young man is seen now break dancing and going through a routine.</t>
  </si>
  <si>
    <t>Back at home with his troubled family he is eating and day dreaming of dancing as the scene goes back to him dancing.</t>
  </si>
  <si>
    <t>He stops dancing to look at the hopscotch squares that are now faded and worn.</t>
  </si>
  <si>
    <t>In the classroom as the teacher is walking through the rows of desks he notices the young man asleep at his desk as he uses a ruler to tap him on his head to wake him.</t>
  </si>
  <si>
    <t>The young boy notices a note at his desk that has a picture of the hopscotch squares that says "teach me" followed by a smiley face.</t>
  </si>
  <si>
    <t>The credits roll as the concrete and the chalk marks of the hopscotch squares are shown.</t>
  </si>
  <si>
    <t>v_qisMX7KNi7s</t>
  </si>
  <si>
    <t>She opens a white bin and pours water and soap into it.</t>
  </si>
  <si>
    <t>She then closes it and turns the top.</t>
  </si>
  <si>
    <t>She hangs the clothes from a wood rack to dry.</t>
  </si>
  <si>
    <t>v_60CCYfec2vQ</t>
  </si>
  <si>
    <t>There are several workers on top of a roof working on repairing the roof.</t>
  </si>
  <si>
    <t>They are removing the old shingles with the help of a roof jacks.</t>
  </si>
  <si>
    <t>They continue removing the shingles while standing on top of the roof.</t>
  </si>
  <si>
    <t>v_xoETvVbyiBA</t>
  </si>
  <si>
    <t>A man walks up to a set of parallel bars.</t>
  </si>
  <si>
    <t>The man performs acrobatics on the bars in a professional venue.</t>
  </si>
  <si>
    <t>The man successfully jumps of the bars and lands on his feet.</t>
  </si>
  <si>
    <t>v_3Rc2pPAQ-Cs</t>
  </si>
  <si>
    <t>The man in white shirt is strumming the bongo drum.</t>
  </si>
  <si>
    <t>At the counter the man is sitting behind the counter.</t>
  </si>
  <si>
    <t>The man playing bongo hit one drum then the next, then he beat the drums fast.</t>
  </si>
  <si>
    <t>v_CsaeiOFuij0</t>
  </si>
  <si>
    <t>A man is positioning a camera and then walks into a room through a wall of glass with three walls in them.</t>
  </si>
  <si>
    <t>When he enters the room,another man appears with a racket in his hand and they begin hitting the ball up against the wall.</t>
  </si>
  <si>
    <t>The two go back and forth hitting the ball and they eventually stop when neither of the men are able to get to the ball.</t>
  </si>
  <si>
    <t>v_KHxBqZmSaJU</t>
  </si>
  <si>
    <t>people is sitting on a studio talking to each other.</t>
  </si>
  <si>
    <t>man is in the beach doing tricks with a little kid and people in the studio is talking about the video.</t>
  </si>
  <si>
    <t>page of a cheerleaders is shown in the screen and the video of the girl in the beach doing tricks.</t>
  </si>
  <si>
    <t>man is in a living room with a little girl and is doing tricks with her and on the beach, then a video of the man and the girl talking to a camera is shown while people in the stuio keep talking and showing their videos.</t>
  </si>
  <si>
    <t>v_UgtzVS_oeq0</t>
  </si>
  <si>
    <t>People are shown interacting in a dance hall.</t>
  </si>
  <si>
    <t>A woman smokes and exhales black smoke.</t>
  </si>
  <si>
    <t>A man approaches a table and places food on it.</t>
  </si>
  <si>
    <t>Two children eat under the table.</t>
  </si>
  <si>
    <t>Two individuals dancing together kiss.</t>
  </si>
  <si>
    <t>The woman smokes and the black smoke disappears.</t>
  </si>
  <si>
    <t>v_Gd6YooP1_CU</t>
  </si>
  <si>
    <t>A close up of a coffee drink is shown followed by a man drinking out of the cup.</t>
  </si>
  <si>
    <t>The camera pans around to more people with drinks in their hands.</t>
  </si>
  <si>
    <t>A ma looks down at his lap with the drink still in front of him.</t>
  </si>
  <si>
    <t>v_n5RVQbgz1Rs</t>
  </si>
  <si>
    <t>A large green field is shown as two teams begin rushing towards a ball hitting it with a stick that has a net at the end of it.</t>
  </si>
  <si>
    <t>As the game progresses,a player runs into two other people and flips over their shoulders ultimately getting injured.</t>
  </si>
  <si>
    <t>He lays on the ground and several replays of the incident are shown.</t>
  </si>
  <si>
    <t>Next,several still images of other teams walking and preparing to start are shown of them playing games in various locations.</t>
  </si>
  <si>
    <t>v_PFn7a6eEhb4</t>
  </si>
  <si>
    <t>The camera zooms in on a baby cow with various title pages shown across the screen.</t>
  </si>
  <si>
    <t>A group of men run around a calf while others hold him down.</t>
  </si>
  <si>
    <t>A drunk man attempts to interact with a bull and is flipped into the air.</t>
  </si>
  <si>
    <t>Several men drag him out while a tourist attempts to draw the bull in.</t>
  </si>
  <si>
    <t>The bull nearly grabs him but the boy makes it on the fence and throws the red blanket on the bull.</t>
  </si>
  <si>
    <t>v_uUzmPV8Vgqg</t>
  </si>
  <si>
    <t>A woman in track pants and her daughters wash a small dog with soap and water in a bucket on a patio.</t>
  </si>
  <si>
    <t>A woman uses a cup to pour water on the dog to remove the soap.</t>
  </si>
  <si>
    <t>v_qtfFFPKya3Y</t>
  </si>
  <si>
    <t>A field is shown with about ten men standing in the middle and a man takes off running and throws a ball at a man holding a paddle.</t>
  </si>
  <si>
    <t>More games are shown and the same exact actions are repeated throughout various teams.</t>
  </si>
  <si>
    <t>A man with short black hair is then shown and his teammates begin congratulating him and more teams are shown playing the game.</t>
  </si>
  <si>
    <t>v_Pt4BlfBqduE</t>
  </si>
  <si>
    <t>man is holding a hammer fixing the roof of a garage.</t>
  </si>
  <si>
    <t>man is standing in the rooftop adding a black mix.</t>
  </si>
  <si>
    <t>v_ean7ZR6XmG4</t>
  </si>
  <si>
    <t>man is sitting on a table eating a sandwich in a rstaurant talking to other man.</t>
  </si>
  <si>
    <t>man is watching the man while eats and talking to him.</t>
  </si>
  <si>
    <t>both men stands and play rock paper scissors and man hits the man sand this falls to the floor.</t>
  </si>
  <si>
    <t>man is sitting on the chair and talks to the man on thefloor and throw him the sandwich.</t>
  </si>
  <si>
    <t>man walks to a desk and sits in front of te computer drinking water and the other man is laying on the floor trying to talk.</t>
  </si>
  <si>
    <t>anoher man siting in front talk to the man in the desk.</t>
  </si>
  <si>
    <t>man stands and talk to the man on the floor and hits him again and the man spit blood.</t>
  </si>
  <si>
    <t>v_KVmuW9kwZV4</t>
  </si>
  <si>
    <t>A man at his dish washing job has a very unique way to do his dishes at a very fast speed.</t>
  </si>
  <si>
    <t>He throws all the plates one by one very fast.</t>
  </si>
  <si>
    <t>They all land into the sink on top of each other after he wipes them down, some of them fall out a bit.</t>
  </si>
  <si>
    <t>The he pushes them all down into the water.</t>
  </si>
  <si>
    <t>v_3PC5_h68qkc</t>
  </si>
  <si>
    <t>People are putting on their supplies and riding in rafts down a river.</t>
  </si>
  <si>
    <t>We see the location name and the resort shots of the restaurants, bathrooms and more.</t>
  </si>
  <si>
    <t>We see people dance and play games outdoors and in a room in groups with balloons and dancing.</t>
  </si>
  <si>
    <t>We see people zip lining in the jungle.</t>
  </si>
  <si>
    <t>v_bJahexpTlr8</t>
  </si>
  <si>
    <t>A man in a silver jacket is fixing a spoke on the tire of his bicycle.</t>
  </si>
  <si>
    <t>He spins the wheel of the tire.</t>
  </si>
  <si>
    <t>He takes the tire off the bike and lays it against the building.</t>
  </si>
  <si>
    <t>He uses a tool to fix the spoke of the tire.</t>
  </si>
  <si>
    <t>He puts the tire back on the bike and spins it.</t>
  </si>
  <si>
    <t>v_ERmsX91_7V4</t>
  </si>
  <si>
    <t>A person is seen running onto a court and shooting a basketball.</t>
  </si>
  <si>
    <t>The man is shown in several clips running down and scoring a basket.</t>
  </si>
  <si>
    <t>The man continues to shoot hoops over and over again.</t>
  </si>
  <si>
    <t>v_hLnVjkmioH8</t>
  </si>
  <si>
    <t>A boy sits at a kitchen counter and adjusts the camera.</t>
  </si>
  <si>
    <t>His friend moves the camera back so they are more visible.</t>
  </si>
  <si>
    <t>The two boys then arm wrestle and the left boy wins both times.</t>
  </si>
  <si>
    <t>The right boy walks away and the left boy reaches for the camera.</t>
  </si>
  <si>
    <t>v_SQM-heGm8iU</t>
  </si>
  <si>
    <t>Two women are seen running around a room and leads into one speaking to the camera.</t>
  </si>
  <si>
    <t>The people hit a tennis ball around the room while dancing and cheering with one another.</t>
  </si>
  <si>
    <t>The people continue hitting the ball around while playing with one another.</t>
  </si>
  <si>
    <t>v_Lvia-mF_Hnk</t>
  </si>
  <si>
    <t>A man in welding attire welds a piece of metal to another piece of metal on camera.</t>
  </si>
  <si>
    <t>A man wearing protective clothing and a metal welding hat stands in front of a piece of metal missing a long strip on the face of it.</t>
  </si>
  <si>
    <t>The man begins to weld creating large sparks of white light.</t>
  </si>
  <si>
    <t>When the welding stop the finished product reveals a strip has been welded onto the formerly bare spot and the welder tests it with a hard instrument.</t>
  </si>
  <si>
    <t>v_WhYyvKiwLc8</t>
  </si>
  <si>
    <t>A woman rides a bike outside.</t>
  </si>
  <si>
    <t>She is then shown playing a violin.</t>
  </si>
  <si>
    <t>She then roller blades outside.</t>
  </si>
  <si>
    <t>And then she does push ups on a roof.</t>
  </si>
  <si>
    <t>v_DEt_Xgg8dzc</t>
  </si>
  <si>
    <t>A person jumps and land on the sand.</t>
  </si>
  <si>
    <t>A man runs fast and jumps high to land on the sand, then stand and goes skiping to his sit, while people walk in the stadium.</t>
  </si>
  <si>
    <t>A man talks sitting in an elegant room.</t>
  </si>
  <si>
    <t>A man pass on front the crowd, then jumps and bend on the floor to celebrate.</t>
  </si>
  <si>
    <t>Three athletes stand on the podium, then a man runs and jumps to land on the sand.</t>
  </si>
  <si>
    <t>v_taO9hPOvMz0</t>
  </si>
  <si>
    <t>People are sitting on the sand on a beach.</t>
  </si>
  <si>
    <t>People are surfing on large waves in the water.</t>
  </si>
  <si>
    <t>A boy lays a towel out onto the sand of the beach.</t>
  </si>
  <si>
    <t>People continue to surf on the large waves of the water.</t>
  </si>
  <si>
    <t>v_BKRKHkkZq6g</t>
  </si>
  <si>
    <t>A man wearing a black shirt holds an exercise ball over another man wearing a light blue shirt performs sit-ups on an inclined bench.</t>
  </si>
  <si>
    <t>The man wearing the black shirt drops the ball on the floor and crouches down and high fives the man performing the sit-ups.</t>
  </si>
  <si>
    <t>v_j_ImkPKoA-U</t>
  </si>
  <si>
    <t>A man is sitting on a rock by a fast flowing river.</t>
  </si>
  <si>
    <t>Another man sails past him in a raft trying to keep up with the strong current and waves.</t>
  </si>
  <si>
    <t>There are several other people sitting on the rocks watching the rafter go by.</t>
  </si>
  <si>
    <t>They are sitting on the rocks with their life vests besides them.</t>
  </si>
  <si>
    <t>v_MlxMV7WH9-g</t>
  </si>
  <si>
    <t>A camera pans out of chocolate chip cookies and milk and leads into a woman speaking.</t>
  </si>
  <si>
    <t>The woman mixes various ingredients together in a bowl and leads into her putting clumps of dough onto a pan.</t>
  </si>
  <si>
    <t>She puts the pan in the oven then takes it out to show off her chocolate ship cookies.</t>
  </si>
  <si>
    <t>v_C_fqFJyf5SU</t>
  </si>
  <si>
    <t>A woman is seen standing in front of the camera holding onto fire.</t>
  </si>
  <si>
    <t>Another woman steps beside the first and the two begin performing a fire routine with one another.</t>
  </si>
  <si>
    <t>A man hands them objects to light and the woman continue dancing and spinning around with the fire.</t>
  </si>
  <si>
    <t>v_8qODQbBVsus</t>
  </si>
  <si>
    <t>A man and woman are standing at a counter with a pineapple.</t>
  </si>
  <si>
    <t>The man ripped the top of the pineapple.</t>
  </si>
  <si>
    <t>The man sliced the top off the pineapple.</t>
  </si>
  <si>
    <t>The man cut the pineapple in half.</t>
  </si>
  <si>
    <t>The man cut the skin off the pineapple.</t>
  </si>
  <si>
    <t>v_gmFioIDX4X0</t>
  </si>
  <si>
    <t>A person is seen climbing into the back of a kayak with another man and paddling alone the water.</t>
  </si>
  <si>
    <t>The camera pans around the area and zooms back and fourth along the water and pans to people on the beach.</t>
  </si>
  <si>
    <t>v_vycd0CJTwoA</t>
  </si>
  <si>
    <t>A parking lot is shown, and a man on roller blades takes off down the hill.</t>
  </si>
  <si>
    <t>He goes around sharp curves on his skates.</t>
  </si>
  <si>
    <t>He takes several country and wooded roads before rolling to a stop in a parking lot.</t>
  </si>
  <si>
    <t>v_TcxOTZ4xnQ4</t>
  </si>
  <si>
    <t>A girl demonstrates several gymnastic and tumbler moves in a living room and on a green lawn with a line of residential houses as a backdrop.</t>
  </si>
  <si>
    <t>A girl demonstrates a somersault move in the living room in front of two couches.</t>
  </si>
  <si>
    <t>The girl then demonstrates more advanced backflip gymnastic moves in a field of grass with houses in a residential neighborhood as the backdrop.</t>
  </si>
  <si>
    <t>v_OkEqcSlWMJg</t>
  </si>
  <si>
    <t>A small group of people are seen swimming in a pool and leads into various clips of children learning how to swim.</t>
  </si>
  <si>
    <t>A man helps them practice in the water as well as jumping off a diving board.</t>
  </si>
  <si>
    <t>More shots are shown of kids swimming and leads into a girl grabbing objects under water and swimming with another.</t>
  </si>
  <si>
    <t>v_EL47wkhiOq8</t>
  </si>
  <si>
    <t>The young boy serve the shuttlecock but it hit the net.</t>
  </si>
  <si>
    <t>The older man serve the ball and the kid missed it.</t>
  </si>
  <si>
    <t>An older woman in gray shirt serve the ball and the girl in red hit it.</t>
  </si>
  <si>
    <t>v_Jv7AjsdOk2I</t>
  </si>
  <si>
    <t>A man is skateboarding, he jumps up on higher levels.</t>
  </si>
  <si>
    <t>He kicks to build up some speed and does some cool tricks .</t>
  </si>
  <si>
    <t>He gets off and then jumps back on the board and does more tricks all around.</t>
  </si>
  <si>
    <t>He jumps up on a rail and then gets back down and sits on the board and waves.</t>
  </si>
  <si>
    <t>v_taHfD8TFfX4</t>
  </si>
  <si>
    <t>A baseball player is seen standing on a patch of dirt with another behind him.</t>
  </si>
  <si>
    <t>The man then begins to hit a ball.</t>
  </si>
  <si>
    <t>The man hits the ball in slow motion.</t>
  </si>
  <si>
    <t>v_X3Nr9Gj6JR0</t>
  </si>
  <si>
    <t>A person makes spaghetti from scratch using flour, eggs, a blender and a pasta press.</t>
  </si>
  <si>
    <t>A hand mixes flour in a bowl, adds eggs and mixes both ingredients with a mixer.</t>
  </si>
  <si>
    <t>The hands then take the resulting ball of dough and kneads it, covers it in saran wrap and cuts it in pieces before rolling it flat with a rolling pin.</t>
  </si>
  <si>
    <t>The person then takes the flattened dough and puts it in a presser, dusts it with flour, and puts it into a container and then a spaghetti press which produces many strands of spaghetti.</t>
  </si>
  <si>
    <t>v_aOzMA2rpWEw</t>
  </si>
  <si>
    <t>A man and a woman are standing outside in the snow talking.</t>
  </si>
  <si>
    <t>The man is cleaning the snow off of the car.</t>
  </si>
  <si>
    <t>The girl wears a fur coat and talks to the camera.</t>
  </si>
  <si>
    <t>The man continues brushing the snow off of the car.</t>
  </si>
  <si>
    <t>They are sitting inside the car talking.</t>
  </si>
  <si>
    <t>v_mbmMY04yMUA</t>
  </si>
  <si>
    <t>There is some script shown on fear of singing on stage.</t>
  </si>
  <si>
    <t>A woman in a green shirt is singing while doing the dishes in her kitchen sink.</t>
  </si>
  <si>
    <t>She continues to wash the spoons and forks with a blue scrub and soap as she sings in a high pitch and tone.</t>
  </si>
  <si>
    <t>She continues to wash a large knife and then places the wet utensils on a drying rack.</t>
  </si>
  <si>
    <t>She washes some glasses and scrubs them thoroughly with the same sponge.</t>
  </si>
  <si>
    <t>Then places the glass on the drying rack.</t>
  </si>
  <si>
    <t>v_PtoVL69LEh4</t>
  </si>
  <si>
    <t>A man raps along with a song.</t>
  </si>
  <si>
    <t>The guy gets a tattoo as well.</t>
  </si>
  <si>
    <t>v_dpUDMvzlwmI</t>
  </si>
  <si>
    <t>A large group of people are seen playing a soccer match on a large, sandy beach.</t>
  </si>
  <si>
    <t>Many people watch on the sidelines as the kids pass the ball back and fourth to one another.</t>
  </si>
  <si>
    <t>The game continues on as the kids move up and down the field and attempt several goals that end up missed.</t>
  </si>
  <si>
    <t>v__EZnGbfMqsc</t>
  </si>
  <si>
    <t>A young blonde girl jumps outside.</t>
  </si>
  <si>
    <t>She holds a jump rope and turns the jump rope in front of her.</t>
  </si>
  <si>
    <t>She performs the same thing again.</t>
  </si>
  <si>
    <t>She turns the jump rope once more and catches it with her feet.</t>
  </si>
  <si>
    <t>She does it once more.</t>
  </si>
  <si>
    <t>She turns the jump rope and completes a full jump.</t>
  </si>
  <si>
    <t>She goes and does it again.</t>
  </si>
  <si>
    <t>She jump ropes multiple times.</t>
  </si>
  <si>
    <t>She does it again, jump roping over and over again.</t>
  </si>
  <si>
    <t>She speaks to the camera.</t>
  </si>
  <si>
    <t>v_-3baQGb2zIY</t>
  </si>
  <si>
    <t>A black male majorette begins walking through the drum line with his baton.</t>
  </si>
  <si>
    <t>As he makes his way to the front of the band,he bgeins to twirl the baton and move across the field and takes his pants off.</t>
  </si>
  <si>
    <t>Underneath his pants is a pair of sparkly shorts and he continues to dance, doing turns,tricks,kicks,splits,and popping as the band plays.</t>
  </si>
  <si>
    <t>v_jwOZsKS25oc</t>
  </si>
  <si>
    <t>A woman dressed in a pink tank top and gray tights is demonstrating spinning in a fitness gym.</t>
  </si>
  <si>
    <t>She shows the various exercises using the bicycle.</t>
  </si>
  <si>
    <t>She also shows stomach crunches and stretches while laying down on the floor.</t>
  </si>
  <si>
    <t>She motivates her team to continue biking as she encourages them to go faster.</t>
  </si>
  <si>
    <t>v_--veKG73Di4</t>
  </si>
  <si>
    <t>A man and a women introduce themselves to the camera and start to talk to each other while the man is sitting behind a four set bongo set and the women is on the other side holding a water bottle.</t>
  </si>
  <si>
    <t>As the conversation ensues another woman approaches the woman and takes away her water bottle.</t>
  </si>
  <si>
    <t>Afterwards the man starts to play the bongos and woman starts to dance.</t>
  </si>
  <si>
    <t>As the woman dances on a man on a bike passes by and starts to observe what's going on.</t>
  </si>
  <si>
    <t>In the end while the woman stops dancing and starts to clap and the man playing the bongos stops playing and does a final clap.</t>
  </si>
  <si>
    <t>v_bxxSc2m08Sk</t>
  </si>
  <si>
    <t>We see a man performing Capoiera in a plaza.</t>
  </si>
  <si>
    <t>The man is joined by a second man and the practice together.</t>
  </si>
  <si>
    <t>The first man leaves and another man jumps in.</t>
  </si>
  <si>
    <t>The two men finish and shake hands and hug.</t>
  </si>
  <si>
    <t>Both men back out of the ring and a new man enters.</t>
  </si>
  <si>
    <t>v_HB11MXjwvVo</t>
  </si>
  <si>
    <t>A young boy pushes a vacuum cleaner in the kitchen of a home.</t>
  </si>
  <si>
    <t>The mother points underneath the furniture with her hand then foot directing the boy.</t>
  </si>
  <si>
    <t>The boy pushes the vacuum cleaner into the hallway and vacuums the area.</t>
  </si>
  <si>
    <t>v_Ue2EbbpegkE</t>
  </si>
  <si>
    <t>A man explains and shows how to do snow surfboard hillside turn.</t>
  </si>
  <si>
    <t>Then, the man performs toeside using a snow skateboard.</t>
  </si>
  <si>
    <t>The man continues explaining and performs a turn.</t>
  </si>
  <si>
    <t>A toddler ski on the snow.</t>
  </si>
  <si>
    <t>v_dsYLNeumBig</t>
  </si>
  <si>
    <t>A woman is standing and talking in a kitchen.</t>
  </si>
  <si>
    <t>She is using a small vacuum cleaner.</t>
  </si>
  <si>
    <t>She demonstrates how to use the vacuum as she talks.</t>
  </si>
  <si>
    <t>v_GaxyzK2mHqw</t>
  </si>
  <si>
    <t>woman is in a kitchen talking and slicing cheddar cheese into thick pieces, cutting the bread, then she put butter in a pan and the bread loaf on the pan with the cheese on top so the cheese can be melted in the pan, woman says this is wrong.</t>
  </si>
  <si>
    <t>woman shows a clean pan, put the butter on the bread and grate the cheese, then put it as a sandwich and in the pan with a lid till the bread is tasty.</t>
  </si>
  <si>
    <t>woman serve the bread in a blue dish and slice in two.</t>
  </si>
  <si>
    <t>v_hsIudyKGz6A</t>
  </si>
  <si>
    <t>A man is seen standing before a fire holding up an ax and begins cutting a piece of wood.</t>
  </si>
  <si>
    <t>Another man holds up the pieces of wood as the man continues to cut the wood and the other man moving the wood.</t>
  </si>
  <si>
    <t>v_T-vwsIOVNTw</t>
  </si>
  <si>
    <t>A person in white runs towards first base playing kickball.</t>
  </si>
  <si>
    <t>The man is tagged out by a woman wearing red.</t>
  </si>
  <si>
    <t>v_P_sjOVZiv6A</t>
  </si>
  <si>
    <t>We see an opening screen and a man drinks from a cup.</t>
  </si>
  <si>
    <t>the man paints a lady's nails in a dining room.</t>
  </si>
  <si>
    <t>The lady shows us her finger nails.</t>
  </si>
  <si>
    <t>The man drinks from his cup.</t>
  </si>
  <si>
    <t>The man leans back and laughs.</t>
  </si>
  <si>
    <t>we see a ending credit screen.</t>
  </si>
  <si>
    <t>v_lz2FMoj9tpo</t>
  </si>
  <si>
    <t>An athletic man is seen holding a discuss and begins spinning himself around in slow motion.</t>
  </si>
  <si>
    <t>The man then throws the object off into the distance and slow walks back while moving in slow motion.</t>
  </si>
  <si>
    <t>v_xg0OCQW8t2s</t>
  </si>
  <si>
    <t>A lawn mower is tied to a white rope.</t>
  </si>
  <si>
    <t>It is turned on and starts going in circles around the rope mowing the lawn.</t>
  </si>
  <si>
    <t>v_sRTDDlI1-Yo</t>
  </si>
  <si>
    <t>A shot of a playground is shown with various kids playing on the playground and riding down a slide.</t>
  </si>
  <si>
    <t>More shots are shown of kids swinging and hanging up side down as well as moving a steering wheel and climbing to the top.</t>
  </si>
  <si>
    <t>v_RfbEuBH1Pow</t>
  </si>
  <si>
    <t>A team of swimmers are huddled in.</t>
  </si>
  <si>
    <t>The team gets in the pool.</t>
  </si>
  <si>
    <t>Two teams play water polo against each other.</t>
  </si>
  <si>
    <t>A crowd looks on from the stands.</t>
  </si>
  <si>
    <t>v_5E42nKwv1xY</t>
  </si>
  <si>
    <t>We see a scoreboard in a game.</t>
  </si>
  <si>
    <t>Girls run onto the field and shake hands with the other team.</t>
  </si>
  <si>
    <t>We see girls playing volleyball indoors.</t>
  </si>
  <si>
    <t>The girls on the left make a shot and the team hugs.</t>
  </si>
  <si>
    <t>We see the scoreboard and people on the sidelines talking.</t>
  </si>
  <si>
    <t>We see a shot in slow motion and the girls hug.</t>
  </si>
  <si>
    <t>The game is over and the girls all shake hands.</t>
  </si>
  <si>
    <t>v_vuXsKQKbAfE</t>
  </si>
  <si>
    <t>Two men are in a pool putting on diving gear.</t>
  </si>
  <si>
    <t>The man in red puts the breather in his mouth then floats backward on his back.</t>
  </si>
  <si>
    <t>We see the man in red and blue putting a solution on their goggles before trying them on.</t>
  </si>
  <si>
    <t>The man in red puts the tube in his mouth then the breather before going under water.</t>
  </si>
  <si>
    <t>We then see a sign upside down floating in the water.</t>
  </si>
  <si>
    <t>v_3ROld-bSgPQ</t>
  </si>
  <si>
    <t>A baby girl is sitting next to all of her toys eating an ice cream very messily.</t>
  </si>
  <si>
    <t>Her mom takes the ice cream away from her and she starts to cry .</t>
  </si>
  <si>
    <t>Her mom gives her back the ice cream and she is happy again, back to eating it.</t>
  </si>
  <si>
    <t>She plays with her toys with her sticky ice cream fingers and her ice cream in the other hand.</t>
  </si>
  <si>
    <t>v_vwaQwo_5X-k</t>
  </si>
  <si>
    <t>We see a man break dancing in an office plaza.</t>
  </si>
  <si>
    <t>We switch and see different men break dancing in office plazas and lobbies.</t>
  </si>
  <si>
    <t>We see man do a handstand.</t>
  </si>
  <si>
    <t>We see a man take off and throw his jacket on the camera.</t>
  </si>
  <si>
    <t>We see the black closing screen.</t>
  </si>
  <si>
    <t>v_TBFAAb62ou4</t>
  </si>
  <si>
    <t>A man wearing a black baseball hat and a black shirt is playing an acoustic guitar.</t>
  </si>
  <si>
    <t>He is playing the Beatles song Yesterday on his guitar.</t>
  </si>
  <si>
    <t>He plays till the entire song is over and then stops and smiles at the camera.</t>
  </si>
  <si>
    <t>v_6GYdu5G61g8</t>
  </si>
  <si>
    <t>A group of people transport a boat on their heads.</t>
  </si>
  <si>
    <t>People jumps backwards on the river and floats on their backs.</t>
  </si>
  <si>
    <t>Then, people in a boat raft down the choppy waters of a river while paddling.</t>
  </si>
  <si>
    <t>People in two boats meet and start to throw water each other using the oars, then some rafters jump into the water.</t>
  </si>
  <si>
    <t>Persons jump from a balcony on the rocks to the water while other people continues rafting.</t>
  </si>
  <si>
    <t>v_TNwMZhQ7SFc</t>
  </si>
  <si>
    <t>A small girl is standing behind a man in a bathroom who is standing at a sink.</t>
  </si>
  <si>
    <t>The man turns around, grabs the towel and begins drying himself while the girl is still standing on the ground, and then puts the towel back when he's done.</t>
  </si>
  <si>
    <t>The man then picks up the small girl and begins to wash her face off and while the little girl brushes her teeth as she's getting her face cleaned.</t>
  </si>
  <si>
    <t>v_JNFUZz1bqmg</t>
  </si>
  <si>
    <t>A man is talking in front of two large windows.</t>
  </si>
  <si>
    <t>Two men are kneeling down on the ground.</t>
  </si>
  <si>
    <t>The man is back to talking in front of the windows.</t>
  </si>
  <si>
    <t>Two men are sitting on a train talking.</t>
  </si>
  <si>
    <t>A man in a black coat is walking down the street.</t>
  </si>
  <si>
    <t>He is holding a white paper in his hand and writing on it.</t>
  </si>
  <si>
    <t>He is then walking up some stairs on an bridge with other people.</t>
  </si>
  <si>
    <t>He is getting harnessed on top of the bridge.</t>
  </si>
  <si>
    <t>He jumps off the bridge and bungee jumps.</t>
  </si>
  <si>
    <t>A man in an orange vest puts him into the boat.</t>
  </si>
  <si>
    <t>A man holding a camera is standing on the sidewalk and watches another man trip and fall and runs over to help him.</t>
  </si>
  <si>
    <t>v_QnATCZ_P9DE</t>
  </si>
  <si>
    <t>A man is shown in the water, wearing a helmet, holding a paddle and sitting in a kayak.</t>
  </si>
  <si>
    <t>He is talking to the camera about how to use the kayak.</t>
  </si>
  <si>
    <t>He shows several rocking and paddling motions, and flips the kayak once at the end.</t>
  </si>
  <si>
    <t>v_ZRnCnUeqKv4</t>
  </si>
  <si>
    <t>a group is playing soccer on a field.</t>
  </si>
  <si>
    <t>The girls chase the ball, hitting it with sticks, trying to get it into the goal.</t>
  </si>
  <si>
    <t>v_ZGzXbvRHNAE</t>
  </si>
  <si>
    <t>A man cleans a spot in the kitchen sink with a sponge and bottle of clorox cleaner, in a black and white commercial.</t>
  </si>
  <si>
    <t>A shot of a suburban town is shown with a close up of the city name on a town sign.</t>
  </si>
  <si>
    <t>A man in an apron stands in front of a kitchen sink putting dishes away in a drainer.</t>
  </si>
  <si>
    <t>The man cleans a spot in the sink with a bottle of clorox and a sponge, before a marketing template appears with lettering and closeup of the bottle of clorox.</t>
  </si>
  <si>
    <t>v_eSQnn2RFxeY</t>
  </si>
  <si>
    <t>A woman holds the wheel of the yacht that sails in the ocean, and a dolphin swims near the yacht.</t>
  </si>
  <si>
    <t>Then, a young men talks, and from time ti time shows the sunset.</t>
  </si>
  <si>
    <t>Four people start to dance in the yacht, and one boy dance against the sail.</t>
  </si>
  <si>
    <t>The four people holds a big fish with both hands while the yacht continues to sail.</t>
  </si>
  <si>
    <t>v_XbN3TvLEm2A</t>
  </si>
  <si>
    <t>A woman dressed very comfortably is doing an exercise down on one knee.</t>
  </si>
  <si>
    <t>She puts her arm in the air and stares off into the distance holding it into place.</t>
  </si>
  <si>
    <t>After holding that on place for a few minutes she puts her arm down and then faces forward.</t>
  </si>
  <si>
    <t>She continues to just stay in that position.</t>
  </si>
  <si>
    <t>v_VOGF4tBFEuw</t>
  </si>
  <si>
    <t>A first person view is seen of a man riding a riding lawn mower.</t>
  </si>
  <si>
    <t>He takes turns quickly, mowing the lawn.</t>
  </si>
  <si>
    <t>He continues until the entire yard is mown.</t>
  </si>
  <si>
    <t>v_ooadlJjyibo</t>
  </si>
  <si>
    <t>A girl performs on a balance beam.</t>
  </si>
  <si>
    <t>The girl stands and performs two flips.</t>
  </si>
  <si>
    <t>The girl jumps in the air two times.</t>
  </si>
  <si>
    <t>The girl sits down then gets back on her feet.</t>
  </si>
  <si>
    <t>The girl flips across the beam two times and dismounts the beam.</t>
  </si>
  <si>
    <t>The girl raises her arms and turns to high five and hug a lady standing nearby.</t>
  </si>
  <si>
    <t>v_vP-wI1egoHA</t>
  </si>
  <si>
    <t>A small group of children are seen riding around in bumper cars crashing into one another.</t>
  </si>
  <si>
    <t>The kids move all around the game hitting into one another.</t>
  </si>
  <si>
    <t>The game continues on with the kids playing and crashing into each other.</t>
  </si>
  <si>
    <t>v_yKdvz5dgro4</t>
  </si>
  <si>
    <t>A young man dry a pot lid while dancing.</t>
  </si>
  <si>
    <t>Also, a teen wash a cup of steel and dancing.</t>
  </si>
  <si>
    <t>A woman enters and then leave the kitchen.</t>
  </si>
  <si>
    <t>v_R3CGHNqunGA</t>
  </si>
  <si>
    <t>A young man sits on a a planter in front of a brick building.</t>
  </si>
  <si>
    <t>A graphic is seen with cartoons.</t>
  </si>
  <si>
    <t>The young man sits on a planter with a skateboard on his lap the young man spins his board and does skateboard tricks riding on asphalt.</t>
  </si>
  <si>
    <t>The young man does tricks over an orange safety cone.</t>
  </si>
  <si>
    <t>The skateboarder stands up from the ledge and stands on his skateboard.</t>
  </si>
  <si>
    <t>v_qpVPY6w9Fp0</t>
  </si>
  <si>
    <t>A man is seen speaking to the camera while standing on a beach next to a shovel.</t>
  </si>
  <si>
    <t>The man then begins shoveling a pile of dirt and walking to the water to fill up buckets.</t>
  </si>
  <si>
    <t>The man stacks the buckets and begins putting sand around it and sculpting it into a castle.</t>
  </si>
  <si>
    <t>He walks away in the end and shows off the castle he's made.</t>
  </si>
  <si>
    <t>v_9g-5J05BIiQ</t>
  </si>
  <si>
    <t>An intro leads into several shots of people riding a skateboard around various areas and ending in a corn field.</t>
  </si>
  <si>
    <t>They end up at a house and swim into the pool doing tricks on their boards underwater.</t>
  </si>
  <si>
    <t>They are then seen riding down a road again in the end and one boarder scuffs dirt into the camera.</t>
  </si>
  <si>
    <t>v_GhwvPy4_2KE</t>
  </si>
  <si>
    <t>A young child is pushed on a swing set of an outdoor playground at a park.</t>
  </si>
  <si>
    <t>The child reaches out her hand.</t>
  </si>
  <si>
    <t>v_BLLeQHgNmYc</t>
  </si>
  <si>
    <t>Three people are seen standing on a lawn beginning to perform martial arts moves.</t>
  </si>
  <si>
    <t>The group moves around at the same time while looking away from the camera.</t>
  </si>
  <si>
    <t>They continue to move their arms and legs around together and end by holding s pose.</t>
  </si>
  <si>
    <t>v_suwVnxHZtI8</t>
  </si>
  <si>
    <t>People are sledding down a snowy hill on an inner tube.</t>
  </si>
  <si>
    <t>They stop at the bottom of the hill.</t>
  </si>
  <si>
    <t>Several tubes are on a rope going up a hill.</t>
  </si>
  <si>
    <t>People are sledding down a hill on an inner tube again.</t>
  </si>
  <si>
    <t>v_51XRujaBAbE</t>
  </si>
  <si>
    <t>Children sit on motorcycles and parents are next to them.</t>
  </si>
  <si>
    <t>A man carry a child, a woman applaud and a man takes pictures.</t>
  </si>
  <si>
    <t>A toddler stands on the hay and grabs the leg of a woman.</t>
  </si>
  <si>
    <t>Then, men push the motorcycles with the children while a man takes notes.</t>
  </si>
  <si>
    <t>Then, the children line on the start line and then run.</t>
  </si>
  <si>
    <t>v_2Ot4ZPYpNwI</t>
  </si>
  <si>
    <t>A man is seated on a couch, playing a harmonica.</t>
  </si>
  <si>
    <t>He lowers it from his mouth when he is done.</t>
  </si>
  <si>
    <t>v_8cH0mAgsuAc</t>
  </si>
  <si>
    <t>Several people are kneeling down on a red mat doing stretches.</t>
  </si>
  <si>
    <t>v_enx7eEDrYcc</t>
  </si>
  <si>
    <t>A girl is kneeling on a pad, arms in the air.</t>
  </si>
  <si>
    <t>She leans back, letting her arms touch the wall.</t>
  </si>
  <si>
    <t>She repeats the action one more time.</t>
  </si>
  <si>
    <t>v_2zFmooC8gUg</t>
  </si>
  <si>
    <t>A person is seen kneeling down on top of a roof and holding objects in place to hammer down.</t>
  </si>
  <si>
    <t>The man then lays down more tile while hammering the sides and presenting the tiles to the camera.</t>
  </si>
  <si>
    <t>v_mPtCJg-j4SM</t>
  </si>
  <si>
    <t>A woman dressed in workout clothes and a jacket is walking down a hall and stops to talk about whats behind the door.</t>
  </si>
  <si>
    <t>Once she opens the door,the camera pans many workout machines and the woman begins talking to the program director.</t>
  </si>
  <si>
    <t>After they are done talking,the young woman begins working out with the rest of the class as the trainer walks by making sure they are working out properly.</t>
  </si>
  <si>
    <t>Finally,the workout is finished and everyone begins high-fiving one another and the woman begins to talk again.</t>
  </si>
  <si>
    <t>v_FCzT4Knfhqs</t>
  </si>
  <si>
    <t>A camera pans around a group of people standing around each other with one spinning in circles.</t>
  </si>
  <si>
    <t>A man pushing the spinning girl around and around and zooms in on a pinata.</t>
  </si>
  <si>
    <t>The girl swings at the pinata blindfolded and a man jumps down to grab a piece of fallen candy.</t>
  </si>
  <si>
    <t>The girl breaks open the pinata and several people run down to grab the candy.</t>
  </si>
  <si>
    <t>v_fRUoSevi63M</t>
  </si>
  <si>
    <t>A woman is painting a picture on a canvas.</t>
  </si>
  <si>
    <t>She has orange and yellow paint on a board in front of her.</t>
  </si>
  <si>
    <t>She paints two flowers onto the canvas.</t>
  </si>
  <si>
    <t>v_Ci9WKE6wkOQ</t>
  </si>
  <si>
    <t>A man and woman are talking to a camera on exercises.</t>
  </si>
  <si>
    <t>The girl talks about equipment and how to use it.</t>
  </si>
  <si>
    <t>She prepares the equipment and helps the man perform the exercise.</t>
  </si>
  <si>
    <t>v_KrLVIvCoW90</t>
  </si>
  <si>
    <t>people standing on side of the road on skateboards and with parked cars in a side.</t>
  </si>
  <si>
    <t>boys are doing tricks riding skateboards in the wet asphalt going down a hill.</t>
  </si>
  <si>
    <t>boys are gathered under a tent in the sidewalk and doing tricks in skateboard showing the wey asphalt and the wet grass.</t>
  </si>
  <si>
    <t>v_bjYah4IvnII</t>
  </si>
  <si>
    <t>A camera with a caption is shown and leads into several people jumping off a bridge.</t>
  </si>
  <si>
    <t>Another shot of people riding down a river on tubes is shown followed by large groups of people on the sandbars.</t>
  </si>
  <si>
    <t>The cameraman grabs another tube an jumps in the water while still floating down and catching a popped balloon.</t>
  </si>
  <si>
    <t>v_82s4QeuHioo</t>
  </si>
  <si>
    <t>man is sitting on akayak holding a row and showing the corect way of rowing.</t>
  </si>
  <si>
    <t>people are in a kayak on lakeside.</t>
  </si>
  <si>
    <t>people are on rapids kayaking.</t>
  </si>
  <si>
    <t>men are swimming on the lake by the kayak and walking in the lakeside holding kayaks.</t>
  </si>
  <si>
    <t>v_3cmHM1Yu92s</t>
  </si>
  <si>
    <t>A woman is shown working out on an elliptical and smiling off into the distance.</t>
  </si>
  <si>
    <t>The video shows several different perks the machine can do while the woman continues to work.</t>
  </si>
  <si>
    <t>She eventually steps on the machine again and continues to work out on the machine.</t>
  </si>
  <si>
    <t>v_c2VcfB3YTBo</t>
  </si>
  <si>
    <t>We see a lady walking down stairs.</t>
  </si>
  <si>
    <t>She enters a room with kids in it, takes off her coat and starts dancing.</t>
  </si>
  <si>
    <t>A man enters and the lady and man perform a fancy dance as the kids watch.</t>
  </si>
  <si>
    <t>The man throws his coat across the room.</t>
  </si>
  <si>
    <t>The lady hugs the man from behind.</t>
  </si>
  <si>
    <t>The lady tries to leave and the man grabs her and pulls her back.</t>
  </si>
  <si>
    <t>They finish and the man shakes the hands of the kids.</t>
  </si>
  <si>
    <t>The lady puts on her coat as a girl talks to her and leaves the room.</t>
  </si>
  <si>
    <t>v_lBXRkMZfIXk</t>
  </si>
  <si>
    <t>A man is seen speaking to the camera and leads into him holding a piece of paper and two objects.</t>
  </si>
  <si>
    <t>He puts the objects on a board and sharpens a knife along the object.</t>
  </si>
  <si>
    <t>He continues speaking to the camera while sharpening the blade and pointing to the object.</t>
  </si>
  <si>
    <t>v_CG-7jcSB5_c</t>
  </si>
  <si>
    <t>A toddler holds a lacrosse stick, then he catches a ball with the lacrosse stick and throws to the floor.</t>
  </si>
  <si>
    <t>Then, the toddler try to catch another ball, but it rolls under a chair.</t>
  </si>
  <si>
    <t>Next, the toddler catch a ball and throw to the floor and the ball bounce.</t>
  </si>
  <si>
    <t>After, the toddler catch the bouncing ball and throw to the backyard, then the toddler steps down a step.</t>
  </si>
  <si>
    <t>v_Geh_BZchxFY</t>
  </si>
  <si>
    <t>We see a lady peeling small potatoes.</t>
  </si>
  <si>
    <t>The lady peels her second potato.</t>
  </si>
  <si>
    <t>The lady moves on to her third potatoes.</t>
  </si>
  <si>
    <t>We zoom out and see the ladies face.</t>
  </si>
  <si>
    <t>The lady peels her fourth and fifth potato.</t>
  </si>
  <si>
    <t>v_DozJpP2cClI</t>
  </si>
  <si>
    <t>Two people are playing badminton as someone records them with a video camera.</t>
  </si>
  <si>
    <t>A guy hurts himself as the other people watching him laugh at him.</t>
  </si>
  <si>
    <t>The people that were playing badminton go over and talk to other people that are sitting in lawn chairs.</t>
  </si>
  <si>
    <t>The boy goes into the house as the people continue to laugh.</t>
  </si>
  <si>
    <t>v_tl3wQEusmj8</t>
  </si>
  <si>
    <t>We see an opening scene with an image.</t>
  </si>
  <si>
    <t>We then see a lake with ducks and rocks.</t>
  </si>
  <si>
    <t>People are paddling in the lake in a canoe.</t>
  </si>
  <si>
    <t>We see a bridge and the people pass under the bridge.</t>
  </si>
  <si>
    <t>We see tall grass blowing in the breeze as the boaters ride past.</t>
  </si>
  <si>
    <t>The boaters arrives at the shore.</t>
  </si>
  <si>
    <t>v_XXIDYn4H_1A</t>
  </si>
  <si>
    <t>A scoreboard and large video screen are shown.</t>
  </si>
  <si>
    <t>Bikers launch down a very tall ramp onto a dirt bike track.</t>
  </si>
  <si>
    <t>The bikers race around the bumpy track.</t>
  </si>
  <si>
    <t>v_EiPofuIoUic</t>
  </si>
  <si>
    <t>A close up of a person's feet are seen riding along the river in a tube.</t>
  </si>
  <si>
    <t>Several more people are seen riding in tubes down the river while others watch on the side.</t>
  </si>
  <si>
    <t>The person continues riding down the river past others.</t>
  </si>
  <si>
    <t>v_ZqkJAD0CGBU</t>
  </si>
  <si>
    <t>A man is seen standing behind a small child who is blindfolded.</t>
  </si>
  <si>
    <t>Several clips are then shown of people swinging around at pinatas and failing miserably.</t>
  </si>
  <si>
    <t>More clips are shown of people swinging around at pinatas and ends with them hitting other people.</t>
  </si>
  <si>
    <t>v_v5peBgLKWL8</t>
  </si>
  <si>
    <t>bright sun is in the sky and shows a snowy mountain and a lot of pine trees covered in snow.</t>
  </si>
  <si>
    <t>an snowboarder is walking in the snow holding two poles.</t>
  </si>
  <si>
    <t>cubicles is hanging on wires and a snowboarder is going down the snowy slope with other snowboarders standing behind.</t>
  </si>
  <si>
    <t>men are walking in a snowy slope holding the poles and other snowboarders are sliding behind.</t>
  </si>
  <si>
    <t>women are in a hanging chair and under the kids are going down slope riding snowboards and playing in a snow castle.</t>
  </si>
  <si>
    <t>people is walking in snowy mountain and snowboarding.</t>
  </si>
  <si>
    <t>wmoan enters in a cave with a man and are serving wine and a elderly couple are toasting.</t>
  </si>
  <si>
    <t>a lot of people is waiting and sitting on their bags with the snowboards on a side, people is going down the mountain while the days goes by.</t>
  </si>
  <si>
    <t>v_17zMW3rzlR4</t>
  </si>
  <si>
    <t>Several professional men are placing wax on all types of skis.</t>
  </si>
  <si>
    <t>As they continue to place wax,they use tools to grind and smooth the skis.</t>
  </si>
  <si>
    <t>Finally, the use of cloths by the workers smooths and shines the skis.</t>
  </si>
  <si>
    <t>v_e-Z9xiEQqPQ</t>
  </si>
  <si>
    <t>A military procession carries a coffin and goes through a funeral ceremony.</t>
  </si>
  <si>
    <t>A news anchor talks in a newsroom.</t>
  </si>
  <si>
    <t>A coffin and is carried by a wagon along with military personell.</t>
  </si>
  <si>
    <t>A military man presents a flag to a guest.</t>
  </si>
  <si>
    <t>A man with a prosthetic leg and a woman ride horses with trainers with a trainer alongside.</t>
  </si>
  <si>
    <t>A journalist rides with a man in football jersey along a sidewalk.</t>
  </si>
  <si>
    <t>A horse trainer talks near a forested area.</t>
  </si>
  <si>
    <t>The man in a jersey stops on the horse as he approaches the funeral procession.</t>
  </si>
  <si>
    <t>v_6l0tenUYS-w</t>
  </si>
  <si>
    <t>There is man speaking on the microphone to announce who's coming up.</t>
  </si>
  <si>
    <t>Next many different people go up on stage to dance.</t>
  </si>
  <si>
    <t>v_LtdO87DWEHM</t>
  </si>
  <si>
    <t>Several clips of shown of a person riding down city streets on roller blades.</t>
  </si>
  <si>
    <t>The person continues riding along the streets and then text appears across the screen.</t>
  </si>
  <si>
    <t>v_GjHanmMGvuw</t>
  </si>
  <si>
    <t>A young girl is shown on a large gym floor doing flips and tricks with a baton and several judges watching her.</t>
  </si>
  <si>
    <t>She continues moving along the floor while along girl practices behind her.</t>
  </si>
  <si>
    <t>She finishes her routine and stands in front of the judges and hears her results.</t>
  </si>
  <si>
    <t>v_97McCuWAynA</t>
  </si>
  <si>
    <t>A surfer wearing a wet suit takes off and rides a wave in the ocean.</t>
  </si>
  <si>
    <t>Two surfers is greeted by a seal in the ocean that jumps on his board and plays with them.</t>
  </si>
  <si>
    <t>The surfer wearing a wet suit takes off on a wave leaving the seal behind.</t>
  </si>
  <si>
    <t>v_-x1twrM_ABM</t>
  </si>
  <si>
    <t>A man is in a room, pointing and talking about tiles.</t>
  </si>
  <si>
    <t>He is placing the tiles into the wall one at a time.</t>
  </si>
  <si>
    <t>The man completes the construction, then turns off the camera.</t>
  </si>
  <si>
    <t>v_Y-UOZRZ01hI</t>
  </si>
  <si>
    <t>A page with a video structured to look similar to Youtube is shown.</t>
  </si>
  <si>
    <t>A seated woman talks to the camera, interspersed by scenes of individuals shown welding.</t>
  </si>
  <si>
    <t>The Youtube lookalike page with a video is shown again.</t>
  </si>
  <si>
    <t>v_EcQ7DcVefdw</t>
  </si>
  <si>
    <t>A middle eastern news caster is talking about a recent event in another language.</t>
  </si>
  <si>
    <t>The scene switches to show group of people at an event of some kind.</t>
  </si>
  <si>
    <t>The people at the event are shown polishing shoes.</t>
  </si>
  <si>
    <t>A man in a red shirt is being interviewed while it shows others at the event on the split screen.</t>
  </si>
  <si>
    <t>The scene switches back to just the event with the newscaster talking over the footage.</t>
  </si>
  <si>
    <t>v_moMisK3nGuY</t>
  </si>
  <si>
    <t>woman is standing next to a horse holding a brush combing the horse's hair.</t>
  </si>
  <si>
    <t>litle kid is caressing the horse.</t>
  </si>
  <si>
    <t>woman walks to the track.</t>
  </si>
  <si>
    <t>v_ksPQdczmNKs</t>
  </si>
  <si>
    <t>A girl is seen crossing her arms and hula hooping over and over again.</t>
  </si>
  <si>
    <t>She continuously hula hoops while moving her legs all around and doing various jumps and tricks.</t>
  </si>
  <si>
    <t>v_n1dboqahvZU</t>
  </si>
  <si>
    <t>A man named Andrei approaches the stage.</t>
  </si>
  <si>
    <t>He powders his hands in preperation.</t>
  </si>
  <si>
    <t>He puts his hands on the weight.</t>
  </si>
  <si>
    <t>He prepares his body for lifting the heavy weight.</t>
  </si>
  <si>
    <t>He pulls up but drops the weight and falls down.</t>
  </si>
  <si>
    <t>The other competitor rejoices at their win.</t>
  </si>
  <si>
    <t>v_phDLuo6dYrk</t>
  </si>
  <si>
    <t>The clear sky is shown before a group of girls appear playing a game of field hockey.</t>
  </si>
  <si>
    <t>The two teams compete against each other in the building as still images are shown in between the plays.</t>
  </si>
  <si>
    <t>As one team gets close to making a goal,a male photographer is shown on the corner of the goal and then a girl appears at the end of the video making a funny face.</t>
  </si>
  <si>
    <t>v_yHtapvYRcMw</t>
  </si>
  <si>
    <t>Two men are performaing capoeria in the middle of a circle of people.</t>
  </si>
  <si>
    <t>They are performing while everyone claps.</t>
  </si>
  <si>
    <t>They take a short break and walk around a bit before starting their performance again.</t>
  </si>
  <si>
    <t>People are clapping to a set rhythm.</t>
  </si>
  <si>
    <t>This lasts for a long while.</t>
  </si>
  <si>
    <t>v_1xQTlp0hscs</t>
  </si>
  <si>
    <t>Bright text appears on the screen.</t>
  </si>
  <si>
    <t>An art piece is displayed on the wall, and we are shown several close ups of the paint.</t>
  </si>
  <si>
    <t>Perusers of art walk through the gallery, looking at the painting.</t>
  </si>
  <si>
    <t>We then conclude with someone taking a photo and walking away.</t>
  </si>
  <si>
    <t>v_ZMopjyYvcqw</t>
  </si>
  <si>
    <t>A man is showing a crossbow and a knife and other hunting gear.</t>
  </si>
  <si>
    <t>The man is talking to the camera showing a hunting bow.</t>
  </si>
  <si>
    <t>The bow is shown in detail.</t>
  </si>
  <si>
    <t>Another man is shown outdoors using the hunting bow to shoot a target.</t>
  </si>
  <si>
    <t>The man is talking to the camera again indoors showing the hunting bow.</t>
  </si>
  <si>
    <t>v_0ERgbWePjWk</t>
  </si>
  <si>
    <t>A man is on a diving board and begins to jump on the board once.</t>
  </si>
  <si>
    <t>The man goes into the air and does a forward roll in the air.</t>
  </si>
  <si>
    <t>The man then starts descending into the water from the top of his jump.</t>
  </si>
  <si>
    <t>The man lands into the water as it splashes and makes the move to come back to the surface.</t>
  </si>
  <si>
    <t>v_ZQs-OWTZA6o</t>
  </si>
  <si>
    <t>The woman with sunglasses, blue jacket pushed the round lifebuoy on the snow and jumped on it.</t>
  </si>
  <si>
    <t>The lifebuoy continue to slide on the snow, the woman is looking a the camera, she passed the orange flags, and several people that are standing on the side of the trail.</t>
  </si>
  <si>
    <t>v_NSavdMErlYA</t>
  </si>
  <si>
    <t>A guy talks while gesturing.</t>
  </si>
  <si>
    <t>The ingredients to make a dish is shown.</t>
  </si>
  <si>
    <t>The guy puts butter, oil and dry ingredients into a pan.</t>
  </si>
  <si>
    <t>The guy adds pasta to the pan.</t>
  </si>
  <si>
    <t>v_fgkiHZ0nENg</t>
  </si>
  <si>
    <t>A group of people are seen standing around a yard when one hits a ball and another watches closely.</t>
  </si>
  <si>
    <t>Another man walks into frame hitting the ball and the other people behind him continue playing.</t>
  </si>
  <si>
    <t>v_NDWJOqVUGeA</t>
  </si>
  <si>
    <t>A camera pans over a roof and shows several people working and a man being interviewed.</t>
  </si>
  <si>
    <t>A man sprays down a roof and shows the product used several times and the top of the roof.</t>
  </si>
  <si>
    <t>Another man is interviewed and shows more men working on the roof.</t>
  </si>
  <si>
    <t>v_dAP7xalPRHo</t>
  </si>
  <si>
    <t>A person puts a garment in a pail, then he adds detergent and water.</t>
  </si>
  <si>
    <t>Then, the man washes the cloth with his hand, and then pours water and rinse several times.</t>
  </si>
  <si>
    <t>Next, the person carry the the garment to hang on a rope and dry.</t>
  </si>
  <si>
    <t>v_fKFcbNM89MA</t>
  </si>
  <si>
    <t>A large river is seen followed by a person riding down in a tube.</t>
  </si>
  <si>
    <t>Another person is also seen riding in a tube.</t>
  </si>
  <si>
    <t>The two ride down the river together and pass other people sitting alongside the river.</t>
  </si>
  <si>
    <t>v_-nskwoky7vk</t>
  </si>
  <si>
    <t>A man is seen speaking to the camera while holding a large accordion in his hands.</t>
  </si>
  <si>
    <t>The man then demonstrates how to properly play the instrument while moving his hands up and down.</t>
  </si>
  <si>
    <t>v_RiQdIJNDTo4</t>
  </si>
  <si>
    <t>A white haired man sits at an upright piano and begins to play in a lobby while people walk by.</t>
  </si>
  <si>
    <t>The cameraman zooms in on the mans hands as he's playing and zooms back out.</t>
  </si>
  <si>
    <t>v_HPJuOvOmEW8</t>
  </si>
  <si>
    <t>An intro leads into a tall man wearing a santa costume and skating down a long street in between people.</t>
  </si>
  <si>
    <t>The camera follows him riding around the city and performing various tricks and maneuvers around cars and people.</t>
  </si>
  <si>
    <t>v_3baH1vI0Cxk</t>
  </si>
  <si>
    <t>Two men walked over the football table, one man counted the dice on the side.</t>
  </si>
  <si>
    <t>The players twist and push and pull the poles as they play on the table.</t>
  </si>
  <si>
    <t>The camera men are taking pictures behind them.</t>
  </si>
  <si>
    <t>v_Dys_KC7uIzs</t>
  </si>
  <si>
    <t>Several men are shown bowling while an audience watches on.</t>
  </si>
  <si>
    <t>The bowlers bowl in turn, one at a time.</t>
  </si>
  <si>
    <t>The players and audience cheer one of the players.</t>
  </si>
  <si>
    <t>v_i-8vfNV-klk</t>
  </si>
  <si>
    <t>A man is using a pair of hedge trimmers on trees.</t>
  </si>
  <si>
    <t>He is talking to the camera as he goes.</t>
  </si>
  <si>
    <t>He trims the trees with the shears.</t>
  </si>
  <si>
    <t>v_Z-2Gwqt_GCQ</t>
  </si>
  <si>
    <t>A person gather mops and cleaning materials on a hard floor.</t>
  </si>
  <si>
    <t>The person cleans the hard floor using a dust mop.</t>
  </si>
  <si>
    <t>Then, the person puts a cup of detergent in a litter of water, then wet a cloth and attaches to a handle to mop the floor.</t>
  </si>
  <si>
    <t>The person removes stains on the floor using a cloth with a special solution.</t>
  </si>
  <si>
    <t>v_qlvW6jW2mfQ</t>
  </si>
  <si>
    <t>A person take two sticks on the drums, one stick holds with a hand and the other with his foot, then the person plays with one hand and the drums falls.</t>
  </si>
  <si>
    <t>The person plays with a hand and feet, and the face of, a gorilla appears.</t>
  </si>
  <si>
    <t>Then, the person puts mustard in one drum and one egg on other drum, and drums.</t>
  </si>
  <si>
    <t>After, the person puts a tortilla and drums over, then fried and egg.</t>
  </si>
  <si>
    <t>Next , the person destroys the drums.</t>
  </si>
  <si>
    <t>v_rcMv32d1QkI</t>
  </si>
  <si>
    <t>The video begins with several shots of a person doing tricks on a skateboard while many people watch him on the sides.</t>
  </si>
  <si>
    <t>He attempts many more tricks that fail to have him land on the board and he walks around the bowl each time afterwards.</t>
  </si>
  <si>
    <t>v_Az7bzVcLMSM</t>
  </si>
  <si>
    <t>A woman is seen standing on a stage stage with a single light shown and begins performing a dance routine.</t>
  </si>
  <si>
    <t>The light is seen on the woman is leads into her on a lit stage performing a belly dancing routine.</t>
  </si>
  <si>
    <t>The stage becomes dark again and the woman continues dancing all on the stage and holding a pose.</t>
  </si>
  <si>
    <t>v_doNSg6PuKDM</t>
  </si>
  <si>
    <t>A child shovels the snow in a yard and throws it into the driveway.</t>
  </si>
  <si>
    <t>The girl drops her shovel and shovel in the snow.</t>
  </si>
  <si>
    <t>The child walks over to her family in the yard.</t>
  </si>
  <si>
    <t>v_G98dfNXqu4Q</t>
  </si>
  <si>
    <t>Several people are on horses at a rodeo.</t>
  </si>
  <si>
    <t>One man comes out of the gate and ropes a calf.</t>
  </si>
  <si>
    <t>The calf falls to the ground as he is roped into place.</t>
  </si>
  <si>
    <t>He tries to stand, but another man grabs him.</t>
  </si>
  <si>
    <t>v_5FSdOfvJnek</t>
  </si>
  <si>
    <t>a lot of people wearing red life jackets and are in a bus and holding rafts.</t>
  </si>
  <si>
    <t>people are in water paddling in the river.</t>
  </si>
  <si>
    <t>v_fxxeCpqgRfk</t>
  </si>
  <si>
    <t>The male athlete bow then raised his arms then walked to the poles.</t>
  </si>
  <si>
    <t>The athlete jumped onto the poles and balanced on the two poles, standing on his arms then falling and rotating.</t>
  </si>
  <si>
    <t>When the athlete is done with his number he jumped from the pole and landed on his feet on the mat.</t>
  </si>
  <si>
    <t>v_xpxxH2V7Fe8</t>
  </si>
  <si>
    <t>A row of drummers are standing in front of an orchestra.</t>
  </si>
  <si>
    <t>The drummers hold their drumsticks in front of their face.</t>
  </si>
  <si>
    <t>They each beat their drums.</t>
  </si>
  <si>
    <t>After each note the drummers raise their drumsticks back in front of their faces.</t>
  </si>
  <si>
    <t>v_pA5W1NYnmyY</t>
  </si>
  <si>
    <t>A man is seen standing on a ladder and speaking to the camera.</t>
  </si>
  <si>
    <t>He holds up various tools and begins piecing them together.</t>
  </si>
  <si>
    <t>He then cleans off a window using the tools and tightening up the ladder.</t>
  </si>
  <si>
    <t>v_4rKTw99bM8g</t>
  </si>
  <si>
    <t>A person wearing a blue jacket and orange helmet is on an overturned raft in the water.</t>
  </si>
  <si>
    <t>The raft completely overturns as he tries to make his way up.</t>
  </si>
  <si>
    <t>Then the man straightens the raft and sits up straight in the raft.</t>
  </si>
  <si>
    <t>v__hdjRMpleWs</t>
  </si>
  <si>
    <t>A man is seen riding in on a horse while swinging a rope and grabbing a calf.</t>
  </si>
  <si>
    <t>The person ties up the calf while others ride in on horses and the men untie the animal.</t>
  </si>
  <si>
    <t>v_R-lGXNY19wE</t>
  </si>
  <si>
    <t>A woman is holding a baby on the beach.</t>
  </si>
  <si>
    <t>She sets the baby on a towel and starts rubbing sunscreen on the baby.</t>
  </si>
  <si>
    <t>She picks the baby up and gives it a kiss.</t>
  </si>
  <si>
    <t>v_yfPa5IKWTvU</t>
  </si>
  <si>
    <t>A billboard is shown on a wall.</t>
  </si>
  <si>
    <t>Kids run out onto the stage and get in formation.</t>
  </si>
  <si>
    <t>A banner is placed at the front of the stage.</t>
  </si>
  <si>
    <t>The kids start cheerleading on the stage.</t>
  </si>
  <si>
    <t>The kids in the front hold up the banner.</t>
  </si>
  <si>
    <t>They run off of the stage.</t>
  </si>
  <si>
    <t>v_1PpVSeE2BJ8</t>
  </si>
  <si>
    <t>A baby boy is seated at a restaurant table.</t>
  </si>
  <si>
    <t>He is eating a vanilla ice cream cone.</t>
  </si>
  <si>
    <t>He takes a napkin and wipes his mouth before handing the napkin back and continuing to eat.</t>
  </si>
  <si>
    <t>v_SHfFrzy_fKM</t>
  </si>
  <si>
    <t>A little girl is guided as she mounts a camel at a station.</t>
  </si>
  <si>
    <t>A man helps her as he leads the camel around.</t>
  </si>
  <si>
    <t>The girl smiles as she rides the camel around the pen.</t>
  </si>
  <si>
    <t>v_Q2OOxx3RWhY</t>
  </si>
  <si>
    <t>The young girl is speaking to the camera.</t>
  </si>
  <si>
    <t>The girl is holding a hair curler.</t>
  </si>
  <si>
    <t>The young woman is providing tips to other girls on how to curl their hair.</t>
  </si>
  <si>
    <t>At the end of the video, the girl asks to like the video.</t>
  </si>
  <si>
    <t>v_RNxHKDlWAGQ</t>
  </si>
  <si>
    <t>A camera shows a person riding around a dirt track on a bike moving at a quick speed.</t>
  </si>
  <si>
    <t>Several more shots are shown of people riding the dirt track on bikes while the camera captures them from several angles.</t>
  </si>
  <si>
    <t>v_5P-4_nS8euM</t>
  </si>
  <si>
    <t>A young man is seen talking to the camera from various angles and then using a razor to cut his hair.</t>
  </si>
  <si>
    <t>He continues cutting his hair while speaking to the camera and laughing.</t>
  </si>
  <si>
    <t>He finishes his hair while looking into the camera then has his reflection shown behind a shower curtain.</t>
  </si>
  <si>
    <t>v_gF14lRI0HUM</t>
  </si>
  <si>
    <t>Two people are boxing in a ring.</t>
  </si>
  <si>
    <t>A man in a black shirt is refereeing the fight.</t>
  </si>
  <si>
    <t>A woman is holding a camera taking pictures of them fighting.</t>
  </si>
  <si>
    <t>v_HDhG0WkwGaU</t>
  </si>
  <si>
    <t>The videos transitions into a countdown of various people getting hurt on the streets from bull attacks.</t>
  </si>
  <si>
    <t>many different people are seen running down streets while a bull flips them over and hurt them.</t>
  </si>
  <si>
    <t>v_fOGXvBAmTsY</t>
  </si>
  <si>
    <t>There's a woman talking about being the first woman to participate in a marathon in 1967.</t>
  </si>
  <si>
    <t>A picture of the participant when she was young is shown.</t>
  </si>
  <si>
    <t>She talks about how different the marathons used to be back in the day where she shows clips of participants from a marathon at least 50 years ago.</t>
  </si>
  <si>
    <t>There are pictures of male participants shown dominating the scene where she was the only female participant.</t>
  </si>
  <si>
    <t>She talks about her experience as she shows more pictures of her participation against all odds.</t>
  </si>
  <si>
    <t>She also shares information on how things changed later when she was finally allowed to participate freely.</t>
  </si>
  <si>
    <t>v_DLFerdBxdxQ</t>
  </si>
  <si>
    <t>A woman is standing at a table, putting food into a large pita on a plate.</t>
  </si>
  <si>
    <t>An older woman demonstrates how to cut onions, peppers, lettuce, carrots, tomatoes, etc into chunks.</t>
  </si>
  <si>
    <t>The vegetables are places in a processor and pureed into a bowl.</t>
  </si>
  <si>
    <t>The mix is blended and put on the table to be served on the tortillas.</t>
  </si>
  <si>
    <t>The women sit at the table and talk as they eat.</t>
  </si>
  <si>
    <t>v_qVgsPJeQYMY</t>
  </si>
  <si>
    <t>A group of students stretch out in gym class.</t>
  </si>
  <si>
    <t>A group of band students practice inside a classroom and gym.</t>
  </si>
  <si>
    <t>The school band plays during outdoor events and sporting games.</t>
  </si>
  <si>
    <t>v_F-WmsfI8HG0</t>
  </si>
  <si>
    <t>We see a newscaster in a studio.</t>
  </si>
  <si>
    <t>We see a man operating 2 manual vacuum cleaners.</t>
  </si>
  <si>
    <t>We see some old style vacuums.</t>
  </si>
  <si>
    <t>We see a black and white TV clip.</t>
  </si>
  <si>
    <t>We see the man vacuum and still from the museum.</t>
  </si>
  <si>
    <t>We see a lady in black and white and in color.</t>
  </si>
  <si>
    <t>We then see a factory and a man talking.</t>
  </si>
  <si>
    <t>We see the man talking and see him near a vacuum.</t>
  </si>
  <si>
    <t>We see an old print ad.</t>
  </si>
  <si>
    <t>We return to the newscaster in the studio.</t>
  </si>
  <si>
    <t>v_9wH6BIpe9X4</t>
  </si>
  <si>
    <t>A woman is seen speaking to the camera and leads into clips of her and another riding horses in a forest and beach.</t>
  </si>
  <si>
    <t>The women then run the horses along the beach while the camera captures them from several angles.</t>
  </si>
  <si>
    <t>v_aDhbXceBwHw</t>
  </si>
  <si>
    <t>Two men are seen doing a sumo move in a large circle surrounded by others.</t>
  </si>
  <si>
    <t>One man pretends to fight a sumo wrestler and is pushed to the side very easily.</t>
  </si>
  <si>
    <t>The other man tries with his shot shown again in slow motion and stand all together with their arms up.</t>
  </si>
  <si>
    <t>v_MqQ9mgUb664</t>
  </si>
  <si>
    <t>A man and woman is standing on the counter while the man talks in the camera.</t>
  </si>
  <si>
    <t>A plate of cut pineapple is on a plate on the table, as the man get some grapes and put it on the chopping board and cut them into half, then placed them on top of the pineapple cuts, then he wiped his hands and showed the plate to the camera.</t>
  </si>
  <si>
    <t>v_bY0vSkxH0PE</t>
  </si>
  <si>
    <t>A child watches at a window while a man outdoors is shoveling snow.</t>
  </si>
  <si>
    <t>He moves back and forth, picking up snow and moving it away from the door.</t>
  </si>
  <si>
    <t>v_-tv6laq1ic0</t>
  </si>
  <si>
    <t>We see blinds down on a window.</t>
  </si>
  <si>
    <t>A person is laying in a tattoo parlor being tattooed.</t>
  </si>
  <si>
    <t>We back up and see the tattoo artist.</t>
  </si>
  <si>
    <t>The lady looks in her phone and smiles at the camera.</t>
  </si>
  <si>
    <t>We pan down and see the tattoo artist work.</t>
  </si>
  <si>
    <t>v_LgUCZHYBBEc</t>
  </si>
  <si>
    <t>A large group of people are seen riding on horses and begin moving around.</t>
  </si>
  <si>
    <t>The people play a game on the horses while chasing a ball.</t>
  </si>
  <si>
    <t>The men continue to play and end by one jumping off the horse.</t>
  </si>
  <si>
    <t>v_FkWlzk8CrxA</t>
  </si>
  <si>
    <t>A woman in a white shirt is talking to the camera.</t>
  </si>
  <si>
    <t>A man and the woman start to dance together.</t>
  </si>
  <si>
    <t>She raises her arm and he twists her around.</t>
  </si>
  <si>
    <t>v_dWUEAavKWmI</t>
  </si>
  <si>
    <t>Two men wearing blue are inside playing a game of ping ping.</t>
  </si>
  <si>
    <t>They are hitting the ball back and forth pretty quickly without stopping.</t>
  </si>
  <si>
    <t>One of them hits the ball up and stops their progress, they have to start again.</t>
  </si>
  <si>
    <t>they get back to playing and hitting it barely missing a beat.</t>
  </si>
  <si>
    <t>v_jLwUrFMRGzY</t>
  </si>
  <si>
    <t>An intro is shown followed by two people and a man talking to the camera.</t>
  </si>
  <si>
    <t>The camera pans out to more people and shows them performing an exercise that swings their legs back and fourth.</t>
  </si>
  <si>
    <t>The people continue following the instructor through various movements while he leads them in the exercise.</t>
  </si>
  <si>
    <t>v_cBMi-cIbI2c</t>
  </si>
  <si>
    <t>A man is dressed in a black uniform and approaches a small circle that is in the middle of the field surrounded by green nets.</t>
  </si>
  <si>
    <t>The crowd is panned and then the man is shown throwing his discus as multiple people run out to track his distance.</t>
  </si>
  <si>
    <t>An instant replay is played and the front of the man's face is visible.</t>
  </si>
  <si>
    <t>v_nDG3MsnLE20</t>
  </si>
  <si>
    <t>We see a curling stone and a graph.</t>
  </si>
  <si>
    <t>We see a person pushing the stone.</t>
  </si>
  <si>
    <t>We see the stone on another graph.</t>
  </si>
  <si>
    <t>We see a man push the stone and people sweep in front of it.</t>
  </si>
  <si>
    <t>v_vPh9o_BuJaU</t>
  </si>
  <si>
    <t>A close up of a person's feet are shown sitting in a chair.</t>
  </si>
  <si>
    <t>The person then bends forward and begins putting shoes on.</t>
  </si>
  <si>
    <t>He finishes putting shoes on and gets up to walk away.</t>
  </si>
  <si>
    <t>v_HnEvJUr8DEM</t>
  </si>
  <si>
    <t>A man is standing on a field.</t>
  </si>
  <si>
    <t>He kicks a ball into the air.</t>
  </si>
  <si>
    <t>He runs to first base.</t>
  </si>
  <si>
    <t>v_a7QrIgqkyao</t>
  </si>
  <si>
    <t>A woman is standing behind a table with several pumpkin carving kits.</t>
  </si>
  <si>
    <t>She shows the contents of the books.</t>
  </si>
  <si>
    <t>The woman chooses a design, carving it into the pumpkin.</t>
  </si>
  <si>
    <t>She then places batteries in tea light to go inside, and paints the pumpkin black.</t>
  </si>
  <si>
    <t>v_UVJ0mQndDhE</t>
  </si>
  <si>
    <t>We see a person sliding blue discs down a wooden table.</t>
  </si>
  <si>
    <t>The man moves to the other end of the table and the camera moves to see them from the end.</t>
  </si>
  <si>
    <t>We wee the person slide all their blue then the red discs down the table.</t>
  </si>
  <si>
    <t>We see a hand appear and point.</t>
  </si>
  <si>
    <t>The person grabs a blue disc and slides it two times.</t>
  </si>
  <si>
    <t>v_iOnlcEk50CM</t>
  </si>
  <si>
    <t>A male is standing on side on a road in front of a forest with his foot on a skateboard.</t>
  </si>
  <si>
    <t>The male then gets on the skateboard and start balancing himself on it.</t>
  </si>
  <si>
    <t>After,he picks up the skateboard and moves a few feet back and starts skateboarding.</t>
  </si>
  <si>
    <t>Once done,he picks up the skateboard and holds it back down to his side.</t>
  </si>
  <si>
    <t>v_CIAZbDkD0TE</t>
  </si>
  <si>
    <t>A woman walks out of a kitchen and over to a steamer with her daughter behind her.</t>
  </si>
  <si>
    <t>She picks up her iron and begins to iron a pair of pants as the girl plays with a dress, and the woman has left the iron resting on the clothing.</t>
  </si>
  <si>
    <t>She irons the dress for the girl as she watches.</t>
  </si>
  <si>
    <t>v__HIJu_hNweY</t>
  </si>
  <si>
    <t>Three girls are seen standing on a cliff hitting a birdie to one another.</t>
  </si>
  <si>
    <t>The camera pans around their movements as they hit the birdie around.</t>
  </si>
  <si>
    <t>The girls continue to hit the birdie around and showing off their butts in the end.</t>
  </si>
  <si>
    <t>v_H_xL4tssqEU</t>
  </si>
  <si>
    <t>A woman knits and shows her work.</t>
  </si>
  <si>
    <t>Women are knitting while sitting in a circle and talking each other.</t>
  </si>
  <si>
    <t>A reporter talks in the room where the women knits.</t>
  </si>
  <si>
    <t>v_P2H4fTMMHNE</t>
  </si>
  <si>
    <t>A woman is ironing a brown shirt on an ironing board.</t>
  </si>
  <si>
    <t>She looks at the tag on the shirt.</t>
  </si>
  <si>
    <t>She continues ironing the shirt on the ironing board.</t>
  </si>
  <si>
    <t>She lifts the shirt up and puts it over the ironing board.</t>
  </si>
  <si>
    <t>She turns the shirt inside out and holds it up.</t>
  </si>
  <si>
    <t>v_bJkemB0CcKo</t>
  </si>
  <si>
    <t>A man talks to the camera smiling and transitions to him holding a pan and spreading butter into it.</t>
  </si>
  <si>
    <t>He pours egg into the pan and pushes it around with several vegetables.</t>
  </si>
  <si>
    <t>He finishes by putting the omelet onto a plate and eating one big bite.</t>
  </si>
  <si>
    <t>v_EeUkryzfwYk</t>
  </si>
  <si>
    <t>An animated intro screen has a lot of little Christmas pictures moving on it and white words appear that say "Decorating The Christmas Tree".</t>
  </si>
  <si>
    <t>The same animation continues to play and the white words now appearing are "With Me, My Sis, Mom &amp; Chris".</t>
  </si>
  <si>
    <t>In fast motion, there are people in a residential home and they are winding strings of white Christmas tree lights around a very full and grown tree.</t>
  </si>
  <si>
    <t>When they are done with the lights, the begin to decorate the tree with ornaments until it's all filled with ornaments.</t>
  </si>
  <si>
    <t>The camera is picked up and the man is now attempting to put a white star on the top of the tree while children are hanging around and talking.</t>
  </si>
  <si>
    <t>The star is now on the tree, the camera is put back down, one of the girl hugs the tree.</t>
  </si>
  <si>
    <t>v_ceDvPX6hP_U</t>
  </si>
  <si>
    <t>A man is standing inside a gym as he speaks to the camera.</t>
  </si>
  <si>
    <t>He indicated a blue block on the ground before stepping over it and kneeling on top of it.</t>
  </si>
  <si>
    <t>He begins pulling the cord on the equipment, showing how it is used.</t>
  </si>
  <si>
    <t>v_lvlVfgZ53NQ</t>
  </si>
  <si>
    <t>A man is talking behind a bar, standing in front of numerous alcohol bottles.</t>
  </si>
  <si>
    <t>He pours liquids over a glass filled with ice.</t>
  </si>
  <si>
    <t>He then garnishes the final product for serving.</t>
  </si>
  <si>
    <t>v_z-1HUIQFGIg</t>
  </si>
  <si>
    <t>Karate students play standing and hand held drums in a studio.</t>
  </si>
  <si>
    <t>Karate students jump over the top of a rope held by other students on a mat.</t>
  </si>
  <si>
    <t>The group of karate students practices punches standing in a line.</t>
  </si>
  <si>
    <t>A group of younger student practice sparring against opponents.</t>
  </si>
  <si>
    <t>The groups spin each other in circles holding each others hands.</t>
  </si>
  <si>
    <t>The group stands in a circle and jump up and down together while watching the instructor.</t>
  </si>
  <si>
    <t>v_q2TF-3bWZuU</t>
  </si>
  <si>
    <t>A woman is talking as she stands outside horse stables.</t>
  </si>
  <si>
    <t>She talks as a client is riding one of her horses in a dirt field.</t>
  </si>
  <si>
    <t>She discusses the form and positioning of the rider.</t>
  </si>
  <si>
    <t>The rider takes the horse around for a trot while the woman watches.</t>
  </si>
  <si>
    <t>v_wdsZn1Yu_5M</t>
  </si>
  <si>
    <t>A blonde woman is speaking in a news room in front of a large screen.</t>
  </si>
  <si>
    <t>Boats are seen pulling people on water skis.</t>
  </si>
  <si>
    <t>A man is shown preparing and then skiing through the water.</t>
  </si>
  <si>
    <t>v_rBMQFpHspmo</t>
  </si>
  <si>
    <t>Several people are seen wandering around an indoor field with one pole volting over a bar.</t>
  </si>
  <si>
    <t>The same shot is shown again in slow motion as well as several other attempts the boy makes.</t>
  </si>
  <si>
    <t>He attempts the jump several more times while people watch him on the sides.</t>
  </si>
  <si>
    <t>v_V1AqyQ3qaQY</t>
  </si>
  <si>
    <t>A man is standing next to a pond.</t>
  </si>
  <si>
    <t>He loads an arrow in the bow.</t>
  </si>
  <si>
    <t>He shoots the arrow at a ceramic cat, knocking it into the water before moving on to other targets.</t>
  </si>
  <si>
    <t>v_4Dj7wOTfyH4</t>
  </si>
  <si>
    <t>A woman is seen walking into frame and speaking to the camera.</t>
  </si>
  <si>
    <t>She sits down on boxes while holding others up and begins laying tiles down on the floor.</t>
  </si>
  <si>
    <t>She picks others up while speaking to the camera followed by vacuuming the floor and a child playing along.</t>
  </si>
  <si>
    <t>v_1G5cu1NvDFw</t>
  </si>
  <si>
    <t>A young child is seen running around a back yard on a large set of stilts.</t>
  </si>
  <si>
    <t>The boy continues bouncing around as the camera captures him as well as running.</t>
  </si>
  <si>
    <t>v_LHjmL7Pg_80</t>
  </si>
  <si>
    <t>Boys are running on a field playing a game of soccer.</t>
  </si>
  <si>
    <t>Then they are are playing professional on an indoor court while an audience watches.</t>
  </si>
  <si>
    <t>They show many different clips from many different games, like a memoir of videos.</t>
  </si>
  <si>
    <t>Number 12 is the basis of them all, he seems to be a very great soccer player.</t>
  </si>
  <si>
    <t>v_eGl_I8h832w</t>
  </si>
  <si>
    <t>A young girl is seen speaking to the camera and looking off into the distance.</t>
  </si>
  <si>
    <t>She continues speaking and leads into a woman cutting her hair.</t>
  </si>
  <si>
    <t>She hands the girl her hair and shows off her cut in the end.</t>
  </si>
  <si>
    <t>v_dD3eR9Sb1x0</t>
  </si>
  <si>
    <t>Multiple colors and designs flash across the screen.</t>
  </si>
  <si>
    <t>Women gather onstage as they are about to perform.</t>
  </si>
  <si>
    <t>The women dance and jump, leading a zumba routine.</t>
  </si>
  <si>
    <t>v_fJEXzQ0L1uU</t>
  </si>
  <si>
    <t>Various shots of signs are shown as well as people walking around a field and getting ready for events.</t>
  </si>
  <si>
    <t>Many people are interviewed for the camera and show people waving and getting ready on the sides.</t>
  </si>
  <si>
    <t>People wave to the camera and stand around holding signs while more speak to the camera and show games of hopscotch.</t>
  </si>
  <si>
    <t>v__Hi9gQEaT-Q</t>
  </si>
  <si>
    <t>A dog pushes a stroller down the sidewalk.</t>
  </si>
  <si>
    <t>A person in white passes the tree.</t>
  </si>
  <si>
    <t>The dog passes a small tree.</t>
  </si>
  <si>
    <t>v_E_6XYa_WO8I</t>
  </si>
  <si>
    <t>A man starts chopping a piece of wood with an ax.</t>
  </si>
  <si>
    <t>He picks the wood back up and throws it into a pile.</t>
  </si>
  <si>
    <t>He picks up a new piece of wood and chops that one.</t>
  </si>
  <si>
    <t>v_WjEh7acrr5o</t>
  </si>
  <si>
    <t>A woman is seen sitting in a chair knitting thread while the camera watches her.</t>
  </si>
  <si>
    <t>The woman continues to knit while stopping to look at the camera and make faces.</t>
  </si>
  <si>
    <t>v_GhVERbQMZWQ</t>
  </si>
  <si>
    <t>A hummer backs a boat down a ramp.</t>
  </si>
  <si>
    <t>A person is wake boarding behind the boat.</t>
  </si>
  <si>
    <t>People are sitting on the boat.</t>
  </si>
  <si>
    <t>v_80pIiAmVa5Q</t>
  </si>
  <si>
    <t>A woman is seated at the bottom of a slide.</t>
  </si>
  <si>
    <t>She is adjusting her camera.</t>
  </si>
  <si>
    <t>A child slides down the slide, running into her from behind.</t>
  </si>
  <si>
    <t>v_GZjNt2TsChs</t>
  </si>
  <si>
    <t>A young child is seen climbing up a playground and then going down a slide.</t>
  </si>
  <si>
    <t>She goes back to the top again followed by another go down the slide and back to the stairs again.</t>
  </si>
  <si>
    <t>v_yRswMXWCcrI</t>
  </si>
  <si>
    <t>A person stands on a hill covered wit snow, then the person ski down the hill and fall.</t>
  </si>
  <si>
    <t>A skier comes down a hill makes a jump over stones and falls and rolls on the snow.</t>
  </si>
  <si>
    <t>Then, other man skies on the hill and flat areas covered with snow.</t>
  </si>
  <si>
    <t>Also, skiers makes a flip from in the air while other people watch.</t>
  </si>
  <si>
    <t>v_2EQMXueAmCA</t>
  </si>
  <si>
    <t>Two men play squash on an indoor court.</t>
  </si>
  <si>
    <t>The left man in the white shirt misses the ball and the start over.</t>
  </si>
  <si>
    <t>We see the man in the gray shirt miss the ball land stands up and pumps his fist while looking disappointed.</t>
  </si>
  <si>
    <t>v_5Owjrx-YjjM</t>
  </si>
  <si>
    <t>A little girl is sitting on the porch floor with her dad as he puts together a blue butterfly kite for her.</t>
  </si>
  <si>
    <t>After he's done completing the kite, they go out in the open to fly the kite.</t>
  </si>
  <si>
    <t>The father is holding the kite in his hand as the wind blows strongly.</t>
  </si>
  <si>
    <t>The girl holds the string of the kite and begins flying the kite high up in the air.</t>
  </si>
  <si>
    <t>v_JXvPFMjtbcw</t>
  </si>
  <si>
    <t>A chef explains how to cook an omelette with vegetables and spices, Then, the chef take a dish and serves the omelette with lettuce and lemon.</t>
  </si>
  <si>
    <t>A man and a woman pass behind the chef in the restaurant.</t>
  </si>
  <si>
    <t>Another man sit in a table, stand and walk away.</t>
  </si>
  <si>
    <t>Another person enters the restaurant and turns left.</t>
  </si>
  <si>
    <t>v_FhGOGbL-A84</t>
  </si>
  <si>
    <t>A little boy is in a yard, using a leaf blower.</t>
  </si>
  <si>
    <t>A little girl soon joins him, raking leaves.</t>
  </si>
  <si>
    <t>v_MIE0KbGIXjM</t>
  </si>
  <si>
    <t>A man is seen bent over washing his hands when another man walks out and speaks to him.</t>
  </si>
  <si>
    <t>The other man then begins washing his hands with soap under the faucet while the other man watches.</t>
  </si>
  <si>
    <t>He finishes washing while the other man leaves and cues to a third man walking out of the stall.</t>
  </si>
  <si>
    <t>v_5Qj8hHmZbiI</t>
  </si>
  <si>
    <t>People are playing beer pong at a party.</t>
  </si>
  <si>
    <t>People are drinking drinks from the table.</t>
  </si>
  <si>
    <t>A glass of beer is shown.</t>
  </si>
  <si>
    <t>v_Ck5i8CVEkJI</t>
  </si>
  <si>
    <t>A man is seen throwing a dart onto a board and leads into a woman speaking.</t>
  </si>
  <si>
    <t>The man throws several more darts while taking the time to speak to the woman.</t>
  </si>
  <si>
    <t>More people are shown throwing dart while the two continue to speak and the man points to the board.</t>
  </si>
  <si>
    <t>v_oMegp6a547Q</t>
  </si>
  <si>
    <t>The camera pans around several groups of people are seen performing martial arts around one another as well as people walking around and watching.</t>
  </si>
  <si>
    <t>Many shots are shown of people dancing and singing as well as performing martial arts in the streets and helping one another.</t>
  </si>
  <si>
    <t>People are seen playing instruments, reading the the news, and performing martial arts all around the street.</t>
  </si>
  <si>
    <t>v_j1QaZ7YWcJ8</t>
  </si>
  <si>
    <t>A person plays tam-tam inside a room, the man mainly plays on the tam- tam on front hum.</t>
  </si>
  <si>
    <t>A hand pass on front the screen.</t>
  </si>
  <si>
    <t>The person extend her arm over the tam-tam.</t>
  </si>
  <si>
    <t>v_0RUs80IYF38</t>
  </si>
  <si>
    <t>A man jumps off of the brown horse and he lassos the bull to the ground in the beginning.</t>
  </si>
  <si>
    <t>Then he gets on another horse and he lassos a bull bigger than the last one to the ground.</t>
  </si>
  <si>
    <t>When he's done tying the bull's legs together, he gets up and walks away.</t>
  </si>
  <si>
    <t>v_Rn_frSrkkbM</t>
  </si>
  <si>
    <t>A cricket game is being played between two teams in front of a crowd of people.</t>
  </si>
  <si>
    <t>The first play is made and the commentators narrate the play.</t>
  </si>
  <si>
    <t>Then, a replay of the previous play is started while the commentators narrate it.</t>
  </si>
  <si>
    <t>The camera cuts to a man laughing at a mistake made in the play.</t>
  </si>
  <si>
    <t>v_ahY7nqwwJEg</t>
  </si>
  <si>
    <t>The video leads into several clips of people performing skateboarding tricks out in public places.</t>
  </si>
  <si>
    <t>Many more clips are shown of people riding around on skateboards doing flips and tricks.</t>
  </si>
  <si>
    <t>v_wS_T-RMSSCE</t>
  </si>
  <si>
    <t>elephant is walking in a small water well playing with a ball.</t>
  </si>
  <si>
    <t>woman is talking in the camera and the elephant is again in the water well playing with the ball.</t>
  </si>
  <si>
    <t>little elephant is playing with a big blue ball.</t>
  </si>
  <si>
    <t>v_1izVZnE0l7k</t>
  </si>
  <si>
    <t>A girl is standing at a sink, washing dishes and playing in the water.</t>
  </si>
  <si>
    <t>She smiles as she rinses a plastic bowl.</t>
  </si>
  <si>
    <t>She walks over to the camera talking and laughing before leaving the room with her brother.</t>
  </si>
  <si>
    <t>v_nHuu6aInr1w</t>
  </si>
  <si>
    <t>A man puts a pile of marshmallows in his mouth.</t>
  </si>
  <si>
    <t>A man make a campfire and tips flash on the screen.</t>
  </si>
  <si>
    <t>The man digs a hole put rocks around it and gather firewood.</t>
  </si>
  <si>
    <t>He puts the wood in a triangle in the pit and logs on the outside.</t>
  </si>
  <si>
    <t>The man lights the fire and adds a few more pieces of wood.</t>
  </si>
  <si>
    <t>v_BYLxSOPFOuc</t>
  </si>
  <si>
    <t>man is standing in front of a mirror holding a camera.</t>
  </si>
  <si>
    <t>woman enters in the bathroom carying a white cat and the man kneels so the cat can stands on his back.</t>
  </si>
  <si>
    <t>the woman leaves the bathroom and the man keeps recording himself making poses in front of the camera and talking to himself in the mirror.</t>
  </si>
  <si>
    <t>the man enters in the bedroom and the woman is sitting in the bed holding the cat.</t>
  </si>
  <si>
    <t>man is in the bathroom again holding a knife and the woman enters in the room with a back scarf around her head.</t>
  </si>
  <si>
    <t>they are driving the car and are parked in snowy parking lot.</t>
  </si>
  <si>
    <t>they eners in a restaurant and leaves and walks to the car again.</t>
  </si>
  <si>
    <t>the woman gets into the car and the man opens the door and grabs a little brush and cleans the windshield and the woman do the same and plays with the man.</t>
  </si>
  <si>
    <t>v_NaTBiY3G3zc</t>
  </si>
  <si>
    <t>A woman is seen pushing a puck along the ice with others followed by a man speaking to the camera.</t>
  </si>
  <si>
    <t>More clips are shown of people curling on the ice while the man continues to speak to the camera and the game is shown in slow motion.</t>
  </si>
  <si>
    <t>v_m_sBF4vLRRc</t>
  </si>
  <si>
    <t>woman is wearing a red shirt and is standing talking to the camera in a white room.</t>
  </si>
  <si>
    <t>woman start dancing salsa steps on a wooden court.</t>
  </si>
  <si>
    <t>the woman is doing samba steps shaking her body side to side.</t>
  </si>
  <si>
    <t>v_XkOO6lc5vxw</t>
  </si>
  <si>
    <t>An intro shows off a hedge trimmer.</t>
  </si>
  <si>
    <t>A woman beings to speak about the hedge trimmer.</t>
  </si>
  <si>
    <t>The product is shown in action, trimming a bush.</t>
  </si>
  <si>
    <t>The woman shows off the blade, and charger.</t>
  </si>
  <si>
    <t>We see the product in use again.</t>
  </si>
  <si>
    <t>The woman shows the comfort grip.</t>
  </si>
  <si>
    <t>The woman talks about how to order the product.</t>
  </si>
  <si>
    <t>v_DgdEQgh8TKU</t>
  </si>
  <si>
    <t>A man is seen standing by the water holding an axe in one hand and a block of wood in the other.</t>
  </si>
  <si>
    <t>The man continues cutting wood while the camera pans to other people in the room and a woman speaking to the camera.</t>
  </si>
  <si>
    <t>v_IZXFAoiSj0c</t>
  </si>
  <si>
    <t>A female athlete is in a field and she begins to throw a shot put.</t>
  </si>
  <si>
    <t>The lady spins and spins in slow motion as words are shown at the top describing each phase needed to throw a shot put successfully.</t>
  </si>
  <si>
    <t>v_PWw-DAcSszM</t>
  </si>
  <si>
    <t>We see a man slowly performing Tai Chi.</t>
  </si>
  <si>
    <t>A white banner streams across the bottom.</t>
  </si>
  <si>
    <t>The man lifts his legs up in front of him then kicks out.</t>
  </si>
  <si>
    <t>The man stops and stands still.</t>
  </si>
  <si>
    <t>v_bsl3oM4svdQ</t>
  </si>
  <si>
    <t>A woman is seen pulling a piece of exercise equipment while struggling to get it to move.</t>
  </si>
  <si>
    <t>She moves the mat underneath her and then is able to pull the bar back and fourth towards her.</t>
  </si>
  <si>
    <t>v_lXTcGMN9I8g</t>
  </si>
  <si>
    <t>A young man at an outdoor festival is doing tightrope tricks in front of a crowd.</t>
  </si>
  <si>
    <t>The young man does various bouncing and balancing tricks on a tight rope a few feet above black mats.</t>
  </si>
  <si>
    <t>The gets off the rope and walks on the mats off the floor and towards his group.</t>
  </si>
  <si>
    <t>v_Jbl0E75cx8o</t>
  </si>
  <si>
    <t>A woman is seen sitting in a chair while a man uses various tools to pierce her ear.</t>
  </si>
  <si>
    <t>The man finishes the piercing and the girl begins to turn in the end.</t>
  </si>
  <si>
    <t>v_cnFw7hjmqJY</t>
  </si>
  <si>
    <t>man is standing in a court in front of kids and is walking showing how to score a basket.</t>
  </si>
  <si>
    <t>man throw the ball with someone in the other side of the court and make a lay up and the kids behind him in the court do the same.</t>
  </si>
  <si>
    <t>the coach os hlping the girl to catch the ball and run.</t>
  </si>
  <si>
    <t>the kid make a throw and then score a basket adn the kids behind her keeps doing the same.</t>
  </si>
  <si>
    <t>v_84x9A9xyLcE</t>
  </si>
  <si>
    <t>The sun rises over the hills.</t>
  </si>
  <si>
    <t>A man in shorts walks around.</t>
  </si>
  <si>
    <t>He grabs his board and places it into the water.</t>
  </si>
  <si>
    <t>The man climbs the board and surfs.</t>
  </si>
  <si>
    <t>v__AaSNARQPfE</t>
  </si>
  <si>
    <t>A man picks up a weight over his head and drops it on the ground.</t>
  </si>
  <si>
    <t>A man picks up a bar and raises it several times.</t>
  </si>
  <si>
    <t>A man in a black shirt is standing next to him.</t>
  </si>
  <si>
    <t>Another man stands next to him and lifts a bar with him.</t>
  </si>
  <si>
    <t>v_JM7YQFgxu2I</t>
  </si>
  <si>
    <t>There is a little girl slowly sliding down the side with the comfort of holding her mother's hand, the first time she went down.</t>
  </si>
  <si>
    <t>The second time she went down on her belly without help.</t>
  </si>
  <si>
    <t>v_6k5m4u5AchQ</t>
  </si>
  <si>
    <t>There are two camping out in the winter for an ice fishing trip.</t>
  </si>
  <si>
    <t>One of the men comes out of his camping tent with a fish in his hand.</t>
  </si>
  <si>
    <t>The two men are sitting in their make shift tent, fishing through a hole in the frozen lake.</t>
  </si>
  <si>
    <t>They are patiently sitting with their fishing rods till they fish out mid size fish from the holes.</t>
  </si>
  <si>
    <t>They show the kind of fish they have found as they lay it out on the frozen ground.</t>
  </si>
  <si>
    <t>One of the men cleans the fish scales.</t>
  </si>
  <si>
    <t>Then they cut the fish into small pieces and clean them up outside their garage.</t>
  </si>
  <si>
    <t>They sharpen the knife to slice the fish to prepare batter covered fried fish.</t>
  </si>
  <si>
    <t>The entire family sits together on a large dinning table and enjoy a delicious fried fish meal.</t>
  </si>
  <si>
    <t>v_7OZHg_OOfxw</t>
  </si>
  <si>
    <t>boys and girls are stading in a court practicing cheerleaders choreography and a woman is talking in a studio on news.</t>
  </si>
  <si>
    <t>high scoo musical scene is show and a man practicing is being interviewed and scenes of bring it on is showed.</t>
  </si>
  <si>
    <t>v_jzBR9ihZBbI</t>
  </si>
  <si>
    <t>A man is talking in front of a couple of graphs.</t>
  </si>
  <si>
    <t>She demonstrates the technique with his racquet.</t>
  </si>
  <si>
    <t>He then goes into a room, and plays a game of racquetball with a man.</t>
  </si>
  <si>
    <t>When they are done, he walks out and discusses it some more.</t>
  </si>
  <si>
    <t>v_b3bawTEPLtA</t>
  </si>
  <si>
    <t>A ballerina is seen swirling in a room and leads into the woman speaking to the camera and performing several ballet moves.</t>
  </si>
  <si>
    <t>She stands at the barre and then on her own to demonstrate how to properly perform ballet moves.</t>
  </si>
  <si>
    <t>She moves her arms up and down as well as her legs and continuously speaking to the camera.</t>
  </si>
  <si>
    <t>v_K-kJ-0nkKZk</t>
  </si>
  <si>
    <t>A set of hands are seen putting brush into a stack of sticks and then places cotton in the pile.</t>
  </si>
  <si>
    <t>He then lights a match and creates a fire and then bends over the fire to put more in.</t>
  </si>
  <si>
    <t>The camera closes in on the pit and is seen placing logs around the side.</t>
  </si>
  <si>
    <t>v_cvatsuUhqhk</t>
  </si>
  <si>
    <t>Two men are playing Foosball in a dark room.</t>
  </si>
  <si>
    <t>They compete intensely at a fast pace.</t>
  </si>
  <si>
    <t>The man of the red team wins all four times.</t>
  </si>
  <si>
    <t>Every time when he wins, he does a little cheering dance.</t>
  </si>
  <si>
    <t>v_ZOeQh2-ci3M</t>
  </si>
  <si>
    <t>A person uses the toilet in a stall.</t>
  </si>
  <si>
    <t>The man leaves the bathroom without washing his hands.</t>
  </si>
  <si>
    <t>The man eats from food dishes using his hands.</t>
  </si>
  <si>
    <t>A woman plays with the dogs.</t>
  </si>
  <si>
    <t>A person washes their hands in a sink using foam soap.</t>
  </si>
  <si>
    <t>The person uses a paper towel to dry off his hands.</t>
  </si>
  <si>
    <t>A person washes their hands in a stainless steel sink.</t>
  </si>
  <si>
    <t>v_76tyabobb_0</t>
  </si>
  <si>
    <t>A messy kid is eating an ice cream cone.</t>
  </si>
  <si>
    <t>He bites the parents ice cream cone.</t>
  </si>
  <si>
    <t>The parent adjusts the cone for the child.</t>
  </si>
  <si>
    <t>The parent wipes ice cream from the child's face.</t>
  </si>
  <si>
    <t>v_QJm_B5Hx4DI</t>
  </si>
  <si>
    <t>An employee of the beach patrol is talking about how to have a safe day at the beach.</t>
  </si>
  <si>
    <t>Sunscreen is addressed and he overviews how and why to apply sunscreen properly.</t>
  </si>
  <si>
    <t>Sunscreen SPF value is addressed with a slide on how to pay attention to the proper SPF.</t>
  </si>
  <si>
    <t>He addresses the negative impacts of sunburns, especially with children.</t>
  </si>
  <si>
    <t>He then talks about different types of specialty sunscreen to ensure you are safely covered.</t>
  </si>
  <si>
    <t>Children sunscreen safety is then talked about and how to properly protect your kids.</t>
  </si>
  <si>
    <t>He then discusses what to do when a sunburn does occur, how to handle it to take care of your skin.</t>
  </si>
  <si>
    <t>A slide is shown to make us aware of when a sunburn is bad and needs medical attention.</t>
  </si>
  <si>
    <t>He then takes another overview of how to use sunscreen to make your day enjoyable.</t>
  </si>
  <si>
    <t>v_EJxWhTE_ZeE</t>
  </si>
  <si>
    <t>Several clips of boxes are shown as well as people moving around a stage and an audience watching.</t>
  </si>
  <si>
    <t>The video leads into several people washing windows as quickly as they can while many watch them on the side.</t>
  </si>
  <si>
    <t>Many men speak to the camera as well as people announcing the scores and more window washing taking place.</t>
  </si>
  <si>
    <t>v_mgmwdQixDXY</t>
  </si>
  <si>
    <t>woman is showing her nails with a cute manicure and some polishes behind her hand.</t>
  </si>
  <si>
    <t>woman is holding a pink polish and start painting her nail.</t>
  </si>
  <si>
    <t>and with a little sponge and a little pin paint the nail with white blue and purple paint.</t>
  </si>
  <si>
    <t>with a small bush put som wwhite dots and clean the nail.</t>
  </si>
  <si>
    <t>woman cut a red paper and paint with frosty gray polish.</t>
  </si>
  <si>
    <t>v_tPiuksisb4E</t>
  </si>
  <si>
    <t>There is a hookah placed on a kitchen counter.</t>
  </si>
  <si>
    <t>A man wearing a black sleeveless shirt comes there and kneels down to begins smoking the hookah.</t>
  </si>
  <si>
    <t>He smokes the hookah and blows out smoke.</t>
  </si>
  <si>
    <t>He takes a few puffs of the hookah and exhales the smoke out.</t>
  </si>
  <si>
    <t>He continues smoking by taking long puffs of the hookah and then leaves.</t>
  </si>
  <si>
    <t>v_Qv0fN5A1vp4</t>
  </si>
  <si>
    <t>A close up of a bag is seen followed by a woman looking in the camera.</t>
  </si>
  <si>
    <t>She holds up a phone and speaks into the mirror.</t>
  </si>
  <si>
    <t>Finally she jumps up and down a bit and ends by turning off the camera.</t>
  </si>
  <si>
    <t>v_9mF5s6_dTlk</t>
  </si>
  <si>
    <t>A man in a crowded garage with lots of tools speaks to the camera as he holds a piece of paper.</t>
  </si>
  <si>
    <t>He taps a paper, continuously, on a iron type tool and brushes the paper against a long piece of wood.</t>
  </si>
  <si>
    <t>He puts down the piece of paper and takes the iron tool straight to the piece of wood.</t>
  </si>
  <si>
    <t>He picks up a paper towel and presses the iron against the piece of wood with one hand while using the other hand to drag a paper towel over the ironed areas of the board.</t>
  </si>
  <si>
    <t>He places the iron down.</t>
  </si>
  <si>
    <t>He takes the paper towel and quickly cleans the piece of wood.</t>
  </si>
  <si>
    <t>v_5Fq-ln3yC38</t>
  </si>
  <si>
    <t>A man pours a liquid onto a table.</t>
  </si>
  <si>
    <t>With the use of a paintbrush, he covers the table with the liquid.</t>
  </si>
  <si>
    <t>He removes varnish from the top of the table.</t>
  </si>
  <si>
    <t>Afterwards, he does a light sanding of the table.</t>
  </si>
  <si>
    <t>With a tack rug, he removes the dust.</t>
  </si>
  <si>
    <t>Wearing gloves, he applies a stain to the table.</t>
  </si>
  <si>
    <t>Finally, he polishes the table and shows off his end result.</t>
  </si>
  <si>
    <t>v_PlAVnu-ueM4</t>
  </si>
  <si>
    <t>Ms Smith is giving an interview talking about weight lifting, she speaks about how she started around 12.</t>
  </si>
  <si>
    <t>The coach briefly speaks about how gives them rest before every competition.</t>
  </si>
  <si>
    <t>She lifts the weight way above her head and drops it wearing her uniform.</t>
  </si>
  <si>
    <t>Everyone claps for her, and then you hear from her and the coach again before the interview is over.</t>
  </si>
  <si>
    <t>v_5Y4YkCkgShc</t>
  </si>
  <si>
    <t>A nighttime view of a city is shown through a window.</t>
  </si>
  <si>
    <t>A man in a chef's coat is standing in a kitchen talking to the camera.</t>
  </si>
  <si>
    <t>A pancake is shown with syrup being poured on it.</t>
  </si>
  <si>
    <t>Ingredients are placed in a bowl.</t>
  </si>
  <si>
    <t>The man cracks an egg and whisks the ingredients in a bowl.</t>
  </si>
  <si>
    <t>A ladle is shown next to the bowl.</t>
  </si>
  <si>
    <t>The man ladles the pancake batter onto the griddle.</t>
  </si>
  <si>
    <t>The man flips the pancakes.</t>
  </si>
  <si>
    <t>The pancake is placed on a plate and syrup is poured on it.</t>
  </si>
  <si>
    <t>The man is shown eating a piece of the pancake.</t>
  </si>
  <si>
    <t>The man continues talking to the camera while holding a piece of pancake.</t>
  </si>
  <si>
    <t>A television studio is shown.</t>
  </si>
  <si>
    <t>v_aSYCOvkN5uk</t>
  </si>
  <si>
    <t>A young man with Downs Syndrome bowls.</t>
  </si>
  <si>
    <t>Another young man throws a bowling ball.</t>
  </si>
  <si>
    <t>The first young man celebrates after a successful throw.</t>
  </si>
  <si>
    <t>v_COIwJdDOmcc</t>
  </si>
  <si>
    <t>man is standing in front of a gray car in a workshop changing a car wheel and talking to te camera.</t>
  </si>
  <si>
    <t>first the man grab an hiyraulic jack and put it under the car, unscrew the bolts wit a wheel brace and pulls out the wheel and mount the new one, put the screws back again with the wheel brace and tightens.</t>
  </si>
  <si>
    <t>man talking in front of the car and giving recomendations.</t>
  </si>
  <si>
    <t>v_Kv-A_H9TXug</t>
  </si>
  <si>
    <t>A guy sits on the floor and speaks.</t>
  </si>
  <si>
    <t>The guy lays down and does sit ups.</t>
  </si>
  <si>
    <t>The guy goes back to the sitting position.</t>
  </si>
  <si>
    <t>The credits of the video and an image are shown.</t>
  </si>
  <si>
    <t>v_MeHEDK_Y8sE</t>
  </si>
  <si>
    <t>A female Caucasian is sitting in a chair spinning around showing off her long blonde hair style,it is pinned to the right and has curls in the bottom.</t>
  </si>
  <si>
    <t>On the next screen,a woman begins grabbing the bottom and rolling it from the bottom up to about three inches and seals it with a piece of foil.</t>
  </si>
  <si>
    <t>Once the hair is folded up in a the foil,the lady takes a flat iron and runs it over the foil.</t>
  </si>
  <si>
    <t>As the next scene comes,the lady is pictured with eight foiled curls in her head that are sealed with long hair pins.</t>
  </si>
  <si>
    <t>The next step is to then remove the pins followed by the foil and release the curls.</t>
  </si>
  <si>
    <t>Finally,the style is completed and she is spun around once more to show the finished product.</t>
  </si>
  <si>
    <t>v_AahkhvTAXwg</t>
  </si>
  <si>
    <t>a woman walks onto a blue lit stage.</t>
  </si>
  <si>
    <t>She starts flipping back and forth on the stage.</t>
  </si>
  <si>
    <t>She is spinning and twirling a baton while she performs before disappearing.</t>
  </si>
  <si>
    <t>v_ZT_gv2W65Zc</t>
  </si>
  <si>
    <t>A woman brushes her hair with her hand.</t>
  </si>
  <si>
    <t>The woman combs her hair with a comb.</t>
  </si>
  <si>
    <t>The combing is shown in slow motion.</t>
  </si>
  <si>
    <t>v_IC61TQ-sd8o</t>
  </si>
  <si>
    <t>boys and girls are in stage doing a cheerleader choreography in a competiion while people in stands are watching them.</t>
  </si>
  <si>
    <t>men wearing black uniforms are standing behind the cheer team.</t>
  </si>
  <si>
    <t>v_n637bl2-DDo</t>
  </si>
  <si>
    <t>A man talks in front of an office building.</t>
  </si>
  <si>
    <t>The man enters the building and walks up the staircase.</t>
  </si>
  <si>
    <t>The man enters the gym room.</t>
  </si>
  <si>
    <t>People ride on stationary bikes and watch a television in the gym.</t>
  </si>
  <si>
    <t>v_byVhCu3KH1g</t>
  </si>
  <si>
    <t>Shoe polish supplies in a store, then people in a classroom get instructions about shoe polish.</t>
  </si>
  <si>
    <t>The teacher demonstrates to polish a boot using a tissue.</t>
  </si>
  <si>
    <t>Then, a girl polish the shoe of a woman using a cloth.</t>
  </si>
  <si>
    <t>A person takes pictures and a cameraman film.</t>
  </si>
  <si>
    <t>After, people practice shoe polish in group.</t>
  </si>
  <si>
    <t>v_oHOR69nFt-4</t>
  </si>
  <si>
    <t>We see the opening screen on orange.</t>
  </si>
  <si>
    <t>A lady is cooking in a kitchen.</t>
  </si>
  <si>
    <t>The lady pours ingredients into a bowl and stirs.</t>
  </si>
  <si>
    <t>The lady stirs an egg mixture and mixes it in with her original bow.</t>
  </si>
  <si>
    <t>She puts it in a glass pan and puts the pan in the oven.</t>
  </si>
  <si>
    <t>v__-_SwG4EnRU</t>
  </si>
  <si>
    <t>She begins dancing in the kitchen.</t>
  </si>
  <si>
    <t>She starts mopping the floor while she's dancing.</t>
  </si>
  <si>
    <t>v_0Q9RHSEFeMI</t>
  </si>
  <si>
    <t>People are working out in a gym.</t>
  </si>
  <si>
    <t>They are stepping up and down off of black step stools.</t>
  </si>
  <si>
    <t>They raise their hands and stop dancing.</t>
  </si>
  <si>
    <t>v_m3SlyuAh1Wk</t>
  </si>
  <si>
    <t>A close up of leaves are shown followed by a woman raking them and speaking to the camera.</t>
  </si>
  <si>
    <t>The woman continues raking while speaking to the camera back and fourth.</t>
  </si>
  <si>
    <t>She shows her piles as well as the clean lawn while still speaking to the camera.</t>
  </si>
  <si>
    <t>v_Pmt3R5olRP0</t>
  </si>
  <si>
    <t>A middle aged woman wearing a headpiece speaks to the camera while stiring with a spoon.</t>
  </si>
  <si>
    <t>She takes a couple sips from a cup while still speaking to the camera.</t>
  </si>
  <si>
    <t>She does this one more time before turning the camera off.</t>
  </si>
  <si>
    <t>v_0p3JN4KJsUs</t>
  </si>
  <si>
    <t>People practice ballet in a studio alone and in couples.</t>
  </si>
  <si>
    <t>Then, a boy and a girl dance ballet, then a man enter and dance with the girl.</t>
  </si>
  <si>
    <t>After, several couples dance ballet while other people observe.</t>
  </si>
  <si>
    <t>v_UQXB3JOoxYE</t>
  </si>
  <si>
    <t>A boy sits in the water, his skis out in front of him, while he holds the handle of the rope between his legs.</t>
  </si>
  <si>
    <t>We see a short flashback as we then see him in the boat in then in the water being assisted with his skis.</t>
  </si>
  <si>
    <t>Once again he is in the water, and the boat slowly picks up speed, pulling the young man upright until he is skiing full-speed behind the boat.</t>
  </si>
  <si>
    <t>A man comes up beside him, his arms outstretched as he holds a camera, and then a show of him with several other men in the boat.</t>
  </si>
  <si>
    <t>We soon see the man again in the water with his arm around the boy's shoulders, the boy triumphant after his successful ride.</t>
  </si>
  <si>
    <t>All in all everyone seemed to enjoy a great day outdoors whether in the boat or skiing or both.</t>
  </si>
  <si>
    <t>v_5HqegO_ayw8</t>
  </si>
  <si>
    <t>A large group of people are seen standing around a square with people playing volleyball.</t>
  </si>
  <si>
    <t>The people continuously hit the ball around the sandy field as the camera pans around them playing.</t>
  </si>
  <si>
    <t>The camera pans around the group as they keep playing.</t>
  </si>
  <si>
    <t>v_HAEyXtEdERI</t>
  </si>
  <si>
    <t>A camera pans around the outside of a building and surrounding areas and leads into several shots of people riding bikes on a track.</t>
  </si>
  <si>
    <t>Many people watch the race on the sidelines as the people continue going around the track and others record their time.</t>
  </si>
  <si>
    <t>Many people sit around speaking with one man speaking to a large group.</t>
  </si>
  <si>
    <t>More shots of people speaking and riding are shown and the audience cheers them on in the stands.</t>
  </si>
  <si>
    <t>v_sPEed6XrTZA</t>
  </si>
  <si>
    <t>An older man in a yellow t-shirt stands by an opened garage and white car parked outside.</t>
  </si>
  <si>
    <t>The man pours water and solution into a bucket and wand sprayer tank.</t>
  </si>
  <si>
    <t>The man begins washing the Nissan Leaf car with the sprayer and wipes it down with a cloth.</t>
  </si>
  <si>
    <t>v_CGz-ghbUXvk</t>
  </si>
  <si>
    <t>A wedding party is standing at the front of an aisle.</t>
  </si>
  <si>
    <t>A pair of men playing bagpipes enter the room before the bride makes her entrance with her father.</t>
  </si>
  <si>
    <t>Everyone stands to watch the procession.</t>
  </si>
  <si>
    <t>The man shakes hands with the groom, and we see the couple standing at the altar, facing each other.</t>
  </si>
  <si>
    <t>v_G3TPqsLNlrw</t>
  </si>
  <si>
    <t>A young man is water skiing and falls.</t>
  </si>
  <si>
    <t>Watching video of the lake and driving.</t>
  </si>
  <si>
    <t>You can see a man skiing from several different angles.</t>
  </si>
  <si>
    <t>Winter of Water skiing at Stoney Park.</t>
  </si>
  <si>
    <t>v_o6Xr1PiL-Jg</t>
  </si>
  <si>
    <t>The woman attempts to rake leaves, but then she falls and gets back up holding the rake and a man takes it from her.</t>
  </si>
  <si>
    <t>Then she walks away and comes back again and he rakes the leaves on top of her.</t>
  </si>
  <si>
    <t>v_yVJGQI5MBIk</t>
  </si>
  <si>
    <t>Two people are seen doing various martial arts moves to one another while a crowd of people cheer and applaud.</t>
  </si>
  <si>
    <t>The men continue kicking around one another and ends with them grabbing hands and smiling.</t>
  </si>
  <si>
    <t>v_TwJvPxAq9_o</t>
  </si>
  <si>
    <t>A girl is smoking a cigarette.</t>
  </si>
  <si>
    <t>A girl blows out smoke.</t>
  </si>
  <si>
    <t>A guy sits, gestures, and discusses.</t>
  </si>
  <si>
    <t>The guy gestures smoking a cigarette.</t>
  </si>
  <si>
    <t>v_XHQLkc06XIc</t>
  </si>
  <si>
    <t>A little girl does an introduction for a video of herself playing the violin.</t>
  </si>
  <si>
    <t>She begins to play the violin in a joyful and professional manner.</t>
  </si>
  <si>
    <t>She begins to pick up the speed of the song.</t>
  </si>
  <si>
    <t>When she is done playing she explains that the piece she just played.</t>
  </si>
  <si>
    <t>v_MNpV9WvVPSA</t>
  </si>
  <si>
    <t>instructions of how to play chords on the violin are shown.</t>
  </si>
  <si>
    <t>woman is in a room playing the violin.</t>
  </si>
  <si>
    <t>woman is showing how to play chords on wooden violin.</t>
  </si>
  <si>
    <t>v_lWFGSRpuopM</t>
  </si>
  <si>
    <t>Kids are driving around in bumper cars.</t>
  </si>
  <si>
    <t>The cars crash into each other.</t>
  </si>
  <si>
    <t>The kid in the green car crashes into the wall.</t>
  </si>
  <si>
    <t>v_Igpy_o0h3Cs</t>
  </si>
  <si>
    <t>A woman wear curls shows how to wrap pieces of fabric on a roller.</t>
  </si>
  <si>
    <t>The woman unrolls the curls from her hair.</t>
  </si>
  <si>
    <t>The woman combs out her hair using her hands.</t>
  </si>
  <si>
    <t>v_mEsW__Np9Xo</t>
  </si>
  <si>
    <t>People are riding horses around an arena.</t>
  </si>
  <si>
    <t>People are standing outside the arena watching them.</t>
  </si>
  <si>
    <t>The people watching turn around and look behind them.</t>
  </si>
  <si>
    <t>v_v2iIR1YLdz4</t>
  </si>
  <si>
    <t>A man is doing gymnastics in a living room.</t>
  </si>
  <si>
    <t>He is doing hand stands on a couple of bars on the ground.</t>
  </si>
  <si>
    <t>The bars are made from pvc pipes.</t>
  </si>
  <si>
    <t>v_LbGr5TjfTBY</t>
  </si>
  <si>
    <t>A cooker talks in a kitchen and shows the inside of a sharpener knife that has discs inside.</t>
  </si>
  <si>
    <t>Then, the man puts a knife in the sharpener knife to sharpen.</t>
  </si>
  <si>
    <t>After, the man wash and dry the knife.</t>
  </si>
  <si>
    <t>v_kF-J9mKwA8A</t>
  </si>
  <si>
    <t>A young boy playing a large drum game concentrates while the camera watches him play.</t>
  </si>
  <si>
    <t>Other people walk in and out of frame from the boy while he continuously plays the game on the drum.</t>
  </si>
  <si>
    <t>Another boy holding a drink walks into frame and watches the boy play the game.</t>
  </si>
  <si>
    <t>v_gR9qUDlytF8</t>
  </si>
  <si>
    <t>A large group of people are walking towards the camera and they look like they're in a small village.</t>
  </si>
  <si>
    <t>As the people get closer we see a man and a child are holding onto a saddle attached to a camel and riding on it while another man holds the leash and guides the camel.</t>
  </si>
  <si>
    <t>The camel passes the camera person and we get a view of the camel walking away and a view of a different side of the area that looks like a village.</t>
  </si>
  <si>
    <t>v_4w7sVSMbjyM</t>
  </si>
  <si>
    <t>A shot of a snowy area is shown followed by two people hoping along the area and speaking to the camera.</t>
  </si>
  <si>
    <t>More shots are shown of the men hopping around on snowboards in various locations as well as speaking to the camera and showing pictures of the people as well as footage of them riding around.</t>
  </si>
  <si>
    <t>v_cGEhbEHCQyE</t>
  </si>
  <si>
    <t>Many men are in a building playing a group of ice hockey against each other.</t>
  </si>
  <si>
    <t>As they continue to play,the referee begins to skate back and forth on the side in circles.</t>
  </si>
  <si>
    <t>After several starts and finishes,the games keeps going and the goalie is successful in blocking the puck each and every time.</t>
  </si>
  <si>
    <t>v_zwx1Kig4nXg</t>
  </si>
  <si>
    <t>We see a baby spining in a room with adults watching.</t>
  </si>
  <si>
    <t>An adult dances with the baby.</t>
  </si>
  <si>
    <t>Two adults hold the babies hands and dance.</t>
  </si>
  <si>
    <t>The baby is twirled in a circle.</t>
  </si>
  <si>
    <t>The baby is twirled again.</t>
  </si>
  <si>
    <t>The baby dances alone again.</t>
  </si>
  <si>
    <t>The baby picks up a toy dog and dances with it.</t>
  </si>
  <si>
    <t>v_n0meVEbpXak</t>
  </si>
  <si>
    <t>Kids are riding small dirt bikes around a track.</t>
  </si>
  <si>
    <t>A kid falls over and people help them up.</t>
  </si>
  <si>
    <t>v_jIsGq431gBs</t>
  </si>
  <si>
    <t>A bunch of people are meeting in a raft shop.</t>
  </si>
  <si>
    <t>They all meet in a room to put on helmets and get together their equipment.</t>
  </si>
  <si>
    <t>They all go for a long walk together, including down a large flight of stairs.</t>
  </si>
  <si>
    <t>They reach a long line of rafts by the water, where they get in and begin rafting.</t>
  </si>
  <si>
    <t>The people are white water rafting down a turbulent river, using their paddles in unison, going down small waterfalls together.</t>
  </si>
  <si>
    <t>They all stop to have lunch under an outdoor pavilion at the end of their adventure.</t>
  </si>
  <si>
    <t>v_bmf7otW5TQo</t>
  </si>
  <si>
    <t>A teen performs pommel horse spinning around, then jumps on the floor and goes to get power from a container.</t>
  </si>
  <si>
    <t>After, the teen gets again on the pommel horse and spins many times, while the jury observes.</t>
  </si>
  <si>
    <t>People walk behind the jury.</t>
  </si>
  <si>
    <t>Next, the teen stands on his hands and jumps to the mat.</t>
  </si>
  <si>
    <t>v_nyjtOdSyHn4</t>
  </si>
  <si>
    <t>A woman wearing a wig is seen blindfolding another girl while others watch on the sides.</t>
  </si>
  <si>
    <t>Kids are playing on the bouncehouse and a woman spins around the blindfolded girl.</t>
  </si>
  <si>
    <t>The girl swings around at a pinata and hits then walks away.</t>
  </si>
  <si>
    <t>v_-ceM4HHukhE</t>
  </si>
  <si>
    <t>A man sits down on an exercise machine.</t>
  </si>
  <si>
    <t>He begins working out on the machine.</t>
  </si>
  <si>
    <t>A man in a tan shirt stands behind him.</t>
  </si>
  <si>
    <t>v_DK271OQnNRA</t>
  </si>
  <si>
    <t>Three people go tubing down a rapid.</t>
  </si>
  <si>
    <t>They get stuck on the rocks, then push off and continue floating.</t>
  </si>
  <si>
    <t>v_4DFKpHF2aq4</t>
  </si>
  <si>
    <t>There's a young man wearing a black hoodie and hat out in the wilderness.</t>
  </si>
  <si>
    <t>He takes an umbrella in his hand and then tosses it behind him.</t>
  </si>
  <si>
    <t>Then he walks on a tight rope and tries to balance himself.</t>
  </si>
  <si>
    <t>There are some other men doing the same thing out in the wilderness, trying to balance themselves and walk on tight ropes.</t>
  </si>
  <si>
    <t>v_omLZQlz1PAo</t>
  </si>
  <si>
    <t>An elderly couple are dancing alone on a gymnasium floor while a line of people at a table watch.</t>
  </si>
  <si>
    <t>They spin and dance happily, and the crowd claps as they finish and walk away.</t>
  </si>
  <si>
    <t>v_c0Cn3HFXpLs</t>
  </si>
  <si>
    <t>Three men playing a game of racquetball are in a court surrounded by white walls.</t>
  </si>
  <si>
    <t>The man in white serves, followed by the man in the hat scoring on his serve.</t>
  </si>
  <si>
    <t>The man in the yellow shorts is next and manages to take the game over, serving several times to close the video.</t>
  </si>
  <si>
    <t>v_jsxrJJkUl2E</t>
  </si>
  <si>
    <t>A group of four men talk in front of a camera.</t>
  </si>
  <si>
    <t>There is an animated sequence.</t>
  </si>
  <si>
    <t>They continue to talk in front of the camera.</t>
  </si>
  <si>
    <t>Two of them stand holding a rake and they play rock paper scissors.</t>
  </si>
  <si>
    <t>One loses the game and jumps on the rake.</t>
  </si>
  <si>
    <t>Replays of him jumping on the rake.</t>
  </si>
  <si>
    <t>The other two hold the rake and play rock paper scissors.</t>
  </si>
  <si>
    <t>A different person loses and jumps on the rake.</t>
  </si>
  <si>
    <t>They show replays again of him jumping on it.</t>
  </si>
  <si>
    <t>A different set of guys hold the rake and play rock paper scissors again.</t>
  </si>
  <si>
    <t>One loses and jumps on the rake again.</t>
  </si>
  <si>
    <t>They show replays of him jumping on the rake.</t>
  </si>
  <si>
    <t>The other guy then jumps on the rake.</t>
  </si>
  <si>
    <t>They once again show replays.</t>
  </si>
  <si>
    <t>All four are once again talking in front of the camera.</t>
  </si>
  <si>
    <t>It ends with other videos of their you tube channel.</t>
  </si>
  <si>
    <t>v_8wDm37sdBCI</t>
  </si>
  <si>
    <t>A person is down below and is swinging a fabric and hitting it onto something.</t>
  </si>
  <si>
    <t>A wide shot of a city is shown from the from above.</t>
  </si>
  <si>
    <t>The view pans to other parts of the city and then zooms on other people hitting fabric onto an object as well.</t>
  </si>
  <si>
    <t>v_zzxYEZkahBU</t>
  </si>
  <si>
    <t>A person is throwing a disk down a strip of land.</t>
  </si>
  <si>
    <t>A woman in a brown shirt is holding a red cup.</t>
  </si>
  <si>
    <t>A boy pushes a ball with a stick.</t>
  </si>
  <si>
    <t>A man in a black shirt is holding a stick.</t>
  </si>
  <si>
    <t>A boy in a white shirt smiles at the camera.</t>
  </si>
  <si>
    <t>v_bX-PSFlwV5s</t>
  </si>
  <si>
    <t>A man is seen speaking to the camera while holding up a tool.</t>
  </si>
  <si>
    <t>A person is then seen peeling off a roof using the roof and speaking out loud.</t>
  </si>
  <si>
    <t>The man continues to take apart the roof.</t>
  </si>
  <si>
    <t>v_UCmycSotoy4</t>
  </si>
  <si>
    <t>A group of people are playing in white water kayaks.</t>
  </si>
  <si>
    <t>The person in the red tries to flip.</t>
  </si>
  <si>
    <t>A person in green attempts the same thing.</t>
  </si>
  <si>
    <t>The person in the red then has their front in the air for a long time.</t>
  </si>
  <si>
    <t>v_qoSn8oUMBSE</t>
  </si>
  <si>
    <t>A large group of people are seen walking out onto a field with a crowd cheering behind them.</t>
  </si>
  <si>
    <t>The men then begin playing a game of soccer and kicking the ball around the field.</t>
  </si>
  <si>
    <t>Several shots are shown of people scoring goals as well as others celebrating and holding one another.</t>
  </si>
  <si>
    <t>v_-vqefJDOxkw</t>
  </si>
  <si>
    <t>Several spectators watch as a man does track and field.</t>
  </si>
  <si>
    <t>The video with a man who begins running down the track.</t>
  </si>
  <si>
    <t>As he reaches the dirt section, he he does three jumps.</t>
  </si>
  <si>
    <t>On his final jump, he extends his legs to try and jump as far as possible.</t>
  </si>
  <si>
    <t>The video ends after he lands and he is shown smacking the ground.</t>
  </si>
  <si>
    <t>v_ahOnhEvMgq0</t>
  </si>
  <si>
    <t>The camera pans around a man standing in front of a ping pong table and begins playing a match with another man.</t>
  </si>
  <si>
    <t>The men continue hitting the ball back and fourth while various people watch him on the side.</t>
  </si>
  <si>
    <t>v_6XINT0LDdz8</t>
  </si>
  <si>
    <t>A gymnast is seen looking off into the distance and standing before a set of uneven bars.</t>
  </si>
  <si>
    <t>The man then jumps up onto the bars and begins swinging himself back and fourth.</t>
  </si>
  <si>
    <t>The man continues to swing around and ends by jumping down.</t>
  </si>
  <si>
    <t>v_rlWN8PZMbfY</t>
  </si>
  <si>
    <t>A woman washes her hands at a sink.</t>
  </si>
  <si>
    <t>The woman towels her hands dry.</t>
  </si>
  <si>
    <t>The camera shows a closeup of her dropping liquid into a contact lens.</t>
  </si>
  <si>
    <t>The contact lens is held up for inspection.</t>
  </si>
  <si>
    <t>The woman rubs the contact lens with the fluid.</t>
  </si>
  <si>
    <t>The woman puts the lens on.</t>
  </si>
  <si>
    <t>The woman removes the lens.</t>
  </si>
  <si>
    <t>The lens is held up for inspection.</t>
  </si>
  <si>
    <t>The woman removes the lens from her eye again.</t>
  </si>
  <si>
    <t>The woman cleans the lens with solution.</t>
  </si>
  <si>
    <t>The woman places the lens into a container.</t>
  </si>
  <si>
    <t>v_xYt__nSK8NA</t>
  </si>
  <si>
    <t>A young woman is seen looking to the camera smoking a cigarette and laughing to the camera.</t>
  </si>
  <si>
    <t>She continues taking puffs off the cigarette while looking into the camera and blowing smoke.</t>
  </si>
  <si>
    <t>v_7n1L0evoi34</t>
  </si>
  <si>
    <t>In Home Pet Groomers demonstrate how to groom a pet.</t>
  </si>
  <si>
    <t>The person is demonstrating how the dog's hair is trimmed with electric shears at their grooming salon.</t>
  </si>
  <si>
    <t>v_aVJRaXUjsEE</t>
  </si>
  <si>
    <t>Two men stand on the far left of a beer pong table.</t>
  </si>
  <si>
    <t>One of the men throws a beer pong ball across the table, into a cup.</t>
  </si>
  <si>
    <t>The other man with him throws a ball across the table, too.</t>
  </si>
  <si>
    <t>Two other men stand on the far right side of the beer pong table, and one of the men reaches to grab the cup where the ball fell into, and the other man bends down to catch a ball that has fallen on the floor.</t>
  </si>
  <si>
    <t>v_4Fxj9ObTMw8</t>
  </si>
  <si>
    <t>A girl leans over a sink, and a boy walks up to talk to her.</t>
  </si>
  <si>
    <t>She starts laughing and jumping up and down.</t>
  </si>
  <si>
    <t>The boy seems equally excited, and she smiles at the camera.</t>
  </si>
  <si>
    <t>v_rt3t2n6K_ww</t>
  </si>
  <si>
    <t>A young girl with a ponytail plays a drumkit, she appears to a trained musician.</t>
  </si>
  <si>
    <t>The girl focuses on one particular drum.</t>
  </si>
  <si>
    <t>The girl continues to play different parts of the drumkit.</t>
  </si>
  <si>
    <t>v_3DQTz4Ke50Q</t>
  </si>
  <si>
    <t>A truck is seen backing up and blowing leaves around while the camera captures the area around the truck.</t>
  </si>
  <si>
    <t>The truck is seen again in several locations backing up and pushing leaves back away from the truck.</t>
  </si>
  <si>
    <t>v_8ofNg0y8w60</t>
  </si>
  <si>
    <t>Two people are playing a tennis match on a blue court.</t>
  </si>
  <si>
    <t>The man in the blue shirt misses the ball and walks away to talk to someone.</t>
  </si>
  <si>
    <t>They replay the video of him missing the ball.</t>
  </si>
  <si>
    <t>A man in a white shirt sits on a chair with a microphone.</t>
  </si>
  <si>
    <t>They restart another tennis match.</t>
  </si>
  <si>
    <t>v_IpCYVZ-sMTc</t>
  </si>
  <si>
    <t>A man is seen speaking to the camera while holding a ski and pointing around it in various locations.</t>
  </si>
  <si>
    <t>The man continues speaking while rubbing down the ski with lotion and ending by presenting it to the screen.</t>
  </si>
  <si>
    <t>v_thvpt_lUxTI</t>
  </si>
  <si>
    <t>Two buses are parked in a parking lot.</t>
  </si>
  <si>
    <t>People are walking in front of it in the snow.</t>
  </si>
  <si>
    <t>A person is shoveling the snow in front of them.</t>
  </si>
  <si>
    <t>v_G5HZX5i26us</t>
  </si>
  <si>
    <t>An older woman is seen sitting in a chair with a needle in her hands.</t>
  </si>
  <si>
    <t>The woman then begins sowing while the camera captures her movements.</t>
  </si>
  <si>
    <t>The woman continues sowing and the camera watches from the side.</t>
  </si>
  <si>
    <t>v_06dIgOEgYp0</t>
  </si>
  <si>
    <t>A woman stands in snow with the words "Fat Girl Snowboarding" overlaid.</t>
  </si>
  <si>
    <t>A long typed message about her reason of wanting to snowboard.</t>
  </si>
  <si>
    <t>She makes several attempts down the snowy hill and falls many times.</t>
  </si>
  <si>
    <t>v_42i3phJnY4M</t>
  </si>
  <si>
    <t>a bullfighter holding a red cloth is in field.</t>
  </si>
  <si>
    <t>a bull is running to the red cloth of the bullfighter.</t>
  </si>
  <si>
    <t>a lot of people are sitting on stands watching the bullfighter.</t>
  </si>
  <si>
    <t>v_FDIYymZEFi0</t>
  </si>
  <si>
    <t>A young boy is seen pouring soap into his hands and scrubbing his hands above a sink.</t>
  </si>
  <si>
    <t>He then grabs a paper towel and dries off his hands.</t>
  </si>
  <si>
    <t>v_siMXfU6NPlE</t>
  </si>
  <si>
    <t>Couples dance on a dance floor during a party in front of a stage.</t>
  </si>
  <si>
    <t>The man spins his partner around while dancing.</t>
  </si>
  <si>
    <t>A man on the right dances swinging his arms back and fourth.</t>
  </si>
  <si>
    <t>v_LAbzDJZtSvQ</t>
  </si>
  <si>
    <t>A man is standing in the woods, talking.</t>
  </si>
  <si>
    <t>He uses an ax to hit a large piece of wood.</t>
  </si>
  <si>
    <t>He splits the wood into logs with the ax.</t>
  </si>
  <si>
    <t>v_dcARAWmvWSo</t>
  </si>
  <si>
    <t>We see men working on a roof on a ranch style house.</t>
  </si>
  <si>
    <t>We see the supplies on the ground.</t>
  </si>
  <si>
    <t>We see the men on the front part of the roof.</t>
  </si>
  <si>
    <t>We see a man throwing shingles into a trailer on the ground.</t>
  </si>
  <si>
    <t>We see the rolls of roofing materials.</t>
  </si>
  <si>
    <t>We see a man throwing shingles into a trailer.</t>
  </si>
  <si>
    <t>Three men throw shingles off the roof.</t>
  </si>
  <si>
    <t>v_GqrEVe0c6PQ</t>
  </si>
  <si>
    <t>A setting of glasses with lemon water are set on a place mat with a whole lemon.</t>
  </si>
  <si>
    <t>Lemon slices are scooped from a jar and placed into drinking glasses on a steel counter top.</t>
  </si>
  <si>
    <t>Steaming hot water is poured over the lemons in the glasses.</t>
  </si>
  <si>
    <t>The glasses are stirred with a stirring rod.</t>
  </si>
  <si>
    <t>The glasses are seen set on the table and are slowly panned over from right to left.</t>
  </si>
  <si>
    <t>v_1F_CSpL_4Dg</t>
  </si>
  <si>
    <t>A couple is seen with a crowd, going up a snow covered hill.</t>
  </si>
  <si>
    <t>They tube down the snowy hills.</t>
  </si>
  <si>
    <t>The people slide down steep fast curves on the intertubes.</t>
  </si>
  <si>
    <t>v_DXu_aHrZaUs</t>
  </si>
  <si>
    <t>A sign board is seen with a company logo and contact information.</t>
  </si>
  <si>
    <t>A construction worker screws down floor baseboards.</t>
  </si>
  <si>
    <t>A construction worker uses a handheld scraper to apply plaster to the bare floor.</t>
  </si>
  <si>
    <t>A worker places tiles onto the floor and uses plastic cross spacers in the groves.</t>
  </si>
  <si>
    <t>A heavy weight roller is rolled over the newly placed tiles.</t>
  </si>
  <si>
    <t>The finished floor is seen after the job is done.</t>
  </si>
  <si>
    <t>v_9fh_ray_B80</t>
  </si>
  <si>
    <t>A few guys are sitting near a cliff.</t>
  </si>
  <si>
    <t>A man is climbing a cliff with all limbs.</t>
  </si>
  <si>
    <t>The man that is climbing falls and begins to laugh.</t>
  </si>
  <si>
    <t>v_4M4MXPP9oRY</t>
  </si>
  <si>
    <t>There are several people gathered to watch a competitive game of water polo on a sunny day.</t>
  </si>
  <si>
    <t>There are two teams in an outdoor swimming pool playing against each other.</t>
  </si>
  <si>
    <t>The spectators are watching and cheering for the players.</t>
  </si>
  <si>
    <t>the players are playing with a yellow colored ball.</t>
  </si>
  <si>
    <t>After one of the team scores a point, the fellow teammates cheer for them.</t>
  </si>
  <si>
    <t>The winning team scores more points and receives applause from the crowd.</t>
  </si>
  <si>
    <t>v_Hfd5sxW8Clg</t>
  </si>
  <si>
    <t>Several contestants are on a stage standing behind a podium made to look like a Rubik cube.</t>
  </si>
  <si>
    <t>A boy then places a blind fold on his forehead as a man stand to his left examining his every move.</t>
  </si>
  <si>
    <t>The cube is then picked up off the counter and the timer begins as he attempts to solve the puzzle.</t>
  </si>
  <si>
    <t>After thirty five seconds,he pulls the blind fold down over his eyes and continues to try and solve the cube.</t>
  </si>
  <si>
    <t>A minute and fifteen seconds has passed and the boy puts the cube down and the timer stops.</t>
  </si>
  <si>
    <t>Everybody is extremely happy for him and begin and congratulates him as the other opponents are still attempting to solve theirs.</t>
  </si>
  <si>
    <t>v_QuaoqO4JgKY</t>
  </si>
  <si>
    <t>A young boy is seen walking to the end of a diving board and jumping off the side.</t>
  </si>
  <si>
    <t>The boy comes up from the surface and another boy is seen walking to the end of the board.</t>
  </si>
  <si>
    <t>v_KlIAmoVrptA</t>
  </si>
  <si>
    <t>A brunette woman is smiling and talking while standing in a bathroom with just her chest up visible and a quick banner on the bottom of the screen say's her name is "Aubrey Morgan".</t>
  </si>
  <si>
    <t>The woman is now standing up and with just her legs visible and wearing shorts, she's holding a razor up and showing it in different angles, and close ups, the text on the screen reads "Good Quality Razor".</t>
  </si>
  <si>
    <t>The woman begins to wash her legs while still standing up, exfoliates, and then applies a thick layer of shaving cream all over her leg, fans her leg, and then begins shaving her legs from the ankle and the knee and then rinses her razor.</t>
  </si>
  <si>
    <t>The woman holds up a disposable razor, then holds up a reusable razor and shows that the razor can be popped up.</t>
  </si>
  <si>
    <t>The woman is standing again and is now applying lotion to her leg.</t>
  </si>
  <si>
    <t>The woman is now standing with just her upper body showing and is smiling and talking.</t>
  </si>
  <si>
    <t>v_peoMXSP3VgY</t>
  </si>
  <si>
    <t>Mountains are seen in the background and a boy rides in a car.</t>
  </si>
  <si>
    <t>Skateboarders ride down through a parking garage together.</t>
  </si>
  <si>
    <t>The skateboards ride down a hill the skid at the bottom.</t>
  </si>
  <si>
    <t>The boy sets his board standing upright.</t>
  </si>
  <si>
    <t>A boy skateboards through the bleachers of a stadium.</t>
  </si>
  <si>
    <t>v_nGsRDNIsc2o</t>
  </si>
  <si>
    <t>People are sitting on exercise bikes and working out.</t>
  </si>
  <si>
    <t>A woman puts something on the side of the leg of a man working out.</t>
  </si>
  <si>
    <t>A man in a black suit talks in front of a television.</t>
  </si>
  <si>
    <t>v_Gdf7ZWhh9Nw</t>
  </si>
  <si>
    <t>A person is seen scrubbing down the mane of a horse's fur and leads into washing him and spray him.</t>
  </si>
  <si>
    <t>The camera shows shots of the liquid and then shows the woman scrubbing down and washing the horse.</t>
  </si>
  <si>
    <t>She walks the horse away and shakes the bottle, showing more shots of her cleaning the horse with the bottle shown intermittent.</t>
  </si>
  <si>
    <t>v_stkWKPWbQpE</t>
  </si>
  <si>
    <t>A man holding a baton and wearing glittery tights is standing on a basketball court and is doing a routine of baton twirling, flips, and dramatic dances.</t>
  </si>
  <si>
    <t>The man twirls the baton very quickly and unexpectedly drops it.</t>
  </si>
  <si>
    <t>The man quickly recovers and picks up the baton and continues his routine like he's never dropped it in the first place and throws the baton high up into the air and does numerous spins and quickly catches the baton before it hits the ground.</t>
  </si>
  <si>
    <t>The man ends his routine in a sitting position with his legs spread apart, his head thrown back and the baton resting on his right and between his legs.</t>
  </si>
  <si>
    <t>v_NgBfcoVZ254</t>
  </si>
  <si>
    <t>The building is being shown then the clock tower.</t>
  </si>
  <si>
    <t>The young people are walking on the walkway in front of the building.</t>
  </si>
  <si>
    <t>A young man is skateboarding on the road, going side to side moving his feet on the board.</t>
  </si>
  <si>
    <t>v_IxrncvpPWV8</t>
  </si>
  <si>
    <t>A group of several teen boys are playing a game of tug of war.</t>
  </si>
  <si>
    <t>They pull hard until the rope gives, and they win the game.</t>
  </si>
  <si>
    <t>v_Acogo5mgX4Q</t>
  </si>
  <si>
    <t>The scene is of a neighborhood surrounded by tall trees and a pile of dead leaves next to a leaf catcher.</t>
  </si>
  <si>
    <t>A man holding a rattle puts leaves in bags attached to a leaf catcher.</t>
  </si>
  <si>
    <t>Also, the man use the leaf catcher to collect trash in a bag.</t>
  </si>
  <si>
    <t>v_kYZSCs-ILNQ</t>
  </si>
  <si>
    <t>A man wearing a white shirt is holding a tennis racket.</t>
  </si>
  <si>
    <t>He starts hitting tennis balls with his tennis racket.</t>
  </si>
  <si>
    <t>v_GycRQhoHnXw</t>
  </si>
  <si>
    <t>A large group of women are seen standing in a room and begin belly dancing.</t>
  </si>
  <si>
    <t>The woman dance with one another performing the same routine and one woman dancing in front.</t>
  </si>
  <si>
    <t>The women continue dancing with one another and end by walking around.</t>
  </si>
  <si>
    <t>v_E9hFBWDR12A</t>
  </si>
  <si>
    <t>person is walking inside a house to an open field holding a baseball bat.</t>
  </si>
  <si>
    <t>perso is walking with a handle stick behind some men running around the field.</t>
  </si>
  <si>
    <t>some papers are shown and women selling lacrosse tshirts, in a game, people are gathered around the field.</t>
  </si>
  <si>
    <t>players walks from the dressing rooms and are in the field playig.</t>
  </si>
  <si>
    <t>players are stading in line clapping at the end of the game, results are shown in the end.</t>
  </si>
  <si>
    <t>v_jIYRVlrXJgc</t>
  </si>
  <si>
    <t>Two players are playing a game of racket ball.</t>
  </si>
  <si>
    <t>One female takes a swing at the ball and hits it.</t>
  </si>
  <si>
    <t>The other female takes a swing at the ball and misses and hits herself instead.</t>
  </si>
  <si>
    <t>She then sits down on the floor while the other person comes to turn the camera off.</t>
  </si>
  <si>
    <t>v_P3BkKdkf43I</t>
  </si>
  <si>
    <t>A young man is seen standing in the middle of a room and holding a tennis racket up in the air.</t>
  </si>
  <si>
    <t>Himself and a man are then seen hitting the tennis ball around while running around the room.</t>
  </si>
  <si>
    <t>The boy runs away from the man and towards the camera in the end.</t>
  </si>
  <si>
    <t>v_WMdeqUyHWSo</t>
  </si>
  <si>
    <t>A large group of people are standing together while a women in a beautiful dress speaks.</t>
  </si>
  <si>
    <t>Various people in costume are shown and a girl runs around playing with a kite.</t>
  </si>
  <si>
    <t>Several kites are shown up in the air while other children play with them.</t>
  </si>
  <si>
    <t>Hundreds of kites are shown in the air for a festival and a man interviews his experience with the kites.</t>
  </si>
  <si>
    <t>Several people stop and look around and the city pans over the night.</t>
  </si>
  <si>
    <t>v_3CJW0qBwwx4</t>
  </si>
  <si>
    <t>A man is seen kneeling down beside a car spraying a hose on the car.</t>
  </si>
  <si>
    <t>He uses a sponge to clean around the car while others clean around the sides.</t>
  </si>
  <si>
    <t>More shots are shown of them cleaning the inside as well as under the hood while the camera pans around.</t>
  </si>
  <si>
    <t>v_s07U8_fkUWU</t>
  </si>
  <si>
    <t>women are playing voleyball in a wooden court.</t>
  </si>
  <si>
    <t>peolpe are siting in chairs around the court watching the girls.</t>
  </si>
  <si>
    <t>referees are standing on sides of the court holding flags and watching the game no stairs.</t>
  </si>
  <si>
    <t>v_jN-FG9yxNvE</t>
  </si>
  <si>
    <t>"Fitness for Life 365" appears on the screen.</t>
  </si>
  <si>
    <t>A panning up of the inside of a gym is shown as there is a man climbing monkey bars going backwards.</t>
  </si>
  <si>
    <t>He then goes back and forth to continue his workout.</t>
  </si>
  <si>
    <t>The video then fades to a black screen and asks you to subscribe to their youtube channel.</t>
  </si>
  <si>
    <t>v_Pt0CjFgzpxM</t>
  </si>
  <si>
    <t>The video shows a tutorial on how to install ceramic tiles using concrete.</t>
  </si>
  <si>
    <t>A person wearing an orange vest and black pants is working on tiling a room in a house.</t>
  </si>
  <si>
    <t>He is kneeling down next to a pile of white square ceramic tiles and a bucket filled with grout and cement.</t>
  </si>
  <si>
    <t>He is smearing the floor with cement with a trowel.</t>
  </si>
  <si>
    <t>Then he places the square tiles next to each other in a straight line, making sure they are fitted tightly together.</t>
  </si>
  <si>
    <t>He removes more tiles from the box to places them on the wet cement, making sure they are properly aligned with each other.</t>
  </si>
  <si>
    <t>He continues placing the tiles to fill in all the gaps until the entire room is fully covered with the white tiles.</t>
  </si>
  <si>
    <t>v_z9uVyf0D8eM</t>
  </si>
  <si>
    <t>A man is seen playing a set of bag pipes to the camera while moving his hands up and down.</t>
  </si>
  <si>
    <t>The man continues playing the instrument in the room and ends by moving his hands down.</t>
  </si>
  <si>
    <t>v_WSKx2EK_Bqc</t>
  </si>
  <si>
    <t>A man is sitting down with a microphone attached to his ears and starts to talk about the congas in front of him.</t>
  </si>
  <si>
    <t>Once he is done talking,the man begins to play and hits the congas back and forth.</t>
  </si>
  <si>
    <t>In between his performance,he takes briefs breaks and talks before continuing playing.</t>
  </si>
  <si>
    <t>Now,he has on head phones and starts to play the congas straight through with no interruptions.</t>
  </si>
  <si>
    <t>v__uPVFvEQocU</t>
  </si>
  <si>
    <t>I woman talks to the camera while holding a ping pong ball and standing by a ping pong table, interspersed with closeups of short demonstrations of technique.</t>
  </si>
  <si>
    <t>The woman retrieves a new ball.</t>
  </si>
  <si>
    <t>The woman retrieves two balls, then gets rid of one.</t>
  </si>
  <si>
    <t>The woman retrieves another ball.</t>
  </si>
  <si>
    <t>v_WbZpWiPCHVU</t>
  </si>
  <si>
    <t>Coffee is spilled on the carpet.</t>
  </si>
  <si>
    <t>A person carpet cleans the carpet.</t>
  </si>
  <si>
    <t>They then clean seats of a car.</t>
  </si>
  <si>
    <t>They empty the water into the sink.</t>
  </si>
  <si>
    <t>They empty the bucket into another bucket.</t>
  </si>
  <si>
    <t>They vacuum up sprinkles off of the carpet.</t>
  </si>
  <si>
    <t>v_rVxxAI6wlXk</t>
  </si>
  <si>
    <t>A man grabs a suitcase out of a car.</t>
  </si>
  <si>
    <t>He lays down in a barber chair.</t>
  </si>
  <si>
    <t>A man starts shaving his beard with a razor.</t>
  </si>
  <si>
    <t>He wraps a towel around his face.</t>
  </si>
  <si>
    <t>v_OtcRXishIxw</t>
  </si>
  <si>
    <t>A young man is helping a young woman swing at a soccer pinata.</t>
  </si>
  <si>
    <t>They are on an outdoor green field at a school or community center.</t>
  </si>
  <si>
    <t>She keeps missing the pinata while her friends try to help her out.</t>
  </si>
  <si>
    <t>An adult is controlling the pinata trying to keep her from hitting it.</t>
  </si>
  <si>
    <t>She finally ends up finding where it generally is while her friends laugh at her and continue to try to help.</t>
  </si>
  <si>
    <t>She gets hit by the pinata and ends up being unsuccessful.</t>
  </si>
  <si>
    <t>v_Wiu7FVCc6DA</t>
  </si>
  <si>
    <t>A few men are in the woods running playing paintball.</t>
  </si>
  <si>
    <t>They are looking for the other to try to shoot them out, while staying close to their team mates.</t>
  </si>
  <si>
    <t>One of the men checks his gun and readjust his it and then keeps moving forward.</t>
  </si>
  <si>
    <t>He moves along to continue playing the game.</t>
  </si>
  <si>
    <t>v_lipavQnHm_g</t>
  </si>
  <si>
    <t>A man is standing on an indoor court with his racket in his right hand the racket ball in the left hand and is talking and motioning a lot.</t>
  </si>
  <si>
    <t>The man then drops the ball on the court, hits it, then catches it when it returns to him.</t>
  </si>
  <si>
    <t>The man continues to talk as he holds the ball and racket in his hands and the screen fades to black.</t>
  </si>
  <si>
    <t>v_yXzLQU_jS44</t>
  </si>
  <si>
    <t>A man is looking down and talking into the camera.</t>
  </si>
  <si>
    <t>The man removes his glasses and shows us how to insert contact lenses.</t>
  </si>
  <si>
    <t>The man shows the contact lens to the camera.</t>
  </si>
  <si>
    <t>The man inserts the contact and moves his eye around.</t>
  </si>
  <si>
    <t>The man shows his other contact.</t>
  </si>
  <si>
    <t>The man inserts the contact on the right and moves his eye around.</t>
  </si>
  <si>
    <t>v_J6-rLsT975U</t>
  </si>
  <si>
    <t>A man shovels snow in the winter.</t>
  </si>
  <si>
    <t>A timelapse photo is made and a path is cleared so a car can drive out.</t>
  </si>
  <si>
    <t>v_sOUNe30PXY4</t>
  </si>
  <si>
    <t>Two men are on top a ladder in a wrestling ring, a man is bend on the ladder.</t>
  </si>
  <si>
    <t>Then, the wrestler jumps over the man, and the man and the wrestler fall to the ring.</t>
  </si>
  <si>
    <t>The judge watch the men.</t>
  </si>
  <si>
    <t>v_Qwj7f4vqveo</t>
  </si>
  <si>
    <t>A kid takes a drink and swishes it around in their mouth.</t>
  </si>
  <si>
    <t>They spit it out into a sink.</t>
  </si>
  <si>
    <t>They take another drink out of a cup.</t>
  </si>
  <si>
    <t>They put their mouth on a towel.</t>
  </si>
  <si>
    <t>They take another drink and dump it out in the sink.</t>
  </si>
  <si>
    <t>They pick up the towel and wipe their face.</t>
  </si>
  <si>
    <t>They grab a cup and turn the sink on.</t>
  </si>
  <si>
    <t>v_Gc1Mk5UyECQ</t>
  </si>
  <si>
    <t>A lacrosse team goes to play a game.</t>
  </si>
  <si>
    <t>other highlights are shown.</t>
  </si>
  <si>
    <t>v_jIVP2bEWmJE</t>
  </si>
  <si>
    <t>A boy is standing in a kitchen with two pieces of bread.</t>
  </si>
  <si>
    <t>He opens the fridge and takes out sandwich ingredients.</t>
  </si>
  <si>
    <t>He squirts mustard and mayo onto the sandwich.</t>
  </si>
  <si>
    <t>He then adds meat and cheese.</t>
  </si>
  <si>
    <t>Afterward, he puts the ingredients back into the fridge, zeroing in on the sandwich on the counter.</t>
  </si>
  <si>
    <t>v_sLq6p6NKApk</t>
  </si>
  <si>
    <t>We see a man with a croquet mallet talking.</t>
  </si>
  <si>
    <t>The man lines up his shot of the red ball.</t>
  </si>
  <si>
    <t>The man hits the red ball.</t>
  </si>
  <si>
    <t>The man points at the blue ball the kneels in the grass.</t>
  </si>
  <si>
    <t>v_c-3fceLb7n4</t>
  </si>
  <si>
    <t>A group of friends play shuffle board on an indoor court.</t>
  </si>
  <si>
    <t>The group takes turns shooting pucks onto the shuffleboard court.</t>
  </si>
  <si>
    <t>v_g9b-kCC79kQ</t>
  </si>
  <si>
    <t>People are talking in a room.</t>
  </si>
  <si>
    <t>People are playing blackjack in a crowded casino.</t>
  </si>
  <si>
    <t>A man claps his hands and signs a paper.</t>
  </si>
  <si>
    <t>People continue to play blackjack.</t>
  </si>
  <si>
    <t>v_gPtpPiea0iQ</t>
  </si>
  <si>
    <t>A woman walks into a partially netted area.</t>
  </si>
  <si>
    <t>The woman stands preparing to hammer throw.</t>
  </si>
  <si>
    <t>The woman performs the hammer throw.</t>
  </si>
  <si>
    <t>The hammer is seen landing with judges walking towards it.</t>
  </si>
  <si>
    <t>The woman raises her arm.</t>
  </si>
  <si>
    <t>The woman walks out of the netted area.</t>
  </si>
  <si>
    <t>The woman raises her arm again.</t>
  </si>
  <si>
    <t>v_V8UMJTrfXdw</t>
  </si>
  <si>
    <t>Two people play foosball with a woman behind.</t>
  </si>
  <si>
    <t>One person scores and claps.</t>
  </si>
  <si>
    <t>v_o4uymxrCKeo</t>
  </si>
  <si>
    <t>A boy swings on a swing outdoors.</t>
  </si>
  <si>
    <t>He swings as high as he can with his legs out.</t>
  </si>
  <si>
    <t>v_cXVWUEcSx20</t>
  </si>
  <si>
    <t>A woman is seen sitting on a couch holding a hat and leads into her cutting the cat's claws.</t>
  </si>
  <si>
    <t>She then holds up a piece of paper as the cat runs away and she points to the paper.</t>
  </si>
  <si>
    <t>v_ULPw4uZcx5I</t>
  </si>
  <si>
    <t>A person is sitting in a tube with other people standing around and pushing the person down a snowy trail.</t>
  </si>
  <si>
    <t>The person flies down the trail in the tube with another person following down afterwards.</t>
  </si>
  <si>
    <t>v_c3vEqTcKPsU</t>
  </si>
  <si>
    <t>a journalist is interviewing a basketball player in a court.</t>
  </si>
  <si>
    <t>man is polishing the wooden floor.</t>
  </si>
  <si>
    <t>v_y1jyeWW-G4E</t>
  </si>
  <si>
    <t>a little girl is sitting in sand where she has been trying to make a sand castle.</t>
  </si>
  <si>
    <t>Adults and another girl laugh as they try to build something in the sand.</t>
  </si>
  <si>
    <t>v_-wFNUGYf298</t>
  </si>
  <si>
    <t>A young adult male punches and kicks a suspended punching bag.</t>
  </si>
  <si>
    <t>The young male then starts to move around the punching bag while still punching and kicking it.</t>
  </si>
  <si>
    <t>The young male then walks away while removing his gloves.</t>
  </si>
  <si>
    <t>v_2WzsyEvhPPI</t>
  </si>
  <si>
    <t>A man talking to the camera while holding a poster.</t>
  </si>
  <si>
    <t>He grabs various objects off the table and explains his instructions.</t>
  </si>
  <si>
    <t>He wraps a box with tin foil then writes on the box with a marker.</t>
  </si>
  <si>
    <t>He lays out more tin foil and wraps another object with it.</t>
  </si>
  <si>
    <t>He finishes wrapping all objects with tin foil and showing how.</t>
  </si>
  <si>
    <t>v_FujUrbL1qc0</t>
  </si>
  <si>
    <t>A man is sitting on a workout bench.</t>
  </si>
  <si>
    <t>He lays back and starts doing crunches.</t>
  </si>
  <si>
    <t>He sits back up on the machine and continues talking.</t>
  </si>
  <si>
    <t>v_sByOncVAMqg</t>
  </si>
  <si>
    <t>She stands on the beam, then does several hand springs and flips.</t>
  </si>
  <si>
    <t>v_3Y46yorcd5Q</t>
  </si>
  <si>
    <t>A large wave breaks in the ocean as surfers and surfers paddle over it.</t>
  </si>
  <si>
    <t>A large wave crashes in the ocean and a man rides down the face on body board.</t>
  </si>
  <si>
    <t>surfers ride waves in the ocean.</t>
  </si>
  <si>
    <t>A large wave breaks on shore and spectators run.</t>
  </si>
  <si>
    <t>v_CcBPELJaRlk</t>
  </si>
  <si>
    <t>Several people are divided up into groups on rafts kayaking through murky water.</t>
  </si>
  <si>
    <t>The first group of eight people paddle themselves near a cliff and go down the hill and the others trail behind them with the same actions.</t>
  </si>
  <si>
    <t>For the fifth group, an aerial view is provided and the others way for them to come.</t>
  </si>
  <si>
    <t>After, each group does the same thing as they maneuver throughout various parts of the water and hitting rocks.</t>
  </si>
  <si>
    <t>v_JLipYEVwKTg</t>
  </si>
  <si>
    <t>A woman wearing a leopard print jacket is sitting with a man in a hookah bar.</t>
  </si>
  <si>
    <t>The man kisses her as he leans forward.</t>
  </si>
  <si>
    <t>She is holding the hookah in her hand ready to take her first puff.</t>
  </si>
  <si>
    <t>After she inhales the hookah, she puffs out some smoke and coughs in discomfort.</t>
  </si>
  <si>
    <t>v_eEBiomp_9tQ</t>
  </si>
  <si>
    <t>A woman in a dress is walking up stairs.</t>
  </si>
  <si>
    <t>She takes her dress off and starts dancing.</t>
  </si>
  <si>
    <t>She is working out with other people on a step stool.</t>
  </si>
  <si>
    <t>v_XOEQfCu6KsE</t>
  </si>
  <si>
    <t>A man is seen walking around a field with a dog next to him.</t>
  </si>
  <si>
    <t>The man then grabs a frisbee and begins performing tricks with the dog.</t>
  </si>
  <si>
    <t>The man continues to throw around a frisbee with the dog while others watch on the side.</t>
  </si>
  <si>
    <t>v_f7qFnCkFIuQ</t>
  </si>
  <si>
    <t>A person is walking towards three people who are painting a fence black.</t>
  </si>
  <si>
    <t>The man asks the boy to see his work and pans the camera over to his wife.</t>
  </si>
  <si>
    <t>The man makes a joke to his wife and laughs off camera.</t>
  </si>
  <si>
    <t>v_VuGLqAda2hE</t>
  </si>
  <si>
    <t>A woman talks in a gym, then she drives a static bike.</t>
  </si>
  <si>
    <t>Then,the woman and other people lift weight.</t>
  </si>
  <si>
    <t>Then, the woman continues riding the bike and then lift weigh.</t>
  </si>
  <si>
    <t>v_qp3OfC0dCOs</t>
  </si>
  <si>
    <t>Outside in the backyard two little boys in matching swim suits are playing with nets trying to catch a ball.</t>
  </si>
  <si>
    <t>They are both trying to get the ball in their own net basically playfully fighting over whose going to get it.</t>
  </si>
  <si>
    <t>The dad comes and throws the ball over and the boys run after it.</t>
  </si>
  <si>
    <t>They continue to play and one of the little boys gets it in his net and trows it and when it lands they both go after it again.</t>
  </si>
  <si>
    <t>v_6cha8sVi65k</t>
  </si>
  <si>
    <t>Several hockey players leave a group, skating across the ice.</t>
  </si>
  <si>
    <t>They begin playing, shooting the puck back and forth, trying to get it to go into the enemy's goal.</t>
  </si>
  <si>
    <t>A goalie stands alone at his goal.</t>
  </si>
  <si>
    <t>Everyone gathers again as the referee signals them to play.</t>
  </si>
  <si>
    <t>v_CJKwvmOuhJk</t>
  </si>
  <si>
    <t>A person is seen standing before a sink wearing gloves.</t>
  </si>
  <si>
    <t>The woman looks back to the camera and smiles while holding a toothbrush.</t>
  </si>
  <si>
    <t>She then turns back to the sink full of dirty dishes.</t>
  </si>
  <si>
    <t>v_Szze8i9UsRo</t>
  </si>
  <si>
    <t>A person opens a round box and take off a bottle of nail polish and puts on holder.</t>
  </si>
  <si>
    <t>Then, the person puts a nail on a round support on the box, then paint her nails.</t>
  </si>
  <si>
    <t>After, the woman close the nail polish bottle.</t>
  </si>
  <si>
    <t>v_sWaU9O4xzFE</t>
  </si>
  <si>
    <t>A man and a woman get ready to play darts.</t>
  </si>
  <si>
    <t>Instructions on needed materials to play darts are displayed.</t>
  </si>
  <si>
    <t>The man and the woman walk to the dart board.</t>
  </si>
  <si>
    <t>They joke around getting ready to play darts.</t>
  </si>
  <si>
    <t>The man throws a dart.</t>
  </si>
  <si>
    <t>The woman follows after him.</t>
  </si>
  <si>
    <t>The woman throws three more darts.</t>
  </si>
  <si>
    <t>The man shows off his dart and demonstrates how to step.</t>
  </si>
  <si>
    <t>He throws the dart from afar.</t>
  </si>
  <si>
    <t>The position of the darts on the boars are shown.</t>
  </si>
  <si>
    <t>The man grabs the darts from the board.</t>
  </si>
  <si>
    <t>The woman throws some darts.</t>
  </si>
  <si>
    <t>The man follows after the woman.</t>
  </si>
  <si>
    <t>The woman does it again.</t>
  </si>
  <si>
    <t>The man returns to do the same.</t>
  </si>
  <si>
    <t>The woman throws them again.</t>
  </si>
  <si>
    <t>The man goes after her again.</t>
  </si>
  <si>
    <t>The woman goes once more and triumphantly wins.</t>
  </si>
  <si>
    <t>v_Mg3_BN9t9JY</t>
  </si>
  <si>
    <t>A woman is seen hosting a news segment and that leads into people riding around on horses.</t>
  </si>
  <si>
    <t>People are seen walking around an area with dogs stomping their feet as well as another man speaking to the camera.</t>
  </si>
  <si>
    <t>More shots are shown of the people playing the game on a horse as well as others speaking to the camera and getting a trophy.</t>
  </si>
  <si>
    <t>v_Hc--KcdMkEA</t>
  </si>
  <si>
    <t>A man stands in front of a podium talking.</t>
  </si>
  <si>
    <t>Two other men stand next to him.</t>
  </si>
  <si>
    <t>One of the two men digs in a fire pit where there was a fire and then pours water on it.</t>
  </si>
  <si>
    <t>The same man digs around in the pit with his hand looking for burning embers.</t>
  </si>
  <si>
    <t>v_n-i9nC6vxu0</t>
  </si>
  <si>
    <t>A body of water is shown below the trees.</t>
  </si>
  <si>
    <t>A person is walking on a slack line over the water.</t>
  </si>
  <si>
    <t>They get to the end of the slack line.</t>
  </si>
  <si>
    <t>v_ncTkaZcDcTo</t>
  </si>
  <si>
    <t>A skater girl in a white t-shirt and shorts tries to jump with her skateboard and falls backwards hitting her head.</t>
  </si>
  <si>
    <t>Two more skaters head around a curve, but one plows straight into a hay-stack, though luckily helmet-first.</t>
  </si>
  <si>
    <t>Another helmeted skater tries a hand-stop, and does stop, though unfortunately his skateboard does not.</t>
  </si>
  <si>
    <t>After a few more skating mishaps, the last performance is by a skater who doesn't feel the need for safety equipment and while headed straight down a hill, he flips off of his skateboard and spends several minutes checking on his various road-rashes.</t>
  </si>
  <si>
    <t>v_RVYINuYPY6o</t>
  </si>
  <si>
    <t>Three boys in a grass covered back yard take turns playing a game of cricket on the lawn.</t>
  </si>
  <si>
    <t>The boys take turns throwing and hitting the cricket ball, helping each other out by redistributing the ball back into the game when they land in the field.</t>
  </si>
  <si>
    <t>One of the boys puts on a football helmet and stands on the side lines catching the ball.</t>
  </si>
  <si>
    <t>v_mtQUYdj2Ecg</t>
  </si>
  <si>
    <t>A man attempts to lift a barbell.</t>
  </si>
  <si>
    <t>He bends at the knees, lifting it to his chest.</t>
  </si>
  <si>
    <t>He hits himself in the throat, falling backward.</t>
  </si>
  <si>
    <t>v_pJRUkudK6iE</t>
  </si>
  <si>
    <t>A textured intro screen appears and a logo of a shoe is displayed along with green words that say "VICKERMANN und STOYA".</t>
  </si>
  <si>
    <t>Two groups of supplies are shown and they include products from the company name in the intro screen that include brushes, a cloth, shoe shaper, shoelaces and a couple of small tin containers.</t>
  </si>
  <si>
    <t>A man wearing a green apron is untying shoelaces from a brown high shoe, then brushes it with a large brush, then he takes a smaller brush, dips it into a small container, then brushes it onto the shoe and the shoe looks very polished on any surface that he brushes.</t>
  </si>
  <si>
    <t>The man then picks up a white cloth and rubs it all over the shoe.</t>
  </si>
  <si>
    <t>The man puts the white cloth down, picks up a thick brush and brushes the shoe all over.</t>
  </si>
  <si>
    <t>Then he puts the shoe and the brush down, picks up the shoelace and laces the shoe.</t>
  </si>
  <si>
    <t>The man then picks up the polished shoe and unpolished shoe and puts them closer to the camera for a comparison then the same textured screen from the intro appears with the shoe log and the company name of "VICKERMANN und STOYA".</t>
  </si>
  <si>
    <t>v_CD8FFj8AJE0</t>
  </si>
  <si>
    <t>A man is seen speaking to the camera and leads into him wiping down another man's back.</t>
  </si>
  <si>
    <t>He rubs in lotion and then stands up with the man.</t>
  </si>
  <si>
    <t>The man holds a mirror up to his back and smiles back to the artist.</t>
  </si>
  <si>
    <t>v_Qxquum8p8S8</t>
  </si>
  <si>
    <t>There are some kids using a water pump to wash their hands at the Plumpton Park Zoo.</t>
  </si>
  <si>
    <t>There's a young boy in a black and white hoodie helping pump out water for another boy to wash his hands.</t>
  </si>
  <si>
    <t>Then he goes on help another young boy wearing a black hoodie to wash his hands.</t>
  </si>
  <si>
    <t>The three kids are having fun in the water as they wash their hands clean.</t>
  </si>
  <si>
    <t>v_1P_y_DLlg-E</t>
  </si>
  <si>
    <t>A lady stands in a yard holding a leaf blower before stepping over the cord.</t>
  </si>
  <si>
    <t>The lady blows the leafs as she walks around the yard.</t>
  </si>
  <si>
    <t>The lady points the tool at the camera and laugh.</t>
  </si>
  <si>
    <t>The lady continues to blow the leaves.</t>
  </si>
  <si>
    <t>v_QHJTOHgjDMw</t>
  </si>
  <si>
    <t>A girl walks into a room, seeing sheet music at a piano.</t>
  </si>
  <si>
    <t>She opens the piano and begins to play.</t>
  </si>
  <si>
    <t>She thinks about a couple while she is playing.</t>
  </si>
  <si>
    <t>v_bLqd98mmu3w</t>
  </si>
  <si>
    <t>A woman is scared of going in the water and says she cant do this.</t>
  </si>
  <si>
    <t>A group of people are sitting in a pool of water that is precariously close to the edge of a waterfall.</t>
  </si>
  <si>
    <t>The woman jumps in the water and everyone cheers.</t>
  </si>
  <si>
    <t>The group of people are laughing and talking while more people jump in the water.</t>
  </si>
  <si>
    <t>Scenes of the waterfall are viewed.</t>
  </si>
  <si>
    <t>v_MEuGzNPI1pw</t>
  </si>
  <si>
    <t>A man prepares for a gymnastics routine on the parallel bars.</t>
  </si>
  <si>
    <t>The crowd seems to approve when he flips and catches himself before then dismounting.</t>
  </si>
  <si>
    <t>v_qU_605hliNw</t>
  </si>
  <si>
    <t>A camera pans all around a wooded area and leads into two people riding around on skis.</t>
  </si>
  <si>
    <t>Several shots are shown of various people riding behind a boat on skis and performing tricks.</t>
  </si>
  <si>
    <t>The people continue riding as well as hanging on the side on a large pole.</t>
  </si>
  <si>
    <t>v_hyW_cjYi8P4</t>
  </si>
  <si>
    <t>A man is seen speaking to the camera while presenting various objects in front of him.</t>
  </si>
  <si>
    <t>The man then uses a marker to dig up the side of a table and fill it in.</t>
  </si>
  <si>
    <t>He shows how to use the pen on several objects while filling it in and sanding it afterwards.</t>
  </si>
  <si>
    <t>v_BC1ZIeZvFXw</t>
  </si>
  <si>
    <t>A boy is riding a long board down various road ways.</t>
  </si>
  <si>
    <t>He does a flip trick riding down one of the road ways.</t>
  </si>
  <si>
    <t>He winds back and fourth down the snowy road.</t>
  </si>
  <si>
    <t>He skateboards at night and the logo is shown.</t>
  </si>
  <si>
    <t>v_LxntXVcMxtc</t>
  </si>
  <si>
    <t>Two girls in karate class bow forward and then to each other before practice.</t>
  </si>
  <si>
    <t>The girl dodges an attack by taking a knee while blocking a hit.</t>
  </si>
  <si>
    <t>The karate students punch and block with their wrists.</t>
  </si>
  <si>
    <t>The girl does a standing spinning kicks.</t>
  </si>
  <si>
    <t>v_TXSNkjjTzdE</t>
  </si>
  <si>
    <t>A woman talks and fix her wet hair, also she shows a brush and a dry hair.</t>
  </si>
  <si>
    <t>The woman brush her hair on different directions using a hair dryer.</t>
  </si>
  <si>
    <t>Then, the woman stops and shows her hairstyle while talking.</t>
  </si>
  <si>
    <t>After, the woman shows the direction to comb hair, then uses a hair iron to straight the hair.</t>
  </si>
  <si>
    <t>v_gY5akj1YcMk</t>
  </si>
  <si>
    <t>A man does wave wheels in a canoe.</t>
  </si>
  <si>
    <t>He is shown doing downstream momentum, rolling over in his canoe.</t>
  </si>
  <si>
    <t>Now we see set edge and plant blade as he moves upstream.</t>
  </si>
  <si>
    <t>v_j_Xr8nLEjLQ</t>
  </si>
  <si>
    <t>A person stands on a rope, and then he jumps over a rope.</t>
  </si>
  <si>
    <t>The person jumps on his feet, as well on this butt and body.</t>
  </si>
  <si>
    <t>v_5QDwobEnN3g</t>
  </si>
  <si>
    <t>A family is seen sitting on the beach making sand castles with a object.</t>
  </si>
  <si>
    <t>People stand around to watch them work and the camera pans around the kids playing in the sand.</t>
  </si>
  <si>
    <t>v_iM8rmKLJnt8</t>
  </si>
  <si>
    <t>woman is painting the fence with white paint.</t>
  </si>
  <si>
    <t>man is painting a green bench in the park.</t>
  </si>
  <si>
    <t>v_ALjodjboELk</t>
  </si>
  <si>
    <t>A group of people are seen swimming around a pool with one man sitting on his head.</t>
  </si>
  <si>
    <t>More shots are shown of people close up swimming up the water as well as kneeling.</t>
  </si>
  <si>
    <t>A woman takes off her tank as well as putting it back and leads into them swimming more.</t>
  </si>
  <si>
    <t>v_PWrVWeH45Zo</t>
  </si>
  <si>
    <t>Boys are moping the tiled floor.</t>
  </si>
  <si>
    <t>A boy in short places his mop in a yellow bucket.</t>
  </si>
  <si>
    <t>A lady walks away with a long clear object in her hand.</t>
  </si>
  <si>
    <t>v_agr3ZKq1Iso</t>
  </si>
  <si>
    <t>Children ride in bumper cars on an amusement ride.</t>
  </si>
  <si>
    <t>One person follows close behind a car in front of him riding his bumper.</t>
  </si>
  <si>
    <t>The group gets stuck in a a large traffic jam after bumping each other.</t>
  </si>
  <si>
    <t>The cars turn around and get out of the traffic jam.</t>
  </si>
  <si>
    <t>A boy crashes into the back of a stopped car.</t>
  </si>
  <si>
    <t>v_39FIjDeot-s</t>
  </si>
  <si>
    <t>a lot of kids ar standing ni a basket court doing boxing movements.</t>
  </si>
  <si>
    <t>little girls are standing in the middle of a court practicing boxing.</t>
  </si>
  <si>
    <t>people are sitting on chairs in a wooden court.</t>
  </si>
  <si>
    <t>v_F4ERtlGMFt4</t>
  </si>
  <si>
    <t>A person is riding a bull in an arena.</t>
  </si>
  <si>
    <t>People are standing in an arena around a bull.</t>
  </si>
  <si>
    <t>A bull charges them and knocks them to the ground.</t>
  </si>
  <si>
    <t>v_H8f7pTaBFKk</t>
  </si>
  <si>
    <t>A man is seen scraping off a car that is covered with snow and speaking to the camera.</t>
  </si>
  <si>
    <t>The camera follows the man around as he continues to scrap off the car and speaking to the camera.</t>
  </si>
  <si>
    <t>v_0-F3q8Aj9Zk</t>
  </si>
  <si>
    <t>A teenage boy dances around in the background while another teenage boy wearing practices high jump in a school cafeteria.</t>
  </si>
  <si>
    <t>A teenage boy completes a high jump landing on his back on the mat.</t>
  </si>
  <si>
    <t>Several adults and teenagers are standing and sitting around the high jump mat while a boy in black does the high jump.</t>
  </si>
  <si>
    <t>The boy in black does another high jump while another teenage boy watches in the background.</t>
  </si>
  <si>
    <t>The same boy in black does a high jump while a taller boy in white walks past.</t>
  </si>
  <si>
    <t>The same high jump is shown slowly to point out mistakes the boy is making.</t>
  </si>
  <si>
    <t>A different boy wearing white does the high jump while other people stand and sit nearby.</t>
  </si>
  <si>
    <t>The high jump from the boy wearing white is replayed to point out mistakes.</t>
  </si>
  <si>
    <t>A third boy wearing blue does the high jump three times in a row with others in the background.</t>
  </si>
  <si>
    <t>A replay of the boy in blue is played to point out mistakes he is making.</t>
  </si>
  <si>
    <t>v_7kQ3JRkEQr0</t>
  </si>
  <si>
    <t>Two girls are standing up doing karate.</t>
  </si>
  <si>
    <t>People are sitting down watching them.</t>
  </si>
  <si>
    <t>A woman in a black robe is standing up next to them.</t>
  </si>
  <si>
    <t>v_R0sADQPdso8</t>
  </si>
  <si>
    <t>A lady speaks in front of a plaza.</t>
  </si>
  <si>
    <t>the lady hula hoops in short shorts and a tight shirt in a plaza and we see a timer in the upper right corner periodically.</t>
  </si>
  <si>
    <t>The timer reads The lady hula hoops for 2 minutes and seventeen seconds.</t>
  </si>
  <si>
    <t>The lady speaks to the camera again.</t>
  </si>
  <si>
    <t>We see the ending YouTube screen.</t>
  </si>
  <si>
    <t>v_DLfOiuxMstg</t>
  </si>
  <si>
    <t>A envelope with a key on it is shown.</t>
  </si>
  <si>
    <t>A woman wraps a book in brown paper.</t>
  </si>
  <si>
    <t>A woman in a gray sweater is talking.</t>
  </si>
  <si>
    <t>A woman waves at the camera.</t>
  </si>
  <si>
    <t>They finish wrapping the book and put the envelope on the front of the package.</t>
  </si>
  <si>
    <t>The words thank you is stamped inside a book.</t>
  </si>
  <si>
    <t>v_X7f-hwiYZ1Q</t>
  </si>
  <si>
    <t>A woman is seen speaking and laughing to the camera and leads into her holding up a magazine and presenting pages to the camera.</t>
  </si>
  <si>
    <t>The woman presents more objects to the camera and then uses one to brush her teeth while still speaking to the camera.</t>
  </si>
  <si>
    <t>v_rVYuVW9tB3U</t>
  </si>
  <si>
    <t>Two suma wrestlers walk to a ring.</t>
  </si>
  <si>
    <t>A crowd watches the fight.</t>
  </si>
  <si>
    <t>The suma wrestlers prepare themselves.</t>
  </si>
  <si>
    <t>A referee calls them into position.</t>
  </si>
  <si>
    <t>The suma wrestlers begin fighting, with one of them immediately throwing the other to the ground.</t>
  </si>
  <si>
    <t>The winning suma wrestler is applauded and cheered on by the crowd as he walks off the stage.</t>
  </si>
  <si>
    <t>v_dH_gpSfaA6E</t>
  </si>
  <si>
    <t>To wrap a circular gift you will need ribbon scissors, paper scissors, ribbons, tape, Japenese using paper because its soft and strong and the color doesn't come off.</t>
  </si>
  <si>
    <t>First measure the paper correctly by measuring at the sides then fold paper in the middle holding the paper the same way on the other side then close paper in the middle of the joint to make a crease then repeat until crease is all around then put tape on top then tie on the ribbon.</t>
  </si>
  <si>
    <t>v_c-aDlEaZmFk</t>
  </si>
  <si>
    <t>A lady gymnast dressed in black leotards is performing gymnastics on bars.</t>
  </si>
  <si>
    <t>She flawlessly jumps on the bar and swings back and forth from one bar to another without falling off.</t>
  </si>
  <si>
    <t>She successfully completes her round and jumps off of the bars.</t>
  </si>
  <si>
    <t>The crowd cheers loudly as they applaud for the gymnast.</t>
  </si>
  <si>
    <t>v_3TwqeiVbpS8</t>
  </si>
  <si>
    <t>A series of people violently falling off of water skis while water skiing exhibits.</t>
  </si>
  <si>
    <t>A person crashing into a family on the beach from going full speed on a water ski occurs.</t>
  </si>
  <si>
    <t>Several more people are shown crashing while on water skis with one man crashing and the water turning red at the point of impact and crashing.</t>
  </si>
  <si>
    <t>A last clip shows someone going up a ramp on water skis and then crashing into the water.</t>
  </si>
  <si>
    <t>v_at2XbuHG5WQ</t>
  </si>
  <si>
    <t>A white fence is shown outside a house.</t>
  </si>
  <si>
    <t>A man is holding a scraper and brush.</t>
  </si>
  <si>
    <t>He scrapes the paint off the fence, then repaints it with fresh paint.</t>
  </si>
  <si>
    <t>v_Ed08LA1pjIg</t>
  </si>
  <si>
    <t>The person is skiing down the high snow covered mountains.</t>
  </si>
  <si>
    <t>A red helicopter is flying around as the skiers are climbing the top mountain.</t>
  </si>
  <si>
    <t>The skiers ski down the slope, ride their motorcycles, went fishing , and ski.</t>
  </si>
  <si>
    <t>v_s__e_v6aaq0</t>
  </si>
  <si>
    <t>A little boy is inside a living room.</t>
  </si>
  <si>
    <t>He is pushing and pulling a large vacuum cleaner.</t>
  </si>
  <si>
    <t>He is vacuuming the large living room rug.</t>
  </si>
  <si>
    <t>v_boqZwv68BiM</t>
  </si>
  <si>
    <t>A close up of a tool is shown followed by a person cutting along a rug.</t>
  </si>
  <si>
    <t>The person continues using the tool along the sides and the camera fades to black shortly after.</t>
  </si>
  <si>
    <t>v_Bg9hw5K-m6Q</t>
  </si>
  <si>
    <t>A man is standing in his yard.</t>
  </si>
  <si>
    <t>He uses a brush to brush his very long hair.</t>
  </si>
  <si>
    <t>He brushes it from several different angles.</t>
  </si>
  <si>
    <t>v_MyMYuXh8E0Y</t>
  </si>
  <si>
    <t>A man in a black hoodie talks to the camera.</t>
  </si>
  <si>
    <t>A second man in a blue hoodie walks in and talks to the camera.</t>
  </si>
  <si>
    <t>The man in the black hoodie shows off a bottle of mouth wash.</t>
  </si>
  <si>
    <t>The two men talk to each other.</t>
  </si>
  <si>
    <t>The man in the blue hoodie pours the mouthwash in two glasses.</t>
  </si>
  <si>
    <t>The two men take classes and "cheers" each other.</t>
  </si>
  <si>
    <t>The two men keep the mouthwash in their mouths.</t>
  </si>
  <si>
    <t>The man in the black hoodie shows off his t-shirt.</t>
  </si>
  <si>
    <t>The two men show off signs that insult each other and try to make each other laugh.</t>
  </si>
  <si>
    <t>The man in the blue hoodie laughs first.</t>
  </si>
  <si>
    <t>The men both spit the mouthwash in the sink.</t>
  </si>
  <si>
    <t>v_DvtfiPvPhZ8</t>
  </si>
  <si>
    <t>A man and woman is seen walking onto a large stage away from one another.</t>
  </si>
  <si>
    <t>The two then begin performing a tango routine with one another.</t>
  </si>
  <si>
    <t>The man lifts the woman all around while they continue dancing and end by holing a pose.</t>
  </si>
  <si>
    <t>v_-HaFSqzE4Nc</t>
  </si>
  <si>
    <t>A teenage boy and girl are sitting in s car smoking from a hose.</t>
  </si>
  <si>
    <t>The girl and boy take turns blowing smoke rings.</t>
  </si>
  <si>
    <t>v_aM9WZ1_8yC0</t>
  </si>
  <si>
    <t>A man is throwing darts at a dart board.</t>
  </si>
  <si>
    <t>He points to the words on his shirt.</t>
  </si>
  <si>
    <t>He shows the darts in the dart board.</t>
  </si>
  <si>
    <t>He shows his hand while throwing the dart.</t>
  </si>
  <si>
    <t>v_hShYj_OGFtc</t>
  </si>
  <si>
    <t>A person is seen kneeling down in a large hole rubbing plaster along a wall.</t>
  </si>
  <si>
    <t>The man rubs plaster using a tool and stands up to grab paper.</t>
  </si>
  <si>
    <t>He rubs the paper along the wall and ends by looking up to the camera.</t>
  </si>
  <si>
    <t>v_BxzOUJbq28s</t>
  </si>
  <si>
    <t>A man with a beard is playing on a green drum.</t>
  </si>
  <si>
    <t>The man starts adding in a second drum to the mix.</t>
  </si>
  <si>
    <t>A third drum is added to the drumming mix.</t>
  </si>
  <si>
    <t>v_PuylbPlzbH0</t>
  </si>
  <si>
    <t>We see people holding their phones up to record.</t>
  </si>
  <si>
    <t>We then see a man playing a piano.</t>
  </si>
  <si>
    <t>The camera moves around the man's back.</t>
  </si>
  <si>
    <t>The crowd then claps for the man.</t>
  </si>
  <si>
    <t>The man then looks up and speaks.</t>
  </si>
  <si>
    <t>v_uxRBnIWE79s</t>
  </si>
  <si>
    <t>People are indoors and the focus is on various clips of various different people fencing one another.</t>
  </si>
  <si>
    <t>A fencing match between two women begin and the wording on the screen say's their names are Michelle Li &amp; Cindy Gao, and they are shown fighting from various different angles doing many fencing moves.</t>
  </si>
  <si>
    <t>When they are done fighting the women are shown standing close together, smiling, and the woman on the left has her arm resting on the shoulder of the woman on the right.</t>
  </si>
  <si>
    <t>The outro is a white screen with multiple colors on it that include logos, website and the name of the event.</t>
  </si>
  <si>
    <t>v_at3YFTd6nEw</t>
  </si>
  <si>
    <t>A woman is smiling sitting in a tattoo sitting on the chair waiting patiently, smiling and being over friendly.</t>
  </si>
  <si>
    <t>He is wearing gloves and grabs a clamp then hr puts it in her mouth and clamps her lip with it.</t>
  </si>
  <si>
    <t>Then grabs a needle and sticks it through her lip, he gets a piercing and puts it on for her.</t>
  </si>
  <si>
    <t>After that she gets up off the chair and walks to the mirror to check it out for herself.</t>
  </si>
  <si>
    <t>v_qI_Bo0D6p7I</t>
  </si>
  <si>
    <t>A small girl is seen hula hooping over and over again with her hands on her hips.</t>
  </si>
  <si>
    <t>The girl spins around with the hula hoop moving from her feet to her knees as well as the rest of her body.</t>
  </si>
  <si>
    <t>At one point she throws the hula hoop accidentally but picks it back up and continues spinning with it.</t>
  </si>
  <si>
    <t>In the end she falls to the ground with the hoop still in her hands.</t>
  </si>
  <si>
    <t>v_SEZvtGus0HU</t>
  </si>
  <si>
    <t>There are surfers riding on a very large wave.</t>
  </si>
  <si>
    <t>A white wave crashes down and the surfer below it disappears as the large white foam of the wave spreads to a very large area on the water.</t>
  </si>
  <si>
    <t>Men on water jets quickly go to the area where the surfers could be and they recover them from the water and quickly drive away from the wave as they pass other surfers and water jet drivers as they all continue to ride on the waves.</t>
  </si>
  <si>
    <t>Now the view changes to the view from a helicopter above and it shows the people on the water driving their water jets.</t>
  </si>
  <si>
    <t>A black screen appears and it includes white lettering that say's "Shot on Red One by Mike Waltze" and includes a website then the word "Courtesy NanoGreensHawaii dot com Instant Organic Nutrition".</t>
  </si>
  <si>
    <t>v_iEGYd3DJ3Wo</t>
  </si>
  <si>
    <t>A man dressed as a referee is shown in a hockey rink.</t>
  </si>
  <si>
    <t>A number of men play are shown playing hockey.</t>
  </si>
  <si>
    <t>Several of the hockey players start a fight.</t>
  </si>
  <si>
    <t>v_02V8Hz-M6BM</t>
  </si>
  <si>
    <t>The people are walking in the street with marching band.</t>
  </si>
  <si>
    <t>The men in green vest are walking on both sides of the parade.</t>
  </si>
  <si>
    <t>The man in neon green jacket is taking picture of the parade.</t>
  </si>
  <si>
    <t>v_oSyBkE3gYMM</t>
  </si>
  <si>
    <t>There's a young man skateboarding through a two lane empty road that has trees on both sides.</t>
  </si>
  <si>
    <t>He goes steadily through the long and winding road without stopping.</t>
  </si>
  <si>
    <t>He passes through curves and turns around to adjust his speed.</t>
  </si>
  <si>
    <t>Then as he approaches a steep curve, he tries to turn but ends up falling down and bruising himself.</t>
  </si>
  <si>
    <t>He gets up immediately and shows his friends his scraped and injured elbow.</t>
  </si>
  <si>
    <t>Another friend of his also shows his injuries that he's had from skateboarding.</t>
  </si>
  <si>
    <t>v_h9LI_6eBzw4</t>
  </si>
  <si>
    <t>A montage of canoe sprinting is shown.</t>
  </si>
  <si>
    <t>The winners celebrate and both men's and women's are shown.</t>
  </si>
  <si>
    <t>v_w_X7cLnFCYw</t>
  </si>
  <si>
    <t>An introduction comes onto the screen about a video showing how to triple jump.</t>
  </si>
  <si>
    <t>A guy is shown running down a track making a jump.</t>
  </si>
  <si>
    <t>The jump is shown again in slow motion for better understanding.</t>
  </si>
  <si>
    <t>The guy is then shown exiting the track.</t>
  </si>
  <si>
    <t>v_q0o0k2uD0co</t>
  </si>
  <si>
    <t>A person is washing a car.</t>
  </si>
  <si>
    <t>The person changes hands and washes with their other hand.</t>
  </si>
  <si>
    <t>They then use both hands.</t>
  </si>
  <si>
    <t>v_FKphYO14qhw</t>
  </si>
  <si>
    <t>A man is leaning over a large pool table.</t>
  </si>
  <si>
    <t>He uses a cue to shoot the ball toward the pocket.</t>
  </si>
  <si>
    <t>He tries again and again until they go into the pockets.</t>
  </si>
  <si>
    <t>v_EWSMeiZqUHQ</t>
  </si>
  <si>
    <t>A class room is filled with students either sitting or standing.</t>
  </si>
  <si>
    <t>Suddenly, a group of boys begin to run around the classroom smiling, marching in place, and doing some dancing and exercises while the rest of the sitting class look on.</t>
  </si>
  <si>
    <t>The boys spread apart and end their routine then they walk towards one another while smiling.</t>
  </si>
  <si>
    <t>v_43hQNmW-6_k</t>
  </si>
  <si>
    <t>A man is doing the splits inside a gym.</t>
  </si>
  <si>
    <t>He talks to the camera about the procedure.</t>
  </si>
  <si>
    <t>He leans forward, stretching his legs.</t>
  </si>
  <si>
    <t>v_6yVhTyPaaLQ</t>
  </si>
  <si>
    <t>A woman stands on front a paint holding a bottle, and then paintings on canvas are shown in a slideshow.</t>
  </si>
  <si>
    <t>Then, the woman paints two canvas using a bottle, when it is necessary the woman rotates the canvas.</t>
  </si>
  <si>
    <t>Then, the woman puts the canvas on the floor and continues painting with the bottle.</t>
  </si>
  <si>
    <t>After, the woman hangs the paintings on the, then she puts the paintings on the floor and then hang on the wall to continues painting.</t>
  </si>
  <si>
    <t>v_Xg_MSiPhJns</t>
  </si>
  <si>
    <t>A person is spreading something green on bread.</t>
  </si>
  <si>
    <t>They put the sandwich into a grill.</t>
  </si>
  <si>
    <t>They take the sandwich off the grill and put it onto a plate.</t>
  </si>
  <si>
    <t>v_HjRevGoqqz0</t>
  </si>
  <si>
    <t>People are interacting in an inside court.</t>
  </si>
  <si>
    <t>People run to pick up balls from the center of the court.</t>
  </si>
  <si>
    <t>Two teams are playing dodge-ball.</t>
  </si>
  <si>
    <t>A red team member runs up and throws a ball directly at an opponent.</t>
  </si>
  <si>
    <t>v_SgkdciuEuKs</t>
  </si>
  <si>
    <t>A woman demonstrates how to dry a counter top and sink of water splashed from a sink faucet with a paper towel.</t>
  </si>
  <si>
    <t>A woman stands in a kitchen next to a sink and talks to the camera.</t>
  </si>
  <si>
    <t>the woman points to a water splash on the counter next to the sink after turning on the water at the sink.</t>
  </si>
  <si>
    <t>The woman then grabs a paper towel and wipes down the sink counter, the inside of the sink and the faucet spout.</t>
  </si>
  <si>
    <t>The woman then returns to talking to the camera.</t>
  </si>
  <si>
    <t>v_aAZSPRL18Ss</t>
  </si>
  <si>
    <t>An intro leads into a woman talking to a class sitting on bicycles and beginning to ride.</t>
  </si>
  <si>
    <t>She leads the class in a bicycle riding class and inspires her students to peddle hard like this.</t>
  </si>
  <si>
    <t>The people smile along with her as the camera pans over several shots of the people.</t>
  </si>
  <si>
    <t>v_SfYJTxMRKDE</t>
  </si>
  <si>
    <t>A man hold a dish with food while talking, then, two girls run in the field were other people are walking.</t>
  </si>
  <si>
    <t>People play throwing balls on the ground.</t>
  </si>
  <si>
    <t>After, a band plays and people dance including a bride.</t>
  </si>
  <si>
    <t>The people get in boats and sail in the river while other people rest.</t>
  </si>
  <si>
    <t>People pass a small waterfall with choppy water, and then they go down the river.</t>
  </si>
  <si>
    <t>People dive in the river, and then rest while drinking, then go sail in the river.</t>
  </si>
  <si>
    <t>v_I71OenniCZI</t>
  </si>
  <si>
    <t>A group of senior citizens are gathered at a court.</t>
  </si>
  <si>
    <t>They are engaged in a game of curling.</t>
  </si>
  <si>
    <t>They hit the puck, pushing it forward.</t>
  </si>
  <si>
    <t>v_tJiYIajy41Q</t>
  </si>
  <si>
    <t>A man is seen close up standing on a field.</t>
  </si>
  <si>
    <t>A person then passes the man a ball to move up the field.</t>
  </si>
  <si>
    <t>The people then begin kicking the ball around.</t>
  </si>
  <si>
    <t>v_PhJVHb-J7zM</t>
  </si>
  <si>
    <t>A close up of a floor is seen followed by a young child kneeling before another.</t>
  </si>
  <si>
    <t>A person is seen sitting on a bed with the young child shines the shoes of another.</t>
  </si>
  <si>
    <t>The kids continues to shine the shoes of another.</t>
  </si>
  <si>
    <t>v_134sVNOzn_w</t>
  </si>
  <si>
    <t>A man is seen using a hammer and tool to knock off pieces of a roof.</t>
  </si>
  <si>
    <t>The man then lays a bar down and continues placing roof shingles on while the camera pans around.</t>
  </si>
  <si>
    <t>v_dQyZheN0Fw0</t>
  </si>
  <si>
    <t>An animated image of a curling brush is shown.</t>
  </si>
  <si>
    <t>A woman bends down and puts something on a scale.</t>
  </si>
  <si>
    <t>She then slides across the ice.</t>
  </si>
  <si>
    <t>v_QwLiAkfSa9A</t>
  </si>
  <si>
    <t>A larger woman is seen sitting on a chair while a man wipes down her lip and puts a mark onto it.</t>
  </si>
  <si>
    <t>The woman lies down and the man puts a needle into her lip creating a piercing.</t>
  </si>
  <si>
    <t>The woman sits up and smiles while the man wipes down her lip and she continues speaking.</t>
  </si>
  <si>
    <t>v_ma0HmFqdFqg</t>
  </si>
  <si>
    <t>A woman is seen wiping down a mirror that leads into her standing behind a counter.</t>
  </si>
  <si>
    <t>She pours ingredients into a buckets, soaks the sponge in the bucket, then wipes down a mirror with a wiper.</t>
  </si>
  <si>
    <t>v_rOeNl9qIoVI</t>
  </si>
  <si>
    <t>A person is seen riding along the water in a kayak while another man watches him on the side.</t>
  </si>
  <si>
    <t>He continues riding along the water in the kayak and doing flips in the water.</t>
  </si>
  <si>
    <t>v_mvWKOkRzfos</t>
  </si>
  <si>
    <t>People are playing volleyball in the sand.</t>
  </si>
  <si>
    <t>A person falls into the sand.</t>
  </si>
  <si>
    <t>A woman in a blue shirt is talking to the camera.</t>
  </si>
  <si>
    <t>v_oj6czGQ830c</t>
  </si>
  <si>
    <t>Men and woman posing and smiling at the camera.</t>
  </si>
  <si>
    <t>A groups men and woman dressed in cold water diving gear arrive in a van.</t>
  </si>
  <si>
    <t>The divers march in single file on a dock to the water and pose with their diving gear on.</t>
  </si>
  <si>
    <t>The divers are under water performing different sunken vehicles and playing around and posing.</t>
  </si>
  <si>
    <t>The divers are featured in some trick photography.</t>
  </si>
  <si>
    <t>The divers relax at a restaurant with their regular close on seated at a round picnic table.</t>
  </si>
  <si>
    <t>v_efkbBgZ2Mzo</t>
  </si>
  <si>
    <t>A person does a tutorial on how to use an elliptical most efficiently.</t>
  </si>
  <si>
    <t>A woman does the backwards elliptical while smiling sometimes.</t>
  </si>
  <si>
    <t>v_8-muYZwFf9c</t>
  </si>
  <si>
    <t>The video leads into various shots of people kite surfing all along the ocean.</t>
  </si>
  <si>
    <t>The person continues riding all along the water while the camera follows him from a bird's eye view.</t>
  </si>
  <si>
    <t>v_nSR-JSqGoWQ</t>
  </si>
  <si>
    <t>A video recap of a beach soccer game begins with an Argentinian goal off a deep pass.</t>
  </si>
  <si>
    <t>The Brazilians follow up with a goal on a penalty kick, taken by an exuberant keeper.</t>
  </si>
  <si>
    <t>The Argentinians steal a pass halfway across the sand field and take it down for a goal in the tight corner.</t>
  </si>
  <si>
    <t>This is immediately followed by another goal from Argentina on a penalty kick.</t>
  </si>
  <si>
    <t>Brazil finds itself down even more on another Argentinian goal on a beautiful pass and shot across the field.</t>
  </si>
  <si>
    <t>To make matters worse, Argentina scores on a deep uncontested shot after that.</t>
  </si>
  <si>
    <t>This game is far too easy for them, and they win by a large score.</t>
  </si>
  <si>
    <t>v_oW2v7KlfmJk</t>
  </si>
  <si>
    <t>A man is playing shuffleboard on a ship.</t>
  </si>
  <si>
    <t>He turns to the camera and says something.</t>
  </si>
  <si>
    <t>v_F2x2fynkbAQ</t>
  </si>
  <si>
    <t>A man dips a rag into a black container.</t>
  </si>
  <si>
    <t>He begins wiping a shoe with the rag.</t>
  </si>
  <si>
    <t>He picks up a brush and begins using that to brush the shoe.</t>
  </si>
  <si>
    <t>v_vMYPNyBR3d0</t>
  </si>
  <si>
    <t>We see three men on a boat in a lake.</t>
  </si>
  <si>
    <t>The left man holds his nears near his chest.</t>
  </si>
  <si>
    <t>A man acts weird and sprays himself.</t>
  </si>
  <si>
    <t>v_SXZjg8ap1Uk</t>
  </si>
  <si>
    <t>A large group of cheerleaders are seen running through a hole and onto a stage.</t>
  </si>
  <si>
    <t>The group then begins performing with one another while lifting one another into the air.</t>
  </si>
  <si>
    <t>The group continue to lift and jump around one another and end by walking off stage.</t>
  </si>
  <si>
    <t>v_O8jThut7tAQ</t>
  </si>
  <si>
    <t>A person talks and throws a bowling ball on the bowling lane.</t>
  </si>
  <si>
    <t>The man holds a ball and shows his left leg forward, then throws the bowling ball on the lane while talking.</t>
  </si>
  <si>
    <t>v_GyOLWizKXaE</t>
  </si>
  <si>
    <t>A man is outside with a lawn utensil and he begins cutting the yard.</t>
  </si>
  <si>
    <t>He moves a knob and then continues to cut the grass and another woman is shown cutting the yard.</t>
  </si>
  <si>
    <t>Finally,the man comes back and shows how his the object works to cut the grass.</t>
  </si>
  <si>
    <t>v_vSExyDlV9JA</t>
  </si>
  <si>
    <t>A small group of people are seen standing on a sandy beach and leads into a game of volleyball.</t>
  </si>
  <si>
    <t>The people play back and fourth with one of them spiking the ball and the camera panning around to people watching and celebrating.</t>
  </si>
  <si>
    <t>v_anfZnOQGPk0</t>
  </si>
  <si>
    <t>A young child is seen standing on a stage with others and one begins dancing in the middle.</t>
  </si>
  <si>
    <t>The young boy then moves in the middle taking turns with others dancing around.</t>
  </si>
  <si>
    <t>Another man moves to the middle to dance while others watch on the side.</t>
  </si>
  <si>
    <t>v_DmaPpBMsuXg</t>
  </si>
  <si>
    <t>A person is seen standing in the middle of a gym holding a tennis racket.</t>
  </si>
  <si>
    <t>The person then begins hitting a birdie across the gym.</t>
  </si>
  <si>
    <t>The person continuously hits the object back and fourth while looking to the camera.</t>
  </si>
  <si>
    <t>v_GG3JgE6hy4g</t>
  </si>
  <si>
    <t>A man is seen standing on a roof pushing pieces of debris up with a stick.</t>
  </si>
  <si>
    <t>The man continues pushing the debris off the roof while digging deeper and deeper into the mess.</t>
  </si>
  <si>
    <t>v_k25ECDpOD0E</t>
  </si>
  <si>
    <t>A person brush the teeth of a dog while holding the back neck.</t>
  </si>
  <si>
    <t>After, she taps the chest of the dog and put toothpaste on the brush and continue brushing the dog's teeth.</t>
  </si>
  <si>
    <t>After, the person tap again the the chest, put toothpaste on the brush and brush the dog's teeth.</t>
  </si>
  <si>
    <t>When the person finish to brush, she kiss the dog.</t>
  </si>
  <si>
    <t>v_4HC2-Unzuu4</t>
  </si>
  <si>
    <t>A woman is talking to the camera surrounded by alcohol bottles.</t>
  </si>
  <si>
    <t>The woman begins pouring different alcohols and lemon juice into a glass of ice.</t>
  </si>
  <si>
    <t>The woman shakes the drink mixture and strains it into another glass.</t>
  </si>
  <si>
    <t>The woman puts a small straw into the drink and holds it up and smiles.</t>
  </si>
  <si>
    <t>v_3ZUy7h-dN38</t>
  </si>
  <si>
    <t>A man wearing a black hat plays guitar for the camera to see.</t>
  </si>
  <si>
    <t>He continues strumming his fingers and moving his hands around the instrument until the song ends as well as the video.</t>
  </si>
  <si>
    <t>v_aEG-_-m49mY</t>
  </si>
  <si>
    <t>A woman is recording a video of a little boy who is painting a fence.</t>
  </si>
  <si>
    <t>The camera pans to the rest of the backyard and fence.</t>
  </si>
  <si>
    <t>Another little boy is painting the other end of the fence, and the camera goes up to him.</t>
  </si>
  <si>
    <t>The video then cuts to show that the fence is mostly completed.</t>
  </si>
  <si>
    <t>The video then shows the two boys working together to complete the final panel of the fencing.</t>
  </si>
  <si>
    <t>The video ends as the camera pans out to show the house and the freshly painted fence.</t>
  </si>
  <si>
    <t>v_ui7LIgAF8-E</t>
  </si>
  <si>
    <t>A woman is seen performing a jump off of a high dive and landing into a pool.</t>
  </si>
  <si>
    <t>More shots of her diving are shown again shortly after in slow motion.</t>
  </si>
  <si>
    <t>v_y1F_Hzpux48</t>
  </si>
  <si>
    <t>A large fish is seen swimming under frozen water.</t>
  </si>
  <si>
    <t>A man creates a hole in the ice to catch the fish.</t>
  </si>
  <si>
    <t>He catches it on a line, and pulls until He is able to get it through the hole.</t>
  </si>
  <si>
    <t>v_kuyuhXuMPX4</t>
  </si>
  <si>
    <t>We see the intro and intro scenes.</t>
  </si>
  <si>
    <t>A man stands in a garage with two shovels.</t>
  </si>
  <si>
    <t>We then see his shoveling supplies.</t>
  </si>
  <si>
    <t>The man stretches and puts on his winter clothes.</t>
  </si>
  <si>
    <t>He sprays his shovel with nonstick spray and shovels his driveway.</t>
  </si>
  <si>
    <t>The man lays down and had a hard time breathing.</t>
  </si>
  <si>
    <t>After putting down sand he drinks a warm beverage.</t>
  </si>
  <si>
    <t>We see the ending credits screen.</t>
  </si>
  <si>
    <t>v_yOcWUk9cOws</t>
  </si>
  <si>
    <t>Several girls are outside in a large green field playing a game.</t>
  </si>
  <si>
    <t>The girl in front of the camera is dressed in a yellow shirt and black shorts hit the ball with the stick and begins jumping in the air.</t>
  </si>
  <si>
    <t>v_15Yf7NIDLtM</t>
  </si>
  <si>
    <t>A shot of a christmas tree is shown followed by a man walking into frame.</t>
  </si>
  <si>
    <t>The man then begins decorating the tree as well as others.</t>
  </si>
  <si>
    <t>People continuously decorate the tree moving quickly around one another and end by presenting it to the camera.</t>
  </si>
  <si>
    <t>v_0KwSF8NdEug</t>
  </si>
  <si>
    <t>A woman is seen speaking to the camera while holding up a bag of cookies as well as a plate.</t>
  </si>
  <si>
    <t>Various ingredients are then see laid out in bowls.</t>
  </si>
  <si>
    <t>The woman mixes all the ingredients together and squishes them into tiny balls to plate in the end.</t>
  </si>
  <si>
    <t>v_8OSnT8UvJkU</t>
  </si>
  <si>
    <t>A woman with a nose ring is seen speaking to the camera and leads into someone cutting her hair.</t>
  </si>
  <si>
    <t>The person cuts around the sides and the woman is seen wearing glasses and posing with her new style.</t>
  </si>
  <si>
    <t>More shots of a person cutting is shown while the woman speaks to the camera.</t>
  </si>
  <si>
    <t>v_pw0A0Uv2TZM</t>
  </si>
  <si>
    <t>A young girl is inside a bathroom with her dad.</t>
  </si>
  <si>
    <t>He rubs water up and down her face.</t>
  </si>
  <si>
    <t>She giggles and smiles as he does so.</t>
  </si>
  <si>
    <t>v_c_NlYvL96y0</t>
  </si>
  <si>
    <t>A girl is stretching her body on a ballet bar.</t>
  </si>
  <si>
    <t>An instructor stands with a woman and talks about ballet.</t>
  </si>
  <si>
    <t>The girl dances and pans back to the instructor.</t>
  </si>
  <si>
    <t>The instructor talks about the tools you will need for ballet.</t>
  </si>
  <si>
    <t>She talks about various ballet moves to do at the barre while the dancer demonstrates.</t>
  </si>
  <si>
    <t>v_cIN4HNSRoAg</t>
  </si>
  <si>
    <t>A close up shot of a fooseball game is shown as the plastic people push around a ball.</t>
  </si>
  <si>
    <t>Hands are seen moving the ball around as well as grabbing the poles to play.</t>
  </si>
  <si>
    <t>v_lIXHKxbq59c</t>
  </si>
  <si>
    <t>Some people are shown as they prepare to tube down a long snow slope.</t>
  </si>
  <si>
    <t>They begin to head down the slope until they reach the end and are able to stop themselves.</t>
  </si>
  <si>
    <t>After that, they get out of their tubes and begin to exit.</t>
  </si>
  <si>
    <t>v_-fBxVUu0KcQ</t>
  </si>
  <si>
    <t>People are playing a sport on sand.</t>
  </si>
  <si>
    <t>A man in a green uniform gives a high five to someone on the sidelines.</t>
  </si>
  <si>
    <t>A man falls down into the sand.</t>
  </si>
  <si>
    <t>v_ZyOPt4sgsbs</t>
  </si>
  <si>
    <t>A young woman is seen holding onto a cat and smiling towards the camera.</t>
  </si>
  <si>
    <t>The cat begins to fuss around and the woman continues to smile.</t>
  </si>
  <si>
    <t>The woman then cuts the cats claws while the cat still moves around and she holds up the cat.</t>
  </si>
  <si>
    <t>v_OD5rJOPicoM</t>
  </si>
  <si>
    <t>Two people are sailing on boards out on a lake.</t>
  </si>
  <si>
    <t>One person is seen sailing on their board until they fall off the board and into the water.</t>
  </si>
  <si>
    <t>v_1qi8ZXUH_wY</t>
  </si>
  <si>
    <t>A group of men are wrapping boxes on a table.</t>
  </si>
  <si>
    <t>Several people are walking around the area.</t>
  </si>
  <si>
    <t>A man is getting very in depth on his wrapping and wraps the box tightly.</t>
  </si>
  <si>
    <t>Another man appears and grabs paper then walks away.</t>
  </si>
  <si>
    <t>The man wrapping finishes his box.</t>
  </si>
  <si>
    <t>v_f0CViWbj3V4</t>
  </si>
  <si>
    <t>A man and woman are seated on a porch.</t>
  </si>
  <si>
    <t>The man plays bongo drums while the woman helps occasionally.</t>
  </si>
  <si>
    <t>Another hand is seen banging a drum in the foreground.</t>
  </si>
  <si>
    <t>v_ntJk6Rj-lRA</t>
  </si>
  <si>
    <t>A person goes upstairs supporting on a crutch, then sits on the last step while a man follows him.</t>
  </si>
  <si>
    <t>The man lifts up the carpet, then the person gives the man a carpet runner with nails while talking both men.</t>
  </si>
  <si>
    <t>After, the man puts the carpet runner on the wood step and hummers the loosed nails.</t>
  </si>
  <si>
    <t>Next, the man put on the carpet and uses a machine and a hammer to fix the loosed carpet.</t>
  </si>
  <si>
    <t>v_CHaTWk6uqd8</t>
  </si>
  <si>
    <t>A man is seen speaking to the camera while pointing to a bike frame and spinning around the tire.</t>
  </si>
  <si>
    <t>The man then uses tools to adjust the tire wheel and continues spinning it.</t>
  </si>
  <si>
    <t>He is still seen working on the back of the bike while the camera zooms in.</t>
  </si>
  <si>
    <t>v_NkJA_0tErGY</t>
  </si>
  <si>
    <t>A man is speaking, he had a china cabinet behind him filled with glass product.</t>
  </si>
  <si>
    <t>He begins to start to show step by step instructions on how to make a sauce .</t>
  </si>
  <si>
    <t>Then in another frying pan he adds some meat and cheese while his bread is toasting.</t>
  </si>
  <si>
    <t>He then adds all the ingredients on the bread and cuts it in halves and begins to eat.</t>
  </si>
  <si>
    <t>v_uMCyo89mK_E</t>
  </si>
  <si>
    <t>A large christmas is shown is shown followed by a woman standing beside it.</t>
  </si>
  <si>
    <t>The girl begins decorating the tree while jumping up and down in place.</t>
  </si>
  <si>
    <t>She continues bouncing around while decorating the tree and looking off into the distance.</t>
  </si>
  <si>
    <t>v_QE80ROTC_fI</t>
  </si>
  <si>
    <t>A man and dog are seen standing outside in a field with a man playing fetch with a dog.</t>
  </si>
  <si>
    <t>The man throws the frisbee around with the dog while the animal brings it back.</t>
  </si>
  <si>
    <t>The man performs several more tricks with the dog using several frisbees.</t>
  </si>
  <si>
    <t>v_Ufki4AjZHFI</t>
  </si>
  <si>
    <t>A young man is shown on a road wearing stilts.</t>
  </si>
  <si>
    <t>He walks over to the side of the road.</t>
  </si>
  <si>
    <t>He then lifts his feet up and down as if in preparation of running.</t>
  </si>
  <si>
    <t>The video ends as the person recording tilts the camera and covers the lens.</t>
  </si>
  <si>
    <t>v_b1s0BdtlFZs</t>
  </si>
  <si>
    <t>A man sits on a toilet with her leg up.</t>
  </si>
  <si>
    <t>A person holding a camera walks into the bathroom.</t>
  </si>
  <si>
    <t>The man rubs shaving cream on their legs.</t>
  </si>
  <si>
    <t>He begins to shave his leg in the sink.</t>
  </si>
  <si>
    <t>v_NPt1niJMbvE</t>
  </si>
  <si>
    <t>A gymnast runs fast, then he jumps long in a stadium full of people.</t>
  </si>
  <si>
    <t>Two men walk holding javelins.</t>
  </si>
  <si>
    <t>After, the gymnast jumps happily.</t>
  </si>
  <si>
    <t>People take pictures of the gymnast.</t>
  </si>
  <si>
    <t>v_vlwOSDuiKQA</t>
  </si>
  <si>
    <t>A man is seen standing in a large room holding up a tennis racket.</t>
  </si>
  <si>
    <t>Two more people walk into frame and begin hitting the ball around the area.</t>
  </si>
  <si>
    <t>The men continue to hit the ball around with tennis rackets and chase it around the room.</t>
  </si>
  <si>
    <t>v_0QDPpdms08g</t>
  </si>
  <si>
    <t>Two people are seen standing in a gymnasium wearing boxing gloves.</t>
  </si>
  <si>
    <t>The men then go back and fourth with one another kicking and punching.</t>
  </si>
  <si>
    <t>The two continue to fight while the camera captures their movements.</t>
  </si>
  <si>
    <t>v_9ku5v_hSVMw</t>
  </si>
  <si>
    <t>A man squats and holds a bar over his head several times.</t>
  </si>
  <si>
    <t>A man in a red shirt watches him.</t>
  </si>
  <si>
    <t>He drops the bar on the ground in front of him.</t>
  </si>
  <si>
    <t>v_0m63LNVHP1U</t>
  </si>
  <si>
    <t>An older woman is seen talking to the camera and leads into her swinging back and fourth with another child.</t>
  </si>
  <si>
    <t>The child pushes the woman in a swing and continues playing with her on the swing set.</t>
  </si>
  <si>
    <t>v_bWBcYdYEup4</t>
  </si>
  <si>
    <t>Two people are seen performing a fencing match back and fourth while other people practice in the background.</t>
  </si>
  <si>
    <t>Several shots of people fencing are shown as well as a fencer being interviewed on camera.</t>
  </si>
  <si>
    <t>More shots of people fencing are shown and ends with many standing around and two shaking hands.</t>
  </si>
  <si>
    <t>v_Q4UF7Z0ozCw</t>
  </si>
  <si>
    <t>A pile of clothing is shown on a bench in a house.</t>
  </si>
  <si>
    <t>A sweater hangs from a rack.</t>
  </si>
  <si>
    <t>The sweater is shown from several angles as a vacuum is used to pick up hair and lint.</t>
  </si>
  <si>
    <t>v_H1FKtaktOEc</t>
  </si>
  <si>
    <t>A large building is seen with cars driving by and people walking around an arena.</t>
  </si>
  <si>
    <t>Several people are then seen shooting bow and arrows at a target and waving their hands in the air.</t>
  </si>
  <si>
    <t>The people continue to shoot the bow and arrow at the target while others watch on the side.</t>
  </si>
  <si>
    <t>v_YCdPa5gJYmc</t>
  </si>
  <si>
    <t>A shirtless guy spins a ball attached to a pole.</t>
  </si>
  <si>
    <t>The guy lifts this item from the grass at the pole end.</t>
  </si>
  <si>
    <t>The guy releases the item.</t>
  </si>
  <si>
    <t>A guy moves away from the descending item.</t>
  </si>
  <si>
    <t>The website address of the group is shown.</t>
  </si>
  <si>
    <t>v_o_e0KLnKpj8</t>
  </si>
  <si>
    <t>We see a lady starting a lawn mower.</t>
  </si>
  <si>
    <t>The lady stops and looks at the camera.</t>
  </si>
  <si>
    <t>The lady starts then stops mowing.</t>
  </si>
  <si>
    <t>The lady tries to start the mower again.</t>
  </si>
  <si>
    <t>Another lady comes to help and falls over.</t>
  </si>
  <si>
    <t>The first lady finally gets the mowers started.</t>
  </si>
  <si>
    <t>the lady throws her arm in the air and mows the lawn.</t>
  </si>
  <si>
    <t>v_bnkO0slLSyw</t>
  </si>
  <si>
    <t>A woman talks to the camera while a man stands beside her.</t>
  </si>
  <si>
    <t>The man turns and walks away while the woman demonstrates the female perspective of the dance sequence by herself.</t>
  </si>
  <si>
    <t>The man rejoins the woman and talks to the camera while demonstrating the sequence of steps from the male perspective.</t>
  </si>
  <si>
    <t>The two demonstrate the dance together without commentary.</t>
  </si>
  <si>
    <t>v_0Mn0gxECBLA</t>
  </si>
  <si>
    <t>A male mows a lawn using a red riding mower.</t>
  </si>
  <si>
    <t>A man whips grass of his foot.</t>
  </si>
  <si>
    <t>A large, black dog runs across the lawn.</t>
  </si>
  <si>
    <t>The man stops and reverses the riding mower.</t>
  </si>
  <si>
    <t>The man rubs his ear.</t>
  </si>
  <si>
    <t>v_P0j0bBKsNAo</t>
  </si>
  <si>
    <t>A man is seen beginning to climb up a rock wall while looking back and speaking to the camera.</t>
  </si>
  <si>
    <t>He continues to climb up and down while showing off to the properly climb with his feet.</t>
  </si>
  <si>
    <t>He does this a few more times while the camera shows text instructions.</t>
  </si>
  <si>
    <t>v_ABB755sPZfY</t>
  </si>
  <si>
    <t>Inside a gym, two men hold two jump ropes.</t>
  </si>
  <si>
    <t>A guy in a ponytail jumps the jump ropes with hand stands.</t>
  </si>
  <si>
    <t>A man in a black shirt watches.</t>
  </si>
  <si>
    <t>v_iiQ6t0p9lik</t>
  </si>
  <si>
    <t>The video takes place in the pool of a backyard.</t>
  </si>
  <si>
    <t>A tight rope is strung across the length of the pool and a woman is attempting to walk across, She falls several times.</t>
  </si>
  <si>
    <t>The last time she falls, the camera rewinds and shows her falling backwards.</t>
  </si>
  <si>
    <t>The video then cuts to a man who is also using a tight rope to cross a pool.</t>
  </si>
  <si>
    <t>The video shows several clips of the man falling.</t>
  </si>
  <si>
    <t>At one point, he is holding a camera while falling in.</t>
  </si>
  <si>
    <t>He also attempts to stand with one leg on the rope, as well as balancing.</t>
  </si>
  <si>
    <t>The video ends showing him in a final fall into a tube.</t>
  </si>
  <si>
    <t>v_2SBTnunPQrQ</t>
  </si>
  <si>
    <t>A little boy shines the shoes of a person using black shoe polish and make shine with a brush and a cloth.</t>
  </si>
  <si>
    <t>Then, the man pays the little boy.</t>
  </si>
  <si>
    <t>A boy cleans the tennis shows of a person putting white painting.</t>
  </si>
  <si>
    <t>v_o1WPnnvs00I</t>
  </si>
  <si>
    <t>A man is playing a flute in front of a microphone.</t>
  </si>
  <si>
    <t>A few other men are shown playing guitars as they sit.</t>
  </si>
  <si>
    <t>The group plays for the audience, occasionally zooming in on individuals.</t>
  </si>
  <si>
    <t>One man is playing drums while the others are on flute and guitar.</t>
  </si>
  <si>
    <t>The lights move fluidly as they crescendo, and they screen goes black.</t>
  </si>
  <si>
    <t>v_RYv3eIxMouY</t>
  </si>
  <si>
    <t>A yellow and brown animal is attached to the wall swaying from left to right.</t>
  </si>
  <si>
    <t>While it is there,a boy is wrapped up in a bandanna and he is holding the stick on the left side of the pinata.</t>
  </si>
  <si>
    <t>He then moves it to the right side and begins to hit the pinata ferociously.</t>
  </si>
  <si>
    <t>v_fm9mf-VuWxI</t>
  </si>
  <si>
    <t>A woman in a blue shirt is holding a lacrosse stick.</t>
  </si>
  <si>
    <t>They continue to play lacrosse.</t>
  </si>
  <si>
    <t>v_ucEqZtmQS-0</t>
  </si>
  <si>
    <t>A man in a black shirt is standing in a salon.</t>
  </si>
  <si>
    <t>He starts shaving a man's beard that is laying down.</t>
  </si>
  <si>
    <t>He towels off the man's face.</t>
  </si>
  <si>
    <t>v_qS7TStZg_5c</t>
  </si>
  <si>
    <t>A man is showing playing guitar with a title screen shown on the left.</t>
  </si>
  <si>
    <t>The man strums over and over again while gradually banging his head to the beat.</t>
  </si>
  <si>
    <t>v_hR6VFvMXCN4</t>
  </si>
  <si>
    <t>A close up of a flame is shown followed by audience members standing up and athletes standing ready.</t>
  </si>
  <si>
    <t>Hitler then watches a man jump into a pit as well as several other runners after him.</t>
  </si>
  <si>
    <t>More athletes continue jumping while the audience gets riled up and ends with soldiers raising flags up to the sky.</t>
  </si>
  <si>
    <t>v_A9TcWJnbcWs</t>
  </si>
  <si>
    <t>There are two boys playing squash in an indoor squash court.</t>
  </si>
  <si>
    <t>They are playing randomly in an unstructured game where they often miss the ball.</t>
  </si>
  <si>
    <t>v_Tc8L-74Ilck</t>
  </si>
  <si>
    <t>A man is seen standing at the bottom of a hole while a man records him.</t>
  </si>
  <si>
    <t>Two men are seen climbing along the hill and looking up to the camera.</t>
  </si>
  <si>
    <t>One man pulls the other out and climbs down while they and others speak to the camera.</t>
  </si>
  <si>
    <t>v_WRv7Kpf1KT0</t>
  </si>
  <si>
    <t>Two men are putting suntan lotion on each other at the beach.</t>
  </si>
  <si>
    <t>They rub it on each other's backs before turning around.</t>
  </si>
  <si>
    <t>v_ZdUUBA1czgY</t>
  </si>
  <si>
    <t>man is standing in a large field wlking and practicing a shot put.</t>
  </si>
  <si>
    <t>man wearing red shirt is standing on a side.</t>
  </si>
  <si>
    <t>men are pacticing in a large green grassy field.</t>
  </si>
  <si>
    <t>v_azfkn6EsuJA</t>
  </si>
  <si>
    <t>A man is buffing down his skis in a garage.</t>
  </si>
  <si>
    <t>He changes position to give himself more leverage as he buffs.</t>
  </si>
  <si>
    <t>He moves the shis to another location when he is done.</t>
  </si>
  <si>
    <t>v_z_ojmuWzMWo</t>
  </si>
  <si>
    <t>A dog is being bathed by a woman.</t>
  </si>
  <si>
    <t>The woman is spraying water on the small dog with a hose.</t>
  </si>
  <si>
    <t>She is now blow drying the dog.</t>
  </si>
  <si>
    <t>The dog is placed in the kennel next to a woman's feet.</t>
  </si>
  <si>
    <t>A dog plays behind and with the groomed dog.</t>
  </si>
  <si>
    <t>The dog now is getting a haircut.</t>
  </si>
  <si>
    <t>v_R547-iOgb6g</t>
  </si>
  <si>
    <t>Intro screen appears and includes an illustration of a man wiping the floor with a mop in a bathroom, a brand name and some other words.</t>
  </si>
  <si>
    <t>A woman is now in the bathroom using an advanced bucket that is tall and includes a handle for squeezing the flat mop and a storage compartment, and she mops the floor with the mop, then demonstrates how to squeeze it in the bucket and goes back to moping the rest of the bathroom.</t>
  </si>
  <si>
    <t>A top view of the bucket is shown and it shows the bucket has two water compartments and the clean water is in the front and the dirty water is kept in the back.</t>
  </si>
  <si>
    <t>A white screen appears and it displays the logo brand, different pictures of the mop sleeves and numbers next to it.</t>
  </si>
  <si>
    <t>The woman walks to the entrance of the bathroom, removes the wet floor sign, puts it in her cart, starts pushing the cart, and the focus goes back to the clean bathroom she just cleaned.</t>
  </si>
  <si>
    <t>v_c8HFew22GnI</t>
  </si>
  <si>
    <t>A man is acting as a dj with headphones on.</t>
  </si>
  <si>
    <t>Another man takes off on a pair of water skis.</t>
  </si>
  <si>
    <t>He skis as people gather and leave on a pier.</t>
  </si>
  <si>
    <t>Several people join in on a curling event, holding signs and smiling.</t>
  </si>
  <si>
    <t>v_1iIG5D3jTk4</t>
  </si>
  <si>
    <t>Two people are seen standing in a large gymnasium speaking to one another and leads into them performing a jump roping routine.</t>
  </si>
  <si>
    <t>The woman continue jumping all along the gym together and end by holding the ropes against their feet.</t>
  </si>
  <si>
    <t>v_oY1y_UONCGg</t>
  </si>
  <si>
    <t>A little boy is sitting on the floor, touching a vacuum cleaner and talking.</t>
  </si>
  <si>
    <t>He also picks up another vacuum, and starts rolling it across the room, back and forth.</t>
  </si>
  <si>
    <t>v_CqAJxW84FkU</t>
  </si>
  <si>
    <t>A man in a green shirt and green hat is holding a large knife.</t>
  </si>
  <si>
    <t>He starts cutting a piece of wood with the knife.</t>
  </si>
  <si>
    <t>He cuts the piece of wood in half.</t>
  </si>
  <si>
    <t>v_8fVB8gAjTO4</t>
  </si>
  <si>
    <t>we see a man in a room playing a set of drums.</t>
  </si>
  <si>
    <t>The man plays the drums on the left side primarily.</t>
  </si>
  <si>
    <t>The man pauses while playing.</t>
  </si>
  <si>
    <t>The man hits a few drums then stops.</t>
  </si>
  <si>
    <t>v_2UjVfKEcj4g</t>
  </si>
  <si>
    <t>A man is holding two extremely dirty high heeled women's shoes.</t>
  </si>
  <si>
    <t>He uses a ruler to scrape off the dried dirt.</t>
  </si>
  <si>
    <t>He then uses a brush to polish up the suede material before spraying a white substance onto the shoe.</t>
  </si>
  <si>
    <t>He scrapes it clean, then applies a new sole and spike to the heel.</t>
  </si>
  <si>
    <t>He shows off the renovator can.</t>
  </si>
  <si>
    <t>v_WkiBckpLXfU</t>
  </si>
  <si>
    <t>a man and a woman are talking in front of the camera.</t>
  </si>
  <si>
    <t>players are in a court playing hockey.</t>
  </si>
  <si>
    <t>a man and a woman are being interviewed.</t>
  </si>
  <si>
    <t>v_c0qbyRWSptg</t>
  </si>
  <si>
    <t>Boats are going through the water.</t>
  </si>
  <si>
    <t>A storm hits and a man is crying.</t>
  </si>
  <si>
    <t>The boats continue to go through the water.</t>
  </si>
  <si>
    <t>v_gpmrwsV9skQ</t>
  </si>
  <si>
    <t>A man in a suit is reading a newspaper.</t>
  </si>
  <si>
    <t>He puts a dissolving tablet into a glass of water.</t>
  </si>
  <si>
    <t>Someone runs in front of a car on stilts.</t>
  </si>
  <si>
    <t>v_5jfQNanBKAM</t>
  </si>
  <si>
    <t>A large group of boys paddle around on a lake in red canoes.</t>
  </si>
  <si>
    <t>Other groups of boys on a dock prepare boats for use.</t>
  </si>
  <si>
    <t>Two boys on a canoe back paddle to get away from the reeds on the edge on the lake.</t>
  </si>
  <si>
    <t>v_aB5xErksFkI</t>
  </si>
  <si>
    <t>A person is seen kneeling down on the floor laying out plaster as well as onto a tile.</t>
  </si>
  <si>
    <t>The person then flips over the tiles and places them down on the floor.</t>
  </si>
  <si>
    <t>v_OHwE8aA90IE</t>
  </si>
  <si>
    <t>A young man is seen standing before a lawn mower and looking at the camera.</t>
  </si>
  <si>
    <t>The boy then pulls a string on the lawn mower.</t>
  </si>
  <si>
    <t>He finally pushes forward on the lawn mower.</t>
  </si>
  <si>
    <t>v_9hR1MHvXGv8</t>
  </si>
  <si>
    <t>We see a man putting items in his car.</t>
  </si>
  <si>
    <t>The man gets in the car and drives down the street.</t>
  </si>
  <si>
    <t>We see men climbing indoors on a climbing wall, and outdoors in the woods.</t>
  </si>
  <si>
    <t>We see two men outdoors at night then day.</t>
  </si>
  <si>
    <t>We see men climbing a cliff.</t>
  </si>
  <si>
    <t>A man waves from the top.</t>
  </si>
  <si>
    <t>We see the men on the top of the cliff.</t>
  </si>
  <si>
    <t>A man drills holes in a wall.</t>
  </si>
  <si>
    <t>We see a man fall repeatedly.</t>
  </si>
  <si>
    <t>We see three men in a boat on a river.</t>
  </si>
  <si>
    <t>v_Z6WJ0A9VvxQ</t>
  </si>
  <si>
    <t>peolpe are running in street under a bridge.</t>
  </si>
  <si>
    <t>people are standing and running through the bridge and street.</t>
  </si>
  <si>
    <t>v_IcfWEKjl_AY</t>
  </si>
  <si>
    <t>A boy stands from the bottom of a slide and walk away.</t>
  </si>
  <si>
    <t>Other kids slide on another slide in the playground.</t>
  </si>
  <si>
    <t>A toddler climbs a jungle gym, and then go down the slide.</t>
  </si>
  <si>
    <t>v_AXDa8WmY2og</t>
  </si>
  <si>
    <t>A Shih Tzu dog is standing on a table being groomed by an elderly Asian woman.</t>
  </si>
  <si>
    <t>Once she is done with the top,the lady the grabs the dog front left paw and takes a pair of scissors and begins trimming underneath his body.</t>
  </si>
  <si>
    <t>Once the belly is done,the goes to the top of the dogs head and cuts the hair around the face and clips the rest of the hair behind him.</t>
  </si>
  <si>
    <t>The next step consist of her trimming the hair under the dog's mouth.</t>
  </si>
  <si>
    <t>v_pZzTMUJG9Rk</t>
  </si>
  <si>
    <t>A man is playing soccer with another across a field.</t>
  </si>
  <si>
    <t>He performs a quick turn around move with the other following close behind.</t>
  </si>
  <si>
    <t>The same clip is replayed over and over at slower speeds to better understand the trick.</t>
  </si>
  <si>
    <t>Another trick is performed and later shown in slow motion.</t>
  </si>
  <si>
    <t>Two more tricks are demonstrated by the duo and finally showed at a slowed down pace.</t>
  </si>
  <si>
    <t>v_2zvN1cL1uik</t>
  </si>
  <si>
    <t>An intro starts with music player and foreign letter are presented across the screen.</t>
  </si>
  <si>
    <t>A man sits down in front of a hookah and begins talking to the camera.</t>
  </si>
  <si>
    <t>The man takes a hit of the hookah and coughs a bit.</t>
  </si>
  <si>
    <t>The man shows how to avoid coughing with a hookah by moving the tobacco around on the bowl.</t>
  </si>
  <si>
    <t>He sits down and takes another puff off the hookah.</t>
  </si>
  <si>
    <t>He then continues taking puffs off the device and talking about how to get clear hits.</t>
  </si>
  <si>
    <t>v_xXDNNCl1m6c</t>
  </si>
  <si>
    <t>The Department of Transportation demonstrates ice and snow safety tips with a white car covered in snow.</t>
  </si>
  <si>
    <t>A lady in a red winter jacket places the keys in the ignition and starts the car.</t>
  </si>
  <si>
    <t>The lady in the red jacket opens the trunk of the car and removes a snow brush and brushes the snow off of the car body, windshields, head lights, front grill and license tag.</t>
  </si>
  <si>
    <t>v_XTErpg4IdiE</t>
  </si>
  <si>
    <t>A man is on the floor with some gadget looking at it and messing around with it.</t>
  </si>
  <si>
    <t>He puts a hose in one sde of it and starts ro mess around with it some more.</t>
  </si>
  <si>
    <t>He then moves it to the corer of the carpet and starts working on it.</t>
  </si>
  <si>
    <t>He moves it down more and pushing the carpet down, he does this to basically the entire room.</t>
  </si>
  <si>
    <t>v_bcOFV26B3jk</t>
  </si>
  <si>
    <t>A lady kicks a ball in a field.</t>
  </si>
  <si>
    <t>The lady picks up the baby.</t>
  </si>
  <si>
    <t>The lady runs across the screen.</t>
  </si>
  <si>
    <t>The camera pans left and right to show the crowd standing around.</t>
  </si>
  <si>
    <t>v_rx_WRuQ-X14</t>
  </si>
  <si>
    <t>A wall is painted by two men.</t>
  </si>
  <si>
    <t>They then hang up wall decorations that are wallpaperlike in appearance.</t>
  </si>
  <si>
    <t>v_jqrLD8zs7R4</t>
  </si>
  <si>
    <t>A couple appears on the screen, talking about dancing the tango.</t>
  </si>
  <si>
    <t>They begin showing different steps of the dance as they talk.</t>
  </si>
  <si>
    <t>They move forward and back and forth, demonstrating the tango.</t>
  </si>
  <si>
    <t>They then dance together for the camera.</t>
  </si>
  <si>
    <t>v_SN_YS2w3JhE</t>
  </si>
  <si>
    <t>Players stand on the sideline before a volleyball match on the beach.</t>
  </si>
  <si>
    <t>Players walk onto the court and take positions for the match.</t>
  </si>
  <si>
    <t>Teams play a game of beach volleyball.</t>
  </si>
  <si>
    <t>The players shake hands and congratulate each other.</t>
  </si>
  <si>
    <t>v_p4pj27t5B6g</t>
  </si>
  <si>
    <t>A young man talks while showing a saxophone.</t>
  </si>
  <si>
    <t>The young man points the keys of the saxophone while talking.</t>
  </si>
  <si>
    <t>Then, the young man fasten the saxophone with a blue ribbon on his neck.</t>
  </si>
  <si>
    <t>After, the young man puts his mouth on the mouthpiece of the saxophone, then he continues explaining.</t>
  </si>
  <si>
    <t>v_hPQEkPZmNsU</t>
  </si>
  <si>
    <t>A hair stylist explains how to cut a mans haircut.</t>
  </si>
  <si>
    <t>The hair sylist prepares the hair into sections with some clips and begins cutting the hair with a feather razor and puts a clip in the hair on top of the head and proceeds to cut the hair with scissors making layers.</t>
  </si>
  <si>
    <t>The hair stylist then uses a hair blower dryer to fluff up the hair using her fingers.</t>
  </si>
  <si>
    <t>The hair stylist then uses only her fingers to fluff up the hair.</t>
  </si>
  <si>
    <t>A close up of theman and the final cut and a close up of the hair stylist.</t>
  </si>
  <si>
    <t>v_r4F2X_MlL-U</t>
  </si>
  <si>
    <t>A hand lines the loose area of the wallpaper.</t>
  </si>
  <si>
    <t>The hand puts paste from a bowl on the back of the loose wallpaper.</t>
  </si>
  <si>
    <t>The hand runs a scrub on the loose wallpaper.</t>
  </si>
  <si>
    <t>The hand holds a blow dryer and the other hand rolls a device to mend the loose wallpaper.</t>
  </si>
  <si>
    <t>The hand runs a scrub quickly through the mended wallpaper.</t>
  </si>
  <si>
    <t>v_iuVi8QAWfCI</t>
  </si>
  <si>
    <t>A woman introduces her home decor video, standing next to a chair.</t>
  </si>
  <si>
    <t>She first scrubs the dirt from the chair with a sponge.</t>
  </si>
  <si>
    <t>Next, she applies a silver paint to the chair.</t>
  </si>
  <si>
    <t>She then dips her brush in a blue paint to cover the chair's seat, back, and then arms/legs.</t>
  </si>
  <si>
    <t>Lastly, she places stencils on the chair and paints the insides white to decorate.</t>
  </si>
  <si>
    <t>v_SjfrdNchlqw</t>
  </si>
  <si>
    <t>men are sitting in a black jack table in a casino and the dealer is spreading the cards to players.</t>
  </si>
  <si>
    <t>man is talking to the camera.</t>
  </si>
  <si>
    <t>the dealer woman is standing talking in front of the camera.</t>
  </si>
  <si>
    <t>man is standing in front of slot machine talking to the camera.</t>
  </si>
  <si>
    <t>v_E5SWUUNrHDU</t>
  </si>
  <si>
    <t>Various tools and products are laid out on a table and transitions into a man walking in front of a mirror and putting lotion on his face.</t>
  </si>
  <si>
    <t>He then puts cream on his face and shaves all around his face.</t>
  </si>
  <si>
    <t>He then wipes his face down with a rag and walks away from the mirror.</t>
  </si>
  <si>
    <t>v_qbDQNRf-EUI</t>
  </si>
  <si>
    <t>A man speaks to camera in front of bicycles.</t>
  </si>
  <si>
    <t>The man places a part on a bicycle being worked on.</t>
  </si>
  <si>
    <t>The man tightens the part on the bicycle.</t>
  </si>
  <si>
    <t>v_h4N22DApP_Y</t>
  </si>
  <si>
    <t>Crowd are sitting on chair, kids and young people are sitting at the table with timer solving the rubik's cubes, while a man with big beard is talking in front of the camera.</t>
  </si>
  <si>
    <t>The boys are solving the rubik's cube one is blind folded, one is solving it with one hand, others are solving with with both hands.</t>
  </si>
  <si>
    <t>v_yW76UI8lnNc</t>
  </si>
  <si>
    <t>Black and yellow tokens slides on the floor while people holding sticks arrange the tokens on a painted triangle.</t>
  </si>
  <si>
    <t>Toddlers walk on the sidewalk and cross the road stepping on the tokens.</t>
  </si>
  <si>
    <t>v_eRQAjBwhDXk</t>
  </si>
  <si>
    <t>A person skis quickly down a snow covered hill.</t>
  </si>
  <si>
    <t>People are on intertubes, sledding along the snow.</t>
  </si>
  <si>
    <t>v__86X1xtj67w</t>
  </si>
  <si>
    <t>Two teams plays throwing balls to hit an opponent.</t>
  </si>
  <si>
    <t>Two boys advance to the center and throw the balls, then they return to his place.</t>
  </si>
  <si>
    <t>After, the other team advance throwing balls and hit one player wearing purple t-shirt.</t>
  </si>
  <si>
    <t>They continue playing taking turns to hit the balls.</t>
  </si>
  <si>
    <t>People handle balls to players, then they go to the center to hit other team with the balls.</t>
  </si>
  <si>
    <t>v_AX2KQGWXg1E</t>
  </si>
  <si>
    <t>A woman and a man practice kick box in a gym where also other people train, then he woman talks.</t>
  </si>
  <si>
    <t>A cars run in a city with a soldier holding a weapon, a family in the street, people walking and car sit o the curve.</t>
  </si>
  <si>
    <t>The woman talks from a room, then she trains with others in a gym, then a lady in the gym talks.</t>
  </si>
  <si>
    <t>at the end trophies are shown.</t>
  </si>
  <si>
    <t>v_3Wjig_NRlnU</t>
  </si>
  <si>
    <t>A man performs martial arts fighting with people in a film, then a big door close and a woman helps the man fight.</t>
  </si>
  <si>
    <t>The man and the woman are on front a river fighting, and then hung his legs from a tree.</t>
  </si>
  <si>
    <t>Cannons fires a home and a village, after an army fight in a field and cannons destroy homes in a village.</t>
  </si>
  <si>
    <t>A man gives to the man a big gold coin, after the man fights with people.</t>
  </si>
  <si>
    <t>v_JowsnupmNd0</t>
  </si>
  <si>
    <t>She swings her leg up.</t>
  </si>
  <si>
    <t>She drops down to the ground.</t>
  </si>
  <si>
    <t>v_U6M5hbiHn5Q</t>
  </si>
  <si>
    <t>Man does acrobatic moves down a mat.</t>
  </si>
  <si>
    <t>Another man is running down a mat in the background.</t>
  </si>
  <si>
    <t>Several replays of acrobatic moves occurs.</t>
  </si>
  <si>
    <t>Young man runs and hugs what looks to be his coach.</t>
  </si>
  <si>
    <t>Another set of replays occur.</t>
  </si>
  <si>
    <t>Words go across the screen directing people to social media and websites.</t>
  </si>
  <si>
    <t>v_YJcjkeVD0qk</t>
  </si>
  <si>
    <t>A close up of food is laid out on the table and leads into a man taking puffs out of a hookah pipe.</t>
  </si>
  <si>
    <t>The man blows smoke rings as well as several other drinks while speaking to the camera and moving to various spots in the house.</t>
  </si>
  <si>
    <t>v_McwVhHxdr5g</t>
  </si>
  <si>
    <t>a little boy is riding inline skates down a driveway.</t>
  </si>
  <si>
    <t>He waves his arms, trying to keep his balance.</t>
  </si>
  <si>
    <t>He runs, then falls on the skates.</t>
  </si>
  <si>
    <t>v_slUvIngXl4g</t>
  </si>
  <si>
    <t>two sumos are on sides of a ring and the refeee is in the middle while people is in sands sitting arpund them watching them.</t>
  </si>
  <si>
    <t>sumo start wrestling and fell out the ring.</t>
  </si>
  <si>
    <t>v_6wTk8QqWxuo</t>
  </si>
  <si>
    <t>A boy is helping his father push a mower.</t>
  </si>
  <si>
    <t>They turn back to the camera.</t>
  </si>
  <si>
    <t>A person goes stand near the fence.</t>
  </si>
  <si>
    <t>v_l9LHfuoU8js</t>
  </si>
  <si>
    <t>A person is seen cutting a piece of roof tiling and hammering down the tile for a roof.</t>
  </si>
  <si>
    <t>He walks through hamming down the fabric and nailing a long board across.</t>
  </si>
  <si>
    <t>v__Boy9qJLibI</t>
  </si>
  <si>
    <t>A graphic is seen with logo title.</t>
  </si>
  <si>
    <t>A Google map shows different city locations.</t>
  </si>
  <si>
    <t>Teammates in jumpsuits run navigate through a course of wooden crate obstacles aiming paintball guns.</t>
  </si>
  <si>
    <t>The men receive gear from a rental shop including clothes and weapons.</t>
  </si>
  <si>
    <t>The two teams walk in a line together entering the course to play.</t>
  </si>
  <si>
    <t>The men fill their gun hoppers with ammo.</t>
  </si>
  <si>
    <t>The teammates navigate through a course with inflatable obstacles aiming for opponents.</t>
  </si>
  <si>
    <t>A man is hit in the face mask to end the game.</t>
  </si>
  <si>
    <t>v_S_CnkpTkjYQ</t>
  </si>
  <si>
    <t>A man is seated while playing the drums, with a woman instructing him standing next to him.</t>
  </si>
  <si>
    <t>He hits the drums back and forth as they talk.</t>
  </si>
  <si>
    <t>He then talks extensively about how to play the congas.</t>
  </si>
  <si>
    <t>He demonstrates by playing further while talking.</t>
  </si>
  <si>
    <t>v_IbYlWVA8Dh8</t>
  </si>
  <si>
    <t>a hand is shown on a table with different supplies.</t>
  </si>
  <si>
    <t>A man is seen taking all the parts of a bicycle out of a box.</t>
  </si>
  <si>
    <t>He assembles the bicycle in the yard.</t>
  </si>
  <si>
    <t>v_7dlkshlM4nk</t>
  </si>
  <si>
    <t>A tree is seen by the side of a road.</t>
  </si>
  <si>
    <t>A man shows how to mulch around the bottom of the tree.</t>
  </si>
  <si>
    <t>He spreads the mulch evenly as he gives directions.</t>
  </si>
  <si>
    <t>v_Gp2bIEiDWTI</t>
  </si>
  <si>
    <t>A girl plays with her braided pony tail.</t>
  </si>
  <si>
    <t>The girl twists her hair together in two sections.</t>
  </si>
  <si>
    <t>The girl braids the end of the twisted hair.</t>
  </si>
  <si>
    <t>The girl separates the braids and loosens them.</t>
  </si>
  <si>
    <t>The girl pulls the braids up her hair to make them more fluffy.</t>
  </si>
  <si>
    <t>The girl uses a flat iron on her hair.</t>
  </si>
  <si>
    <t>The girl holds two dogs and dances.</t>
  </si>
  <si>
    <t>v_iH659QSrcDc</t>
  </si>
  <si>
    <t>A text graphic is seen with a title and description.</t>
  </si>
  <si>
    <t>A man stands on a roof and drills pieces of wood down.</t>
  </si>
  <si>
    <t>Credits are seen for the video with a website.</t>
  </si>
  <si>
    <t>v_yLS0UuNYXOI</t>
  </si>
  <si>
    <t>A large ice glacier is shown in the water.</t>
  </si>
  <si>
    <t>A boat is pulling a person on skis behind the boat.</t>
  </si>
  <si>
    <t>The person is floating in the water.</t>
  </si>
  <si>
    <t>v_CpTIytatsno</t>
  </si>
  <si>
    <t>An athlete spins and throws a shot put on a large playing field of a stadium.</t>
  </si>
  <si>
    <t>The man celebrates and gives a thumbs up.</t>
  </si>
  <si>
    <t>A second athlete in grey shirt throws a shotput.</t>
  </si>
  <si>
    <t>The ball lands in the grass and the man is disappointed in the throw and walks away.</t>
  </si>
  <si>
    <t>A large man in yellow shirt and headband spins and throws a shut put that veers to the left of the field.</t>
  </si>
  <si>
    <t>The man is pleased with his shot and pumps his fist.</t>
  </si>
  <si>
    <t>The man gives high fives to his team mates.</t>
  </si>
  <si>
    <t>A rack of balls are seen in the grass behind scores for the game.</t>
  </si>
  <si>
    <t>The man awaits his score standing on the track among other athletes in the background.</t>
  </si>
  <si>
    <t>v_AQQT21DBT_E</t>
  </si>
  <si>
    <t>People are grooming and brushing dogs in a public facility.</t>
  </si>
  <si>
    <t>Women take cares of dogs that have long hair.</t>
  </si>
  <si>
    <t>A woman take cares of a poodle, while other woman pets a big dog.</t>
  </si>
  <si>
    <t>A woman talks on front a dog while petting.</t>
  </si>
  <si>
    <t>v_SY5WpDrtmEE</t>
  </si>
  <si>
    <t>A man is shown performing a song at Google's London offices.</t>
  </si>
  <si>
    <t>They are standing inside of an office space and playing the flute.</t>
  </si>
  <si>
    <t>The man starts really getting into it and cheering very passionately a people look on.</t>
  </si>
  <si>
    <t>A close up is shown of him playing over and over.</t>
  </si>
  <si>
    <t>he then ends the song to a round of applause and walks out of the frame.</t>
  </si>
  <si>
    <t>v_RNrxxPOyHo4</t>
  </si>
  <si>
    <t>A man is seen kneeling on the floor while holding an iron in his hands.</t>
  </si>
  <si>
    <t>He bends down with the iron to iron the shirt and puts it down.</t>
  </si>
  <si>
    <t>Afterwards he covers his ears and looks away in pain.</t>
  </si>
  <si>
    <t>v_0wpStx2JuS4</t>
  </si>
  <si>
    <t>A man in a white shirt and hat is sitting down.</t>
  </si>
  <si>
    <t>He is playing two drums in front of him.</t>
  </si>
  <si>
    <t>He stops playing them and sits up straight.</t>
  </si>
  <si>
    <t>v_5BVcwR8hEo0</t>
  </si>
  <si>
    <t>A boy serves a tennis ball.</t>
  </si>
  <si>
    <t>He then serves two more.</t>
  </si>
  <si>
    <t>The boy turns and walks away.</t>
  </si>
  <si>
    <t>v_NNKEE-015ZY</t>
  </si>
  <si>
    <t>A teen talks and hold a leash of a dog while a young man pets a dog on a couch.</t>
  </si>
  <si>
    <t>Then, the teen runs with the dog were other youth play frisbee, after the teen talks.</t>
  </si>
  <si>
    <t>A woman reads a book lean on a dispenser soda machine.</t>
  </si>
  <si>
    <t>A man walks a dog in a parking lot and the street.</t>
  </si>
  <si>
    <t>After, the teen and the young man are indoors.</t>
  </si>
  <si>
    <t>v_xfVx1-emCV8</t>
  </si>
  <si>
    <t>The video starts with a curling game being shown from overhead.</t>
  </si>
  <si>
    <t>The camera then shows a lady skating across the ice.</t>
  </si>
  <si>
    <t>Then the camera focuses back onto the curling game showing a lady about to shoot.</t>
  </si>
  <si>
    <t>They return to the overhead angle of the game while the lady prepares to shoot.</t>
  </si>
  <si>
    <t>Other players are shown watching in anticipation.</t>
  </si>
  <si>
    <t>The player makes the shot and the camera follows along.</t>
  </si>
  <si>
    <t>The crowd cheers and a replay of the shot is shown.</t>
  </si>
  <si>
    <t>v_9n_cwQLpo_c</t>
  </si>
  <si>
    <t>A person is snowboarding indoors alone.</t>
  </si>
  <si>
    <t>The person is zig-zagging with his board down a slope.</t>
  </si>
  <si>
    <t>The person turns around at the end of the slope with arms extended.</t>
  </si>
  <si>
    <t>v_s3DoV1L9zAM</t>
  </si>
  <si>
    <t>A young man is seen sitting behind a drum set holding sticks.</t>
  </si>
  <si>
    <t>The man begins playing the drums continuously while the camera captures his movements.</t>
  </si>
  <si>
    <t>He is still seen playing the drums and ends with his hands up.</t>
  </si>
  <si>
    <t>v_xmStXpxlG_I</t>
  </si>
  <si>
    <t>A toddler hits a piñata with a bat while it is spinning.</t>
  </si>
  <si>
    <t>A person is near the boy showing an arm.</t>
  </si>
  <si>
    <t>v_nxNir9CE3zI</t>
  </si>
  <si>
    <t>The scene says River Scum with a black background.</t>
  </si>
  <si>
    <t>A kayak is going down a river while a person is paddling.</t>
  </si>
  <si>
    <t>A screen comes with words.</t>
  </si>
  <si>
    <t>v_Ip1EWQCXvRM</t>
  </si>
  <si>
    <t>A small group of people are seen sitting in a raft with close ups of their feet and paddles are shown.</t>
  </si>
  <si>
    <t>A man speaks to the group and leads into them paddling down a river.</t>
  </si>
  <si>
    <t>The group continues riding down the river showing close ups of them working and ending with a logo across the screen.</t>
  </si>
  <si>
    <t>v_esQnfUcBbPE</t>
  </si>
  <si>
    <t>A black bull is taunted with a dummy hanging on a rope as the bull lunges at the dummy.</t>
  </si>
  <si>
    <t>A man with a green and white umbrella taunts a black bull on a rope while onlookers also taunt the bull from the side on a wall.</t>
  </si>
  <si>
    <t>The black bull lunges at another dummy and the dummy get caught on the bulls horn as the bull runs off after other taunting targets.</t>
  </si>
  <si>
    <t>v_-Q9WotFs1MI</t>
  </si>
  <si>
    <t>A man is holding an ax in the forest.</t>
  </si>
  <si>
    <t>He is talking and adjusting a large stump.</t>
  </si>
  <si>
    <t>He uses the ax to split the wood.</t>
  </si>
  <si>
    <t>v_TPsMocKBQU0</t>
  </si>
  <si>
    <t>We see a lady bouncing on a slack line.</t>
  </si>
  <si>
    <t>The lady sits on her knees.</t>
  </si>
  <si>
    <t>The man in the background picks up snow.</t>
  </si>
  <si>
    <t>The lady falls of the slack line.</t>
  </si>
  <si>
    <t>We see a man bouncing on the slack line.</t>
  </si>
  <si>
    <t>We go back to the first lady bouncing.</t>
  </si>
  <si>
    <t>The lady jumps off the slack line and gets back on.</t>
  </si>
  <si>
    <t>The lady spins while bouncing.</t>
  </si>
  <si>
    <t>The lady jumps off then is back on.</t>
  </si>
  <si>
    <t>v_NE6SEdnVUh4</t>
  </si>
  <si>
    <t>A group of men are sitting outside playing instruments together.</t>
  </si>
  <si>
    <t>One of the men hand another a stick made into a flute and he sits done and begins to start playing on it.</t>
  </si>
  <si>
    <t>The man starts playing saxophone along with him.</t>
  </si>
  <si>
    <t>The other men all join in and they all make music together, having a nice time.</t>
  </si>
  <si>
    <t>v_nFhBmNJ9zN0</t>
  </si>
  <si>
    <t>A person rides a horse in a field kicking a ball with a curved stick.</t>
  </si>
  <si>
    <t>People play polo in the field riding horses.</t>
  </si>
  <si>
    <t>The man with the curved stick runs behind the other players and dispute the ball and scores.</t>
  </si>
  <si>
    <t>After, the person runs behind a player with blue t-shirt to hit the ball and score.</t>
  </si>
  <si>
    <t>v_OsB_uEj1PRM</t>
  </si>
  <si>
    <t>A man is seen laying on the ground holding onto his stomach.</t>
  </si>
  <si>
    <t>He begins moving himself up and down on the ground while holding onto his waist.</t>
  </si>
  <si>
    <t>He continues moving up and down while the camera captures his movements.</t>
  </si>
  <si>
    <t>v_HI_lWd3JhII</t>
  </si>
  <si>
    <t>A close up of a person holding a bag is shown and follows with the person taking out the items.</t>
  </si>
  <si>
    <t>He lays the items out and runs a board across a ski.</t>
  </si>
  <si>
    <t>He finally rubs the ski again and places the cap on the bar.</t>
  </si>
  <si>
    <t>v_BcflqWdlBjI</t>
  </si>
  <si>
    <t>A man chops a large notch into a lox with an ax.</t>
  </si>
  <si>
    <t>The man uses his gloved hand to brush away splintered wood from the log.</t>
  </si>
  <si>
    <t>v_xafFWMX7ZeY</t>
  </si>
  <si>
    <t>An intro leads into a woman performing several different tricks with a dog and showing text for how to perform the trick.</t>
  </si>
  <si>
    <t>The woman continues performing tricks with the dog and end by walking to the camera.</t>
  </si>
  <si>
    <t>v_baktSTMnMv4</t>
  </si>
  <si>
    <t>A bunch of billiards players and shots are shown.</t>
  </si>
  <si>
    <t>The shots are trick shots in the second half of the video.</t>
  </si>
  <si>
    <t>v_XG6ar8yc2pM</t>
  </si>
  <si>
    <t>The words "My Horseback Riding Fails" appears.</t>
  </si>
  <si>
    <t>A girl riding a white horse fails to make her horse do jumps around a track.</t>
  </si>
  <si>
    <t>A song plays over the video.</t>
  </si>
  <si>
    <t>v_gN27GB5txG8</t>
  </si>
  <si>
    <t>A black screen with three rows of Arabic writing is shown.</t>
  </si>
  <si>
    <t>A young girl then comes into the bathroom and begins to wash her hands.</t>
  </si>
  <si>
    <t>As she continues,she begins talking and describing the process and then more writing appears.</t>
  </si>
  <si>
    <t>v_Z2GWtB7MGVs</t>
  </si>
  <si>
    <t>The camera pans back to show a hotel with red lanterns in the air and crows of people standing and looking out over the beach.</t>
  </si>
  <si>
    <t>A man rides a jetski in front of a large wave of dirty water.</t>
  </si>
  <si>
    <t>A sailboat is being swayed by a large wave.</t>
  </si>
  <si>
    <t>A lady is surfing on a large wave as a boat rides next to her filming it.</t>
  </si>
  <si>
    <t>We see the boat in the water swaying again.</t>
  </si>
  <si>
    <t>We see people surfing the large waves of the river.</t>
  </si>
  <si>
    <t>A man does a handstand on a surfboard while surfing.</t>
  </si>
  <si>
    <t>v_DEEgoxzTvdk</t>
  </si>
  <si>
    <t>A group of tall trees is surrounded by water.</t>
  </si>
  <si>
    <t>We see the vast ocean water around us.</t>
  </si>
  <si>
    <t>We then see several people as they relax on a boat.</t>
  </si>
  <si>
    <t>v_ta9cB1q4AzU</t>
  </si>
  <si>
    <t>A man talks and then walks in the street until to arrive to an ice cream shop.</t>
  </si>
  <si>
    <t>A woman shows a chocolate and vanilla ice cream cones, and a girl likes an ice cream.</t>
  </si>
  <si>
    <t>People purchase ice cream, and a raise child to see ice cream.</t>
  </si>
  <si>
    <t>The man lick an ice in the shop, then he pretends to lick an ice cream in a picture.</t>
  </si>
  <si>
    <t>v_DJyfOeZc2lI</t>
  </si>
  <si>
    <t>A woman is throwing darts at a dart board.</t>
  </si>
  <si>
    <t>The dart board is shown on the wall.</t>
  </si>
  <si>
    <t>She continues to throw darts at the dart board.</t>
  </si>
  <si>
    <t>She pulls the darts out of the dart board.</t>
  </si>
  <si>
    <t>v_tTBbFGv9emI</t>
  </si>
  <si>
    <t>A man cuts the center of a log with an ax while standing on the log.</t>
  </si>
  <si>
    <t>The man stands on the log holding the ax with the right hand.</t>
  </si>
  <si>
    <t>Then, the man continues cutting the log.</t>
  </si>
  <si>
    <t>After, two people walk on front the man, and one takes loosed wood from the log.</t>
  </si>
  <si>
    <t>v_Y5hT9Sk5EY4</t>
  </si>
  <si>
    <t>A dog groomer brushes the coat of a dog with a brush that is sitting on a table.</t>
  </si>
  <si>
    <t>The brushes are seen by themselves up close.</t>
  </si>
  <si>
    <t>The groomer holds up the brush to view it close up.</t>
  </si>
  <si>
    <t>The groomer removes hair from the brush and puts it into a pile.</t>
  </si>
  <si>
    <t>v_IIAaKRUze8A</t>
  </si>
  <si>
    <t>A man stands next to a small roof.</t>
  </si>
  <si>
    <t>He holds out a piece of metal.</t>
  </si>
  <si>
    <t>He places metal along side the roof.</t>
  </si>
  <si>
    <t>He attaches the pieces securely.</t>
  </si>
  <si>
    <t>v_S_ONutgLuV8</t>
  </si>
  <si>
    <t>A close up of a person's face is shown as well as driving and laying out a surf board toy.</t>
  </si>
  <si>
    <t>The man controls the machine along the water doing jumps and tricks and speaking to the camera.</t>
  </si>
  <si>
    <t>v_H0puoztHMY8</t>
  </si>
  <si>
    <t>A fire place in a room is shown.</t>
  </si>
  <si>
    <t>Windows on a house is shown.</t>
  </si>
  <si>
    <t>A hardwood flooring in a house is shown.</t>
  </si>
  <si>
    <t>There are paint cans sitting on the floor.</t>
  </si>
  <si>
    <t>v_Svr-YN9ujkA</t>
  </si>
  <si>
    <t>A woman puts her hands down on a table with some wash cloths to get a manicure.</t>
  </si>
  <si>
    <t>The manicurist puts some glass clear nail polish on her nails and then picks up a little bag of red glitter.</t>
  </si>
  <si>
    <t>The manicurist starts to put little fun decorations to make the nail look pretty.</t>
  </si>
  <si>
    <t>Then she gets the gooey stuff and goes over the nails with it to prevent them from coming off.</t>
  </si>
  <si>
    <t>v_1xcFq3SkTKk</t>
  </si>
  <si>
    <t>A large crowd of girls walk into frame holding bars then put the bars down on the ground.</t>
  </si>
  <si>
    <t>The girls then perform a dance routine moving the bars all around and end with them holding a pose and walking off stage.</t>
  </si>
  <si>
    <t>v_6qynXM937V0</t>
  </si>
  <si>
    <t>There's a man wearing a hat and a beige colored shirt standing on the banks of a river playing his harmonica.</t>
  </si>
  <si>
    <t>There is a still river behind him.</t>
  </si>
  <si>
    <t>He continues playing his harmonica to a soothing tune.</t>
  </si>
  <si>
    <t>After he stops playing, he puts his hands down.</t>
  </si>
  <si>
    <t>v_YYUm4o1aDmY</t>
  </si>
  <si>
    <t>A woman untie a pair of shoes until half and raise the tongues.</t>
  </si>
  <si>
    <t>Then, the woman put on a foot and tie the shoe behind the tongue.</t>
  </si>
  <si>
    <t>Then, the person put the other feet and tie the shoe, then she puts the tongues up.</t>
  </si>
  <si>
    <t>The woman talks and shows her shoes and skinny pants.</t>
  </si>
  <si>
    <t>v_zjbxaEVgzyE</t>
  </si>
  <si>
    <t>A woman is seen stepping into a pit with a large man and then begins running around one another.</t>
  </si>
  <si>
    <t>The woman then climbs on top of the man while he spins her around and she gets him in a head lock.</t>
  </si>
  <si>
    <t>The two bow to one another and the woman stands next to the host shaking his hands.</t>
  </si>
  <si>
    <t>v_VCldTcZi0aE</t>
  </si>
  <si>
    <t>There are several people gathered in an outdoor gymnasium.</t>
  </si>
  <si>
    <t>There are people standing and seated in the bleachers watching about twelve band students performing.</t>
  </si>
  <si>
    <t>Most of the players are drumming on the percussion instruments in a rhythmic tune.</t>
  </si>
  <si>
    <t>The percussion players begin going round in a circle as they play the instruments.</t>
  </si>
  <si>
    <t>v_IIKwRyf4Oyg</t>
  </si>
  <si>
    <t>A close up of a guitar is seen with a hand plucking the strings.</t>
  </si>
  <si>
    <t>A man is then seen singing into a microphone while still playing the guitar.</t>
  </si>
  <si>
    <t>The man moves his fingers up and down the guitar while still singing into the microphone.</t>
  </si>
  <si>
    <t>v_MN0YWduOEHk</t>
  </si>
  <si>
    <t>men are standing in big field pulling a thick rope.</t>
  </si>
  <si>
    <t>men are walking on sides of the rope and preparing themselves to pull the rope.</t>
  </si>
  <si>
    <t>men start pullnig the rope in both sides.</t>
  </si>
  <si>
    <t>v_5K6oT9zBjVE</t>
  </si>
  <si>
    <t>A person is showing off a scrubbing brush and cleaner and pouring the clearing into a sink.</t>
  </si>
  <si>
    <t>He scrubs the sink with the brush creating suds in the water while the facet runs.</t>
  </si>
  <si>
    <t>He continues scrubbing the sink with the brush until the sink is clean.</t>
  </si>
  <si>
    <t>He wipes a paper towel around the sink with the water continues to run.</t>
  </si>
  <si>
    <t>v_3VYPdypGB_Q</t>
  </si>
  <si>
    <t>A guy is outside playing a guitar.</t>
  </si>
  <si>
    <t>A boy rides a scooter.</t>
  </si>
  <si>
    <t>A child slides down a slide.</t>
  </si>
  <si>
    <t>Children and an adult stand in line.</t>
  </si>
  <si>
    <t>The boy walks towards the line.</t>
  </si>
  <si>
    <t>v_DbF6oI705UA</t>
  </si>
  <si>
    <t>A lady wearing a UCA jersey is giving a tutorial on the different moves of cheer leading.</t>
  </si>
  <si>
    <t>As she talks, several cheerleaders show the different poses and stretches that are often done by cheerleaders to improve flexibility.</t>
  </si>
  <si>
    <t>The lady continues to explain how certain poses help in improving general flexibility in cheerleaders.</t>
  </si>
  <si>
    <t>v_uoy7NjeESZc</t>
  </si>
  <si>
    <t>A group of bikers stand on the start line.</t>
  </si>
  <si>
    <t>Suddenly all the bikes fall from a stage.</t>
  </si>
  <si>
    <t>The scene of the fall of the bikers is repeated several times.</t>
  </si>
  <si>
    <t>v_rEDbnmvTblI</t>
  </si>
  <si>
    <t>The video is shot in first person view along a snowy slope.</t>
  </si>
  <si>
    <t>The person starts at the top of the slope, riding a tube.</t>
  </si>
  <si>
    <t>They quickly slide down and travel through the snowy path.</t>
  </si>
  <si>
    <t>At the bottom, a large pile of tubes stops the person from sliding further.</t>
  </si>
  <si>
    <t>The camera pans to another group of people who have also finished sliding down the slope.</t>
  </si>
  <si>
    <t>v_fSA-eTz3GkU</t>
  </si>
  <si>
    <t>A man in a black shirt spins around and throws a ball onto the field.</t>
  </si>
  <si>
    <t>A man in the stands claps for him.</t>
  </si>
  <si>
    <t>Another man spins and throws a ball onto the field.</t>
  </si>
  <si>
    <t>v_kmtuO9Xdp-Y</t>
  </si>
  <si>
    <t>A woman plays guitar on stage.</t>
  </si>
  <si>
    <t>The lady sings in the microphone.</t>
  </si>
  <si>
    <t>The lady takes a break from singing.</t>
  </si>
  <si>
    <t>The lady begins to sing again.</t>
  </si>
  <si>
    <t>The lady stops singing then steps back to the microphone.</t>
  </si>
  <si>
    <t>v_FbPUX8cWmeU</t>
  </si>
  <si>
    <t>A young lady dressed in a pink leotard and tuto begins prancing around a large stage.</t>
  </si>
  <si>
    <t>As she continues her routine,she continues doing ballet leaps and swinging her arms and twisting like a ballerina.</t>
  </si>
  <si>
    <t>Behind,her a castle appears cast on the wall as the girl smiles and looks out to the crowd.</t>
  </si>
  <si>
    <t>v_5kBKAfEX7XA</t>
  </si>
  <si>
    <t>An athlete is seen walking up to a set of uneven bars and begins performing a gymnastics routine on the bars.</t>
  </si>
  <si>
    <t>He continues moving around on the bars and ends by jumping down on the side with his arms out.</t>
  </si>
  <si>
    <t>v_Jz9ZxenBLa8</t>
  </si>
  <si>
    <t>There are a lot of people riding in small bumper cars that can fit either 1 or 2 people.</t>
  </si>
  <si>
    <t>A woman in a blue bumper car bumps into the middle metal part and she seems stuck and can't move but suddenly she begins to move again.</t>
  </si>
  <si>
    <t>Everyone keeps riding their bumper cars after the woman gets herself going again and eventually they all come to a stop.</t>
  </si>
  <si>
    <t>v_eufCY8KHuMA</t>
  </si>
  <si>
    <t>A man is riding a black horse in slow motion.</t>
  </si>
  <si>
    <t>People are shown trying to jump fences in several scenes, falling over or breaking through them at break neck speeds.</t>
  </si>
  <si>
    <t>As the rider walks away, the words Do you think it's easy? Appear on the screen.</t>
  </si>
  <si>
    <t>v_K8ivAsscK98</t>
  </si>
  <si>
    <t>A camera pans between a person and the cameraman and leads into a man sitting in front of a drum set.</t>
  </si>
  <si>
    <t>The man then plays the drums continuously and another man walks in and sings and dances.</t>
  </si>
  <si>
    <t>Another man is shown close up and pans back to the drummer then ceiling.</t>
  </si>
  <si>
    <t>v_t-xIv68Ac4c</t>
  </si>
  <si>
    <t>Several people are in a dance room and an instructor comes as they begin to dance.</t>
  </si>
  <si>
    <t>The six people continue to dance from side to side making arrows like a Jamaican dance.</t>
  </si>
  <si>
    <t>As it continues,steps are repeated and throws fist punts in the air.</t>
  </si>
  <si>
    <t>v_KyMDXMXZLyM</t>
  </si>
  <si>
    <t>A person is talking while looking at their icy car.</t>
  </si>
  <si>
    <t>He uses a tool to scrape the ice off the windshield.</t>
  </si>
  <si>
    <t>He continues scraping until he can see to drive.</t>
  </si>
  <si>
    <t>v_Nf-7lKa387k</t>
  </si>
  <si>
    <t>There is smoke and lights and words on the screen.</t>
  </si>
  <si>
    <t>The smoke is rolling around a hat.</t>
  </si>
  <si>
    <t>A person is blowing smoke out of their nose and smoke rings.</t>
  </si>
  <si>
    <t>The camera reverses and he continues to blow smoke.</t>
  </si>
  <si>
    <t>The words everything is purple.</t>
  </si>
  <si>
    <t>The smoke continues to blow and the words Edits by Jarron Jones comes up.</t>
  </si>
  <si>
    <t>The man keeps blowing smoke into the air.</t>
  </si>
  <si>
    <t>v_rBgMeunuviE</t>
  </si>
  <si>
    <t>There are 5 different people sitting in chairs playing accordions that has pianos attached to them.</t>
  </si>
  <si>
    <t>There are 2 women, and 3 men and all of them, look very serious about what they're doing.</t>
  </si>
  <si>
    <t>They all press different keys to make blending sounds and not all of them use the accordion much.</t>
  </si>
  <si>
    <t>v_JOYduGqZSRc</t>
  </si>
  <si>
    <t>Men explains the game beer pong, while people compete in the tournament.</t>
  </si>
  <si>
    <t>Two person wears funny clothes and white wigs.</t>
  </si>
  <si>
    <t>Several people compete beer pong in a table full of cups with beer, then one person wins and people congratulates the winner.</t>
  </si>
  <si>
    <t>Then, people plays beer pong unsuccessful, and then a man throw the ball in the far cup, then people hug the winner who receives a price.</t>
  </si>
  <si>
    <t>A person takes pictures to the winner.</t>
  </si>
  <si>
    <t>v_KIIcgQyr0-Y</t>
  </si>
  <si>
    <t>We see a guitar illustration on the opening scene.</t>
  </si>
  <si>
    <t>We see a man hitting the guitar like drum.</t>
  </si>
  <si>
    <t>The man plays a song on the guitar and we briefly see the song and artist name on the screen.</t>
  </si>
  <si>
    <t>We focus on the mans left hand on the guitar neck.</t>
  </si>
  <si>
    <t>The man finishes and stops playing.</t>
  </si>
  <si>
    <t>We see the illustration again.</t>
  </si>
  <si>
    <t>v_APCbvR0SBl0</t>
  </si>
  <si>
    <t>A person runs and throws a javelin.</t>
  </si>
  <si>
    <t>There are people watching them behind a fence.</t>
  </si>
  <si>
    <t>A green umbrella sits next to the track.</t>
  </si>
  <si>
    <t>v_0pxONuRdIAY</t>
  </si>
  <si>
    <t>Two people give a news report about the importance of wearing sunscreen and talk with each other.</t>
  </si>
  <si>
    <t>People are shown outside putting sunscreen on.</t>
  </si>
  <si>
    <t>The newscasters then talk at the end with each other.</t>
  </si>
  <si>
    <t>v_KoMKIJ6QbpY</t>
  </si>
  <si>
    <t>A man in a white shirt is putting a tile on the floor.</t>
  </si>
  <si>
    <t>The man points beside the tile then stands.</t>
  </si>
  <si>
    <t>The camera zooms in on the tile.</t>
  </si>
  <si>
    <t>v_4ivePL3RW0Q</t>
  </si>
  <si>
    <t>The video begins with a close up of two young boys.</t>
  </si>
  <si>
    <t>A title slide is then shown, and then shows several ingredients used in a recipe for cookies.</t>
  </si>
  <si>
    <t>The video then shows the two boys mixing ingredients together.</t>
  </si>
  <si>
    <t>They roll the dough into balls and place them into an oven.</t>
  </si>
  <si>
    <t>The boys take the cookies out of the oven and begin eating them.</t>
  </si>
  <si>
    <t>v_I6riV09yqm8</t>
  </si>
  <si>
    <t>An intro leads into a woman preparing to jump and flips around and around on bars.</t>
  </si>
  <si>
    <t>She continues her gymnastic routine flipping through the bars with a bar spotting her and she finishes by putting her arms up.</t>
  </si>
  <si>
    <t>v_dS9TsX_zyPg</t>
  </si>
  <si>
    <t>A man wearing an apron is seen rubbing down several dishes while throwing them in a sink.</t>
  </si>
  <si>
    <t>The man continues rubbing down dishes while immediately throwing them into a sink of water.</t>
  </si>
  <si>
    <t>v_SIeV0DPSpHQ</t>
  </si>
  <si>
    <t>We see an opening sequence with flashes.</t>
  </si>
  <si>
    <t>We see two men in a yard pushing an item in the grass.</t>
  </si>
  <si>
    <t>We see a dirt patch in the grass.</t>
  </si>
  <si>
    <t>We see the monitor on the device.</t>
  </si>
  <si>
    <t>We see a tree in a round of dirt.</t>
  </si>
  <si>
    <t>We see a root in the yard.</t>
  </si>
  <si>
    <t>We see the ending credits and the screen fades.</t>
  </si>
  <si>
    <t>v_wjD2BdbSb1o</t>
  </si>
  <si>
    <t>A girl in a black shirt and pink shorts is painting a wooden fence.</t>
  </si>
  <si>
    <t>v_s84BStnbfK8</t>
  </si>
  <si>
    <t>Two people are standing in a room.</t>
  </si>
  <si>
    <t>They begin to play a game of wall ball.</t>
  </si>
  <si>
    <t>They are swinging their rackets hitting the ball.</t>
  </si>
  <si>
    <t>v_xkKjgwIPEuM</t>
  </si>
  <si>
    <t>People are running around on field playing lacrosse.</t>
  </si>
  <si>
    <t>The crowd is watching them play.</t>
  </si>
  <si>
    <t>A black and white logo is shown on the screen.</t>
  </si>
  <si>
    <t>v_VCdZ9gfzRWo</t>
  </si>
  <si>
    <t>A large Christmas tree is sitting in a room.</t>
  </si>
  <si>
    <t>A man and woman are putting lights on the Christmas tree.</t>
  </si>
  <si>
    <t>A dog is walking around the Christmas tree.</t>
  </si>
  <si>
    <t>v_K4cNyYu2LLg</t>
  </si>
  <si>
    <t>A set of toddler boys are standing up against the wall talking and playing with toothbrushes.</t>
  </si>
  <si>
    <t>They both begin to brush their teeth ferociously without any toothpaste or water.</t>
  </si>
  <si>
    <t>v_B5s4uYNIM24</t>
  </si>
  <si>
    <t>An intro comes onto the screen showing a high rise building.</t>
  </si>
  <si>
    <t>Then, a man is shown gearing up and putting on several contraptions that he can connect to a belt.</t>
  </si>
  <si>
    <t>He is then shown washing the windows of the very tall building.</t>
  </si>
  <si>
    <t>He uses a scrapper the scrape of a sticker from one of the windows.</t>
  </si>
  <si>
    <t>He is shows dipping a washer in a bucket and washing the windows of the ground floor.</t>
  </si>
  <si>
    <t>Several of the window washing supplies are shown again before the video ends.</t>
  </si>
  <si>
    <t>v_uE6_kwnfDCQ</t>
  </si>
  <si>
    <t>A woman shows tango steps moving and turning around while talking.</t>
  </si>
  <si>
    <t>Then, the man moves around showing tango steps.</t>
  </si>
  <si>
    <t>After, the woman and the man dance tango together while the man talks.</t>
  </si>
  <si>
    <t>v_ThRbaI4pGIs</t>
  </si>
  <si>
    <t>A picture of an island coast is shown with calm blue waves washing up against the rocks.</t>
  </si>
  <si>
    <t>A male suddenly appears and begins running towards the water with a surf board.</t>
  </si>
  <si>
    <t>The man begins surfing on the waves as several people sit on the beach watching him.</t>
  </si>
  <si>
    <t>After awhile,the male leaves the water and sits on the hill with the surfboard and then walks away.</t>
  </si>
  <si>
    <t>v_AmW-O5MmJHk</t>
  </si>
  <si>
    <t>A woman hands a young boy a stick with a little girl grabbing for her attention.</t>
  </si>
  <si>
    <t>The pinata is lifted and the boy begins swinging at the object.</t>
  </si>
  <si>
    <t>The camera pans around people watching while he hits the pinata and a little boy is seen clapping behind him.</t>
  </si>
  <si>
    <t>v__7l3OxQodF0</t>
  </si>
  <si>
    <t>A man in a purple shirt is talking to the camera.</t>
  </si>
  <si>
    <t>He starts climbing wood planks up a wall.</t>
  </si>
  <si>
    <t>He gets down off the wall and continues talking.</t>
  </si>
  <si>
    <t>v_B3ZL18f1x4Y</t>
  </si>
  <si>
    <t>Various pictures of food are shown followed by a person cutting up vegetables and mixing various ingredients into a pot.</t>
  </si>
  <si>
    <t>He then cuts up a piece of bread, scoops out the insides, and fries up some meat.</t>
  </si>
  <si>
    <t>Finally he pours all the ingredients into the break bowl, wraps it up in aluminum foil, and shows more pictures of the sandwich.</t>
  </si>
  <si>
    <t>v_0RUMAGGab1k</t>
  </si>
  <si>
    <t>a man is standing in front of a camera.</t>
  </si>
  <si>
    <t>He starts playing a harmonica for the camera.</t>
  </si>
  <si>
    <t>He rocks back and forth to the music as he goes.</t>
  </si>
  <si>
    <t>v_04LdesS7Pxk</t>
  </si>
  <si>
    <t>A man is closing his eyes while getting his beard trimmed and combed.</t>
  </si>
  <si>
    <t>The man now has a nearly shaven beard and is getting his neck shaved.</t>
  </si>
  <si>
    <t>The man has shaving cream on his neck and side and is getting his beard closely shaven with a razor in a downward motion.</t>
  </si>
  <si>
    <t>His face is getting toweled off after being shaven.</t>
  </si>
  <si>
    <t>A man rubs something on his hands and pats it on the other mans face.</t>
  </si>
  <si>
    <t>His face gets patted with the towel at the end.</t>
  </si>
  <si>
    <t>v_qyssgQ2xq2M</t>
  </si>
  <si>
    <t>Inside of the house on the couch two men are sitting, one of them is talking casually awhile the other is holding his arm out on a pillow.</t>
  </si>
  <si>
    <t>The man is painting his friends finger nails, he seems to have done someone else's nails also and made little red heart.</t>
  </si>
  <si>
    <t>The man is talking and pretty excited her able to do this, he keeps putting the top of the polish back to get more paint on it.</t>
  </si>
  <si>
    <t>He jokingly rubs the other mans face, and continues to take his time painting his nails.</t>
  </si>
  <si>
    <t>v_jQU4NYJzxco</t>
  </si>
  <si>
    <t>There are two children standing at a double stainless steel sink in a residential home.</t>
  </si>
  <si>
    <t>The taller child moves dishes from the right side of the sink to the left side of the sink one by one while the smaller child holds onto an orange bottle brush and doesn't move any dishes.</t>
  </si>
  <si>
    <t>Both of the children turn to the camera behind them and the older gives a big smile while the little one gives a very small smile.</t>
  </si>
  <si>
    <t>v_8TDYCXqSHCw</t>
  </si>
  <si>
    <t>A gymnast lift a weight until his shoulders, then lift it above his head.</t>
  </si>
  <si>
    <t>The man left the weight fall on the floor.</t>
  </si>
  <si>
    <t>v_bDD56LnztiQ</t>
  </si>
  <si>
    <t>A man is seen speaking to the camera behind a desk and leads into shows of people riding on skateboards.</t>
  </si>
  <si>
    <t>More shots of him talking are shown as well as people do tricks on the skateboards.</t>
  </si>
  <si>
    <t>v_T9JSNxOyUQA</t>
  </si>
  <si>
    <t>A large group of people is standing and walking around several stacks of inner-tubes and a bus.</t>
  </si>
  <si>
    <t>Two young children are sitting in one of the bus seats.</t>
  </si>
  <si>
    <t>A group of adults is riding in the bus talking.</t>
  </si>
  <si>
    <t>Several kids are in their inner-tubes in the water among other people floating on inner-tubes in the water.</t>
  </si>
  <si>
    <t>Several people are shown in canoes with people in inner-tubes in the background.</t>
  </si>
  <si>
    <t>A young girl sinks down in the middle of her inner-tube and jumps back up with her head soaked.</t>
  </si>
  <si>
    <t>Someone shows a first person view floating down the river.</t>
  </si>
  <si>
    <t>Various other people are shown in inner-tubes and canoes in the water.</t>
  </si>
  <si>
    <t>A few people are seen buying food from two women at a a concession stand.</t>
  </si>
  <si>
    <t>A man holds a young boy in a life vest who looks like he is sleeping.</t>
  </si>
  <si>
    <t>v_l5uaH-Qydxk</t>
  </si>
  <si>
    <t>A young girl is climbing across the monkey bars outside a building.</t>
  </si>
  <si>
    <t>She is swinging from each rung, moving her body forward one at a time.</t>
  </si>
  <si>
    <t>When she reaches the other end, she turns and starts making her way back to the beginning.</t>
  </si>
  <si>
    <t>v_iJPPWotXvV0</t>
  </si>
  <si>
    <t>A man in a gym walks over to a barbell.</t>
  </si>
  <si>
    <t>The man lifts the barbell to his chest, then over his head.</t>
  </si>
  <si>
    <t>The man drops the weight.</t>
  </si>
  <si>
    <t>The man hugs the men behind him.</t>
  </si>
  <si>
    <t>A man in red runs and jumps on the weight lifting man.</t>
  </si>
  <si>
    <t>The man in red walks away laughing.</t>
  </si>
  <si>
    <t>v_Bi3vlu17qp8</t>
  </si>
  <si>
    <t>A person in a black shirt gets hit by a ball.</t>
  </si>
  <si>
    <t>People standing on the beach are tossing around an orange ball.</t>
  </si>
  <si>
    <t>There are people swimming in the water behind them.</t>
  </si>
  <si>
    <t>v_ZSoPIyVJWWk</t>
  </si>
  <si>
    <t>A clear package of soft flexible hair curlers is shown on a black table as a hand picks up an unwrapped purple curler and fidgets with it.</t>
  </si>
  <si>
    <t>The hand turns the bag around so that the contents are shown through the mouth of the bag before handling both the loose purple and pink curlers.</t>
  </si>
  <si>
    <t>The hand continues to go back and forth between handling the two loose curlers and the full back of curlers before the video ends.</t>
  </si>
  <si>
    <t>v_SIHG_BRgn2E</t>
  </si>
  <si>
    <t>A black and white video intro appears with special effects of asian lettering showing up while different pictures of people are displayed.</t>
  </si>
  <si>
    <t>An Asian man is now smiling and talking to the camera as he sits in front of a microphone in a studio, and he then sings as he plays on a black piano as he reads music from music sheets on the piano.</t>
  </si>
  <si>
    <t>When the man is done singing and playing he turns to the camera and gives a big smile.</t>
  </si>
  <si>
    <t>A black screen appears and white lettering appears at the bottom right.</t>
  </si>
  <si>
    <t>v_tHhdS8t9ytI</t>
  </si>
  <si>
    <t>docto is talking in a consulting room and mixing liquids into a test tube preparing coffee and talking to the camera about benefis of the coffee.</t>
  </si>
  <si>
    <t>coffe is being served in a cup and is shown the benefits of the coffee in the body.</t>
  </si>
  <si>
    <t>v_iAwNYgA6mkc</t>
  </si>
  <si>
    <t>A man kneels in his fencing gear.</t>
  </si>
  <si>
    <t>A man walks up to him with his back turned as they talk.</t>
  </si>
  <si>
    <t>The man stands, and engages in fencing with an opponent, both attached to cables behind them.</t>
  </si>
  <si>
    <t>v__eanWnL3FtM</t>
  </si>
  <si>
    <t>A man wearing a blue shirt and a man wearing a dart shirt enter a stage surrounded by a crowd.</t>
  </si>
  <si>
    <t>The two men competes paper, scissors and rock on front a judge.</t>
  </si>
  <si>
    <t>The two men continues competing while the judge gives the start.</t>
  </si>
  <si>
    <t>Then, the two men continue competing, after the man wearing dark shirt wins the competition and people cheers.</t>
  </si>
  <si>
    <t>v_JI5_cMwgnxI</t>
  </si>
  <si>
    <t>A guy wearing a red plaid shirt is showing a tutorial on how to trim and prune trees in a garden.</t>
  </si>
  <si>
    <t>He is using a pair of garden shears to chop off the excessive leaves grown on the trees.</t>
  </si>
  <si>
    <t>He then demonstrates how to fertile the trees and shrubs by using some fertilizer balls.</t>
  </si>
  <si>
    <t>He then used a liquid fertilizer on the trees and plants to fortify them.</t>
  </si>
  <si>
    <t>He finally waters the trees and plants with a hose to complete the process.</t>
  </si>
  <si>
    <t>v_4XGQR2VmWpw</t>
  </si>
  <si>
    <t>We see a red light then the title.</t>
  </si>
  <si>
    <t>A man's biker gear is shown.</t>
  </si>
  <si>
    <t>We are shown the terrain.</t>
  </si>
  <si>
    <t>The riders take off on their bikes.</t>
  </si>
  <si>
    <t>We see them ride over all types of terrain.</t>
  </si>
  <si>
    <t>We see an Aerial shot of the bikers.</t>
  </si>
  <si>
    <t>We see a lake, and a dog followed by a bike on a street.</t>
  </si>
  <si>
    <t>A man uses a knife to open a coconut.</t>
  </si>
  <si>
    <t>We go back to the dirt bikers performing stunts.</t>
  </si>
  <si>
    <t>We see two bikers flying through the sky.</t>
  </si>
  <si>
    <t>We then see three bikers sitting still on their bikes.</t>
  </si>
  <si>
    <t>We see the end title card.</t>
  </si>
  <si>
    <t>v_vWGkTOLx57s</t>
  </si>
  <si>
    <t>A young gymnastic boy gets on a bar and starts doing flips and other things.</t>
  </si>
  <si>
    <t>It seems like he is being judged for a tournament.</t>
  </si>
  <si>
    <t>He is on the bars doing excellent, looking awesome and having fun while doing it.</t>
  </si>
  <si>
    <t>Then, he lands and poses and the audience is shown.</t>
  </si>
  <si>
    <t>v_XDFJFhaG_p0</t>
  </si>
  <si>
    <t>A man stands holding a violin and bow discussing its features.</t>
  </si>
  <si>
    <t>The man sets the instrument under his chin and tightens the bow.</t>
  </si>
  <si>
    <t>The man undoes the bow strings and raps them around the violin.</t>
  </si>
  <si>
    <t>The man plays a song on the violin.</t>
  </si>
  <si>
    <t>v_crSMHcUkPcA</t>
  </si>
  <si>
    <t>A green splash appears against a white back drown.</t>
  </si>
  <si>
    <t>Then a series of words appear across the screen and showing various pictures describing the terms.</t>
  </si>
  <si>
    <t>A man is then shown standing on a ladder laying wall paper.</t>
  </si>
  <si>
    <t>After,the man cuts the wall paper and gains assistance while putting the paper on the roof.</t>
  </si>
  <si>
    <t>The two finish and give each a high five.</t>
  </si>
  <si>
    <t>Finally,several rooms are shown displaying the work they've done.</t>
  </si>
  <si>
    <t>v_Hj_YKQiU-8Y</t>
  </si>
  <si>
    <t>A young girl is seen speaking to the camera while playing with her hair.</t>
  </si>
  <si>
    <t>She points to her shirt and leads into her brushing her hair while speaking to the camera.</t>
  </si>
  <si>
    <t>v_iVVatZsgnGo</t>
  </si>
  <si>
    <t>A person is seen swimming under water using scuba gear and pulling a rope by her side.</t>
  </si>
  <si>
    <t>She then catches a fish and is seen again in a bikini swimming around a whale.</t>
  </si>
  <si>
    <t>More shots of a dolphin are shown jumping through the water and ends with text across the screen.</t>
  </si>
  <si>
    <t>v_5OGNGIF22SY</t>
  </si>
  <si>
    <t>A buff young man is sitting on a machine with a sliding seat demonstrating weight lifting techniques.</t>
  </si>
  <si>
    <t>He then slides back,puts his feet in the ropes and starts to tie his shoes.</t>
  </si>
  <si>
    <t>Once complete,the man grabs the rope and moves back and forth while pulling out the rope to exercise.</t>
  </si>
  <si>
    <t>Now he is done,he drops the ropes and starts to talk again.</t>
  </si>
  <si>
    <t>v_dgbGv3G4k5M</t>
  </si>
  <si>
    <t>A family is rearranging furniture in a living room.</t>
  </si>
  <si>
    <t>They set up a Christmas tree in the corner of the room.</t>
  </si>
  <si>
    <t>They put lights on the tree.</t>
  </si>
  <si>
    <t>They put bulbs onto the tree.</t>
  </si>
  <si>
    <t>A little girl does a spin in front of the tree.</t>
  </si>
  <si>
    <t>v__icW_MAe7Po</t>
  </si>
  <si>
    <t>A man is inside a gym with a ball.</t>
  </si>
  <si>
    <t>He joins a team, playing a game of soccer.</t>
  </si>
  <si>
    <t>They kick the ball back and forth on the court.</t>
  </si>
  <si>
    <t>v_huKjjvCG0EE</t>
  </si>
  <si>
    <t>men are standing in a geen grssy field playing croquet.</t>
  </si>
  <si>
    <t>people are sitting on the field around the croquet game.</t>
  </si>
  <si>
    <t>man wearing white uniform is talking to the camera in the field.</t>
  </si>
  <si>
    <t>a man and a woman are talking to the camera.</t>
  </si>
  <si>
    <t>v_aiTAx3oo97U</t>
  </si>
  <si>
    <t>We see a person standing on a stair stepper.</t>
  </si>
  <si>
    <t>The person moves a cord out of the way.</t>
  </si>
  <si>
    <t>The man begins to walk on the stepper.</t>
  </si>
  <si>
    <t>The person lifts their right hand.</t>
  </si>
  <si>
    <t>v_tt5-QtDwm3Y</t>
  </si>
  <si>
    <t>A man is seen speaking to the camera and leads into him helping a man shoot several baskets.</t>
  </si>
  <si>
    <t>The coach is then seen instructing a large group of children as they shoot baskets over and over.</t>
  </si>
  <si>
    <t>v_GTOP7XXi_vI</t>
  </si>
  <si>
    <t>Smoke fills an empty dark room.</t>
  </si>
  <si>
    <t>Words appear on the screen, followed by the appearance of men who are kickboxing.</t>
  </si>
  <si>
    <t>A group plays instruments behind them while they fight.</t>
  </si>
  <si>
    <t>The two men end the fight with a hug.</t>
  </si>
  <si>
    <t>v_ldjIg23Rofw</t>
  </si>
  <si>
    <t>two man are in a room playing row row row your boat.</t>
  </si>
  <si>
    <t>two men are playing taking a selfie in a living room.</t>
  </si>
  <si>
    <t>man is standing in living room playing beer pong and taking out his shirt.</t>
  </si>
  <si>
    <t>man is standing in the living room holding a tennis racket and hiting a ball.</t>
  </si>
  <si>
    <t>two men are standing in the living oom playing beer pong and doing other shot games with a bottle of whiskey.</t>
  </si>
  <si>
    <t>v_zyh1cftKtQM</t>
  </si>
  <si>
    <t>A woman is seen speaking to the camera while holding up various objects and begins brushing her hair.</t>
  </si>
  <si>
    <t>She ties her hair up while still speaking and holding up several brushes at the sign time.</t>
  </si>
  <si>
    <t>v_WdC6dVbfTvs</t>
  </si>
  <si>
    <t>A body piercing artist is seen piercing the belly button of a female.</t>
  </si>
  <si>
    <t>Initially he uses a piercing tool to make the incision on the belly button.</t>
  </si>
  <si>
    <t>Afterwards he inserts the piercing and makes sure its secure.</t>
  </si>
  <si>
    <t>Than he uses a wipe and cleans the area.</t>
  </si>
  <si>
    <t>Afterwards the girl stands up talks to he friend and looks in the mirror.</t>
  </si>
  <si>
    <t>In the end the camera man turns around and speaks to the camera with authority .</t>
  </si>
  <si>
    <t>v_yrCBN0tYjPE</t>
  </si>
  <si>
    <t>A man stands in a large room.</t>
  </si>
  <si>
    <t>He then jumps up on beams.</t>
  </si>
  <si>
    <t>He then balances himself on the beam.</t>
  </si>
  <si>
    <t>He does several flips and tricks.</t>
  </si>
  <si>
    <t>v_5fgJ5vWTcSQ</t>
  </si>
  <si>
    <t>A man is riding a skateboard down a suburban road.</t>
  </si>
  <si>
    <t>Two more are shown as the camera man is spotting them from behind.</t>
  </si>
  <si>
    <t>He pushes them, keeping them at a fast pace.</t>
  </si>
  <si>
    <t>v_a_v_1fL2VyM</t>
  </si>
  <si>
    <t>An athlete jumps with a pole to pass the horizontal bar, then he falls on the foamy mat.</t>
  </si>
  <si>
    <t>Then, there is a flash back of the vault pole jump.</t>
  </si>
  <si>
    <t>v_Z2wZr0Beq9c</t>
  </si>
  <si>
    <t>A woman is seen sitting behind a poker table and dealer cards while others do the same in the back.</t>
  </si>
  <si>
    <t>The woman continues dealing cards on the table while looking and smiling to the camera.</t>
  </si>
  <si>
    <t>v_cu8TBL7msJg</t>
  </si>
  <si>
    <t>Several clips are shown of people holding tennis rackets and hitting a ball into the distance.</t>
  </si>
  <si>
    <t>Text is shown across the screen and more shots are shown of people demonstrating.</t>
  </si>
  <si>
    <t>The people continue hitting the balls around the court while the camera captures their movements.</t>
  </si>
  <si>
    <t>v_I5RVQUYA1w4</t>
  </si>
  <si>
    <t>The two girls hug each other and the girl who's wearing the blue dress slightly pushes past the other girl.</t>
  </si>
  <si>
    <t>Then she runs back to her and hugs her and runs away from her again.</t>
  </si>
  <si>
    <t>v_6Eh7B3GnQWI</t>
  </si>
  <si>
    <t>We see a man talking to the camera while holding an accordion.</t>
  </si>
  <si>
    <t>The man then plays the accordion and we see it up close.</t>
  </si>
  <si>
    <t>The man holds a note and his hands shake.</t>
  </si>
  <si>
    <t>We zoom out and the man stops playing.</t>
  </si>
  <si>
    <t>v_mvl6wff267o</t>
  </si>
  <si>
    <t>A large group of people are seen running down a track and transitions into several more people running.</t>
  </si>
  <si>
    <t>Two girls check their wrists while one speaks to the camera and several shots of a wristband are shown.</t>
  </si>
  <si>
    <t>More people are interviewed while wearing the wrist bands and show how they work while many run around.</t>
  </si>
  <si>
    <t>v_vkk-sOo8Hqw</t>
  </si>
  <si>
    <t>We see men on a boat, a saw appears then a man in a hammock.</t>
  </si>
  <si>
    <t>the man gets up and goes to his mower and creates something on a wheel well and ties it to the mower and the shed door.</t>
  </si>
  <si>
    <t>The man allows the mower to spin around the object and cut the grass.</t>
  </si>
  <si>
    <t>It then pulls the object into the shed on the line and the door pulls closed.</t>
  </si>
  <si>
    <t>v_A6CBFa22oJc</t>
  </si>
  <si>
    <t>An add displays a web site about a business called happydogz.</t>
  </si>
  <si>
    <t>Then, a man appears pulled by a dog, then adds display information about a retractable dog leash.</t>
  </si>
  <si>
    <t>After, a couple pulls two dogs from leashes.</t>
  </si>
  <si>
    <t>After, adds display information about the leash.</t>
  </si>
  <si>
    <t>v_8LI3rnG6kMA</t>
  </si>
  <si>
    <t>A carved pumpking with a light in it glows on a counter.</t>
  </si>
  <si>
    <t>Supplies for carving are then shown.</t>
  </si>
  <si>
    <t>A woman cuts the top off the pumpkin, emptying the seeds.</t>
  </si>
  <si>
    <t>She then carves the traced lines to cut out the design.</t>
  </si>
  <si>
    <t>When she is done, a tea light is placed inside the pumpkin and lit.</t>
  </si>
  <si>
    <t>v_JK8pYBpatAY</t>
  </si>
  <si>
    <t>She has a metal weight bar on her shoulders.</t>
  </si>
  <si>
    <t>She moves up and down lifting the weight.</t>
  </si>
  <si>
    <t>v_2iBb6ArHweI</t>
  </si>
  <si>
    <t>A woman is seen speaking to the camera while holding a bottle of sunscreen.</t>
  </si>
  <si>
    <t>She then opens the bottle and uses a holder on the side.</t>
  </si>
  <si>
    <t>She shows off the holder while still speaking to the camera.</t>
  </si>
  <si>
    <t>v_TpURw9nc8ks</t>
  </si>
  <si>
    <t>Several people are seen standing around one another holding sticks and looking around.</t>
  </si>
  <si>
    <t>The people hit a ball across a lawn one at a time and are seen laughing and smiling at one another.</t>
  </si>
  <si>
    <t>v_IHPb-JPIhg8</t>
  </si>
  <si>
    <t>A man is swinging on a balance beam.</t>
  </si>
  <si>
    <t>He jumps off and puts his hands in the air.</t>
  </si>
  <si>
    <t>He gets back on the balance beam.</t>
  </si>
  <si>
    <t>v_CiCNA-Nr1QQ</t>
  </si>
  <si>
    <t>A man is at a bowling alley dressed in bowling clothes, shoes and wearing gloves as he takes turns rolling the ball down the lane and hitting pins.</t>
  </si>
  <si>
    <t>The man grabs the ball from the return and holds the ball and stands there for a while staring down the lane, and when he finally rolls it he makes a strike.</t>
  </si>
  <si>
    <t>When the strike is over, it then replays in slow motion.</t>
  </si>
  <si>
    <t>v_QtiqvB4uw2Y</t>
  </si>
  <si>
    <t>A view of a top of a roof with pine straws shown strewn all over it appears and a banner at the bottom say's "If you got pine straw on your roof, call us 678-887-9479.</t>
  </si>
  <si>
    <t>A man is now on the top of the roof and he has a blower in his right hand, metal stick in his left hand for balance, and he's walking along the roof blowing off all of the pine straws.</t>
  </si>
  <si>
    <t>The last view is of the cleaned off roof and the website is shown at the bottom of the screen.</t>
  </si>
  <si>
    <t>v_Y76wuHBZgdU</t>
  </si>
  <si>
    <t>A man is is laying carpet in a room.</t>
  </si>
  <si>
    <t>A woman is looking at carpet samples in a shop.</t>
  </si>
  <si>
    <t>Men are on their knees installing hardwood flooring.</t>
  </si>
  <si>
    <t>v_VdeYnCIbRJ4</t>
  </si>
  <si>
    <t>An athletic man is seen standing at the beginning of a long track with several people standing on the sidelines.</t>
  </si>
  <si>
    <t>He begins running down the track and jumping with a few others walk around him in the distance.</t>
  </si>
  <si>
    <t>v__UPD2IvdQ_M</t>
  </si>
  <si>
    <t>An audience is gathered in a gymnasium to watch the gymnast on the pommel horse.</t>
  </si>
  <si>
    <t>He concentrates, and then mounts to begin his routine.</t>
  </si>
  <si>
    <t>He performs first one, and then a second impressive handstand while gripping one handle with both hands.</t>
  </si>
  <si>
    <t>He completes his routine, and then finishes with a flawless dismount to cheering.</t>
  </si>
  <si>
    <t>v_nn-ASL9KZUo</t>
  </si>
  <si>
    <t>A man is seen throwing a dart up over the camera while looking into the distance.</t>
  </si>
  <si>
    <t>Several shots are shown of him throwing as well as text going across the screen.</t>
  </si>
  <si>
    <t>The man continues throwing over and over again.</t>
  </si>
  <si>
    <t>v_0YPfoB84Fes</t>
  </si>
  <si>
    <t>A woman shows how to cover a cake with frosting using a spatula.</t>
  </si>
  <si>
    <t>Then, she explains how to cleans the border of the cake using a cloth.</t>
  </si>
  <si>
    <t>v_hG2kfPRWjO0</t>
  </si>
  <si>
    <t>A close up of a phone is shown as well as a person waking up, brushing their teeth, and walking out the door.</t>
  </si>
  <si>
    <t>Close ups are shown of people riding up a ski lift as well as down a mountain.</t>
  </si>
  <si>
    <t>The people to zoom in on the camera looking closely and waving to one another.</t>
  </si>
  <si>
    <t>v_xCVZBvwhoWE</t>
  </si>
  <si>
    <t>A person is seen standing in a close room holding a tennis racket.</t>
  </si>
  <si>
    <t>The person then begins hitting the ball with the racket and walking around.</t>
  </si>
  <si>
    <t>Another person is seen walking in frame as well as out.</t>
  </si>
  <si>
    <t>v_AF6tasHTW-8</t>
  </si>
  <si>
    <t>Two kids are jump roping outside.</t>
  </si>
  <si>
    <t>Two adults are kneeling down on the ground holding a jump rope for a kid.</t>
  </si>
  <si>
    <t>The woman is talking to the camera.</t>
  </si>
  <si>
    <t>A boy spills a glass on his face while jump roping.</t>
  </si>
  <si>
    <t>v_f4mDKdD0z3U</t>
  </si>
  <si>
    <t>woman is wearing harness and get in a helicopter above and are flying above a volcano.</t>
  </si>
  <si>
    <t>a man and a woman are hanging from the helicopter's door holds to a rope and make a jump.</t>
  </si>
  <si>
    <t>the man and the woman are in the land talking to a couple.</t>
  </si>
  <si>
    <t>v_H6g8SsxL8RU</t>
  </si>
  <si>
    <t>man in in front of a car with the hood open.</t>
  </si>
  <si>
    <t>man walks through the woods and ty to light a woodfire.</t>
  </si>
  <si>
    <t>v_pVkwQOp1xZo</t>
  </si>
  <si>
    <t>Someone is stroking blue paint up and down on a fence.</t>
  </si>
  <si>
    <t>They put the paint brush in the paint again to gather more paint.</t>
  </si>
  <si>
    <t>Then continue to proceed with painting the fence.</t>
  </si>
  <si>
    <t>They do that multiple times trying to cover all of the brown.</t>
  </si>
  <si>
    <t>v_jqW7r60gOzE</t>
  </si>
  <si>
    <t>A man is seen standing before a hold child holding up a pinata while others stand around and watch.</t>
  </si>
  <si>
    <t>The blind folded boy then takes multiple swings at the pinata while the kids sit around and watch.</t>
  </si>
  <si>
    <t>v_lk2niPrG3y8</t>
  </si>
  <si>
    <t>There's a woman in a yellow tank top and black tights doing jump rope in a gym.</t>
  </si>
  <si>
    <t>She jumps in a rhythmic manner without stopping on the hardwood floor surface.</t>
  </si>
  <si>
    <t>After she's done, a person standing in front of her gives her a thumbs up and cheers for her.</t>
  </si>
  <si>
    <t>v_W3KCFRADoX8</t>
  </si>
  <si>
    <t>A woman is sitting in a room talking.</t>
  </si>
  <si>
    <t>There is a white cat on the bed behind her.</t>
  </si>
  <si>
    <t>She starts braiding her hair to the side.</t>
  </si>
  <si>
    <t>She continues talking and blows a kiss to the camera.</t>
  </si>
  <si>
    <t>v_cKHdMUfKsQ8</t>
  </si>
  <si>
    <t>A woman is seen speaking to the camera while holding up a paintbrush and bucket.</t>
  </si>
  <si>
    <t>She paints a piece of furniture next to her while also holding up a brush.</t>
  </si>
  <si>
    <t>She holds up more objects while dipping the brushes into them as well as uses it on the furniture.</t>
  </si>
  <si>
    <t>v_FeXBmKYV8HY</t>
  </si>
  <si>
    <t>A woman reporting is speaking to a camera with a serious demeanor.</t>
  </si>
  <si>
    <t>A man unzips his violin from the bag and plays a little bit for the camera while the reporter commentates.</t>
  </si>
  <si>
    <t>He begins to struggle playing with his condition, and shows surgery on how to fix him.</t>
  </si>
  <si>
    <t>The reporter claims that the man is better than ever and shows his progress playing a violin in a show.</t>
  </si>
  <si>
    <t>v_cwQQj3VZLC8</t>
  </si>
  <si>
    <t>A man is standing at the start line clapping his hands, people look on.</t>
  </si>
  <si>
    <t>He takes off running and does a long jump.</t>
  </si>
  <si>
    <t>He salutes the large applauding audience.</t>
  </si>
  <si>
    <t>Another man waits on the start line before accelerating into the long jump.</t>
  </si>
  <si>
    <t>He looks to the crowd who are subdued.</t>
  </si>
  <si>
    <t>He walk away looking at the ground.</t>
  </si>
  <si>
    <t>Another man waits on the start line before running into a longjump.</t>
  </si>
  <si>
    <t>He waves to the appreciative crowd and runs away smiling and celebrating.</t>
  </si>
  <si>
    <t>v_uu4_cV49pMI</t>
  </si>
  <si>
    <t>A person is seen lying on the ground with another person running from behind.</t>
  </si>
  <si>
    <t>The person running then falls and others around them help and drink water.</t>
  </si>
  <si>
    <t>v_n2fFj1mBjhQ</t>
  </si>
  <si>
    <t>Players are playing lacrosse in a hockey arena.</t>
  </si>
  <si>
    <t>The players leaves the arena.</t>
  </si>
  <si>
    <t>A green team player runs towards the clear window.</t>
  </si>
  <si>
    <t>v_dVCAykynRzs</t>
  </si>
  <si>
    <t>A camera pans around a mcdonalds and leads into a man speaking to a cashier.</t>
  </si>
  <si>
    <t>Several shots are then shown of people playing rock paper scissors with employees.</t>
  </si>
  <si>
    <t>When people win the game, they get a free ice cream.</t>
  </si>
  <si>
    <t>v_E7OCzz_XuiI</t>
  </si>
  <si>
    <t>A fridge is seen opening with two people grabbing onto a piece of cheese.</t>
  </si>
  <si>
    <t>The two men fight then begin playing a game of rock paper scissors.</t>
  </si>
  <si>
    <t>They use various tools and objects to play as well as smaller versions of themselves that keep panning backwards.</t>
  </si>
  <si>
    <t>v_50oy8wP2Wo8</t>
  </si>
  <si>
    <t>We see an opening screen then a sitting lady.</t>
  </si>
  <si>
    <t>We see a person cutting the ladies long hair with a level.</t>
  </si>
  <si>
    <t>The person then brushes her blunt hair.</t>
  </si>
  <si>
    <t>The lady turns around and smiles.</t>
  </si>
  <si>
    <t>We see a before and after.</t>
  </si>
  <si>
    <t>We then see scenes of people using the tool.</t>
  </si>
  <si>
    <t>We see the tool in white and blue.</t>
  </si>
  <si>
    <t>The closing screen is seen.</t>
  </si>
  <si>
    <t>v_VFKUKX9ToNI</t>
  </si>
  <si>
    <t>a group of swimmers are on a diving board.</t>
  </si>
  <si>
    <t>A man falls off the board very suddenly.</t>
  </si>
  <si>
    <t>He hits other levels on his way down into the water.</t>
  </si>
  <si>
    <t>v_insSTTMSC38</t>
  </si>
  <si>
    <t>A woman is doing some exercise on a machine.</t>
  </si>
  <si>
    <t>She is going at a pretty fast speed, you can see her get off and then get back on again.</t>
  </si>
  <si>
    <t>She places her hands around a piece and it allows her to she her stride and speed as well as her heartbeat and stuff.</t>
  </si>
  <si>
    <t>She changes the her speed and drink some water and keeps on going.</t>
  </si>
  <si>
    <t>v_1Ao43T5yRjI</t>
  </si>
  <si>
    <t>A rusty ball is shown rolling down some type of man made ramp.</t>
  </si>
  <si>
    <t>Several Olympic athletes are then shown putting the shotput by their neck and throwing it and getting their distance measured.</t>
  </si>
  <si>
    <t>A black scoreboard is finally shown and they begin to give the winner the medal and show the flag of the country the person is representing.</t>
  </si>
  <si>
    <t>v_lcUtnIptSjM</t>
  </si>
  <si>
    <t>A woman in a lab coat is in a hospital recovery room.</t>
  </si>
  <si>
    <t>She soaps up her hands well with soap.</t>
  </si>
  <si>
    <t>She then rinses and dries them thoroughly.</t>
  </si>
  <si>
    <t>v_zcvbHJ1BZ9s</t>
  </si>
  <si>
    <t>A man pulls a boot onto his foot seated in a chair inside.</t>
  </si>
  <si>
    <t>The man fastens the straps on the boat.</t>
  </si>
  <si>
    <t>A person shows the man how to fasten the straps on the boot.</t>
  </si>
  <si>
    <t>The man shakes while trying to finish putting on the shoes.</t>
  </si>
  <si>
    <t>v_29kX1NaPGP0</t>
  </si>
  <si>
    <t>An older man is seen speaking to the camera while holding a tennis ball and racket in his hand.</t>
  </si>
  <si>
    <t>He moves the racket and ball up to demonstrate how to properly serve the ball, followed by him actually serving the ball in slow motion.</t>
  </si>
  <si>
    <t>The same shot is shown several more times to demonstrate how to properly perform this serve.</t>
  </si>
  <si>
    <t>v_aEAmMKa8iuM</t>
  </si>
  <si>
    <t>An indoor BMX bike race happens.</t>
  </si>
  <si>
    <t>After the start, everyone goes around the track as quick as possible.</t>
  </si>
  <si>
    <t>v_TIue1jR51j8</t>
  </si>
  <si>
    <t>Man in purple talks to the camera.</t>
  </si>
  <si>
    <t>Man in purple walks forward in slow steps.</t>
  </si>
  <si>
    <t>Man in gray demonstrates how to walk.</t>
  </si>
  <si>
    <t>Man in gray demonstrates different jumps.</t>
  </si>
  <si>
    <t>v_dcmfRooP6dg</t>
  </si>
  <si>
    <t>A close up of a strawberry is shown.</t>
  </si>
  <si>
    <t>A woman is talking with an array of watercolors.</t>
  </si>
  <si>
    <t>She demonstrates how to use the watercolors to create art on a canvas.</t>
  </si>
  <si>
    <t>v_wRKFbuczjsw</t>
  </si>
  <si>
    <t>There's a woman in a pink shirt and black shorts training a dog on a large open lawn.</t>
  </si>
  <si>
    <t>she is throwing pink colored Frisbee discs for the dog to run and fetch.</t>
  </si>
  <si>
    <t>Every time she throws the disc, the dog gets excited and runs and fetches the disc for her.</t>
  </si>
  <si>
    <t>The dog is well trained to catch the disc in its mouth almost every time without missing it.</t>
  </si>
  <si>
    <t>there are are few people standing and watching the trainer and the dog.</t>
  </si>
  <si>
    <t>v_yAa24V7sXJM</t>
  </si>
  <si>
    <t>An emblem appears on the screen.</t>
  </si>
  <si>
    <t>A view of the sun is seen between the clouds.</t>
  </si>
  <si>
    <t>A woman walks up to a young boy who has his pants down, crouching in front of a bucket.</t>
  </si>
  <si>
    <t>She yells at him, and drags him away.</t>
  </si>
  <si>
    <t>She shows him how to lather his hands with soap.</t>
  </si>
  <si>
    <t>Then the group of gathered women talk as the boy watches and listens.</t>
  </si>
  <si>
    <t>The women look sad as she walks away.</t>
  </si>
  <si>
    <t>A boy and woman walk up to talk to another woman, and she looks upset.</t>
  </si>
  <si>
    <t>A doctor is shown talking about dirty hands to the women.</t>
  </si>
  <si>
    <t>They are then shown outside, washing their hands and doctoring the boy as they show how not to be dirty.</t>
  </si>
  <si>
    <t>The group jumps into the air in celebration.</t>
  </si>
  <si>
    <t>v_Kdf1HhynNx8</t>
  </si>
  <si>
    <t>Two girls are seen waving to the camera while one holds up a drink and the other plays with her hair.</t>
  </si>
  <si>
    <t>The girls walk around a bit followed by drinking out of a glass and making funny faces to the camera.</t>
  </si>
  <si>
    <t>v_zBtmE0BAjGE</t>
  </si>
  <si>
    <t>A woman is shown walking around a kitchen turning on a faucet and l letting the sink fill up with water.</t>
  </si>
  <si>
    <t>She is shown wearing gloves, spraying cleaner around the sink and scrubbing with a brush.</t>
  </si>
  <si>
    <t>She smiles at the cleaning product and pans out to the label being shown.</t>
  </si>
  <si>
    <t>v_45WfFPM5yvw</t>
  </si>
  <si>
    <t>a man in swimming trunks is outdoors, fastening himself into equipment.</t>
  </si>
  <si>
    <t>He gets on a parasailer, and gets into the water.</t>
  </si>
  <si>
    <t>He begins sailing on a surfboard, holding on tightly as he speeds up.</t>
  </si>
  <si>
    <t>He then stops in the water, leaning onto his side.</t>
  </si>
  <si>
    <t>v_r-XQMXUJBqk</t>
  </si>
  <si>
    <t>A kid is playing hopscotch on the ground.</t>
  </si>
  <si>
    <t>They go back and forth on the hopscotch board.</t>
  </si>
  <si>
    <t>They bend down to pick something up.</t>
  </si>
  <si>
    <t>v_5K-soRkdGDs</t>
  </si>
  <si>
    <t>A dog is shown running up steps to a building.</t>
  </si>
  <si>
    <t>They go inside, and it's a dog grooming salon.</t>
  </si>
  <si>
    <t>Several signs in another language are shown before the equipment is turned on.</t>
  </si>
  <si>
    <t>The dog is rinsed, soaped, bathed and clipped on the machine.</t>
  </si>
  <si>
    <t>v_oO6jZR9Aijc</t>
  </si>
  <si>
    <t>A store front is seen from the outside.</t>
  </si>
  <si>
    <t>A store owner stands behind a display wall and discusses.</t>
  </si>
  <si>
    <t>Paintball players run through a grassy court with obstacles and aim their weapons.</t>
  </si>
  <si>
    <t>The store owner displays different face masks for the sport.</t>
  </si>
  <si>
    <t>v_DKnvOGEDUyQ</t>
  </si>
  <si>
    <t>A group of people are seen standing around a Foosball table playing a game with one another using the poles to play.</t>
  </si>
  <si>
    <t>The men continue playing game and fourth while the camera captures them from above and two walk away in the end.</t>
  </si>
  <si>
    <t>v_37Q3so6ERxs</t>
  </si>
  <si>
    <t>A man in blue shirt drink a big glass of beer.</t>
  </si>
  <si>
    <t>The blonde man beside him is cheering.</t>
  </si>
  <si>
    <t>The man in blue shirt finished his drink and put it down, and the blonde man cheered.</t>
  </si>
  <si>
    <t>v_CRKA3xPEKm8</t>
  </si>
  <si>
    <t>man is standing in parallels doing gymnastics in a roofed gym.</t>
  </si>
  <si>
    <t>people is in teraces watching the man.</t>
  </si>
  <si>
    <t>v_rV9RzL8o7tk</t>
  </si>
  <si>
    <t>A girl wearing a white coat with hood is next to man and a woman on side of a pool table.</t>
  </si>
  <si>
    <t>Then, the girl walks and takes off the coat, then she takes a cue stick and bend on front two men.</t>
  </si>
  <si>
    <t>After, the girl turns and grabs the boy shirt while making a sexy gesture, then she turns to play again.</t>
  </si>
  <si>
    <t>A man wants to touch the butt of a girl.</t>
  </si>
  <si>
    <t>v_nw8MpBwL508</t>
  </si>
  <si>
    <t>A girl in a purple outfit gets onto a balance beam.</t>
  </si>
  <si>
    <t>She does a gymnastics routine on the balance beam.</t>
  </si>
  <si>
    <t>v_8LTh7r2U8Fw</t>
  </si>
  <si>
    <t>An athlete walks onto a field outside.</t>
  </si>
  <si>
    <t>He runs with a javelin in the air.</t>
  </si>
  <si>
    <t>He throws the javelin as far as he can, repeating multiple times.</t>
  </si>
  <si>
    <t>v_gtzg66XV6E0</t>
  </si>
  <si>
    <t>a woman is in front of a table, holding a cat.</t>
  </si>
  <si>
    <t>She pets the cat to calm him down.</t>
  </si>
  <si>
    <t>She then gently clips his toenails.</t>
  </si>
  <si>
    <t>v_0J55EGFLglQ</t>
  </si>
  <si>
    <t>it seems like they are watching on tv a game of soccer.</t>
  </si>
  <si>
    <t>The station shows for what channel it is that is being watched.</t>
  </si>
  <si>
    <t>The women on the court are running around trying to get the ball.</t>
  </si>
  <si>
    <t>One of the women runs all the way into the goal.</t>
  </si>
  <si>
    <t>v_ezx7z-kx2v4</t>
  </si>
  <si>
    <t>A man is standing up and throws a rock.</t>
  </si>
  <si>
    <t>People are standing and watching him.</t>
  </si>
  <si>
    <t>A man gets into a horse carriage and rides away.</t>
  </si>
  <si>
    <t>v_7univ6G4RXA</t>
  </si>
  <si>
    <t>We see a boy brushing his teeth and dancing in the bathroom.</t>
  </si>
  <si>
    <t>The boy pauses and looks at the brush.</t>
  </si>
  <si>
    <t>The boy returns to brushing and dancing.</t>
  </si>
  <si>
    <t>The boy holds on the the sink for a moment.</t>
  </si>
  <si>
    <t>The boy holds onto the sink again.</t>
  </si>
  <si>
    <t>v_veKNTB-N9EQ</t>
  </si>
  <si>
    <t>A close up of a wall is shown with water spraying down the sides that leads into several pictures as well as people spraying down the ground.</t>
  </si>
  <si>
    <t>More people are seen spraying down a truck as well as cars being lifted up on a machine while more pictures are shown.</t>
  </si>
  <si>
    <t>v_6sorAV7KJxA</t>
  </si>
  <si>
    <t>This man is shown standing on the roof saying a few words.</t>
  </si>
  <si>
    <t>Then he starts removing some parts of wood from the roof and he piles all of the tiles up.</t>
  </si>
  <si>
    <t>Then he puts them where they should go to make a full part on the roof.</t>
  </si>
  <si>
    <t>v_MJZjSHG6tBY</t>
  </si>
  <si>
    <t>A man does a barbecue in a yard while singing with people showing drinks in cans and cups.</t>
  </si>
  <si>
    <t>Then people walk to a bar and sing inside drinking beer.</t>
  </si>
  <si>
    <t>Women serves drinks from a fountain.</t>
  </si>
  <si>
    <t>A man talks on front a microphone and people continue singing and showing beer.</t>
  </si>
  <si>
    <t>Then, people are again singing, drinking and dancing outdoors.</t>
  </si>
  <si>
    <t>v_M6yAoJJQvGY</t>
  </si>
  <si>
    <t>A woman is seen speaking to the camera and leads into clips of her performing ab exercises wile speaking to the camera.</t>
  </si>
  <si>
    <t>The woman demonstrates how to do a proper sit up by moving her arms in different places and speaking to the camera.</t>
  </si>
  <si>
    <t>v_4XEowfJ-1W0</t>
  </si>
  <si>
    <t>A person shows a bowl of ice cream at Disneyland.</t>
  </si>
  <si>
    <t>The person enjoys the bowl of ice cream.</t>
  </si>
  <si>
    <t>A trolley rolls along a street with a conductor hanging out of the window.</t>
  </si>
  <si>
    <t>A busy street is seen with many people walking along and looking at a parked trolley car.</t>
  </si>
  <si>
    <t>v_etG65un_AiQ</t>
  </si>
  <si>
    <t>A jet ski is parked and a man is riding one.</t>
  </si>
  <si>
    <t>We see a man's name on the screen and a man behind a boat and a man jet skiing and flipping around.</t>
  </si>
  <si>
    <t>Two men on a jet ski shake their hair.</t>
  </si>
  <si>
    <t>A person name is on the screen and we see a man jet ski.</t>
  </si>
  <si>
    <t>Another name and another man on the jet ski.</t>
  </si>
  <si>
    <t>We see the man as he prepares to ski riding behind the boat.</t>
  </si>
  <si>
    <t>We see the lake and then the closing credits.</t>
  </si>
  <si>
    <t>v_mHbsKzezfFQ</t>
  </si>
  <si>
    <t>We see a black screen and the credits.</t>
  </si>
  <si>
    <t>A person is cutting a man's hair.</t>
  </si>
  <si>
    <t>They switch to an electric razor on the back.</t>
  </si>
  <si>
    <t>The person uses the shaver on their hand.</t>
  </si>
  <si>
    <t>The screen changes to black for a moment.</t>
  </si>
  <si>
    <t>We see the screen change again and the person lines the back of the man's head.</t>
  </si>
  <si>
    <t>The barber touches the shaver edge.</t>
  </si>
  <si>
    <t>The screen fades to black and the ending credits roll.</t>
  </si>
  <si>
    <t>v_p4YTDxTASBI</t>
  </si>
  <si>
    <t>A group of people are riding in various canoes down a river.</t>
  </si>
  <si>
    <t>A man shoots a flame up into the air followed by several others as well.</t>
  </si>
  <si>
    <t>The camera pans around the group of people dressed as pirates and in other various costumes.</t>
  </si>
  <si>
    <t>v_vHejQlbAL78</t>
  </si>
  <si>
    <t>Several people are seen grabbing skis as well as cars lined up and people speaking to one another.</t>
  </si>
  <si>
    <t>This leads into several clips of skiers riding down mountains one after the other.</t>
  </si>
  <si>
    <t>People are shown riding together as well as a solo and ends with a man kicking at the camera.</t>
  </si>
  <si>
    <t>v_o_AftOrP4zI</t>
  </si>
  <si>
    <t>The athlete is putting on his red sneakers, then he talked to the camera, and then run in the indoor tracking field.</t>
  </si>
  <si>
    <t>He rested for a bit, then his coach is having interview, then the scene change where the athlete started to practice, running around, then did some pole jumped.</t>
  </si>
  <si>
    <t>He did some exercises and stretches.</t>
  </si>
  <si>
    <t>v_jTMdMnbW9OI</t>
  </si>
  <si>
    <t>A boy in an orange shirt is playing a video game.</t>
  </si>
  <si>
    <t>The scene changes to the game itself.</t>
  </si>
  <si>
    <t>The scene changes back to the boy.</t>
  </si>
  <si>
    <t>The camera zooms in on the controller.</t>
  </si>
  <si>
    <t>The scene goes back to the game.</t>
  </si>
  <si>
    <t>There is a close up of the boy's face.</t>
  </si>
  <si>
    <t>The camera shows the TV with the back of the boy's head.</t>
  </si>
  <si>
    <t>The game is playing until the end.</t>
  </si>
  <si>
    <t>The boy says something and TV has numbers on it.</t>
  </si>
  <si>
    <t>The boy is talking again.</t>
  </si>
  <si>
    <t>The boy gets up and leaves the room.</t>
  </si>
  <si>
    <t>He goes to the bathroom and is rubbing his eyes.</t>
  </si>
  <si>
    <t>He looks in the mirror then reaches for the face wash and puts some in his hand.</t>
  </si>
  <si>
    <t>He throws the face wash on the washing machine.</t>
  </si>
  <si>
    <t>He puts his head in the sink and washes his face angrily.</t>
  </si>
  <si>
    <t>When he looks in the mirror again, it is an old man.</t>
  </si>
  <si>
    <t>He falls to the floor.</t>
  </si>
  <si>
    <t>He washes his face again and this time it turn to a skull.</t>
  </si>
  <si>
    <t>He rubs his face and the skull falls into the sink.</t>
  </si>
  <si>
    <t>v_q5thIuCSTkk</t>
  </si>
  <si>
    <t>A person has their hand over the lens.</t>
  </si>
  <si>
    <t>We then see a child in gray skiing in front of the camera operator.</t>
  </si>
  <si>
    <t>the child falls off their skis and lays in the snow.</t>
  </si>
  <si>
    <t>The camera person stops and wipes snow from the kids goggles and turns off the camera.</t>
  </si>
  <si>
    <t>v_ArGF2CfOxkY</t>
  </si>
  <si>
    <t>A horse is behind a yellow gate as a man sits on top holding a rope.</t>
  </si>
  <si>
    <t>The gate is opened,and a black calf comes running out into the field of dirt.</t>
  </si>
  <si>
    <t>Almost instantly,the man throws his lasso and jumps off to secure the cow.</t>
  </si>
  <si>
    <t>Once he is finished,the man gets back on the horse and other individuals come out to take the calf out.</t>
  </si>
  <si>
    <t>v_hHWXldYW8rU</t>
  </si>
  <si>
    <t>A camera walks closer to a girl pointing to her eye in the mirror.</t>
  </si>
  <si>
    <t>She then bends down forward and sticks her face under the water rubbing it along her face.</t>
  </si>
  <si>
    <t>v_ciEBsDNryN8</t>
  </si>
  <si>
    <t>A woman is seen holding an accordion while shaking her fists into the air.</t>
  </si>
  <si>
    <t>A band is seen walking in behind her and begins playing while she does.</t>
  </si>
  <si>
    <t>The girl continues to play with the band and ends by looking to the camera.</t>
  </si>
  <si>
    <t>v_WGHXYbCWvyU</t>
  </si>
  <si>
    <t>A man is seen standing in a field with his eye closed and standing still.</t>
  </si>
  <si>
    <t>The man then begins moving his arms and legs around his body.</t>
  </si>
  <si>
    <t>He continues moving his body around with his eyes closed.</t>
  </si>
  <si>
    <t>v_bXLa6zLsJ50</t>
  </si>
  <si>
    <t>A woman lays on a table being prepped for ear piercing.</t>
  </si>
  <si>
    <t>The person in charge of the operation pierces her ear in two places with a small rod.</t>
  </si>
  <si>
    <t>The person applies a cork to one end of the rod.</t>
  </si>
  <si>
    <t>The person pushes a different rod through the holes created by the initial piercing.</t>
  </si>
  <si>
    <t>The person caps the new rod on both ends.</t>
  </si>
  <si>
    <t>The woman shows off her new piercing and smiles.</t>
  </si>
  <si>
    <t>v_xPnNcv7ErXk</t>
  </si>
  <si>
    <t>A young child is seen smiling to the camera and beginning to climb across monkey bars.</t>
  </si>
  <si>
    <t>She makes it to the other side and then waves to the camera.</t>
  </si>
  <si>
    <t>v_S2V2TgLAMKg</t>
  </si>
  <si>
    <t>A person holds small objects in their hands.</t>
  </si>
  <si>
    <t>The person applies objects continuously to a wooden surface.</t>
  </si>
  <si>
    <t>When the person rubs on the smaller object, it puts a white residue on the surface.</t>
  </si>
  <si>
    <t>When the person rubs on the brown object, it removes the residue.</t>
  </si>
  <si>
    <t>v_79LyHiS908U</t>
  </si>
  <si>
    <t>A man is shown sitting in front of several drums and banging to a rhythm.</t>
  </si>
  <si>
    <t>He talks to the camera about his song and what he is planning on playing.</t>
  </si>
  <si>
    <t>The man continues playing while the camera pans in and out on him playing the drums.</t>
  </si>
  <si>
    <t>v_UBqFQKI1YW8</t>
  </si>
  <si>
    <t>A black man gymnast prepares to perform on a parallel bar exhibition.</t>
  </si>
  <si>
    <t>The man mounts the parallel bar and goes into a handstand and performs a series of spins and moves.</t>
  </si>
  <si>
    <t>The gymnast goes into his dismount and lands a perfect landing on the mat.</t>
  </si>
  <si>
    <t>v_TH1kq-KBr9Y</t>
  </si>
  <si>
    <t>A man is hanging up wallpaper.</t>
  </si>
  <si>
    <t>He looks back at the camera.</t>
  </si>
  <si>
    <t>He steps down from the step ladder.</t>
  </si>
  <si>
    <t>A chair appears with the wallpaper.</t>
  </si>
  <si>
    <t>The man is taking down the paper.</t>
  </si>
  <si>
    <t>v_eVwRbDXyBbc</t>
  </si>
  <si>
    <t>There is a pool table with billiard balls on it.</t>
  </si>
  <si>
    <t>A person has a pool cue in their hand.</t>
  </si>
  <si>
    <t>They hit the cue ball into the other balls.</t>
  </si>
  <si>
    <t>v_AWXdK-ix3gQ</t>
  </si>
  <si>
    <t>A gymaist stands holding is arm up and jumping onto a beam.</t>
  </si>
  <si>
    <t>He moves his arms and spins himself round and round on a set of bars.</t>
  </si>
  <si>
    <t>He does handstands and flips and jumps off to finish his routine.</t>
  </si>
  <si>
    <t>v_lvAXZEUE0m8</t>
  </si>
  <si>
    <t>A man puts a harness on and steps on a bridge.</t>
  </si>
  <si>
    <t>He jumps off the bridge and bungee jumps over a body of water.</t>
  </si>
  <si>
    <t>A boat drives up and puts him in the boat.</t>
  </si>
  <si>
    <t>v_2RfasAe0-tA</t>
  </si>
  <si>
    <t>A girl dressed as a tomboy and a boy dressed in a red shirt are standing in a room across from each other in a messy room.</t>
  </si>
  <si>
    <t>The two begin to grab each other and they begin salsa dancing.</t>
  </si>
  <si>
    <t>They continue dancing and spin each other around and doing a some type of salsa dancing.</t>
  </si>
  <si>
    <t>v_KPJJfGK5NCw</t>
  </si>
  <si>
    <t>This woman is shown standing in one spot for a little while.</t>
  </si>
  <si>
    <t>Then she moves to throw the ball into the air and she goes back to the position she was in.</t>
  </si>
  <si>
    <t>Then she jumps back and turns around to throw the ball at a small distance, except she is not positioned quite right this time.</t>
  </si>
  <si>
    <t>v_6URUyopL8qM</t>
  </si>
  <si>
    <t>A sign appears in a yard and a red van comes traveling down the road.</t>
  </si>
  <si>
    <t>After,a man appears tubing in a trail of water underneath the bridge.</t>
  </si>
  <si>
    <t>As he continues down the river,he hits a few rocks along the way and begins to bobble up and down before returning back in front of the red van.</t>
  </si>
  <si>
    <t>v_Hh7aXAtWsXg</t>
  </si>
  <si>
    <t>A woman is see laughing with a group of people and one man hitting the other.</t>
  </si>
  <si>
    <t>A person hands a man a set of darts who then throws them off into the distance.</t>
  </si>
  <si>
    <t>The people continue speaking while the camera pans all around them.</t>
  </si>
  <si>
    <t>v_1VDNFR3vQR4</t>
  </si>
  <si>
    <t>There are two guys standing on a large blue mat in a gym and they are both wearing shorts and a pair of boxing gloves.</t>
  </si>
  <si>
    <t>The men square up and they begin hitting and kicking at one another with brief moments of stopping in between their punches and their kicks.</t>
  </si>
  <si>
    <t>One of the guys kicks the other one too hard and the one who got kicked gets mad, rips his gloves off of his hands, walks away and angrily throws his gloves.</t>
  </si>
  <si>
    <t>v_ih3LAZtQM50</t>
  </si>
  <si>
    <t>A guy bows while standing outside.</t>
  </si>
  <si>
    <t>The guy start doing karate outside.</t>
  </si>
  <si>
    <t>The guy does karate indoors and then leaves.</t>
  </si>
  <si>
    <t>A dog stands with a sweater.</t>
  </si>
  <si>
    <t>v_qywEvklc1kM</t>
  </si>
  <si>
    <t>Two people are seen speaking to the camera with one holding a pot and the other handing him ingredients.</t>
  </si>
  <si>
    <t>The other then mixes the ingredients into a bowl and pouts it into a pan.</t>
  </si>
  <si>
    <t>More people come in to take a bite as well as a young boy helping and the man continuing to cook.</t>
  </si>
  <si>
    <t>v_q-ID2mgEIow</t>
  </si>
  <si>
    <t>A man wearing glasses is seen stepping into frame and playing an accordion.</t>
  </si>
  <si>
    <t>The man continues to play while looking off into the distance and stops by smiling to the camera.</t>
  </si>
  <si>
    <t>v_l5qCvYE1-tA</t>
  </si>
  <si>
    <t>Two young girls are in a gym and they do a side ways hurtles over a bar in the middle of the gym.</t>
  </si>
  <si>
    <t>The video is then replayed in slow motion and once again in a faster speed.</t>
  </si>
  <si>
    <t>v_zwm-v9MLOFY</t>
  </si>
  <si>
    <t>4 men are in a square doing break dance while people is gathered around them watching them dance and do tricks in front of a lot of stores.</t>
  </si>
  <si>
    <t>names of the break dancers are shown in the screen.</t>
  </si>
  <si>
    <t>v_9qUbxwjh-4A</t>
  </si>
  <si>
    <t>We see a young girl light a cigarette.</t>
  </si>
  <si>
    <t>She then takes the cigarette out of her mouth and talks.</t>
  </si>
  <si>
    <t>She hands the lighter to another person and puts her hand on her hip.</t>
  </si>
  <si>
    <t>v_d7-tFV0RSCk</t>
  </si>
  <si>
    <t>A man is standing outside of a home talking with a large silver pole in his hand that has a yellow rope attached to it.</t>
  </si>
  <si>
    <t>The man begins cleaning the inside of a sliding glass door with his pole and brush and washes around the base and the inside of the window.</t>
  </si>
  <si>
    <t>The man then stops and begins talking to the camera and pointing to the window before he waves bye.</t>
  </si>
  <si>
    <t>v_CTIVIXvCI3c</t>
  </si>
  <si>
    <t>A small child is seen hoping along the floor when a woman leads in more young dancers.</t>
  </si>
  <si>
    <t>She lines up the girls in front of a large crowd and the kids begin dancing on the stage.</t>
  </si>
  <si>
    <t>The little ones continue to dance and twirl on stage and walk off stage.</t>
  </si>
  <si>
    <t>v_rA_RAZx2_aA</t>
  </si>
  <si>
    <t>Women from different nationalities competes long jumps is a stadium.</t>
  </si>
  <si>
    <t>Women continue competing long jump.</t>
  </si>
  <si>
    <t>An athlete runs, then skip and jumps forward to perform long jump while judges holds sticks to measure.</t>
  </si>
  <si>
    <t>v_pibXLs9IOX8</t>
  </si>
  <si>
    <t>man is standing in a green field preparing himself to make a cricket shot, other man is watchim him and take off the hat and the sunglasses and the man is really sweaty and prepare to make the shot and to score which he did, they enjoy and hug each other and the man throw the ball.</t>
  </si>
  <si>
    <t>men are seating on a couch in a living room and are talking to each other and to the camera.</t>
  </si>
  <si>
    <t>winner and information of the video is shown.</t>
  </si>
  <si>
    <t>v_tPHfkxAwyp8</t>
  </si>
  <si>
    <t>A title screen appears in red letters and then fades out in a martial arts classroom.</t>
  </si>
  <si>
    <t>In a small martial arts classroom the students are gathered around, singing, clapping and playing instruments around a small circle for 5 capoeira matches where the fighters dancing and swinging their legs and arms and at the end of each match the fighters shake hands, hug and touch the musicians.</t>
  </si>
  <si>
    <t>Then a closing screen with a logo for the Capoeira school.</t>
  </si>
  <si>
    <t>v_yxZ4ouqcld4</t>
  </si>
  <si>
    <t>A camera shoots various shots all around a city and shoe store.</t>
  </si>
  <si>
    <t>Hundreds of people are walking around an area and checking out shoes.</t>
  </si>
  <si>
    <t>A man talks to a woman about what shoes she likes to wear.</t>
  </si>
  <si>
    <t>People are dancing and enjoying the event together.</t>
  </si>
  <si>
    <t>There is food being eaten at the event by many.</t>
  </si>
  <si>
    <t>Several runners are getting ready to start a race.</t>
  </si>
  <si>
    <t>The race begins and people run very fast.</t>
  </si>
  <si>
    <t>Several people get interviewed during the race.</t>
  </si>
  <si>
    <t>The man who wins the race comes across the finish line.</t>
  </si>
  <si>
    <t>Several more people are shown finishing.</t>
  </si>
  <si>
    <t>v_UKhH_iEifrU</t>
  </si>
  <si>
    <t>a list of ingredients is shown and the items are in a white table.</t>
  </si>
  <si>
    <t>fist a bag of tea is sumerge in boiled water and added some syrup into a starbucks cup.</t>
  </si>
  <si>
    <t>v_EA58Fo2e0CI</t>
  </si>
  <si>
    <t>A news station ad appears on the screen.</t>
  </si>
  <si>
    <t>We see two reporters outdoors, talking with members of a running team.</t>
  </si>
  <si>
    <t>They are preparing for a race, one of which is pregnant.</t>
  </si>
  <si>
    <t>The crowd is shown walking to where the race will begin.</t>
  </si>
  <si>
    <t>v_LlI1IJEkW5E</t>
  </si>
  <si>
    <t>A woman is in a kitchen, talking in front of an array of sandwich fixings.</t>
  </si>
  <si>
    <t>She opens the bread, and applies meat, cheese, pickles, and mustard.</t>
  </si>
  <si>
    <t>She closes the sandwiches, and puts them in a heated panini press.</t>
  </si>
  <si>
    <t>She removes the sandwiches as they are toasted, and plates them.</t>
  </si>
  <si>
    <t>v_JAZu9CWEVbQ</t>
  </si>
  <si>
    <t>There are two men in the water wearing wetsuits and laying on their surfboards as they ride a wave.</t>
  </si>
  <si>
    <t>The camera man is in a fast moving boat and he continues to video the surfers who are still riding the wave but now they are standing up.</t>
  </si>
  <si>
    <t>The surfer who is in front is happy to riding the wave for so long that he raises his two arms up in the air and then lowers it back down.</t>
  </si>
  <si>
    <t>The surfer in the back begins to lose balance and falls off of his board while the man in the front is still standing up.</t>
  </si>
  <si>
    <t>v_xPDjkE7llg4</t>
  </si>
  <si>
    <t>A woman cuts the nails of the back legs of a cat with a nail trimmer, while a person restraints the cat.</t>
  </si>
  <si>
    <t>Then, the woman stands on front the cat, and the person holds the cat from a neck.</t>
  </si>
  <si>
    <t>After, the woman cuts the nails of the front legs, but the cat kicks.</t>
  </si>
  <si>
    <t>A person wearing black clothes enters the room.</t>
  </si>
  <si>
    <t>v_f119wB0sj0w</t>
  </si>
  <si>
    <t>Several clips of baseball players are shown playing the game.</t>
  </si>
  <si>
    <t>At one point it shows a player arguing with a referee.</t>
  </si>
  <si>
    <t>The video ends with another title sequence.</t>
  </si>
  <si>
    <t>v_H1_5M9mQ79w</t>
  </si>
  <si>
    <t>A man wearing headphones is seen speaking into a microphone and begins playing a harmonica into the mic.</t>
  </si>
  <si>
    <t>The man continues playing and the camera ends with a close up of the instrument.</t>
  </si>
  <si>
    <t>v_hHmn5tf5d5I</t>
  </si>
  <si>
    <t>A small group of people are seen standing in a room with a woman standing in front.</t>
  </si>
  <si>
    <t>The woman then begins dancing around with the women while following her around.</t>
  </si>
  <si>
    <t>The women switch places with men and then begin following the woman dancing around.</t>
  </si>
  <si>
    <t>v_Krh4m6nxZWE</t>
  </si>
  <si>
    <t>A woman in a blue shirt is walking along a slack line.</t>
  </si>
  <si>
    <t>She falls off and grabs the rope.</t>
  </si>
  <si>
    <t>v_J7GJKAoU0rE</t>
  </si>
  <si>
    <t>Several people are gathered at a lake.</t>
  </si>
  <si>
    <t>Images are shown of the people posing with and flying kites.</t>
  </si>
  <si>
    <t>They are then seen flying the kites on a beach.</t>
  </si>
  <si>
    <t>v_qCZhlIBr8_Q</t>
  </si>
  <si>
    <t>An assortment of drum lines are shown practicing in various locations.</t>
  </si>
  <si>
    <t>Several schools are shown and the SB4TS is in the bottom right corner as a group in blue shirts and black pants begin to perform and make various formations.</t>
  </si>
  <si>
    <t>v_u0SpXGr_elM</t>
  </si>
  <si>
    <t>A gyros restaurant is shown from the outside.</t>
  </si>
  <si>
    <t>We enter, and the chef begins talking to the camera.</t>
  </si>
  <si>
    <t>He demonstrates how to make a gyro sandwich.</t>
  </si>
  <si>
    <t>He places all the ingredients on the counter, shaves the meat, and begins to stack them inside the pita.</t>
  </si>
  <si>
    <t>He continues talking for the camera, then serves the camera man a gyro.</t>
  </si>
  <si>
    <t>The man eats it, nodding in approval.</t>
  </si>
  <si>
    <t>v_QkX8GFbwN7c</t>
  </si>
  <si>
    <t>A man is seen creating sparks onto a metal pole while moving it along the side.</t>
  </si>
  <si>
    <t>He then puts the torch down and zooms in on the bar.</t>
  </si>
  <si>
    <t>v_rGuOU8U5Bvk</t>
  </si>
  <si>
    <t>A person is walking a horse in an arena.</t>
  </si>
  <si>
    <t>They begin to brush the horse's fur.</t>
  </si>
  <si>
    <t>They brush the ear of the horse.</t>
  </si>
  <si>
    <t>They brush the face of the horse.</t>
  </si>
  <si>
    <t>v_P9I3zxNUu74</t>
  </si>
  <si>
    <t>A man with two children are seen speaking to the camera with one throwing his hands up and leading into them moving quickly.</t>
  </si>
  <si>
    <t>The kids stand on a chair taking ornaments off a tree while moving back and fourth to the table to place the objects.</t>
  </si>
  <si>
    <t>The kids then sweep up the floor while dancing and having fun and end by all waving to the camera.</t>
  </si>
  <si>
    <t>v_zJKedNWsZKY</t>
  </si>
  <si>
    <t>A man is seen sitting on a piece of exercise equipment and begins moving himself back and fourth on the machine.</t>
  </si>
  <si>
    <t>The man continues moving back an fourth while pulling his body back and ends by unhooking himself and moving his feet.</t>
  </si>
  <si>
    <t>v_xa-zOtV3uPU</t>
  </si>
  <si>
    <t>A dealer is dealing cards at a blackjack table.</t>
  </si>
  <si>
    <t>People are sitting around the table playing.</t>
  </si>
  <si>
    <t>A man in a white shirt is standing up next to the table.</t>
  </si>
  <si>
    <t>v_lGwUq5vZGEk</t>
  </si>
  <si>
    <t>A young girl is demonstrating how to do a braid in layered hair.</t>
  </si>
  <si>
    <t>She begins by brushing her hair down.</t>
  </si>
  <si>
    <t>Then she brings all of her hair to her right side and starts braiding the hair on a single braid.</t>
  </si>
  <si>
    <t>She then takes a hair tie and ties it around the bottom of her braid.</t>
  </si>
  <si>
    <t>She takes some hair gel out of an orange container and uses it on the tips of her braid to smoothen the hair.</t>
  </si>
  <si>
    <t>She further braids the bottom part of her braid till the end and ties another hair tie around it.</t>
  </si>
  <si>
    <t>Then she takes a bobby pin and pins the short hair in the front to back of her head.</t>
  </si>
  <si>
    <t>She secures the pin into her hair and waves good bye.</t>
  </si>
  <si>
    <t>v_mA4wEXlASpc</t>
  </si>
  <si>
    <t>Two people are seen standing ready with one running down a track and into a sand pit.</t>
  </si>
  <si>
    <t>The man lays down while another raises a flag and walks away from the track.</t>
  </si>
  <si>
    <t>v_w9M6GUCtoQQ</t>
  </si>
  <si>
    <t>An girl is seen sitting at a table holding various objects in her hands and pushing them all together.</t>
  </si>
  <si>
    <t>She then rubs a needle on a cotton ball then pushing it onto a pencil and wrapping thread around it.</t>
  </si>
  <si>
    <t>She then holds up a box of a product and then pouring several liquids into a bowl.</t>
  </si>
  <si>
    <t>She then dips the needle in ink and using the pencil to draw a design on her leg, rubbing it off with a rag in the end.</t>
  </si>
  <si>
    <t>v_fpWOf1DR1oA</t>
  </si>
  <si>
    <t>A predominately dark dart board is empty.</t>
  </si>
  <si>
    <t>A guy throws a dart at the dart board.</t>
  </si>
  <si>
    <t>The dart hits the bullseye.</t>
  </si>
  <si>
    <t>v_dAdCETrsDQw</t>
  </si>
  <si>
    <t>A small group of people are seen walking the red carpet and speaking to one another.</t>
  </si>
  <si>
    <t>An athlete is then seen speaking with a new host and several shots of him playing and riding a horse are shown.</t>
  </si>
  <si>
    <t>More clips are shown of him playing a sport and speaking to the host and shaking his hand.</t>
  </si>
  <si>
    <t>v_Gn651vGKC2I</t>
  </si>
  <si>
    <t>A woman makes a tattoo in the arm of a girl while cleaning with a tissue.</t>
  </si>
  <si>
    <t>The girl makes pain gestures in the face.</t>
  </si>
  <si>
    <t>v_WUOiJOqrHlI</t>
  </si>
  <si>
    <t>A shot of the movie Forest Gump is shown with the man playing ping pong in several shots and him laughing in the end.</t>
  </si>
  <si>
    <t>More clips are shown of the actors playing with one another and a man showing the footage on a computer while speaking to the camera.</t>
  </si>
  <si>
    <t>Tom Hanks is interviewed several times about the event and then sits down in the end while playing.</t>
  </si>
  <si>
    <t>v_4y8mMJkvAR4</t>
  </si>
  <si>
    <t>A woman dressed in all black with a visor and sunglasses is talking holding a paddle.</t>
  </si>
  <si>
    <t>Once she is done talking,she begins kayaking with her white dog between her legs.</t>
  </si>
  <si>
    <t>Now the woman is out of the water and begins doing arm exercises with the paddle behind her head lifting it up and down.</t>
  </si>
  <si>
    <t>She then adds the legs and begins doing lunges in the grass before she continues to do curls with her hands.</t>
  </si>
  <si>
    <t>The lady has now moved to a patio an is laying down flat on her back doing leg exercises.</t>
  </si>
  <si>
    <t>v_485Wn1DXt5U</t>
  </si>
  <si>
    <t>A girl is standing outside in a field talking and hula hooping.</t>
  </si>
  <si>
    <t>Another girl then tries to do the same thing but she isn't successful.</t>
  </si>
  <si>
    <t>The first girl comes back and does it effortlessly as the second girl still struggles.</t>
  </si>
  <si>
    <t>For the last round,the girl begins to hula hoop and drinks soda and runs across the grass.</t>
  </si>
  <si>
    <t>v_Y1f_NXMfD98</t>
  </si>
  <si>
    <t>A black and brown down is standing up against the wall as a person moves a vacuum like machine back and forth over his fur.</t>
  </si>
  <si>
    <t>After his back is done,the person does the legs then lifts his tail up and does the but hole and the dog begins to walk away.</t>
  </si>
  <si>
    <t>The women then has to grab the dog and hold him to finish her task.</t>
  </si>
  <si>
    <t>Once complete,she takes the hair out of the vacuum and dumps it into a big black trash bag.</t>
  </si>
  <si>
    <t>v_yj7YkvTZ4zw</t>
  </si>
  <si>
    <t>A blonde women runs jumps and twist a lands on the padding.</t>
  </si>
  <si>
    <t>Another woman runs and jumps and she doesn't make it she falls onto the grass.</t>
  </si>
  <si>
    <t>She completely missed the jump altogether and hits the pole down when she falls.</t>
  </si>
  <si>
    <t>She is laughing down on the ground and a man comes up to help her up.</t>
  </si>
  <si>
    <t>v_Q8EoKJNm4mc</t>
  </si>
  <si>
    <t>a group of people are sitting in a sauna fully clothed.</t>
  </si>
  <si>
    <t>One guy stands up with a violin.</t>
  </si>
  <si>
    <t>The guy begins playing the violin and dancing.</t>
  </si>
  <si>
    <t>The guy kicks his shoe off while dancing.</t>
  </si>
  <si>
    <t>The guy sits down and plays the violin.</t>
  </si>
  <si>
    <t>v_rABAqfLcssA</t>
  </si>
  <si>
    <t>A person is seen riding a board with a kite along the ocean moving at a fast pace.</t>
  </si>
  <si>
    <t>The person continues riding along and eventually crashes while the camera zooms in on the rider.</t>
  </si>
  <si>
    <t>v_5wkGeYBS7hQ</t>
  </si>
  <si>
    <t>A group of boys are standing in a room with many clear cups of beer on a table they are all standing around.</t>
  </si>
  <si>
    <t>The boys talk, laugh and tease each other before beginning a game of beer pong across a long table using a triangle shaped array of clear cups.</t>
  </si>
  <si>
    <t>One of the ping pongs lands in the cup and one of the boys begins to drink the beer.</t>
  </si>
  <si>
    <t>The group continue to play beer pong when one final player is able to throw and land a ping pong ball while standing with his back to the cups at which point the boys celebrate, and laugh.</t>
  </si>
  <si>
    <t>v_zyi4NVylqB0</t>
  </si>
  <si>
    <t>A small group of people are seen shaking hands and standing together followed by a man blowing a whistle and people running around.</t>
  </si>
  <si>
    <t>The people then play a game of soccer with one another, running up and down the sandy field while coaches yell on the side and a goal is blocked.</t>
  </si>
  <si>
    <t>v_6jxqb8FyWnQ</t>
  </si>
  <si>
    <t>Two men are shown sitting at a table with their arms crossed one another.</t>
  </si>
  <si>
    <t>They grab each other's hand and begin an arm wrestling match with one yelling to the other.</t>
  </si>
  <si>
    <t>One almost wins but the other pulls back quickly and wins while screaming and pushing.</t>
  </si>
  <si>
    <t>v_OxPzQ4yqfwg</t>
  </si>
  <si>
    <t>An older woman sitting at the table reading her paper work.</t>
  </si>
  <si>
    <t>Her husband comes up behind her and reads through it with her.</t>
  </si>
  <si>
    <t>Roofers are on the roof fixing some issues, putting in some new shingles.</t>
  </si>
  <si>
    <t>A woman on the phone with the company walks up and hands the phone to her husband.</t>
  </si>
  <si>
    <t>v_b5SYTLjp6HI</t>
  </si>
  <si>
    <t>A man walks into a gym and bends in front of a weight.</t>
  </si>
  <si>
    <t>the man tries to lift the weight two times and drops it.</t>
  </si>
  <si>
    <t>The man lifts the weight three times and walks away.</t>
  </si>
  <si>
    <t>The man lifts the weight two times.</t>
  </si>
  <si>
    <t>the man lifts the weight three times and walks away.</t>
  </si>
  <si>
    <t>The man lifts the weight two tines and removes his weight lifting belt.</t>
  </si>
  <si>
    <t>v_DCCD1fufXfY</t>
  </si>
  <si>
    <t>The little girl went out of the room.</t>
  </si>
  <si>
    <t>The boy get the bottle under the bed and is holding it and then drink it.</t>
  </si>
  <si>
    <t>The boy went back to bed and pretend to sleep while the girl went back in the room.</t>
  </si>
  <si>
    <t>v_6kBo1TR--dk</t>
  </si>
  <si>
    <t>A large group of people are seen wandering around an area with a woman running past them.</t>
  </si>
  <si>
    <t>The woman is seen speaking to the camera and continues to run around the beach area.</t>
  </si>
  <si>
    <t>She runs along the boardwalk as well as past people and ends with her running a race and being interviewed.</t>
  </si>
  <si>
    <t>v_K-pwTH9ubkE</t>
  </si>
  <si>
    <t>A persons hands are seen playing a piano that pans away from the person playing.</t>
  </si>
  <si>
    <t>People are seen smiling and waving to the camera while the man continues to play the piano.</t>
  </si>
  <si>
    <t>The camera captures him from all over playing the piano as well as singing to the camera.</t>
  </si>
  <si>
    <t>v_IlD4gfHmWIg</t>
  </si>
  <si>
    <t>A gymnast wearing a magenta leotard is performing on the horse bar.</t>
  </si>
  <si>
    <t>There is a panel of judges sitting across from her and evaluating her.</t>
  </si>
  <si>
    <t>She stands up straight on the bar and does a twist and pummel.</t>
  </si>
  <si>
    <t>She continues to successfully do front flips on the horse bar.</t>
  </si>
  <si>
    <t>She completes her round after she jumps off of the horse bar doing a back flip.</t>
  </si>
  <si>
    <t>Then the gymnast walks away from the performing area.</t>
  </si>
  <si>
    <t>v_fm6UhMKF8DU</t>
  </si>
  <si>
    <t>Several shots of a bridge are shown as well as a sign and people standing on the ledge.</t>
  </si>
  <si>
    <t>Two men then bungee jump off the side of the bridge and are shown swinging up using their legs.</t>
  </si>
  <si>
    <t>v_P79nFNUaysw</t>
  </si>
  <si>
    <t>A man is seen speaking to the camera and leads into shots of water boiling in a pot.</t>
  </si>
  <si>
    <t>He takes a bite of the of the pasta and ends with him still smiling to the camera.</t>
  </si>
  <si>
    <t>v_sEvP3GFbLdw</t>
  </si>
  <si>
    <t>A close up of a couch is seen followed by a person walking in and out of frame.</t>
  </si>
  <si>
    <t>The person then sits down and holds their feet up.</t>
  </si>
  <si>
    <t>The person then puts a pair of shoes on and walks out of frame.</t>
  </si>
  <si>
    <t>v_5MuLI6Plf-Y</t>
  </si>
  <si>
    <t>A man wearing a black shirt is sitting and playing the guitar in front of a black backdrop.</t>
  </si>
  <si>
    <t>Initially he starts to play the guitar slowly to find the proper rhythm.</t>
  </si>
  <si>
    <t>Than he starts to play the notes faster and faster.</t>
  </si>
  <si>
    <t>In the end he looks at the guitar and adjusts his fingers as he finishes playing the song .</t>
  </si>
  <si>
    <t>v_RNA9HtKreug</t>
  </si>
  <si>
    <t>We see people putting electronics on a foosball table.</t>
  </si>
  <si>
    <t>We see the bars moving and then see two men sitting at the table.</t>
  </si>
  <si>
    <t>We see a group of people playing foosball in a narrow room.</t>
  </si>
  <si>
    <t>v_HppLOtjJY_Q</t>
  </si>
  <si>
    <t>A large group of people are standing on a bridge.</t>
  </si>
  <si>
    <t>They are looking into the rapid waters below.</t>
  </si>
  <si>
    <t>Several people on canoes come through the bridge, which is the finish line.</t>
  </si>
  <si>
    <t>v_OmE9IhdWFa0</t>
  </si>
  <si>
    <t>A model wearing a bikini opens directs the scene and talks behind an I-Pad screen.</t>
  </si>
  <si>
    <t>A meal is cooked in a frying pan.</t>
  </si>
  <si>
    <t>People ride on a boat and catch fish.</t>
  </si>
  <si>
    <t>Surfers ride large waves in the ocean.</t>
  </si>
  <si>
    <t>Jet skis pull surfers towards waves in the ocean.</t>
  </si>
  <si>
    <t>v_XiG7rgPoKKI</t>
  </si>
  <si>
    <t>We see team of boaters in a competition in the sea.</t>
  </si>
  <si>
    <t>We see the race start and the boaters take off.</t>
  </si>
  <si>
    <t>They pass a small boat in the water.</t>
  </si>
  <si>
    <t>We see one team up close.</t>
  </si>
  <si>
    <t>We see a score board on the screen.</t>
  </si>
  <si>
    <t>The racers pass a banner and we see the green team again.</t>
  </si>
  <si>
    <t>The race is finished and we see the crowd clapping.</t>
  </si>
  <si>
    <t>We see the final scores and the scene ends.</t>
  </si>
  <si>
    <t>v_2FjaU9wfxaU</t>
  </si>
  <si>
    <t>A woman is seen hosting a news segment with a man and leads into a person bring out a dog and petting the dog.</t>
  </si>
  <si>
    <t>The man then demonstrates how to properly groom the dog while the host continues to speak and pet the dog.</t>
  </si>
  <si>
    <t>v_Ckkf840HZE4</t>
  </si>
  <si>
    <t>A man is seen riding around on the water wake boarding behind a boat.</t>
  </si>
  <si>
    <t>The man is shown in several clips performing a trick with camera affects point to his movements.</t>
  </si>
  <si>
    <t>The man continues to ride around on the board while text appears to give instructions.</t>
  </si>
  <si>
    <t>v_GKy0MNJZxDc</t>
  </si>
  <si>
    <t>There is a large gymnasium where three gymnasts are performing gymnastics.</t>
  </si>
  <si>
    <t>There's one gymnast in orange leotards swinging on the rod and another gymnast next to him also swinging on the bars.</t>
  </si>
  <si>
    <t>They both swing upside down and stand on their hands for a few seconds before swinging back down.</t>
  </si>
  <si>
    <t>The third gymnast is performing behind them, doing front and back flips.</t>
  </si>
  <si>
    <t>The gymnast in the orange leotards does another front swing and then gets off the bars and walks away.</t>
  </si>
  <si>
    <t>v_33SI8z8PovA</t>
  </si>
  <si>
    <t>A black female is shown in a room with a black scarf around her head.</t>
  </si>
  <si>
    <t>Black spots on her faced are then zoomed in on and she begins to apply something on it.</t>
  </si>
  <si>
    <t>Next,she takes some spray and it makes her skin extremely oily and she continues to talk until the video is over.</t>
  </si>
  <si>
    <t>v_vcCwvRYqU2I</t>
  </si>
  <si>
    <t>We see a tree with leaves blowing int he wind.</t>
  </si>
  <si>
    <t>A man rakes his yard and talks to the camera.</t>
  </si>
  <si>
    <t>The man chooses a rake from four.</t>
  </si>
  <si>
    <t>The man throws some grass in the garbage.</t>
  </si>
  <si>
    <t>The man picks up and smells a twig with leaves.</t>
  </si>
  <si>
    <t>The man throws his rake into the yard.</t>
  </si>
  <si>
    <t>The man sprinkles leaves into the yard and rakes them up.</t>
  </si>
  <si>
    <t>We then see the twigs and leaves again.</t>
  </si>
  <si>
    <t>v_k8C1Jb_xvh0</t>
  </si>
  <si>
    <t>A male worker walks up to an elephant.</t>
  </si>
  <si>
    <t>He gives the elephant a dart.</t>
  </si>
  <si>
    <t>The elephant and a woman take turns throwing darts at their targets.</t>
  </si>
  <si>
    <t>v_Dv2T0R7HVBQ</t>
  </si>
  <si>
    <t>A young man is seen sitting at the bottom of a pool.</t>
  </si>
  <si>
    <t>He begins moving closer to the camera while smiling.</t>
  </si>
  <si>
    <t>He then bumps into the wall and moves upwards.</t>
  </si>
  <si>
    <t>v_V8gr2EMHNwQ</t>
  </si>
  <si>
    <t>Various shots are shown of the ocean as well as boats riding along the water.</t>
  </si>
  <si>
    <t>People are seen laying on beaches as well as speaking to one another and riding behind boats.</t>
  </si>
  <si>
    <t>Close ups of fish are seen as well as people riding around and surfing the water.</t>
  </si>
  <si>
    <t>v__--nxrRXdPg</t>
  </si>
  <si>
    <t>Athletes performs high jump successfully in a stadium full of people.</t>
  </si>
  <si>
    <t>An athlete jumps, but touch the horizontal rod.</t>
  </si>
  <si>
    <t>Other athletes perform high jump in a competition on front a crow.</t>
  </si>
  <si>
    <t>v_wBgU5jXb_V4</t>
  </si>
  <si>
    <t>A woman is walking her horse out to a field to ride.</t>
  </si>
  <si>
    <t>The horses tail is braided back and she is wearing pink.</t>
  </si>
  <si>
    <t>The lady gets on the horse and ride it around hitting a ball around.</t>
  </si>
  <si>
    <t>The horses tail is no longer braided as they ride around in the sand.</t>
  </si>
  <si>
    <t>v_JaBA8V-nuDg</t>
  </si>
  <si>
    <t>Three women are sitting in a room behind the table knitting scarves and hats before a logo appears.</t>
  </si>
  <si>
    <t>They all reappear and begin knitting a purple scarf as they talk.</t>
  </si>
  <si>
    <t>Next,each lady begins to talk and show pictures of who they are making the special garment for.</t>
  </si>
  <si>
    <t>v_Yp9WuBrgbI4</t>
  </si>
  <si>
    <t>The shirtless man is doing crunches.</t>
  </si>
  <si>
    <t>The woman is doing crunches while her legs is on a machine.</t>
  </si>
  <si>
    <t>The woman is holding the man's feet as he crunches.</t>
  </si>
  <si>
    <t>The man is moving his legs while he has big yoga ball under his legs.</t>
  </si>
  <si>
    <t>v_TTDruR5Vin4</t>
  </si>
  <si>
    <t>Two bikers are riding their motor bikes through rough terrain.</t>
  </si>
  <si>
    <t>They are dressed in biking gear with protective helmets and clothing.</t>
  </si>
  <si>
    <t>They are going on hilly slopes and uneven terrain on their motorbikes.</t>
  </si>
  <si>
    <t>They go through extremely steep and dangerous dirt roads at high speed.</t>
  </si>
  <si>
    <t>They also go over ramps created in the dirt road.</t>
  </si>
  <si>
    <t>They continue biking through the dirt at high speed as they create a cloud of dust behind them.</t>
  </si>
  <si>
    <t>v_UYcpD3r6Ol0</t>
  </si>
  <si>
    <t>A black screen appears and a black triangle with blue and green lights illuminating from it appear in the middle and red fancy lettering appear in the middle and read "Lovey's Nails".</t>
  </si>
  <si>
    <t>More lettering appear on different black screens and together they read "MALEFICENT NAILS"and "FOR EASIER USE RED NAIL TIPS IF YOU HAVE USA PUNTAS ROJAS SI TIENES".</t>
  </si>
  <si>
    <t>The woman is now removing nail polish from her nails on her left hand ,applies oil, then super glues fake nails onto her left hand and cuts the fake tipped nails into a pointed shape.</t>
  </si>
  <si>
    <t>The woman then opens up a small container of red thick liquid, takes a paint brush and applies it to her fake pointy tipped nails and applies a few coats onto each fake tipped nail, then once the red is dried she then applies flesh colored thick liquid over the entire nail include the red tips, shapes them, files,sands them down, then brushes off the powder with a brush.</t>
  </si>
  <si>
    <t>The woman then paints the top of the nails with a clear coat, then turns the nails over and paints the underside as well and puts her two hands together to show how it looks on the underside as well as the topside.</t>
  </si>
  <si>
    <t>The woman is now showing a close up of her face as she shows the near her face, then holds up a MAC lipstick that's named "Russian Red" and she applies it to her lips then smiles and shows of her newly done nails and lips by showing it at a few angles, and then finishing with still shot pictures and the word Shio on the last still shot.</t>
  </si>
  <si>
    <t>v_tAleUKVZCD8</t>
  </si>
  <si>
    <t>Two teams play ice hockey the white team scores, and people in the bleaches cheers, then the red teams scores for his team, then they continue playing.</t>
  </si>
  <si>
    <t>The white team scores and players hug each other, the crowd applauds.</t>
  </si>
  <si>
    <t>After the red team score.</t>
  </si>
  <si>
    <t>The players go to dressing rooms in the half time.</t>
  </si>
  <si>
    <t>Then, the players continue playing and the red team scores and wins the competition.</t>
  </si>
  <si>
    <t>v_iGXUvIRX77c</t>
  </si>
  <si>
    <t>People are playing the drums in a room.</t>
  </si>
  <si>
    <t>They begin marching back and forth in the room.</t>
  </si>
  <si>
    <t>A person in the back is playing the symbols.</t>
  </si>
  <si>
    <t>v_DRWMUsADKFM</t>
  </si>
  <si>
    <t>A camera pans around a room and leads into a room rubbing paper down and putting a box in the middle.</t>
  </si>
  <si>
    <t>The woman wraps the box up in paper and pushing in the sides.</t>
  </si>
  <si>
    <t>She tapes up the sides and uses a ribbon to tie the box up and ends by unwrapping it and showing what's inside.</t>
  </si>
  <si>
    <t>v_Qt2ktBj1l-Y</t>
  </si>
  <si>
    <t>The typing noise from the typewriter is going in the beginning and the title of a story that was typed is shown.</t>
  </si>
  <si>
    <t>Then two men are shown shoveling snow outside off of statues and the ground and when they're done, someone falls to the ground.</t>
  </si>
  <si>
    <t>v_kPbae85fofk</t>
  </si>
  <si>
    <t>People including security guards are standing behind a fence in a mall.</t>
  </si>
  <si>
    <t>We see a young man in a fancy jacket talk and throw darts across the room.</t>
  </si>
  <si>
    <t>The man stops throwing and ducks down for a moment then continues to throw.</t>
  </si>
  <si>
    <t>A lady wipes something off the mans face and the man and his entourage begin to leave the area.</t>
  </si>
  <si>
    <t>v_ResZdSbk9kE</t>
  </si>
  <si>
    <t>man wearing a blue helmet is kayaking in river showing how to use a row.</t>
  </si>
  <si>
    <t>man in river is sitting in yellow kayak holding a row.</t>
  </si>
  <si>
    <t>man is fighting against the current in a kayak.</t>
  </si>
  <si>
    <t>v_pQof_-tUNtY</t>
  </si>
  <si>
    <t>We see a box on fabric.</t>
  </si>
  <si>
    <t>A person wraps the box in the fabric and ties it up.</t>
  </si>
  <si>
    <t>We see the person wrap to bottles in the fabric together.</t>
  </si>
  <si>
    <t>They then put two bottles in a bag and tie it.</t>
  </si>
  <si>
    <t>v_eAIJhHmdjmk</t>
  </si>
  <si>
    <t>We see the green opening screens.</t>
  </si>
  <si>
    <t>We then see a person shovel snow with a pusher.</t>
  </si>
  <si>
    <t>We see an title screen.</t>
  </si>
  <si>
    <t>We we a man plowing an ice rink with his shovel.</t>
  </si>
  <si>
    <t>We then see the product screen.</t>
  </si>
  <si>
    <t>v_5kCv4zwc7-I</t>
  </si>
  <si>
    <t>A girl in a blue shirt holds up a pack of fake finger nails.</t>
  </si>
  <si>
    <t>She sticks them onto her finger nails.</t>
  </si>
  <si>
    <t>She is showing her finger nails to the camera.</t>
  </si>
  <si>
    <t>v_dAjhBWalWRM</t>
  </si>
  <si>
    <t>A group of people stand in front of a blackjack table.</t>
  </si>
  <si>
    <t>The blackjack attendant places cards on the table.</t>
  </si>
  <si>
    <t>v_yfikZ4E_uko</t>
  </si>
  <si>
    <t>Liquid is shown being poured into a bowl, followed by a person slicing up a pineapple and apple and mixing them into a bowl.</t>
  </si>
  <si>
    <t>The person then cuts up more fruits and adds it to the bowl and mixes it all around together to create a fruit bowl.</t>
  </si>
  <si>
    <t>v_lb-TlBtrKcU</t>
  </si>
  <si>
    <t>A woman is outside in a large green field talking,holding up a bow and arrow in front of a white paper with a large target.</t>
  </si>
  <si>
    <t>Before she begins,she assembles the bow in the arrow and hits the board.</t>
  </si>
  <si>
    <t>She then demonstrates the proper way to put the bow in their again and how you should hold the arrow before releasing it.</t>
  </si>
  <si>
    <t>After,a row of people are shown and they all begin to shoot their bows and arrows.</t>
  </si>
  <si>
    <t>v_KwY8nf4MqR4</t>
  </si>
  <si>
    <t>A small boy wearing a blue and yellow hoodie and gray sweat pants in standing in an outdoor tennis court.</t>
  </si>
  <si>
    <t>He is holding a blue racket as he bounces the yellow and orange tennis ball on the court.</t>
  </si>
  <si>
    <t>He starts with his first serve where the ball hits the net.</t>
  </si>
  <si>
    <t>Then he takes another ball, bounces it and serves again.</t>
  </si>
  <si>
    <t>The ball goes over the net and falls on the other side of the court.</t>
  </si>
  <si>
    <t>He gets another ball for the third time and drops it off his hands while trying to serve.</t>
  </si>
  <si>
    <t>v_-boJqGIgV9I</t>
  </si>
  <si>
    <t>A small girl is at an amusement park dart rewards game.</t>
  </si>
  <si>
    <t>A lady who is working at the stand comes and asks her how many darts she would like to use, she gives the girl the darts.</t>
  </si>
  <si>
    <t>The girl starts throwing darts, she is only able to hit one balloon, she asks for help but does not get it.</t>
  </si>
  <si>
    <t>v_oTsTx2BhtgY</t>
  </si>
  <si>
    <t>We see the title on a black background.</t>
  </si>
  <si>
    <t>We see a knife and sharpener and a man holding them.</t>
  </si>
  <si>
    <t>We see the man cut a tomato and paper.</t>
  </si>
  <si>
    <t>The person uses a sharpens and then cuts the tomato, and paper easily.</t>
  </si>
  <si>
    <t>Sharpen a different knife and cuts a tomato and shows us the sharpener.</t>
  </si>
  <si>
    <t>v_sY8TfKQHe5w</t>
  </si>
  <si>
    <t>A commercial advertising a pumpkin cutter, a pumpkin knife, and a pumpkin light is shown using a family of two boys and one mother preparing pumpkins for the demonstration.</t>
  </si>
  <si>
    <t>A little boy is shown using a pumpkin cutter to cut faces into a pumpkin.</t>
  </si>
  <si>
    <t>The boy is then shown scooping out a pumpkin using a pumpkin scoop.</t>
  </si>
  <si>
    <t>A boy is then shown placing a pumpkin light inside of a pumpkin as the mother leans in and smiles between the two boys and the finished pumpkins which now have carved faces with glowing lights inside.</t>
  </si>
  <si>
    <t>v_K1z2fiB9pUM</t>
  </si>
  <si>
    <t>Dozens of people are seen riding up a large, dusty hill while the camera pans around people riding on dirt bikes.</t>
  </si>
  <si>
    <t>The people ride all along the path while several others watch on the side and follow the riders as the continue riding along the track.</t>
  </si>
  <si>
    <t>v_C-M4L_WDzK8</t>
  </si>
  <si>
    <t>A group of women play field hockey on an outdoor field covered in grass .</t>
  </si>
  <si>
    <t>The women run after a white ball on the field while holding hockey sticks.</t>
  </si>
  <si>
    <t>The red team and blue team continue to play field hockey while a referee watches on and a guard guards the goal.</t>
  </si>
  <si>
    <t>v_Gba1MksaNBQ</t>
  </si>
  <si>
    <t>Some men are playing pool as three boxer dogs watch.</t>
  </si>
  <si>
    <t>The boxers stand by the pool table, trying to snap at the balls as they are shot with the cues.</t>
  </si>
  <si>
    <t>v_5WCgpt2bEJw</t>
  </si>
  <si>
    <t>A man sets a timer on a table.</t>
  </si>
  <si>
    <t>He then tries to solver a color block puzzle.</t>
  </si>
  <si>
    <t>He finishes the puzzle in only slightly over 8 seconds.</t>
  </si>
  <si>
    <t>v_aKvCtSitxJY</t>
  </si>
  <si>
    <t>A girl is standing with a hula hoop in her hand.</t>
  </si>
  <si>
    <t>The girl talks to the camera.</t>
  </si>
  <si>
    <t>The girl demonstrates the hula hoop.</t>
  </si>
  <si>
    <t>The girl drops the hula hoop and poses.</t>
  </si>
  <si>
    <t>v_1AEZ9fDDkz4</t>
  </si>
  <si>
    <t>A line of bikers prepare for a dirt bike race.</t>
  </si>
  <si>
    <t>They take off, racing over hills and around sharp corners, some falling off their bikes and kicking it angrily.</t>
  </si>
  <si>
    <t>v_DbuQn8EOJx0</t>
  </si>
  <si>
    <t>A boy sits in a room and talks to a camera while holding a demonstrating how to use an electronic cigarette.</t>
  </si>
  <si>
    <t>The boy unscrews the cigarette to reveal the inside mechanism.</t>
  </si>
  <si>
    <t>The boy puts the cigarette back together and begins to smoke it as a woman walks by in the background, and then he continues to talk to the camera.</t>
  </si>
  <si>
    <t>v_Zso0ZBs2y6E</t>
  </si>
  <si>
    <t>Close ups of fabric are shown and leads to a man putting them on a wall and a woman speaking to a great of men.</t>
  </si>
  <si>
    <t>A person lays out paper on a table and shows the men how to properly put wallpaper on.</t>
  </si>
  <si>
    <t>A man then speaks to the camera and ends with information being presented and the man putting down more paper.</t>
  </si>
  <si>
    <t>v_0K1SrDmREzs</t>
  </si>
  <si>
    <t>An athletic woman is seen standing in a circle moving in a slow motion holding a discuss.</t>
  </si>
  <si>
    <t>She then spins herself around while holding the object and then throwing it off the distance.</t>
  </si>
  <si>
    <t>v_BOckSaGr-uI</t>
  </si>
  <si>
    <t>A man in gray shirt is sitting on a chair.</t>
  </si>
  <si>
    <t>The man is pointing an empty canvas with his brush as he continue to talk.</t>
  </si>
  <si>
    <t>The man hold out his brush, dip the brush on the colors and began painting on the bigger canvas.</t>
  </si>
  <si>
    <t>v_7WfF6FrZEuU</t>
  </si>
  <si>
    <t>A woman is seen smiling and speaking to the camera.</t>
  </si>
  <si>
    <t>Another man is seen sitting behind her with another man in front.</t>
  </si>
  <si>
    <t>The woman continues speaking while the man in front cleans the other's shoes.</t>
  </si>
  <si>
    <t>v_RfXFS9fy-mI</t>
  </si>
  <si>
    <t>People are playing soccer in an indoor arena.</t>
  </si>
  <si>
    <t>They shoot and make a goal into the net.</t>
  </si>
  <si>
    <t>The players hug on the court.</t>
  </si>
  <si>
    <t>v_7uE2pMuAM8I</t>
  </si>
  <si>
    <t>A person polish a shoe with a wrapped finger.</t>
  </si>
  <si>
    <t>Then, the person grabs polish paste and water to polish the shoe.</t>
  </si>
  <si>
    <t>After, the person put a drop of water on the shoe and continues polishing.</t>
  </si>
  <si>
    <t>v_0h45uztur-o</t>
  </si>
  <si>
    <t>Wrapped presents are being shown lined up.</t>
  </si>
  <si>
    <t>A person is rolling out wrapping paper and using a ruler to hold it down.</t>
  </si>
  <si>
    <t>A box is set on top of the wrapping paper.</t>
  </si>
  <si>
    <t>The person begins wrapping the present.</t>
  </si>
  <si>
    <t>They are cutting the paper.</t>
  </si>
  <si>
    <t>They continue wrapping the present.</t>
  </si>
  <si>
    <t>They use tape to hold the paper on.</t>
  </si>
  <si>
    <t>They fold tissue paper to wrap around the middle of the box.</t>
  </si>
  <si>
    <t>They wrap curling ribbon around the box and tie it into a bow.</t>
  </si>
  <si>
    <t>The use the scissors to curl the ends of the bow.</t>
  </si>
  <si>
    <t>They stick a silver flower into the present.</t>
  </si>
  <si>
    <t>v_w6kBE7BHHeU</t>
  </si>
  <si>
    <t>This is a video for arm wrestling tips.</t>
  </si>
  <si>
    <t>A screen with caption is shown describing the video.</t>
  </si>
  <si>
    <t>There are two men at an arm wrestling table a man in a white t-shirt and glasses is informing on how to properly prepare for an arm wrestling match with stance, arm position, finger position, wrist placement, body position, body and arm movement.</t>
  </si>
  <si>
    <t>Another black screen appears with captions.</t>
  </si>
  <si>
    <t>The man in the white t-shirt shows several ways to stand during an arm wrestling match with both feet on the ground and wrapping one leg around the arm wrestling table.</t>
  </si>
  <si>
    <t>Another black screen appears with caption about finding arm wrestling clubs.</t>
  </si>
  <si>
    <t>The man in the glasses while still at the arm wrestling table with the other man gives a website address and social media sites.</t>
  </si>
  <si>
    <t>The screen goes black and there are credits rolling followed by a company name.</t>
  </si>
  <si>
    <t>v_sBx1HvNjs6s</t>
  </si>
  <si>
    <t>A bald man is talking and two pictures of a young male with nice hair flashes on the screen.</t>
  </si>
  <si>
    <t>The man then begins to work with a mannequin head that has a similar hairstyle as the boy in the pictures and he shows how the haircut was achieved while buzzing, cutting, combing and finger combing the hair.</t>
  </si>
  <si>
    <t>A black screen with white letters appear and they read "Thanks for wathing! Please subscribe!!".</t>
  </si>
  <si>
    <t>v_y-HkIwa-jWM</t>
  </si>
  <si>
    <t>An older man passes a ball to a group of small kids and eventually kicks the ball.</t>
  </si>
  <si>
    <t>The man runs as other kids run and runs all the way to home plate.</t>
  </si>
  <si>
    <t>A woman runs in front of the base with the ball and the man trips over her.</t>
  </si>
  <si>
    <t>He helps her up as they both.</t>
  </si>
  <si>
    <t>v_-qXqnltHWtE</t>
  </si>
  <si>
    <t>Cowboys compete in a rodeo competition.</t>
  </si>
  <si>
    <t>Men ride horses out of a gates and ropes a bull before dismounting and tying their its legs.</t>
  </si>
  <si>
    <t>The winner waves his hat and is congratulated by the other riders.</t>
  </si>
  <si>
    <t>v_GlvfqDfvbKA</t>
  </si>
  <si>
    <t>A man talks to the camera while seated at a drum set while another man plays drums in the background.</t>
  </si>
  <si>
    <t>The first man plays the drums.</t>
  </si>
  <si>
    <t>The first man stops playing and turns to the camera.</t>
  </si>
  <si>
    <t>v_OUfVZuWyqJQ</t>
  </si>
  <si>
    <t>We see the white opening screen.</t>
  </si>
  <si>
    <t>A man in jump stilts throws a bag over his shoulder and leaves a bank.</t>
  </si>
  <si>
    <t>The man in jump stilts runs from the cops on a city street.</t>
  </si>
  <si>
    <t>The man pushes through a market.</t>
  </si>
  <si>
    <t>The man jumps over a stroller being pushed by a lady.</t>
  </si>
  <si>
    <t>The man jumps over a truck and over a fence losing the cops.</t>
  </si>
  <si>
    <t>The man runs through a skate park down a city street and up stairs.</t>
  </si>
  <si>
    <t>The man opens the bag and counts his cash.</t>
  </si>
  <si>
    <t>v_9FaSaHgQSO8</t>
  </si>
  <si>
    <t>A large group of people are all seen riding around in bumper cars and driving around a track, bumping into one another.</t>
  </si>
  <si>
    <t>The people continue riding around and ends with a man and two children walking out.</t>
  </si>
  <si>
    <t>v_xE5KichXWrA</t>
  </si>
  <si>
    <t>An intro shows on the screen introducing a winter throwing video.</t>
  </si>
  <si>
    <t>A man does spins around in a circle and completes the throw celebrating his distance.</t>
  </si>
  <si>
    <t>He prepares for another throw by getting himself into position.</t>
  </si>
  <si>
    <t>He completes the throw and prepares for another.</t>
  </si>
  <si>
    <t>He completes the next throw and prepares for the next.</t>
  </si>
  <si>
    <t>He completes the last throw and again celebrates a good distance.</t>
  </si>
  <si>
    <t>The video ends with text displayed on the screen.</t>
  </si>
  <si>
    <t>v_mZxvYV53uf0</t>
  </si>
  <si>
    <t>Two girls are practicing dance moves in front of their television set in their living room.</t>
  </si>
  <si>
    <t>One of the girls is wearing a red shirt and the other is wearing a dark blue shirt.</t>
  </si>
  <si>
    <t>They are practicing ball room dancing.</t>
  </si>
  <si>
    <t>they take turns to swing and twirl around each other's hands as they go around in circles.</t>
  </si>
  <si>
    <t>They also follow a pattern of their leg movements as they follow the steps rhythmically.</t>
  </si>
  <si>
    <t>After they finish, they both giggle and walk away.</t>
  </si>
  <si>
    <t>v_k5wY4N61bzU</t>
  </si>
  <si>
    <t>A still image is pictured with the words Dog Walk Across America shown over it.</t>
  </si>
  <si>
    <t>A middle aged couple is then shown siting on logs talking with their dogs roaming behind them and another man sitting on a big boulder rock.</t>
  </si>
  <si>
    <t>Then several images of dogs are shown and then the woman reappears alone.</t>
  </si>
  <si>
    <t>Then another set of images are shown where the dogs are being helped by vets.</t>
  </si>
  <si>
    <t>The man then reappears with the lady and they begin to talk again.</t>
  </si>
  <si>
    <t>Lastly,the man walks off and a black screen appears showing multiple websites.</t>
  </si>
  <si>
    <t>v_wZeV6W1VEoM</t>
  </si>
  <si>
    <t>Some boys are inside a gym.</t>
  </si>
  <si>
    <t>They take turns stacking a pile of tires.</t>
  </si>
  <si>
    <t>After each addition, one of them jumps and stands at the top.</t>
  </si>
  <si>
    <t>v_s_hQSJVIN3c</t>
  </si>
  <si>
    <t>man is in a oofed gym stretching his leg and doing exercise in front of a chair.</t>
  </si>
  <si>
    <t>the man bend the other leg and stretch it.</t>
  </si>
  <si>
    <t>v_m5YvKrjGtPM</t>
  </si>
  <si>
    <t>A man kneels to grab a weight while a man watch him.</t>
  </si>
  <si>
    <t>A topless fat man practice weight lift behind the man.</t>
  </si>
  <si>
    <t>A person lift a weight on back.</t>
  </si>
  <si>
    <t>Then, the man lifts the weight, after he drops the weight to the floor.</t>
  </si>
  <si>
    <t>Again, the man kneels again and lift the weight above his head and then drop it.</t>
  </si>
  <si>
    <t>v_n9xULD7oYXc</t>
  </si>
  <si>
    <t>Two man sit at a table.</t>
  </si>
  <si>
    <t>The man closest to camera crochets.</t>
  </si>
  <si>
    <t>The man closest to camera scratches his ear.</t>
  </si>
  <si>
    <t>v_7GSCDxBSFsw</t>
  </si>
  <si>
    <t>A person holds a javelin and prepares to launch it.</t>
  </si>
  <si>
    <t>Then, the man runs and launch the javelin.</t>
  </si>
  <si>
    <t>v_htBt3oP9zuo</t>
  </si>
  <si>
    <t>A woman demonstrates how to apply wallpaper to a wall.</t>
  </si>
  <si>
    <t>A woman holds up the various tools needed to apply wallpaper.</t>
  </si>
  <si>
    <t>The woman demonstrates the process before applying the paper in short demonstration segments.</t>
  </si>
  <si>
    <t>The woman then begins to apply the wallpaper to a wall step by step.</t>
  </si>
  <si>
    <t>v_bqDxblFvgro</t>
  </si>
  <si>
    <t>A person's bare feet are shown walking up a flight of stairs.</t>
  </si>
  <si>
    <t>Then different men are shown diving in slow motion off the diving board into the water.</t>
  </si>
  <si>
    <t>Women and boys are also jumping, each landing in an outdoor pool.</t>
  </si>
  <si>
    <t>v_vbWdGj1sfO8</t>
  </si>
  <si>
    <t>A female is laying on her back exercising inside of a gym.</t>
  </si>
  <si>
    <t>She is wearing black and pink and just looks very comfortable while she works out.</t>
  </si>
  <si>
    <t>She brings her arms up and her legs up to the center of her body.</t>
  </si>
  <si>
    <t>She does that repeatedly for a little while.</t>
  </si>
  <si>
    <t>v_ruHObln9mwI</t>
  </si>
  <si>
    <t>the players rush the field and start fighting.</t>
  </si>
  <si>
    <t>A person punches someone in the head.</t>
  </si>
  <si>
    <t>The coach is trying to fight another coach.</t>
  </si>
  <si>
    <t>A man climbs over the balcony to try and fight.</t>
  </si>
  <si>
    <t>The red team gathers and hugs each other.</t>
  </si>
  <si>
    <t>v_RZqM8Z0ocjE</t>
  </si>
  <si>
    <t>A volleyball coach stands by a net holding a ball and speaks.</t>
  </si>
  <si>
    <t>Two groups of girls run out to the middle of a court to grab volleyballs.</t>
  </si>
  <si>
    <t>They throw the balls at each other.</t>
  </si>
  <si>
    <t>The coach is seen giving instructions.</t>
  </si>
  <si>
    <t>The girls continue to throw the balls at each other.</t>
  </si>
  <si>
    <t>Two girls stand by the sidelines talking.</t>
  </si>
  <si>
    <t>v_BZQb9uWULOc</t>
  </si>
  <si>
    <t>People are sitting bored in a lounge.</t>
  </si>
  <si>
    <t>A man walks in holding a portable beer pong table.</t>
  </si>
  <si>
    <t>The people get excited for him.</t>
  </si>
  <si>
    <t>They play a few rounds of beer pong.</t>
  </si>
  <si>
    <t>A man holds up a ping pong ball in front of a group of people.</t>
  </si>
  <si>
    <t>Text appears on the screen.</t>
  </si>
  <si>
    <t>v_5pqVrMgiMcs</t>
  </si>
  <si>
    <t>A skateboarder come rolling down a steep road.</t>
  </si>
  <si>
    <t>Skateboarders roll down the middle of public streets.</t>
  </si>
  <si>
    <t>The words "Fair Oaks Longboarding" along with credits appear over the skaters.</t>
  </si>
  <si>
    <t>v_KTNJc_NVOmg</t>
  </si>
  <si>
    <t>A cat is laying on its back on the couch.</t>
  </si>
  <si>
    <t>A person picks up the cat and lays it on their lap.</t>
  </si>
  <si>
    <t>They start clipping the cats nails.</t>
  </si>
  <si>
    <t>v_jaaWdcA_COY</t>
  </si>
  <si>
    <t>There is a woman in a bikini walking past people with hula hoops.</t>
  </si>
  <si>
    <t>She goes to the grass and she begins hooping in circles, she is having a really good time dancing and hooping.</t>
  </si>
  <si>
    <t>Then, other people are dancing around and hooping also, doing tricks and just enjoying the day.</t>
  </si>
  <si>
    <t>Everyone is watching as the two girls hoop around outside of the store.</t>
  </si>
  <si>
    <t>v_m0ZPQ8q4Qq4</t>
  </si>
  <si>
    <t>A little girl is outside on a snowy day.</t>
  </si>
  <si>
    <t>She is playing hopscotch which is drawn on the driveway.</t>
  </si>
  <si>
    <t>She hops along each square, then turns and goes back to the beginning.</t>
  </si>
  <si>
    <t>v_UzdI8PLRiXg</t>
  </si>
  <si>
    <t>A towel and glass are on a table next to a piece of foam and metal.</t>
  </si>
  <si>
    <t>A tool is being shown by a man holding it.</t>
  </si>
  <si>
    <t>The metal is used to sharpen a knife in front of him.</t>
  </si>
  <si>
    <t>v_MbEoZXWVc-I</t>
  </si>
  <si>
    <t>A group of people are seen hanging out around an area with several standing around a beer pong match.</t>
  </si>
  <si>
    <t>The people play beer pong back and fourth and a woman takes a drink in the end that is gross.</t>
  </si>
  <si>
    <t>v_nY8a1E4QH5Q</t>
  </si>
  <si>
    <t>A dance class is choreographing a routine and everyone is generally in sync with each other.</t>
  </si>
  <si>
    <t>They move back and forth, up and down, and shake their chests.</t>
  </si>
  <si>
    <t>v_iYH0Ol3xIZU</t>
  </si>
  <si>
    <t>A man in a white asian inspired outfit stands outdoors, surrounded by trees, on the grass, and performs several slow martial arts and meditation moves.</t>
  </si>
  <si>
    <t>The scene begins with a bare green patch of cut grass surrounded by tall trees and a building in the background beyond the foliage.</t>
  </si>
  <si>
    <t>The man runs into the frame into the center of the grass, centers himself and does a leg lift followed by several slow hand movements up and down and around.</t>
  </si>
  <si>
    <t>The man continues to perform slow martial arts moves using feet, hands, knees, and shoulders moving around the grass patch and sometime stomping his feet on the ground.</t>
  </si>
  <si>
    <t>v_kK9k01CtXnE</t>
  </si>
  <si>
    <t>This is a how to film on how to apply a seal to a roof.</t>
  </si>
  <si>
    <t>Black things are put on the side of the roof.</t>
  </si>
  <si>
    <t>The roof is sealed up.</t>
  </si>
  <si>
    <t>v_-Cefl3S_L-w</t>
  </si>
  <si>
    <t>A large group of people are seen playing a tug of war match with one another and pulling onto a rope against one another.</t>
  </si>
  <si>
    <t>The people continue playing with one another and ends with one team winning and the crowd cheering.</t>
  </si>
  <si>
    <t>v_YcDlkZkPb6g</t>
  </si>
  <si>
    <t>A graphic shows on the screen for a website about basketball drills.</t>
  </si>
  <si>
    <t>Some young men on an indoor basketball court are shown doing some of the basketball drills.</t>
  </si>
  <si>
    <t>An older man begins explaining the drills while more footage is shown of the players demonstrating them.</t>
  </si>
  <si>
    <t>The screen goes black and more text reminds the viewer to visit the website for more information.</t>
  </si>
  <si>
    <t>v_C26UfwZbHE0</t>
  </si>
  <si>
    <t>woman is talking to another standing in front of green lockers in a hallway, a man walks to the girls holding yellow roses on his hand.</t>
  </si>
  <si>
    <t>a woman walks in the hall holding a mouthwash and talking to the camera about it.</t>
  </si>
  <si>
    <t>woman is in front of a handwash cleaning his mouth with mouthwash.</t>
  </si>
  <si>
    <t>the woman is in the hall and talk to the boys and they seem impressed by her fresh breath.</t>
  </si>
  <si>
    <t>v_OmlzSz6AKfI</t>
  </si>
  <si>
    <t>A child in a helmet is shown.</t>
  </si>
  <si>
    <t>Several other children in helmets on bikes ride off of a ramp.</t>
  </si>
  <si>
    <t>A man runs along side them.</t>
  </si>
  <si>
    <t>The cross a finish line.</t>
  </si>
  <si>
    <t>v_PIr3WhkKB1o</t>
  </si>
  <si>
    <t>A special effect video clip appears with someone running on a treadmill and white words on the middle of the screen that read "CityNews HEALTH".</t>
  </si>
  <si>
    <t>A man and woman newscaster appear sitting on stools, both dressed in work attire and talking to the camera and to one another.</t>
  </si>
  <si>
    <t>The newscaster woman is now shown outdoors and talking to people on a beach, and clips of people sunbathing, applying suntan lotion, and different types of suntan lotions are show.</t>
  </si>
  <si>
    <t>The newscaster woman is now sitting on the beach, holding a bottle of suntan lotion and begins to apply lotion all over her arm.</t>
  </si>
  <si>
    <t>A new clip appears with the newscaster woman interviewing a Doctor, then a woman is shown sitting in a chair while the Doctor is standing up talking to her, and the banner below say's his name is "DR PAUL COHEN DERMATOLOGIST" and various clips of people playing in the sun play in between him talking.</t>
  </si>
  <si>
    <t>The newscaster woman is back indoors with the man she was shown with earlier and they end with a smile.</t>
  </si>
  <si>
    <t>v_QtCNHRtycmg</t>
  </si>
  <si>
    <t>Several clips are shown of men speaking to one another as well as riding on a dirt bike.</t>
  </si>
  <si>
    <t>More clips are shown of people riding around and cheering with one another.</t>
  </si>
  <si>
    <t>The riders continue to go around the track as well as show off jumps in the end.</t>
  </si>
  <si>
    <t>v_HD4aY4ATCFY</t>
  </si>
  <si>
    <t>a big burguer is in a table.</t>
  </si>
  <si>
    <t>woman is talking to the camera sanding i front of a wall with a lot of wallpapers.</t>
  </si>
  <si>
    <t>woman grab a sandwich and spread butter in it, then put pickles, cheddar cheese, jam and pork, then se put butter on top and toast it, when the sandwich is ready is cutted in the half and its being serve in a plate.</t>
  </si>
  <si>
    <t>v_DBGsPnuwdnU</t>
  </si>
  <si>
    <t>People are riding bumper cars on a brown floor.</t>
  </si>
  <si>
    <t>A boy's red bumper car gets stuck on the column.</t>
  </si>
  <si>
    <t>A lady in a black jilbab waves.</t>
  </si>
  <si>
    <t>The lady bumper car collides with a man's.</t>
  </si>
  <si>
    <t>A guy walks across the brown floor.</t>
  </si>
  <si>
    <t>v_PDEUAMa8aOU</t>
  </si>
  <si>
    <t>A man is seen putting products into a woman's hair followed by blow drying her hair and brushing it down.</t>
  </si>
  <si>
    <t>The person then cuts the woman's hair several inches while moving slower in the end.</t>
  </si>
  <si>
    <t>v_Z-6dR4H2dns</t>
  </si>
  <si>
    <t>a group of models are gathered at a car wash.</t>
  </si>
  <si>
    <t>Cars pull in, and the woman are using soap to soap down the cars.</t>
  </si>
  <si>
    <t>They then rinse and wipe the cars clean.</t>
  </si>
  <si>
    <t>v_e8w3gmiv-mM</t>
  </si>
  <si>
    <t>A little boy is playing on the jungle gym while a man talks to him and records.</t>
  </si>
  <si>
    <t>He goes up the stairs and slides down the slide several times.</t>
  </si>
  <si>
    <t>When he is done he goes over and hugs a lady in a wheelchair.</t>
  </si>
  <si>
    <t>v_2Mj26IwwEiY</t>
  </si>
  <si>
    <t>There's a home improvement specialist demonstrating how to remove wallpaper from walls.</t>
  </si>
  <si>
    <t>He starts of by preparing the space by moving furniture away from the walls and covering the furniture with plastic sheets for protection.</t>
  </si>
  <si>
    <t>He also removes the window treatments from windows.</t>
  </si>
  <si>
    <t>He shows how to take precautionary measures with respect to electrical wiring and switches and circuits.</t>
  </si>
  <si>
    <t>Then he shows how to use fans to ventilate the room.</t>
  </si>
  <si>
    <t>He takes a scour and begins to scour the wall paper.</t>
  </si>
  <si>
    <t>He uses a paint roller to soak the wall paper for easy removal.</t>
  </si>
  <si>
    <t>He then demonstrates how steam can be used too to loosen the wall paper.</t>
  </si>
  <si>
    <t>Then he begins to slowly peel off the paper from the wall.</t>
  </si>
  <si>
    <t>He re-wets the surface and uses a flat tool to remove any stubborn wall paper.</t>
  </si>
  <si>
    <t>He finally uses a sponge and soap water to clean the wall to remove any residual wall paper.</t>
  </si>
  <si>
    <t>He shows how to apply primer to prep the wall for painting.</t>
  </si>
  <si>
    <t>Information on how to use these techniques is provided on the Lowe's company website.</t>
  </si>
  <si>
    <t>v_EFtxSXp1pck</t>
  </si>
  <si>
    <t>chef is sanding in front of a coutner with chopped ingredients in different plates and talking to the camera.</t>
  </si>
  <si>
    <t>man spray oil on the pan and add the mix of the eggs and the vegetables.</t>
  </si>
  <si>
    <t>man is standing in the kitchen talking to the camera giving a recipe.</t>
  </si>
  <si>
    <t>v_OzRxQDkrhTg</t>
  </si>
  <si>
    <t>Two teams are on the field playa game trying to score.</t>
  </si>
  <si>
    <t>One of the players on the blue team falls down on the field.</t>
  </si>
  <si>
    <t>Another blue player gets the ball from out of bounds, puts it on the line and hits back into the game.</t>
  </si>
  <si>
    <t>Te coaches start jumping with joy as well as the players.</t>
  </si>
  <si>
    <t>v_ZdwkA72VMKE</t>
  </si>
  <si>
    <t>Two men are shuffling brooms across a floor with another pulling it on a string.</t>
  </si>
  <si>
    <t>One man follows behind and the two shuffling eventually move the puck into a hole.</t>
  </si>
  <si>
    <t>The three men cheer with each other and give each other big hugs.</t>
  </si>
  <si>
    <t>v_K1_g97xCqKg</t>
  </si>
  <si>
    <t>The video begins with a closeup of a tire in an auto shop.</t>
  </si>
  <si>
    <t>The cameraman uses his hand to show a specific spot on the tire and zooms in closer.</t>
  </si>
  <si>
    <t>The man puts down the camera and begins working on the tire.</t>
  </si>
  <si>
    <t>He grabs the camera again to show different screws.</t>
  </si>
  <si>
    <t>The video ends showing both sides of the tire.</t>
  </si>
  <si>
    <t>v_fT7dpRY0DTo</t>
  </si>
  <si>
    <t>The camera pans over the walls of a shower stall.</t>
  </si>
  <si>
    <t>A man plasters and installs tiles on the wall.</t>
  </si>
  <si>
    <t>The man applies grout to the gaps between the tiles.</t>
  </si>
  <si>
    <t>The man measures and cuts a tile for installation in the shower.</t>
  </si>
  <si>
    <t>The man installs the soap dish.</t>
  </si>
  <si>
    <t>Scrolling text is shown on a blue screen.</t>
  </si>
  <si>
    <t>v_TvNNx-ZFfDA</t>
  </si>
  <si>
    <t>There is a facility open just for beer pong games so people can come play.</t>
  </si>
  <si>
    <t>Everyone loves it and is excited to be there around other people that like to play.</t>
  </si>
  <si>
    <t>A lot of different groups are playing and talking about it as well as even playing rock paper scissors to see who gets to go first.</t>
  </si>
  <si>
    <t>Whoever is the winner gets a check at the end of the game.</t>
  </si>
  <si>
    <t>v_zrwpgILg7VI</t>
  </si>
  <si>
    <t>A large group of people are in a mall and are watching people set up an area with a large black floor and a large black wall.</t>
  </si>
  <si>
    <t>Suddenly there are lit up people wearing light suits that are dancing on the black area and they change from 1-7 people, and alternate suit colors from white, then to red and then back to white again.</t>
  </si>
  <si>
    <t>Their light suits go out and the dance is over.</t>
  </si>
  <si>
    <t>v_1oaJBEdY6ao</t>
  </si>
  <si>
    <t>A man driving a moving tractor steps around and looks towards the front.</t>
  </si>
  <si>
    <t>He begins moving again on the machine cutting the grass and steering the instrument.</t>
  </si>
  <si>
    <t>A man on a bike looks onward and laughs and the man eventually steps off.</t>
  </si>
  <si>
    <t>v_nLddpveoSHE</t>
  </si>
  <si>
    <t>A tattooo artist is shown, interspersed with the artists speaking to the camera, giving tattoos.</t>
  </si>
  <si>
    <t>They show various images of their finished work coupled with actiively injecting ink and making designs.</t>
  </si>
  <si>
    <t>v_g3InHLh678M</t>
  </si>
  <si>
    <t>A boy is walking across the stage with helmet and sword.</t>
  </si>
  <si>
    <t>The boy meets another boy where baby faces are shown on their faces.</t>
  </si>
  <si>
    <t>A man showing I'm bald words is above his head.</t>
  </si>
  <si>
    <t>The boys separate as question marks appear over their heads.</t>
  </si>
  <si>
    <t>A description of the video is shown.</t>
  </si>
  <si>
    <t>The boy s continue to spar across the stage.</t>
  </si>
  <si>
    <t>Pretend quotes are shown over their head and they continue to spar.</t>
  </si>
  <si>
    <t>The boy on the left turns into flames and they set back up and continue to spar.</t>
  </si>
  <si>
    <t>The stage lights up green and they separate and come back to spar.</t>
  </si>
  <si>
    <t>The stage lights up blue as silly quotes appear over the boy on the rights head.</t>
  </si>
  <si>
    <t>v__B3Q8bTJWG4</t>
  </si>
  <si>
    <t>A man rides a horse into an arena.</t>
  </si>
  <si>
    <t>He jumps off the horse and ties a calf.</t>
  </si>
  <si>
    <t>He stands up and gets back on his horse.</t>
  </si>
  <si>
    <t>Two people come and lay the calf down on the arena.</t>
  </si>
  <si>
    <t>v_WV_MFi9EZeQ</t>
  </si>
  <si>
    <t>A man is seen speaking to the camera while holding a scraper.</t>
  </si>
  <si>
    <t>He pushes the scraper along the car while speaking to the camera.</t>
  </si>
  <si>
    <t>In the end he slides down into the snow.</t>
  </si>
  <si>
    <t>v_8Ztw2YrUHRE</t>
  </si>
  <si>
    <t>A group of individuals are performing at a Holiday Baton Recital.</t>
  </si>
  <si>
    <t>The girls continue dancing,moving up and down and twirling the baton.</t>
  </si>
  <si>
    <t>The lights begin to flicker and the girls form a straight line in the back of the stage.</t>
  </si>
  <si>
    <t>During the recital,the girls do the same routine but instead of a horizontal line form a vertical one.</t>
  </si>
  <si>
    <t>Once they are done,they move towards the back of the stage and dance off behind the curtains.</t>
  </si>
  <si>
    <t>v_pwPid8YHHpU</t>
  </si>
  <si>
    <t>A man puts on a matador outfit in a room.</t>
  </si>
  <si>
    <t>A matador fights with a bowl using a red cape in a stadium.</t>
  </si>
  <si>
    <t>Boys practice using the red cape together in the arena.</t>
  </si>
  <si>
    <t>People get autographs from the matador and are seen on the street interviewing about the event.</t>
  </si>
  <si>
    <t>The bull runs and charges aft the matador from a distance.</t>
  </si>
  <si>
    <t>The matador cheers to the crowd with his back facing the bull.</t>
  </si>
  <si>
    <t>v_fxyqt18d-jo</t>
  </si>
  <si>
    <t>A man, in black t-shirt, stands alone in a kitchen, talks to a camera in an animated way and prepares a peanut butter and jelly sandwich.</t>
  </si>
  <si>
    <t>The man holds up a jar of peanut butter and a bottle of jelly after pulling out two pieces of bread while standing in front of a kitchen countertop.</t>
  </si>
  <si>
    <t>The man puts jelly and peanut butter on the bread.</t>
  </si>
  <si>
    <t>The man bites into the sandwich, begins talking again, slams the sandwich down on a plate and walks off.</t>
  </si>
  <si>
    <t>v_RZ8r5B69CLY</t>
  </si>
  <si>
    <t>People are shown on a volleyball court as they warm up.</t>
  </si>
  <si>
    <t>The girls volley the ball back and forth over the net.</t>
  </si>
  <si>
    <t>They try to keep the ball from their opponents as the game truly begins.</t>
  </si>
  <si>
    <t>v_h91i2x9Gouk</t>
  </si>
  <si>
    <t>A woman is seen speaking to the camera holding up various mops and presenting them to the camera.</t>
  </si>
  <si>
    <t>She then dips the mops into a bucket and washes them along the floor.</t>
  </si>
  <si>
    <t>She continues speaking while holding up the mops as well as taking them apart and showing how they work.</t>
  </si>
  <si>
    <t>v_V9xuy-rVj9w</t>
  </si>
  <si>
    <t>A group of men and boys are on a snow capped hill.</t>
  </si>
  <si>
    <t>They lob snowballs and ride the cars, then they ski down the hill.</t>
  </si>
  <si>
    <t>They are shown skiing and performing many tricks, spinning and flipping as they go.</t>
  </si>
  <si>
    <t>v_Z9o_h64qVeo</t>
  </si>
  <si>
    <t>We see a boy playing an accordion.</t>
  </si>
  <si>
    <t>The boy slides his hand across the keys.</t>
  </si>
  <si>
    <t>A piece of paper enters the scene on the lower right.</t>
  </si>
  <si>
    <t>The boy finishes and the screen goes black.</t>
  </si>
  <si>
    <t>v_Y_slRMRs18I</t>
  </si>
  <si>
    <t>The hand drills a hole with an electric tool.</t>
  </si>
  <si>
    <t>The hand screws two nail into holes with an electric tool.</t>
  </si>
  <si>
    <t>The person leaves with the electric tool.</t>
  </si>
  <si>
    <t>v_U0jlI70N_DQ</t>
  </si>
  <si>
    <t>Several kids are in a pool playing a game of water polo.</t>
  </si>
  <si>
    <t>One of the girls gets the ball and makes a shot into the net as the crowd cheers.</t>
  </si>
  <si>
    <t>The game resets and the teams begin to play again.</t>
  </si>
  <si>
    <t>v_yqBRp0txs-c</t>
  </si>
  <si>
    <t>Two men are shown speaking at a party playing pong with two other men.</t>
  </si>
  <si>
    <t>The men keep getting the balls into the cups back and fourth and one jumps on the back of the other.</t>
  </si>
  <si>
    <t>v_crz2vi_dguk</t>
  </si>
  <si>
    <t>A sink is covered in filth.</t>
  </si>
  <si>
    <t>A bottle is held up to the camera.</t>
  </si>
  <si>
    <t>The water runs over a sponge.</t>
  </si>
  <si>
    <t>The solution is poured on the sponge and the sink is cleaned.</t>
  </si>
  <si>
    <t>v_LLLuBjEVHI8</t>
  </si>
  <si>
    <t>A teenage boy wearing a white shirt and black track pants is shooting hoops in an outdoor basketball court.</t>
  </si>
  <si>
    <t>There are a few cones arranged around the court.</t>
  </si>
  <si>
    <t>The boy continues running, dribbling and shooting hoops with the basketball.</t>
  </si>
  <si>
    <t>He hits a shot and makes a basket and then stops playing.</t>
  </si>
  <si>
    <t>v_f9eW4rFQG-A</t>
  </si>
  <si>
    <t>A map is shown and then two large fish are shown in the water as a bird floats across the water.</t>
  </si>
  <si>
    <t>Two men are on a boat and they are sailing across the water over fish.</t>
  </si>
  <si>
    <t>An underwater view is then shown and you can see the bottom of the ducks body.</t>
  </si>
  <si>
    <t>Several men and boats are then shown and one mail catches a fish.</t>
  </si>
  <si>
    <t>After, a man dressed in all black is underwater and a water helicopter is shown then the man goes back under water holding the camera and playing with large fish.</t>
  </si>
  <si>
    <t>More are shown and males continue to jump off the boat, and show their findings underwater and dumping water on themselves and another map is shown.</t>
  </si>
  <si>
    <t>v_lvd2InghJOo</t>
  </si>
  <si>
    <t>Two people are playing racquetball .</t>
  </si>
  <si>
    <t>The ball comes around behind the players.</t>
  </si>
  <si>
    <t>They resume playing and jumping.</t>
  </si>
  <si>
    <t>The ball again gets by the players.</t>
  </si>
  <si>
    <t>The man in yellow restarts a new match.</t>
  </si>
  <si>
    <t>The man in blue walks to the window and messes with a sticker.</t>
  </si>
  <si>
    <t>The man in yellow tries to restart a new match.</t>
  </si>
  <si>
    <t>The man in blue hits the ball in the corner and it rolls back.</t>
  </si>
  <si>
    <t>They start another round of racquetball.</t>
  </si>
  <si>
    <t>v_rLCRgksVNE8</t>
  </si>
  <si>
    <t>A girl is getting her nose pierced.</t>
  </si>
  <si>
    <t>The nose is cleaned before the piercing.</t>
  </si>
  <si>
    <t>She talks to the camera.</t>
  </si>
  <si>
    <t>The man pierces her nose.</t>
  </si>
  <si>
    <t>v_Ha5KU-pp4gk</t>
  </si>
  <si>
    <t>A scenery of a residence is shown.</t>
  </si>
  <si>
    <t>A man appears from behind a hedge and he's holding a lime green hedge cutter and he begins to go around his hedges and starts cutting away at them first at the top, then he concentrates on the sides and towards the bottom.</t>
  </si>
  <si>
    <t>The man then moves his hedge cutter and concentrates on the top of the hedges.</t>
  </si>
  <si>
    <t>v_i7rJN34TruM</t>
  </si>
  <si>
    <t>Four people are seen hitting a ball around a gymnasium back and fourth off the wall with a tennis racket.</t>
  </si>
  <si>
    <t>The men continue playing with one another and end by shaking hands with each other.</t>
  </si>
  <si>
    <t>v_ODW0I_ITug0</t>
  </si>
  <si>
    <t>A man is seen standing in front of the camera holding onto a set of bagpipes.</t>
  </si>
  <si>
    <t>The man continues to play while taking breaks here and there and showing text in the end.</t>
  </si>
  <si>
    <t>v_L2jO-evVIRE</t>
  </si>
  <si>
    <t>A woman is seen raking leaves around a lawn while three dogs stand near her and hold toys.</t>
  </si>
  <si>
    <t>The woman continues raking as the dog roam around her with toys and she gradually picks them up and throws them for the dogs.</t>
  </si>
  <si>
    <t>v_MQ7k1wig4jk</t>
  </si>
  <si>
    <t>There are several men playing Foos ball in an indoor room that has wooden panels.</t>
  </si>
  <si>
    <t>They are all engrossed in the game as they hit the ball back and forth.</t>
  </si>
  <si>
    <t>v_b_iUgvzb1-0</t>
  </si>
  <si>
    <t>A woman bends forward extending her left left arm on front and raising her leg up while having the right hand over her shoulder.</t>
  </si>
  <si>
    <t>Then, the woman turns to the left and throw a ball and spin her body.</t>
  </si>
  <si>
    <t>v_4kNx9rVwmAg</t>
  </si>
  <si>
    <t>A woman leads a class of boys and girl in exercise.</t>
  </si>
  <si>
    <t>They use steppers to jump up and down, and side to side.</t>
  </si>
  <si>
    <t>Then they run in place, hopping on and off the steppers.</t>
  </si>
  <si>
    <t>They slow down, cooling off before clapping.</t>
  </si>
  <si>
    <t>v_5ObgpPDmVPA</t>
  </si>
  <si>
    <t>woman is in sea scubadiving and a man is behind her.</t>
  </si>
  <si>
    <t>they are watching the fishes and trunks.</t>
  </si>
  <si>
    <t>men are scuba diving under the sea.</t>
  </si>
  <si>
    <t>v_CikGafc6H_8</t>
  </si>
  <si>
    <t>A group of boys are lined up, playing the drums.</t>
  </si>
  <si>
    <t>A couple of teams are inside the pool.</t>
  </si>
  <si>
    <t>v_asM7fbK_F-U</t>
  </si>
  <si>
    <t>A woman is seen speaking to someone off camera and leads into herself playing the drums.</t>
  </si>
  <si>
    <t>Another man steps into frame and begins playing the drums with a woman.</t>
  </si>
  <si>
    <t>A small child appears in front a bit grabbing onto the woman while she and the man still play drums.</t>
  </si>
  <si>
    <t>v_wOZdXVdiB04</t>
  </si>
  <si>
    <t>A large group of people are seen playing dodgeball against one another and throwing the ball back and fourth.</t>
  </si>
  <si>
    <t>Many people watch the game on the sidelines as people continue to play while some fall and walk in and out of frame.</t>
  </si>
  <si>
    <t>v_9LhMNDcFW_k</t>
  </si>
  <si>
    <t>An Asian woman is standing while holding a card that has gold BYN letters on the back of it.</t>
  </si>
  <si>
    <t>A clip begins to play and it shows various men in a large field playing croquet while spectators look on.</t>
  </si>
  <si>
    <t>A young man is then presented with a large silver cup that is handed to him by an older man.</t>
  </si>
  <si>
    <t>v_goH-zdx5urM</t>
  </si>
  <si>
    <t>A woman lies on her back doing abs.</t>
  </si>
  <si>
    <t>The woman raises her kneed to the chest and pull the head with her hands.</t>
  </si>
  <si>
    <t>Then, the woman stops and a dog approach to her.</t>
  </si>
  <si>
    <t>v_gyCXP8w8GRA</t>
  </si>
  <si>
    <t>A young team of boys are in a gym at a karate match.</t>
  </si>
  <si>
    <t>A woman walks her son out to the mat and begins fixing his mat and preparing him to face his opponent.</t>
  </si>
  <si>
    <t>The two individuals walk up to the mat and the referee gives them the signal to begin.</t>
  </si>
  <si>
    <t>As the boy is being approached,he kicks his opponent in the head.</t>
  </si>
  <si>
    <t>The boy that is kicked falls out on the ground and his mother rushes out to make sure he is okay as the other boy takes a knee.</t>
  </si>
  <si>
    <t>Once the boy is okay,the referee begins making several hand gestures and they conclude the match,the young boy goes to his mother and makes his way to who ever is holding the camera.</t>
  </si>
  <si>
    <t>v_BiIIco4EC2U</t>
  </si>
  <si>
    <t>A blindfolded man is seen sitting at a table with a timer coming on next to him attempting to solve a rubix cube.</t>
  </si>
  <si>
    <t>The man finishes the cube and timer stops while a person standing next to him records his time.</t>
  </si>
  <si>
    <t>Another man is seen walking around in the background while the camera pans around to more people solving cubes.</t>
  </si>
  <si>
    <t>v_9hYyE1gofFQ</t>
  </si>
  <si>
    <t>A girl is shown on the gymnastics floor preparing to do a baton routine.</t>
  </si>
  <si>
    <t>The routine begins as she starts to dance around the floor and twirl her batons.</t>
  </si>
  <si>
    <t>The routine ends an she runs off the stage as the crowd cheers.</t>
  </si>
  <si>
    <t>v_IucYlH_gAic</t>
  </si>
  <si>
    <t>A person is seen moving themselves along the water while also being shown in slow motion.</t>
  </si>
  <si>
    <t>The person pushes themselves under the water and continues moving underneath.</t>
  </si>
  <si>
    <t>The camera captures the man from several angles.</t>
  </si>
  <si>
    <t>v_b7_ok8iTlT8</t>
  </si>
  <si>
    <t>There are distant view shots of areas around Los Angeles, Hollywood, and surrounding areas.</t>
  </si>
  <si>
    <t>A man then talks behind a table full of ingredients and cooking utensils.</t>
  </si>
  <si>
    <t>The man then shows off some of his vegetables and ingredients and smells them.</t>
  </si>
  <si>
    <t>He starts cooking by squeezing a lemon into a bowl of soaked vegetables.</t>
  </si>
  <si>
    <t>Then, he puts onions, lemon juice, pepper, oil, which he smells, and some other vegetables on a plate.</t>
  </si>
  <si>
    <t>He then shreds cheese onto a place with a shredder.</t>
  </si>
  <si>
    <t>He puts the shredded cheese onto the original plate.</t>
  </si>
  <si>
    <t>After, he picks some herbs and places them on a plate.</t>
  </si>
  <si>
    <t>He then adds salt and more pepper to the original plate.</t>
  </si>
  <si>
    <t>He then talks about a bottle of oil and adds some to the original plate.</t>
  </si>
  <si>
    <t>He also adds a different type of oil to the plate.</t>
  </si>
  <si>
    <t>There are then different clips and angles of the finished food plate.</t>
  </si>
  <si>
    <t>v_bJ1vEQKX-hE</t>
  </si>
  <si>
    <t>A man completes a large set of push-ups and then introduces the concepts of dodgeball.</t>
  </si>
  <si>
    <t>A graphic is shown of the court.</t>
  </si>
  <si>
    <t>The two teams line up to play against one another.</t>
  </si>
  <si>
    <t>The concepts of ruling people out and blocking the ball are introduced.</t>
  </si>
  <si>
    <t>The teams congratulate each other, showing sportsmanship.</t>
  </si>
  <si>
    <t>More rules are shown on the screen, highlighting player safety.</t>
  </si>
  <si>
    <t>v_pxfc6AIPrig</t>
  </si>
  <si>
    <t>A person is seen in several different shots performing tricks along the water while others ride around him.</t>
  </si>
  <si>
    <t>The man continues to perform tricks along the water and ends with the video fading to black.</t>
  </si>
  <si>
    <t>v_twQbAuWVxlU</t>
  </si>
  <si>
    <t>A green figures walks down the street.</t>
  </si>
  <si>
    <t>An endless stream of other green figures appear.</t>
  </si>
  <si>
    <t>Each of the figures is walking a dog.</t>
  </si>
  <si>
    <t>The clip seems to be a loop.</t>
  </si>
  <si>
    <t>v_icGrJ2XBxa0</t>
  </si>
  <si>
    <t>People are sitting in kayaks on a river.</t>
  </si>
  <si>
    <t>They are rowing their oars.</t>
  </si>
  <si>
    <t>People are standing on the beach with medals around their necks.</t>
  </si>
  <si>
    <t>v_Nq6cd5Xue9Q</t>
  </si>
  <si>
    <t>We see a man running on a track.</t>
  </si>
  <si>
    <t>The man uses a long stick to perform a long jump.</t>
  </si>
  <si>
    <t>We then see the man attempt and fail the long jump repeatedly.</t>
  </si>
  <si>
    <t>We see the man's shirt get stuck on the pole.</t>
  </si>
  <si>
    <t>v_NfTfLk1D-tI</t>
  </si>
  <si>
    <t>A close up of drums are seen followed by a person walking into frame.</t>
  </si>
  <si>
    <t>The person sits down in front of the drums and begins playing them continuously.</t>
  </si>
  <si>
    <t>The man continues playing the drums faster and faster while the camera captures his movements.</t>
  </si>
  <si>
    <t>v_NjFxN3xQqeY</t>
  </si>
  <si>
    <t>A man is seen pushing a lawn mower along a yard and moving the machine all around the yard.</t>
  </si>
  <si>
    <t>Another man is seen grabbing a machine out of a truck as the other man continues to mow the lawn.</t>
  </si>
  <si>
    <t>v_8VYre-lXqIo</t>
  </si>
  <si>
    <t>A pregnant woman is slowly moving in a room.</t>
  </si>
  <si>
    <t>She moves side to side as she goes.</t>
  </si>
  <si>
    <t>She lifts her feet and arms, doing several martial arts moves.</t>
  </si>
  <si>
    <t>v_jQ2UoAENwlw</t>
  </si>
  <si>
    <t>A man is seen sitting on a chair look nervously at the camera while another man sits behind him.</t>
  </si>
  <si>
    <t>The man then begins tattooins the man's chest and the man looks up into the camera every now and then.</t>
  </si>
  <si>
    <t>v_W74AfHdwWhM</t>
  </si>
  <si>
    <t>There is a woman shown throwing knives into wood and taking them out.</t>
  </si>
  <si>
    <t>In the end the other people who are there all sit down and eat popsicles.</t>
  </si>
  <si>
    <t>v_uAKyRSEaY1s</t>
  </si>
  <si>
    <t>A man wearing a grey t-shirt stands at a desk with a computer monitor displaying a timer.</t>
  </si>
  <si>
    <t>The man holds a Rubik's Cube and starts the timer as he starts to solve the Rubik's Cube.</t>
  </si>
  <si>
    <t>As the man completes the Rubik's Cube he drops the puzzle and stops the timer at 26 seconds.</t>
  </si>
  <si>
    <t>v_gOe72cTd0IA</t>
  </si>
  <si>
    <t>We see a black opening title screen.</t>
  </si>
  <si>
    <t>We see a boat floating in the ocean and people sitting on the boat.</t>
  </si>
  <si>
    <t>Three people are underwater in diving gear looking at the sealife.</t>
  </si>
  <si>
    <t>We see a man and a woman swimming together and the lady waves at the camera.</t>
  </si>
  <si>
    <t>The lady makes an explosion sign with her hands and waves.</t>
  </si>
  <si>
    <t>The lady takes her mouth piece out and shrugs her shoulders.</t>
  </si>
  <si>
    <t>We see the people back on the boat and the man and the girl hug each other.</t>
  </si>
  <si>
    <t>We see a balloon high in the sky.</t>
  </si>
  <si>
    <t>v_H3pQJc8d8H8</t>
  </si>
  <si>
    <t>Three men in white are doing karate moves in a room.</t>
  </si>
  <si>
    <t>They do a few kicks in the air.</t>
  </si>
  <si>
    <t>Two of the men start fighting each other.</t>
  </si>
  <si>
    <t>v_leJM3mgm_gU</t>
  </si>
  <si>
    <t>A large, blue ball is tossed in the air.</t>
  </si>
  <si>
    <t>A child runs to catch a blue, large ball.</t>
  </si>
  <si>
    <t>The child falls on the lawn.</t>
  </si>
  <si>
    <t>v_UsexiHSzIQI</t>
  </si>
  <si>
    <t>A woman comes onto the screen to introduce a video about working out.</t>
  </si>
  <si>
    <t>The same woman is shown as she teaches a spin class with several participants.</t>
  </si>
  <si>
    <t>She takes a break from the bike and does tome abdominal exercises on the floor.</t>
  </si>
  <si>
    <t>The video ends with the closing credit shown at the end.</t>
  </si>
  <si>
    <t>v_0w2XFd-Q9Eg</t>
  </si>
  <si>
    <t>A person sits on front a laptop and a cube puzzle.</t>
  </si>
  <si>
    <t>Then, the person solves a cube puzzle.</t>
  </si>
  <si>
    <t>After, the person solves the cube puzzle puts it on the laptop.</t>
  </si>
  <si>
    <t>v_MHAS5TK2eW0</t>
  </si>
  <si>
    <t>A group of people are exercizing in an aerobics class.</t>
  </si>
  <si>
    <t>They are using a stepper, dancing and jumping on and off the equipment.</t>
  </si>
  <si>
    <t>v_AWryNQMbcd8</t>
  </si>
  <si>
    <t>Two small children are seen outside by a swingset.</t>
  </si>
  <si>
    <t>One swings back and fourth while the other stands on the side.</t>
  </si>
  <si>
    <t>One man kicks the other boy and he bends over.</t>
  </si>
  <si>
    <t>v_ZW46Rcuhqac</t>
  </si>
  <si>
    <t>Beer and other alcohol is shown on a counter in a kitchen.</t>
  </si>
  <si>
    <t>A man takes a pitcher of beer and begins talking to the camera.</t>
  </si>
  <si>
    <t>The man proceeds to drink the entire pitcher of beer.</t>
  </si>
  <si>
    <t>v_oNc2lJ9hV9E</t>
  </si>
  <si>
    <t>A lady speaks in a kitchen with a medal on the screen and we see shots of cake and cooking.</t>
  </si>
  <si>
    <t>We see the lady make a cake and give instructions.</t>
  </si>
  <si>
    <t>The lady takes and prepares her cake pans.</t>
  </si>
  <si>
    <t>The lady mixes her dry ingredients then mixes them in the mixer with red food coloring and pours them into cake pans cooks and cools them on racks.</t>
  </si>
  <si>
    <t>The lady makes frosting in the mixer and puts frosting in between the layers of cake and on top.</t>
  </si>
  <si>
    <t>The lady cuts the cake and we see the ending title screen.</t>
  </si>
  <si>
    <t>v_fghAmraOM9A</t>
  </si>
  <si>
    <t>A woman wearing a protective helmet speaks to the camera while standing outdoors next to a palm tree.</t>
  </si>
  <si>
    <t>The woman is standing on a sidewalk wearing rollerblades and protective gear.</t>
  </si>
  <si>
    <t>The woman speaks to the camera and demonstrates different techniques of skating down the sidewalk.</t>
  </si>
  <si>
    <t>v_g5rkuDdjRVI</t>
  </si>
  <si>
    <t>We see two boys on a train talking.</t>
  </si>
  <si>
    <t>It gets dark in a tunnel.</t>
  </si>
  <si>
    <t>Someone throws something at a boy.</t>
  </si>
  <si>
    <t>We see the boys riding skateboards down a residential street.</t>
  </si>
  <si>
    <t>A man rides downhill backwards.</t>
  </si>
  <si>
    <t>We see a boy fall off his skateboard.</t>
  </si>
  <si>
    <t>We see a number three on a wall.</t>
  </si>
  <si>
    <t>We see a person jump off their skateboard.</t>
  </si>
  <si>
    <t>v_7iTrw4kr8e0</t>
  </si>
  <si>
    <t>An intro leads into a woman looking into the mirror and putting makeup on.</t>
  </si>
  <si>
    <t>She puts glasses and looks down at the mirror.</t>
  </si>
  <si>
    <t>She turns herself away and ends with a logo shown.</t>
  </si>
  <si>
    <t>v_5SyvdU5LWPk</t>
  </si>
  <si>
    <t>A group of lacrosse players are shown on a field.</t>
  </si>
  <si>
    <t>They run around, trying to get the ball away from each other.</t>
  </si>
  <si>
    <t>They are shown playing in slow motion.</t>
  </si>
  <si>
    <t>v_9qJbSz-eCq0</t>
  </si>
  <si>
    <t>A man wearing a plastic head covering is shown eating ice cream.</t>
  </si>
  <si>
    <t>We see the inside of a plant, where cookies are crushed and put into containers of vanilla ice cream, then sorted.</t>
  </si>
  <si>
    <t>Ice cream fills the pints, and is mixed in a giant vault before other ingredients are added and the pints filled.</t>
  </si>
  <si>
    <t>We then see popsicles being created, before a man and woman are shown eating the treats.</t>
  </si>
  <si>
    <t>v_goLVOzKw4U8</t>
  </si>
  <si>
    <t>A man wearing gloves holds a pair of pliers and putting an object in between.</t>
  </si>
  <si>
    <t>He sparks the object to create a flame and puts his mask on to protect himself.</t>
  </si>
  <si>
    <t>He continues flaming the object and shows off what he has burned.</t>
  </si>
  <si>
    <t>v__pYDg0B6_tw</t>
  </si>
  <si>
    <t>A boy jumps on a diving board high.</t>
  </si>
  <si>
    <t>Then, the boy jumps and flips three time, but falls on his back making a big splash.</t>
  </si>
  <si>
    <t>v_MD6p1s-N9rM</t>
  </si>
  <si>
    <t>A young man irons a shirt on an ironing board in a hallway.</t>
  </si>
  <si>
    <t>The man adjusts the camera and returns to ironing.</t>
  </si>
  <si>
    <t>The man finishes ironing and turns the camera away.</t>
  </si>
  <si>
    <t>v_cWrOETjOOTc</t>
  </si>
  <si>
    <t>A man in a red shirt is kneeling down.</t>
  </si>
  <si>
    <t>Another man in a black shirt is standing up in front of him.</t>
  </si>
  <si>
    <t>They are fixing something on a bike.</t>
  </si>
  <si>
    <t>v_CpxGRgJgRPA</t>
  </si>
  <si>
    <t>A woman explains how to wrap a box with gift paper.</t>
  </si>
  <si>
    <t>Then, the woman cuts the paper and wraps around the box using tape.</t>
  </si>
  <si>
    <t>After, the woman folds the sides of the paper and cutting a piece to fit the box, then put tape to joint the ends while explaining.</t>
  </si>
  <si>
    <t>v_U-VzZQGWOqA</t>
  </si>
  <si>
    <t>A young girl is seen licking an ice cream cone while the camera watching her eat.</t>
  </si>
  <si>
    <t>She continues eating the ice cream cone and looking off into the distance.</t>
  </si>
  <si>
    <t>v_Ck0IhZZI5CA</t>
  </si>
  <si>
    <t>A man in jeans and tshirt rolls a paint roller in the tray.</t>
  </si>
  <si>
    <t>The man applies more paint to the fence with a roller and getting more paint until he lifts the roller and is pleased.</t>
  </si>
  <si>
    <t>The man gets more paint on his brush from the tray.</t>
  </si>
  <si>
    <t>The man finishes painting the section of fence and then sets down his roller.</t>
  </si>
  <si>
    <t>v_B2_qciB7U1Q</t>
  </si>
  <si>
    <t>Several people are longboarding and biking down a hill.</t>
  </si>
  <si>
    <t>A person has a white glove and is holding onto the person in front of them.</t>
  </si>
  <si>
    <t>Words go on the screen at the end.</t>
  </si>
  <si>
    <t>v_Ga-6wy0Nboo</t>
  </si>
  <si>
    <t>man is snowboarding going down a hill sliding in zigzags passing small flags.</t>
  </si>
  <si>
    <t>man is talking to the camera in a dark room.</t>
  </si>
  <si>
    <t>man is snowboarding on the snowy slope and a video is showing the right position of the body when going side to side.</t>
  </si>
  <si>
    <t>v_peaOnHl5YS8</t>
  </si>
  <si>
    <t>A man and daughter are seen sliding into frame wearing only socks and a long shirt.</t>
  </si>
  <si>
    <t>The two are seen holding mops and begin singing with one another.</t>
  </si>
  <si>
    <t>The two continue to dance around and sing with each other.</t>
  </si>
  <si>
    <t>v_kvqX0QOgYDc</t>
  </si>
  <si>
    <t>Scuba diver swim and glide underwater in the ocean near a rock face.</t>
  </si>
  <si>
    <t>The scuba divers make hand gestures and joke.</t>
  </si>
  <si>
    <t>The men swim up close into view.</t>
  </si>
  <si>
    <t>v_SnFWB9NLFjY</t>
  </si>
  <si>
    <t>A close up of skis are shown followed by a person pushing themselves along using sticks and skiing down the mountain.</t>
  </si>
  <si>
    <t>The person continuously riding down on the mountain using the skis and zooming past people and stopping at the bottom.</t>
  </si>
  <si>
    <t>v_5pzCqex6S48</t>
  </si>
  <si>
    <t>A man is seen standing ready and putting his arms up by his sides.</t>
  </si>
  <si>
    <t>The man then jumps onto a set of uneven bars and begins performing a gymnastics routine.</t>
  </si>
  <si>
    <t>The man spins himself all around and ends by jumping off the side with his arms up.</t>
  </si>
  <si>
    <t>v_LB2P_KH0W2I</t>
  </si>
  <si>
    <t>Two women are washing dishes in the kitchen.</t>
  </si>
  <si>
    <t>They go back and forth over the kitchen.</t>
  </si>
  <si>
    <t>The scene is in very fast motion.</t>
  </si>
  <si>
    <t>v_Zf3RcqHO82M</t>
  </si>
  <si>
    <t>A man and woman are sitting on a stage together.</t>
  </si>
  <si>
    <t>They are talking about the tango dance.</t>
  </si>
  <si>
    <t>They spin and twirl before an audience.</t>
  </si>
  <si>
    <t>v_XPwpA67qHjA</t>
  </si>
  <si>
    <t>A news story is given about walking a slackline.</t>
  </si>
  <si>
    <t>People of all levels walk, lie, and meditate on the rope.</t>
  </si>
  <si>
    <t>Some people walk over oncoming canoers.</t>
  </si>
  <si>
    <t>v_rdszlTqxBXs</t>
  </si>
  <si>
    <t>A woman put lipstick on her lips on front a mirror.</t>
  </si>
  <si>
    <t>Then She laugh with other teens next to her.</t>
  </si>
  <si>
    <t>v_QU5R75IyQow</t>
  </si>
  <si>
    <t>A man is talking to a camera in his bathroom.</t>
  </si>
  <si>
    <t>He is then shown brushing, spraying, and styling a woman's hair before braiding it.</t>
  </si>
  <si>
    <t>she poses for the camera when he is finished.</t>
  </si>
  <si>
    <t>v_Mkljhl3D9-Q</t>
  </si>
  <si>
    <t>The man instructs four women on cooking.</t>
  </si>
  <si>
    <t>The man adds oil, onions, garlic, and peppers to a pot.</t>
  </si>
  <si>
    <t>The man adds clams to the pot.</t>
  </si>
  <si>
    <t>The man adds broth to the pot.</t>
  </si>
  <si>
    <t>The man boils pasta in a separate pot.</t>
  </si>
  <si>
    <t>The women gather around a pot to see the pasta.</t>
  </si>
  <si>
    <t>The man finishes the sauce and pours it in a pot.</t>
  </si>
  <si>
    <t>The man adds the pasta.</t>
  </si>
  <si>
    <t>The man adds the pasta to the plate.</t>
  </si>
  <si>
    <t>The women try the pasta dish.</t>
  </si>
  <si>
    <t>Everyone laughs and seems happy.</t>
  </si>
  <si>
    <t>The man starts calling out tickets.</t>
  </si>
  <si>
    <t>The women cook the dish that the man had just taught them to make.</t>
  </si>
  <si>
    <t>The man helps them and gives them pointers.</t>
  </si>
  <si>
    <t>The women look anxious as they try to cook.</t>
  </si>
  <si>
    <t>The waiters start serving the plates.</t>
  </si>
  <si>
    <t>v_aYC7F72n924</t>
  </si>
  <si>
    <t>A construction worker is standing in a building, holding a mop and bucket.</t>
  </si>
  <si>
    <t>He shows off the bucket and solution, then mops the floor in a demonstration.</t>
  </si>
  <si>
    <t>He gets the floor completely clean and shiny before standing to one side.</t>
  </si>
  <si>
    <t>v_wM7FmqEj4PY</t>
  </si>
  <si>
    <t>woman is standing in a living room holding an iron.</t>
  </si>
  <si>
    <t>woman wearing a pink shirt is ironing a blue shirt.</t>
  </si>
  <si>
    <t>quiet living room is with old furnitures.</t>
  </si>
  <si>
    <t>v_f0cxC1B5cbw</t>
  </si>
  <si>
    <t>A woman is raking leaves into a large pile.</t>
  </si>
  <si>
    <t>A man is running a lawn mower over leaves.</t>
  </si>
  <si>
    <t>He puts some of the leaves into a garden bed.</t>
  </si>
  <si>
    <t>v_TSIz-6s4OeY</t>
  </si>
  <si>
    <t>A woman is seen speaking to the camera and leads into her ironing a pair of pants.</t>
  </si>
  <si>
    <t>The woman continues ironing the pants while moving the iron up and down.</t>
  </si>
  <si>
    <t>v_daDd48y4x0g</t>
  </si>
  <si>
    <t>We see lots of plate of fancy food.</t>
  </si>
  <si>
    <t>We then zoom in on the plates.</t>
  </si>
  <si>
    <t>We see a shadow on the plates.</t>
  </si>
  <si>
    <t>A man on the right picks up a few plates.</t>
  </si>
  <si>
    <t>v_t6trrsdhMEc</t>
  </si>
  <si>
    <t>A woman wearing workout gear is standing upright and hanging onto a very long punching bag.</t>
  </si>
  <si>
    <t>Suddenly the woman jumps up and straddles the bag.</t>
  </si>
  <si>
    <t>Slowly, the woman drops her upper half of her body while still straddling the bag, and does 5 sit ups while the bag swings with her.</t>
  </si>
  <si>
    <t>The woman holds onto the bag, smiles, then jumps off.</t>
  </si>
  <si>
    <t>v_4UIAc9irBLs</t>
  </si>
  <si>
    <t>A woman and a young girl swim in a pool.</t>
  </si>
  <si>
    <t>The young girl holds on to the woman as she swims.</t>
  </si>
  <si>
    <t>The young girl lets go and swims near the woman.</t>
  </si>
  <si>
    <t>The young girl and the woman hold hands and swim to the surface of the pool.</t>
  </si>
  <si>
    <t>The woman holds on to the girl.</t>
  </si>
  <si>
    <t>v_dRiIYsAmNAc</t>
  </si>
  <si>
    <t>A large group of people are seen running around a sandy pit kicking a soccer ball around.</t>
  </si>
  <si>
    <t>The people continue playing soccer with one another and wait for a call in the end.</t>
  </si>
  <si>
    <t>v_ZIHD-3iWCrE</t>
  </si>
  <si>
    <t>A woman is holding a kitten in her lap.</t>
  </si>
  <si>
    <t>A guy is clipping the nails on the cat.</t>
  </si>
  <si>
    <t>v_-QuFk_ThRNg</t>
  </si>
  <si>
    <t>Two bodybuilder women are seated at a table.</t>
  </si>
  <si>
    <t>They are arm wrestling, vieing to win.</t>
  </si>
  <si>
    <t>When there is a victor, the two women shake hands.</t>
  </si>
  <si>
    <t>v_S3OJBVHL9y8</t>
  </si>
  <si>
    <t>The green and white team gets off the floor.</t>
  </si>
  <si>
    <t>The green and white team are pulling the rope in a tug of war contest.</t>
  </si>
  <si>
    <t>The red and black team are pulling the rope in a tug of war contest.</t>
  </si>
  <si>
    <t>The green and white team are repeatedly taking steps and the audience is cheering.</t>
  </si>
  <si>
    <t>The green and white team are standing holding the rope.</t>
  </si>
  <si>
    <t>v_7hEUl8lziZs</t>
  </si>
  <si>
    <t>A man in a yellow shirt is on his knees layering cement on the floor.</t>
  </si>
  <si>
    <t>He stops for a second and looks up.</t>
  </si>
  <si>
    <t>The man goes back to layering the floor with cement.</t>
  </si>
  <si>
    <t>v_259K1wC2IMk</t>
  </si>
  <si>
    <t>A young boy is seen pulling a mop out of a bucket followed by him pushing the mop across the floor.</t>
  </si>
  <si>
    <t>The camera pans to a woman in the distance and the boy continuing to push the mop along the floor.</t>
  </si>
  <si>
    <t>v_CTxuJBTp_CQ</t>
  </si>
  <si>
    <t>A person spreads out the branches on a Christmas tree.</t>
  </si>
  <si>
    <t>The person drapes shiny tinsel strands around the tree.</t>
  </si>
  <si>
    <t>The person hangs Christmas bulbs on the tree.</t>
  </si>
  <si>
    <t>A child comes and watches the person decorating the tree then runs around playing.</t>
  </si>
  <si>
    <t>The person rolls up a sheer piece of fabric to put away.</t>
  </si>
  <si>
    <t>v_9qFwSM8QLIE</t>
  </si>
  <si>
    <t>Various crowd scenes at a bullfight arena are shown.</t>
  </si>
  <si>
    <t>Matadors walk out into the ring area.</t>
  </si>
  <si>
    <t>A parade of horses and riders is shown.</t>
  </si>
  <si>
    <t>Scenes of matadors interacting with bulls are shown.</t>
  </si>
  <si>
    <t>The crowd cheers for a matador.</t>
  </si>
  <si>
    <t>Matadors are hoisted on people's shoulders and paraded.</t>
  </si>
  <si>
    <t>v_l_Y_Xns6SpE</t>
  </si>
  <si>
    <t>The woman is leaning on the pool table focusing on the ball.</t>
  </si>
  <si>
    <t>The woman hit the ball and cheered .</t>
  </si>
  <si>
    <t>The woman hit the ball again and started jumping.</t>
  </si>
  <si>
    <t>v_Lyi8-hf1rCw</t>
  </si>
  <si>
    <t>A man in a a leotard is blowing in his hands getting himself warmed up to start running.</t>
  </si>
  <si>
    <t>Once he starts he goes super fast jumping up and into the sand.</t>
  </si>
  <si>
    <t>They show a replay of his run and land in slow motion.</t>
  </si>
  <si>
    <t>When he is done he walks around the arena while being followed by a camera.</t>
  </si>
  <si>
    <t>v_NOXPH0_y4Ww</t>
  </si>
  <si>
    <t>a little girl is standing in a kitchen and starts squeeze a lemon into a water bowl, a person is standing by her side.</t>
  </si>
  <si>
    <t>lttle girl suck her finger and smile while a woman walks throug kitchen and puts something in the counter.</t>
  </si>
  <si>
    <t>little girl is standing in the kitchen with her mouth open and play with her hair.</t>
  </si>
  <si>
    <t>the girl starts walking an sit in fronts of a counter with a bowl of fruits and talk to the camera, walks again in the kitchen and keep aqueezing lemons in the water bowl, woman starts helping her.</t>
  </si>
  <si>
    <t>woman clean her hands in the sink and the girl walks in the kitchen and keep squeezing the lemons.</t>
  </si>
  <si>
    <t>v_XI6sjZg9Yeg</t>
  </si>
  <si>
    <t>A man is seen laying floor down on the ground using a machine and others helping.</t>
  </si>
  <si>
    <t>Several shots are shown of the men pushing down the floor and using a torch underneath to keep it in place.</t>
  </si>
  <si>
    <t>The man continue working while showing the steam on the hot mats and the finished roof with done.</t>
  </si>
  <si>
    <t>v_liNIRD7YwFQ</t>
  </si>
  <si>
    <t>A large wave is crashing toward the shore.</t>
  </si>
  <si>
    <t>A surfer is shown tearing through the water.</t>
  </si>
  <si>
    <t>A rainbow appears, then we see boats on the beach and more surfers in the waves.</t>
  </si>
  <si>
    <t>v_p800u2wCKbE</t>
  </si>
  <si>
    <t>A news reporter is talking about a local fund raiser held by a nursery school.</t>
  </si>
  <si>
    <t>There are several people gathered to support the cause.</t>
  </si>
  <si>
    <t>There is a lemonade stand set up where people are purchasing lemonade to donate money for a cause.</t>
  </si>
  <si>
    <t>One of the parents is talking to the news reporter about the fund raiser.</t>
  </si>
  <si>
    <t>Three more parents are standing are chatting as they sip lemonade.</t>
  </si>
  <si>
    <t>A picture the girl, Hannah is shown for whom the fund raiser was held.</t>
  </si>
  <si>
    <t>v_bR62246z9qA</t>
  </si>
  <si>
    <t>Cheerleaders with their hands in do a cheer.</t>
  </si>
  <si>
    <t>They go on the floor and stand still.</t>
  </si>
  <si>
    <t>They perform a cheer leading routine.</t>
  </si>
  <si>
    <t>Four girls are lifted and hold their legs.</t>
  </si>
  <si>
    <t>Two girls are lifted in the air and two girls are flipped then two girls lift the two girls.</t>
  </si>
  <si>
    <t>Four girls are lifted and hold two other girls up and a third is added.</t>
  </si>
  <si>
    <t>Two girls in the front held up a red sign.</t>
  </si>
  <si>
    <t>Three girls are lifted and they each hold another girl on their shoulders.</t>
  </si>
  <si>
    <t>v_nO2tXrQDD8I</t>
  </si>
  <si>
    <t>Several individuals play against each other in a table football match.</t>
  </si>
  <si>
    <t>Two individuals walk by in the background.</t>
  </si>
  <si>
    <t>Another two individuals walk by in the background.</t>
  </si>
  <si>
    <t>v_rcrhyi2EzZc</t>
  </si>
  <si>
    <t>Two young kids are his mother are standing in a kitchen washing dishes.</t>
  </si>
  <si>
    <t>The little girl takes a blue sponge cleans her dish and then gets down and begins walking around.</t>
  </si>
  <si>
    <t>Both the mother and son are still at the sink and she stands besides him and helps him clean his dish as well.</t>
  </si>
  <si>
    <t>v_Y9wrTRY3mUI</t>
  </si>
  <si>
    <t>A group of people, children and families live, travel, and ice fish on a vast ice and snow covered piece of land.</t>
  </si>
  <si>
    <t>A group of men and a woman talk to a camera while showcasing fish caught and live fishing in ice holes on a snow and ice covered terrain.</t>
  </si>
  <si>
    <t>Several people fish in ice holes with children nearby while other drive across the ice terrain.</t>
  </si>
  <si>
    <t>Fish are shown , local animals native to the area, toilets, cars on the ice, children, people holding fish just caught and ice holes where the fish are coming from along with dogs pulling snow sleds.</t>
  </si>
  <si>
    <t>v_mhPpeG3LrUk</t>
  </si>
  <si>
    <t>A girl is seen sitting outdoors and holding up a bottle of sunscreen while speaking to the camera.</t>
  </si>
  <si>
    <t>The girl then shakes up the bottle, pours it into her hands, and rubs it all over her body.</t>
  </si>
  <si>
    <t>v_x4qwV0Ti1Og</t>
  </si>
  <si>
    <t>A large track is shown with several people riding down on tubes at once.</t>
  </si>
  <si>
    <t>A man records a close up of a tube and pushing it into a woman standing in the snow.</t>
  </si>
  <si>
    <t>She begins talking on her phone and the same clip is shown again in slow motion.</t>
  </si>
  <si>
    <t>v_8bX1g0mefzM</t>
  </si>
  <si>
    <t>A woman talks showing a shoe, then she cleans it with a cloth.</t>
  </si>
  <si>
    <t>The woman puts oil in a cloth and polish the shoe.</t>
  </si>
  <si>
    <t>Then, the woman takes shoe polish and apply to the shoe.</t>
  </si>
  <si>
    <t>v_o-S8I8lhQpo</t>
  </si>
  <si>
    <t>A woman is parasailing in the ocean.</t>
  </si>
  <si>
    <t>She goes through tough waves.</t>
  </si>
  <si>
    <t>She goes over a large wave, which knocks her over.</t>
  </si>
  <si>
    <t>v_7ToBC5eGg38</t>
  </si>
  <si>
    <t>A young woman is seen standing on a court wearing a hat and holding a tennis racket.</t>
  </si>
  <si>
    <t>The girl then throws the ball up into the air and hits it off into the distance.</t>
  </si>
  <si>
    <t>She looks back and smiles to the camera.</t>
  </si>
  <si>
    <t>v_U20a95sHi8E</t>
  </si>
  <si>
    <t>A close up of a car is seen followed by people walking into frame and washing the car.</t>
  </si>
  <si>
    <t>The people clean the exterior as well as interior and roll the car outside.</t>
  </si>
  <si>
    <t>They park the car and continue to wipe it down followed by drying it off in the end.</t>
  </si>
  <si>
    <t>v_r4kC4AHDIH8</t>
  </si>
  <si>
    <t>People on a river bank get on inflated boats and raft in a river with choppy waters.</t>
  </si>
  <si>
    <t>Two men are on a red canoe.</t>
  </si>
  <si>
    <t>A group of rafters go down the river while, also people in canoes raft.</t>
  </si>
  <si>
    <t>The rafters arrive to calm waters, then a team celebrates a victory.</t>
  </si>
  <si>
    <t>v_0acEl97ZBME</t>
  </si>
  <si>
    <t>A camera pans up to a man sitting and smoking a cigarette.</t>
  </si>
  <si>
    <t>Another man walks over with a cart and begins digging through trash.</t>
  </si>
  <si>
    <t>The man smoking cigarettes begins talking to the homeless man about how life sucks and how he can relate to the homeless man.</t>
  </si>
  <si>
    <t>v_jcaOoRM6J80</t>
  </si>
  <si>
    <t>We see outdoor images then a man in a kitchen.</t>
  </si>
  <si>
    <t>We see ingredients on a table.</t>
  </si>
  <si>
    <t>The man mixes the ingredients in a mixer bowl.</t>
  </si>
  <si>
    <t>The man stirs the mix then turns the mixer back on.</t>
  </si>
  <si>
    <t>The man mixes the mix and pours it into cake pans.</t>
  </si>
  <si>
    <t>The man taps the pans then puts the cake in the oven.</t>
  </si>
  <si>
    <t>We see cookware, cupcakes, and the man cooking.</t>
  </si>
  <si>
    <t>Then see the bright end screen.</t>
  </si>
  <si>
    <t>v_9uieGqu2TYA</t>
  </si>
  <si>
    <t>A black intro screen appears and it contains white words that say "Named Gymnastic Elements Parallel bars", then "MUSIC: Nightwish Where were you last night", and the last screen includes foreign words an email and a website.</t>
  </si>
  <si>
    <t>Various short clips of different men on different parallel bars in gymnasiums are doing handstands, swinging on them and doing various other tricks as spectators look on.</t>
  </si>
  <si>
    <t>The last man on the parallel bars seems to be practicing in a gym with no large group of spectators looking on.</t>
  </si>
  <si>
    <t>v_CLbEvGHmK8k</t>
  </si>
  <si>
    <t>A group of people perform simple step aerobics out on a sunny day.</t>
  </si>
  <si>
    <t>The aerobics instructor has the class switch to a new aerobics move in which the group dances their arms out in front of them and incorporate clapping as they take steps.</t>
  </si>
  <si>
    <t>Their next move is placing their hands up towards the sky as they take a step.</t>
  </si>
  <si>
    <t>v_JMrfe-UVA0Y</t>
  </si>
  <si>
    <t>man is standing in front of a screen talking to the camera.</t>
  </si>
  <si>
    <t>a woman is playing with a cat and its in table with a nail clipper cutting the cat's nails.</t>
  </si>
  <si>
    <t>v_5gaobaT6K1A</t>
  </si>
  <si>
    <t>A woman is seen riding off a bull when the bull knocks her off and others run in to help.</t>
  </si>
  <si>
    <t>Several more people are shown attempting to taunt the bull and end by getting hurt and others helping.</t>
  </si>
  <si>
    <t>v_P6ijX0vabJs</t>
  </si>
  <si>
    <t>A close up of an instrument is shown followed by a woman sitting into frame and speaking to the camera.</t>
  </si>
  <si>
    <t>She then picks up the flute and begins playing it and pausing to speak in between.</t>
  </si>
  <si>
    <t>She plays the instrument again and pauses to put it down and speak to the camera.</t>
  </si>
  <si>
    <t>v__m8WprCWHF4</t>
  </si>
  <si>
    <t>A black screen appears and quickly white words fly across it and they say "Here it comes Set for full Screen".</t>
  </si>
  <si>
    <t>A picture of a snowcapped mountain appears and white words on the screen say "HARTEL PRODUCTIONS".</t>
  </si>
  <si>
    <t>A wooden board appears at an outdoor area an it say's "CLAM BEACH COUNTY PARK WELCOME NORTH DAY USE PARKING", then in yellow some text appears that say "THE DOG WALK".</t>
  </si>
  <si>
    <t>Various still shots of people walking with dogs or walking alone along a road appear along with various shots of the area and titles of what they are.</t>
  </si>
  <si>
    <t>At the end there are still shots of dogs getting loaded into a car, the dogs in the car, a man loading the car with his walker, a closing sign and then yellow words appear that say "THE END" and it fades to black.</t>
  </si>
  <si>
    <t>v_v8u8BiprYKs</t>
  </si>
  <si>
    <t>A lady kneels in front of bushes and talks.</t>
  </si>
  <si>
    <t>The lady uses gardening shears to trim the bush.</t>
  </si>
  <si>
    <t>The lady stands and trims the bushes.</t>
  </si>
  <si>
    <t>The lady kneels down again and continues to talk to the camera.</t>
  </si>
  <si>
    <t>v_4o4Vh49v-q4</t>
  </si>
  <si>
    <t>A little girl is standing in her bathroom and demonstrating how she rinses her mouth with mouth wash.</t>
  </si>
  <si>
    <t>She takes a sip of Listerine mouth was from her cup and holds it in her mouth for several seconds while her older brother video tapes her.</t>
  </si>
  <si>
    <t>Another little girl walks behind her and watches her rinse.</t>
  </si>
  <si>
    <t>She holds the mouth wash in her mouth for a long time and then spits it out in the sink.</t>
  </si>
  <si>
    <t>v_Gms3Yt6RrV4</t>
  </si>
  <si>
    <t>A man is seen talking with a camera very close to his face.</t>
  </si>
  <si>
    <t>Another man with a helmet on is standing near by.</t>
  </si>
  <si>
    <t>A third man is seen in a car next to the man talking.</t>
  </si>
  <si>
    <t>The man wearing the helmet starts down the street on a skateboard.</t>
  </si>
  <si>
    <t>The man goes down a few very steep hills on his skateboard.</t>
  </si>
  <si>
    <t>The man rides past a stop sign.</t>
  </si>
  <si>
    <t>The man with the camera and the man in the car follow filming the man on the skateboard.</t>
  </si>
  <si>
    <t>After the stop sign, the car passes the man on the skateboard.</t>
  </si>
  <si>
    <t>The car stops and the man on the skateboard stops just past them and picks up his skateboard.</t>
  </si>
  <si>
    <t>v_qlq13iS0nEA</t>
  </si>
  <si>
    <t>A man with a guitar and a microphone performs a piece of music.</t>
  </si>
  <si>
    <t>A black screen with a graphic of a white guitar and a website appear.</t>
  </si>
  <si>
    <t>The man stops playing then the black screen with white guitar and website appear again.</t>
  </si>
  <si>
    <t>v_E4yf1mz4ij0</t>
  </si>
  <si>
    <t>An athlete is seen walking into a circle and preparing himself to throw a shot put.</t>
  </si>
  <si>
    <t>The man throws the object several times after spinning around and several people watching on the sidelines.</t>
  </si>
  <si>
    <t>v_XwW5p80hYCg</t>
  </si>
  <si>
    <t>A logo and the words Master Lube TV show up on a black screen.</t>
  </si>
  <si>
    <t>A young man is standing and talking in a business while other young men are cleaning and detailing the inside and outside of a silver vehicle.</t>
  </si>
  <si>
    <t>The now cleaned vehicle pulls out of the garage and drives away from the business.</t>
  </si>
  <si>
    <t>The vehicle is now parked and two young men are wiping it down with a a dry cloth.</t>
  </si>
  <si>
    <t>More clips of the young man talking solo and all the cleaning they did previously replays.</t>
  </si>
  <si>
    <t>A red, white and blue flag with the words "HAND CAR WASH" blows in the wind.</t>
  </si>
  <si>
    <t>More clips of the young man talking solo and replays of the cleaning loops as words below the man show up and read "MasterLube Hand Car Wash 750 Broadwater Ave (406) 294-5530.</t>
  </si>
  <si>
    <t>Flags are show again and it fades to a black screen with a logo and the words MasterLube.</t>
  </si>
  <si>
    <t>v_Q5kU3DUXXZg</t>
  </si>
  <si>
    <t>Numerous different pictures of fitness people flash on the screen and the logo LA MUSCLE flashes quickly.</t>
  </si>
  <si>
    <t>A group of people appear and they are on bicycles pedaling and are doing a cardio workshop while the man in front wearing a headband is talking the whole time.</t>
  </si>
  <si>
    <t>The outro screen appears and it's a white screen that shoes the LA MUSCLE logo like it did in the beginning and the words "For More Visit LAMUSCLE dot TV".</t>
  </si>
  <si>
    <t>v_1kMPW5huHWQ</t>
  </si>
  <si>
    <t>A man is completing a rubiks cube.</t>
  </si>
  <si>
    <t>A timer is sitting on the table next to him.</t>
  </si>
  <si>
    <t>He sets the completed rubiks cube down on the table.</t>
  </si>
  <si>
    <t>v_cvEOK7xAPSs</t>
  </si>
  <si>
    <t>People running up the beach very quickly.</t>
  </si>
  <si>
    <t>Then they start to make strange faces towards the camera.</t>
  </si>
  <si>
    <t>They start bouncing and doing tricks on some kind of bouncy rope.</t>
  </si>
  <si>
    <t>Some of the the tricks look like they are very extreme.</t>
  </si>
  <si>
    <t>v_RHfjDkr6mcc</t>
  </si>
  <si>
    <t>A woman is seen standing behind an ironing board ironing a shirt while speaking to the camera every now and then.</t>
  </si>
  <si>
    <t>The moves the shirt all around the table ironing it and holding it up in the end to present.</t>
  </si>
  <si>
    <t>v_-fMxoShIXiM</t>
  </si>
  <si>
    <t>A woman with long, black, curly hair is wearing casual wear, talking, and squatting on a roof.</t>
  </si>
  <si>
    <t>The woman then stands up and walks to a part of the roof where she lifts up a black shingle on the roof.</t>
  </si>
  <si>
    <t>The woman is now on standing on the ground in front of the house smiling and talking.</t>
  </si>
  <si>
    <t>A large truck pulls up to the house and a man begins to unload shingles onto the roof.</t>
  </si>
  <si>
    <t>The woman is back on the roof with a shovel and is shoveling off all of the old shingles then she dumps them in a large dumpster.</t>
  </si>
  <si>
    <t>Men are now laying out long pieces of black material and nailing them into the roof, as well as nailing the shingles down.</t>
  </si>
  <si>
    <t>The roof is done and a view of the entire house is shown to show off the finished roof.</t>
  </si>
  <si>
    <t>The woman is standing in front of the home, smiling while talking.</t>
  </si>
  <si>
    <t>v_wNvLv7PtvQg</t>
  </si>
  <si>
    <t>A camera zooms in out two people riding in a canoe together.</t>
  </si>
  <si>
    <t>The camera moves in closer and captures the people paddling further down the river.</t>
  </si>
  <si>
    <t>v_jFqY3M37F-g</t>
  </si>
  <si>
    <t>We see a man siting and holding a drum.</t>
  </si>
  <si>
    <t>We then see the man playing on the drum.</t>
  </si>
  <si>
    <t>The man hits a drum off camera left.</t>
  </si>
  <si>
    <t>The man shuffles his hands on the drum.</t>
  </si>
  <si>
    <t>The man stops paying the drums.</t>
  </si>
  <si>
    <t>v_E29kZvEtOUA</t>
  </si>
  <si>
    <t>A child helps push a lawn mower with an adult to cut the grass.</t>
  </si>
  <si>
    <t>A man mows the lawn of a large yard along with a child watching nearby.</t>
  </si>
  <si>
    <t>The man empties out the collection hopper bag on the lawn mower and empties it into a trash bin and wheels it away.</t>
  </si>
  <si>
    <t>The child plays with the lawn mower while turned off.</t>
  </si>
  <si>
    <t>v_nt4Ag91306U</t>
  </si>
  <si>
    <t>A person is throwing a tennis ball up in the air and hits the ball.</t>
  </si>
  <si>
    <t>Two men begin talking about this tennis move and how you should properly hold your racket.</t>
  </si>
  <si>
    <t>The man demonstrates how to throw the ball up and how to swing.</t>
  </si>
  <si>
    <t>The man continues to discuss when to hit the ball for this move and how to execute it properly.</t>
  </si>
  <si>
    <t>v_DIF8qouivIU</t>
  </si>
  <si>
    <t>A man wearing a white fencing outfit walks over to a woman in leather with her hands tied together.</t>
  </si>
  <si>
    <t>He holds her waist and speaks to her while watching the men fence behind them.</t>
  </si>
  <si>
    <t>They speak to another couple defiantly and the men prepare to fight.</t>
  </si>
  <si>
    <t>The men fence back and fourth when the older gentleman pinches his eyes and fight again.</t>
  </si>
  <si>
    <t>The men become agitated and one leaves with shirt off.</t>
  </si>
  <si>
    <t>v_W7JxYa-PiB8</t>
  </si>
  <si>
    <t>A man wearing a hat is seen holding a tennis racket and bouncing a ball up and down.</t>
  </si>
  <si>
    <t>The man then serves the ball and leads into a tennis match between four people.</t>
  </si>
  <si>
    <t>The announcer laughs as the other team mates speak to each other and showing his hit again in slow motion.</t>
  </si>
  <si>
    <t>v_gnKpguqHfag</t>
  </si>
  <si>
    <t>A green and yellow team Hockey team is pictured and there location is shown on a map.</t>
  </si>
  <si>
    <t>The video then reverts back to the game and shows the venue that the teams are playing in.</t>
  </si>
  <si>
    <t>After,several players are shown skating around the rink and then a bald Caucasian male is shown dressed in a black polo begins talking to the camera.</t>
  </si>
  <si>
    <t>Once finished,the bench is panned and the game begins with the referee standing in between the two teams and they begin playing.</t>
  </si>
  <si>
    <t>As they continue,the bald man is shows and continues talking and they continue to flash between him,the players, and the games.</t>
  </si>
  <si>
    <t>v_BERvPz1e_AU</t>
  </si>
  <si>
    <t>Various athletes are seen standing together in the middle of a large stadium and leads into a woman throwing a shot put and then walking away.</t>
  </si>
  <si>
    <t>Several more people are seen walking up and throwing the object with a woman running with the american flag and standing on a podium with others.</t>
  </si>
  <si>
    <t>v_B1u-Er4jXFA</t>
  </si>
  <si>
    <t>The camera zooms in on a chef spinning around a spatula in a pan and putting more ingredients into the pan.</t>
  </si>
  <si>
    <t>He stirs around the mixture and presses it to the side while setting down the spatula.</t>
  </si>
  <si>
    <t>v_vT6bb2y34UE</t>
  </si>
  <si>
    <t>Two wires are seen laid across and table with a person putting a box on top.</t>
  </si>
  <si>
    <t>The person wraps the box with wires and tying a bow on top.</t>
  </si>
  <si>
    <t>The person ties a candy cane with the box and shows it off to the camera.</t>
  </si>
  <si>
    <t>v_LW5lcM_rKBY</t>
  </si>
  <si>
    <t>A man is seen holding a power drill with a potato on the end and people peeling around him.</t>
  </si>
  <si>
    <t>The man turns on the drill and peels the potato with another person pointing on the side.</t>
  </si>
  <si>
    <t>v_7S7THbo8uds</t>
  </si>
  <si>
    <t>Two men are seen holding each other's arms and leads into the men performing an arm wrestling match.</t>
  </si>
  <si>
    <t>One man smokes a cigarette while they continue to play and that man winds while holding his arms up.</t>
  </si>
  <si>
    <t>v_GU_8hjy79VQ</t>
  </si>
  <si>
    <t>A man is seen with a large pole.</t>
  </si>
  <si>
    <t>A large crowd is in the stands in the background.</t>
  </si>
  <si>
    <t>The man with the pole runs and throws it and then hits the ground.</t>
  </si>
  <si>
    <t>The pole flies through the air and lands just past the number 85 on a field.</t>
  </si>
  <si>
    <t>Several man run out to the pole.</t>
  </si>
  <si>
    <t>Men are seen in the stands clapping.</t>
  </si>
  <si>
    <t>The man that threw the pole is seen putting a jacket on.</t>
  </si>
  <si>
    <t>Many people walk around and sit on the field.</t>
  </si>
  <si>
    <t>The man is seen throwing the pole again.</t>
  </si>
  <si>
    <t>v_lx5Yfoj7Gk8</t>
  </si>
  <si>
    <t>A close up of a machine is shown printing paper and leads into people working around the picture.</t>
  </si>
  <si>
    <t>The people continue working with the machine putting paper through and measuring it and laying it out on a table.</t>
  </si>
  <si>
    <t>The people are then seen hanging the paper up on a wall and presenting it in the end.</t>
  </si>
  <si>
    <t>v_QhDPo3amF6o</t>
  </si>
  <si>
    <t>The bumper car ride is packed with people, already many are crashing.</t>
  </si>
  <si>
    <t>A man flashes the peace sign at the camera, having a good time.</t>
  </si>
  <si>
    <t>Car 9 has finally gotten going but he is crashing left and right.</t>
  </si>
  <si>
    <t>A man reverses into another car behind him.</t>
  </si>
  <si>
    <t>A large pile-up occurs in the middle of the track.</t>
  </si>
  <si>
    <t>v_8ZjUZbykp4U</t>
  </si>
  <si>
    <t>A man is seen sitting behind a drum set playing on the drums.</t>
  </si>
  <si>
    <t>The camera pans all around his movements while he speaks to the camera.</t>
  </si>
  <si>
    <t>More shots are shown of him playing as well as singing and other people playing instruments around him.</t>
  </si>
  <si>
    <t>v_BxEnhkx2srY</t>
  </si>
  <si>
    <t>A boy prepares to do a high jump in a gym.</t>
  </si>
  <si>
    <t>He takes off running with the high jump stick.</t>
  </si>
  <si>
    <t>he makes the jump and lands on the safety pads.</t>
  </si>
  <si>
    <t>v_kkEjwEXkz3w</t>
  </si>
  <si>
    <t>A person's hands with nails are shown followed by two women talking to the camera.</t>
  </si>
  <si>
    <t>Several objects on paper are shown while the women continue to speak and one start making designs on the nails.</t>
  </si>
  <si>
    <t>v_MleVjHU-wI8</t>
  </si>
  <si>
    <t>We then see a man holding something wrapped in a plastic bag.</t>
  </si>
  <si>
    <t>A woman joins the man.</t>
  </si>
  <si>
    <t>The man opens the plastic bag.</t>
  </si>
  <si>
    <t>The lady gift wraps the box for the man.</t>
  </si>
  <si>
    <t>The man takes a shot at the gift wrapping.</t>
  </si>
  <si>
    <t>The lady finishes wrapping the gift.</t>
  </si>
  <si>
    <t>The man folds an edge, and the lady tapes it.</t>
  </si>
  <si>
    <t>The man presents the box to the camera and talks.</t>
  </si>
  <si>
    <t>the closing screen is then seen and it goes black.</t>
  </si>
  <si>
    <t>v_2FKWKDEg5KE</t>
  </si>
  <si>
    <t>We see a man working on a piece of equipment.</t>
  </si>
  <si>
    <t>The man heats the caulk and scrapes it off.</t>
  </si>
  <si>
    <t>The screen flashes and the man puts on new caulk.</t>
  </si>
  <si>
    <t>The man stops and points at the caulk The end scene is seen.</t>
  </si>
  <si>
    <t>v_3SL_Au0H0cw</t>
  </si>
  <si>
    <t>man is wearing a black kimono and isdoing yoga movements.</t>
  </si>
  <si>
    <t>man is standing in a large green grassy field.</t>
  </si>
  <si>
    <t>man is slowly walking practicing boxing movements.</t>
  </si>
  <si>
    <t>v_xpA16yFuDqw</t>
  </si>
  <si>
    <t>A woman and man are shown swimming backward in the water of a pool.</t>
  </si>
  <si>
    <t>They demonstrate different techniques as the swim.</t>
  </si>
  <si>
    <t>The names of the various methods appear on the screen between examples.</t>
  </si>
  <si>
    <t>v_UCndppz9rWc</t>
  </si>
  <si>
    <t>manis wearing a white shirt and is walking in a green grass carrying a lawnmower.</t>
  </si>
  <si>
    <t>kid is standing in the field watching the man with the lawnmower.</t>
  </si>
  <si>
    <t>man stands and extends the hand to hold the kid.</t>
  </si>
  <si>
    <t>v_7iPb7mLURVc</t>
  </si>
  <si>
    <t>A woman is seen speaking to the camera while holing a baton in her hands.</t>
  </si>
  <si>
    <t>She continues speaking to the camera while spinning around the baton.</t>
  </si>
  <si>
    <t>She continues to spin around the baton and demonstrate how to properly twirl it.</t>
  </si>
  <si>
    <t>v_ooWk0EL6I7o</t>
  </si>
  <si>
    <t>A lady and a man kneel in a curling ring.</t>
  </si>
  <si>
    <t>They talk to each other and a broom enters the scene.</t>
  </si>
  <si>
    <t>they start to move forwards.</t>
  </si>
  <si>
    <t>The man stops and the lady stumbles.</t>
  </si>
  <si>
    <t>v_oJ9BFy1KNlY</t>
  </si>
  <si>
    <t>A man stands indoors, on a platform, in front of three onlookers, and lifts a heavily weighted bar bell.</t>
  </si>
  <si>
    <t>A man approaches a barbell on the floor and stands before it preparing to lift it.</t>
  </si>
  <si>
    <t>The man then bends at the knees and puts his hands on the bar portion of the weight.</t>
  </si>
  <si>
    <t>The man then lifts the bell above his head and then lets the bell fall to the floor where it bounces a bit upon landing as the man turns and walks away from the weight.</t>
  </si>
  <si>
    <t>v_q4rVY3sLQqA</t>
  </si>
  <si>
    <t>Two men describe lead climbing while one man in a bright green shirt climbs a climbing wall the other man wearing a dark green shirt holds the lead line and explains the process.</t>
  </si>
  <si>
    <t>The man in the dark green shirt places a strap and link to the climbing wall and loops a rope through the clip.</t>
  </si>
  <si>
    <t>The man reverses the strap position and loops the rope through the strap eye link.</t>
  </si>
  <si>
    <t>The man in the bright green shirt continue climbing to the top of the wall.</t>
  </si>
  <si>
    <t>The man in the dark green shirt continues talking to the camera.</t>
  </si>
  <si>
    <t>v_MLfEz9HPElE</t>
  </si>
  <si>
    <t>One woman throws something at another.</t>
  </si>
  <si>
    <t>Then, the two women play hopscotch.</t>
  </si>
  <si>
    <t>v_0uh3HP895OA</t>
  </si>
  <si>
    <t>a woman is sitting behind a desk talking to the camera.</t>
  </si>
  <si>
    <t>A woman walks into a room and sits in a pew.</t>
  </si>
  <si>
    <t>The woman begins to knit.</t>
  </si>
  <si>
    <t>The woman then talks to the camera.</t>
  </si>
  <si>
    <t>v_FMlWHXByLL0</t>
  </si>
  <si>
    <t>Kids are jump roping in a gym.</t>
  </si>
  <si>
    <t>They do flips over each other.</t>
  </si>
  <si>
    <t>People in the audience clap for them at the end.</t>
  </si>
  <si>
    <t>v_DqT3NrqisLk</t>
  </si>
  <si>
    <t>A close up of a person's feet are seen as well as text on the screen.</t>
  </si>
  <si>
    <t>The person is seen taking the laces off and running the shoes under water.</t>
  </si>
  <si>
    <t>The person mixes ingredients into a bowl and scrubs the shoes using the tooth brush.</t>
  </si>
  <si>
    <t>She then sticks the shoes in the wash and shows them off afterwards.</t>
  </si>
  <si>
    <t>v_7oBW5W6Fdok</t>
  </si>
  <si>
    <t>We see a man preparing to throw a hammer in track and field.</t>
  </si>
  <si>
    <t>The man shakes his legs and walks to the field.</t>
  </si>
  <si>
    <t>The man spins hard and throws the hammer.</t>
  </si>
  <si>
    <t>We see the hammer as it flies across the track.</t>
  </si>
  <si>
    <t>v_xEnnIWce1ok</t>
  </si>
  <si>
    <t>Two men perform a flip move on a playground that leads to one being dropped on the ground.</t>
  </si>
  <si>
    <t>The camera zooms in on the fallen man while they all laugh together.</t>
  </si>
  <si>
    <t>v_rA7qVOp47Qg</t>
  </si>
  <si>
    <t>A girl is riding on a white horse that is in an enclosed obstacle course, but it's just walking, trotting and running around the perimeter doing laps.</t>
  </si>
  <si>
    <t>Another girl is now the focus and she's riding on a taller brown horse who begins walking, trotting and they also stay on the perimeter of the area.</t>
  </si>
  <si>
    <t>When the brown horse is done going around in laps, it walks over to the white horse who is now in the middle of the area and it stops.</t>
  </si>
  <si>
    <t>v_jmPV_y8YntQ</t>
  </si>
  <si>
    <t>There are several girls standing ready with their jump ropes in an indoor gym.</t>
  </si>
  <si>
    <t>They are ready to compete in competition.</t>
  </si>
  <si>
    <t>There are several people seated and standing that are watching the girls as they jump rope.</t>
  </si>
  <si>
    <t>The girls take turns and jump rope in a relay manner.</t>
  </si>
  <si>
    <t>They switch between the contestants and move from fast skipping to slower and steadier skipping.</t>
  </si>
  <si>
    <t>They take turns as they skip.</t>
  </si>
  <si>
    <t>After they stop, the crowd claps and cheers.</t>
  </si>
  <si>
    <t>v__UlKLq9w_nw</t>
  </si>
  <si>
    <t>A group of people have gathered at an outdoor court.</t>
  </si>
  <si>
    <t>They are involved in a game of curling.</t>
  </si>
  <si>
    <t>Each person uses the stick to push the puck as a girl talks to the camera.</t>
  </si>
  <si>
    <t>v_3gpgeAMy6a8</t>
  </si>
  <si>
    <t>kids are standing in a green grassy field flying kites.</t>
  </si>
  <si>
    <t>man wearing white shirt is flying the kite in a lage field.</t>
  </si>
  <si>
    <t>litle kid wearing an orange shirt is watching the man.</t>
  </si>
  <si>
    <t>v_5mxY_p7N_Yw</t>
  </si>
  <si>
    <t>The video leads into several clips of a hockey player moving around the ice and players speaking to the camera.</t>
  </si>
  <si>
    <t>The people continuing skating on the ice while practicing as players intervene to speak to the camera.</t>
  </si>
  <si>
    <t>v_TPzxIqu1JJg</t>
  </si>
  <si>
    <t>A text intro leads into several shots of a warehouse and people working with torches.</t>
  </si>
  <si>
    <t>People are seen using computers as well as magnets that leads into people making cakes.</t>
  </si>
  <si>
    <t>People use several tools and materials to make a large cake that moves around and brings it into an exhibit in the end.</t>
  </si>
  <si>
    <t>v_U697zTxxDHM</t>
  </si>
  <si>
    <t>A group of friends sit together against a fence at a skate park.</t>
  </si>
  <si>
    <t>People on roller blades do tricks on a ramp over steps.</t>
  </si>
  <si>
    <t>People on roller blades do tricks on a bench at the skate park.</t>
  </si>
  <si>
    <t>People do trucks on a railing down a ramp at the skate park.</t>
  </si>
  <si>
    <t>The roller skates ride on half pipe ramps.</t>
  </si>
  <si>
    <t>v_lcVkXTsnR7A</t>
  </si>
  <si>
    <t>A guy climbs up the stairs carrying a black amplifier.</t>
  </si>
  <si>
    <t>The guy walks through a door he opened.</t>
  </si>
  <si>
    <t>The guy plays a harmonica with a microphone in one hand.</t>
  </si>
  <si>
    <t>The guy plays the guitar.</t>
  </si>
  <si>
    <t>The black amplifier is displayed on a table.</t>
  </si>
  <si>
    <t>The amplifier is displayed on a table.</t>
  </si>
  <si>
    <t>v_im-nQ-KEzaQ</t>
  </si>
  <si>
    <t>A woman is seen speaking to the camera with various ingredients laid out as well as her cleaning.</t>
  </si>
  <si>
    <t>She lays out a newspaper and mixes various ingredients together into a spray bottle.</t>
  </si>
  <si>
    <t>She puts on gloves and using the newspaper to wipe down a window after she has sprayed it.</t>
  </si>
  <si>
    <t>She continues wiping down the window while speaking to the camera.</t>
  </si>
  <si>
    <t>v_dUa0E0ASviM</t>
  </si>
  <si>
    <t>A girl is warming up and stretching and grabs 2 large ropes.</t>
  </si>
  <si>
    <t>Two women are holding each rope and the girl tries to pull both ropes at once.</t>
  </si>
  <si>
    <t>She continues pulling the rope and succeeds at pulling the two women closer to her.</t>
  </si>
  <si>
    <t>v_ouc67LyENuw</t>
  </si>
  <si>
    <t>Cows are running through fields with men chasing after them with sticks.</t>
  </si>
  <si>
    <t>The men are agitating the cows and causing them to fight with one another.</t>
  </si>
  <si>
    <t>The men are singing and dancing around the cows.</t>
  </si>
  <si>
    <t>The media interviews men from the crowd.</t>
  </si>
  <si>
    <t>A female reporter is holding a microphone while doing a news report.</t>
  </si>
  <si>
    <t>A large crowd of men are following her.</t>
  </si>
  <si>
    <t>v_EjaS2rW81S4</t>
  </si>
  <si>
    <t>Several people are seen kneeling on a beach helping a small child make sand castles.</t>
  </si>
  <si>
    <t>Many people are seen walking around the beach as the boy and older woman continue to make sand castles.</t>
  </si>
  <si>
    <t>v_dEUFGAwRhEM</t>
  </si>
  <si>
    <t>A couple of large balloons are floating over the ocean water.</t>
  </si>
  <si>
    <t>Competitor boaters are shown racing in the water.</t>
  </si>
  <si>
    <t>They paddle quickly toward the finish mark.</t>
  </si>
  <si>
    <t>v_J3coWVRd5do</t>
  </si>
  <si>
    <t>A girl runs down a track in slow motion.</t>
  </si>
  <si>
    <t>She takes a huge jump, hurling herself over a bar.</t>
  </si>
  <si>
    <t>She is shown performing the act again in slow motion.</t>
  </si>
  <si>
    <t>v_kG7inHibWLU</t>
  </si>
  <si>
    <t>A girl knocks on a door but nobody answers.</t>
  </si>
  <si>
    <t>She dances and prepares food in front of the stove with another woman.</t>
  </si>
  <si>
    <t>She fights and then both girls separate.</t>
  </si>
  <si>
    <t>v_7ZX3NHDmMZY</t>
  </si>
  <si>
    <t>People are in a swimming pool playing water polo.</t>
  </si>
  <si>
    <t>A woman is walking outside the pool.</t>
  </si>
  <si>
    <t>A man rubs his face while in the water before getting out of the water.</t>
  </si>
  <si>
    <t>v_e0Qj2F3V6fM</t>
  </si>
  <si>
    <t>The video stats explaining how to make Omelette muffins.</t>
  </si>
  <si>
    <t>She shows the ingredients and tell what to set the oven to.</t>
  </si>
  <si>
    <t>She mixes everything together and stirs it up with seasoning.</t>
  </si>
  <si>
    <t>She then puts it into the tray and into the oven to bake.</t>
  </si>
  <si>
    <t>Afterward she takes it out and shows the finished product.</t>
  </si>
  <si>
    <t>v_FIzlf7jdsUY</t>
  </si>
  <si>
    <t>Pictures of people's hair is shown.</t>
  </si>
  <si>
    <t>A woman in a pink shirt has pictures of her hair.</t>
  </si>
  <si>
    <t>Words come on the screen at the end.</t>
  </si>
  <si>
    <t>v_wFmczV8lv-I</t>
  </si>
  <si>
    <t>A group of gymnast enter front a side of a stadium.</t>
  </si>
  <si>
    <t>Next, a gymnast is shown on the bar and does multiple tricks consisting of flips and handstands then flips off to land and walks off.</t>
  </si>
  <si>
    <t>As a man runs near him,a replay is shown of the instances where he messed up and then his score is shown.</t>
  </si>
  <si>
    <t>Another man is shown doing various tricks and flips but instead of being above the bar,he starts out below the bar and comes on the top to do a hand stand before finally flipping off.</t>
  </si>
  <si>
    <t>Several other teams approach the bar and they too begin doing the same tricks in their competition.</t>
  </si>
  <si>
    <t>The winner then begins waving his flag and waving his hand to the crowd.</t>
  </si>
  <si>
    <t>v_TDWbRqIEcts</t>
  </si>
  <si>
    <t>We see a man in a room in front of a bookshelf with a cookie.</t>
  </si>
  <si>
    <t>The cookie is snatched from the man.</t>
  </si>
  <si>
    <t>We see the face of a young boy.</t>
  </si>
  <si>
    <t>We see ingredients added to a bowl.</t>
  </si>
  <si>
    <t>We switch and see a cat.</t>
  </si>
  <si>
    <t>We see ingredients in a mixer, then poured into a bowl then refrigerated.</t>
  </si>
  <si>
    <t>We see the cat appear again.</t>
  </si>
  <si>
    <t>A person shapes balls and coats them in powdered sugar.</t>
  </si>
  <si>
    <t>The cookies are baked.</t>
  </si>
  <si>
    <t>We see the man talking with a girl.</t>
  </si>
  <si>
    <t>We see the cookies and two mugs.</t>
  </si>
  <si>
    <t>We see the man with two kids.</t>
  </si>
  <si>
    <t>v_gkhgAlVSKTI</t>
  </si>
  <si>
    <t>A woman is seen playing a set of bagpipes while people sit around her and watch.</t>
  </si>
  <si>
    <t>The girl continues playing as the camera watches her move her hands along the instrument and a man standing next to her to pose and throw change.</t>
  </si>
  <si>
    <t>v_ybhc3-s7aYo</t>
  </si>
  <si>
    <t>A man is seen standing before a large log holding an ax in his hands.</t>
  </si>
  <si>
    <t>He holds the ax up over his head while still looking down at the log.</t>
  </si>
  <si>
    <t>He swing the ax down and chops the log in half.</t>
  </si>
  <si>
    <t>v_WidcZbpPEC0</t>
  </si>
  <si>
    <t>People are in a room talk to each other.</t>
  </si>
  <si>
    <t>Then, the men compete arm wrestling and the winner looks happy, while people 
 applaud.</t>
  </si>
  <si>
    <t>A man drinks beer from a bottle.</t>
  </si>
  <si>
    <t>v_l8TsSm4Yh4M</t>
  </si>
  <si>
    <t>A person is seen walking around a paintball course and leads into clips of people playing paintball and speaking to one another.</t>
  </si>
  <si>
    <t>A man points to the camera and leads into more shots of people playing and working with one another.</t>
  </si>
  <si>
    <t>v_GtYf9VsPHO0</t>
  </si>
  <si>
    <t>A close up of a sandwich is shown followed by ingredients and a woman speaking to the camera.</t>
  </si>
  <si>
    <t>Several ingredients are laid out and shown close up one by one while the woman mixes them all together in a bowl.</t>
  </si>
  <si>
    <t>She then pours the mixture onto a slice of break and presents it on a plate while speaking continuously.</t>
  </si>
  <si>
    <t>v_rVmNL8rzHnU</t>
  </si>
  <si>
    <t>A man is putting wall paper on the wall, he is trying to measure it just right so that it is even with the rest.</t>
  </si>
  <si>
    <t>He cuts some of the paper and takes the plastic part off of the back so that it is sticky and begins pressing the adhesive side down on the wall.</t>
  </si>
  <si>
    <t>He starts to add pressure to it so that any bubbles get out and it looks nice and even.</t>
  </si>
  <si>
    <t>He stands back to look at the wall and make sure it look good, then shows a before and after photo.</t>
  </si>
  <si>
    <t>v_znoMrA2qCbA</t>
  </si>
  <si>
    <t>A man is kneeling on a field.</t>
  </si>
  <si>
    <t>He picks up a heavy ball, and uses it to perform numerous exercise techniques.</t>
  </si>
  <si>
    <t>He then sets it back down on the grass.</t>
  </si>
  <si>
    <t>v_a7oaRcmRZ5k</t>
  </si>
  <si>
    <t>A boat is seen riding along the water with a man driving others around.</t>
  </si>
  <si>
    <t>A person is seen riding on the back doing several flips and tricks on his board.</t>
  </si>
  <si>
    <t>The people watch the man as well as the camera as he continues flipping around and looking back to the camera.</t>
  </si>
  <si>
    <t>v_NJuf9o45A8U</t>
  </si>
  <si>
    <t>A man is snowboarding down a hill of snow.</t>
  </si>
  <si>
    <t>He is jumping in the air and doing tricks off of pipes.</t>
  </si>
  <si>
    <t>v_LOhacn4jdT4</t>
  </si>
  <si>
    <t>A man walks around while adjusting a belt, with many other people in the room.</t>
  </si>
  <si>
    <t>The man walks through a tunnel flanked by several other men.</t>
  </si>
  <si>
    <t>The man gets on a stage and powders his hands.</t>
  </si>
  <si>
    <t>The man walks before a barbell with weights.</t>
  </si>
  <si>
    <t>The man lifts the weights.</t>
  </si>
  <si>
    <t>The man drops the weights.</t>
  </si>
  <si>
    <t>The man walks off stage as attendants move to the weight on stage.</t>
  </si>
  <si>
    <t>A replay of the lift is shown from a different angle.</t>
  </si>
  <si>
    <t>v_S633fHu_NrU</t>
  </si>
  <si>
    <t>A lady is standing at the table with ingredients on the table.</t>
  </si>
  <si>
    <t>The woman pointed the ingredients such as red bell peppers, celery, carrots, chicken breast, olives, pickled gherkins, olive oil in the bottle, white wine in the bottle, mayonnaise, mustard and gruyere, salt and pepper.</t>
  </si>
  <si>
    <t>The lady touched the ingredients in the plates, then she sliced the chicken, put the mustard, mayonnaise and olive oil in a bowl, then added the vegetables, and then the plate is shown with the chicken salad.</t>
  </si>
  <si>
    <t>v_GBTpVjwLxe0</t>
  </si>
  <si>
    <t>A kayak rider paddles against the current and maneuvers back and forth with his hips and paddle.</t>
  </si>
  <si>
    <t>The kayak rider dips into the water and recovers.</t>
  </si>
  <si>
    <t>v_wMDyshGO2og</t>
  </si>
  <si>
    <t>A game is taking place between argentina and peru.</t>
  </si>
  <si>
    <t>People in the crowded stands gather and disperse.</t>
  </si>
  <si>
    <t>The men are shown on the court, playing the game and kicking the ball.</t>
  </si>
  <si>
    <t>The scoreboard is shown for comparison as the game ends.</t>
  </si>
  <si>
    <t>v_ecWUNT_HcN8</t>
  </si>
  <si>
    <t>A large roof is seen close up followed by a person standing on a ladder and pushing down tiles.</t>
  </si>
  <si>
    <t>More people are seen working on the roof hammering down tiles as well as pushing them off and speaking to the camera.</t>
  </si>
  <si>
    <t>The camera continues to pan all around the roof as well as buildings around them and the men continuing to work.</t>
  </si>
  <si>
    <t>v_f5xSylPY_bQ</t>
  </si>
  <si>
    <t>A girl is sitting down in front of a couch.</t>
  </si>
  <si>
    <t>She starts playing a flute.</t>
  </si>
  <si>
    <t>She continues playing the flute white looking down.</t>
  </si>
  <si>
    <t>v_ynxngsa-IHU</t>
  </si>
  <si>
    <t>A man stands in front of a wall filled with hair products.</t>
  </si>
  <si>
    <t>Various scissors and combs are laid out on a mat.</t>
  </si>
  <si>
    <t>The salon stylist towels off then rubs hair products through the man's hair with his hands.</t>
  </si>
  <si>
    <t>The stylist combs out the persons hair and cuts it with scissors.</t>
  </si>
  <si>
    <t>The stylist trims the sideburns and around the ears.</t>
  </si>
  <si>
    <t>The stylist uses his hands to style the hair and blow drys it when finished cutting for the person to see.</t>
  </si>
  <si>
    <t>v_PVJK-r4pNg8</t>
  </si>
  <si>
    <t>We see a smiling man with credits running on the screen.</t>
  </si>
  <si>
    <t>We see an instructional screen.</t>
  </si>
  <si>
    <t>We see two men playing a game of squash.</t>
  </si>
  <si>
    <t>v_1_PiNdPt6RU</t>
  </si>
  <si>
    <t>woman is eating bran flakes and putting some mascara, washing her teeth and cleaning her mouth with mouthwash.</t>
  </si>
  <si>
    <t>journalists are talking in the news.</t>
  </si>
  <si>
    <t>v_Lx_FcKpTZIw</t>
  </si>
  <si>
    <t>A woman is washing her hands over a sink.</t>
  </si>
  <si>
    <t>She rinses her hands off in the sink.</t>
  </si>
  <si>
    <t>She grabs a paper towel and dries her hands.</t>
  </si>
  <si>
    <t>v_zPGc84TC74A</t>
  </si>
  <si>
    <t>We see the title screen on gray.</t>
  </si>
  <si>
    <t>Two men are playing squash.</t>
  </si>
  <si>
    <t>We see a transition urging practice.</t>
  </si>
  <si>
    <t>A transition starts but doesn't change to anything.</t>
  </si>
  <si>
    <t>The man in white wipes his brow with his sleeve.</t>
  </si>
  <si>
    <t>The end credits run up the screen.</t>
  </si>
  <si>
    <t>v_zL_WLS1gPNw</t>
  </si>
  <si>
    <t>A woman is kneeling down on the ground next to a desk.</t>
  </si>
  <si>
    <t>She starts painting the desk white with a paint brush.</t>
  </si>
  <si>
    <t>She then starts painting two of the drawers orange.</t>
  </si>
  <si>
    <t>v_KRz3aBw_TlQ</t>
  </si>
  <si>
    <t>Men take turns throwing darts at a dart board.</t>
  </si>
  <si>
    <t>A woman in the crowd claps for them.</t>
  </si>
  <si>
    <t>A man takes a drink out of a glass.</t>
  </si>
  <si>
    <t>v_Ru18FF0tcuA</t>
  </si>
  <si>
    <t>A person is rowing at the edge of a boat.</t>
  </si>
  <si>
    <t>The person takes out a fishing hook.</t>
  </si>
  <si>
    <t>The person starts fishing at his edge.</t>
  </si>
  <si>
    <t>v_iqmpDgATXbU</t>
  </si>
  <si>
    <t>A woman is seen performing a belly dancing routine on a large stage with other people watching on the sides.</t>
  </si>
  <si>
    <t>The woman continues dancing and spinning around the stage and ends with her posing and walking off.</t>
  </si>
  <si>
    <t>v_YUFPWt0VQ1Y</t>
  </si>
  <si>
    <t>There is a group of marching band students playing the trumpets.</t>
  </si>
  <si>
    <t>They are dressed in maroon and yellow colored uniforms and white hats.</t>
  </si>
  <si>
    <t>There are some students playing the drums and some students playing the trumpet.</t>
  </si>
  <si>
    <t>They continue playing the band as they march along the streets.</t>
  </si>
  <si>
    <t>v_-EKpX0t44pQ</t>
  </si>
  <si>
    <t>A wrestler is walking out and gets into the ring.</t>
  </si>
  <si>
    <t>Someone is laying on their stomach getting a tattoo on their back.</t>
  </si>
  <si>
    <t>A man in a red shirt is tattooing the man laying down.</t>
  </si>
  <si>
    <t>The wrestler is shown again.</t>
  </si>
  <si>
    <t>v_86sxvTk3YEY</t>
  </si>
  <si>
    <t>An actor,Jason Stathom,is sitting in a blue reclining chair talking a late night tv host by the name of Jimmy Fallon who is sitting behind a desk.</t>
  </si>
  <si>
    <t>The two continue to speak then they both stand up in a joking manner and walk over to a table.</t>
  </si>
  <si>
    <t>They both stand at the ends of the table and begin arm wrestling and talking.</t>
  </si>
  <si>
    <t>After a long period of time passes,the actor wins and starts cheering for himself.</t>
  </si>
  <si>
    <t>v_AntmYynwbhQ</t>
  </si>
  <si>
    <t>A woman in white shirt is posing with her short hair.</t>
  </si>
  <si>
    <t>A man in white shirt is cutting the hair of the girl in a studio with white background, then he braided the back of her hair, then continue to cut and style the girl's hair.</t>
  </si>
  <si>
    <t>v_VXiaPftjWqQ</t>
  </si>
  <si>
    <t>A man is seen kneeling down on a floor followed by shots of him putting plaster and tiles down are shown.</t>
  </si>
  <si>
    <t>He then drills into a bucket and lays plaster down, as well as placing tiles on the floor yet again and showing more shots of him working in the end.</t>
  </si>
  <si>
    <t>v_osaJxzwVt6Q</t>
  </si>
  <si>
    <t>kid is standing in front of stage playing congas.</t>
  </si>
  <si>
    <t>behind him is a girl playing the tambourine and a boy playing the triangle.</t>
  </si>
  <si>
    <t>in the background kids standing on stage are playing drums.</t>
  </si>
  <si>
    <t>v_4_yy5vswBn4</t>
  </si>
  <si>
    <t>A man is sitting at a table.</t>
  </si>
  <si>
    <t>A woman steps onto the table and falls into his arms.</t>
  </si>
  <si>
    <t>She does a back flip off of him onto the floor.</t>
  </si>
  <si>
    <t>They begin dancing on the dance floor.</t>
  </si>
  <si>
    <t>v_LkwkGj27pP8</t>
  </si>
  <si>
    <t>A man is seen leaning onto a fence and continuously bending down to dip paint into a bucket.</t>
  </si>
  <si>
    <t>The woman brushes the fence continuously in front of her while the camera captures her from behind.</t>
  </si>
  <si>
    <t>v_JBnHqQjeVMk</t>
  </si>
  <si>
    <t>Cars and RV's sit outside a rodeo center.</t>
  </si>
  <si>
    <t>Cowboys practice their lasso work.</t>
  </si>
  <si>
    <t>People shop inside the store of the rodeo center.</t>
  </si>
  <si>
    <t>A young kid catches a calf.</t>
  </si>
  <si>
    <t>A cowboy jumps off his horse to control the calf he has caught.</t>
  </si>
  <si>
    <t>Another cowboy in a black shirt jumps off his horse.</t>
  </si>
  <si>
    <t>A man in a pink shirt lassos a calf.</t>
  </si>
  <si>
    <t>A woman on a horse catches a calf.</t>
  </si>
  <si>
    <t>Another man jumps off his brown horse to control the calf he has caught.</t>
  </si>
  <si>
    <t>v_8tI9IsSpgeI</t>
  </si>
  <si>
    <t>A man lifts large weight off the ground.</t>
  </si>
  <si>
    <t>He pushes it over his head before dropping it on the ground.</t>
  </si>
  <si>
    <t>v_D99jYbtGO38</t>
  </si>
  <si>
    <t>A man throws a ball to his son, who catches it with a lacrosse stick.</t>
  </si>
  <si>
    <t>The boy flings it back and it sails to the right of the man.</t>
  </si>
  <si>
    <t>v_sV6JEbmqDUw</t>
  </si>
  <si>
    <t>A woman is shown from various angles moving on an exercise machine and leads into the earth revolving.</t>
  </si>
  <si>
    <t>She places an item on the machine and several pictures of health are shown.</t>
  </si>
  <si>
    <t>She is again on the machine riding and finally folds up the machine in the end.</t>
  </si>
  <si>
    <t>v_rvkVdD2u_yA</t>
  </si>
  <si>
    <t>A man is talking in front of a net.</t>
  </si>
  <si>
    <t>He crouches down to the floor, crossing his ankles.</t>
  </si>
  <si>
    <t>He then goes forward and back several times, stretching.</t>
  </si>
  <si>
    <t>v_CP9NQpJD0-Y</t>
  </si>
  <si>
    <t>A man sits in a room and discusses.</t>
  </si>
  <si>
    <t>The man holds up a coffee cup while talking.</t>
  </si>
  <si>
    <t>The man takes a few drinks from the coffee cup.</t>
  </si>
  <si>
    <t>v_fsz79uPkUSs</t>
  </si>
  <si>
    <t>A toddler is sitting down in front of a table,with her play make up laid out on the table.</t>
  </si>
  <si>
    <t>She then takes her foundation and puts it around her face.</t>
  </si>
  <si>
    <t>Next comes her eye shadow,then her lips but she ends up dropping it on the floor and has to go under the table to get it.</t>
  </si>
  <si>
    <t>Finally,she comes back and adds the finishing touches on her lips,she finishes off her lips and adds more color to her cheeks.</t>
  </si>
  <si>
    <t>v_06ofnvq2Hjs</t>
  </si>
  <si>
    <t>We see images which were shot around DC.</t>
  </si>
  <si>
    <t>We see a man talking and shots of skateboards as people assemble in a room.</t>
  </si>
  <si>
    <t>We see Tony Hawk who points to other people.</t>
  </si>
  <si>
    <t>We see people skateboarding in the street, and around DC.</t>
  </si>
  <si>
    <t>We see a skater named Shaun Gregoirie.</t>
  </si>
  <si>
    <t>A lady holds up a USA Flag and talks.</t>
  </si>
  <si>
    <t>We see a cop car on the street.</t>
  </si>
  <si>
    <t>We see Anthony Shetler sitting and talking before skating on the street.</t>
  </si>
  <si>
    <t>A man jumps stairs and falls.</t>
  </si>
  <si>
    <t>v_O9HLR19is-A</t>
  </si>
  <si>
    <t>A man is seen sitting in a bumper car holding a thumbs up and then begins driving around.</t>
  </si>
  <si>
    <t>The people continue driving around bumping into one another and ends with them standing up.</t>
  </si>
  <si>
    <t>v_PQBeNLSdugw</t>
  </si>
  <si>
    <t>Young boys are shown doing a karate demo in front of the judges.</t>
  </si>
  <si>
    <t>They move back and forth and front to back performing various punches.</t>
  </si>
  <si>
    <t>They then relax and take a bow while the people behind them clap.</t>
  </si>
  <si>
    <t>They then continue on with their routine of play fighting.</t>
  </si>
  <si>
    <t>This continues on until the boy finish their routine to applause and then sit down.</t>
  </si>
  <si>
    <t>v_C3K-OgdK8FY</t>
  </si>
  <si>
    <t>A man is wearing sunglasses inside a building.</t>
  </si>
  <si>
    <t>We see a group of people in the building as they dance aerobically.</t>
  </si>
  <si>
    <t>They shake in unison, going back and forth and side to side.</t>
  </si>
  <si>
    <t>v_E0xXymnjDkc</t>
  </si>
  <si>
    <t>People are standing outside playing volleyball.</t>
  </si>
  <si>
    <t>A man in a black shirt is talking to someone.</t>
  </si>
  <si>
    <t>A man in a gray shirt has his hands on his hips.</t>
  </si>
  <si>
    <t>v_ujiWstJ3tt0</t>
  </si>
  <si>
    <t>A man is kneeling down on the ground sanding a wall with a silver utensil.</t>
  </si>
  <si>
    <t>The man stands up,looks back at the camera and continues doing his task.</t>
  </si>
  <si>
    <t>Now the man is back on his knees and continues to do what he was doing in the beginning.</t>
  </si>
  <si>
    <t>v_oFku30m99do</t>
  </si>
  <si>
    <t>A woman is seen standing in a bathroom wrapped up in a towel.</t>
  </si>
  <si>
    <t>The girl holds her hair up with one hand and rubs makeup on with the other.</t>
  </si>
  <si>
    <t>v_F1RpG1Vwi28</t>
  </si>
  <si>
    <t>There's a bald man with a goatee beard standing in his bathroom in front of a large mirror with an electric shaver in his hand.</t>
  </si>
  <si>
    <t>He is demonstrating how to shave off his beard and maintain it.</t>
  </si>
  <si>
    <t>Then he begins showing how to use the trimmer for his beard by adjusting the clipper size.</t>
  </si>
  <si>
    <t>He completely shaves his beard off.</t>
  </si>
  <si>
    <t>He then touches his skin to see how clean the shave is.</t>
  </si>
  <si>
    <t>He removes the hair off of the shaver and cleans it.</t>
  </si>
  <si>
    <t>v_8Qg395HjqFg</t>
  </si>
  <si>
    <t>A man in a white jacket picks up an iron.</t>
  </si>
  <si>
    <t>He places tin foil down onto a table.</t>
  </si>
  <si>
    <t>He puts bread on the tin foil with butter and cheese.</t>
  </si>
  <si>
    <t>He puts the iron on the sandwich.</t>
  </si>
  <si>
    <t>He opens the tin foil and cuts the sandwich in half.</t>
  </si>
  <si>
    <t>He takes a bit of the sandwich.</t>
  </si>
  <si>
    <t>v_zSCZphJS2vA</t>
  </si>
  <si>
    <t>An athlete is seen walking up to a platform and begins spinning himself around and throwing an object off into the distance.</t>
  </si>
  <si>
    <t>His throw is shown again in slow motion and another man is seen spinning around then throwing the object with his hands up afterwards.</t>
  </si>
  <si>
    <t>v_Z7gECmnHeKk</t>
  </si>
  <si>
    <t>A man is seen sitting on a piece of exercise equipment and rowing himself back and fourth on a machine.</t>
  </si>
  <si>
    <t>The man continues moving himself back and fourth as the camera captures him from several angles.</t>
  </si>
  <si>
    <t>v_-C1nnsyw7R0</t>
  </si>
  <si>
    <t>man is standing in a racetrack and is running to make a jump and people is standing around him.</t>
  </si>
  <si>
    <t>man is sitting in a room talking to the camera.</t>
  </si>
  <si>
    <t>man is running in a racetrack and jumping in the dust and man is sitting in a room talking.</t>
  </si>
  <si>
    <t>players are running playing american football and spectators are in the terraces.</t>
  </si>
  <si>
    <t>old man is talking in the room and the man in the race track is running and practicing the jump.</t>
  </si>
  <si>
    <t>v_zUuT2FBf-Oc</t>
  </si>
  <si>
    <t>Two large pieces of decorated construction paper are shown with the words Happy Birthday all over them.</t>
  </si>
  <si>
    <t>We then see presents wrapped with the same wording.</t>
  </si>
  <si>
    <t>v_TSVDMiy_FC4</t>
  </si>
  <si>
    <t>A close up pair of shoes is shown followed by various text instructions and tools laid out.</t>
  </si>
  <si>
    <t>A person is then seen rubbing down the show with a rag using several ingredients and zooming in on the clean pair of shoes.</t>
  </si>
  <si>
    <t>v_iPU4muYW14Y</t>
  </si>
  <si>
    <t>A woman is standing on a wooden floor.</t>
  </si>
  <si>
    <t>She is raising and lowering her arms, changing to different positions.</t>
  </si>
  <si>
    <t>She is displaying acts of tai chai for the camera.</t>
  </si>
  <si>
    <t>v_mEjU4uJZccw</t>
  </si>
  <si>
    <t>a man is shown on a stage, playing a set of drums.</t>
  </si>
  <si>
    <t>The woman to one side is playing maracas.</t>
  </si>
  <si>
    <t>The man on the other side is playing an electric guitar.</t>
  </si>
  <si>
    <t>v_kXCtmH4V0TI</t>
  </si>
  <si>
    <t>A man is shown entering a circular caged area with one side open.</t>
  </si>
  <si>
    <t>The man begins rotating a ball that is attached to a string around him.</t>
  </si>
  <si>
    <t>The man begins spinning his body quickly in circles.</t>
  </si>
  <si>
    <t>The man lets go of the string and the ball flies through the air.</t>
  </si>
  <si>
    <t>v_uqT5jtfx8x0</t>
  </si>
  <si>
    <t>Two teams play polo holding poles to kick a ball on front a crowd in a field.</t>
  </si>
  <si>
    <t>People stand next to the scores boards.</t>
  </si>
  <si>
    <t>Then, a player get up the stage to receives a trophy, after a woman kiss the winner and other players on stage, and all rise the trophy.</t>
  </si>
  <si>
    <t>v_HXn5ZpSEMqg</t>
  </si>
  <si>
    <t>A man hold up a bench and opens the parts so he can set it up.</t>
  </si>
  <si>
    <t>He sticks a pin in and snaps his ski in.</t>
  </si>
  <si>
    <t>He then waxes the ski and removes the pin.</t>
  </si>
  <si>
    <t>He adjusts the parts of the bench.</t>
  </si>
  <si>
    <t>We see the bench in shots with the end credits.</t>
  </si>
  <si>
    <t>v_BryW4niZT9Y</t>
  </si>
  <si>
    <t>A man serves a tennis ball when playing tennis with a person in a tennis court.</t>
  </si>
  <si>
    <t>Then, the man serves again to a person behind the net, while a player stands next to him.</t>
  </si>
  <si>
    <t>After, the man serves a ball but nobody is behind the net.</t>
  </si>
  <si>
    <t>v_34NXXCSWyzE</t>
  </si>
  <si>
    <t>A man riding a horse and swinging a rope around is seen chasing after a calf and eventually grabbing the animal with his rope.</t>
  </si>
  <si>
    <t>He holds the calf down and another man comes out to help the man tie up the calf.</t>
  </si>
  <si>
    <t>He then grabs his rope and rides out of the arena on his horse.</t>
  </si>
  <si>
    <t>v_tMheZSxPl3Q</t>
  </si>
  <si>
    <t>Pieces of furniture are seen including cabinets and tables.</t>
  </si>
  <si>
    <t>A person sands down a piece of wood with an electric sander.</t>
  </si>
  <si>
    <t>A person sands down a piece of wood by hand.</t>
  </si>
  <si>
    <t>v_hPOtGLv1GzM</t>
  </si>
  <si>
    <t>People are riding bicycles on a track.</t>
  </si>
  <si>
    <t>A man crashes and lands on the track.</t>
  </si>
  <si>
    <t>A man in a hat is talking to the camera.</t>
  </si>
  <si>
    <t>People continue to ride bikes on the track and crashing.</t>
  </si>
  <si>
    <t>v_3xmgPNrmUYM</t>
  </si>
  <si>
    <t>A camera zooms in on a weight with a person standing nearby.</t>
  </si>
  <si>
    <t>A woman is then standing with weights in her hands and doing lunges.</t>
  </si>
  <si>
    <t>A second woman comes in as well as a man doing various weight lifting moves.</t>
  </si>
  <si>
    <t>v_JkcoGLKl_0A</t>
  </si>
  <si>
    <t>A baby is riding a swing in the playground.</t>
  </si>
  <si>
    <t>A hand pushs her while she enjoys the ride.</t>
  </si>
  <si>
    <t>The man starts to play with her.</t>
  </si>
  <si>
    <t>v_6okx-34bDEg</t>
  </si>
  <si>
    <t>People run in a marathon in the street.</t>
  </si>
  <si>
    <t>A man head the race and run alone in the street.</t>
  </si>
  <si>
    <t>Suddenly, the man crashes into the car and falls.</t>
  </si>
  <si>
    <t>v_CmS2nSm5n2Q</t>
  </si>
  <si>
    <t>There's a man in a blue shirt walking into a tall building where there's an indoor fencing arena.</t>
  </si>
  <si>
    <t>He walks into the arena and talks with two fencers.</t>
  </si>
  <si>
    <t>One of the fencers puts on a fencing suit on the man.</t>
  </si>
  <si>
    <t>The fencer then demonstrates and gives the man a lesson in fencing.</t>
  </si>
  <si>
    <t>He shows the man the various skills involved in fencing.</t>
  </si>
  <si>
    <t>The man is able to miss and evade every move of the fencer as he goes untouched by the sword.</t>
  </si>
  <si>
    <t>Then both the fencers remove their masks and shake hands.</t>
  </si>
  <si>
    <t>The fencer talks about his experience with the master fencer.</t>
  </si>
  <si>
    <t>v_sJUUm0n4cXA</t>
  </si>
  <si>
    <t>A game of lacrosse begins and a boy by the name of Chase Madrid is highlights making scenes throughout the game.</t>
  </si>
  <si>
    <t>Several different games begin and a yellow circle is drawn around him for each play when he is running back and forth.</t>
  </si>
  <si>
    <t>When the highlight reel is finished,a black screen appears and shows the High School as well as the name for the player.</t>
  </si>
  <si>
    <t>v_8v2sAylgkgc</t>
  </si>
  <si>
    <t>A man is at a park, where he and his wife, who is holding a baby, push two small children on the swings.</t>
  </si>
  <si>
    <t>The woman disappears as the man continues to push.</t>
  </si>
  <si>
    <t>v_Kcy0A0DuckE</t>
  </si>
  <si>
    <t>A small group of kids are seen moving around a gymnasium throwing balls around.</t>
  </si>
  <si>
    <t>The kids throw the balls to one another while playing a game.</t>
  </si>
  <si>
    <t>The game continues on while the kids jump and down.</t>
  </si>
  <si>
    <t>v_A0F6uT95xhA</t>
  </si>
  <si>
    <t>A man dances in in a big room.</t>
  </si>
  <si>
    <t>As he does the dance he explains how to do it.</t>
  </si>
  <si>
    <t>v_3S_aifr5rG4</t>
  </si>
  <si>
    <t>These horses are walking in a grassy area by themselves and then a woman is shown brushing the horse's hair.</t>
  </si>
  <si>
    <t>The camera zooms in to shows the horse' nose and then the woman climbs onto the horse's saddle to ride it somewhere.</t>
  </si>
  <si>
    <t>Then two other people are hsown riding the horse's in different settings.</t>
  </si>
  <si>
    <t>v_DIATqGGmG2g</t>
  </si>
  <si>
    <t>Two girls are siting outside talking with there feet crossed.</t>
  </si>
  <si>
    <t>One of the girls hands the other a container which she pulls a little paper out of that tells her what to do.</t>
  </si>
  <si>
    <t>She reads it and then does what the paper says to do.</t>
  </si>
  <si>
    <t>They take turns doing this, picking a note and then doing the task it says to do and they are having fun while doing so.</t>
  </si>
  <si>
    <t>v_FRoL-CpfbJ4</t>
  </si>
  <si>
    <t>Water splashing on a watch tower.</t>
  </si>
  <si>
    <t>People sitting on the beach in a boat.</t>
  </si>
  <si>
    <t>music plays in the background as different people are sailing during different clips.</t>
  </si>
  <si>
    <t>v_RBkieLmOUlQ</t>
  </si>
  <si>
    <t>Two boys in karate pants wrestle one another in the background.</t>
  </si>
  <si>
    <t>The group forms a circle and two of the boys begin to spar in a martial arts practice.</t>
  </si>
  <si>
    <t>the boy in pink top does a spinning kick.</t>
  </si>
  <si>
    <t>v_-l5e1zVzQOQ</t>
  </si>
  <si>
    <t>A band plays music on stage.</t>
  </si>
  <si>
    <t>A man plays the drums intensely.</t>
  </si>
  <si>
    <t>A large screen shows the band above.</t>
  </si>
  <si>
    <t>People play the guitar on the stage.</t>
  </si>
  <si>
    <t>v_TdAfqkmTrf0</t>
  </si>
  <si>
    <t>Players are running around playing lacrosse on a field of grass.</t>
  </si>
  <si>
    <t>The audience is watching and applauding for them.</t>
  </si>
  <si>
    <t>v_ZVMGA4oF6xo</t>
  </si>
  <si>
    <t>A balded man is seen talking to a camera while rubbing his head and making grimace faces.</t>
  </si>
  <si>
    <t>He continues speaking to the camera and the video ends with him waving and shutting the camera off.</t>
  </si>
  <si>
    <t>v_t6Hc2tHRrs4</t>
  </si>
  <si>
    <t>A group is shown together and racing on bmx bikes in a series of photos.</t>
  </si>
  <si>
    <t>Then we see people on bikes, performing stunts, going around a ring and jumping hills.</t>
  </si>
  <si>
    <t>A biker flies through the air, then we see a final photo of the winners with their medals.</t>
  </si>
  <si>
    <t>v_HmqRZ4HPu1U</t>
  </si>
  <si>
    <t>A man in a yard starts his lawn mower.</t>
  </si>
  <si>
    <t>The man mows his lawn with headphones on his ears as his dog walks around the yard.</t>
  </si>
  <si>
    <t>the dog runs to get out of the way of the lawn mower and leaves the scene.</t>
  </si>
  <si>
    <t>v_fVzpG-QQ1n8</t>
  </si>
  <si>
    <t>A cat is seen licking itself on a bed while a person continuously attempts to cut it's claws.</t>
  </si>
  <si>
    <t>The person scratches the cat while it continues to lick itself and attempts again to cut it's claws.</t>
  </si>
  <si>
    <t>Finally the person plays with the cat and the car continues licking.</t>
  </si>
  <si>
    <t>v_KgfKmcsEMK0</t>
  </si>
  <si>
    <t>A guy is shaving a male's leg.</t>
  </si>
  <si>
    <t>The male laughs and messes with his shorts.</t>
  </si>
  <si>
    <t>The guy rinses the razor in a blue bowl full with soapy liquid.</t>
  </si>
  <si>
    <t>v_BadeHG8y4PQ</t>
  </si>
  <si>
    <t>A man is holding a volleyball while standing on a court and speaking.</t>
  </si>
  <si>
    <t>Female players train and practice behind him while he speaks.</t>
  </si>
  <si>
    <t>v_X1vyuNazaIc</t>
  </si>
  <si>
    <t>Two children in pajamas hang Christmas ornaments from a tree.</t>
  </si>
  <si>
    <t>A fake bat bursts out of the Christmas tree and scares the children.</t>
  </si>
  <si>
    <t>v_rVqeQ9D7EWo</t>
  </si>
  <si>
    <t>A man is standing outside a trailer.</t>
  </si>
  <si>
    <t>He begins to shovel snow in front of the trailer.</t>
  </si>
  <si>
    <t>He puts the snow shovel in the snow and continues talking.</t>
  </si>
  <si>
    <t>v_PlUAKvaRd8s</t>
  </si>
  <si>
    <t>A small child is seen sitting in a tube while others stand around him.</t>
  </si>
  <si>
    <t>The boy then begins riding down a snowy hill in the tube.</t>
  </si>
  <si>
    <t>The boy continues to ride until he reaches the bottom.</t>
  </si>
  <si>
    <t>v_TV8putYbiCU</t>
  </si>
  <si>
    <t>A woman stands by a sink as she speaks.</t>
  </si>
  <si>
    <t>She turns on the faucet and wets the sink.</t>
  </si>
  <si>
    <t>She sprays the sink with a cleaner.</t>
  </si>
  <si>
    <t>She grabs a paper towel and wipes the sink.</t>
  </si>
  <si>
    <t>She turns on the water and wets the sink.</t>
  </si>
  <si>
    <t>She grabs another paper towel and wipes the sink.</t>
  </si>
  <si>
    <t>She finishes wiping the sink and speaks.</t>
  </si>
  <si>
    <t>v_JFGJYIZ7ONE</t>
  </si>
  <si>
    <t>A team is playing basketball against another team.</t>
  </si>
  <si>
    <t>They chase the ball all over the court.</t>
  </si>
  <si>
    <t>They try to keep the ball away from their opponent, making baskets as they go.</t>
  </si>
  <si>
    <t>v_5I5xXW25OXs</t>
  </si>
  <si>
    <t>Two men getting ready for a contest by doing paper scissors rocks to see who goes first.</t>
  </si>
  <si>
    <t>The men cross their arms and began drinking the liquids during the contest.</t>
  </si>
  <si>
    <t>v_vl7OBBTv7KY</t>
  </si>
  <si>
    <t>an oreo cheesecake is on top of a table.</t>
  </si>
  <si>
    <t>oreos are in a bowl and the cooker is crushing them and melted butter and mixing and put it in a pan.</t>
  </si>
  <si>
    <t>whipping cream is meled in a bowl and beat until double its volume.</t>
  </si>
  <si>
    <t>in other bowl a cream cheese is mixed with sugar and vanilla and break oreo cookies in a bowl and mix it together and then drop it in the pan and top it off with oreo cookies.</t>
  </si>
  <si>
    <t>v_J_CqwWJZTh4</t>
  </si>
  <si>
    <t>A woman is seen speaking into a microphone and leads into her throwing darts at a person's head after spinning.</t>
  </si>
  <si>
    <t>The person wears a pumpkin head and more people are seen attempting to throw darts.</t>
  </si>
  <si>
    <t>In the end the man takes the pumpkin off of his head.</t>
  </si>
  <si>
    <t>v_AR-VPPtV7ag</t>
  </si>
  <si>
    <t>A man is shown sitting down in front of a tree shuffling cards when someone hands him a drink.</t>
  </si>
  <si>
    <t>He then chugs the drink very quickly and points to the one who threw the drink.</t>
  </si>
  <si>
    <t>v_FaiSWZFSHSE</t>
  </si>
  <si>
    <t>Several images of a bakery and a chef are shown and then a little animate guy comes along showing what the video will be about.</t>
  </si>
  <si>
    <t>A real chef then appears and begins cutting small layers of cakes and adding them together.</t>
  </si>
  <si>
    <t>Once all the layers of the cake are cut out and iced together,the fondant is placed on the cake as well as the icing and the desert is complete.</t>
  </si>
  <si>
    <t>v_rMX2KeJa8qI</t>
  </si>
  <si>
    <t>A group of shirtless men are seen standing around the outside of a home when one grabs various tools and hands more to another.</t>
  </si>
  <si>
    <t>The men then hit a ball all around the yard through stands sticking out and speak to one another while drinking water.</t>
  </si>
  <si>
    <t>The men hit the ball a few more times and continue to speak to one another.</t>
  </si>
  <si>
    <t>v_brSp5DB7OLs</t>
  </si>
  <si>
    <t>A young girl is shown taking wet clothes our of a bucket.</t>
  </si>
  <si>
    <t>Several people are around her washing clothes and tending to them.</t>
  </si>
  <si>
    <t>She looks back at the camera and seems to be having fun.</t>
  </si>
  <si>
    <t>A young boy jumps in front of the camera and is smiling.</t>
  </si>
  <si>
    <t>The little girls continue rinsing the clothes in the bucket as the young boy turns his back to the camera.</t>
  </si>
  <si>
    <t>The young girl continues on with her work and is shown being very focused in her task.</t>
  </si>
  <si>
    <t>v_t2zLJ5mKTT8</t>
  </si>
  <si>
    <t>Water falls as a man stand on a jet ski.</t>
  </si>
  <si>
    <t>We see the man jet skiing and performing jumps on a lake.</t>
  </si>
  <si>
    <t>The man skis with his hand in the water as he bends down.</t>
  </si>
  <si>
    <t>We see the boat pass us with the skier in the air.</t>
  </si>
  <si>
    <t>v_Np43Q2E8GCE</t>
  </si>
  <si>
    <t>Two women and a man are walking in the hallway looking at the carpets on display.</t>
  </si>
  <si>
    <t>A red van driven by a man passed, then a man walked towards the house, then a man is crouching on the carpeted floor cutting a piece or brown carpet, iron the carpet, press the carpet with heavy metal.</t>
  </si>
  <si>
    <t>v_0XRZ2F5B7fQ</t>
  </si>
  <si>
    <t>A man and a woman scrape frost off of a parked car's windows, windshield and wiper blades while a second woman talks to them from the side of the car in the snow.</t>
  </si>
  <si>
    <t>A man in a long black wool coat scrapes ice off of a blue car's windshield while a woman in a black fur collared coat talks to him from the side of the car.</t>
  </si>
  <si>
    <t>A second woman begins wiping snow off of the car's windshield wipers while talking to the woman in the fur hooded coat.</t>
  </si>
  <si>
    <t>The man gets in the back seat of the car and shuts the door behind him while the woman in the fur hooded coat waves at the other woman who is moving towards the drivers side car door.</t>
  </si>
  <si>
    <t>v_WiJMIl5Tp3A</t>
  </si>
  <si>
    <t>There are a few girls doing gymnastics in a gym.</t>
  </si>
  <si>
    <t>There's a young girl wearing an athletic tank top and shorts doing back flips in her backyard.</t>
  </si>
  <si>
    <t>She continues to back flips in a fast manner.</t>
  </si>
  <si>
    <t>She also does a back flip on the beach.</t>
  </si>
  <si>
    <t>Then she does some more back flips in her backyard and in a park.</t>
  </si>
  <si>
    <t>The girl then stretches her leg towards the back of her head to make her toes touch her head.</t>
  </si>
  <si>
    <t>Several pictures of the girl are shown where she has participated as a cheerleader and in many gymnastic events.</t>
  </si>
  <si>
    <t>v_juP0cn5B60Y</t>
  </si>
  <si>
    <t>A woman is seen speaking to the camera while shots of homes are shown.</t>
  </si>
  <si>
    <t>People are then seen grooming dogs and holding up awards.</t>
  </si>
  <si>
    <t>The woman continues speaking to the camera while the dogs continue to be groomed behind her.</t>
  </si>
  <si>
    <t>v_zp86ztwZEKk</t>
  </si>
  <si>
    <t>A talking man dressed in athletic gear is standing on a very green field and the words on the bottom left say his name is Neil Macmillan and his title is Head Coach.</t>
  </si>
  <si>
    <t>A large group of girls dressed in athletic gear are shown playing land hockey, and the people not playing are dressed for cold weather.</t>
  </si>
  <si>
    <t>Clips of the man continue to play and rotate from showing the man and the girls playing land hockey until they are done playing.</t>
  </si>
  <si>
    <t>v_FK73jqIGUzE</t>
  </si>
  <si>
    <t>A boy welds on a piece of metal making sparkles.</t>
  </si>
  <si>
    <t>Then, the boy raise his helmet and talks.</t>
  </si>
  <si>
    <t>v_AhWkUdag6NA</t>
  </si>
  <si>
    <t>A woman opens her mouth and smiles at the camera.</t>
  </si>
  <si>
    <t>People are going by, water sailing.</t>
  </si>
  <si>
    <t>They spin and turn in the water as they sail.</t>
  </si>
  <si>
    <t>v_zQ4HbFGX7t0</t>
  </si>
  <si>
    <t>A man closing his house door and then opening his car door.</t>
  </si>
  <si>
    <t>He gets in the car and puts the keys in the ignition and starts driving down the highway to his shop.</t>
  </si>
  <si>
    <t>He gets some boards and starts sanding them down smoothing them out.</t>
  </si>
  <si>
    <t>When the day is over he turns the lights off and gets ready for work.</t>
  </si>
  <si>
    <t>v_GwIHO7HpGkY</t>
  </si>
  <si>
    <t>A man is standing on ice holding a fishing pole in his right hand and there's a very small hole in the ice in front of him and he drops his hook into the hole and tugs on his pole.</t>
  </si>
  <si>
    <t>The man then pulls on the fishing wire a few times and stands there holding his fishing pole, moving it, and winding it from time to time.</t>
  </si>
  <si>
    <t>The end of the pole begins to bend and the man starts pulling the pole and winding it up and he pulls a fish out of the hole and it lands onto the ice.</t>
  </si>
  <si>
    <t>The man grabs the fish from the ice and puts it right back into the hole he just pulled it out from while it's still attached to the hook and his wire.</t>
  </si>
  <si>
    <t>The man then begins to pull on the fishing wire, pulls his pole up and and down a few times, and then adjusts the camera.</t>
  </si>
  <si>
    <t>v_dWBnXy2nauU</t>
  </si>
  <si>
    <t>The tile screen shows up with some names.</t>
  </si>
  <si>
    <t>A man starts throwing a shot-put several different times as names scroll at the bottom.</t>
  </si>
  <si>
    <t>A group can be seen behind watch him.</t>
  </si>
  <si>
    <t>A man is behind the last one thrown.</t>
  </si>
  <si>
    <t>v_bmc11KqVbEE</t>
  </si>
  <si>
    <t>Words appear on the screen before it goes black.</t>
  </si>
  <si>
    <t>A man appears, using squeegees to wash a window in front of him while he speaks.</t>
  </si>
  <si>
    <t>He applies soap liberally before swiping it off with the rake.</t>
  </si>
  <si>
    <t>He stops cleaning the window, and says a few words in closing.</t>
  </si>
  <si>
    <t>v_4fgIHu_Se3Q</t>
  </si>
  <si>
    <t>An athlete walks up to a beam.</t>
  </si>
  <si>
    <t>He mounts quickly, spinning and turning around it and jumping between the two bars several times.</t>
  </si>
  <si>
    <t>He finally dismounts, throwing his arms into the air before walking away.</t>
  </si>
  <si>
    <t>v_kzvFQv5UCx4</t>
  </si>
  <si>
    <t>A man makes tattoos on the back head and neck of a person.</t>
  </si>
  <si>
    <t>Then, the man cleans the head and neck with a white tissue.</t>
  </si>
  <si>
    <t>After, the man continues making the tattoo on the side of the head while cleaning the paint.</t>
  </si>
  <si>
    <t>v_fXdw7jwiP8g</t>
  </si>
  <si>
    <t>A woman in a black leotard is talking on a stage.</t>
  </si>
  <si>
    <t>She starts dancing for the camera.</t>
  </si>
  <si>
    <t>She shows several dance moves as she does them.</t>
  </si>
  <si>
    <t>v_vULLe2qogZU</t>
  </si>
  <si>
    <t>Two people are playing a lacrosse game.</t>
  </si>
  <si>
    <t>They shoot at the goal and make the point.</t>
  </si>
  <si>
    <t>v_-qGmUrF_7v4</t>
  </si>
  <si>
    <t>A little girl in a room standing in front of some chairs is hitting a dora pinata.</t>
  </si>
  <si>
    <t>She hits it a few times and then its someone else's turn.</t>
  </si>
  <si>
    <t>An older girl hits it so hard that it doesn't break but the whole pinata falls down and the adults have to put it back up.</t>
  </si>
  <si>
    <t>After everyone takes their tun the little girl gets to go again, when hitting doesn't work they all grab a piece of string and pull it.</t>
  </si>
  <si>
    <t>v_kliGNOFLJSk</t>
  </si>
  <si>
    <t>people is in a court stretching and making exercise, jumping the rope and weightlifting.</t>
  </si>
  <si>
    <t>man is talking to the camera and the people practicing capoeira, doing suicides and weightlifting are training.</t>
  </si>
  <si>
    <t>v_0WRxp0X0edY</t>
  </si>
  <si>
    <t>A man and a woman anchor are talking behind a desk and several television.</t>
  </si>
  <si>
    <t>The woman is then shown alone and she begins talking.</t>
  </si>
  <si>
    <t>An ice rink then appears and a woman begins coaching a man about specific techniques for a game.</t>
  </si>
  <si>
    <t>She has a brief interview and continues coaching people on Curling.</t>
  </si>
  <si>
    <t>More people are in the gym and they continue curling and more instructors begin having interviews.</t>
  </si>
  <si>
    <t>Clips are shown from a real curling game and the people begin to wait against the wall.</t>
  </si>
  <si>
    <t>v_r_n1PfHvKI4</t>
  </si>
  <si>
    <t>There is a field with a kite laying in it.</t>
  </si>
  <si>
    <t>A man is preparing to fly the kite.</t>
  </si>
  <si>
    <t>The kite gets airborne and soars.</t>
  </si>
  <si>
    <t>v_eDMv3IHGpnA</t>
  </si>
  <si>
    <t>A man wearing very large glasses is talking into a black microphone while people behind him are dancing until he points into their direction and they all scatter off the dance floor.</t>
  </si>
  <si>
    <t>Men are dressed in red suits and each are taking turns break dancing alone as words on the screen are possibly naming the dancer.</t>
  </si>
  <si>
    <t>When the last man is dancing they all stop and strike a pose and DJ that has been playing this whole time continues to play music at his DJ station.</t>
  </si>
  <si>
    <t>v_BUqr7or97JA</t>
  </si>
  <si>
    <t>A woman and a man performs arm wrestling.</t>
  </si>
  <si>
    <t>The man raise his t-shirt sleeve until the shoulder.</t>
  </si>
  <si>
    <t>A man walks in a room behind the wrestlers.</t>
  </si>
  <si>
    <t>The man bend the woman's arm, but the woman straight her arm and bend the arm of the man and win.</t>
  </si>
  <si>
    <t>v_YL3MvJVk6u0</t>
  </si>
  <si>
    <t>A man prunes dead branches from fruit bearing plant stems in the winter.</t>
  </si>
  <si>
    <t>A man, in a field of dirt and fruit crops with bare branches from the winter, begins to prune dead branches from the fruit plants with a pruning tool and a hatchet.</t>
  </si>
  <si>
    <t>An image of the plants in fruit bearing months appears before returning to the man in the field pruning the dead branches.</t>
  </si>
  <si>
    <t>v_edbczrXeEOk</t>
  </si>
  <si>
    <t>A person is shown performing a dive off of a board while a couple people watch on the sidelines and clap.</t>
  </si>
  <si>
    <t>The person performs several more tricks off of the high dive while more people watch on the sides.</t>
  </si>
  <si>
    <t>v_EZdnNs-5tlo</t>
  </si>
  <si>
    <t>Children drives bumper cars in a carnival.</t>
  </si>
  <si>
    <t>A little girl bumps on the wall and gets stuck with other cars, then the girl gets free and continues riding.</t>
  </si>
  <si>
    <t>The little girl get stuck with other children, then she gets free and then rides the bumper car.</t>
  </si>
  <si>
    <t>v_1BWF1U1dJ_w</t>
  </si>
  <si>
    <t>A person demonstrates how to make a mini meat and cheese sandwich platter with garnish.</t>
  </si>
  <si>
    <t>A large platter of prepared sandwiches displays.</t>
  </si>
  <si>
    <t>A persons hands is seen throwing different sandwich making ingredients into a shopping cart inside of a grocery store, the ingredients include rolls and lunch meat.</t>
  </si>
  <si>
    <t>A person is then seen putting a sandwich of cheese and meat together on white bread rolls with lettuce on a counter top.</t>
  </si>
  <si>
    <t>The person cuts the rolls apart to make individual sandwiches and then adds toothpicks and strawberries along with lettuce garnish to the platter which is then focused on by the camera as the finished product.</t>
  </si>
  <si>
    <t>v_zruHn4r6_CY</t>
  </si>
  <si>
    <t>We see a sign with a mans' name.</t>
  </si>
  <si>
    <t>We see a man run and do a long jump on different tracks repeatedly with his name on a sign occasionally.</t>
  </si>
  <si>
    <t>We see the man on a blue track with ad signs.</t>
  </si>
  <si>
    <t>The man tumbles on his landing.</t>
  </si>
  <si>
    <t>The man lands on his back.</t>
  </si>
  <si>
    <t>The screen fades to black.</t>
  </si>
  <si>
    <t>v_e51NGAPMp1s</t>
  </si>
  <si>
    <t>A man sinks underwater in a pool.</t>
  </si>
  <si>
    <t>The man sinks underwater in a pool backwards.</t>
  </si>
  <si>
    <t>Text is shown on a black screen.</t>
  </si>
  <si>
    <t>v_yDrTpm9c7MY</t>
  </si>
  <si>
    <t>woman is sitting on a wooden bench talking to the camera.</t>
  </si>
  <si>
    <t>woman is doing somersaults on a large green grassy field.</t>
  </si>
  <si>
    <t>woman is making a jump and slide and fell into the grass.</t>
  </si>
  <si>
    <t>v_Ta70WnVT6Lc</t>
  </si>
  <si>
    <t>A video is shown of skateboarders at an outdoor skatepark.</t>
  </si>
  <si>
    <t>Interviews are shown and then a few races are shown.</t>
  </si>
  <si>
    <t>v_TEkIJQljABs</t>
  </si>
  <si>
    <t>A small child seated at a table eats ice cream with a spoon while people walk by in the background.</t>
  </si>
  <si>
    <t>A pair of adult hands briefly enter the camera frame in the foreground.</t>
  </si>
  <si>
    <t>The child inserts her spoon into her ice cream container on the table.</t>
  </si>
  <si>
    <t>The child complains about something.</t>
  </si>
  <si>
    <t>The camera zooms in on the ice cream.</t>
  </si>
  <si>
    <t>v_-ROljbRVlos</t>
  </si>
  <si>
    <t>A person is seen standing on a court wearing stilts on his feet.</t>
  </si>
  <si>
    <t>The boy then begins running down the court on the stilts.</t>
  </si>
  <si>
    <t>The boy dunks a small ball into the basket and walks back to grab it.</t>
  </si>
  <si>
    <t>v_Wgm-mYzdnxc</t>
  </si>
  <si>
    <t>A man is seen using a power drill in a large bowl filled with chocolate.</t>
  </si>
  <si>
    <t>Another person hands him a blender but the man continues using the drill in the bowl.</t>
  </si>
  <si>
    <t>v_oLEagb_RGq8</t>
  </si>
  <si>
    <t>A young woman is seen standing behind a lawn mower in a yard.</t>
  </si>
  <si>
    <t>She begins pushing the lawn mower along the yard.</t>
  </si>
  <si>
    <t>She moves herself back on the lawn and looks into the camera.</t>
  </si>
  <si>
    <t>v_lnx8WSmcLF8</t>
  </si>
  <si>
    <t>A gymnast performs a routine on the horizontal bars.</t>
  </si>
  <si>
    <t>The gymnast spins and turns from one bar to the other, also holding on one hand.</t>
  </si>
  <si>
    <t>Then, the gymnast spins and jumps stand on the floor, then a flashback of the routine is presented.</t>
  </si>
  <si>
    <t>v_i5K-DXt9djA</t>
  </si>
  <si>
    <t>A man and woman are riding bikes quickly down a paved street.</t>
  </si>
  <si>
    <t>they stop, pumping air into their tires.</t>
  </si>
  <si>
    <t>they then replace the tubes and get back on their bikes.</t>
  </si>
  <si>
    <t>They continue riding down the road.</t>
  </si>
  <si>
    <t>v_bdDzTqaiB3E</t>
  </si>
  <si>
    <t>A woman is standing in the bathtub using the shower to wash her clothes.</t>
  </si>
  <si>
    <t>She kicks the clothes around and steps around and kind of dances on them.</t>
  </si>
  <si>
    <t>Her boyfriend is recording her and himself in the mirror.</t>
  </si>
  <si>
    <t>He continues to watch her as she steps on the clothed, and then he turns the camera to his mother.</t>
  </si>
  <si>
    <t>v_1SouLWwpbvU</t>
  </si>
  <si>
    <t>Several people are in a small room dressed in work out clothes going up and and on the stair step.</t>
  </si>
  <si>
    <t>They then turn around and start to dance on the stair step and intensifying the workout.</t>
  </si>
  <si>
    <t>Midway through,the instructor gets off and walks around while the rest of the class continues.</t>
  </si>
  <si>
    <t>After,the grab the stair step,place it against the wall and come back to their spots for the remainder of the workout.</t>
  </si>
  <si>
    <t>v_9ddD5Ob93J0</t>
  </si>
  <si>
    <t>Steven Richardson, a store manager, discusses the topic of tire care for vehicles with 4 wheel drive.</t>
  </si>
  <si>
    <t>He explains that mismatched tires on 4 wheel drive vehicles cause wear and tear.</t>
  </si>
  <si>
    <t>He recommend that all 4 tires should be replaced at the same time.</t>
  </si>
  <si>
    <t>He advertises the website belletire dot com and says to use it to find a location near you.</t>
  </si>
  <si>
    <t>v_sNnNDCx6RRA</t>
  </si>
  <si>
    <t>A ballerina is seen walking out onto a stage and leads into her performing a ballet routine.</t>
  </si>
  <si>
    <t>The girl spins herself around on her shoes while the audience watches her.</t>
  </si>
  <si>
    <t>She continues spinning and twirling around and ends by holding a pose and bowing.</t>
  </si>
  <si>
    <t>v_cJcr6kWylI8</t>
  </si>
  <si>
    <t>A barefoot man is touching up a piece of wood furniture with a brush.</t>
  </si>
  <si>
    <t>He then moves the piece around to show the scuffs and buffs them out with a brush.</t>
  </si>
  <si>
    <t>The man shows the cleaned edges with his fingers.</t>
  </si>
  <si>
    <t>v_E1Xsc4kfFRE</t>
  </si>
  <si>
    <t>A couple of kids are cheering at a bowling alley.</t>
  </si>
  <si>
    <t>They join other children, arguing over a bowling ball.</t>
  </si>
  <si>
    <t>They pick a ball, then bowl it down the lane.</t>
  </si>
  <si>
    <t>v_YptHsVTHquc</t>
  </si>
  <si>
    <t>A group of people are dancing around each other.</t>
  </si>
  <si>
    <t>A girl moves around with a hula hoop doing various movements.</t>
  </si>
  <si>
    <t>The People continuing dancing around her in various motions.</t>
  </si>
  <si>
    <t>The girl spins her hula hoop around her head.</t>
  </si>
  <si>
    <t>v_8YkCDiVc7RI</t>
  </si>
  <si>
    <t>Two girls are seen speaking and waving to the camera that lead into them performing several jumps and tricks on a mat.</t>
  </si>
  <si>
    <t>the girls continue taking turns flipping all around the mat in the area as well as speaking to the camera and waving.</t>
  </si>
  <si>
    <t>v_YcAs1-6SYb4</t>
  </si>
  <si>
    <t>A woman is standing with a ball on a string.</t>
  </si>
  <si>
    <t>She is in a competition for athletics.</t>
  </si>
  <si>
    <t>She swings the ball around numerous times, then legs go and cheers as it lands far into the field.</t>
  </si>
  <si>
    <t>v_zvAlL20-K4w</t>
  </si>
  <si>
    <t>An athlete is seen standing ready in the middle of a small circle and then throws a shot put off into the distance.</t>
  </si>
  <si>
    <t>The man walks away shaking his arms and his throw is shown again several times.</t>
  </si>
  <si>
    <t>Several more athletes are shown stepping up to the platform throwing the shot put and ending with a man in a hat speaking to the audience.</t>
  </si>
  <si>
    <t>v_XSfG1M-Ik_A</t>
  </si>
  <si>
    <t>A lady in a bra and panties grabs and throws a shotput.</t>
  </si>
  <si>
    <t>IT goes through a window on a house and a cat runs.</t>
  </si>
  <si>
    <t>The man looks outside and sees the lady.</t>
  </si>
  <si>
    <t>the lady uses a pole to pole vault into the second story window and jump on the man.</t>
  </si>
  <si>
    <t>We see the title screen and the man's pants fly out the window.</t>
  </si>
  <si>
    <t>v_d6lajCxMhPE</t>
  </si>
  <si>
    <t>A person holding a broom cleans the floor back and forth.</t>
  </si>
  <si>
    <t>The person turn the broom to collect the dust.</t>
  </si>
  <si>
    <t>v_SfFjpnTKG7s</t>
  </si>
  <si>
    <t>Athletes runs on an outdoors track of a field and pole vault during practice.</t>
  </si>
  <si>
    <t>An athlete runs and pole vaults during an Olympic competition in a stadium.</t>
  </si>
  <si>
    <t>Athletes make a practice jumps and dive under the rope and onto the mat.</t>
  </si>
  <si>
    <t>v_NT0dXbWzt7w</t>
  </si>
  <si>
    <t>A little boy is filling an ice cream cone with ice cream.</t>
  </si>
  <si>
    <t>He licks the ice cream cone.</t>
  </si>
  <si>
    <t>He lifts the ice cream cone up to show the camera.</t>
  </si>
  <si>
    <t>v_yDWOqabreoU</t>
  </si>
  <si>
    <t>A girls has a pole and she is blindfolded.</t>
  </si>
  <si>
    <t>She swings at a pinata and misses.</t>
  </si>
  <si>
    <t>She steps closer and tries again, hitting it this time.</t>
  </si>
  <si>
    <t>She backs up as a dog comes into the picture.</t>
  </si>
  <si>
    <t>She keeps swinging at missing.</t>
  </si>
  <si>
    <t>She stops for moment, takes a hard swing and hits it.</t>
  </si>
  <si>
    <t>v_C1TWr5XH8b0</t>
  </si>
  <si>
    <t>Various text is shown across the screen and leads into a man speaking and more tools being shown.</t>
  </si>
  <si>
    <t>The man rubs the tools along his skin and points back and fourth to the vacuum while speaking.</t>
  </si>
  <si>
    <t>v_fljxcvQe_Mo</t>
  </si>
  <si>
    <t>The top shingle of a roof dangles unsecured.</t>
  </si>
  <si>
    <t>A man on a roof hammers a nail into the shingle, securing the shingle.</t>
  </si>
  <si>
    <t>v_hj88A5tvA0Y</t>
  </si>
  <si>
    <t>Various people are seen walking around a beach leading into men tightening up a rope and bouncing on the rope.</t>
  </si>
  <si>
    <t>Several people perform many tricks and jumps on the rope while others stand and watch on the side.</t>
  </si>
  <si>
    <t>v_tYyTrDyzB6o</t>
  </si>
  <si>
    <t>A person is seen riding in a tube down a river while the camera zooms in on a persons feet.</t>
  </si>
  <si>
    <t>The people in tubes ride past others in the water.</t>
  </si>
  <si>
    <t>More people are seen riding down the river in tubes.</t>
  </si>
  <si>
    <t>v_yuYqFaAnTxI</t>
  </si>
  <si>
    <t>A series of clips of the same woman performing pole vaults at different professional athletic events plays.</t>
  </si>
  <si>
    <t>A woman holding a pole runs on a track toward a goal line and performs a pole vault in front of event onlookers and supporters.</t>
  </si>
  <si>
    <t>The woman is then shown at two more event performing the same pole vault surrounded by onlookers and score takers.</t>
  </si>
  <si>
    <t>v_o8RIoxL9FDE</t>
  </si>
  <si>
    <t>A woman stands in front of a mirror and rinses her mouth before pulling her face close to the mirror and looking at her teeth from a close up angle.</t>
  </si>
  <si>
    <t>A woman sits in front of a bathroom mirror squishing water in her mouth, as if rinsing her mouth.</t>
  </si>
  <si>
    <t>The woman then spits the water into the sink and looks at her teeth very close in the mirror before the scene fades out.</t>
  </si>
  <si>
    <t>v_mBsIWxXJPY0</t>
  </si>
  <si>
    <t>We see people on skis falling hard.</t>
  </si>
  <si>
    <t>We see a person fly into a snow pile.</t>
  </si>
  <si>
    <t>A person skis and falls as they jump across a street.</t>
  </si>
  <si>
    <t>A person on skis is holding a line and falls then a person in white crashes into another and they both fall.</t>
  </si>
  <si>
    <t>A snowboarder can't hold the line and knocks over a person helping and falls himself.</t>
  </si>
  <si>
    <t>v_dJAZplo9ke0</t>
  </si>
  <si>
    <t>A river surrounded by rocks apperas.</t>
  </si>
  <si>
    <t>Several people are floating through it in intertubes.</t>
  </si>
  <si>
    <t>They float down the river together through the rapids.</t>
  </si>
  <si>
    <t>v_f025sQGYfJM</t>
  </si>
  <si>
    <t>A man and a man in green shirt is decorating the Christmas tree with his kid in gray shirt, they are putting the decorations while the woman is sitting on a chair by the tree and put the decors on the blue table.</t>
  </si>
  <si>
    <t>The lady helped the man and child to hang the decor in the Christmas tree, the man handed some decorations to the lady and she put it on the tree.</t>
  </si>
  <si>
    <t>The woman sat on the chair to arrange the christmas ball on the table, and helped them with the decorations.</t>
  </si>
  <si>
    <t>A lady in black top put more decorations to the christmas tree.</t>
  </si>
  <si>
    <t>v_9bUNAiuRXyo</t>
  </si>
  <si>
    <t>A boy walks up to a post on a very large indoor court.</t>
  </si>
  <si>
    <t>He gets himself ready, moving his arms around.</t>
  </si>
  <si>
    <t>He begins to spin around very quickly.</t>
  </si>
  <si>
    <t>Finally letting go and throwing the ball.</t>
  </si>
  <si>
    <t>v_XSnPmf41ToA</t>
  </si>
  <si>
    <t>A woman slaps her cheek as she prepares on a field.</t>
  </si>
  <si>
    <t>She swings a ball around several times.</t>
  </si>
  <si>
    <t>She lets go, letting the ball fly through the air.</t>
  </si>
  <si>
    <t>v_Po3-9ktM5Do</t>
  </si>
  <si>
    <t>A woman wearing a black top and with curly brown hair and bronze highlights is demonstrating how to use a diffuser to dry hair.</t>
  </si>
  <si>
    <t>She is using the blow dryer on medium heat to dry her hair.</t>
  </si>
  <si>
    <t>She blow dries the curls till the moisture from the hair is gone.</t>
  </si>
  <si>
    <t>After she's done using the blow dryer, she uses a wide tooth comb to comb through her curls.</t>
  </si>
  <si>
    <t>She then poofs up her hair and shows off her luscious curls.</t>
  </si>
  <si>
    <t>v_3EuY86B4uTo</t>
  </si>
  <si>
    <t>A helicopter flies in some people who then start playing paintball.</t>
  </si>
  <si>
    <t>They run around obstacles and have a great time.</t>
  </si>
  <si>
    <t>v_wQbVxdVTN-I</t>
  </si>
  <si>
    <t>A boy holds an axe outside.</t>
  </si>
  <si>
    <t>He swings the axe at a stump.</t>
  </si>
  <si>
    <t>Another boy is shown doing the same thing.</t>
  </si>
  <si>
    <t>They continue to try to split the wood.</t>
  </si>
  <si>
    <t>v_nnUYbsoLNqo</t>
  </si>
  <si>
    <t>The start of a race is shown as people run by and the finish is also shown.</t>
  </si>
  <si>
    <t>People in costumes are shown and people are generally having a great time.</t>
  </si>
  <si>
    <t>v_NEthbdTgx-M</t>
  </si>
  <si>
    <t>An intro leads into several shots of people riding down snowy hills and climbing up the side.</t>
  </si>
  <si>
    <t>Two people speak to the camera and show more shots of them climbing a mountain and various shots of the mountain.</t>
  </si>
  <si>
    <t>The people then ride around on skis while still speaking to the camera and show several shots of them riding down the snowy mountain.</t>
  </si>
  <si>
    <t>v_aJsDVKt5Igs</t>
  </si>
  <si>
    <t>Two women and a little girl are walking outdoors, showing the little girl a group of boys in the distance.</t>
  </si>
  <si>
    <t>They throw a ball, and the girl kicks it before being led to a base.</t>
  </si>
  <si>
    <t>The group gathers together to congratulate her.</t>
  </si>
  <si>
    <t>v_icm5lX5pZE0</t>
  </si>
  <si>
    <t>A man is seen sitting behind a desk working on a computer.</t>
  </si>
  <si>
    <t>Several shots are shown of people printing off paper as well as paper close up.</t>
  </si>
  <si>
    <t>More clips are shown of people hanging up the wallpaper as well as shots of the city.</t>
  </si>
  <si>
    <t>v_E50d5qFvzOI</t>
  </si>
  <si>
    <t>A video begins showing a man and woman holding each other and moving back and fourth.</t>
  </si>
  <si>
    <t>The couple moves their feet back and fourth while the man speaks to the camera.</t>
  </si>
  <si>
    <t>The woman eventually speaks the camera while performing several different dance moves for the camera to see.</t>
  </si>
  <si>
    <t>v_8kjYbv52EcI</t>
  </si>
  <si>
    <t>Several canoes are shown in idle in murky water.</t>
  </si>
  <si>
    <t>Then a set of boys begin kayaking in the water and jumping off the trees.</t>
  </si>
  <si>
    <t>v__L8VrJYsOAQ</t>
  </si>
  <si>
    <t>A person is washing their hands in a sink.</t>
  </si>
  <si>
    <t>Two women are standing by the sink washing their hands.</t>
  </si>
  <si>
    <t>v_vQ8NJRCSyb4</t>
  </si>
  <si>
    <t>Two men on one knee demonstrate a hip flexxer stretch in a therapy gym.</t>
  </si>
  <si>
    <t>The man wearing a black t-shirt uses the man wearing a green t-shirt as a model to demonstrate the hip flexxer stretch.</t>
  </si>
  <si>
    <t>The man in the black t-shirt adjusts the man in the green -t shirt a into different positions by slight positioning of the foot, leg, hips and arms.</t>
  </si>
  <si>
    <t>v_rqraLuIBvyg</t>
  </si>
  <si>
    <t>The credits of the clips is shown.</t>
  </si>
  <si>
    <t>A woman is outside next to a pile of snow.</t>
  </si>
  <si>
    <t>A guy picks up a shovel land shovels snow off to the side.</t>
  </si>
  <si>
    <t>The guy puts down the shovel and stretches his back backwards twice.</t>
  </si>
  <si>
    <t>The guy picks up the shovel and continues to shovel snow.</t>
  </si>
  <si>
    <t>v_JGKjMJm0HRI</t>
  </si>
  <si>
    <t>A close up shot of children are seen riding around a bumper car game and running into one another.</t>
  </si>
  <si>
    <t>Two boys are seen bumping in to one another with several other kids riding around and hitting each other.</t>
  </si>
  <si>
    <t>v_ORL5yMppl8E</t>
  </si>
  <si>
    <t>A kid fills a pot with water.</t>
  </si>
  <si>
    <t>He puts the pot on a stove and puts a lid on it.</t>
  </si>
  <si>
    <t>He adds salt and pasta to the pot.</t>
  </si>
  <si>
    <t>He puts the lid back on the pot.</t>
  </si>
  <si>
    <t>He stirs the pot and pours the pasta into a strainer.</t>
  </si>
  <si>
    <t>He pours the pasta back into the pan.</t>
  </si>
  <si>
    <t>He adds sauce and stirs it together.</t>
  </si>
  <si>
    <t>v_0CTnYEE7rdo</t>
  </si>
  <si>
    <t>A man is skateboarding down a city street.</t>
  </si>
  <si>
    <t>He is seen talking to the camera in the middle of the road.</t>
  </si>
  <si>
    <t>Then we see him doing several different stunts as he winds in and out of traffic.</t>
  </si>
  <si>
    <t>v_2YSsqivrvR4</t>
  </si>
  <si>
    <t>A person is seen sitting on the edge of a bed carrying a guitar.</t>
  </si>
  <si>
    <t>The person begins playing the guitar while looking over to the camera.</t>
  </si>
  <si>
    <t>The man continues playing and stops moving his hand out of frame.</t>
  </si>
  <si>
    <t>v_P9jIpcRGeOk</t>
  </si>
  <si>
    <t>Several people are shown in images gathered outside a building.</t>
  </si>
  <si>
    <t>Two cartoon sumo wrestlers are engaged in a fight.</t>
  </si>
  <si>
    <t>They body slam each other as a referee watches.</t>
  </si>
  <si>
    <t>v_MAXfslyf7Dw</t>
  </si>
  <si>
    <t>Sumos are standing in front of each other in a dust court and a referee dress in white suit is watching them.</t>
  </si>
  <si>
    <t>men stat wrestling and one of them if taking off the court.</t>
  </si>
  <si>
    <t>v_nh1GBPeyyMo</t>
  </si>
  <si>
    <t>A person's hands are seen cutting a piece of paper with scissors and then wrapping a box with paper.</t>
  </si>
  <si>
    <t>She tapes down the present and ties it in a bowl, finishes by cutting the excess string and placing a tag on top.</t>
  </si>
  <si>
    <t>v_McFsP60TqH4</t>
  </si>
  <si>
    <t>A young child is seen sitting on the floor brushing her hair in front of a mirror.</t>
  </si>
  <si>
    <t>The girl continues to brush her hair and ends with her watching a video and speaking to the camera.</t>
  </si>
  <si>
    <t>v_Damu3T2Yy0M</t>
  </si>
  <si>
    <t>Two men are seen speaking to the camera when another walks into frame laughing and walks away.</t>
  </si>
  <si>
    <t>The men continue speaking then lead into an arm wrestling match between the two.</t>
  </si>
  <si>
    <t>One beats the other and flexes his arms to the camera while smiling.</t>
  </si>
  <si>
    <t>v_W1Cp1UyY8S8</t>
  </si>
  <si>
    <t>A man is power washing a fence.</t>
  </si>
  <si>
    <t>It cuts to him power washing a different section.</t>
  </si>
  <si>
    <t>It fades to an open shot of the fence.</t>
  </si>
  <si>
    <t>v_YoDlwg4eAEA</t>
  </si>
  <si>
    <t>Several alternating images of dishes of food appear.</t>
  </si>
  <si>
    <t>A recipe for greek dressing begins.</t>
  </si>
  <si>
    <t>The ingredients made from oilsand powders are mixed together and shaken in a jar, and poured onto a salad.</t>
  </si>
  <si>
    <t>It is then topped with blocks of cheese.</t>
  </si>
  <si>
    <t>v_jqLwYHwYYPM</t>
  </si>
  <si>
    <t>A black screen appears and the yellow words appear on them read "Extreme How-To presents".</t>
  </si>
  <si>
    <t>The second black screen has yellow words that read "Installing Heated Floor Tile".</t>
  </si>
  <si>
    <t>A man is now standing and talking in the corner of a residential home, dressed in a long sleeved button up black shirt, brown long pants, shoes and wearing a hat.</t>
  </si>
  <si>
    <t>The man walks away from the corner and the next view is of a kneeling man using a tool to remove base molding from a wall, using a drill gun, measuring with a long ruler, then laying on the ground gray pieces of fabric with some wires attached to it.</t>
  </si>
  <si>
    <t>The man is then shown pressing buttons on a little white box and the man is now pointing to those wires attached to those gray pieces of fabric and the man starts putting wires into a gray pipe that is now shown on the wall.</t>
  </si>
  <si>
    <t>The man is back on the ground with a long tape measure and measuring the ground.</t>
  </si>
  <si>
    <t>The man is now holding a tile with ridges on all four sides and he takes a mallet and a tool to gently pound the pieces together.</t>
  </si>
  <si>
    <t>When the man reaches the wall he uses a pencil to measure the tile, takes it to a wet tile cutter and cuts it.</t>
  </si>
  <si>
    <t>The man is back in the house and piecing a small tile near some cabinets, then the man begins to grout, and uses a large,wet, yellow sponge to clean up the excess grout.</t>
  </si>
  <si>
    <t>The talking man from earlier appears back in the corner talking and yellow words appear on the screen that contain websites.</t>
  </si>
  <si>
    <t>v_pEr9p5-qUsU</t>
  </si>
  <si>
    <t>Several tables are set up in a large room.</t>
  </si>
  <si>
    <t>Several groups are playing beer pong.</t>
  </si>
  <si>
    <t>Some people are cheering about winning.</t>
  </si>
  <si>
    <t>Others look upset about losing.</t>
  </si>
  <si>
    <t>v_SZXscHYG26Y</t>
  </si>
  <si>
    <t>The person is parasailing, he is holding the sail.</t>
  </si>
  <si>
    <t>The man is moving forwards towards the island.</t>
  </si>
  <si>
    <t>The person has his feet on the parasail board.</t>
  </si>
  <si>
    <t>v_2qN85UKyL2s</t>
  </si>
  <si>
    <t>We see a man and a woman playing pool.</t>
  </si>
  <si>
    <t>The lady takes her turn shooting the ball.</t>
  </si>
  <si>
    <t>We see bright camera flashes.</t>
  </si>
  <si>
    <t>We see the lady taking the photos.</t>
  </si>
  <si>
    <t>The lady hands her pool stick to a man and shakes his hand.</t>
  </si>
  <si>
    <t>She shakes another man's hand and leaves.</t>
  </si>
  <si>
    <t>v_A5-gsreb2zY</t>
  </si>
  <si>
    <t>A woman gets her nose clamped by a man sitting behind her head.</t>
  </si>
  <si>
    <t>He pierces through her septum.</t>
  </si>
  <si>
    <t>He cuts it and removes the clamp.</t>
  </si>
  <si>
    <t>The man puts an earring through the hole.</t>
  </si>
  <si>
    <t>He puts qtips in her nose to catch the blood.</t>
  </si>
  <si>
    <t>v_dmiLuqRB09U</t>
  </si>
  <si>
    <t>A woman is sitting on a chair.</t>
  </si>
  <si>
    <t>She gets a dermal piercing in her cheek.</t>
  </si>
  <si>
    <t>The girl shows the piercing and smiles.</t>
  </si>
  <si>
    <t>v_PRLlYhneNMk</t>
  </si>
  <si>
    <t>Two people are seen wearing funny hates and standing behind a table speaking to the camera.</t>
  </si>
  <si>
    <t>They then quickly wrap a present and show off a better present underneath.</t>
  </si>
  <si>
    <t>More shots are shown of them wrapping as they quickly move around and speaking to the camera.</t>
  </si>
  <si>
    <t>v_s3EHHOAkQYE</t>
  </si>
  <si>
    <t>A person is seen riding in a car panning to others while following behind a large group of people on bikes.</t>
  </si>
  <si>
    <t>The driver hands people water on the side as well as pulling them in to fix a bike.</t>
  </si>
  <si>
    <t>The car continues to follow and help the man as well as stopping to change a wheel and climbing back in the car.</t>
  </si>
  <si>
    <t>v_vjCKf3el7pM</t>
  </si>
  <si>
    <t>A man is seen looking closely into the camera followed by a person wake boarding and performing various tricks.</t>
  </si>
  <si>
    <t>Several shots are shown of people doing tricks along the water while the boat pulls them from the front.</t>
  </si>
  <si>
    <t>v_0fw8it7Gj7k</t>
  </si>
  <si>
    <t>A man is seen holding up a piece of wood and rubbing it down while speaking to the camera and spraying down polish.</t>
  </si>
  <si>
    <t>The man wipes down the polish with a rag while continuing to speak to the camera and holding up the piece of wood in the end.</t>
  </si>
  <si>
    <t>v_IV47aK7qJdY</t>
  </si>
  <si>
    <t>The dry brown and yellow leaves are on the ground, on top of green grass.</t>
  </si>
  <si>
    <t>A man with a leaf blower on his hand started to blew the leaves towards the center of the field.</t>
  </si>
  <si>
    <t>The man blew the leaves from the side of the road towards the tree, while another man with leaf blower walks on other side of the walkway.</t>
  </si>
  <si>
    <t>v_7Sfl-Fmr_3E</t>
  </si>
  <si>
    <t>A man is shown working on a fence in the backyard.</t>
  </si>
  <si>
    <t>The man wears a blue outfit as he paints the wooden fence a red color.</t>
  </si>
  <si>
    <t>The man cleans the paint off of boards.</t>
  </si>
  <si>
    <t>v_Ux4brKS0Sac</t>
  </si>
  <si>
    <t>A man is seen speaking to the camera while putting a box around some paper.</t>
  </si>
  <si>
    <t>He wraps the box in paper while using scissors to cut around the sides.</t>
  </si>
  <si>
    <t>The man tapes up the box and presents it to the camera.</t>
  </si>
  <si>
    <t>v_VDX1IQnUMgo</t>
  </si>
  <si>
    <t>A news anchor is standing behind a table with papers on it talking as a man is picture swimming on the television screen behind him.</t>
  </si>
  <si>
    <t>After,a group of people are in a pool playing a game of water polo making goals.</t>
  </si>
  <si>
    <t>A coach is then shown in a hallway as the people come back and continue playing the game before a football game then shows.</t>
  </si>
  <si>
    <t>v_sEENChh3zno</t>
  </si>
  <si>
    <t>A girl is seen jumping items into water and scrubbing a pan with a brush.</t>
  </si>
  <si>
    <t>She continues speaking to the camera as well as into the pan and demonstrating how to properly clean a pan.</t>
  </si>
  <si>
    <t>v_jpvgI6bNO1g</t>
  </si>
  <si>
    <t>A camera pans all around a forest and leads into a rope tied to a tree.</t>
  </si>
  <si>
    <t>A person is seen tightening the rope followed by walking along the rope.</t>
  </si>
  <si>
    <t>Several people are seen walking on the rope as well as bouncing and performing tricks.</t>
  </si>
  <si>
    <t>v_doAvtD_jgiY</t>
  </si>
  <si>
    <t>We see a girl in gold doing a baton routine.</t>
  </si>
  <si>
    <t>The girl does a flip.</t>
  </si>
  <si>
    <t>the girls spins repeatedly and catches her baton.</t>
  </si>
  <si>
    <t>The girl spins and two batons roll in and she grabs each.</t>
  </si>
  <si>
    <t>The girl spins, catches her baton and poses for her finish as the crowd claps.</t>
  </si>
  <si>
    <t>v_h4phcAYe0aE</t>
  </si>
  <si>
    <t>A person is raking leaves into a pile.</t>
  </si>
  <si>
    <t>A little boy is picking up the leaves and playing in the pile.</t>
  </si>
  <si>
    <t>The boy picks up a rake and starts raking the leaves.</t>
  </si>
  <si>
    <t>v_XsqslHC79FQ</t>
  </si>
  <si>
    <t>There's a young girl wearing a brown sweater playing the violin.</t>
  </si>
  <si>
    <t>She strings the violin with her left hand while she uses the bow stick with her right hand.</t>
  </si>
  <si>
    <t>She continues playing her tune on the violin with full concentration without pausing.</t>
  </si>
  <si>
    <t>She constantly looks down at the violin as she plays the notes.</t>
  </si>
  <si>
    <t>After she finishes playing the violin, she smiles and walks away.</t>
  </si>
  <si>
    <t>v_EJiyr-6l3ps</t>
  </si>
  <si>
    <t>A video of clipping a cats toenails is shown.</t>
  </si>
  <si>
    <t>Each paw is grabbed and the nail is pushed out and trimmed.</t>
  </si>
  <si>
    <t>The cat is oddly calm the whole time.</t>
  </si>
  <si>
    <t>v_joehK-w2bCc</t>
  </si>
  <si>
    <t>A man is walking in a room.</t>
  </si>
  <si>
    <t>A girl is dancing in front of a mirror in the room.</t>
  </si>
  <si>
    <t>He watches her from outside the room.</t>
  </si>
  <si>
    <t>v_MCsGSMze_6Q</t>
  </si>
  <si>
    <t>There is a black and white TV show with two men on a stage talking and laughing.</t>
  </si>
  <si>
    <t>The right man gets up and walks to a piano.</t>
  </si>
  <si>
    <t>The man plays a grand piano.</t>
  </si>
  <si>
    <t>The man finishes and stands up.</t>
  </si>
  <si>
    <t>The men shake hands and the piano player walks away and the host talks and shimmies a bit.</t>
  </si>
  <si>
    <t>v_8KPk9pH4wWw</t>
  </si>
  <si>
    <t>An athlete is seen waving his hands to the crowd and clapping followed by him running over a beam.</t>
  </si>
  <si>
    <t>His same shot is shown again in slow motion and hes seen speaking to a man.</t>
  </si>
  <si>
    <t>v_yaK-giAk4e8</t>
  </si>
  <si>
    <t>A group of young men are in a kitchen, playing a game of beer pong.</t>
  </si>
  <si>
    <t>They cheer as they get the ball into a cup.</t>
  </si>
  <si>
    <t>A woman appears, and picks up one of the cups.</t>
  </si>
  <si>
    <t>v_NO5J7RjTTTo</t>
  </si>
  <si>
    <t>Two boys at a young age are playing fooseball with each other.</t>
  </si>
  <si>
    <t>One grab the ball and puts it back into play.</t>
  </si>
  <si>
    <t>The boys continue to play the game back and fourth on the tabs.</t>
  </si>
  <si>
    <t>v_C7UEAqu1KtY</t>
  </si>
  <si>
    <t>A camera pans around a yard leading to a rake sitting up against a trash can.</t>
  </si>
  <si>
    <t>A man is seen stretching off into the distance and begins raking the leaves.</t>
  </si>
  <si>
    <t>He picks the leaves up and throws them in the trash as well as onto a blanket and handing it to a girl.</t>
  </si>
  <si>
    <t>v_FGdCWm4gI3M</t>
  </si>
  <si>
    <t>A collection of skateboards lined up on a street in the upward position on their wheels and upside down on the platform.</t>
  </si>
  <si>
    <t>A skateboarder wearing a white helmet skates by followed by another skateboarder while the camera pans a group of skateboarder spectators watching from the street curb.</t>
  </si>
  <si>
    <t>A group of skateboarders perform tricks and maneuvers up and down the street.</t>
  </si>
  <si>
    <t>A view of a vehicle loaded with skateboards and skateboarding equipment.</t>
  </si>
  <si>
    <t>Another view of the skateboards lined up on the street in the upright position.</t>
  </si>
  <si>
    <t>Spectators watch from the street curb while a group of skateboarders take turns skating down hill and making a sharp spin stop at a designated spot.</t>
  </si>
  <si>
    <t>v_yGPzIGJ_2B8</t>
  </si>
  <si>
    <t>woman is walking in a green grassy backyard.</t>
  </si>
  <si>
    <t>man is standing in a bacyard in front of a fence with a machine in front of him.</t>
  </si>
  <si>
    <t>woman is in the backyard and a man is behind her using a lawn mower to cut the grass.</t>
  </si>
  <si>
    <t>man is walking with some white plastic bags on the cloth.</t>
  </si>
  <si>
    <t>v_XsCND4lDiqA</t>
  </si>
  <si>
    <t>An old man threw the yellow ball in the cup and it bounced back on the table.</t>
  </si>
  <si>
    <t>The old man in black shirt threw the ball and landed on the table.</t>
  </si>
  <si>
    <t>A man threw the ball back and the man in black shirt take the ball from the cup and threw it but landed outside the table.</t>
  </si>
  <si>
    <t>v_uj0UBMgR2gk</t>
  </si>
  <si>
    <t>We see a man in an orchestra making faces.</t>
  </si>
  <si>
    <t>The man then stands and plays the violin.</t>
  </si>
  <si>
    <t>We see people at lockers.</t>
  </si>
  <si>
    <t>We go back to the man playing the violin.</t>
  </si>
  <si>
    <t>We see the people in the locker.</t>
  </si>
  <si>
    <t>We see the playing man and then the crowd stands and claps.</t>
  </si>
  <si>
    <t>The man smiles and waves.</t>
  </si>
  <si>
    <t>v_mNq0NksbsZ4</t>
  </si>
  <si>
    <t>People are long boarding down a hill.</t>
  </si>
  <si>
    <t>A silver truck is parked next to the hill.</t>
  </si>
  <si>
    <t>A person falls off the long board onto the pavement.</t>
  </si>
  <si>
    <t>v_FkMk9TZdea0</t>
  </si>
  <si>
    <t>White text says in memory of Paul Walker.</t>
  </si>
  <si>
    <t>A person is shown using a small brush to create an image of Paul Walker.</t>
  </si>
  <si>
    <t>Each detail is drawn one at a time, producing the final completed image.</t>
  </si>
  <si>
    <t>v_cqVvHj1oC-8</t>
  </si>
  <si>
    <t>Two people are seen hosting a news segment that leads into clips of people scraping off their cars.</t>
  </si>
  <si>
    <t>A woman is seen speaking to the camera while scraping off her car and holding up products to help.</t>
  </si>
  <si>
    <t>More people are seen speaking to the camera and showing off their methods of melting ice and leading back to the two reporters.</t>
  </si>
  <si>
    <t>v_ubgCjUUmP9I</t>
  </si>
  <si>
    <t>A male gymnast dressed red and white leotards is performing on a horse bar.</t>
  </si>
  <si>
    <t>He climbs up the horse bar and does backhand springs.</t>
  </si>
  <si>
    <t>He continues swiftly over the horse bar as he raises his body by pushing his body weight on his arms.</t>
  </si>
  <si>
    <t>He continues doing front and back hand springs.</t>
  </si>
  <si>
    <t>After he's done, he gets off the bar and walks towards the judges and other contestants.</t>
  </si>
  <si>
    <t>The spectators cheer for him and the judges shake hands with the gymnast.</t>
  </si>
  <si>
    <t>v_2P555wnyj_8</t>
  </si>
  <si>
    <t>A man is standing in a room melting down an object with a utensil that is creating several sparks.</t>
  </si>
  <si>
    <t>Another male then walks behind the person and puts on a helmet for protection as he watches the man in front of him.</t>
  </si>
  <si>
    <t>v_jVp2BsFOIVA</t>
  </si>
  <si>
    <t>Three kids swinging on the play set in the back yard.</t>
  </si>
  <si>
    <t>One of the boys climb and slides down the slide.</t>
  </si>
  <si>
    <t>More kids join and and they go down the slide together and move around the set very quickly.</t>
  </si>
  <si>
    <t>They start to swing on their tummies and just overall having a great time playing.</t>
  </si>
  <si>
    <t>v_98SSjNuSxvM</t>
  </si>
  <si>
    <t>A series of words appear across the screen and they inform us that the men are attempting to row across the Atlantic.</t>
  </si>
  <si>
    <t>A man is then shown outside on his patio rowing and words indicate that it has been two hours and 1600 calories burned.</t>
  </si>
  <si>
    <t>After the man is shown again but this time he is exhausted and is forced to take a breath so he can breathe.</t>
  </si>
  <si>
    <t>Now the man is standing up and is taking to the camera and holds up his hand to show the blisters he has on his hands.</t>
  </si>
  <si>
    <t>v_JhqQGe0TkBU</t>
  </si>
  <si>
    <t>People stands on top of a diving board, the a man jumps in the swimming pool.</t>
  </si>
  <si>
    <t>Suddenly a girl runs on a lower dining board and jumps in the swimming pool.</t>
  </si>
  <si>
    <t>People sit around the pool.</t>
  </si>
  <si>
    <t>v_Ba3uRADSg50</t>
  </si>
  <si>
    <t>A few older men are shown standing in front of monkey bars talking to one another.</t>
  </si>
  <si>
    <t>One begins climbing along the bars with several other people coming from behind.</t>
  </si>
  <si>
    <t>One woman falls in the water and many more climb across the monkey bars.</t>
  </si>
  <si>
    <t>v_gh5di42-RJo</t>
  </si>
  <si>
    <t>A small boy wearing a black and red striped shirt is sitting with a drum set and playing drums.</t>
  </si>
  <si>
    <t>A man wearing a pink shirt and black trousers is standing next to him.</t>
  </si>
  <si>
    <t>Another person wearing a denim shirt walks past the boy.</t>
  </si>
  <si>
    <t>the boy continues to drum the cymbals and the hi-hat in a rhythmic way as the people cheer for him.</t>
  </si>
  <si>
    <t>He alternately hits the cymbals and the snare drums with the sticks.</t>
  </si>
  <si>
    <t>He ends by hitting the cymbals.</t>
  </si>
  <si>
    <t>v_RxuL7k7-hYQ</t>
  </si>
  <si>
    <t>Gymnasts swing on double bars during Olympic competition.</t>
  </si>
  <si>
    <t>Gymnast swings on double bars during practice in a gym.</t>
  </si>
  <si>
    <t>v_hyk4wNZwwxc</t>
  </si>
  <si>
    <t>Several adults are a doing a stepping exercise onto platforms.</t>
  </si>
  <si>
    <t>They step on and of and spin around.</t>
  </si>
  <si>
    <t>They do a cart wheel off the platform.</t>
  </si>
  <si>
    <t>They end their exercise and step off.</t>
  </si>
  <si>
    <t>v_i9DlXuEewE8</t>
  </si>
  <si>
    <t>A young teen age girl is sitting in a large chair talking on the phone and making faces.</t>
  </si>
  <si>
    <t>Two other females then begin dancing out front in the yard on a sidewalk.</t>
  </si>
  <si>
    <t>The girl then grabs her sweat pants and begins teaching her counterpart different dance steps and the first female reappears on the phone.</t>
  </si>
  <si>
    <t>v_1uC0xzyx4Bc</t>
  </si>
  <si>
    <t>A person is showing how to install rubber tiles in a gym.</t>
  </si>
  <si>
    <t>The video shows several people working out in a gym on the flooring.</t>
  </si>
  <si>
    <t>The person shows how to prep the floor surface before installing the tiles.</t>
  </si>
  <si>
    <t>He demonstrates how to lay the tiles on the floor in a criss-cross manner.</t>
  </si>
  <si>
    <t>The video shows a simulation how the tiles can measured up and laid down one by one in order to get a perfect wall to to wall fit.</t>
  </si>
  <si>
    <t>A person also shows how to trim tiles to fit flush edge to edge without leaving a gap between tiles.</t>
  </si>
  <si>
    <t>Finally he shows how to use a vinegar solution to clean the tiles in order to maintain the quality of the tiles.</t>
  </si>
  <si>
    <t>The video ends with the information of the tile company.</t>
  </si>
  <si>
    <t>v_vctal2m9Zvg</t>
  </si>
  <si>
    <t>An indoor barn is shown and a man is sitting on a horse.</t>
  </si>
  <si>
    <t>The gates open and the man flies out with is lasso chasing after a black and white calf.</t>
  </si>
  <si>
    <t>The man throws the rope and catches the calf,gets off,ties the cow up and returns back on top of the horse.</t>
  </si>
  <si>
    <t>v_o0O-CwwSaGw</t>
  </si>
  <si>
    <t>A girl with long hair is shown speaking to the camera and leads into her spraying water all over a dog in the tub.</t>
  </si>
  <si>
    <t>She scrubs the dog with shampoo and runs again runs the water over the dog.</t>
  </si>
  <si>
    <t>She holds the dog with a towel and then blow dries the dog in her lap while combing him.</t>
  </si>
  <si>
    <t>The dog is shown again all dried off and shakes himself while looking at the camera and the girl speaks more.</t>
  </si>
  <si>
    <t>v_ocvKEzb7OaE</t>
  </si>
  <si>
    <t>A man in a black shirt setting up a camera while sitting in front of a rub-ix cube and a electronic stop clock.</t>
  </si>
  <si>
    <t>Once the clock starts another man off camera and the man sitting in front of the cube starts to figure out the puzzle.</t>
  </si>
  <si>
    <t>Once the clock reaches 43 seconds both the men finish the puzzle and congratulate each other on completing the puzzle.</t>
  </si>
  <si>
    <t>v_qkHBMmMlEr8</t>
  </si>
  <si>
    <t>We see a man talking in a basketball gym.</t>
  </si>
  <si>
    <t>The man points at the boy.</t>
  </si>
  <si>
    <t>The man points to the right.</t>
  </si>
  <si>
    <t>We see a man making shots in a basketball hoop.</t>
  </si>
  <si>
    <t>v_VD3kzQGuQnc</t>
  </si>
  <si>
    <t>A woman is seen speaking to the camera and leads into her pouring ice into a glass.</t>
  </si>
  <si>
    <t>She then mixes various ingredients into the glass and mixes them up in a shaker.</t>
  </si>
  <si>
    <t>The woman then puts the glass down and pours the mixture into glass presenting it to the camera.</t>
  </si>
  <si>
    <t>v_kN2ZNcn241g</t>
  </si>
  <si>
    <t>A man wearing a coach shirt is standing while a female gymnast turns flips on a beam.</t>
  </si>
  <si>
    <t>He spots her as she flips and dismounts before sitting down.</t>
  </si>
  <si>
    <t>v_5rftu62ML_c</t>
  </si>
  <si>
    <t>A large group of people are shown in various shots riding around in canoes.</t>
  </si>
  <si>
    <t>A man speaks to the camera while people walk around with the canoes and show off pictures.</t>
  </si>
  <si>
    <t>More people are seen using them as well as walking around.</t>
  </si>
  <si>
    <t>v_escpZEdyNTI</t>
  </si>
  <si>
    <t>A person is seen running hold a surf board, and is shown again looking at his phone and laughing.</t>
  </si>
  <si>
    <t>More people are seen in various locations checking their phone and ends with a woman riding an exercise bike.</t>
  </si>
  <si>
    <t>v_7yg2zbiTJJ4</t>
  </si>
  <si>
    <t>A woman's hand picks up a stuffed animal surrounded by gifts.</t>
  </si>
  <si>
    <t>Gift wrapping accessories are shown.</t>
  </si>
  <si>
    <t>A woman lays out tissue paper and places a stuffed toy in the center.</t>
  </si>
  <si>
    <t>The woman wraps the toy in the tissue paper and tapes it shut.</t>
  </si>
  <si>
    <t>The woman lays out cellophane and places the wrapped toy on it.</t>
  </si>
  <si>
    <t>The woman cuts the cellophane and then proceeds to roll up the tissue paper covered toy.</t>
  </si>
  <si>
    <t>The woman twists the ends of the cellophane and tapes the package shut.</t>
  </si>
  <si>
    <t>Ribbon is placed around the ends of the package.</t>
  </si>
  <si>
    <t>The woman shows the package to the camera and sets it on a counter.</t>
  </si>
  <si>
    <t>v_oxp7V1AKJWk</t>
  </si>
  <si>
    <t>A little boy is playing an arcade game.</t>
  </si>
  <si>
    <t>He picks up a ball and throws it at the pins.</t>
  </si>
  <si>
    <t>He turns around and walks away.</t>
  </si>
  <si>
    <t>v_ijnNP7P5m28</t>
  </si>
  <si>
    <t>Men and women and kids are roasting marshmallow in the bonfire while others are skiing or resting on the chairs.</t>
  </si>
  <si>
    <t>A woman slide down the slope and the little girl came up to her and give her a kiss, then the woman help the little girl slide down the slope.</t>
  </si>
  <si>
    <t>v_i7NKJhCdKx0</t>
  </si>
  <si>
    <t>A man is outside in the snow holding a rope that is attached to a snow mobile.</t>
  </si>
  <si>
    <t>The snow mobile starts to move and the person begins snowboarding throughout the field.</t>
  </si>
  <si>
    <t>They continue to move through the snow and the forest of trees into a parking lot by a cabin.</t>
  </si>
  <si>
    <t>v_wHRHS7_4J_s</t>
  </si>
  <si>
    <t>A young girl is seen standing ready looking down at a violin.</t>
  </si>
  <si>
    <t>The girl is then seen playing the violin while moving her hands up and down.</t>
  </si>
  <si>
    <t>The girl continues playing the instrument and ends by looking to the camera.</t>
  </si>
  <si>
    <t>v_bDiwuABU45I</t>
  </si>
  <si>
    <t>A man is rubbing sunscreen on his back.</t>
  </si>
  <si>
    <t>A girl is laying down on a towel on the beach behind him.</t>
  </si>
  <si>
    <t>A person in an orange shirt walks behind him.</t>
  </si>
  <si>
    <t>v_yGCklVOLgk8</t>
  </si>
  <si>
    <t>A person is seen falling into the water in front of a jump.</t>
  </si>
  <si>
    <t>Another person is seen riding along on skis past him.</t>
  </si>
  <si>
    <t>The man continues to ride as the camera zooms in on the water.</t>
  </si>
  <si>
    <t>v_IiG80Vp4WyY</t>
  </si>
  <si>
    <t>A man is seen holding an instrument in front of a large stack of instruments and speaking to the camera.</t>
  </si>
  <si>
    <t>The man then plays the instrument continuously and ends with him pausing and holding the instrument.</t>
  </si>
  <si>
    <t>v_WOkHZ33CgAs</t>
  </si>
  <si>
    <t>Two men start fighting standing outside.</t>
  </si>
  <si>
    <t>One man throws the other man onto a table.</t>
  </si>
  <si>
    <t>v_RZr2KLNE6qE</t>
  </si>
  <si>
    <t>A camera zooms in on a baby wearing a baseball hat riding back and fourth on a swing set.</t>
  </si>
  <si>
    <t>The baby continuously rides back and fourth while another child rides a swing next to him.</t>
  </si>
  <si>
    <t>v_4mfnfTpcfck</t>
  </si>
  <si>
    <t>A group of girls are sitting in an old car while a large group of cars behind them move around.</t>
  </si>
  <si>
    <t>Other people are shown wearing christmas attire and dancing in the streets of the car.</t>
  </si>
  <si>
    <t>A band is playing by a group of kids while the parade follows them full of people dancing.</t>
  </si>
  <si>
    <t>v_qY8t0S0WWoA</t>
  </si>
  <si>
    <t>A man and a child paint a fence with brushes.</t>
  </si>
  <si>
    <t>A baby watches the man and the toddler painting.</t>
  </si>
  <si>
    <t>v_iPiP-7UwAa4</t>
  </si>
  <si>
    <t>A large group of people are seen standing on a stage while others watch on the side.</t>
  </si>
  <si>
    <t>The cheerleaders then begin performing a routine while throwing others up and flipping around.</t>
  </si>
  <si>
    <t>The group continues to perform on the stage and end by holding a pose and walking away.</t>
  </si>
  <si>
    <t>v_uN8lcRwsBno</t>
  </si>
  <si>
    <t>A guy sits with his legs close to his chest.</t>
  </si>
  <si>
    <t>The guy is exercising by pulling a handle.</t>
  </si>
  <si>
    <t>The guy stops exercising fixes his reading glasses and touches his beard.</t>
  </si>
  <si>
    <t>The guy removes his legs from the exercise machine and touches the knob.</t>
  </si>
  <si>
    <t>v_yPpKYckLbdI</t>
  </si>
  <si>
    <t>We see a girl jumping on a trampoline in doors.</t>
  </si>
  <si>
    <t>We see the girl spin in the air.</t>
  </si>
  <si>
    <t>The girl does a series of flips.</t>
  </si>
  <si>
    <t>The girl flips into blue boxes.</t>
  </si>
  <si>
    <t>The girl does a series of flips and a spin.</t>
  </si>
  <si>
    <t>We see a title screen and then see the girls bloopers.</t>
  </si>
  <si>
    <t>v_igwT-3gprOI</t>
  </si>
  <si>
    <t>A woman is shown talking to the camera with her hands and the camera pointing to a building.</t>
  </si>
  <si>
    <t>She stands in front of the building doing a several little dances and continues this in front of several buildings and locations.</t>
  </si>
  <si>
    <t>v_OqLrsVv44MY</t>
  </si>
  <si>
    <t>A woman smiling at the camera is shown scraping off her car with a scraper.</t>
  </si>
  <si>
    <t>She talks to the camera man while smiling at the camera and continuing to scrape.</t>
  </si>
  <si>
    <t>v_n1sWb2K6hBM</t>
  </si>
  <si>
    <t>We see a lady bring a horse into a stable turns the horse around and ties him up.</t>
  </si>
  <si>
    <t>The lady then brushes the horse and cleans the hooves on the horse on the right.</t>
  </si>
  <si>
    <t>The lady then sprays a product in the mane and comes it.</t>
  </si>
  <si>
    <t>The lady moves to the front of the horse and brushes his mane.</t>
  </si>
  <si>
    <t>the lady brushes the left side of the horse and cleans his hooves.</t>
  </si>
  <si>
    <t>The lady then brushes the tail and the horse and the lady leave.</t>
  </si>
  <si>
    <t>v_IVnPfvBZxKE</t>
  </si>
  <si>
    <t>Various pictures of ingredients are shown followed by pictures of the ingredients laid out on a cutting board.</t>
  </si>
  <si>
    <t>The pictures transition into more ingredients with hands covering them up and squeezing them into a ball.</t>
  </si>
  <si>
    <t>Pictures and video of the food being cooked in a pan are shown followed by a person taking it out and cutting it with a knife.</t>
  </si>
  <si>
    <t>Finally, a picture of the finished food product is shown.</t>
  </si>
  <si>
    <t>v_ExcXXMZYGs0</t>
  </si>
  <si>
    <t>We see people rafting down a river in a yellow raft.</t>
  </si>
  <si>
    <t>The raft is overturned and the people fall into the river.</t>
  </si>
  <si>
    <t>The people duck under branch of a low hanging tree and the right front man stands and dances.</t>
  </si>
  <si>
    <t>A man in the back of the raft walks forward.</t>
  </si>
  <si>
    <t>v_MFeI2mRg6Ho</t>
  </si>
  <si>
    <t>Some team is playing a game on the field, one of them scores.</t>
  </si>
  <si>
    <t>The audience goes crazy and then the teams are back to trying to score into the goal.</t>
  </si>
  <si>
    <t>The guy from the yellow team has the ball on the stick, he's running quickly with it and he scores.</t>
  </si>
  <si>
    <t>They put the trophy in the air and yell with excitement.</t>
  </si>
  <si>
    <t>v_VWmSZPIoBlw</t>
  </si>
  <si>
    <t>A man wearing a black coat is standing on the sidewalk.</t>
  </si>
  <si>
    <t>He walks up to a car and starts scraping the snow off the windows.</t>
  </si>
  <si>
    <t>The snow falls onto the ground in front of the car.</t>
  </si>
  <si>
    <t>v_gRzHp84ptgE</t>
  </si>
  <si>
    <t>A man and a little girl are standing on a beach.</t>
  </si>
  <si>
    <t>The man picks up the girl and picks up a surf board.</t>
  </si>
  <si>
    <t>He goes surfing in the water with her on his back.</t>
  </si>
  <si>
    <t>v_pF7z3Z_JSGk</t>
  </si>
  <si>
    <t>A man holds the back paws of a cat and clips its nails sitting on the floor.</t>
  </si>
  <si>
    <t>The man finishes one paw then wrestles with the cat.</t>
  </si>
  <si>
    <t>The man pets that cats stomach.</t>
  </si>
  <si>
    <t>The man examines the cats after the job is done.</t>
  </si>
  <si>
    <t>v_I62kL8H81XA</t>
  </si>
  <si>
    <t>A cup with lemonade is next a jar with a lemonade.</t>
  </si>
  <si>
    <t>A bowl with three cups of cold water, a cup of lemon juice, a cup of water and a cup of sugar are on at table.</t>
  </si>
  <si>
    <t>Then, a person adds sugar, and lemon to pot with water to warm.</t>
  </si>
  <si>
    <t>Then, the person adds the lemonade to a jar and serves in a cup.</t>
  </si>
  <si>
    <t>v_wIK83guBfM0</t>
  </si>
  <si>
    <t>A man is in a garage with newspaper on a table.</t>
  </si>
  <si>
    <t>He shows how to cut the top off a pumpkin, and removes the insides.</t>
  </si>
  <si>
    <t>Then he carves a design into the pumpkin, creating a novelty jackolantern.</t>
  </si>
  <si>
    <t>v_R52e9UAE60k</t>
  </si>
  <si>
    <t>A group of people are shown riding on horses in the desert.</t>
  </si>
  <si>
    <t>A man talks to the camera while riding the horse and giving various shots of the land.</t>
  </si>
  <si>
    <t>He shows off the several other people on horses and continues talking about his adventure close up to the camera.</t>
  </si>
  <si>
    <t>v_5HCYb6qfkdk</t>
  </si>
  <si>
    <t>A person opens a door and walks inside a kitchen.</t>
  </si>
  <si>
    <t>A woman sits on a kitchen counter shaving her legs in a sink.</t>
  </si>
  <si>
    <t>v_zwX7e_5Koh0</t>
  </si>
  <si>
    <t>An intro leads into a group of women standing on a wood floor behind a piece of exercise equipment.</t>
  </si>
  <si>
    <t>The women then begin moving back and fourth and up and down on the equipment while the woman in front speaks out loud.</t>
  </si>
  <si>
    <t>v_RKUEXxnXrm8</t>
  </si>
  <si>
    <t>A man demonstrates how to make an egg salad sandwich.</t>
  </si>
  <si>
    <t>A man starts talking to the camera in close up angle and then takes a bite of a sandwich.</t>
  </si>
  <si>
    <t>A grop of sandwich making materials is shown.</t>
  </si>
  <si>
    <t>An eggs is boiled in a pan, and then the eggs are run under cold water.</t>
  </si>
  <si>
    <t>Celery is chopped into bits along with other vegetables and then the eggs are mixed with this and a finished sandwich is shown.</t>
  </si>
  <si>
    <t>v_CHkT4As5jZI</t>
  </si>
  <si>
    <t>A bartender talks about how to make a proper cocktail.</t>
  </si>
  <si>
    <t>He grabs a glass and puts ice in the glass.</t>
  </si>
  <si>
    <t>He then mixes vodka and soda together in the glass.</t>
  </si>
  <si>
    <t>He grabs a lemon and puts it in the glass to finish.</t>
  </si>
  <si>
    <t>v_O337_rGYZPc</t>
  </si>
  <si>
    <t>A close up of various objects in shown in a circle of dirt and leads into a person holding a bag.</t>
  </si>
  <si>
    <t>The person then opens the bag and points to the objects in dirt and lights a match.</t>
  </si>
  <si>
    <t>The objects catch fire and the camera zooms in on the objects burning.</t>
  </si>
  <si>
    <t>v_NnLjEbG31ZE</t>
  </si>
  <si>
    <t>A group of friends ride inter tubes through small rapids in a tropical jungle.</t>
  </si>
  <si>
    <t>The group goes past large boulders popping up out of the water.</t>
  </si>
  <si>
    <t>v_QRLye5j54ic</t>
  </si>
  <si>
    <t>A boy is standing in the tall grass of a field.</t>
  </si>
  <si>
    <t>He is holding onto a kite in the air.</t>
  </si>
  <si>
    <t>He leans way back, being drug by the force of the wind.</t>
  </si>
  <si>
    <t>v_y-OZ45FQZ0g</t>
  </si>
  <si>
    <t>A man is sitting on the couch wearing jeans a shirt, and he's holding a guitar on his lap, strumming with his right hand and tapping the upper strings with his left hand.</t>
  </si>
  <si>
    <t>The man slows down and stops strumming and tapping on his guitar.</t>
  </si>
  <si>
    <t>A colorful screen appears and it displays a cartoon picture of a Pokemon standing outdoors near a tree while it's snowing, and red words read "Pokemon-Pallet-Town".</t>
  </si>
  <si>
    <t>v_ZBG-KhSyVgQ</t>
  </si>
  <si>
    <t>People are standing on the backs of horses.</t>
  </si>
  <si>
    <t>Three girls are talking to a camera.</t>
  </si>
  <si>
    <t>The horses are walking across a dirt road.</t>
  </si>
  <si>
    <t>v_Io1OF2OkTWY</t>
  </si>
  <si>
    <t>A man is seen speaking to the camera while holding onto a dog in a plane.</t>
  </si>
  <si>
    <t>Several clips are shown of the man in a plane with the dog as well as underwater.</t>
  </si>
  <si>
    <t>The man performs several activities with his dog in hand while a woman speaks to the camera.</t>
  </si>
  <si>
    <t>v_wdb4-V33wIo</t>
  </si>
  <si>
    <t>A camera pans around a snowy roof and leads into a man pushing snow off of a roof and onto the ground below.</t>
  </si>
  <si>
    <t>The man continues speaking to the camera while pushing off snow and leading into an empty roof.</t>
  </si>
  <si>
    <t>Another man is seen shoveling off snow and ends with pictures of the men working.</t>
  </si>
  <si>
    <t>v_8Uyi1KXdS50</t>
  </si>
  <si>
    <t>An elderly woman is seated in a chair.</t>
  </si>
  <si>
    <t>She is knitting with red yarn.</t>
  </si>
  <si>
    <t>She talks to the person with the camera as she knits.</t>
  </si>
  <si>
    <t>v_98wL6zakU9o</t>
  </si>
  <si>
    <t>A person is seen pushing a sander along a ski and leads into another person tightening down a ski and spraying wax along the top.</t>
  </si>
  <si>
    <t>The person wipes it down and then uses a bar of wax on the sander along the ski.</t>
  </si>
  <si>
    <t>v_TkNCytAQ5cw</t>
  </si>
  <si>
    <t>A woman is hosting a news segment that leads into clips of people working on the streets and protesting.</t>
  </si>
  <si>
    <t>Several women are interviewed by the camera and shows more clips of people working and protesting.</t>
  </si>
  <si>
    <t>v_frWLB7ZxMNI</t>
  </si>
  <si>
    <t>We see a man shooting pool on a blue table.</t>
  </si>
  <si>
    <t>The man finishes and smiles as his friend claps his hands.</t>
  </si>
  <si>
    <t>v_xJNqBSJ7rqU</t>
  </si>
  <si>
    <t>A senior picture of a female is shown and then a screen flashes indicating that her highlights are about to be shown.</t>
  </si>
  <si>
    <t>Several videos of her are then shown running up against girls from other teams defending her territory and stripping the ball from the other opponents.</t>
  </si>
  <si>
    <t>v__vbwjI1QA7g</t>
  </si>
  <si>
    <t>man is standing in a room with dart game haging on the wall.</t>
  </si>
  <si>
    <t>he took one of the dart from the board and keeps talking, approaches to the camera and shows the sharp dart.</t>
  </si>
  <si>
    <t>he throw the dart to the board and lean on the wall.</t>
  </si>
  <si>
    <t>man open his arms and swings side to side, kneel on the floor.</t>
  </si>
  <si>
    <t>he take other dart into the board and with the head down starts yelling at the camera.</t>
  </si>
  <si>
    <t>v_V-6nF6U6rfI</t>
  </si>
  <si>
    <t>A gymnast is seen standing ready and holding her arms up that lead into her climbing on a beam and performing a gymnastics routine on the beam.</t>
  </si>
  <si>
    <t>The girl performs several jumps and tricks that ends with her jumping into a mat and holding her arms up.</t>
  </si>
  <si>
    <t>v_8kC5L_Iu3KY</t>
  </si>
  <si>
    <t>A person is seen sitting behind a set of drums playing them consistently.</t>
  </si>
  <si>
    <t>She continues to play the drums while the camera zooms in on her hands.</t>
  </si>
  <si>
    <t>v_08ItAtlb60Q</t>
  </si>
  <si>
    <t>There are many trophies on display that you can win for doing a good job.</t>
  </si>
  <si>
    <t>Men on their bikes are waiting to start a race .</t>
  </si>
  <si>
    <t>Two men hit their knuckles together before the race begins.</t>
  </si>
  <si>
    <t>The audience is cheering and the riders are off going super fast trying to win.</t>
  </si>
  <si>
    <t>v_9PGFsuE3Ye0</t>
  </si>
  <si>
    <t>A man is seen doing karate in front of another with a knife and leads into a shot of a man bowling and text across his face.</t>
  </si>
  <si>
    <t>The man celebrates as people watch and clipart is shown as well as more shots of the man celebrating and bowling.</t>
  </si>
  <si>
    <t>The man holds a trophy in the end and screams to the camera and the audience.</t>
  </si>
  <si>
    <t>The camera then zooms in on a photo on a poster.</t>
  </si>
  <si>
    <t>v_H9FxfosWRTE</t>
  </si>
  <si>
    <t>A woman is seen kneeling down before a large weight and speaking to the camera continuously.</t>
  </si>
  <si>
    <t>She moves her body around the weight and pointing around to demonstrate how to properly hold the weight.</t>
  </si>
  <si>
    <t>v_qcV3JtJDoV8</t>
  </si>
  <si>
    <t>They pass a group of people snowboarding.</t>
  </si>
  <si>
    <t>They get to the bottom of the hill and stop in front of a small building.</t>
  </si>
  <si>
    <t>v_AyWXuUCDSjw</t>
  </si>
  <si>
    <t>We see 5 men walking down the street sides by side.</t>
  </si>
  <si>
    <t>A man looks at the men.</t>
  </si>
  <si>
    <t>A lady looks at the men.</t>
  </si>
  <si>
    <t>Two men turn and look at each other.</t>
  </si>
  <si>
    <t>One man buys drinks as everyone stares at them.</t>
  </si>
  <si>
    <t>The five men drink their beers in one gulp.</t>
  </si>
  <si>
    <t>The men leave the bar drunk.</t>
  </si>
  <si>
    <t>We see a gray closing screen.</t>
  </si>
  <si>
    <t>v_7LhKz7863kg</t>
  </si>
  <si>
    <t>woman wearing black clothes is laying down in the floor doing abs.</t>
  </si>
  <si>
    <t>woman doing abs in the floor have her fet tied to elastics.</t>
  </si>
  <si>
    <t>woman is doing exercise in a roofed gym.</t>
  </si>
  <si>
    <t>v_AvjExlAl18I</t>
  </si>
  <si>
    <t>A man is seen performing a dance routine on a stage while an orchestra plays behind him.</t>
  </si>
  <si>
    <t>A woman then steps in and dances with the man while spinning his hat around and twirling on the stage.</t>
  </si>
  <si>
    <t>The two end by making a funny gesture and then walk off the stage to the side.</t>
  </si>
  <si>
    <t>v_W0M9tXQV3Xg</t>
  </si>
  <si>
    <t>A man is talking in next to several exercise bikes.</t>
  </si>
  <si>
    <t>He starts working out on one of the bikes.</t>
  </si>
  <si>
    <t>People are working out in the dark.</t>
  </si>
  <si>
    <t>v_rdZ0TZcP0NU</t>
  </si>
  <si>
    <t>A group of people play polo on horses on a grass covered, fenced in field surrounded by onlookers and spectators.</t>
  </si>
  <si>
    <t>A man on a horse walks down the center of a line of people on a horse while holding a long mallet pole.</t>
  </si>
  <si>
    <t>A group of spectators standing and sitting on the grass look on from the side of the field.</t>
  </si>
  <si>
    <t>The game of polo begins and the people on the horses begin to swing their mallet poles across the ground.</t>
  </si>
  <si>
    <t>v_HvzJ-RJOF9Q</t>
  </si>
  <si>
    <t>A man is seen speaking to the camera while moving his arms around and others swim in a pool behind him.</t>
  </si>
  <si>
    <t>The man continues speaking to the camera and a person jumps off the diving board behind him.</t>
  </si>
  <si>
    <t>v_fg_R9Vrr1KI</t>
  </si>
  <si>
    <t>A gymnast mounts a high beam in a gym.</t>
  </si>
  <si>
    <t>He flips and does several springs.</t>
  </si>
  <si>
    <t>He then dismounts, throwing his arms up as he does so.</t>
  </si>
  <si>
    <t>v_7-uMJ_5WsZM</t>
  </si>
  <si>
    <t>A large orange machine is shown moving down a road with a claw like arm and razor cutting down the grass.</t>
  </si>
  <si>
    <t>The cutting continues and the machine is being operated in different areas such as highways.</t>
  </si>
  <si>
    <t>v_pHU2Ie4VQBg</t>
  </si>
  <si>
    <t>A girl is seen performing a belly dancing routine on a small stage.</t>
  </si>
  <si>
    <t>She continues dancing and performing around the stage and finishes her dance with a posing, bowing, and walking off.</t>
  </si>
  <si>
    <t>v_e9l3PzP4uGQ</t>
  </si>
  <si>
    <t>Various clip are shown of ingredients being laid out in bowls followed by a person mixing them all together.</t>
  </si>
  <si>
    <t>The person rolls them into balls and sets them on a plate, finally sticking them into the oven.</t>
  </si>
  <si>
    <t>She then pulls out the made cookies and gives the camera a thumbs up.</t>
  </si>
  <si>
    <t>v_tQ9yPS_BJHQ</t>
  </si>
  <si>
    <t>People are driving bumper cars and crashing into each other.</t>
  </si>
  <si>
    <t>A green car crashes into a gold car.</t>
  </si>
  <si>
    <t>A blue car crashes into a gold car.</t>
  </si>
  <si>
    <t>v_3UgGvKnelfY</t>
  </si>
  <si>
    <t>A camera pans around a large warehouse and shows clips of materials being made and men working.</t>
  </si>
  <si>
    <t>Machinery is shown pushing materials along while people watch on the sides.</t>
  </si>
  <si>
    <t>More products for homes are being pushed out and a machinery is shown carrying them away.</t>
  </si>
  <si>
    <t>v_airowj9k5ro</t>
  </si>
  <si>
    <t>A close up of a slide is seen followed by an adult and a young child riding down the slide.</t>
  </si>
  <si>
    <t>The woman laughs with the baby and picks her up at the bottom.</t>
  </si>
  <si>
    <t>v_5ZmZr2bguy0</t>
  </si>
  <si>
    <t>A woman is seen standing in a large circle and bending herself forward.</t>
  </si>
  <si>
    <t>The woman then spins herself around and throws an object off into the distance.</t>
  </si>
  <si>
    <t>The woman does this several times afterwards.</t>
  </si>
  <si>
    <t>v_piKE8obU4JY</t>
  </si>
  <si>
    <t>A drum line gets in formation at an outdoor event.</t>
  </si>
  <si>
    <t>They begin their routine, each section moving in their own set way before coming together and spreading out again.</t>
  </si>
  <si>
    <t>They form into two rows and finish the song.</t>
  </si>
  <si>
    <t>v_-kuXhOsHAc4</t>
  </si>
  <si>
    <t>A person walks up stairs into a room and sees beer poured from a keg and people talking.</t>
  </si>
  <si>
    <t>People stand and play beer pong while others watch.</t>
  </si>
  <si>
    <t>A man tries to blow a ball out of a cup.</t>
  </si>
  <si>
    <t>A man hits the ball away from the cup.</t>
  </si>
  <si>
    <t>The left team jumps and cheers.</t>
  </si>
  <si>
    <t>We see peoples faces up close and plates of food on a table.</t>
  </si>
  <si>
    <t>We see a lighted sign and end.</t>
  </si>
  <si>
    <t>v_mXbrIyhXbQo</t>
  </si>
  <si>
    <t>A man is seen standing around a neighborhood on a pair of stilts.</t>
  </si>
  <si>
    <t>The man walks up the street and turns towards the back.</t>
  </si>
  <si>
    <t>He then begins jumping down the road and looking back to the camera.</t>
  </si>
  <si>
    <t>v_M_Jib8gkQpg</t>
  </si>
  <si>
    <t>A man jumps of a diving board backwards into a swimming pool.</t>
  </si>
  <si>
    <t>There is a big splash and the man surfaces smiling.</t>
  </si>
  <si>
    <t>v_2rA5pyel_NE</t>
  </si>
  <si>
    <t>Children bring desert out for their family member.</t>
  </si>
  <si>
    <t>The family enjoys eating the desert together.</t>
  </si>
  <si>
    <t>The people in the restaurant laugh at the man and he wonders what they are doing.</t>
  </si>
  <si>
    <t>The man gets up and walks away to the other room.</t>
  </si>
  <si>
    <t>v_w28ML-KpYdI</t>
  </si>
  <si>
    <t>a man is standing in his back yard.</t>
  </si>
  <si>
    <t>He is laughing as he paits the side of a shed.</t>
  </si>
  <si>
    <t>He uses a sprayer to apply the red paint.</t>
  </si>
  <si>
    <t>v_Ww2_b9f6Kh0</t>
  </si>
  <si>
    <t>We see a man on a diving board high in the air.</t>
  </si>
  <si>
    <t>The man does a handstand and fall from the handstand into the water.</t>
  </si>
  <si>
    <t>The next man simply runs and dives while flipping into the water.</t>
  </si>
  <si>
    <t>The final man does a more traditional dive.</t>
  </si>
  <si>
    <t>v_c-X500da7JU</t>
  </si>
  <si>
    <t>A person shows how to warp a gift like a professional and do fancy ornaments and ribbons on gifts.</t>
  </si>
  <si>
    <t>The woman arrange a gift basket and shows a pile of nice gifts.</t>
  </si>
  <si>
    <t>Then, the woman wraps gifts with different shapes and ornaments.</t>
  </si>
  <si>
    <t>v_c81l0bAPiFo</t>
  </si>
  <si>
    <t>A lady kneels in a canoe as she rows on a lake.</t>
  </si>
  <si>
    <t>A lady attempts to stand on one foot in the boat and falls into the lake.</t>
  </si>
  <si>
    <t>A lady has one foot in the water and one in the boat and she starts doing push-ups on the boat.</t>
  </si>
  <si>
    <t>The lady finishes and shows her muscle to the camera.</t>
  </si>
  <si>
    <t>We see an emblem on the screen.</t>
  </si>
  <si>
    <t>v_OhPSVjVQZ8o</t>
  </si>
  <si>
    <t>A young child wearing a helmet is climbing on monkey bars on a playground with a small boy underneath her.</t>
  </si>
  <si>
    <t>A person riding a bike goes around the young girl and she climbs until the last bar.</t>
  </si>
  <si>
    <t>v_w6ofRgXA0xc</t>
  </si>
  <si>
    <t>A man in red short is pouring a bottle onto some wood.</t>
  </si>
  <si>
    <t>The man throws some paper on top of the wood.</t>
  </si>
  <si>
    <t>The man throws matches at the pile of wood.</t>
  </si>
  <si>
    <t>A fire begins to burn.</t>
  </si>
  <si>
    <t>v_BEA4YVQv7Wk</t>
  </si>
  <si>
    <t>A camera pans around a large indoor pool and shows a man jumping off a diving board into the water.</t>
  </si>
  <si>
    <t>Several people are shown warming up and followed up by many jumping into the pool.</t>
  </si>
  <si>
    <t>A man instructs them on how to properly land in the water followed by several people jumping one at a time into the pool, including the camera man.</t>
  </si>
  <si>
    <t>v_YbD0P8dH6Oc</t>
  </si>
  <si>
    <t>Two sumos prepares to wrestle in a ring while a judge stands in middle of them.</t>
  </si>
  <si>
    <t>Then the sumos wrestle, and the thin sumo throws the fat sumo to the floor.</t>
  </si>
  <si>
    <t>After, the fat sumo stands up and left the ring.</t>
  </si>
  <si>
    <t>The crow applaud, then men broom the ring.</t>
  </si>
  <si>
    <t>v_JxBFSll-mDE</t>
  </si>
  <si>
    <t>A man is seen speaking to the camera holding a hockey stick and leads into him instructing other players.</t>
  </si>
  <si>
    <t>The man continue playing around one another while the man yells to them and the others continue playing.</t>
  </si>
  <si>
    <t>v_V6lFpCjRKC8</t>
  </si>
  <si>
    <t>A small group of men are seen standing around a court with many people sitting and watching on the sides.</t>
  </si>
  <si>
    <t>A person runs down with a pole vault and throws it off into the distance while the same clip is shown again in slow motion and another goes after.</t>
  </si>
  <si>
    <t>v_9FAPy8NVDgY</t>
  </si>
  <si>
    <t>The video begins with an introduction to Recipes in Motion about quick spaghetti sauce.</t>
  </si>
  <si>
    <t>The video transitions into showing a ladle pouring the sauce onto noodles.</t>
  </si>
  <si>
    <t>Someone begins to cut various vegetable with a knife, this includes a green vegetable and onions.</t>
  </si>
  <si>
    <t>Next an empty metallic pan is shown as someone pours oil and the vegetables into it.</t>
  </si>
  <si>
    <t>They then begin stirring the vegetables with the oil.</t>
  </si>
  <si>
    <t>After this what other ingredients are added include tomatoes, spices and some type of liquid.</t>
  </si>
  <si>
    <t>Everything is being stirred together.</t>
  </si>
  <si>
    <t>The pan is removed and the stirred ingredients are blended.</t>
  </si>
  <si>
    <t>The blended ingredients are put back onto the man and a red substance from a can is poured onto the pan and mixed in.</t>
  </si>
  <si>
    <t>The sauce is completed and poured onto the noodles.</t>
  </si>
  <si>
    <t>The video ends with with an orange background with information on where to watch more videos.</t>
  </si>
  <si>
    <t>v_ngE2y5ExVqw</t>
  </si>
  <si>
    <t>A teenager boy hits a Sponge Bob piñata covered his eyes with a cloth while woman takes pictures.</t>
  </si>
  <si>
    <t>A boy hits the piñata until it falls while the boy cover his eyes with a blue cloth.</t>
  </si>
  <si>
    <t>A man rubs his face with his hand and then he sticks his tong out.</t>
  </si>
  <si>
    <t>v_hSnTYQ9osIg</t>
  </si>
  <si>
    <t>Two people are outside in ball dancing in a plaza as a group of people surround them and watch.</t>
  </si>
  <si>
    <t>People come and go to watch the two people dance and then they finally stop dancing,bow and grabs a cloth to wash their face.</t>
  </si>
  <si>
    <t>v_3C4Nry679BA</t>
  </si>
  <si>
    <t>A woman places vegetable leaves in a bow.</t>
  </si>
  <si>
    <t>The camera pans right to show a man standing beside the woman.</t>
  </si>
  <si>
    <t>The man slices a cucumber on a plate.</t>
  </si>
  <si>
    <t>v_2X4-yp_EFVE</t>
  </si>
  <si>
    <t>Two men are seen leading over the hood of the car while grabbing onto each other's hands.</t>
  </si>
  <si>
    <t>They then begin a game of arm wrestling and ends with one man winning and both looking at the camera and one holding his wrist.</t>
  </si>
  <si>
    <t>v_fc3yCFrmkCU</t>
  </si>
  <si>
    <t>Video title or label are shown.</t>
  </si>
  <si>
    <t>A guy gestures the peace sign.</t>
  </si>
  <si>
    <t>A guy is snow board down a slope.</t>
  </si>
  <si>
    <t>A group in a row wave goodbye.</t>
  </si>
  <si>
    <t>v_Z57GknpXOBg</t>
  </si>
  <si>
    <t>A man is getting ready to waterboard, there's a boat waiting for him to his right, and the white words on the right bottom corner say "Spray Lake Watersports &amp; Activity Centre".</t>
  </si>
  <si>
    <t>The man goes in the water and as he's holding onto the bar connected to the rope and the boat, he is quickly waterboarding on the lake, sometimes using both hands to hold onto the bar and sometimes alternating hands.</t>
  </si>
  <si>
    <t>The man lets go of the bar and begins to slow towards a dock.</t>
  </si>
  <si>
    <t>A pair of hands are now holding a waterboard that has black and silver pair of shoes attached to it.</t>
  </si>
  <si>
    <t>A person is briefly shown waterboarding and the view goes to bubbling underwater.</t>
  </si>
  <si>
    <t>v_MfFM_a26bR8</t>
  </si>
  <si>
    <t>A person is seen riding around on the horse in a closed in area.</t>
  </si>
  <si>
    <t>The camera continues to follow him riding around the area galloping around.</t>
  </si>
  <si>
    <t>v_s_gb6Xi_J5g</t>
  </si>
  <si>
    <t>The little girl is on top of the monkey bar.</t>
  </si>
  <si>
    <t>A little kid in colorful shirt is crossing the monkey bar.</t>
  </si>
  <si>
    <t>The little girl fell from monkey bar and went back to the monkey bar.</t>
  </si>
  <si>
    <t>v_uiG7A8lEdEg</t>
  </si>
  <si>
    <t>Players are playing lacrosse outdoors in front of an audience.</t>
  </si>
  <si>
    <t>A player is laying on the field.</t>
  </si>
  <si>
    <t>The player hits the ball into the goal.</t>
  </si>
  <si>
    <t>The audience and teammates celebrate the goal, and teammates pat each other on the shoulder.</t>
  </si>
  <si>
    <t>A guy removes his helmet.</t>
  </si>
  <si>
    <t>v_-eCMRApm6n4</t>
  </si>
  <si>
    <t>A girl shows how to make lemonade.</t>
  </si>
  <si>
    <t>She then rakes in the cash her parents helped her.</t>
  </si>
  <si>
    <t>v_TrhOt1WyU7Y</t>
  </si>
  <si>
    <t>A camera pans to a kite flying around in the sky as well as people in a field.</t>
  </si>
  <si>
    <t>A man is seen off to the site controlling the kite with his hands.</t>
  </si>
  <si>
    <t>He continues flying the object around the sky with the camera following.</t>
  </si>
  <si>
    <t>v_d-sWAcDYsbc</t>
  </si>
  <si>
    <t>A young man sits down on a chair in front of a drum set.</t>
  </si>
  <si>
    <t>He begins playing the drums, which are located inside of a living room.</t>
  </si>
  <si>
    <t>The playing continues until he puts down the drum sticks and looks at the camera with a shocked look.</t>
  </si>
  <si>
    <t>The video ends with the man getting up to turn off the camera.</t>
  </si>
  <si>
    <t>v_cdO-xmdjM7Q</t>
  </si>
  <si>
    <t>A group of people walk holding inflatable boats and arrive to a lake, then the people sail in the lake.</t>
  </si>
  <si>
    <t>After, the people take the boats to sail on a narrow choppy river.</t>
  </si>
  <si>
    <t>The rafters arrive to a cascade and the boats fold when descend the cascade, then they continue rafting in the river.</t>
  </si>
  <si>
    <t>v_zlAwW2Pxc1A</t>
  </si>
  <si>
    <t>A man is standing on a ladder.</t>
  </si>
  <si>
    <t>He is hanging wall paper onto a wall in front of him.</t>
  </si>
  <si>
    <t>He uses a tool to smooth out the wall paper once it's on the wall.</t>
  </si>
  <si>
    <t>v_MSiXlMKPGKs</t>
  </si>
  <si>
    <t>Various shots of people standing together and moving around ice are shown as well as people playing shuffle board and yelling to one another.</t>
  </si>
  <si>
    <t>Several people are interviewed on the camera that intervenes with shots of shuffleboard and people rubbing their necks and speaking to one another.</t>
  </si>
  <si>
    <t>v_3W92sMbvoaE</t>
  </si>
  <si>
    <t>A woman is riding an intertube down a snowy hill.</t>
  </si>
  <si>
    <t>She spins as she goes down, running into another person.</t>
  </si>
  <si>
    <t>She is knocked out of her intertube.</t>
  </si>
  <si>
    <t>v_68oJj9QktGg</t>
  </si>
  <si>
    <t>Several shots are shown of bulls running into people in busy streets and people becoming hurt by the bulls.</t>
  </si>
  <si>
    <t>Many more shots are shown of bulls hurting people in various locations while others try to help them on the side.</t>
  </si>
  <si>
    <t>v_Sb2SPX38lyQ</t>
  </si>
  <si>
    <t>A dark sky with a moon and cloud is shown in between trail so dirt.</t>
  </si>
  <si>
    <t>After,A man wearing a hat is shown walking down the trail and several dirt bikers racing are shown.</t>
  </si>
  <si>
    <t>The man then puts on a helmet,the bar is let down and he begins jumping over a hill.</t>
  </si>
  <si>
    <t>As the video continues,you are following the man racing through the trail and doing tricks and riding at side angles to ensure that the tricks are landed and he doesn't fall off.</t>
  </si>
  <si>
    <t>The man then reappears and the reflection of racing is shown in his eye before he walks off.</t>
  </si>
  <si>
    <t>v_ZvVnXvKlKbQ</t>
  </si>
  <si>
    <t>Bowling pins are getting hit with bowling ball.</t>
  </si>
  <si>
    <t>A crowd cheers sitting behind the bowling alley.</t>
  </si>
  <si>
    <t>A man kisses a trophy in his hands.</t>
  </si>
  <si>
    <t>v_wmmOt79-Azo</t>
  </si>
  <si>
    <t>People are standing in a room playing tennis.</t>
  </si>
  <si>
    <t>A woman picks up a ball that falls onto the ground.</t>
  </si>
  <si>
    <t>The girl walks up to the net.</t>
  </si>
  <si>
    <t>v_LFOlEafI35c</t>
  </si>
  <si>
    <t>Two young men arm wrestle in a kitchen using a standing cat chair as an table.</t>
  </si>
  <si>
    <t>A young man in a white tank top places his elbow on a elevated cat chair along with another young man in a black shirt.</t>
  </si>
  <si>
    <t>The two young men begin to arm wrestle.</t>
  </si>
  <si>
    <t>The man in the black shirt wins the arm wrestling match at which point the man in the white tank top backs away and stands in front of a refrigerator next to a girl drinking a canned beverage.</t>
  </si>
  <si>
    <t>v_EPql2nTJb9I</t>
  </si>
  <si>
    <t>A man and woman are standing an a kitchen.</t>
  </si>
  <si>
    <t>The woman is chopping up various vegetables on a white tray.</t>
  </si>
  <si>
    <t>v_-fjUWhSM6Hc</t>
  </si>
  <si>
    <t>A huge crowd is in the stands in an arena.</t>
  </si>
  <si>
    <t>A man throws a javelin.</t>
  </si>
  <si>
    <t>Photographers take pictures in the background.</t>
  </si>
  <si>
    <t>Several men run to where the javelin lands.</t>
  </si>
  <si>
    <t>The man that threw the javelin celebrates.</t>
  </si>
  <si>
    <t>Another man throws a javelin.</t>
  </si>
  <si>
    <t>People walk all around doing different things.</t>
  </si>
  <si>
    <t>Several men run out to where the javelin lands again.</t>
  </si>
  <si>
    <t>The second man to throw the javelin and a man in the stands celebrate.</t>
  </si>
  <si>
    <t>A third man throws a javelin so hard that he falls.</t>
  </si>
  <si>
    <t>The same men run to the the javelin's landing spot.</t>
  </si>
  <si>
    <t>The third man walks away looking disappointed.</t>
  </si>
  <si>
    <t>A fourth man throws a javelin.</t>
  </si>
  <si>
    <t>Again, the men run to where the javelin lands.</t>
  </si>
  <si>
    <t>The fourth man looks disappointed looking for his jacket.</t>
  </si>
  <si>
    <t>The first man to throw a javelin runs around celebrating and hugs another man.</t>
  </si>
  <si>
    <t>A man puts a gold medal around the neck of the first javelin thrower and shakes his hand.</t>
  </si>
  <si>
    <t>He puts a silver medal on the second thrower.</t>
  </si>
  <si>
    <t>He puts a bronze medal on the third thrower.</t>
  </si>
  <si>
    <t>All of the men shake hands.</t>
  </si>
  <si>
    <t>The gold medal winner talks to a news person.</t>
  </si>
  <si>
    <t>The silver medalist talks to a news person.</t>
  </si>
  <si>
    <t>v_d44RiNHK6KA</t>
  </si>
  <si>
    <t>Two people are working out on exercise bikes.</t>
  </si>
  <si>
    <t>The one wearing a blue wig puts their hands in the air.</t>
  </si>
  <si>
    <t>People are in front of them also on exercise bikes.</t>
  </si>
  <si>
    <t>v_1d6FGbM4FRM</t>
  </si>
  <si>
    <t>One person covers the floor with tiles.</t>
  </si>
  <si>
    <t>Then, another man come and help cover the floor with tiles.</t>
  </si>
  <si>
    <t>v_2ErgL7-MXHw</t>
  </si>
  <si>
    <t>Two men stands on front a tall hedge holding trimmers.</t>
  </si>
  <si>
    <t>The men cuts the top of the hedge.</t>
  </si>
  <si>
    <t>Leaves falls from the top of the hedge.</t>
  </si>
  <si>
    <t>v_jXZ6WVxXgLA</t>
  </si>
  <si>
    <t>A man is using a large broom in a parking lot.</t>
  </si>
  <si>
    <t>He spins the broom in circles around him.</t>
  </si>
  <si>
    <t>The spinning brushes the piles of leaves out of the parking lot.</t>
  </si>
  <si>
    <t>v_bFRqNqyVznA</t>
  </si>
  <si>
    <t>A woman is seen speaking to the camera while holding a rag and cleaner and leads into her spraying down the gloves and moving them along a piano.</t>
  </si>
  <si>
    <t>The woman continues wiping all around the piano and ends by speaking to the camera.</t>
  </si>
  <si>
    <t>v_p2P5g7HTJeY</t>
  </si>
  <si>
    <t>People are running around on a field playing a game of lacrosse.</t>
  </si>
  <si>
    <t>A man in white shorts sits down in front of the camera.</t>
  </si>
  <si>
    <t>A man knocks over one of his team mates.</t>
  </si>
  <si>
    <t>Two men almost crash into the camera.</t>
  </si>
  <si>
    <t>A group of players fight over the ball.</t>
  </si>
  <si>
    <t>A man hits the ball far across the field.</t>
  </si>
  <si>
    <t>The screen fades to green.</t>
  </si>
  <si>
    <t>v_-KWToNMY1Lc</t>
  </si>
  <si>
    <t>A man is seated on a horse and holding a lasso while assistants stand by and an audience watches.</t>
  </si>
  <si>
    <t>A cow is released and the man chases after it.</t>
  </si>
  <si>
    <t>The man lassos and ties it up.</t>
  </si>
  <si>
    <t>A man briefly enters the camera frame.</t>
  </si>
  <si>
    <t>Another man is seated on a horse and holding a lasso in the same setting.</t>
  </si>
  <si>
    <t>A cow is released and the second man chases after it.</t>
  </si>
  <si>
    <t>The second man lassos and ties it up.</t>
  </si>
  <si>
    <t>Two riders and two assistants enter the frame.</t>
  </si>
  <si>
    <t>v_ZQU0p5OKC04</t>
  </si>
  <si>
    <t>A man bungee jumps from an elevated capsule into a body of water beneath him in a forest like environment.</t>
  </si>
  <si>
    <t>A man in a blue shirt is strapped into a bungee jumping harness.</t>
  </si>
  <si>
    <t>The man is then lifted into the air in a yellow capsule with a guide, high above a body of water.</t>
  </si>
  <si>
    <t>The man then jumps out of the capsule and falls the distance between the capsule and the water and plops into the water.</t>
  </si>
  <si>
    <t>v_niHEMszTMBU</t>
  </si>
  <si>
    <t>A man in a blue shirt is standing in the woods explaining something.</t>
  </si>
  <si>
    <t>He then shows how to set up wood for a fire.</t>
  </si>
  <si>
    <t>The camera goes back to him standing.</t>
  </si>
  <si>
    <t>The camera goes to the fire being started.</t>
  </si>
  <si>
    <t>the camera goes back to him standing.</t>
  </si>
  <si>
    <t>The camera goes back to him building a different kind of campfire.</t>
  </si>
  <si>
    <t>He is standing in the woods again talking.</t>
  </si>
  <si>
    <t>v_PzAjZbCEbLU</t>
  </si>
  <si>
    <t>a video of how to prevent RV roof leaks is shown, there is a roof of an RV and a man cleaning the glue around the leak.</t>
  </si>
  <si>
    <t>man is putting white glue around the leak.</t>
  </si>
  <si>
    <t>v_4fw4nswO748</t>
  </si>
  <si>
    <t>An introduction comes onto the screen for a video about snowboarding.</t>
  </si>
  <si>
    <t>A snowboarder begins to make some commentary about his snowboarding techniques.</t>
  </si>
  <si>
    <t>Several clips of snowboarders are shown performing the technique as he explains.</t>
  </si>
  <si>
    <t>v_FGAlwzRvAHg</t>
  </si>
  <si>
    <t>The screen shows Transworld Snowboarding at Keystone, Colorado.</t>
  </si>
  <si>
    <t>It displays the fundamentals of snowboarding by Jack Mitrani.</t>
  </si>
  <si>
    <t>A person wearing a green hoodie and a hat is talking about the essentials required for snowboarding.</t>
  </si>
  <si>
    <t>He is demonstrating his tutorial with a snowboard placed in front of him.</t>
  </si>
  <si>
    <t>He is holding an iron in his hand as he is explaining how to wax the board.</t>
  </si>
  <si>
    <t>He has a piece of hard wax in his hand and an iron too.</t>
  </si>
  <si>
    <t>He begins melting the wax with the heated iron and drops it on the board.</t>
  </si>
  <si>
    <t>He drops the melted wax all over the board.</t>
  </si>
  <si>
    <t>He then drags the melted wax all through the board.</t>
  </si>
  <si>
    <t>He continues the same process throughout the entire board.</t>
  </si>
  <si>
    <t>Then uses a scraper to scrape the wax off and clean the board.</t>
  </si>
  <si>
    <t>He also uses a brush to brush off the wax and blows the wax shavings off of the board.</t>
  </si>
  <si>
    <t>v_7qeiQKbWpLM</t>
  </si>
  <si>
    <t>A female gymnast goes through her routine as her coach supervises.</t>
  </si>
  <si>
    <t>Graphics appear at the bottom of the screen that gives the girl's name and country she represents.</t>
  </si>
  <si>
    <t>Her coach walks to the uneven bars to position himself in case she falls.</t>
  </si>
  <si>
    <t>The coach walks up to the uneven bars a second time to position himself to catch her if needed and then walks across to the other side of the mats.</t>
  </si>
  <si>
    <t>She gets off the uneven bars and lands on the mat and poses.</t>
  </si>
  <si>
    <t>v_vijDPbwU6vA</t>
  </si>
  <si>
    <t>People are sitting around a campfire.</t>
  </si>
  <si>
    <t>A man in a hat stands up and chops wood.</t>
  </si>
  <si>
    <t>He gives a thumbs up and puts the ax over his shoulder.</t>
  </si>
  <si>
    <t>v_ZKSORB5ygRM</t>
  </si>
  <si>
    <t>A man drives his car to the beach.</t>
  </si>
  <si>
    <t>He gears up for the surf.</t>
  </si>
  <si>
    <t>He then surfs across a large wave.</t>
  </si>
  <si>
    <t>He finishes and stands on the beach.</t>
  </si>
  <si>
    <t>v_h0R04AFnor4</t>
  </si>
  <si>
    <t>A person touches the skin with a green light while cleaning the area.</t>
  </si>
  <si>
    <t>The person clean the leg with cotton.</t>
  </si>
  <si>
    <t>The person continues applying the green light.</t>
  </si>
  <si>
    <t>v_9a6C5rvS56A</t>
  </si>
  <si>
    <t>There are 4 african american children skipping around on the concrete ground.</t>
  </si>
  <si>
    <t>3 are wearing dresses and 1 of them is wearing a shirt and pants.</t>
  </si>
  <si>
    <t>After they're done skipping, they go to pick vegetables on the side of a building and put them into a blue bowl.</t>
  </si>
  <si>
    <t>v_KcgpoXEh44M</t>
  </si>
  <si>
    <t>Two women are in a room standing behind a table and one holds up a teddy bear.</t>
  </si>
  <si>
    <t>The two the help each other,and begin by taking out a roll of wrapping paper.</t>
  </si>
  <si>
    <t>After,the young girl begins to cut,fold, and tape the paper and places the bear inside.</t>
  </si>
  <si>
    <t>Finally,the task is complete and she holds the finished product up on the table.</t>
  </si>
  <si>
    <t>v_UBtVJ-w9O28</t>
  </si>
  <si>
    <t>A group of men are outside standing in a circle hitting sticks as two males begin fighting.</t>
  </si>
  <si>
    <t>Next,two more men begin dancing around the circle making fighting movements.</t>
  </si>
  <si>
    <t>After,the men come into the circle in pairs and begin to dance around each other as if they are fighting each other.</t>
  </si>
  <si>
    <t>v_3jb0w48ACkU</t>
  </si>
  <si>
    <t>A girl video records a man throwing lighting the end of a stick on fire.</t>
  </si>
  <si>
    <t>The man blows the stick of fire into a pile of wood and eventually creates a fire.</t>
  </si>
  <si>
    <t>v_bL0bXUG2QWI</t>
  </si>
  <si>
    <t>Two men are standing on a gym.</t>
  </si>
  <si>
    <t>A man gets on his knees and lifts two weights.</t>
  </si>
  <si>
    <t>A man stands behind him and talks.</t>
  </si>
  <si>
    <t>The man stands up and kneels back down several times.</t>
  </si>
  <si>
    <t>v_hEabp9fbqtw</t>
  </si>
  <si>
    <t>A man is wearing white in front of a building.</t>
  </si>
  <si>
    <t>He is doing several martial arts moves.</t>
  </si>
  <si>
    <t>He moves very slowly as he demonstrates the moves.</t>
  </si>
  <si>
    <t>v_iksziMLKsBQ</t>
  </si>
  <si>
    <t>We see a black intro screen.</t>
  </si>
  <si>
    <t>We see princess Diana and a man playing pool.</t>
  </si>
  <si>
    <t>Photographers stand up at the end of her table.</t>
  </si>
  <si>
    <t>The princess and her people exit the room.</t>
  </si>
  <si>
    <t>We go back to the black screen.</t>
  </si>
  <si>
    <t>v_18qVzfQ9VAs</t>
  </si>
  <si>
    <t>A woman is standing while wearing a pair of black boots.</t>
  </si>
  <si>
    <t>Her boots begin to move and kick as she starts dancing.</t>
  </si>
  <si>
    <t>She moves side to side, kicking in and out.</t>
  </si>
  <si>
    <t>The woman is fully shown as she stops dancing and begins to speak to the camera.</t>
  </si>
  <si>
    <t>v_ZIvekQVbCZ4</t>
  </si>
  <si>
    <t>A man is jumping rope in a room.</t>
  </si>
  <si>
    <t>A man behind him is stretching.</t>
  </si>
  <si>
    <t>A man behind him starts doing push ups.</t>
  </si>
  <si>
    <t>v_zahB34blHyk</t>
  </si>
  <si>
    <t>There is a man wearing a blue hazmat suit spray painting a tall fence.</t>
  </si>
  <si>
    <t>He is using a spray paint hose to paint the wooden fence.</t>
  </si>
  <si>
    <t>He moves the hose back and forth to ensure he covers the entire surface area of the fence.</t>
  </si>
  <si>
    <t>v_d-NsZZkxTa0</t>
  </si>
  <si>
    <t>A little girl is running around with a stick pushing and object, playing and having a lot of fun.</t>
  </si>
  <si>
    <t>The little girl goes forward playing for around 10 meters and then she goes back running.</t>
  </si>
  <si>
    <t>She touches a red plate and positions it and then runs again to the other side.</t>
  </si>
  <si>
    <t>v_2L9pp85KvbQ</t>
  </si>
  <si>
    <t>A man has a hookah in his mouth and he is inhaling smoke for a while.</t>
  </si>
  <si>
    <t>He takes the hookah out of his mouth and exhales letting out a bunch of smoke.</t>
  </si>
  <si>
    <t>I think he is trying to make O's with the smoke but he doesn't know how.</t>
  </si>
  <si>
    <t>He keeps inhaling and continues to try blowing out the smoke.</t>
  </si>
  <si>
    <t>v_71vVRQ4l8OI</t>
  </si>
  <si>
    <t>A gymnist is seen pushing himself up onto a set of uneven bars while several other people watch on the sidelines as well as perform.</t>
  </si>
  <si>
    <t>Several older men man runs into frame to check on the gymnast in back while the man on the bars continues his routine.</t>
  </si>
  <si>
    <t>The athlete does a back flip and finishes his routine while several others run into frame.</t>
  </si>
  <si>
    <t>v_rduaWxRvcw0</t>
  </si>
  <si>
    <t>A woman wearing a head scarf is seated, talking to the camera.</t>
  </si>
  <si>
    <t>She takes rollers out of her hair, one at a time.</t>
  </si>
  <si>
    <t>She then styles her hair and displays it to the camera.</t>
  </si>
  <si>
    <t>v_vEiQlqCy-rI</t>
  </si>
  <si>
    <t>A goalie is shown saving several balls and being interviewed by a reporter.</t>
  </si>
  <si>
    <t>Many shots are shown of boys playing soccer and being interviewed and leads into the coach being interviewed.</t>
  </si>
  <si>
    <t>Many people enjoy watching the game and finish with more players being interviewed.</t>
  </si>
  <si>
    <t>v_yw9W5dZ6T18</t>
  </si>
  <si>
    <t>The man is standing in the kitchen.</t>
  </si>
  <si>
    <t>He grab a tong and a silver, metal bowl with vegetables in it.</t>
  </si>
  <si>
    <t>The ingredients on the counter are in white containers.</t>
  </si>
  <si>
    <t>the chef is holding a small piece of nut.</t>
  </si>
  <si>
    <t>v_44M2Ov9JzUE</t>
  </si>
  <si>
    <t>The camera pans in on a volleyball player while she plays a game with others.</t>
  </si>
  <si>
    <t>The camera pauses every now and then to capture her movements and pans around the other people playing.</t>
  </si>
  <si>
    <t>v_jBnNbI48KjQ</t>
  </si>
  <si>
    <t>A host speaks to the camera with various musicians sitting behind him and leads into several shots of landscapes.</t>
  </si>
  <si>
    <t>The same man speaks to the camera and is shown riding on a surf board with several other surfers.</t>
  </si>
  <si>
    <t>The man is seen once again in the studio and is interviewed by a woman and another man.</t>
  </si>
  <si>
    <t>v_PV8QJ4QJgtY</t>
  </si>
  <si>
    <t>A woman is standing and talking to the camera, as she pointed to the horse next to her.</t>
  </si>
  <si>
    <t>A woman in yellow is sitting on the horse, the horse walked around the ramp.</t>
  </si>
  <si>
    <t>The horse began running in circles as the older woman is watching.</t>
  </si>
  <si>
    <t>v_fhEvf47Jqi8</t>
  </si>
  <si>
    <t>A man is seen speaking to the camera and leads into him holding a set of tools and presenting them to the camera.</t>
  </si>
  <si>
    <t>He then uses the tools on bushes nearby while still looking to the camera to speak.</t>
  </si>
  <si>
    <t>v_5QBRDpzedoI</t>
  </si>
  <si>
    <t>A man is running down a track in slow motion doing several jumps and landing into a pit.</t>
  </si>
  <si>
    <t>The same man is shown several times through various clips in slow motion performing the long jump on a track field.</t>
  </si>
  <si>
    <t>v_7Zd7KlliqQw</t>
  </si>
  <si>
    <t>A man is seen moving around in slow motion while the camera captures him from several angles.</t>
  </si>
  <si>
    <t>A pair of scissors and a comb is then seen close up and leads into a person cutting the man's hair.</t>
  </si>
  <si>
    <t>He finally blow dries the man's hair and is shown once again smiling and laughing to the camera.</t>
  </si>
  <si>
    <t>v_mI7Hwk_AF-M</t>
  </si>
  <si>
    <t>women are in a big green field playing hurling.</t>
  </si>
  <si>
    <t>woman is in a small green court practicing hurling shots.</t>
  </si>
  <si>
    <t>v_MaYV3jnGr6g</t>
  </si>
  <si>
    <t>person is watching her hands with soap in a handwasher, put some solution into the pots, holds an eye contact with the index finger and with the other hands open her eye and put the contact in her eye, grab the other contact and with the other hands open the eye ad put it in the eye.</t>
  </si>
  <si>
    <t>now the person wash her hands and opens the eye and with the fingers grab the contact from the eye and put it into a pot, then she do the same with the other eye, open the eye and grab the contact from the eye and put it in the pot.</t>
  </si>
  <si>
    <t>v_qRT0Z6Sz_Ck</t>
  </si>
  <si>
    <t>A person gets off a plane.</t>
  </si>
  <si>
    <t>A person is rollerblading through a city and hanging out with friends.</t>
  </si>
  <si>
    <t>This happens in many different places, but it basically the same thing.</t>
  </si>
  <si>
    <t>v__xtOX9UCWmU</t>
  </si>
  <si>
    <t>A man is shown against a white background.</t>
  </si>
  <si>
    <t>He is playing a guitar with his hands.</t>
  </si>
  <si>
    <t>The chords and words appear at the bottom of the screen as he plays.</t>
  </si>
  <si>
    <t>v_bzndhMU3izM</t>
  </si>
  <si>
    <t>We we an opening screen for a product.</t>
  </si>
  <si>
    <t>We see a person shoveling their sidewalk.</t>
  </si>
  <si>
    <t>The man reaches the house and turns to finish the other side of the walkway.</t>
  </si>
  <si>
    <t>We see a person spraying an item on their sidewalk.</t>
  </si>
  <si>
    <t>We then see two closing screens.</t>
  </si>
  <si>
    <t>v_MxZtYALqIrE</t>
  </si>
  <si>
    <t>A man is engaged in a pool competition.</t>
  </si>
  <si>
    <t>He shoots the stick at the balls, making them go into the corner pockets.</t>
  </si>
  <si>
    <t>When he wins, he high fives another man.</t>
  </si>
  <si>
    <t>v_G9ZEi6eRhi0</t>
  </si>
  <si>
    <t>There are about five to six young boys bouncing and jumping in an enclosed bouncy house with basketballs in their hands.</t>
  </si>
  <si>
    <t>The coach is guiding them by blowing the whistle as the children continue to bounce and jump.</t>
  </si>
  <si>
    <t>They take turns to throw the orange balls as instructed by their coach.</t>
  </si>
  <si>
    <t>v_N4Z9eYSu2uM</t>
  </si>
  <si>
    <t>People are playing tug of war on a field.</t>
  </si>
  <si>
    <t>People fall into a pile of muddy water.</t>
  </si>
  <si>
    <t>People are standing next to them watching.</t>
  </si>
  <si>
    <t>v_dexjr5WGeqQ</t>
  </si>
  <si>
    <t>The woman shows the square mats and points to the different materials and features.</t>
  </si>
  <si>
    <t>The woman sweeps the floor to prep for a project.</t>
  </si>
  <si>
    <t>The woman uses a chalk line then tape to mark the floor.</t>
  </si>
  <si>
    <t>The woman sets in the square carpet pieces in place to cover the floor.</t>
  </si>
  <si>
    <t>The woman shows the finished floor off.</t>
  </si>
  <si>
    <t>v_PMDpnLURLp8</t>
  </si>
  <si>
    <t>He grabs the long pole and begins to walk with it to the other side of the field.</t>
  </si>
  <si>
    <t>Then he positions himself and does a jump and lands.</t>
  </si>
  <si>
    <t>Everyone else begins to take their turns and start to run and jump also.</t>
  </si>
  <si>
    <t>They practice for a while and do it for a few more times.</t>
  </si>
  <si>
    <t>v_kpnGg2lOBLM</t>
  </si>
  <si>
    <t>A large group of people are seen jumping rope in a gymnasium while moving back and fourth with the camera.</t>
  </si>
  <si>
    <t>A woman stands in front to instruct the group and continue jumping rope and then stopping.</t>
  </si>
  <si>
    <t>The people then do a warm up with one another and stretch with the woman leading in front.</t>
  </si>
  <si>
    <t>v_7V1ZHZRHFrg</t>
  </si>
  <si>
    <t>A treadmill is shown, then a woman, using the treadmill in the living room is shown, she is wearing blue top and black shorts.</t>
  </si>
  <si>
    <t>She adjusted the monitor, then a treadmill adjustments and meters are shown with numbers on it.</t>
  </si>
  <si>
    <t>v_MbCIH5bay4Q</t>
  </si>
  <si>
    <t>A man is seen standing ready outside a track and begins running towards a bar.</t>
  </si>
  <si>
    <t>The man then jumps over the bar and is shown again in slow motion.</t>
  </si>
  <si>
    <t>v_eepvgF5Fi_Q</t>
  </si>
  <si>
    <t>People sit at a black jack table.</t>
  </si>
  <si>
    <t>A man sits behind the table dealing the cards.</t>
  </si>
  <si>
    <t>A man cashes in chips with the dealer.</t>
  </si>
  <si>
    <t>v_XLspZ5bof7o</t>
  </si>
  <si>
    <t>A lady is talking to the camera in a light room.</t>
  </si>
  <si>
    <t>She turns around and grabs a handful of hair.</t>
  </si>
  <si>
    <t>The lady starts braiding her hair adding more hair as she braids.</t>
  </si>
  <si>
    <t>The lady pulls her braid in front of her and adds a hair tie.</t>
  </si>
  <si>
    <t>She pulls her hair to loosen the braid and turns to the camera and smiles.</t>
  </si>
  <si>
    <t>v_Io0_nTofT7w</t>
  </si>
  <si>
    <t>A row of teenaged boys are playing snare drums.</t>
  </si>
  <si>
    <t>A large bass drum and player appear.</t>
  </si>
  <si>
    <t>A girl playing a drum joins in.</t>
  </si>
  <si>
    <t>v_-wWtZjqIH9o</t>
  </si>
  <si>
    <t>A group of children of varying ages slide down a blue slide in a theme park.</t>
  </si>
  <si>
    <t>A group of children appear at the top of high slide.</t>
  </si>
  <si>
    <t>The children then slide down the slide, with one girl's headband coming down over her eyes.</t>
  </si>
  <si>
    <t>The children land and get up and run off.</t>
  </si>
  <si>
    <t>v_zL0L9Faa5CA</t>
  </si>
  <si>
    <t>White text explains the process of knee injury.</t>
  </si>
  <si>
    <t>A man is shown doing athletic acts, including jumping on a mattress, and stretches for his knees before jumping again and again.</t>
  </si>
  <si>
    <t>v_DLJFoRluYx4</t>
  </si>
  <si>
    <t>A man stands in a bathroom in front of a mirror, holding a razor.</t>
  </si>
  <si>
    <t>The man begins speaking to the camera while showing the razor and its various parts.</t>
  </si>
  <si>
    <t>Soon he begins shaving his face while looking in the mirror.</t>
  </si>
  <si>
    <t>Afterward, he resumes speaking to the camera and showing how the razor performed.</t>
  </si>
  <si>
    <t>The man places the razor on a charging stand which shows a light illuminating, and then picks it back up.</t>
  </si>
  <si>
    <t>The video ends with the man touching his face to demonstrate the smooth job.</t>
  </si>
  <si>
    <t>v__5by7Is4JEU</t>
  </si>
  <si>
    <t>Two men demonstrate jump rope stunts, tricks and techniques in an auditorium in front of a group of students.</t>
  </si>
  <si>
    <t>A man in a grey track suit performs jump rope tricks in front of a group of students.</t>
  </si>
  <si>
    <t>The man in the grey track suit finishes and the children clap.</t>
  </si>
  <si>
    <t>A second man walks beside the man and the two men begin to perform more tricks and stunts including backflips and dance moves during the demonstration.</t>
  </si>
  <si>
    <t>v_hTx_y1ils70</t>
  </si>
  <si>
    <t>Two people are seen hosting a news segment speaking to one another and showing several clips on the interior of a gym.</t>
  </si>
  <si>
    <t>The woman then climbs on the treadmill and gives it a try while still speaking to the man.</t>
  </si>
  <si>
    <t>v_y7R4iEhqx9A</t>
  </si>
  <si>
    <t>A woman is seen speaking to the camera holding a beer and leads into her drinking from the glass.</t>
  </si>
  <si>
    <t>She continues drinking the beer while laughing to the camera and nodding in agreement.</t>
  </si>
  <si>
    <t>v_fIG7aXzSyMU</t>
  </si>
  <si>
    <t>A volunteer rakes leaves in a front yard.</t>
  </si>
  <si>
    <t>Volunteers carry and set up yard tools and cleaning products.</t>
  </si>
  <si>
    <t>A group of volunteers rake the leaves together in front of a house.</t>
  </si>
  <si>
    <t>Volunteers all eat together in a cafeteria.</t>
  </si>
  <si>
    <t>A man loads up bags of leaves and drops them off at a collection yard.</t>
  </si>
  <si>
    <t>v_Iwgbi95VjXU</t>
  </si>
  <si>
    <t>A girl in a bathing suit is sitting on the beach.</t>
  </si>
  <si>
    <t>She is putting sand into a cup and building a sand castle.</t>
  </si>
  <si>
    <t>Another girl walks up and talks to her.</t>
  </si>
  <si>
    <t>v_SIKxtWHWybU</t>
  </si>
  <si>
    <t>A man lays down on the floor over a mat.</t>
  </si>
  <si>
    <t>The man holds a weight ovebe his head.</t>
  </si>
  <si>
    <t>The man exercise holding the weight and raising the folded legs until the chest.</t>
  </si>
  <si>
    <t>v_RRFC2NrZSf4</t>
  </si>
  <si>
    <t>A man wearing a black shirt that has white words that say "Plays well with self" is sitting in a home and playing on two different bongos that are different in size, design and color.</t>
  </si>
  <si>
    <t>The man stops hitting the bongos and rests his left hand on the lighter colored bongo.</t>
  </si>
  <si>
    <t>Then the man moves his right leg as if he is going to stand up and the bongo moves without his leg support.</t>
  </si>
  <si>
    <t>v_duGxOdcqg3I</t>
  </si>
  <si>
    <t>Stone cold steve austin in the ring sweating profusely.</t>
  </si>
  <si>
    <t>He looks over at the other wrestler breathing and sweating, they just look at each other for a while.</t>
  </si>
  <si>
    <t>They open beers and bump the together, then they start throwing beers to the audience.</t>
  </si>
  <si>
    <t>Then, austin rolls out of the ring and starts walking to the back.</t>
  </si>
  <si>
    <t>v_VNMj5YKHEsY</t>
  </si>
  <si>
    <t>woman is talking to a man in an icerink skating and holding hockey poles playing pulling the disc.</t>
  </si>
  <si>
    <t>woman is in an hospital talking to a man.</t>
  </si>
  <si>
    <t>man and woman looked the man that have bandage in his head.</t>
  </si>
  <si>
    <t>v_oD45QIOK4z0</t>
  </si>
  <si>
    <t>The players from Brasil scores while people in the bleaches celebrate.</t>
  </si>
  <si>
    <t>A Brazilian player pass the ball to his playmate who scores and runs to celebrate, other Brazilian players scores many times.</t>
  </si>
  <si>
    <t>After, Brasil plays with other teems and scores many times.</t>
  </si>
  <si>
    <t>Then Brasil plays with players from other countries and scores.</t>
  </si>
  <si>
    <t>At the end, Brasil win the competition.</t>
  </si>
  <si>
    <t>v_L4mSCZwXelk</t>
  </si>
  <si>
    <t>People are playing indoor soccer in an arena.</t>
  </si>
  <si>
    <t>People are sitting in the stands watching.</t>
  </si>
  <si>
    <t>v_bhRHD3bBNZY</t>
  </si>
  <si>
    <t>A woman stands in a room holding a hula hoop.</t>
  </si>
  <si>
    <t>She demonstrates how to use the hula hoop.</t>
  </si>
  <si>
    <t>She spins it using her hips and talking to the camera.</t>
  </si>
  <si>
    <t>v_hjsu3SGAdLs</t>
  </si>
  <si>
    <t>A man wearing a blue shirt is playing the piano in a yard.</t>
  </si>
  <si>
    <t>There are two elephants standing behind him.</t>
  </si>
  <si>
    <t>One of the elephant is trying to play the piano with his trunk.</t>
  </si>
  <si>
    <t>The man continues to play the piano in a fast pace using various keys on the piano.</t>
  </si>
  <si>
    <t>He gives a big finish with the tune and then pats the elephant's trunk.</t>
  </si>
  <si>
    <t>v_BqjNfptu17Q</t>
  </si>
  <si>
    <t>A guy stands on the shore of a beach holding a hockey stick balancing a ball.</t>
  </si>
  <si>
    <t>A hockey stick and a white ball lay on fake grass outside.</t>
  </si>
  <si>
    <t>A person moves a white ball with a hockey stick.</t>
  </si>
  <si>
    <t>A person demonstrates ten field hockey techniques.</t>
  </si>
  <si>
    <t>A guy uses a hockey stick to bounce a ball in the air.</t>
  </si>
  <si>
    <t>Greetings and credits are shown.</t>
  </si>
  <si>
    <t>v_unz00-r84NY</t>
  </si>
  <si>
    <t>A boy plays with a ball in a yard.</t>
  </si>
  <si>
    <t>A boy swings and hits the ball out of the yard.</t>
  </si>
  <si>
    <t>The boy walks to retrieve the ball.</t>
  </si>
  <si>
    <t>The boy plays a game where he hits the ball and knocks down trash can lids.</t>
  </si>
  <si>
    <t>The boy swings a stick at the balls to hit them through a goal.</t>
  </si>
  <si>
    <t>v_tb8KKdC7r-A</t>
  </si>
  <si>
    <t>People play shuffleboard in a gym.</t>
  </si>
  <si>
    <t>A woman throws a black puck, then she talks and continue playing.</t>
  </si>
  <si>
    <t>Old man wearing a cap talks in the gym .</t>
  </si>
  <si>
    <t>Two women talks side by side, one of the woman holds a pole.</t>
  </si>
  <si>
    <t>v_TrFoFWXLMFg</t>
  </si>
  <si>
    <t>An infomercial shows a person using a razor on their leg while speaking to the camera.</t>
  </si>
  <si>
    <t>The woman continues shaving her legs and a close up of the tool is shown.</t>
  </si>
  <si>
    <t>v_LNd1TrbshXM</t>
  </si>
  <si>
    <t>A woman walks into frame playing with her hair and parting it behind her.</t>
  </si>
  <si>
    <t>The woman continues braiding up her hair and shows off the end result while looking to the camera then away.</t>
  </si>
  <si>
    <t>v_uqixFWxAQSA</t>
  </si>
  <si>
    <t>cars covered by a thick snow is shown and a man is cleaning the snow with a shovel in the windshield and all the car.</t>
  </si>
  <si>
    <t>car is going in street.</t>
  </si>
  <si>
    <t>v_lcOepzWnOO4</t>
  </si>
  <si>
    <t>A couple and a child are in a living room.</t>
  </si>
  <si>
    <t>The couple begin dancing in the middle of the room, spinning and twirling.</t>
  </si>
  <si>
    <t>v_h3H6TzHC8Cc</t>
  </si>
  <si>
    <t>A referee wearing a white shirt in a boxing match starts a boxing match.</t>
  </si>
  <si>
    <t>Two girl boxers approach each other and start kick boxing.</t>
  </si>
  <si>
    <t>The taller boxer approaches the shorter boxer and hits the shorter boxer with a straight kick.</t>
  </si>
  <si>
    <t>Both boxers exchange punches and kicks in the center of the ring.</t>
  </si>
  <si>
    <t>The referee manages the fight while following and watching the fighters closely.</t>
  </si>
  <si>
    <t>v_3bTGq7QDjUg</t>
  </si>
  <si>
    <t>Two people are tubing in a stream with lush water and huge rocks through out it.</t>
  </si>
  <si>
    <t>Once the two get around the curve,they hit two small hills and wade in the calmer part of the water.</t>
  </si>
  <si>
    <t>v_Huz41aVo5eo</t>
  </si>
  <si>
    <t>man is waxing a woman's leg.</t>
  </si>
  <si>
    <t>woman is talking to the camera and showing how to wax the leg.</t>
  </si>
  <si>
    <t>v_kkXSGwesZ0U</t>
  </si>
  <si>
    <t>Two people have their legs tied together and then receive instructions.</t>
  </si>
  <si>
    <t>They walk out to a ledge and then go bungee jumping over the edge.</t>
  </si>
  <si>
    <t>v_uo1ERV8LZeU</t>
  </si>
  <si>
    <t>Pictures of a drink are shown followed by an empty bowl and a person putting ingredients in the bowl.</t>
  </si>
  <si>
    <t>The person stirs the ingredients all around and pours the mixture into a glass with ice to serve.</t>
  </si>
  <si>
    <t>v_zH-fOiPLLxA</t>
  </si>
  <si>
    <t>A brush is attached to a power drill for scrubbing.</t>
  </si>
  <si>
    <t>The top of the sink is scrubbed then the bowl.</t>
  </si>
  <si>
    <t>It is wiped with a towel to finish.</t>
  </si>
  <si>
    <t>v_FjY3eKNvzug</t>
  </si>
  <si>
    <t>People are sitting on exercise machines in a room.</t>
  </si>
  <si>
    <t>They all begin working out and pulling on a rope.</t>
  </si>
  <si>
    <t>People are standing in front of them cheering them on.</t>
  </si>
  <si>
    <t>v_3NFWgG4_6NI</t>
  </si>
  <si>
    <t>A man is seen dancing with a hula hoop in a crowded area while people wander around behind her.</t>
  </si>
  <si>
    <t>The woman continues spinning the hoop around herself as people watch her spin around.</t>
  </si>
  <si>
    <t>v_vWEbHvnkogA</t>
  </si>
  <si>
    <t>A jazz musicians is teaching how to play the saxophone.</t>
  </si>
  <si>
    <t>He is giving instructions and talking about music and scales.</t>
  </si>
  <si>
    <t>Then he starts to play some for a little before going back to lecturing.</t>
  </si>
  <si>
    <t>He talks about the notes he has written on the chalk board and goes back to lecturing more about it all.</t>
  </si>
  <si>
    <t>v_X6BHwIJKl-Q</t>
  </si>
  <si>
    <t>A person talks while sit in a boat holding a paddle.</t>
  </si>
  <si>
    <t>Then, the person sails in choppy waters, suddenly he pivote the boat away helping with the oar.</t>
  </si>
  <si>
    <t>v__Wq1OGf0MHM</t>
  </si>
  <si>
    <t>A group of kids and adults are by a river.</t>
  </si>
  <si>
    <t>They get into rafts and float down stream.</t>
  </si>
  <si>
    <t>They paddle through the rapids and falls.</t>
  </si>
  <si>
    <t>v_-Sp-gOEGy2o</t>
  </si>
  <si>
    <t>"How to start a campfire with FiAir" appears on screen.</t>
  </si>
  <si>
    <t>Wildlife Biologist Bryon Shissler sits outside by a campfire pit and speaks to the camera.</t>
  </si>
  <si>
    <t>He builds and lights a fire in the pit using the FiAir device.</t>
  </si>
  <si>
    <t>"FiAir The handly little blower to feed your fires" appears on screen.</t>
  </si>
  <si>
    <t>v_XKA2W2735WM</t>
  </si>
  <si>
    <t>People watch a parade where people walk on front a marching band holding a banner and waving the viewers.</t>
  </si>
  <si>
    <t>A man cross the street holding a small flag and extend his hand.</t>
  </si>
  <si>
    <t>A group of soldiers holds rifles and flags on front a black car.</t>
  </si>
  <si>
    <t>A veteran make the military salute.</t>
  </si>
  <si>
    <t>v_KgONRjXP8_Y</t>
  </si>
  <si>
    <t>A person dips a paint brush into a pan.</t>
  </si>
  <si>
    <t>They use the brush to paint the side of a table.</t>
  </si>
  <si>
    <t>They use large strokes, continuing to paint.</t>
  </si>
  <si>
    <t>v_sra0ywgWITo</t>
  </si>
  <si>
    <t>A man walks over to another man upset and suggests an arm wrestling match.</t>
  </si>
  <si>
    <t>The men begin to hold hands and quickly move away while two women walk into scene.</t>
  </si>
  <si>
    <t>The men continue the match while look calm and the other looks struggled.</t>
  </si>
  <si>
    <t>The match continues as the men discuss their issues and the women watching yell at the men.</t>
  </si>
  <si>
    <t>The women then help the men arm wrestle and one punches the other to help one man win.</t>
  </si>
  <si>
    <t>The punched woman pulls the arms up and stabs them while the other man also stabs them.</t>
  </si>
  <si>
    <t>The women pull out duct tape and stuff one body into a bag.</t>
  </si>
  <si>
    <t>v_ersl2OEJ-eI</t>
  </si>
  <si>
    <t>A man is concentrating extremely hard as he is throwing darts on to a board at a tournament.</t>
  </si>
  <si>
    <t>People cheer and screen for him as another man approaches the board and hives him competition.</t>
  </si>
  <si>
    <t>The two go back and forth,however the first guy appears to be the fan's favorite and ends up winning the game.</t>
  </si>
  <si>
    <t>v_mBAlD4A8swo</t>
  </si>
  <si>
    <t>A man is sitting on an exercise bike.</t>
  </si>
  <si>
    <t>He is working out on the bike.</t>
  </si>
  <si>
    <t>He is talking to the camera while working out.</t>
  </si>
  <si>
    <t>v_QFxe74w7aNc</t>
  </si>
  <si>
    <t>A group of martial artists and drummers perform in a street competition.</t>
  </si>
  <si>
    <t>The martial artists in red pants and black shirts do kicks and flips.</t>
  </si>
  <si>
    <t>Drummers wearing all black and red hats play the drums.</t>
  </si>
  <si>
    <t>The performers finish their piece and the crowd applauds.</t>
  </si>
  <si>
    <t>v_3HBAcaU552I</t>
  </si>
  <si>
    <t>A young boy and girl are standing over a sink with their mother talking.</t>
  </si>
  <si>
    <t>The mother instructs them on how to brush their teeth while laughing.</t>
  </si>
  <si>
    <t>The boy helps his younger sister brush his teeth.</t>
  </si>
  <si>
    <t>She gets them some water to gargle in their mouths.</t>
  </si>
  <si>
    <t>The boy and girl begin playing in the sink.</t>
  </si>
  <si>
    <t>The woman laughs at the children dribbling water.</t>
  </si>
  <si>
    <t>v_eNE8O5cgYuE</t>
  </si>
  <si>
    <t>A woman is outside wind blowing a little bit through her hair, the view is outstanding.</t>
  </si>
  <si>
    <t>There is ia group of runners starting a marathon taking their time.</t>
  </si>
  <si>
    <t>It was scenic and beautiful out there, flowers blossoming and everything.</t>
  </si>
  <si>
    <t>A few of the runners talk about their experience to reporters.</t>
  </si>
  <si>
    <t>v_ufgYKCfK2Vk</t>
  </si>
  <si>
    <t>She is dancing with a baton very gracefully all around the stage for her performance.</t>
  </si>
  <si>
    <t>She does handstands and all kinds of different intriguing moves.</t>
  </si>
  <si>
    <t>She throws the baton up and does a few cartwheels and lands in time to catch it.</t>
  </si>
  <si>
    <t>She accidentally drops the baton and picks its up and continues on and on until the end of her dance.</t>
  </si>
  <si>
    <t>v_HcPhIfhQLmA</t>
  </si>
  <si>
    <t>kid is sanding in a room talking to the camera.</t>
  </si>
  <si>
    <t>anoher man appears on the room and is practicing a head lock.</t>
  </si>
  <si>
    <t>man throw the the kid in the bed and stands.</t>
  </si>
  <si>
    <t>v_Y-dpHbPGQWE</t>
  </si>
  <si>
    <t>An opening screen with the title of a song is shown.</t>
  </si>
  <si>
    <t>We see a man playing a guitar in a recording studio.</t>
  </si>
  <si>
    <t>We see a ending screen with the man's youtube channel address on it.</t>
  </si>
  <si>
    <t>v_F4FpAZJSV1g</t>
  </si>
  <si>
    <t>man is in a racetrack running to make a high jump into the dust.</t>
  </si>
  <si>
    <t>woman is putting numbers in a scoeboard.</t>
  </si>
  <si>
    <t>man is running in the middle of the field.</t>
  </si>
  <si>
    <t>v_aWz9H0jTv3c</t>
  </si>
  <si>
    <t>Two men are in an inside court.</t>
  </si>
  <si>
    <t>They play a game of racquetball together.</t>
  </si>
  <si>
    <t>They take turns hitting the ball back and forth against the wall.</t>
  </si>
  <si>
    <t>v_NtUIIxVvDsA</t>
  </si>
  <si>
    <t>People are sitting in a car.</t>
  </si>
  <si>
    <t>They are standing around a large inflatable raft.</t>
  </si>
  <si>
    <t>They are rafting in choppy water of a river.</t>
  </si>
  <si>
    <t>v_q8lLTxHen0I</t>
  </si>
  <si>
    <t>Various pictures are shown of people huddled up together as well as people playing soccer on a beach.</t>
  </si>
  <si>
    <t>More pictures are shown of people playing as well as one man receiving a trophy and celebrating with others.</t>
  </si>
  <si>
    <t>v_3sAcnQxBchE</t>
  </si>
  <si>
    <t>A camera pans around a woman sitting in a chair smoking a cigarette.</t>
  </si>
  <si>
    <t>She speaks to the camera while continuing to smoke and ends by spreading her legs.</t>
  </si>
  <si>
    <t>v_Kwhp0DNop9I</t>
  </si>
  <si>
    <t>woman is ni seashore wearing a big hat and smiling.</t>
  </si>
  <si>
    <t>peolpe are scuba diving in the sea next to the pier with bags on their backs and showing the fishes and rocks on the floor.</t>
  </si>
  <si>
    <t>v_iZg4cUU6Hkc</t>
  </si>
  <si>
    <t>A group of teen boys are outside in a yard.</t>
  </si>
  <si>
    <t>They gather supplies, then light a fire.</t>
  </si>
  <si>
    <t>They begin kicking a flaming ball back and forth.</t>
  </si>
  <si>
    <t>v_R-VaPP7ToKQ</t>
  </si>
  <si>
    <t>A boy is sitting behind a table.</t>
  </si>
  <si>
    <t>He picks up a beer and takes a drink quickly.</t>
  </si>
  <si>
    <t>A woman grabs it away from him.</t>
  </si>
  <si>
    <t>v_mc-1msYF8Xo</t>
  </si>
  <si>
    <t>Various shots of plated food are shown followed by a sandwich sitting on a table and a woman holding up pans.</t>
  </si>
  <si>
    <t>The woman then puts ingredients onto sandwich bread and mixes the two together and takes multiple bites.</t>
  </si>
  <si>
    <t>v_xm7pETlJrwA</t>
  </si>
  <si>
    <t>A woman is seen speaking to the camera while holding up a bucket and pot.</t>
  </si>
  <si>
    <t>She pours water out of the pot into the bucket as well as some detergent.</t>
  </si>
  <si>
    <t>She then washing clothes in the bucket using water continuously as well as a toothbrush.</t>
  </si>
  <si>
    <t>She lays out the clothes in the end as well as hangs them up.</t>
  </si>
  <si>
    <t>v_RK1L77bNTxg</t>
  </si>
  <si>
    <t>three people is in studio talking about news.</t>
  </si>
  <si>
    <t>a history about curling sport and the kids team playing in the field and scoring is shown in the screen.</t>
  </si>
  <si>
    <t>back to the studio reporters keep talking about the history.</t>
  </si>
  <si>
    <t>v_-4VuHlphgL4</t>
  </si>
  <si>
    <t>A man is standing behind a couch, wearing a protective head covering.</t>
  </si>
  <si>
    <t>He is covering a couch with plastic, and tapes it in place.</t>
  </si>
  <si>
    <t>He speaks to the camera about what he did a little longer.</t>
  </si>
  <si>
    <t>v_TQ22icNBoSI</t>
  </si>
  <si>
    <t>We see blue letters on a black screen and see a roof.</t>
  </si>
  <si>
    <t>Then we switch to more letters and roof has been sprayed with a solution.</t>
  </si>
  <si>
    <t>We are informed the roof has been cleaned and shown shots of the clean roof.</t>
  </si>
  <si>
    <t>We then see the front of the house.</t>
  </si>
  <si>
    <t>We are provided the phone number of the pressure washers.</t>
  </si>
  <si>
    <t>v_T0wmRC8Ka2Y</t>
  </si>
  <si>
    <t>The ball falls onto the ground and a guy in red shorts picks it up.</t>
  </si>
  <si>
    <t>A man in a black hat serves the ball.</t>
  </si>
  <si>
    <t>v_TdFvHyfq97o</t>
  </si>
  <si>
    <t>A man is standing outside in a field of grass that is relatively low.</t>
  </si>
  <si>
    <t>However,in his hand he has a scythe and begins swinging it back and forth cutting the grass down further.</t>
  </si>
  <si>
    <t>As he cuts,several texts appear across the screen with white words about what he is doing and explaining the activity.</t>
  </si>
  <si>
    <t>v_0S0fNrI4oVs</t>
  </si>
  <si>
    <t>A group of USA olympic fencing champions are shown competing in fencing interspersed with images and graphics advertising an upcoming fencing tournament in NYC.</t>
  </si>
  <si>
    <t>Several images of fencers are shows interspersed with video of the fencers walking.</t>
  </si>
  <si>
    <t>An image of a girl holding an American flag behind her appears.</t>
  </si>
  <si>
    <t>More still images of fencing and a slow motion video of a fencing competition appear before a final marketing graphic with a website on it.</t>
  </si>
  <si>
    <t>v_iyGv338SnrQ</t>
  </si>
  <si>
    <t>An elderly woman lays on down against a brown pillow.</t>
  </si>
  <si>
    <t>She holds a harmonica to her mouth and plays it.</t>
  </si>
  <si>
    <t>The light in the room brightens.</t>
  </si>
  <si>
    <t>She finishes playing and laughs.</t>
  </si>
  <si>
    <t>v_Iuk7PNmG3tQ</t>
  </si>
  <si>
    <t>Several players from the black and white team are playing ice hockey in the arena.</t>
  </si>
  <si>
    <t>One of the players from the black team hits the puck away from his opponent.</t>
  </si>
  <si>
    <t>The players from the white team try to prevent him from hitting a goal.</t>
  </si>
  <si>
    <t>An animated version of the game is shown on screen.</t>
  </si>
  <si>
    <t>Then the focus is back on the real game where a black team player is highlighted as he takes a shot on the goal.</t>
  </si>
  <si>
    <t>Again, another animated example is shown to explain how the game works.</t>
  </si>
  <si>
    <t>The black team player hits the puck on the opposite corner of the ice.</t>
  </si>
  <si>
    <t>As the black moves fast and towards the goal, it cause the goalie to fall down.</t>
  </si>
  <si>
    <t>The black team wins the goal and gets the victory in the game.</t>
  </si>
  <si>
    <t>v_1f8iBakydSI</t>
  </si>
  <si>
    <t>A camera pans over a weight room and shows various people working on a machines.</t>
  </si>
  <si>
    <t>One man is seen running on an elliptical while another using a rowing machine in the back.</t>
  </si>
  <si>
    <t>v_gfwSnetklbE</t>
  </si>
  <si>
    <t>A man is shoveling snow off of the top of a car.</t>
  </si>
  <si>
    <t>He walks around the car and starts shoveling the ground.</t>
  </si>
  <si>
    <t>v_TXgzRTa2C38</t>
  </si>
  <si>
    <t>A person throws a bowling ball down a lane.</t>
  </si>
  <si>
    <t>They knock the pins down.</t>
  </si>
  <si>
    <t>They throw the ball at a spare and knock all the rest of the pins down.</t>
  </si>
  <si>
    <t>v__CFadTE9L4I</t>
  </si>
  <si>
    <t>A woman washes clothes in a bucket with soap.</t>
  </si>
  <si>
    <t>The woman wrings out a towel.</t>
  </si>
  <si>
    <t>Someone is folding in the background while the woman continues washing the clothes.</t>
  </si>
  <si>
    <t>v_HQFey_iCEw8</t>
  </si>
  <si>
    <t>A man in a baseball cap, shorts and a blue short sleeved shirt serves three tennis balls across a tennis net on a tennis court by himself.</t>
  </si>
  <si>
    <t>A man on a tennis court by himself serves a tennis ball with a tennis racket across a net.</t>
  </si>
  <si>
    <t>The man then serves two more balls across the net, the ball just land on the other side.</t>
  </si>
  <si>
    <t>v_R3ffxWaI9QU</t>
  </si>
  <si>
    <t>A male athlete is running on a track.</t>
  </si>
  <si>
    <t>He jumps high into the air.</t>
  </si>
  <si>
    <t>He vaults backwards over a high beam.</t>
  </si>
  <si>
    <t>This is shown repeated in slow motion numerous times.</t>
  </si>
  <si>
    <t>v_MZiBlBhpq-Y</t>
  </si>
  <si>
    <t>A man sits down with a guitar.</t>
  </si>
  <si>
    <t>The man begins playing the guitar.</t>
  </si>
  <si>
    <t>The man starts singing while playing the guitar.</t>
  </si>
  <si>
    <t>The man stops playing the guitar and stands up and walks toward the camera.</t>
  </si>
  <si>
    <t>v_yZLwR5EJ7Wc</t>
  </si>
  <si>
    <t>A man plays bagpipes in a city square while nobody pays attention.</t>
  </si>
  <si>
    <t>A cop tells him to stop.</t>
  </si>
  <si>
    <t>v_BbFCkDdq3S0</t>
  </si>
  <si>
    <t>A boy runs slowly down a path.</t>
  </si>
  <si>
    <t>He takes a huge leap into the air.</t>
  </si>
  <si>
    <t>He lands in a giant sand pit.</t>
  </si>
  <si>
    <t>v_LVub7uinY-4</t>
  </si>
  <si>
    <t>A small group of people are seen playing a baseball game on a field and leads into several more shots of them playing.</t>
  </si>
  <si>
    <t>The video continues with several clips of people hitting and catching the ball and ends with text across the screen.</t>
  </si>
  <si>
    <t>v_ER0UPx6-VcM</t>
  </si>
  <si>
    <t>A man and woman are playing inside a racquetball court.</t>
  </si>
  <si>
    <t>They are using racquets, balls, special shoes and protective glasses.</t>
  </si>
  <si>
    <t>They show how to stand and hit the ball.</t>
  </si>
  <si>
    <t>v_pmix_U52VWk</t>
  </si>
  <si>
    <t>A boy is standing behind a music stand playing a flute.</t>
  </si>
  <si>
    <t>He stops playing and smiles before walking away.</t>
  </si>
  <si>
    <t>v_QrKWO2uNNJ0</t>
  </si>
  <si>
    <t>A woman with a hat on stands and talks.</t>
  </si>
  <si>
    <t>She is playing with her hair and talking.</t>
  </si>
  <si>
    <t>Pictures of her hair are inserted.</t>
  </si>
  <si>
    <t>v_Yxsw5nTf4Dg</t>
  </si>
  <si>
    <t>A girl in a bikini is doing hula hoop on a patio.</t>
  </si>
  <si>
    <t>She spins around several times and seems to be having a lot of fun.</t>
  </si>
  <si>
    <t>The came moves up and down to keep her in the frame.</t>
  </si>
  <si>
    <t>It then jumps to another girl only showing her bottom half as a hula hoop spins around her.</t>
  </si>
  <si>
    <t>Another girls is shown dancing inside of a house several times.</t>
  </si>
  <si>
    <t>v_y4PXBhxpZHk</t>
  </si>
  <si>
    <t>A large group of people are shown in several shots playing a sport's game while hundreds of people watch on the sides.</t>
  </si>
  <si>
    <t>The men continue running around the field while close ups of coaches are shown and one scores a goal.</t>
  </si>
  <si>
    <t>One man kneels down and the others shake hands with players.</t>
  </si>
  <si>
    <t>v_QElXIVBV-gk</t>
  </si>
  <si>
    <t>A lady chef wearing a stripe blouse talks in a kitchen.</t>
  </si>
  <si>
    <t>The lady chef describes the ingredients needed and the preparation for the creamy seafood pasta.</t>
  </si>
  <si>
    <t>The lady chef shows a step by step process for preparing the creamy seafood pasta dish and shows the final product.</t>
  </si>
  <si>
    <t>v_2w3FSD235TY</t>
  </si>
  <si>
    <t>A man is talking in a stable as he feeds a horse beside him.</t>
  </si>
  <si>
    <t>He talks extensively about the benefits of horse riding.</t>
  </si>
  <si>
    <t>He mounts a saddle onto the horse.</t>
  </si>
  <si>
    <t>He then leads the horse out, feeding him an apple as he continues to speak.</t>
  </si>
  <si>
    <t>v_QyYbyFXmd-g</t>
  </si>
  <si>
    <t>A man is sen standing in front of a large group of people holding onto a rope.</t>
  </si>
  <si>
    <t>The man raises his arms and the two team begin a game of tug of war.</t>
  </si>
  <si>
    <t>Another game of tug of war occurs on the side and ends with the men standing straight.</t>
  </si>
  <si>
    <t>v_uTc2-oAxgbc</t>
  </si>
  <si>
    <t>We see a girl sitting in a piercing parlor with a lady standing near her.</t>
  </si>
  <si>
    <t>The lady puts a clip on the girls lip and sticks a large needle through her lip.</t>
  </si>
  <si>
    <t>The lady slides the earring through the girls lip and puts a disinfectant on it.</t>
  </si>
  <si>
    <t>v__qzzQdKJ7F0</t>
  </si>
  <si>
    <t>A young girl is seen speaking to the camera and holds up a bottle to the camera.</t>
  </si>
  <si>
    <t>The girl then begins painting her nails and showing them off to the camera.</t>
  </si>
  <si>
    <t>She continues to paint her nails as well as make funny faces to the camera.</t>
  </si>
  <si>
    <t>v_ZQs0S7WwYiM</t>
  </si>
  <si>
    <t>A person puts carpets shims on the floor.</t>
  </si>
  <si>
    <t>The man measures the shims to fit in the corners.</t>
  </si>
  <si>
    <t>After, the person puts stripes on the border of the shims, then put the carpet.</t>
  </si>
  <si>
    <t>v_7EPzlmJ25dA</t>
  </si>
  <si>
    <t>A man takes videos of him skiing and snowboarding down a mountain.</t>
  </si>
  <si>
    <t>He also goes through a forest.</t>
  </si>
  <si>
    <t>v_W_scepAxfPA</t>
  </si>
  <si>
    <t>Two swimmers stand bow forward on a high dive platform.</t>
  </si>
  <si>
    <t>The divers dive from the platform into the water.</t>
  </si>
  <si>
    <t>v_IN8-B39kq_k</t>
  </si>
  <si>
    <t>Two men introduce themselves in the beginning of the video and tell the viewers that they will be talking about tattoos.</t>
  </si>
  <si>
    <t>One of the guys comes on the screen and gives some tips about how to prepare to give a tattoo.</t>
  </si>
  <si>
    <t>A close up of a man is shown giving a tattoo to someone.</t>
  </si>
  <si>
    <t>Several clients are shown close up on the screen while they are in the process of a tattoo.</t>
  </si>
  <si>
    <t>v_Eq0Ibnq9sYA</t>
  </si>
  <si>
    <t>A woman is seen pushing a puck along some ice followed by people brushing ice with brooms in front of the puck.</t>
  </si>
  <si>
    <t>They continuously brush and end the puck in a circle and ends with the woman speaking to the others.</t>
  </si>
  <si>
    <t>v_mRyXubjYWEo</t>
  </si>
  <si>
    <t>A man first salutes and then does karate inside a room while spinning on one leg, next he makes salute.</t>
  </si>
  <si>
    <t>A male makes the cross signal in a squatting position, then he spins his body.</t>
  </si>
  <si>
    <t>Then, the man and the male fight while jumping and kicking.</t>
  </si>
  <si>
    <t>After, the male kick the face of the man with his feet and does a spin with a hand on the floor while the man lands on a foamy mat.</t>
  </si>
  <si>
    <t>v_XQWebGbAjxU</t>
  </si>
  <si>
    <t>A close up of a mat is shown surrounded by pucks and a stick sitting in the middle.</t>
  </si>
  <si>
    <t>The camera pans to people pushing the puck along the ice followed by a person pushing the puck into the middle.</t>
  </si>
  <si>
    <t>v_XPctbL-V1ww</t>
  </si>
  <si>
    <t>A little boy in his pajamma's standing in the mirror watching himself brush his teeth.</t>
  </si>
  <si>
    <t>He moves forward a little and spits out some toothpaste.</t>
  </si>
  <si>
    <t>Then continues to brush, he puts the tooth brush down and grabs a cup of water gargles a bit and spits it out.</t>
  </si>
  <si>
    <t>He finds this very amusing, and does it over and over until the cup of water is empty and then he gets down off his stool and cleans his face with a towel.</t>
  </si>
  <si>
    <t>v_f0hh9bwVfV0</t>
  </si>
  <si>
    <t>Some text appears on screen asking a question about a topic in SCUBA diving safety.</t>
  </si>
  <si>
    <t>The scene changes to show a lot of SCUBA air tanks and some more text explaining more about the question.</t>
  </si>
  <si>
    <t>A man is SCUBA diving underwater while holding his air tank in his hands and the text continues to explain.</t>
  </si>
  <si>
    <t>The air tank is seen floating on it's own on the sea bed.</t>
  </si>
  <si>
    <t>Another man is SCUBA diving and he lets go of his tank to demonstrate the buoyancy.</t>
  </si>
  <si>
    <t>The scene switches back to the group of air tanks with more text explaining.</t>
  </si>
  <si>
    <t>Another scene is shown with 2 tanks and a bag next to some trees.</t>
  </si>
  <si>
    <t>v_0bosp4-pyTM</t>
  </si>
  <si>
    <t>A man is holding a pocket knife while sitting on some rocks in the wilderness.</t>
  </si>
  <si>
    <t>Then he takes a small stone from the flowing river and smashes it on another stone.</t>
  </si>
  <si>
    <t>He starts to crush the small stone to smaller pieces.</t>
  </si>
  <si>
    <t>He grind it hard to make the pieces smaller.</t>
  </si>
  <si>
    <t>Then he takes a piece of bark and rubs the powered stone pieces onto it.</t>
  </si>
  <si>
    <t>The stone particles stick to the wet piece of wood.</t>
  </si>
  <si>
    <t>He then takes the knife and sharpens it against the wood piece.</t>
  </si>
  <si>
    <t>He then notices a little black and green poisonous frog sitting next to him.</t>
  </si>
  <si>
    <t>The frog then escapes and jumps away.</t>
  </si>
  <si>
    <t>He explains how the frog secretes a poisonous fluid that can be extremely harmful.</t>
  </si>
  <si>
    <t>v_1tEJRzqqalM</t>
  </si>
  <si>
    <t>We see a pink opening screen.</t>
  </si>
  <si>
    <t>We see a lady brushing two miniature horses.</t>
  </si>
  <si>
    <t>The lady cleans the brown horses hooves.</t>
  </si>
  <si>
    <t>The lady cleans the hooves on the white and tan horse.</t>
  </si>
  <si>
    <t>The lady brushes the mane on both horses.</t>
  </si>
  <si>
    <t>The lady puts her supplies down.</t>
  </si>
  <si>
    <t>We see black and white still images of the horses.</t>
  </si>
  <si>
    <t>We see the lady brush the brown horse again.</t>
  </si>
  <si>
    <t>v_fwU91k-Vmb8</t>
  </si>
  <si>
    <t>A bunch of children are riding around in bumper cars.</t>
  </si>
  <si>
    <t>They go back and forth on the track.</t>
  </si>
  <si>
    <t>They bump into each other, smiling and laughing.</t>
  </si>
  <si>
    <t>v_GwmpYLRpJQw</t>
  </si>
  <si>
    <t>snowy mountins are shown and people is doing snowboard going down the hill holding poles.</t>
  </si>
  <si>
    <t>a snow house with kids playing is shown.</t>
  </si>
  <si>
    <t>ma is playing with a toy airplane.</t>
  </si>
  <si>
    <t>people doing snowboarding are going down the mountain with red lighes and fireworks are in sky.</t>
  </si>
  <si>
    <t>v_93bg_XU3OTg</t>
  </si>
  <si>
    <t>The product's varying sizes are displayed.</t>
  </si>
  <si>
    <t>The guy pours product in a container and uses a brush to put the liquid on the surface of a metal object.</t>
  </si>
  <si>
    <t>The guy puts a white cloth on the edge.</t>
  </si>
  <si>
    <t>The guy runs the metal object repeatedly across the white cloth.</t>
  </si>
  <si>
    <t>v_DbZ0ns9s2X0</t>
  </si>
  <si>
    <t>A painting is shown followed by several pictures of painting tools and supplies.</t>
  </si>
  <si>
    <t>A person's hand then begins putting marks on the painting and dipping her brush continuously in the paint.</t>
  </si>
  <si>
    <t>The camera pans down the finished picture and a text is shown across the screen.</t>
  </si>
  <si>
    <t>v_ygkcjkVqxAA</t>
  </si>
  <si>
    <t>A woman is seen playing Frisbee out in a back yard with a dog and performs several tricks with the dog.</t>
  </si>
  <si>
    <t>She continuously plays with several toys with the dog when another person watches on the side.</t>
  </si>
  <si>
    <t>v_8P0N5psQrEI</t>
  </si>
  <si>
    <t>A Caucasian woman in late maternity is shown seated on a living room sofa.</t>
  </si>
  <si>
    <t>She puts on a sock on her left foot while crossing her leg and then proceeds to put on a tennis shoe on her left foot.</t>
  </si>
  <si>
    <t>She is cleary in discomfort as she proceeds to tie her shoe, which she rests on an ottoman.</t>
  </si>
  <si>
    <t>She takes a small break and then proceeds to put on her right shoe, She rests her right foot on the ottoman while she ties the shoe.</t>
  </si>
  <si>
    <t>The satisfied and exhausted woman sits back on the sofa and holds her large belly as she completes the task of putting her right shoe on.</t>
  </si>
  <si>
    <t>v_dJVWRkiRXHM</t>
  </si>
  <si>
    <t>A man holding a racket stands in a squash court talking to the camera.</t>
  </si>
  <si>
    <t>The man bounces and catches a blue ball.</t>
  </si>
  <si>
    <t>The man then hits the ball off the back wall and catches it.</t>
  </si>
  <si>
    <t>The man then stands and talks to the camera.</t>
  </si>
  <si>
    <t>v_2KsL5MBiZcc</t>
  </si>
  <si>
    <t>A small group of people are seen standing around a field with a ref speaking to the people.</t>
  </si>
  <si>
    <t>The players then begin a match of lacrosse with one another and run up and down the field playing.</t>
  </si>
  <si>
    <t>v_HNIs8lFvKkA</t>
  </si>
  <si>
    <t>There are two people dressed in yellow shirts playing table tennis in a finished basement.</t>
  </si>
  <si>
    <t>There are three people seated on sofas next to them watching soccer television.</t>
  </si>
  <si>
    <t>Another person seated on the sofa is playing on his phone.</t>
  </si>
  <si>
    <t>The two players continue playing table tennis.</t>
  </si>
  <si>
    <t>The player on the right hits the ball which is opponent returns in a fast manner.</t>
  </si>
  <si>
    <t>The ball falls off the table.</t>
  </si>
  <si>
    <t>The person on the right runs to pick up the ball.</t>
  </si>
  <si>
    <t>They continue playing and serving the ball.</t>
  </si>
  <si>
    <t>A guy dressed in a black hoodie walks by.</t>
  </si>
  <si>
    <t>One of the player pauses to adjust the table.</t>
  </si>
  <si>
    <t>They continue playing table tennis as they talk to each other.</t>
  </si>
  <si>
    <t>v_2bS6JfPF1mk</t>
  </si>
  <si>
    <t>Two young children are shown when one climbs across a set of monkey bars and the other steps out of frame.</t>
  </si>
  <si>
    <t>The girl makes it to the end of the bars and looks to the camera speaking and smiling.</t>
  </si>
  <si>
    <t>v_IfYiYObrUlY</t>
  </si>
  <si>
    <t>A woman talks in kitchen, then come two boys and talk whiles showing the fruits on the counter.</t>
  </si>
  <si>
    <t>Then, a man comes and puts all the fruits in a large bowl while explaining.</t>
  </si>
  <si>
    <t>After, the man adds on top the fruits yogurt, chocolate and cereal.</t>
  </si>
  <si>
    <t>v_H8K1E49607E</t>
  </si>
  <si>
    <t>A person wearing a vest has several buckets on the street he is drumming with.</t>
  </si>
  <si>
    <t>Many people are standing around in amazement watching this man play, while some are recording with a camera.</t>
  </si>
  <si>
    <t>The man continues drumming faster and the crowd continues to cheer him on.</t>
  </si>
  <si>
    <t>Many people walk past and don't seem to notice the drummer.</t>
  </si>
  <si>
    <t>v_O8JVA-scYlM</t>
  </si>
  <si>
    <t>A boy stands behind a table of food.</t>
  </si>
  <si>
    <t>He begins spreading mayonnaise on slices of bread.</t>
  </si>
  <si>
    <t>He puts lettuce on the bread.</t>
  </si>
  <si>
    <t>He stacks tomatoes on top of the lettuce on the bread.</t>
  </si>
  <si>
    <t>He puts chicken on top of the tomato.</t>
  </si>
  <si>
    <t>He puts one piece of bread on top of the other.</t>
  </si>
  <si>
    <t>He puts mayonnaise on top of the top piece of bread.</t>
  </si>
  <si>
    <t>He stacks the food up on the bread again.</t>
  </si>
  <si>
    <t>He tops it with a final piece of bread.</t>
  </si>
  <si>
    <t>He cuts the sandwich into four slices on a board.</t>
  </si>
  <si>
    <t>He puts a toothpick in each section of the sandwich.</t>
  </si>
  <si>
    <t>He moves the sandwich from the board onto a plate.</t>
  </si>
  <si>
    <t>He adds fries to the plate with the sandwich on it.</t>
  </si>
  <si>
    <t>v_63Zt34YuyRk</t>
  </si>
  <si>
    <t>There's a NBC news reporter wearing a red sweater and white shirt talking about dog grooming by Scissor Wizard a grooming company.</t>
  </si>
  <si>
    <t>The representative from the company is talking about the services they offer and how those dogs participate in dog shows.</t>
  </si>
  <si>
    <t>A groomer is seen using shears to creatively trim the dog's hair and even dye it in colorful shades of red, green, yellow and blue.</t>
  </si>
  <si>
    <t>v_z6GHmDSskgY</t>
  </si>
  <si>
    <t>Multiple people are in an exercise class in a room with lot of mirrors at a gym, and they are dancing as well as spinning around and stepping up onto a platform.</t>
  </si>
  <si>
    <t>A woman walks by the exercise room holding weights.</t>
  </si>
  <si>
    <t>A woman places the weights down on the rack.</t>
  </si>
  <si>
    <t>A woman walks by without holding any weights.</t>
  </si>
  <si>
    <t>v_iZtie23nW_A</t>
  </si>
  <si>
    <t>A red mustang is being hosed down.</t>
  </si>
  <si>
    <t>Next, the workers rub soap over the car.</t>
  </si>
  <si>
    <t>After that, they both work on washing the soap off before applying another soap over the vehicle.</t>
  </si>
  <si>
    <t>They then use hoses to wash the car clean.</t>
  </si>
  <si>
    <t>v_XKOeu8n7R7s</t>
  </si>
  <si>
    <t>A small group of men are seen running around a basketball court playing a game of basketball.</t>
  </si>
  <si>
    <t>One player moves all around the net holding the ball and demonstrates how to properly shoot a hoop.</t>
  </si>
  <si>
    <t>He bounces the ball around a bit and more shots of the people playing are shown.</t>
  </si>
  <si>
    <t>v_eSyrFLhr3b0</t>
  </si>
  <si>
    <t>A man is seen speaking to the camera while showing a plate of food and pouring out ingredients onto a plate.</t>
  </si>
  <si>
    <t>He continues to mix ingredients together onto a plate and ends with a close up of the dish and him speaking more.</t>
  </si>
  <si>
    <t>v_sJ0Tc4nthOA</t>
  </si>
  <si>
    <t>Two people are shown holding fencing sticks and pointing towards each other.</t>
  </si>
  <si>
    <t>They move back and fourth and match with each other.</t>
  </si>
  <si>
    <t>v_89rUyq2rCJ8</t>
  </si>
  <si>
    <t>A man is riding on a surfboard in the ocean.</t>
  </si>
  <si>
    <t>He does a big flip, landing back in the wave.</t>
  </si>
  <si>
    <t>The flip is repeated in slow motion.</t>
  </si>
  <si>
    <t>v_nlYl30Dqfc0</t>
  </si>
  <si>
    <t>woman is standing in middle of stage talking to the camera and showing in slow motion dance moves.</t>
  </si>
  <si>
    <t>woman is making the movements quickly and showing the position of the hands.</t>
  </si>
  <si>
    <t>woman is showing salsa movements in a room.</t>
  </si>
  <si>
    <t>v_KoeytdNfQ_M</t>
  </si>
  <si>
    <t>A man is standing on a dark field.</t>
  </si>
  <si>
    <t>He throws a frisbee through the air, and a dog catches it.</t>
  </si>
  <si>
    <t>The dog chases and does tricks to get the frisbee.</t>
  </si>
  <si>
    <t>v_8qzR38WgsS8</t>
  </si>
  <si>
    <t>A group of young boys are on bicycles behind a sand preparing to take off and race down the course.</t>
  </si>
  <si>
    <t>The latch is let down and they all take off into the dirt and start to race in the dirt.</t>
  </si>
  <si>
    <t>Many of the boys keep going around the track and people are spread throughout the course holding up sticks.</t>
  </si>
  <si>
    <t>v_NpsOCOnQS6c</t>
  </si>
  <si>
    <t>A man spraying a fence grey using a powerful spray gun.</t>
  </si>
  <si>
    <t>A man in casually standing behind him watching with his hands crossed, yawning.</t>
  </si>
  <si>
    <t>The man spraying sprays up and down making good time.</t>
  </si>
  <si>
    <t>He makes sure to go over all the spots so he doesn't miss any.</t>
  </si>
  <si>
    <t>v_Dx9wjBdbZ1M</t>
  </si>
  <si>
    <t>The man is kicking the tile of the roof until it moved.</t>
  </si>
  <si>
    <t>The man pull out one tire of the roof and pointed on the sides of the tiles.</t>
  </si>
  <si>
    <t>He put back the tile, move it to its original place.</t>
  </si>
  <si>
    <t>v_pYbOylWZx-s</t>
  </si>
  <si>
    <t>A man in a black tank top describes cardio workout on a spin bike.</t>
  </si>
  <si>
    <t>The man in the black tank top mounts the spinning bike in intervals of 45 second cruise speed tension, the 15 seconds hard with tension up.</t>
  </si>
  <si>
    <t>Then cool down with cruise speed tension.</t>
  </si>
  <si>
    <t>v_kXfYuIx31Bo</t>
  </si>
  <si>
    <t>A close up of a machine is shown followed by a man shoveling dirt around a floor.</t>
  </si>
  <si>
    <t>The man then uses the machine around the dirt and waters down the area afterwards.</t>
  </si>
  <si>
    <t>Another man is seen pouring water down on the ground and pasting white paper down.</t>
  </si>
  <si>
    <t>v_aGu-FfGDdVI</t>
  </si>
  <si>
    <t>A man is in the murky waters, using a paddle.</t>
  </si>
  <si>
    <t>He is kayaking toward the camera and past other kayakers.</t>
  </si>
  <si>
    <t>He goes through the water faster, trying to keep up with the current.</t>
  </si>
  <si>
    <t>v_aXCAudMzN2o</t>
  </si>
  <si>
    <t>A man is seen jumping up and down on a pair of stilts while a few others move around on stilts with help.</t>
  </si>
  <si>
    <t>More shots are shown of people jumping around on the stilts and others still needing help from others.</t>
  </si>
  <si>
    <t>v_qNxA4UTadGo</t>
  </si>
  <si>
    <t>The camera pans around a pool and audience and leads into a group of swimmers standing ready on the side.</t>
  </si>
  <si>
    <t>Afterwards several men are seen performing impressive dives into a pool that include flips and tricks and the divers receiving medals in the end.</t>
  </si>
  <si>
    <t>v_NouHsmaE-xA</t>
  </si>
  <si>
    <t>People are in a rodeo arena while a man on a horse prepares a rope with a loop.</t>
  </si>
  <si>
    <t>Then,the man spins the loop and throw to catch a calf, then run and tie the calf.</t>
  </si>
  <si>
    <t>A young man enters the arena and untie the calf.</t>
  </si>
  <si>
    <t>v_WFqm48C2BPk</t>
  </si>
  <si>
    <t>Various shots are shown of a boat riding along rough water conditions from several angles.</t>
  </si>
  <si>
    <t>The camera shows a board and leads back to the water, transitioning into people seen sitting inside the boat.</t>
  </si>
  <si>
    <t>The camera walks around more and captures views of the inside as well as the water.</t>
  </si>
  <si>
    <t>v_UOL8oxziVwU</t>
  </si>
  <si>
    <t>A bald man inside of a home is holding a camera and videotaping a woman on stilts.</t>
  </si>
  <si>
    <t>The camera pans to the woman, who is walking around the living room in the stilts.</t>
  </si>
  <si>
    <t>The man asks the woman to act like a movie character, and she agrees.</t>
  </si>
  <si>
    <t>The woman then grabs the camera, and the view is obscured by her hand.</t>
  </si>
  <si>
    <t>v_AbVuOBhG634</t>
  </si>
  <si>
    <t>A woman is standing outside, talking to the camera.</t>
  </si>
  <si>
    <t>She speaks extensively in her new york city location.</t>
  </si>
  <si>
    <t>At the end, a screen appears with contact information.</t>
  </si>
  <si>
    <t>v_0je8CeAJABY</t>
  </si>
  <si>
    <t>First the man walks onto the stage in the beginning and shakes his head roughly.</t>
  </si>
  <si>
    <t>Then he wrestles a bald man in a wrestling match.</t>
  </si>
  <si>
    <t>Next he wrestles a man who has long short blonde hair and he wrestles a man who has a low haircut and he wins.</t>
  </si>
  <si>
    <t>The crowd starts cheering and roaring because of how many times he'd won.</t>
  </si>
  <si>
    <t>v_NOGtIoZbEVg</t>
  </si>
  <si>
    <t>A young man sits on a bed.</t>
  </si>
  <si>
    <t>The man starts playing an acoustic guitar.</t>
  </si>
  <si>
    <t>The man starts singing while playing.</t>
  </si>
  <si>
    <t>The man pauses and rolls is eyes.</t>
  </si>
  <si>
    <t>The man finishes and looks up, then at the ground.</t>
  </si>
  <si>
    <t>v_t19uSLVQGWA</t>
  </si>
  <si>
    <t>A man is seen sitting behind a drum set beginning to play while others watch him on the side.</t>
  </si>
  <si>
    <t>The man continues to play the drum set faster and faster and ends by stopping to speak to the camera.</t>
  </si>
  <si>
    <t>v_T6TgMYLrPII</t>
  </si>
  <si>
    <t>The woman is adjusting the matt, while the man is raising the pole.</t>
  </si>
  <si>
    <t>The woman is running with a pole, then she jumped over the yellow rope.</t>
  </si>
  <si>
    <t>The woman jumped over the rope while her coach is on the side of the tract watching and assisting her as she jumped over the pole.</t>
  </si>
  <si>
    <t>v_plZs-3GtoOo</t>
  </si>
  <si>
    <t>A barber is shown using clippers on his client's head in a hair salon.</t>
  </si>
  <si>
    <t>He is shaving a man's head with shaving cream and a razor.</t>
  </si>
  <si>
    <t>He is also styling a boy's hair with gel and a comb.</t>
  </si>
  <si>
    <t>He is shaving a man's beard with shaving gel and a razor.</t>
  </si>
  <si>
    <t>He is also cutting a man's hair with scissors to give him a Mohawk.</t>
  </si>
  <si>
    <t>He is using clippers on a young man.</t>
  </si>
  <si>
    <t>The website is advertised on the screen with pictures of the website.</t>
  </si>
  <si>
    <t>v_FRzN9ApCxW8</t>
  </si>
  <si>
    <t>A man is outside in a field of grass pushing a lawn mower back and forth.</t>
  </si>
  <si>
    <t>Once he makes it to the other side of the strip,the person with the camera walks closer to him and starts to talk to them.</t>
  </si>
  <si>
    <t>After,the guy with the lawn mower begins to laugh and continues cutting the yard.</t>
  </si>
  <si>
    <t>v_3hSPAtKORgk</t>
  </si>
  <si>
    <t>A graphic of a boy kicking a soccer ball with 3 defender is seen.</t>
  </si>
  <si>
    <t>The ball is deflected by the defenders in the graphic.</t>
  </si>
  <si>
    <t>A soccer player kicks a ball that is blocked by a series of defenders and a goalie on and indoor field.</t>
  </si>
  <si>
    <t>v_QR2BmWR5FGM</t>
  </si>
  <si>
    <t>A small playground is seen followed by a man and his dog walking into frame.</t>
  </si>
  <si>
    <t>The man pushes it dog up and the dog rides down the slide.</t>
  </si>
  <si>
    <t>The man does this again with the dog in another playground.</t>
  </si>
  <si>
    <t>v_Zob68l3snFo</t>
  </si>
  <si>
    <t>a man is in a boat in the water.</t>
  </si>
  <si>
    <t>a loaf of bread is thrown to fishes and their are fighting to eat it.</t>
  </si>
  <si>
    <t>man is diving ni deep sea through the shoals and corals.</t>
  </si>
  <si>
    <t>v_--0edUL8zmA</t>
  </si>
  <si>
    <t>Four men are playing dodge ball in an indoor court.</t>
  </si>
  <si>
    <t>They start running towards the red balls after the coach blows the whistle.</t>
  </si>
  <si>
    <t>One of the players hits the ball on his opponent.</t>
  </si>
  <si>
    <t>The opponent strikes back at the other player, but he manages to dodge the ball.</t>
  </si>
  <si>
    <t>Next, the player hits another ball directly at his opponent standing opposite him.</t>
  </si>
  <si>
    <t>The player hits the ball hard on his opponent's leg.</t>
  </si>
  <si>
    <t>They continue playing several rounds of dodge ball.</t>
  </si>
  <si>
    <t>The player aims directly at one of his opponents and hits him on his leg.</t>
  </si>
  <si>
    <t>The game ends after the coach blows the whistle.</t>
  </si>
  <si>
    <t>v_ABCRXwB5-JQ</t>
  </si>
  <si>
    <t>People sail in canoes in a river rowing oars.</t>
  </si>
  <si>
    <t>A young man plays the guitar in a boat, while a youth smoke a cigarette.</t>
  </si>
  <si>
    <t>Two young ladies sail a boat behind the men.</t>
  </si>
  <si>
    <t>v_4_CcDjbCXBQ</t>
  </si>
  <si>
    <t>A woman is seen hosting a news segment and leads into shots of people playing soccer and audience members watching.</t>
  </si>
  <si>
    <t>More highlights of the game are shown as well as team mates celebrating and hugging one another.</t>
  </si>
  <si>
    <t>v_tIAdhrfT70I</t>
  </si>
  <si>
    <t>A fox news icon appears on the screen.</t>
  </si>
  <si>
    <t>A group of people are in a building, playing a game called beer pong.</t>
  </si>
  <si>
    <t>The news reporters gather in their studio to play beer pong.</t>
  </si>
  <si>
    <t>A male and female reporter attempt to throw the balls at the cups.</t>
  </si>
  <si>
    <t>The woman walks away laughing as the other reporters continue to talk.</t>
  </si>
  <si>
    <t>They resume playing before the fox news icon again appears onscreen.</t>
  </si>
  <si>
    <t>v_cHSGL-OcMak</t>
  </si>
  <si>
    <t>Two people are seen walking around on stilts in the middle of a street and sidewalk.</t>
  </si>
  <si>
    <t>The walk continue walking up and down the streets on stilts passing by people and speaking.</t>
  </si>
  <si>
    <t>v_HlFnWOx53XU</t>
  </si>
  <si>
    <t>woman is standing in a field playing bagpipes.</t>
  </si>
  <si>
    <t>woman is standing in the middle of a parking lot playing bag pipes.</t>
  </si>
  <si>
    <t>a blue house is behind the woman that is playing bagpipes.</t>
  </si>
  <si>
    <t>v_bw96D55q2FI</t>
  </si>
  <si>
    <t>A skateboarder comes by and rolls in a patch of dirt by the side walk.</t>
  </si>
  <si>
    <t>A man then begins to ride his skateboard from the top of the roof down an inclined road.</t>
  </si>
  <si>
    <t>The man then begins moving and skateboarding throughout the neighborhood and interacting with the people.</t>
  </si>
  <si>
    <t>All of a sudden,the man walks through the subway and gets off his skateboard until he gets to his destination.</t>
  </si>
  <si>
    <t>He then proceeds to skate through the city,jumping over the poles and the credits begin to roll.</t>
  </si>
  <si>
    <t>v_75u6o4tXGC0</t>
  </si>
  <si>
    <t>man is standing in front of a kitchen cooking and showing the ingredients to a cook.</t>
  </si>
  <si>
    <t>man put the ingredients in a pan and cook the chicken with the salad and serve it in a plate.</t>
  </si>
  <si>
    <t>v_LrmtSSUVRaQ</t>
  </si>
  <si>
    <t>An introduction comes onto the screen for a video about casino dealing.</t>
  </si>
  <si>
    <t>A man explains that they are at a casino dealing school where they will teach people how to deal.</t>
  </si>
  <si>
    <t>Another man begins to tell and about the basics for casino dealing.</t>
  </si>
  <si>
    <t>v_rosZj4ZcPBA</t>
  </si>
  <si>
    <t>Outside a man is using a leaf blower using it to blow a pile of leaves.</t>
  </si>
  <si>
    <t>He seems to be at a park or something in the parking lot.</t>
  </si>
  <si>
    <t>He is wearing a hat and jeans and just out there by himself.</t>
  </si>
  <si>
    <t>He continues to keep blowing the pile of leaves when a dog runs by out of nowhere.</t>
  </si>
  <si>
    <t>v_zcdJNPYkIE0</t>
  </si>
  <si>
    <t>A scuba-diving man interacts underwater with a large fish.</t>
  </si>
  <si>
    <t>The man makes a pushing gesture towards the camera.</t>
  </si>
  <si>
    <t>The man makes several gestures towards the camera.</t>
  </si>
  <si>
    <t>The fish rams into the man and swims away.</t>
  </si>
  <si>
    <t>v_yVbzejdydrw</t>
  </si>
  <si>
    <t>A man holds two swords out and pretends to hit another people holding swords.</t>
  </si>
  <si>
    <t>He demonstrates again and hands the swords to another man.</t>
  </si>
  <si>
    <t>He commentates on his ability while continuing to show several sword movements.</t>
  </si>
  <si>
    <t>Other men begin to fight with the swords.</t>
  </si>
  <si>
    <t>One man falls down and acts hurt to portray a role in the play Hamlet.</t>
  </si>
  <si>
    <t>v_rMdojBVP-aM</t>
  </si>
  <si>
    <t>A camera pans around a woman standing in front of a dog balancing on a fence.</t>
  </si>
  <si>
    <t>The dog continues balancing on the fence while the camera pans around.</t>
  </si>
  <si>
    <t>The dog then jumps off the fence in the end.</t>
  </si>
  <si>
    <t>v_liI1E_ZZV5w</t>
  </si>
  <si>
    <t>A man is holding a white shoe and puts it on the ground.</t>
  </si>
  <si>
    <t>The man already has a shoe on his right foot and it tightens itself when he touches it.</t>
  </si>
  <si>
    <t>The man's face is shown and he's looking down at the shoes and then it shows the left shoe on the foot and it's tightening itself .</t>
  </si>
  <si>
    <t>The man stands up from the car and the scene reveals that it's Michael J Fox in the movie Back to the Future.</t>
  </si>
  <si>
    <t>v_Oya9LWABkf4</t>
  </si>
  <si>
    <t>A girl is outside on a boat dock holding a three hula hoops in her hands.</t>
  </si>
  <si>
    <t>She starts swinging them in her hand,around her legs,wrist,and neck and stops briefly to adjust the camera.</t>
  </si>
  <si>
    <t>The young lady then appears again with twenty to thirty hula hoops around her body swinging them back and forth before advising you to subscribe to a channel.</t>
  </si>
  <si>
    <t>v__WPcOFgi5vU</t>
  </si>
  <si>
    <t>Two men are seen standing in an enclosed room holding tennis rackets and begin hitting the ball off the wall to one another.</t>
  </si>
  <si>
    <t>The men continue walking back and fourth with the ball and hitting it off the wall as well as bumping into the wall.</t>
  </si>
  <si>
    <t>v_8zfA20hcc0o</t>
  </si>
  <si>
    <t>Two men are seen passing a ball to one another and leads into a group of people playing soccer.</t>
  </si>
  <si>
    <t>The people move up and down the court while the camera follows their movements.</t>
  </si>
  <si>
    <t>Many people watch on the sides as the group continues to play.</t>
  </si>
  <si>
    <t>v_dSHw52PBi5I</t>
  </si>
  <si>
    <t>People in an indoor pool watch on as multiple divers are taking turns and standing at the highest diving point with the word INDIANA on it as they do multiple flips before they land into the pool.</t>
  </si>
  <si>
    <t>A few woman take their turns jumping off of the highest diving point as they start in different ways, do multiple flips, then dive into the pool making small splashes as they hit the water.</t>
  </si>
  <si>
    <t>A blonde woman does a very slow handstand facing towards the pool, then pushes off and does multiple flips before she dives into the pool creating a small splash.</t>
  </si>
  <si>
    <t>When the women are finished diving, men take their turns diving from the highest point as well and they also do multiple flips before they hit the water creating a small splash.</t>
  </si>
  <si>
    <t>v_R4ES1QLRvtg</t>
  </si>
  <si>
    <t>A person in dark winter gear is using a shovel to shovel the walkway of a parking garage.</t>
  </si>
  <si>
    <t>It is night time and the street is dimly lit with the street lights.</t>
  </si>
  <si>
    <t>He continues shoveling the entire pathway while several cars drive by on the main road nearby.</t>
  </si>
  <si>
    <t>He picks up the up snow and piles it up on the corner.</t>
  </si>
  <si>
    <t>After he finishes, he walks away.</t>
  </si>
  <si>
    <t>v_zNpILhjhFbQ</t>
  </si>
  <si>
    <t>A person sits on a mat in a gym and does sit ups while holding her legs up.</t>
  </si>
  <si>
    <t>The person finishes the exercise routine and takes a break.</t>
  </si>
  <si>
    <t>A graphic is seen with a feather falling.</t>
  </si>
  <si>
    <t>v_cGqmHplppAU</t>
  </si>
  <si>
    <t>Various clips are shown of people playing on the beach as well putting sunscreen on and carrying objects.</t>
  </si>
  <si>
    <t>A large explosion is shown followed by kids fishing with a man and more clips of people playing on the beach.</t>
  </si>
  <si>
    <t>v_a50gTER-FsQ</t>
  </si>
  <si>
    <t>Three men walk into a building.</t>
  </si>
  <si>
    <t>They begin to play a game of curling.</t>
  </si>
  <si>
    <t>People are shown enjoying themselves at the curling hall and the trophies are shown that have been won.</t>
  </si>
  <si>
    <t>The men are shown in the locker preparing to curl.</t>
  </si>
  <si>
    <t>The men are shown all together posing on the ice.</t>
  </si>
  <si>
    <t>v_FkSf3pxra3M</t>
  </si>
  <si>
    <t>Many judges sit around a field, waiting the performance of an athlete.</t>
  </si>
  <si>
    <t>An athlete approaches the field area.</t>
  </si>
  <si>
    <t>The athlete spins his body around and tosses a disc with maximum force.</t>
  </si>
  <si>
    <t>v_cRDXBF2RcYI</t>
  </si>
  <si>
    <t>A person is laying back on a bed.</t>
  </si>
  <si>
    <t>A person puts wax on their leg.</t>
  </si>
  <si>
    <t>They put paper on it and rip off the hair.</t>
  </si>
  <si>
    <t>v_-ySxFjhhK4Y</t>
  </si>
  <si>
    <t>We see a man preparing and throwing shotput.</t>
  </si>
  <si>
    <t>We see a man running to measure the distance.</t>
  </si>
  <si>
    <t>We see a man standing and measure.</t>
  </si>
  <si>
    <t>We see people in the crowd cheering.</t>
  </si>
  <si>
    <t>We see the people in the bleachers again.</t>
  </si>
  <si>
    <t>We zoom in as the player walks away.</t>
  </si>
  <si>
    <t>v_K-Jzu2AmuW4</t>
  </si>
  <si>
    <t>Two women and a man dance pop music while doing different steps.</t>
  </si>
  <si>
    <t>The women and the man rise the arms while dancing, then they continue dancing and turning.</t>
  </si>
  <si>
    <t>v_3H7ZS0E90pY</t>
  </si>
  <si>
    <t>She does a gymnastic routine on the balance beam.</t>
  </si>
  <si>
    <t>She jumps off the beam and lands on the mat with her hands up.</t>
  </si>
  <si>
    <t>A woman in a blue shirt comes over and hugs her.</t>
  </si>
  <si>
    <t>v_Wr_Eu2M7U9E</t>
  </si>
  <si>
    <t>A woman walks into a garage with a rolled up paper in her hand.</t>
  </si>
  <si>
    <t>Once she leaves,a black cat is shown and it begins to crawl over everything and then the lady comes and pets it.</t>
  </si>
  <si>
    <t>The female leaves and walks into a room and starts covering the room in wall paper.</t>
  </si>
  <si>
    <t>She forgets the scissors and walks out to grab them and comes back to apply more paper on the wall.</t>
  </si>
  <si>
    <t>A break is needed and the woman get a drink from the kitchen.</t>
  </si>
  <si>
    <t>Shortly after,the lady continues her tasks and then walks outside to take her cat out.</t>
  </si>
  <si>
    <t>The wall still isn't finished and she goes back to the room to finish it rolling the outside of it to ensure its smoothness.</t>
  </si>
  <si>
    <t>As she finishes,the cat comes in the room and starts playing with a ball before returning back outside.</t>
  </si>
  <si>
    <t>The women reappears in another set of clothes to finish the wall,she finally finishes and begins to throw her hands up and collapses on the bed.</t>
  </si>
  <si>
    <t>v_ctFlPn4EfkU</t>
  </si>
  <si>
    <t>People are playing golf on the grass.</t>
  </si>
  <si>
    <t>A man hits the ball with a club.</t>
  </si>
  <si>
    <t>A man in a white hat walks behind him.</t>
  </si>
  <si>
    <t>v_OK84hJx9daQ</t>
  </si>
  <si>
    <t>The final product and credits are shown.</t>
  </si>
  <si>
    <t>Ingredients are mixed and sauteed.</t>
  </si>
  <si>
    <t>Pasta is added to the fry pan.</t>
  </si>
  <si>
    <t>Tomato paste and dry ingredients is added to the pan.</t>
  </si>
  <si>
    <t>The final product is taken from the fry pan and placed on a white plate.</t>
  </si>
  <si>
    <t>The final product and credits of the clip are shown.</t>
  </si>
  <si>
    <t>v_q66BG9h_7XI</t>
  </si>
  <si>
    <t>People are strapping on these Qloja machines to their feet.</t>
  </si>
  <si>
    <t>It takes a pretty long time to get them on and then they start to walk.</t>
  </si>
  <si>
    <t>They build up a little speed and start kind of running in a line.</t>
  </si>
  <si>
    <t>A line of about 15 people wearing these contraceptions are running on them, then a smaller group of three are bouncing up and down all around.</t>
  </si>
  <si>
    <t>v_XumLmNQiRjk</t>
  </si>
  <si>
    <t>People are playing a game of volleyball against each other.</t>
  </si>
  <si>
    <t>v_V_rril47Z5Q</t>
  </si>
  <si>
    <t>Two people choreograph a routine with nunchucks.</t>
  </si>
  <si>
    <t>The girls drop the nunchucks then dance around.</t>
  </si>
  <si>
    <t>A third person joins and then leaves.</t>
  </si>
  <si>
    <t>v_q3DzEgYmIV0</t>
  </si>
  <si>
    <t>A hand saw sits on top of a roof.</t>
  </si>
  <si>
    <t>A ladder leans on it.</t>
  </si>
  <si>
    <t>The roof is old and dilapidated.</t>
  </si>
  <si>
    <t>The camera then pans down.</t>
  </si>
  <si>
    <t>v_Kq8g8jjodvc</t>
  </si>
  <si>
    <t>A weight lifter opens his mouth wide.</t>
  </si>
  <si>
    <t>He lifts a giant barbell with all his might.</t>
  </si>
  <si>
    <t>He lifts it to his chest, then over his head.</t>
  </si>
  <si>
    <t>v_B0sXYJeZ8Xk</t>
  </si>
  <si>
    <t>A woman is seen standing in a yard with a lawn mower in front of her.</t>
  </si>
  <si>
    <t>The girl then pushes the lawn mower along the yard.</t>
  </si>
  <si>
    <t>The camera moves in closer of the woman still pushing the mower and speaking to the camera.</t>
  </si>
  <si>
    <t>v_aRZd3O6-PKw</t>
  </si>
  <si>
    <t>A man is standing outside under a tent hitting a pinata with a stick.</t>
  </si>
  <si>
    <t>After about three strings,he moves and gives the stick to a young girl with a grey and black dress on.</t>
  </si>
  <si>
    <t>Once she has the stick,she is hitting in the wrong direction and then is redirected towards the pinata and still ends up missing it.</t>
  </si>
  <si>
    <t>v_2R_TVXvocQs</t>
  </si>
  <si>
    <t>a man and a woman are dancing doing a zumba choreogaphy in the middle of stage.</t>
  </si>
  <si>
    <t>man wearing a grey shirts approach to stage and keeps dancing.</t>
  </si>
  <si>
    <t>woman wearing a pink shirt is in the background holding a white cellphone and taking pictures.</t>
  </si>
  <si>
    <t>v_W_5Mx-mfNmU</t>
  </si>
  <si>
    <t>A couple wheels a small wagon and cooler in a park area.</t>
  </si>
  <si>
    <t>Sticks are collected then a ring of stones is construct with the sticks stacked together with twigs inside.</t>
  </si>
  <si>
    <t>The bundle of woods is lit on fire and more sticks are added to keep it going.</t>
  </si>
  <si>
    <t>The man sits down in a lawn chair and enjoys the day.</t>
  </si>
  <si>
    <t>The man screws a nozzle onto a propane tank and fuels the fire with it.</t>
  </si>
  <si>
    <t>The fire is put out with a bucket of water and covered in earth.</t>
  </si>
  <si>
    <t>v__LAABOgXU1s</t>
  </si>
  <si>
    <t>A man is taking a tire off a hub with a tool.</t>
  </si>
  <si>
    <t>He then puts the tire on top of the tool to finish taking it off.</t>
  </si>
  <si>
    <t>v_f4k-dKaEZog</t>
  </si>
  <si>
    <t>A team of players run on a field.</t>
  </si>
  <si>
    <t>They are holding some sort of rackets.</t>
  </si>
  <si>
    <t>The swing them at each other.</t>
  </si>
  <si>
    <t>Some players run past a yellow line.</t>
  </si>
  <si>
    <t>v_ral5Oaib_vk</t>
  </si>
  <si>
    <t>Opening credits show the upcoming activities.</t>
  </si>
  <si>
    <t>A man in plaid is standing at a microphone acknowledging the crowd.</t>
  </si>
  <si>
    <t>He begins playing the harmonica.</t>
  </si>
  <si>
    <t>The man stops playing and dances in place.</t>
  </si>
  <si>
    <t>The man continues to play his harmonica.</t>
  </si>
  <si>
    <t>The man stop splaying and thanks the crowd as the closing credits appear.</t>
  </si>
  <si>
    <t>v_sR0hZeYm06I</t>
  </si>
  <si>
    <t>There's a little boy dressed in a red shirt and blue jeans seated on a black leather recliner.</t>
  </si>
  <si>
    <t>He is sitting with his hands stretched out.</t>
  </si>
  <si>
    <t>A man standing next to him with a small stick is tickling the boy's hand with the stick.</t>
  </si>
  <si>
    <t>The boy seems to like it and asks him to do it on his other hand too.</t>
  </si>
  <si>
    <t>The man tickles the little boy's other hand too.</t>
  </si>
  <si>
    <t>The boy smiles and asks for more.</t>
  </si>
  <si>
    <t>v_mWOa-0w0Bls</t>
  </si>
  <si>
    <t>A camera pans around grass and leads to a fence.</t>
  </si>
  <si>
    <t>The camera pans all around the fence with flowers on the side.</t>
  </si>
  <si>
    <t>The camera continues to pan around the fence and the different colors.</t>
  </si>
  <si>
    <t>v_NLkJgnrKaKM</t>
  </si>
  <si>
    <t>A man takes a hookah and exhales smoke rings.</t>
  </si>
  <si>
    <t>He inhales and does it again.</t>
  </si>
  <si>
    <t>v_5fMtHNSIOAE</t>
  </si>
  <si>
    <t>Eight middle aged white men are on one of a rope attempting to win a game of tug-of-war outside in a field at what looks to be a tournament.</t>
  </si>
  <si>
    <t>As the game begins,the men all fall into a slanted position as they struggle to pull the rope.</t>
  </si>
  <si>
    <t>Suddenly, a man from the sides begins to talk to the man in the front and gets in his face as if he's giving him a pep talk to stay strong,win,and not let the other team get the best of him.</t>
  </si>
  <si>
    <t>The game continues and you can see that the team is being drug but they suddenly gain strength and pull the rope back to their side,then they all stand up as the game is finished.</t>
  </si>
  <si>
    <t>v_2I9xymLVssI</t>
  </si>
  <si>
    <t>Two people get into an truck.</t>
  </si>
  <si>
    <t>They drive onto the street.</t>
  </si>
  <si>
    <t>A man carrying a ladder sets it against a house.</t>
  </si>
  <si>
    <t>The woman watches the man.</t>
  </si>
  <si>
    <t>The man looks at the roof of the house on the ladder.</t>
  </si>
  <si>
    <t>He shows her something and she holds it in her hand.</t>
  </si>
  <si>
    <t>A man talks in front of a house.</t>
  </si>
  <si>
    <t>A man climbs a ladder and looks at a roof.</t>
  </si>
  <si>
    <t>A man goes through a stack of papers.</t>
  </si>
  <si>
    <t>It shows the papers on the screen.</t>
  </si>
  <si>
    <t>v_xYM6h31PrM0</t>
  </si>
  <si>
    <t>A gymnast is seen standing before a beam raising her arms up and others watching on the side.</t>
  </si>
  <si>
    <t>The woman then performs a gymnasts routine in front of a large group of people.</t>
  </si>
  <si>
    <t>She falls off at one point and jumps back on to finish her routine and ends by jumping off the side.</t>
  </si>
  <si>
    <t>v_qsTCTQo-wI8</t>
  </si>
  <si>
    <t>A man is explaining how to play the drums on bongos.</t>
  </si>
  <si>
    <t>He demonstrates how he alternates between three bongos.</t>
  </si>
  <si>
    <t>He later switches to a much slower beat and rhythm by drumming on the bongos.</t>
  </si>
  <si>
    <t>He explains how the beats on the drum changes as the rhythm changes.</t>
  </si>
  <si>
    <t>He then switches back to a faster beat and rhythm on the drums by alternating between two drums.</t>
  </si>
  <si>
    <t>v_8lw8uAimUXI</t>
  </si>
  <si>
    <t>A woman stands at the end of a diving board.</t>
  </si>
  <si>
    <t>She lightly bounces up and down.</t>
  </si>
  <si>
    <t>She then does a backflip into the water.</t>
  </si>
  <si>
    <t>v_2IRQ5fPwHV8</t>
  </si>
  <si>
    <t>A group of women are gathered in a room, then go to the beach.</t>
  </si>
  <si>
    <t>A woman photographs the others under the pier.</t>
  </si>
  <si>
    <t>They talk to the camera between shoots.</t>
  </si>
  <si>
    <t>v_Fg_VZJAtByk</t>
  </si>
  <si>
    <t>A man takes a moment to himself before he starts playing the guitar.</t>
  </si>
  <si>
    <t>The man plays the guitar.</t>
  </si>
  <si>
    <t>The man quits playing the guitar.</t>
  </si>
  <si>
    <t>v_hiEVVSgAhls</t>
  </si>
  <si>
    <t>Two people are playing a game of ping pong.</t>
  </si>
  <si>
    <t>People are playing basketball behind them.</t>
  </si>
  <si>
    <t>The man grabs the ball again and serves it across the table.</t>
  </si>
  <si>
    <t>The man is holding a phone and taking a picture with the girl.</t>
  </si>
  <si>
    <t>v_B0rorWq-j44</t>
  </si>
  <si>
    <t>An elderly lady in a neck brace yells at the camera in a grocery store.</t>
  </si>
  <si>
    <t>The lady vacuums the floor in the store.</t>
  </si>
  <si>
    <t>The lady dances to the music and pretends to play a guitar.</t>
  </si>
  <si>
    <t>The lady takes off her sunglasses and talks to the camera.</t>
  </si>
  <si>
    <t>We end seeing her standing in an aisle.</t>
  </si>
  <si>
    <t>v_4A49mkP6HsM</t>
  </si>
  <si>
    <t>There is a group of Korean Pop singers performing on a stage.</t>
  </si>
  <si>
    <t>One of the singers is playing the violin while the audience cheers and claps for him.</t>
  </si>
  <si>
    <t>Then another singer grabs the mic and talks to the audience.</t>
  </si>
  <si>
    <t>The audience applaud and smile as they watch.</t>
  </si>
  <si>
    <t>The performer sings as he plays the violin and then bows down in front of the audience.</t>
  </si>
  <si>
    <t>The crowd cheers and claps for him.</t>
  </si>
  <si>
    <t>v_jBvGvVw3R-Q</t>
  </si>
  <si>
    <t>A man is standing in a gym preparing to lift a set of weights placed on a bar.</t>
  </si>
  <si>
    <t>Next the screen flashes to a younger male jerking and then drops the bar on the ground.</t>
  </si>
  <si>
    <t>Several more people are shown lifting weights and dropping them on the ground.</t>
  </si>
  <si>
    <t>The man begins to dance as he lifts and drops the bar and the continuation of weightlifting is repeated.</t>
  </si>
  <si>
    <t>After,the men continue walking around the gym eating a protein bar.</t>
  </si>
  <si>
    <t>v_HsklqPvsMEQ</t>
  </si>
  <si>
    <t>A person is seen aiming a paintball gun off into the distance in a large field.</t>
  </si>
  <si>
    <t>Many people watch on the side as the man aims.</t>
  </si>
  <si>
    <t>Suddenly another person comes into frame and plays with the man.</t>
  </si>
  <si>
    <t>v_N3rFdrfE3q8</t>
  </si>
  <si>
    <t>A boy picks up a rake off the ground and carries it.</t>
  </si>
  <si>
    <t>A man goes down a slide wearing a blue helmet.</t>
  </si>
  <si>
    <t>He falls onto the ground after going down the slide.</t>
  </si>
  <si>
    <t>v_gzyu1S2LNIw</t>
  </si>
  <si>
    <t>A small group of girls are seen standing ready holding flags and lead into them performing a routine.</t>
  </si>
  <si>
    <t>A man sits in front of them playing an instrument while they continue spinning and many on the sides watch.</t>
  </si>
  <si>
    <t>v_jgNeMnPVfkQ</t>
  </si>
  <si>
    <t>A player on the orange team skates with the puck until he is tripped up and falls.</t>
  </si>
  <si>
    <t>Player 18 on the grey team retrieves the puck and makes a break down the ice perused by defenders.</t>
  </si>
  <si>
    <t>Player 18 takes a shot on the goal.</t>
  </si>
  <si>
    <t>The goalie on the orange team blocks the shot and puts the puck back into play.</t>
  </si>
  <si>
    <t>Player 4 on the orange team takes the puck down the ice passing once to himself passed defenders.</t>
  </si>
  <si>
    <t>Player 4 takes a shot on the goal and scores.</t>
  </si>
  <si>
    <t>Player 4 and teammates celebrate and the win and skate off the ice.</t>
  </si>
  <si>
    <t>v_9WDvq8LXrxU</t>
  </si>
  <si>
    <t>A seated man cleans a shoe in a classroom setting with other individuals.</t>
  </si>
  <si>
    <t>The man turns to the camera and smiles.</t>
  </si>
  <si>
    <t>The man laughs as he holds the shoe downwards.</t>
  </si>
  <si>
    <t>v_jzGsvw5Douk</t>
  </si>
  <si>
    <t>We see rafts and people in a building.</t>
  </si>
  <si>
    <t>People board a bus and exit at a water park.</t>
  </si>
  <si>
    <t>People grab rafts,and people on rafts fill a river.</t>
  </si>
  <si>
    <t>We see an artificial waterfall and people sliding through it.</t>
  </si>
  <si>
    <t>A person falls out of their raft.</t>
  </si>
  <si>
    <t>A man holding a selfie stick is riding a raft.</t>
  </si>
  <si>
    <t>Another man holding a selfie stick.</t>
  </si>
  <si>
    <t>We see the phone number and credits for the video.</t>
  </si>
  <si>
    <t>v_c9bvuUO9Q0Q</t>
  </si>
  <si>
    <t>A small group of people are seen standing outside with one being blindfolded and holding a bat.</t>
  </si>
  <si>
    <t>A person then pulls up a pinata and begins swinging at the object.</t>
  </si>
  <si>
    <t>The boy moves his hands around and continues to swing at the object.</t>
  </si>
  <si>
    <t>v_uqiooW1OAXU</t>
  </si>
  <si>
    <t>People gather in a tour facility in the dessert.</t>
  </si>
  <si>
    <t>Then, people rides camels pulled by men.</t>
  </si>
  <si>
    <t>The caravan advance in the desert, while the camels walk in line.</t>
  </si>
  <si>
    <t>A white car parks behind the camels.</t>
  </si>
  <si>
    <t>Then, the man makes kneel the camels and people get down the camels.</t>
  </si>
  <si>
    <t>After, a group of tourists rides camels and pass on front the tour facility.</t>
  </si>
  <si>
    <t>v_ABmZdlZEZOY</t>
  </si>
  <si>
    <t>An intro leads into several shots of divers moving around the ocean and passing various fish and items under water.</t>
  </si>
  <si>
    <t>The diver comes above the water holding a tank and spins around while the camera follows.</t>
  </si>
  <si>
    <t>v_Y34oqcxYmWc</t>
  </si>
  <si>
    <t>A man and a woman are dancing on a dance floor in front of a crowd of people.</t>
  </si>
  <si>
    <t>The crowd applauds for them.</t>
  </si>
  <si>
    <t>The couple hugs and bows for the crowd.</t>
  </si>
  <si>
    <t>v_p1yiPvIkRec</t>
  </si>
  <si>
    <t>A person is seen sitting on a bench holding a rubix cube.</t>
  </si>
  <si>
    <t>The person then begins moving their hands around the solve the cube.</t>
  </si>
  <si>
    <t>The person solves the cube then turns the camera off.</t>
  </si>
  <si>
    <t>v_HGtfDm5EOtc</t>
  </si>
  <si>
    <t>Two men are seen swinging their arms and legs around one another while a group of people stand around and watch them.</t>
  </si>
  <si>
    <t>The men continue spinning around wile people clap and end with them shaking each other's hands.</t>
  </si>
  <si>
    <t>v_n--fgqwuTTI</t>
  </si>
  <si>
    <t>A person is putting something on a chain of a bike.</t>
  </si>
  <si>
    <t>They use a blue tool to take the chain apart.</t>
  </si>
  <si>
    <t>They put it back together using a tool.</t>
  </si>
  <si>
    <t>v_fRmHJKlQmmw</t>
  </si>
  <si>
    <t>A man is doing a gymnastic routine on a balance beam.</t>
  </si>
  <si>
    <t>He jumps off the beam onto a mat.</t>
  </si>
  <si>
    <t>Another man jumps onto a balance beam and does a routine.</t>
  </si>
  <si>
    <t>v_EP9Ul7UdzYI</t>
  </si>
  <si>
    <t>Several men dressed for the cold are waiting in a room outside the snow.</t>
  </si>
  <si>
    <t>They go outside, prepared to ski.</t>
  </si>
  <si>
    <t>They begin skiing, going down a steep hill, moving side to side and angling through the snow covered trees.</t>
  </si>
  <si>
    <t>v_ksk7okDk_wY</t>
  </si>
  <si>
    <t>A group of people are on an outdoor court on the beach.</t>
  </si>
  <si>
    <t>They are playing a game of volleyball.</t>
  </si>
  <si>
    <t>They kick and hit the ball back and forth, celebrating when they win as the crowd claps and cheers.</t>
  </si>
  <si>
    <t>v_mdXSm8Yr6aU</t>
  </si>
  <si>
    <t>A little girl is on a swing set next to her baby brother.</t>
  </si>
  <si>
    <t>They are being pushed as they swing back and forth.</t>
  </si>
  <si>
    <t>v_FxGXQIH3-RQ</t>
  </si>
  <si>
    <t>People walk around cars and tents and sit in chairs in the background doing different things.</t>
  </si>
  <si>
    <t>A man and a dog are in the middle of a field preparing to play frisbee.</t>
  </si>
  <si>
    <t>The man throws a frisbee and the dog runs, catches it and brings it back.</t>
  </si>
  <si>
    <t>The dog is very excited preparing for his next trick.</t>
  </si>
  <si>
    <t>The man kneels down and throws frisbees for the dog as he rolls, flips and walks around.</t>
  </si>
  <si>
    <t>A second man joins the first man on the field and they both raise an arm and then turn to walk away together.</t>
  </si>
  <si>
    <t>v_6_NquDQUFm0</t>
  </si>
  <si>
    <t>A woman is seen running back and fourth on a small track and leads into her putting a helmet on.</t>
  </si>
  <si>
    <t>She grabs a pole and runs down the track jumping over a bar and onto a mat.</t>
  </si>
  <si>
    <t>She jumps up and walks over to a group of people keeping her score.</t>
  </si>
  <si>
    <t>v_c1eUdyyT4zg</t>
  </si>
  <si>
    <t>kids are driving bumper cars in an amusement park.</t>
  </si>
  <si>
    <t>parents are sitting on bumper cars with his children.</t>
  </si>
  <si>
    <t>man wearing a yellow vest is sitting on the background.</t>
  </si>
  <si>
    <t>v_ffGPrFNbQkA</t>
  </si>
  <si>
    <t>A large group of people are seen wearing protective hear and wandering around an area speaking to one another.</t>
  </si>
  <si>
    <t>Another person runs in and speaks to the others while holding a gun and others aiming over the sides.</t>
  </si>
  <si>
    <t>A woman grabs a toy giraffe while others react and others watch in the distance.</t>
  </si>
  <si>
    <t>v_PBxI7l0AqAY</t>
  </si>
  <si>
    <t>A man is speaking about how things works while a woman works on a horse.</t>
  </si>
  <si>
    <t>As he speaks he washes his hands with some hand sanitizer.</t>
  </si>
  <si>
    <t>Then he gets soap and starts to wash his hands very throughly.</t>
  </si>
  <si>
    <t>He grabs a napkin and dries his hands off still continuing to speak.</t>
  </si>
  <si>
    <t>v_j5D5FR6Xtps</t>
  </si>
  <si>
    <t>A person is seen holding a woman's long hair as well as a brush in his hands.</t>
  </si>
  <si>
    <t>The man continues playing with the hair and leads into him brushing the hair and braiding it.</t>
  </si>
  <si>
    <t>v_Wir90-9HmAI</t>
  </si>
  <si>
    <t>Two people are seen sitting at a table speaking with cups of coffees on the table in front of them.</t>
  </si>
  <si>
    <t>The man is then seen sitting alone in various locations and then begins dancing on a wall.</t>
  </si>
  <si>
    <t>He then is shown waking up in his bed assuming it was all a dream.</t>
  </si>
  <si>
    <t>v_UyORfPxpaGo</t>
  </si>
  <si>
    <t>A boy sitting on a bunk bed.</t>
  </si>
  <si>
    <t>Another boy approaches as he wraps his legs around his neck.</t>
  </si>
  <si>
    <t>The second boy spins him around and slams him to the ground.</t>
  </si>
  <si>
    <t>v_M6xFXdXOzzc</t>
  </si>
  <si>
    <t>There are 4 people who are all playing badminton and the boy in the white shirt is the first one to serve to the man in the black shirt.</t>
  </si>
  <si>
    <t>Then the man wearing the black shirt serves to the boy whose wearing the gold shirt.</t>
  </si>
  <si>
    <t>Then the boy who's wearing the white shirt hits the shuttlecock and serves to the girl who's wearing the pink shirt and the game goes on and everyone keeps serving to each other and they all use different shuttlecocks.</t>
  </si>
  <si>
    <t>v_G4XDVF_hYZc</t>
  </si>
  <si>
    <t>A boy is sitting at a table fiddling with a Rubik's cube and then places it on the table.</t>
  </si>
  <si>
    <t>The boy then picks it up and begins competing with four other males to solve it.</t>
  </si>
  <si>
    <t>Once solved,the boy slams his arms against a black bar that stops the timer and the judge times him at 20 seconds.</t>
  </si>
  <si>
    <t>v_ptukoEe5jvI</t>
  </si>
  <si>
    <t>A group of beach goers play a game of volley ball on a busy beach wearing swimsuits.</t>
  </si>
  <si>
    <t>A woman dances after making a serve and hugs her friend.</t>
  </si>
  <si>
    <t>A player scores a point and gives teammate a high five.</t>
  </si>
  <si>
    <t>Beach goers are seen playing in the water.</t>
  </si>
  <si>
    <t>v_HpQrpwNgCjc</t>
  </si>
  <si>
    <t>A close up of a high dive is shown followed by people walking up the steps.</t>
  </si>
  <si>
    <t>Suddenly a person is seen jumping off of the high dive and into the pool.</t>
  </si>
  <si>
    <t>v_j_q_MOjw80Q</t>
  </si>
  <si>
    <t>A close up of ingredients are shown followed by a man licking the spoon and mixing ingredients into a pot.</t>
  </si>
  <si>
    <t>He mixes more ingredients in a blender and squishes them all into balls to put in the oven.</t>
  </si>
  <si>
    <t>He takes them out and finishes by decorating them.</t>
  </si>
  <si>
    <t>v_bxRZ-Lvjgzk</t>
  </si>
  <si>
    <t>An intro leads into A close up of a painting and a paintbrush swirling around and around.</t>
  </si>
  <si>
    <t>The hand holding the brush begins painting grass into the painting slowly down the picture.</t>
  </si>
  <si>
    <t>v_F7V-FqgG3T8</t>
  </si>
  <si>
    <t>Two men are standing in a room playing a game of tennis.</t>
  </si>
  <si>
    <t>Behind the man,there is a row of kids sitting against the wall where a row of kids are watching them play.</t>
  </si>
  <si>
    <t>The game continues,the child holds his own until the adult ends up hitting it and the kid is not able to return the ball.</t>
  </si>
  <si>
    <t>v_5R3h6lxne90</t>
  </si>
  <si>
    <t>There are two news anchors, a lady and a gentleman both dressed in black presenting a news section.</t>
  </si>
  <si>
    <t>The lady is holding two small cards in her hands as she talks about the product to the viewers.</t>
  </si>
  <si>
    <t>There is another lady seated on a table along with two other women, demonstrating how to wear colored lenses in eyes.</t>
  </si>
  <si>
    <t>They are talking and discussing about the lenses and how it works.</t>
  </si>
  <si>
    <t>There's a commercial shown where the same lenses are worn by several people to show how it can be used.</t>
  </si>
  <si>
    <t>a doctor in a lab coat talks about the lenses too, while people are showing how to use them.</t>
  </si>
  <si>
    <t>Another news anchor also talks about the same lenses and how it has become a dangerous trend among teenagers.</t>
  </si>
  <si>
    <t>The lady news anchor comes back with the male news anchor to continue the program.</t>
  </si>
  <si>
    <t>v_0lzqfDIWXtw</t>
  </si>
  <si>
    <t>Several players are shown on an ice rink.</t>
  </si>
  <si>
    <t>They are engaged in different games of curling.</t>
  </si>
  <si>
    <t>They use their bats to move the puck, high fiving when they are done.</t>
  </si>
  <si>
    <t>v_BC0cgv8YgTg</t>
  </si>
  <si>
    <t>A cartoon network show is played.</t>
  </si>
  <si>
    <t>A blue character chops a block but fails several times.</t>
  </si>
  <si>
    <t>v_lVMMPkvnid8</t>
  </si>
  <si>
    <t>Team of Bolivian bowlers get ready to start bowling by practicing a technique taught by Jason Belmont by putting two fingers in the holes and using two hands to spin the ball.</t>
  </si>
  <si>
    <t>The young amateur players begin to bowl using the two handed technique.</t>
  </si>
  <si>
    <t>The president of the Bowling Federation Marcelo Garafulic is introduced.</t>
  </si>
  <si>
    <t>The announcer begins explaining how the team of Bolivian bowlers are training and more practice is shown.</t>
  </si>
  <si>
    <t>Garafulic starts to explain clinics and the medals they have won breaking perfect games.</t>
  </si>
  <si>
    <t>The bowlers are shown practicing once again.</t>
  </si>
  <si>
    <t>v_8GqAgX-kseE</t>
  </si>
  <si>
    <t>A boy is barefoot, pushing a lawn mower in his yard.</t>
  </si>
  <si>
    <t>A little girl runs by as he mows.</t>
  </si>
  <si>
    <t>v_uaGy1W-EYWU</t>
  </si>
  <si>
    <t>A man is in a room with a crowd of people watching him as he prepares to perform.</t>
  </si>
  <si>
    <t>The male stands up right and puts a blue plastic chair between his legs and starts spinning around his head.</t>
  </si>
  <si>
    <t>Once he is done,another person comes up and he begins spinning around on his head as a colorful hula hoop begins spinning around his waist.</t>
  </si>
  <si>
    <t>He completes his performance and the crowd jumps up and congratulates the man.</t>
  </si>
  <si>
    <t>v_gaILpaBa7M8</t>
  </si>
  <si>
    <t>A electric machine is attached to the end of a ping pong table and is moving with the motion senses of a person's hand.</t>
  </si>
  <si>
    <t>After,several balls are then thrown towards the paddle and returned by the machine.</t>
  </si>
  <si>
    <t>The person then walks across the table and begins hitting the balls faster and the machine speeds up to hit the ball.</t>
  </si>
  <si>
    <t>v_pF8jt67vTDY</t>
  </si>
  <si>
    <t>Adults are playing a game of volley ball on a court.</t>
  </si>
  <si>
    <t>v_FV2TzKt9MdI</t>
  </si>
  <si>
    <t>People are working out on spin bikes.</t>
  </si>
  <si>
    <t>A woman in a yellow tank top talks to the camera.</t>
  </si>
  <si>
    <t>A woman in a green tank top talks to the camera.</t>
  </si>
  <si>
    <t>v_ZZVrH3Hv1fM</t>
  </si>
  <si>
    <t>A woman is seen walking into frame and speaking to the camera while holding various objects in her hands.</t>
  </si>
  <si>
    <t>She continues to pull out more objects while still speaking to the camera.</t>
  </si>
  <si>
    <t>v_IwSUfrzxFnU</t>
  </si>
  <si>
    <t>Two boys walk down a sidewalk near a pool.</t>
  </si>
  <si>
    <t>There are lots of people doing different things in and around the pool.</t>
  </si>
  <si>
    <t>Some boys jump off of the diving boards doing flips and other tricks.</t>
  </si>
  <si>
    <t>v_AonniE_CsPY</t>
  </si>
  <si>
    <t>People have their hands on a casino table.</t>
  </si>
  <si>
    <t>v_iazhs1cz_1Q</t>
  </si>
  <si>
    <t>A woman is sitting behind a piano.</t>
  </si>
  <si>
    <t>A child is sitting behind a keyboard playing it.</t>
  </si>
  <si>
    <t>Pictures of pianos are shown at the end.</t>
  </si>
  <si>
    <t>v_qcA3mFHfo84</t>
  </si>
  <si>
    <t>A girl is shown several times running on a track.</t>
  </si>
  <si>
    <t>She uses a pole to vault over a bar.</t>
  </si>
  <si>
    <t>She lands on a mat on the other side.</t>
  </si>
  <si>
    <t>v_-FbWTFJ3kV0</t>
  </si>
  <si>
    <t>A boat that has a blue sail with two people is sailing in a body of water.</t>
  </si>
  <si>
    <t>The person at the front of the boat is leaning off to the side and is seemingly hitting the water.</t>
  </si>
  <si>
    <t>The water starts to become more and more choppy.</t>
  </si>
  <si>
    <t>The boat makes a turn to the right.</t>
  </si>
  <si>
    <t>The boat begins to head to the shore.</t>
  </si>
  <si>
    <t>v_rbnlUn4UNSk</t>
  </si>
  <si>
    <t>We see two people under water in a pool.</t>
  </si>
  <si>
    <t>The people exchange one flipper.</t>
  </si>
  <si>
    <t>The men start to share a breather.</t>
  </si>
  <si>
    <t>The exchange their other flippers.</t>
  </si>
  <si>
    <t>The men change their air equipment.</t>
  </si>
  <si>
    <t>The right man is unable to find the arm hole.</t>
  </si>
  <si>
    <t>v_rse-MW1helQ</t>
  </si>
  <si>
    <t>First the people are shown swimming backwards.</t>
  </si>
  <si>
    <t>Then they are shown playing volleyball in the water.</t>
  </si>
  <si>
    <t>v_bru03d1k6DY</t>
  </si>
  <si>
    <t>A woman is talking in front of an image of two deer on a plain.</t>
  </si>
  <si>
    <t>We thensee a man talking as they drill holes in the ice.</t>
  </si>
  <si>
    <t>Some booth serve hot dogs to the people as they ice fish.</t>
  </si>
  <si>
    <t>A little boy and girl attempt to catch a fish.</t>
  </si>
  <si>
    <t>They are interviewed as they fish.</t>
  </si>
  <si>
    <t>v_sjHCZWdopsQ</t>
  </si>
  <si>
    <t>The fingers are pressing the black keys.</t>
  </si>
  <si>
    <t>One finger is pressing one key.</t>
  </si>
  <si>
    <t>The fingers are moving to different keys and pressing them.</t>
  </si>
  <si>
    <t>v_B8WIh6PUjE0</t>
  </si>
  <si>
    <t>A woman is seen speaking to the camera using her hands and leads into her kneeling down dumping a bucket.</t>
  </si>
  <si>
    <t>She then uses a rake to rub it all the dirt around the tree while still stopping to speak to the camera.</t>
  </si>
  <si>
    <t>v_TsPh4-BsCYk</t>
  </si>
  <si>
    <t>A woman is shown holding a shot put and talking to the camera while standing in a large gym.</t>
  </si>
  <si>
    <t>She demonstrates how to properly throw the tool and performs several throws to show how it's one correctly.</t>
  </si>
  <si>
    <t>v_Zi2Pah5-BXI</t>
  </si>
  <si>
    <t>The exterior a store is seen from the parking lot.</t>
  </si>
  <si>
    <t>A man sits on a wooden bench up against a window with trophies.</t>
  </si>
  <si>
    <t>The man talks while a seated with a tattoo artist working on his shoulder.</t>
  </si>
  <si>
    <t>The tattoo artist wipes the area that he is working on and continues drawing.</t>
  </si>
  <si>
    <t>The tattoo artist turns off the light and stops his work.</t>
  </si>
  <si>
    <t>The man stands up and shows off his tattoo.</t>
  </si>
  <si>
    <t>v_6LADh__9LUI</t>
  </si>
  <si>
    <t>men are on sides of a car polishing a blue car in a hand car wash.</t>
  </si>
  <si>
    <t>blue car is inside a blue car wash and men are polishing it.</t>
  </si>
  <si>
    <t>men are holding clothes on them hands cleaning the car.</t>
  </si>
  <si>
    <t>v_uyBGDfYo0qE</t>
  </si>
  <si>
    <t>A person is vacuuming in a hallway.</t>
  </si>
  <si>
    <t>A toddler in pajamas runs past frantically, running into other rooms and jumping excitedly because he wants to be picked up.</t>
  </si>
  <si>
    <t>He is angry when his mother goes into the bathroom with the vacuum.</t>
  </si>
  <si>
    <t>The woman gives the boy the vacuum, and he vacuums the floors.</t>
  </si>
  <si>
    <t>v_FpxVS1Xpl1U</t>
  </si>
  <si>
    <t>people are sitting in chairs in pool.</t>
  </si>
  <si>
    <t>man and woman are talking and presenting the man that walks by the pool.</t>
  </si>
  <si>
    <t>man is weightlifting and doing a big jump from a trampoline and talking to the camera.</t>
  </si>
  <si>
    <t>a big platfom is shown and a man is being interviewed by a woman in top of trampoline.</t>
  </si>
  <si>
    <t>woman in audience is screaming and throwing kisses.</t>
  </si>
  <si>
    <t>man is on the 10 m trampoline and make a hand stand to make the jump to the pool.</t>
  </si>
  <si>
    <t>woman is impressed siting by the pool and have her hands on her face.</t>
  </si>
  <si>
    <t>presentator is interviewing the man.</t>
  </si>
  <si>
    <t>v_dcclQadR-L0</t>
  </si>
  <si>
    <t>A group of people are riding on horses on a field.</t>
  </si>
  <si>
    <t>They start a game of polo.</t>
  </si>
  <si>
    <t>They race their horses, trying to get the ball.</t>
  </si>
  <si>
    <t>v_r0P0egQt-jU</t>
  </si>
  <si>
    <t>Women are standing on the sand watching while some other women surf.</t>
  </si>
  <si>
    <t>A few of them are out there in the ocean riding on the waves enjoying the ride.</t>
  </si>
  <si>
    <t>One of them only has one arm and she surfs so well, its amazing.</t>
  </si>
  <si>
    <t>They carry her over and then 4 girls stand while they get gifts for their performance and the one handed girl gets to talk about it.</t>
  </si>
  <si>
    <t>v_KrHpGJBzjJk</t>
  </si>
  <si>
    <t>A woman in a dark room plays the drums with his hand.</t>
  </si>
  <si>
    <t>The camera tilts on it's side then goes back upright.</t>
  </si>
  <si>
    <t>We see the room around the lady.</t>
  </si>
  <si>
    <t>v_ORI5ZNZARw8</t>
  </si>
  <si>
    <t>A woman is seen sitting on a piece of exercise equipment looking forward.</t>
  </si>
  <si>
    <t>She then grabs the lever in front and begins pulling herself.</t>
  </si>
  <si>
    <t>The girl then pulls herself back and fourth on the machine while the camera captures her movements.</t>
  </si>
  <si>
    <t>v_w--HmpjK-s8</t>
  </si>
  <si>
    <t>A man with dreads is talking and getting his instruments together to make some music.</t>
  </si>
  <si>
    <t>he is jamming out in the car very happily.</t>
  </si>
  <si>
    <t>There is a lot of traffic and and ambulence driving by too.</t>
  </si>
  <si>
    <t>He records all of the music on a laptop.</t>
  </si>
  <si>
    <t>v_XtqTatsTGNY</t>
  </si>
  <si>
    <t>The boy stands at the bottom of a small staircase and then he walks up to slide down the blue slide.</t>
  </si>
  <si>
    <t>When he's done sliding down he runs away and tries to go out the gate.</t>
  </si>
  <si>
    <t>v_1stYB5_yR5k</t>
  </si>
  <si>
    <t>man is talking to the camera cleaning a wooden shed and start painting it.</t>
  </si>
  <si>
    <t>the man mix the paint and with a brush varnish all the shed.</t>
  </si>
  <si>
    <t>at the end the man talks to the camera and shows the materials list.</t>
  </si>
  <si>
    <t>v_HUzoMRdSrZo</t>
  </si>
  <si>
    <t>We see a city scene at night.</t>
  </si>
  <si>
    <t>We see people playing soccer outdoors at night.</t>
  </si>
  <si>
    <t>A man falls on the ground.</t>
  </si>
  <si>
    <t>We see a man shifting the ball with his feet.</t>
  </si>
  <si>
    <t>We see two men high five each other.</t>
  </si>
  <si>
    <t>We see the closing tile screen.</t>
  </si>
  <si>
    <t>v_Y9EIH-A_ePo</t>
  </si>
  <si>
    <t>Two girls are outside in a yard.</t>
  </si>
  <si>
    <t>They are bouncing and throwing a ball to each other.</t>
  </si>
  <si>
    <t>They chase each other with the ball playfully.</t>
  </si>
  <si>
    <t>They run up to the camera and talk for a while.</t>
  </si>
  <si>
    <t>v_E7rhlhVA0SY</t>
  </si>
  <si>
    <t>We see a Gelato store outside.</t>
  </si>
  <si>
    <t>We see a title screen for a cake.</t>
  </si>
  <si>
    <t>We then see a lady cooking.</t>
  </si>
  <si>
    <t>The lady puts gelato in a bowl.</t>
  </si>
  <si>
    <t>The lady puts rice crispies on it.</t>
  </si>
  <si>
    <t>The lady puts a dome in a chocolate dome and puts a crispies circle on it.</t>
  </si>
  <si>
    <t>The lady puts holes in a chocolate dome.</t>
  </si>
  <si>
    <t>The lady sprays the domes.</t>
  </si>
  <si>
    <t>The lady puts the red dome on top of a black one and put the dome with holes on top of it.</t>
  </si>
  <si>
    <t>The lady puts the cake in a display case.</t>
  </si>
  <si>
    <t>v_LaWCwEG6n3w</t>
  </si>
  <si>
    <t>A person is seen standing off in the distance with another standing around a hole.</t>
  </si>
  <si>
    <t>The person uses a fishing pole on the hole and attempts to pull out a fish.</t>
  </si>
  <si>
    <t>The person continues pulling while the other watches on the side.</t>
  </si>
  <si>
    <t>v_padyJHC5Y5Y</t>
  </si>
  <si>
    <t>A woman is seen brushing wet hair and rubbing lotion all throughout her hair.</t>
  </si>
  <si>
    <t>She then blow dries her hair and is seen again with her hair pinned up around the top.</t>
  </si>
  <si>
    <t>She blow dries the bottom of her hair and is then seen again with all of her hair pinned up.</t>
  </si>
  <si>
    <t>She undoes the pins to show off her new hair.</t>
  </si>
  <si>
    <t>v_w30TFlJiRKA</t>
  </si>
  <si>
    <t>A little boy plays piano in a home, then, he bends to the left and talks.</t>
  </si>
  <si>
    <t>After, the boy continues playing the piano, then he takes a rest.</t>
  </si>
  <si>
    <t>The boy change clothes and continues playing the piano.</t>
  </si>
  <si>
    <t>v_CsyHOM8ngZA</t>
  </si>
  <si>
    <t>A shaggy dog is getting a bath from a veterinarian.</t>
  </si>
  <si>
    <t>The veterinarian is blow drying the dog after washing it.</t>
  </si>
  <si>
    <t>A different vet is petting and brushing the dog.</t>
  </si>
  <si>
    <t>A video montage of the dog plays and then credits roll.</t>
  </si>
  <si>
    <t>v_I4_jFA46Uio</t>
  </si>
  <si>
    <t>A little girl is standing in front of a kitchen sink.</t>
  </si>
  <si>
    <t>She has a bowl and a knife in her hand.</t>
  </si>
  <si>
    <t>She is peeling potatoes with the knife.</t>
  </si>
  <si>
    <t>v_ufxyjYMKe7c</t>
  </si>
  <si>
    <t>Two boys in matching shirts sit on a sofa and talk with a candy toy in their hands as they hold the candy up to the camera, play with the candy toy buttons and talk.</t>
  </si>
  <si>
    <t>The two boys mock fight with the toy candy, which is shaped like a hand with retractable fingers, and the camera speeds up when they do this.</t>
  </si>
  <si>
    <t>The boys then switch toys and open the toy candy at which point they begin to eat the candy and talk while chewing.</t>
  </si>
  <si>
    <t>A closeup of the toy candy is then shown, with the candy lying on a maroon backdrop and posed.</t>
  </si>
  <si>
    <t>v_GiHxeCLGNy8</t>
  </si>
  <si>
    <t>A person is at a camp fire poking around at the wood.</t>
  </si>
  <si>
    <t>The camera moves over to a little boy as he is talking to the camera person.</t>
  </si>
  <si>
    <t>The camera person continues to narrate the situation as he records the fire.</t>
  </si>
  <si>
    <t>v_yL7tvoBkkkI</t>
  </si>
  <si>
    <t>Various people are seen from a bird's eye view working in rough conditions out in the open.</t>
  </si>
  <si>
    <t>They are scrubbing clothes and hanging them up while the camera pans around and watches.</t>
  </si>
  <si>
    <t>v_FXl3qRRs9jw</t>
  </si>
  <si>
    <t>People are walking next to a bull.</t>
  </si>
  <si>
    <t>There is a large group walking behind the bull.</t>
  </si>
  <si>
    <t>There is another bull and they start fighting.</t>
  </si>
  <si>
    <t>The crowd is rallying around the bulls.</t>
  </si>
  <si>
    <t>A man in a red shirt is talking into a microphone.</t>
  </si>
  <si>
    <t>A man is putting a black shirt on.</t>
  </si>
  <si>
    <t>v_fSVDG4h0lzM</t>
  </si>
  <si>
    <t>A middle age man is standing in the field preparing to hit a ball.</t>
  </si>
  <si>
    <t>Once the man hits the ball it is caught and the other teams jumps and cheers in excitement and there is replay.</t>
  </si>
  <si>
    <t>v_RI8IORq_BbY</t>
  </si>
  <si>
    <t>A man shows how to sharpen a knife with a machine.</t>
  </si>
  <si>
    <t>Then, he sharpens knives against each other.</t>
  </si>
  <si>
    <t>v_oezddremlnE</t>
  </si>
  <si>
    <t>A close up of a girl's hair is shown followed by a person braiding her hair.</t>
  </si>
  <si>
    <t>The person continues braiding the hair and the camera pans away from her face.</t>
  </si>
  <si>
    <t>v_9PFlQcBl_jU</t>
  </si>
  <si>
    <t>Several people are outside watching a about four men bullfighting with a cape.</t>
  </si>
  <si>
    <t>Once the bull is caught,they start to move it and they have difficulty because the crowd is on their back.</t>
  </si>
  <si>
    <t>Next,a shirtless man lays down on the dirt,gets trampled by the bull and jumps up happy about what just happened.</t>
  </si>
  <si>
    <t>Another bull comes along,runs over a person and the person remains on the ground and a crowd of people come running over to him laying a blanket across his body.</t>
  </si>
  <si>
    <t>v_p0-BGit7WAo</t>
  </si>
  <si>
    <t>A young boy is seen speaking with others while wrapping ballet shoes around him and walking past others.</t>
  </si>
  <si>
    <t>The man then steps into ballet class and interacts with the dancers and ends by drinking a beer.</t>
  </si>
  <si>
    <t>v_oQ_PwsBgozM</t>
  </si>
  <si>
    <t>a lady and a young girl are in room with a Christmas tree.</t>
  </si>
  <si>
    <t>The lights are turned on on the tree an the little girl dances in front of it.</t>
  </si>
  <si>
    <t>A young boy plays with and takes ornaments off the tree and shows them to the camera.</t>
  </si>
  <si>
    <t>The man take it and shows it to the camera then puts it back.</t>
  </si>
  <si>
    <t>v_YKLZAgdkFrk</t>
  </si>
  <si>
    <t>A girl is seen speaking to the camera on the floor.</t>
  </si>
  <si>
    <t>Another woman is seen sitting on a swingset looking to the camera.</t>
  </si>
  <si>
    <t>The woman swings back and fourth while looking down at her hand.</t>
  </si>
  <si>
    <t>v_ngwH6Zy5vb8</t>
  </si>
  <si>
    <t>A man in a suit is playing a piano.</t>
  </si>
  <si>
    <t>The audience stands up and claps for him.</t>
  </si>
  <si>
    <t>People are hugging and mingling on a stage.</t>
  </si>
  <si>
    <t>v_Fvc0-yNMFyE</t>
  </si>
  <si>
    <t>A small group of people are seen riding around on bumper cars while bumping into one another.</t>
  </si>
  <si>
    <t>The kids continue driving the cars around when a man walks in and out of frame making sure the kids and parents are safe.</t>
  </si>
  <si>
    <t>v_UojTppgtyCE</t>
  </si>
  <si>
    <t>An outdoor garden is seen and a man in tshirt stands in it holding a pair of sheers.</t>
  </si>
  <si>
    <t>Mellons are seen throughout the garden.</t>
  </si>
  <si>
    <t>The man points to the melons up against the wall and begins trimming them with his sheers throwing them to the side.</t>
  </si>
  <si>
    <t>The man walks over to the outer edge of the melon plants and picks up a large vine in one hand then trims off leafs with the other hand.</t>
  </si>
  <si>
    <t>The man does circular motions with his hands around his waste to demonstrate size.</t>
  </si>
  <si>
    <t>A garden website is seen.</t>
  </si>
  <si>
    <t>v_yjOriMHCSdw</t>
  </si>
  <si>
    <t>A painted construction paper piece sits on a table along with a suitcase of supplies.</t>
  </si>
  <si>
    <t>I person cuts up a piece of construction paper.</t>
  </si>
  <si>
    <t>Designs are drawn on the paper with markers.</t>
  </si>
  <si>
    <t>The construction paper is folded over an item and a piece of tape secures the construction paper in the middle.</t>
  </si>
  <si>
    <t>The corners are folded like a present and peices of tape are used to secure the folded ends of the package.</t>
  </si>
  <si>
    <t>A ribbon is slid under the package and tied in a bow.</t>
  </si>
  <si>
    <t>v_JiZCjH6ePq0</t>
  </si>
  <si>
    <t>A group of people are in a gym playing dodgeball.</t>
  </si>
  <si>
    <t>A logo appears on the screen.</t>
  </si>
  <si>
    <t>A man is talking to the camera while people play dodgeball behind him.</t>
  </si>
  <si>
    <t>The man and players demonstrate dodgeball techniques.</t>
  </si>
  <si>
    <t>Captions appear on the screen periodically that explain dodgeball.</t>
  </si>
  <si>
    <t>v_D5vmWDHQ86I</t>
  </si>
  <si>
    <t>There's a man in a green shirt talking and being interviewed by another man dressed in a black jacket and gray pants.</t>
  </si>
  <si>
    <t>They are seated on chairs in a large room with wooden floors.</t>
  </si>
  <si>
    <t>The entrance of the Valqueire Tennis club is shown.</t>
  </si>
  <si>
    <t>The ID card of the person being interviewed is also shown.</t>
  </si>
  <si>
    <t>The man in green continues talking about soccer to the interviewer.</t>
  </si>
  <si>
    <t>Brazil versus Venezuela soccer game is shown.</t>
  </si>
  <si>
    <t>The man in green talks about a newspaper article related to the soccer as clips from the soccer game are shown.</t>
  </si>
  <si>
    <t>v_pxt1-L_-H74</t>
  </si>
  <si>
    <t>Two people are seen standing next to one another speaking to the camera and leads into the two performing a dance routine with one another.</t>
  </si>
  <si>
    <t>The people continue dancing around on the side of a road and ends with them posing and laughing.</t>
  </si>
  <si>
    <t>v_eDm8bUVWxAM</t>
  </si>
  <si>
    <t>A man in a white shirt is talking.</t>
  </si>
  <si>
    <t>A bow and arrow is set up in the grass.</t>
  </si>
  <si>
    <t>A man shoots a bow and arrow while in the water.</t>
  </si>
  <si>
    <t>v_ienRkMdn_OM</t>
  </si>
  <si>
    <t>A hand is put into a brush and moves the hair to be piled up and vaccumed with the other hand.</t>
  </si>
  <si>
    <t>The middle section is done and the horse stands still while being cut down.</t>
  </si>
  <si>
    <t>Now,the middle is done and the person moves to the back of the horse until all of the horse's body is cut down.</t>
  </si>
  <si>
    <t>v_Ncfysce-svA</t>
  </si>
  <si>
    <t>A person plays an acoustic guitar while sitting on a beige sofa in jeans and a t-shirt.</t>
  </si>
  <si>
    <t>A room is shown with an acoustic guitar lying across a beige sofa and a stone art piece in front of the sofa with rocks in it.</t>
  </si>
  <si>
    <t>A person, face unseen, approaches the sofa and picks up the guitar.</t>
  </si>
  <si>
    <t>The person then sits down and plays the acoustic guitar, which has a capo on the neck, and plays until the scene fades to a Spanish subtitle.</t>
  </si>
  <si>
    <t>v_H5Z__A99EG4</t>
  </si>
  <si>
    <t>There's a man doing a science experiment in his kitchen using a on liter Pepsi bottle that is filled with foam.</t>
  </si>
  <si>
    <t>There's a boy laying down on the floor with his legs stretched up against the cabinet.</t>
  </si>
  <si>
    <t>The man is holding a hose in one hand and blowing air into the bottle simultaneously.</t>
  </si>
  <si>
    <t>Then he drops the huge bubble from the bottle onto the boy's face.</t>
  </si>
  <si>
    <t>v_j1IYrdjnY6M</t>
  </si>
  <si>
    <t>A web address is displayed on the slide.</t>
  </si>
  <si>
    <t>The name of a sunscreen is shown.</t>
  </si>
  <si>
    <t>The sunscreen bottle is shown.</t>
  </si>
  <si>
    <t>The price of the sunscreen is shown.</t>
  </si>
  <si>
    <t>The sunscreen bottle is presented.</t>
  </si>
  <si>
    <t>An information guideline is shown.</t>
  </si>
  <si>
    <t>v_ry-AEtNb4c0</t>
  </si>
  <si>
    <t>The title is on the screen.</t>
  </si>
  <si>
    <t>The screen switches to the man explaining his art.</t>
  </si>
  <si>
    <t>We see the man's artwork.</t>
  </si>
  <si>
    <t>We see the man talking again.</t>
  </si>
  <si>
    <t>He grabs paint on his brush.</t>
  </si>
  <si>
    <t>He discusses his painting technique.</t>
  </si>
  <si>
    <t>He is painting on the art.</t>
  </si>
  <si>
    <t>He cleans his brush on paper.</t>
  </si>
  <si>
    <t>He adds more paint to the brush.</t>
  </si>
  <si>
    <t>He is painting on the art again.</t>
  </si>
  <si>
    <t>He cleans his brush on the paper again.</t>
  </si>
  <si>
    <t>He adds white paint to the brush.</t>
  </si>
  <si>
    <t>He paints white on the artwork.</t>
  </si>
  <si>
    <t>He crosses his arms and talks.</t>
  </si>
  <si>
    <t>We see the title card.</t>
  </si>
  <si>
    <t>v_MSfIKwQhLFk</t>
  </si>
  <si>
    <t>People dive into the pool and start swimming.</t>
  </si>
  <si>
    <t>A person reaches the end and takes their goggles off.</t>
  </si>
  <si>
    <t>They wave at the camera and smile.</t>
  </si>
  <si>
    <t>The other swimmers get to the finish line.</t>
  </si>
  <si>
    <t>v_2w7Fxoeo_Qk</t>
  </si>
  <si>
    <t>A man wearing a helmet and carrying a skateboard lays on a skateboard and goes down a bowling lane to knock over pins.</t>
  </si>
  <si>
    <t>People look to watch him go down the lane.</t>
  </si>
  <si>
    <t>Someone pushes someone laying on a skateboard down a bowling lane.</t>
  </si>
  <si>
    <t>People throw bowling balls after the person.</t>
  </si>
  <si>
    <t>Two men laugh watching the man.</t>
  </si>
  <si>
    <t>Someone pushes another person laying on a skateboard down a bowling lane.</t>
  </si>
  <si>
    <t>v_3zDw5mwGIW0</t>
  </si>
  <si>
    <t>A person pours different colors of paint on a surface.</t>
  </si>
  <si>
    <t>Then, the woman paints flowers on the headboard of a bed.</t>
  </si>
  <si>
    <t>v_a2k-AgrAppg</t>
  </si>
  <si>
    <t>A little girl sits on front a cup of ice cream, then she takes a piece of food from the cup and eats it.</t>
  </si>
  <si>
    <t>Then, the girl grab the spoon and eats the ice cream.</t>
  </si>
  <si>
    <t>A hand takes nuts from the ice cram.</t>
  </si>
  <si>
    <t>v_WD40PRo1quM</t>
  </si>
  <si>
    <t>A man and a woman are seen dancing around a living room performing a tango routine.</t>
  </si>
  <si>
    <t>They spin each other round and round and ends with credits rolling.</t>
  </si>
  <si>
    <t>v_wIcK3bQNqcA</t>
  </si>
  <si>
    <t>A person moves their fingers around the center of a bike's wheel.</t>
  </si>
  <si>
    <t>The person takes a black part and adds it.</t>
  </si>
  <si>
    <t>The person adds a smaller black part and fastens it.</t>
  </si>
  <si>
    <t>The person removes their hands from the center of the bike's wheel.</t>
  </si>
  <si>
    <t>v_GUbKGqYKj7U</t>
  </si>
  <si>
    <t>There are a lot of people at a park and some are playing while others are just watching.</t>
  </si>
  <si>
    <t>A man and a woman are standing at the entrance of the playing field and getting ready to play.</t>
  </si>
  <si>
    <t>When the ball rolls towards them, the man kicks it and runs while other players try and get into motion for the play.</t>
  </si>
  <si>
    <t>Another man runs towards the home base and dives onto the dirt to touch the base they are protecting and another man is trying to catch the ball to get the man out.</t>
  </si>
  <si>
    <t>The man attempts to catch the ball, misses it, falls on the ground to catch it, throws it at the head of the man who is already on the base and they all laugh and the team who just scored give one another high fives.</t>
  </si>
  <si>
    <t>v_p771liKjycc</t>
  </si>
  <si>
    <t>Two kids are outside playing together at a playground.</t>
  </si>
  <si>
    <t>One boy jumps off and walks to the other side as the other one begins to do the monkey bars.</t>
  </si>
  <si>
    <t>After he makes it to the other side,he climbs off and runs to another set of monkey bars and follows through those as well.</t>
  </si>
  <si>
    <t>v_ZTwmb1d44bc</t>
  </si>
  <si>
    <t>A curling stone slides down the ice.</t>
  </si>
  <si>
    <t>The blue team discuss their strategy.</t>
  </si>
  <si>
    <t>The white team high five each other.</t>
  </si>
  <si>
    <t>The blue team discuss while a member points.</t>
  </si>
  <si>
    <t>A blue team player takes his turn and curls his stone into the center.</t>
  </si>
  <si>
    <t>The blue team comes and hugs the player as they celebrate.</t>
  </si>
  <si>
    <t>v_zi_TdMQffkU</t>
  </si>
  <si>
    <t>A person is seen sitting on a horse in front of a large crowd.</t>
  </si>
  <si>
    <t>The man then rides in on the horse and ropes up a calf.</t>
  </si>
  <si>
    <t>He ties up the calf while others ride in on horses to help.</t>
  </si>
  <si>
    <t>v_0UR4hXxt68E</t>
  </si>
  <si>
    <t>A group of cheerleaders stand in a line in a large auditorium in preparation.</t>
  </si>
  <si>
    <t>The group of cheerleaders does a dance routine in all dancing in unison.</t>
  </si>
  <si>
    <t>Half of the group kneels on the floor and the other standing group exits to the sides.</t>
  </si>
  <si>
    <t>The remaining group stands back up and does a second dance routine together.</t>
  </si>
  <si>
    <t>The group of cheerleader end their routine and jump up and down before bowing to the crowd.</t>
  </si>
  <si>
    <t>v_eGTZNTfgg24</t>
  </si>
  <si>
    <t>Various athletes are seen standing ready while one jumps in place and prepares himself.</t>
  </si>
  <si>
    <t>He then runs down a long track into a sand pit and sticks his hands in the air.</t>
  </si>
  <si>
    <t>A man holds a white fag up while the athlete celebrates and his jump and people's reactions in the audience are shown again.</t>
  </si>
  <si>
    <t>v_XC6tvSBS0PA</t>
  </si>
  <si>
    <t>A young lady wearing a colorful swimsuit is underwater swimming in a pool.</t>
  </si>
  <si>
    <t>A screen flashes and shows step two as the girl demonstrates swimming with your feet close together.</t>
  </si>
  <si>
    <t>Next,a warning screen appears saying not to swim without goggles as the girl does the exact opposite.</t>
  </si>
  <si>
    <t>After,the girl is shown with an orange mermaid tail on swimming under water as she joins another "mermaid".</t>
  </si>
  <si>
    <t>v_5FM_xJGb-Tk</t>
  </si>
  <si>
    <t>A man in a little kayak type of of boat is paddling the boat.</t>
  </si>
  <si>
    <t>He is sitting by himself in it because it's so small it only fits one person really.</t>
  </si>
  <si>
    <t>He uses a lot of energy into paddling, going really fast.</t>
  </si>
  <si>
    <t>I believe he is probably practicing for an event late in the future.</t>
  </si>
  <si>
    <t>v_2DMOP9Fy91U</t>
  </si>
  <si>
    <t>A woman is standing outside in front of a building.</t>
  </si>
  <si>
    <t>She begins dancing with hula hoops.</t>
  </si>
  <si>
    <t>She finishes and words come on the screen.</t>
  </si>
  <si>
    <t>v_bPkk-z5n8MY</t>
  </si>
  <si>
    <t>A large group of people are seen spinning and twirling batons in the city.</t>
  </si>
  <si>
    <t>A large group of people are seen sitting around the group watching.</t>
  </si>
  <si>
    <t>The group continues to dance around the city block while the camera pans around and watches them walk away.</t>
  </si>
  <si>
    <t>v_jOUwMAGYImE</t>
  </si>
  <si>
    <t>A man sits on a stationary bike on a stage and starts working out.</t>
  </si>
  <si>
    <t>He sticks one leg up to the side.</t>
  </si>
  <si>
    <t>He gets off and does a hand stand.</t>
  </si>
  <si>
    <t>v_fZzswQaICfM</t>
  </si>
  <si>
    <t>There is a hopscotch board drawn with chalk on the pavement.</t>
  </si>
  <si>
    <t>A little girl in green takes her turn and then more of her friends follow after.</t>
  </si>
  <si>
    <t>All three girls stand and then drop a bottle cap to move forward with their jumps.</t>
  </si>
  <si>
    <t>They play different variations of the game just having fun doing so and when its over one of the girls throws her hands in the air.</t>
  </si>
  <si>
    <t>v_ivjnwAR91Sk</t>
  </si>
  <si>
    <t>A large group of people are seen standing on a stage with people watching on the sidelines.</t>
  </si>
  <si>
    <t>People take turns jumping onto a large mat over a beam and cheering with teammates.</t>
  </si>
  <si>
    <t>More shots are shown of kids fooling around while looking and laughing to the camera.</t>
  </si>
  <si>
    <t>v_26qGsfI9tZ8</t>
  </si>
  <si>
    <t>A toddler climbs the steps of a playground.</t>
  </si>
  <si>
    <t>Then, the boy slides down until to reach the ground.</t>
  </si>
  <si>
    <t>v_t6FuJ4L8sHY</t>
  </si>
  <si>
    <t>A group of people are seen standing on a soccer field and leads into one falling down and being helped back up.</t>
  </si>
  <si>
    <t>The same shot is shown again in slow motion and leads into one scoring a goal with others not paying attention.</t>
  </si>
  <si>
    <t>The same shot is shown again in slow motion several times and pans back to all the players.</t>
  </si>
  <si>
    <t>v_L0QdLXym4F4</t>
  </si>
  <si>
    <t>A lady is filming a girl and a boy who are outdoors at a park playground.</t>
  </si>
  <si>
    <t>The young girl hangs an goes across the monkey bars using her arms while the young boy stands behind rails and watches.</t>
  </si>
  <si>
    <t>The jumps down at the end of the monkey bars and then jumps up and down and gives a high five to the excited woman filming her.</t>
  </si>
  <si>
    <t>The lady behind the camera then walks over and pans to the little boy who is now at the monkey bars and holds a conversation with him.</t>
  </si>
  <si>
    <t>v_7MAADmeogHo</t>
  </si>
  <si>
    <t>A bike is seen upside down in a shop.</t>
  </si>
  <si>
    <t>A man shows how to remove a tire.</t>
  </si>
  <si>
    <t>He then replaces it and tightens it back into place.</t>
  </si>
  <si>
    <t>v_Bhc8INrOToY</t>
  </si>
  <si>
    <t>A man is seen speaking to the camera and leads into clips of them skiing.</t>
  </si>
  <si>
    <t>The men move down all along the mountain while others are shown skiing next to them.</t>
  </si>
  <si>
    <t>The people continue riding down the hill and end by stopping at the bottom.</t>
  </si>
  <si>
    <t>v_ie9PgZt9svA</t>
  </si>
  <si>
    <t>A group of girls on a rope jumping team do a routine in a large music hall.</t>
  </si>
  <si>
    <t>A group of girls jump rope individually.</t>
  </si>
  <si>
    <t>Three girls jump rope with two holding a single rope on each end.</t>
  </si>
  <si>
    <t>Three girls jump together inside of a single rope.</t>
  </si>
  <si>
    <t>A group of girls hold two ropes and take turns doing double dutch while members run through and jump the rope.</t>
  </si>
  <si>
    <t>v_fcSJAHXHDvM</t>
  </si>
  <si>
    <t>A man is seen moving in slow motion holding a tennis racket and throwing a ball up into the air.</t>
  </si>
  <si>
    <t>Arrows point around his body and show him hitting the ball while pausing to show off his body movements.</t>
  </si>
  <si>
    <t>v_kUwCHpiuCuA</t>
  </si>
  <si>
    <t>A bicycle elliptical machine is sitting in living room by a couch.</t>
  </si>
  <si>
    <t>A dog appears on the couch and suddenly a person sits on the machine and turns it on.</t>
  </si>
  <si>
    <t>Once the machine is on,it begins to flash 30 minutes several times and the person begins to exercise on the machine pushing the bars back and forth.</t>
  </si>
  <si>
    <t>v_sgPkVKPp1dU</t>
  </si>
  <si>
    <t>A man in black shirt lifted the barbel and started to carry it up and down for few times, while behind him, two men are removing the metal plates on another barbel.</t>
  </si>
  <si>
    <t>The man in black shirt added more weight on the barbel by adding yellow plates on both side, then continue weight lifting.</t>
  </si>
  <si>
    <t>v_Ox16PeB954Q</t>
  </si>
  <si>
    <t>A man and child are sitting on a couch while the adult smokes hookah tobacco.</t>
  </si>
  <si>
    <t>The child grabs it as if to smoke only to have it pulled away.</t>
  </si>
  <si>
    <t>The child is then able to stick it in his own mouth but doesn't know what to do.</t>
  </si>
  <si>
    <t>He ends up sticking it back into the adults mouth and the adult continues to smoke from the hookah pipe.</t>
  </si>
  <si>
    <t>v_7bUu05RIksU</t>
  </si>
  <si>
    <t>Business details are written in white text on a black background.</t>
  </si>
  <si>
    <t>Men wearing jackets pressure wash a white car in a parking lot.</t>
  </si>
  <si>
    <t>Two men wash a black SUV with a pressure washing hose.</t>
  </si>
  <si>
    <t>Men wash a white car using hand towels.</t>
  </si>
  <si>
    <t>The business details are seen before end credits for the video are shown.</t>
  </si>
  <si>
    <t>v_HwM3ionUBsg</t>
  </si>
  <si>
    <t>The video takes place in a gymnasium of various gymnasts.</t>
  </si>
  <si>
    <t>A young girl stands on top of the trampoline in preparation to jump.</t>
  </si>
  <si>
    <t>She jumps on the bar and begins to do several flips between two bars.</t>
  </si>
  <si>
    <t>She then jumps to the padded area and throws up her hands, and a man gives her a hug.</t>
  </si>
  <si>
    <t>v_4w3QwJdzwsE</t>
  </si>
  <si>
    <t>A large boat with a wind sail on it is seen riding along a big storm with people on board.</t>
  </si>
  <si>
    <t>The boat tips over at one point when another boat comes by and falls over as well.</t>
  </si>
  <si>
    <t>v_6pY2zz2_CCU</t>
  </si>
  <si>
    <t>woman is sitting on a couch with a cat on her legs, he grab a scisoors from the table next to her and starts cutting the front cat nails.</t>
  </si>
  <si>
    <t>she looks his back paws and gave her cat some cat food.</t>
  </si>
  <si>
    <t>the girl congratlate the cat and put him on the floor.</t>
  </si>
  <si>
    <t>v_k74CgBa46bA</t>
  </si>
  <si>
    <t>A man without a shirt on sits outside by the trees and drinks out of a coffee cup.</t>
  </si>
  <si>
    <t>A person is seen petting a cat.</t>
  </si>
  <si>
    <t>v_Mmdcsw_SEzc</t>
  </si>
  <si>
    <t>A boy is building a sandcastle near the edge of the ocean.</t>
  </si>
  <si>
    <t>He forms huge circles and stands up.</t>
  </si>
  <si>
    <t>v_rliYO1sEYts</t>
  </si>
  <si>
    <t>A man kisses a girl on the beach.</t>
  </si>
  <si>
    <t>People are playing rock paper scissors on the beach.</t>
  </si>
  <si>
    <t>A man in a black shirt is standing on the beach.</t>
  </si>
  <si>
    <t>v_7vECSCWxbDk</t>
  </si>
  <si>
    <t>A man plugs a cable into his guitar.</t>
  </si>
  <si>
    <t>He begins playing the guitar.</t>
  </si>
  <si>
    <t>He looks up and speaks.</t>
  </si>
  <si>
    <t>He goes back to playing his guitar.</t>
  </si>
  <si>
    <t>He looks up again and speaks as he makes hand gestures.</t>
  </si>
  <si>
    <t>He begins playing his guitar again.</t>
  </si>
  <si>
    <t>He glides his finger along his guitar.</t>
  </si>
  <si>
    <t>v_UW1wC80VNd8</t>
  </si>
  <si>
    <t>A woman is in a kitchen, stirring food in a pot.</t>
  </si>
  <si>
    <t>She adds her gathered ingredients one a time as she talks, showing the pasta she is using.</t>
  </si>
  <si>
    <t>She then adds a bowlful of vegetables she has mixed.</t>
  </si>
  <si>
    <t>v_rZMiqPMOpzA</t>
  </si>
  <si>
    <t>A person is seen sitting in front of the camera holding an instrument.</t>
  </si>
  <si>
    <t>The man then begins playing the instrument while the camera captures is movements.</t>
  </si>
  <si>
    <t>The man continues to play moving his hands all along the instrument and finally turning the camera off.</t>
  </si>
  <si>
    <t>v_KK7g7udEPuo</t>
  </si>
  <si>
    <t>A man is looking all over for his dog.</t>
  </si>
  <si>
    <t>He said he paid his dog 10 dollars to cut the grass and now he's gone.</t>
  </si>
  <si>
    <t>He finally finds the dog who is driving the riding lawn mower.</t>
  </si>
  <si>
    <t>According to the owner, the dog is asking for a raise.</t>
  </si>
  <si>
    <t>He continues mowing in not very straight lines as the other dogs watch.</t>
  </si>
  <si>
    <t>v_OM_n35Vcw30</t>
  </si>
  <si>
    <t>Two kids are seen holding poles with another man and playing a game of shuffle board on a mat.</t>
  </si>
  <si>
    <t>The kids push the puck around back and fourth while walking around one another and ends with a woman stepping into frame and a close up of the young boy.</t>
  </si>
  <si>
    <t>v_eBajcta4sD4</t>
  </si>
  <si>
    <t>A camera pans around a building as well as people inside posing for pictures and putting fencing gear on.</t>
  </si>
  <si>
    <t>More clips are shown of fencing objects, people watching on the sides, and others getting ready to fence.</t>
  </si>
  <si>
    <t>Several clips are then shown of two people fencing each other with a woman reffing on the sides and people watching on the sides.</t>
  </si>
  <si>
    <t>v_JFA1iR09BUA</t>
  </si>
  <si>
    <t>A man is practicing in front of a mirror in a studio while another watches.</t>
  </si>
  <si>
    <t>They start taking turns in front of the mirror trying to perfect their moves.</t>
  </si>
  <si>
    <t>They are doing all kinds of crazy acrobatic flips and other moves.</t>
  </si>
  <si>
    <t>There is about six or seven men sitting up against the wall watching as the other flips around in the air.</t>
  </si>
  <si>
    <t>v_ctWolbJDJyc</t>
  </si>
  <si>
    <t>A person is seen walking down the length of a diving board while the camera zooms in.</t>
  </si>
  <si>
    <t>The man turns around and performs a back flip off of the board into the water.</t>
  </si>
  <si>
    <t>v_m-BZKFg9k18</t>
  </si>
  <si>
    <t>A lady dances around on an aerobic stair in a fitness gym.</t>
  </si>
  <si>
    <t>The lady spins off of the step.</t>
  </si>
  <si>
    <t>The lady touches her toes to the step.</t>
  </si>
  <si>
    <t>The lady repeats the routine repeatedly.</t>
  </si>
  <si>
    <t>The lady steps off of her step in front of it and looks at the camera.</t>
  </si>
  <si>
    <t>v_JTFEzdAw1L4</t>
  </si>
  <si>
    <t>An older woman throws a white ball towards a green cup.</t>
  </si>
  <si>
    <t>A young boy gives her back the ball.</t>
  </si>
  <si>
    <t>The woman throws the ball again.</t>
  </si>
  <si>
    <t>She does a dance and throws it again.</t>
  </si>
  <si>
    <t>She again throws the white ball.</t>
  </si>
  <si>
    <t>The young boy hands the woman the ball and she throws it again.</t>
  </si>
  <si>
    <t>The older woman starts laughing.</t>
  </si>
  <si>
    <t>v_-ArIbKfZc2s</t>
  </si>
  <si>
    <t>A group of rafters paddle there raft down a river with rapids and obstacles.</t>
  </si>
  <si>
    <t>A group of rafter push off from a rock and turn there boat around to face the current.</t>
  </si>
  <si>
    <t>The rafters maneuver through a concrete structure.</t>
  </si>
  <si>
    <t>The group paddles around a large boulder sticking high up in the middle of the river.</t>
  </si>
  <si>
    <t>The group jumps from a rock into the river.</t>
  </si>
  <si>
    <t>v_UD7HJBRK2Z4</t>
  </si>
  <si>
    <t>A light blue screen appears and it has multiple blue words that are not in English and they're scrolling from bottom to top.</t>
  </si>
  <si>
    <t>The direction of the scrolling letters change from bottom to top and now they're in the middle.</t>
  </si>
  <si>
    <t>A man wearing a white button up short sleeved shirt and black long pants is standing on green grass that's near water, with a large bush behind him and he's doing very slow coordinated movements.</t>
  </si>
  <si>
    <t>v_Ptw9hFDV4ow</t>
  </si>
  <si>
    <t>A coach is training a boy and a girl to do kickboxing.</t>
  </si>
  <si>
    <t>There is a woman standing in a purple shirt, filming the coach teach the kids.</t>
  </si>
  <si>
    <t>Both the girl and the boy are taking turns in returning the punches and kicks to the coach.</t>
  </si>
  <si>
    <t>The coach is encouraging the students to constantly punch and return the kicks.</t>
  </si>
  <si>
    <t>v_8OCTuqJVToU</t>
  </si>
  <si>
    <t>A small group of children are seen sitting around a pool while the camera pans around the pool.</t>
  </si>
  <si>
    <t>The kids kick their feet around and show one instructor helping a child.</t>
  </si>
  <si>
    <t>The man continues to swim around the pool with children and close ups of children.</t>
  </si>
  <si>
    <t>v_LWAxCIy4PBw</t>
  </si>
  <si>
    <t>A little boy is pushing a mop.</t>
  </si>
  <si>
    <t>He closes an oven door that is open.</t>
  </si>
  <si>
    <t>He continues to mop the floor.</t>
  </si>
  <si>
    <t>He picks the mop up and puts it in the air.</t>
  </si>
  <si>
    <t>He sets it down and continues mopping.</t>
  </si>
  <si>
    <t>v_qzt9U8tEdJQ</t>
  </si>
  <si>
    <t>Someone is shown driving down a snowy street in the Ukraine.</t>
  </si>
  <si>
    <t>Several skiers are skiing down the slopes on the side of a mountain.</t>
  </si>
  <si>
    <t>A close up is seen of some of the skiers as they go.</t>
  </si>
  <si>
    <t>v_zJX_Oh4yVnc</t>
  </si>
  <si>
    <t>A person is seen riding around on a dirt bike that leads into him speaking to the camera.</t>
  </si>
  <si>
    <t>He shows off his bike as well as camera and leads into several clips of him riding around.</t>
  </si>
  <si>
    <t>He continues to ride around on the track while also showing close ups of himself as well as the camera.</t>
  </si>
  <si>
    <t>v_r7kQ1sko74M</t>
  </si>
  <si>
    <t>A young man is seen playing a single drum standing next to a group of people also drumming.</t>
  </si>
  <si>
    <t>The boy continues drumming with the group and the camera pans around to people watching on the sides.</t>
  </si>
  <si>
    <t>v_h7Tq3Gsj6lY</t>
  </si>
  <si>
    <t>A man is shown in several shots riding around on a skateboard.</t>
  </si>
  <si>
    <t>Close ups are shown of objects as well as skateboard and places you can buy them.</t>
  </si>
  <si>
    <t>More close ups are shown of products.</t>
  </si>
  <si>
    <t>v_pnN9AK7WKHU</t>
  </si>
  <si>
    <t>We see a person jet skiing.</t>
  </si>
  <si>
    <t>We see a red and black sail on a surfboard.</t>
  </si>
  <si>
    <t>We then see a yellow and blue sail.</t>
  </si>
  <si>
    <t>A yellow one passes a black one and keeps going, then the yellow one turns around.</t>
  </si>
  <si>
    <t>A yellowish green one appears on the screen.</t>
  </si>
  <si>
    <t>Three pass a red and blue one going in opposite directions.</t>
  </si>
  <si>
    <t>The rider of the red and blue one falls off his board.</t>
  </si>
  <si>
    <t>v_aBmKEmXVCqM</t>
  </si>
  <si>
    <t>A man is standing on a elliptical working out.</t>
  </si>
  <si>
    <t>He moves his arms back and forth.</t>
  </si>
  <si>
    <t>There is a lake behind him.</t>
  </si>
  <si>
    <t>v_b5GJUtjiWkQ</t>
  </si>
  <si>
    <t>Three kids are seen standing out in front of a house when one plays hop scotch to a person coming in frame.</t>
  </si>
  <si>
    <t>The camera follows the same girl hopping down a long path and continuing her way back to where she started.</t>
  </si>
  <si>
    <t>v_JwdW7Tlc4gs</t>
  </si>
  <si>
    <t>A young man is sitting in his room.</t>
  </si>
  <si>
    <t>The young man started to play his guitar.</t>
  </si>
  <si>
    <t>The young man is moving his fingers as he press the threads on the guitar.</t>
  </si>
  <si>
    <t>v_H5F01WIyJWI</t>
  </si>
  <si>
    <t>A blindfolded man is standing outside with vehicles parked behind him and he's playing a small set of bongos as well as a large set of bongos right next to it.</t>
  </si>
  <si>
    <t>The man quickly only hits the small bongos and then moves onto the big bongos going from his right to his left.</t>
  </si>
  <si>
    <t>On the return back going from his left to his right, he hits only the large bongos first, then hits the smaller bongos.</t>
  </si>
  <si>
    <t>v_4p6OjaHHSDs</t>
  </si>
  <si>
    <t>A close up is shown of a woman wearing glasses.</t>
  </si>
  <si>
    <t>She starts smoking a cigarette, then leans over.</t>
  </si>
  <si>
    <t>A woman in bed is laughing as she falls onto her own bed, still smoking.</t>
  </si>
  <si>
    <t>v_ad5QOYLt_cI</t>
  </si>
  <si>
    <t>man is standing in front of a table chopping vegetables and preparing a sandwich, he put in a bread butter cheese, avoado, and ham and a rolled sandwich.</t>
  </si>
  <si>
    <t>man talks o the camera and spread butter in bread slices with a knife put cheddar cheese, ham and ketchup and cut in four slices and serve them in a plate.</t>
  </si>
  <si>
    <t>v_k9VKFjPYT3o</t>
  </si>
  <si>
    <t>A man in a blue coat is talking outside by a rock.</t>
  </si>
  <si>
    <t>He is wearing a rock climbing harness.</t>
  </si>
  <si>
    <t>He begins climbing up the rock.</t>
  </si>
  <si>
    <t>He has a rope around his neck with different rock climbing tools.</t>
  </si>
  <si>
    <t>He gives another person a high five.</t>
  </si>
  <si>
    <t>v_gh8rmWE-564</t>
  </si>
  <si>
    <t>Two people are seen riding down a hill with one on skis and the other on a sled.</t>
  </si>
  <si>
    <t>The person then goes over a jump and crashes into a snowbank, showing the same shot again in slow motion.</t>
  </si>
  <si>
    <t>v_tZ6Fjq6SJvQ</t>
  </si>
  <si>
    <t>A man and a woman dressed in a black evening gown and a black suit dance in a ball room dance style in a large room with stone floors and grated windows.</t>
  </si>
  <si>
    <t>The man and woman begin with a fast dance with a lot of foot work twirling around the floor.</t>
  </si>
  <si>
    <t>The man and woman then begin a slow dance in which they glide, caress, spin and twirl each other across the floor at times lingering in smoldering postures that imply romance.</t>
  </si>
  <si>
    <t>The man and woman then begin to dance fast again utilizing fast twirls and foot work and with the man picking the woman up and spinning her around in the air until one final dip.</t>
  </si>
  <si>
    <t>v__zkcTAj5Z8Q</t>
  </si>
  <si>
    <t>A young boy is seen swimming around with another person standing in the water.</t>
  </si>
  <si>
    <t>The boy continues to swim around with the other people as well as do flips under the water.</t>
  </si>
  <si>
    <t>The kids move under and over the water while the camera continues to follow them.</t>
  </si>
  <si>
    <t>v_Qm6HmQv5uOo</t>
  </si>
  <si>
    <t>A man sings a song with someone plays an accordion in a restaurant.</t>
  </si>
  <si>
    <t>The man playing accordion breaks his instrument in half.</t>
  </si>
  <si>
    <t>The people are startled but continue on singing the song.</t>
  </si>
  <si>
    <t>v_cwhkG3LhZO8</t>
  </si>
  <si>
    <t>A little boy is standing at the parking lot, he is not wearing a shirt, he talked to the camera.</t>
  </si>
  <si>
    <t>He then walked with both his elbows up towards the road.</t>
  </si>
  <si>
    <t>The boy is on stage playing a brown guitar, he is not wearing a shirt, there's a microphone in front of him, behind him is a man playing a guitar too.</t>
  </si>
  <si>
    <t>v_-zHX3Gdx6I4</t>
  </si>
  <si>
    <t>A boy is running down a track.</t>
  </si>
  <si>
    <t>The boy lifts his body above the height of a pole.</t>
  </si>
  <si>
    <t>The boy lands on his back on to a red mat.</t>
  </si>
  <si>
    <t>The boy gets up from the mat.</t>
  </si>
  <si>
    <t>The boy celebrates by clapping and flexing both arms.</t>
  </si>
  <si>
    <t>A man stands and observes.</t>
  </si>
  <si>
    <t>v_IuY073Pr4E4</t>
  </si>
  <si>
    <t>The man walks towards a children's playground.</t>
  </si>
  <si>
    <t>The man hangs from mounted bar type devices in the playground.</t>
  </si>
  <si>
    <t>The man dismounts and walks back to the camera.</t>
  </si>
  <si>
    <t>v_bjtjeUcoxkg</t>
  </si>
  <si>
    <t>A man speaks to a camera.</t>
  </si>
  <si>
    <t>Another man shaves his face that is covered with shaving cream.</t>
  </si>
  <si>
    <t>The man shaves part of his neck.</t>
  </si>
  <si>
    <t>The man's razor is covered with shaving cream so he rinses the razor with water.</t>
  </si>
  <si>
    <t>The man speaks to the camera again.</t>
  </si>
  <si>
    <t>The shaving man again shaves part of his cheek area.</t>
  </si>
  <si>
    <t>An animation of shaving is shown.</t>
  </si>
  <si>
    <t>The man continues to speak to the camera.</t>
  </si>
  <si>
    <t>The shaving man shaves more towards his chin, including his upper cheek.</t>
  </si>
  <si>
    <t>The man speaks some more to the camera.</t>
  </si>
  <si>
    <t>v_X487OD6H6LE</t>
  </si>
  <si>
    <t>A man is sitting behind two congas with one shoulder rolled up.</t>
  </si>
  <si>
    <t>After he finishes talking,he begins hitting the conga.</t>
  </si>
  <si>
    <t>After several hits,he adds in the other conga and starts to hit the other conga.</t>
  </si>
  <si>
    <t>v_PUJqlmTdlak</t>
  </si>
  <si>
    <t>A man shuffles a deck of cards and deals them.</t>
  </si>
  <si>
    <t>Four aces are shown face up on the table.</t>
  </si>
  <si>
    <t>A man sits at a table and plays blackjack.</t>
  </si>
  <si>
    <t>v_NA8fCmbHwU8</t>
  </si>
  <si>
    <t>A team rides together on a bus.</t>
  </si>
  <si>
    <t>Teams play games of beach soccer.</t>
  </si>
  <si>
    <t>A man makes a bicycle kick in the sand.</t>
  </si>
  <si>
    <t>The winning team holds up a trophy together and celebrates.</t>
  </si>
  <si>
    <t>Teammates call from the bench and cheer.</t>
  </si>
  <si>
    <t>v_I4wkBjpwAAU</t>
  </si>
  <si>
    <t>Two army men in the their uniforms are tied together and pulling each other in opposite direction as part of their training.</t>
  </si>
  <si>
    <t>There is a crowd of army officers watching them cheering for them as they do the strength training exercise.</t>
  </si>
  <si>
    <t>The game is over after one of the army officer's drags the other officer on the ground and wins the game.</t>
  </si>
  <si>
    <t>v_NkvwL_M_lDg</t>
  </si>
  <si>
    <t>The man in blue shirt is strumming the drum in front of him.</t>
  </si>
  <si>
    <t>The young man strum the drum in front of him then the next drum.</t>
  </si>
  <si>
    <t>The young man strum the drums in front of him.</t>
  </si>
  <si>
    <t>v_4IRb308UjTA</t>
  </si>
  <si>
    <t>A woman opens the trunk of a car.</t>
  </si>
  <si>
    <t>She gets a spare tire out and sets it on the ground.</t>
  </si>
  <si>
    <t>She takes the old tire off.</t>
  </si>
  <si>
    <t>She puts the new tire on.</t>
  </si>
  <si>
    <t>She puts the hub of the tire on.</t>
  </si>
  <si>
    <t>v_lly76lvHbB8</t>
  </si>
  <si>
    <t>A man in a red shirt holds onto a disc and skates down the ice.</t>
  </si>
  <si>
    <t>He lets go of the disc and walks back.</t>
  </si>
  <si>
    <t>v_7MWFfqhKgIY</t>
  </si>
  <si>
    <t>A little girl performs holding on the rings.</t>
  </si>
  <si>
    <t>A boy stands next a man, then he raise a hand and walks to perform on the parallel bards.</t>
  </si>
  <si>
    <t>The boy swing on the bars, and then jumps on the mat.</t>
  </si>
  <si>
    <t>v_wjcCl0jPxO4</t>
  </si>
  <si>
    <t>There's a woman in a maroon shirt washing her face in the sink.</t>
  </si>
  <si>
    <t>An aesthetician is talking about skin care routines and giving tips on how to keep facial skin clean.</t>
  </si>
  <si>
    <t>The model washes her face and then dabs it dry gently with a towel.</t>
  </si>
  <si>
    <t>v_bFgXdHQnTtQ</t>
  </si>
  <si>
    <t>Three girls exercise inside a house.</t>
  </si>
  <si>
    <t>The girls dance while jumping, spinning and moving the hips.</t>
  </si>
  <si>
    <t>Then, the girls one by one thrown to the ground, then stand and continue dancing.</t>
  </si>
  <si>
    <t>After, two girls kneel and a child stands on the legs and raise her arms, after the girls ends their performance.</t>
  </si>
  <si>
    <t>v_-lER_VO9LUo</t>
  </si>
  <si>
    <t>Two dogs are walking on the sidewalk attached by a rope.</t>
  </si>
  <si>
    <t>Two people are walking on the sidewalk next to them.</t>
  </si>
  <si>
    <t>One of the people is carrying a water bottle.</t>
  </si>
  <si>
    <t>v_r5cjo7N6IEY</t>
  </si>
  <si>
    <t>A shadow is on the ground, caused by a designed shrub.</t>
  </si>
  <si>
    <t>A man is shown outdoors, showing off his multitude of decorative bushes in his yard.</t>
  </si>
  <si>
    <t>He clips and measures them to make sure they look their best.</t>
  </si>
  <si>
    <t>He finds two that look like boxers, and pretends to make them fight.</t>
  </si>
  <si>
    <t>v_hh6Yt_LJPwQ</t>
  </si>
  <si>
    <t>A woman is seen talking to people out in public followed by a man washing his mouth out and kissing another girl.</t>
  </si>
  <si>
    <t>He then presents the mouth to various people spread out through days and has the people speak to the camera about their experience.</t>
  </si>
  <si>
    <t>v_G-zVpNXq224</t>
  </si>
  <si>
    <t>We see Ellen playing table tennis.</t>
  </si>
  <si>
    <t>A Table tennis player comes out.</t>
  </si>
  <si>
    <t>The new match is played.</t>
  </si>
  <si>
    <t>The man holds his arms out.</t>
  </si>
  <si>
    <t>Ellen ducks down near the table.</t>
  </si>
  <si>
    <t>The players shake hands, the lady hugs Ellen and laugh.</t>
  </si>
  <si>
    <t>We see the ending screen with Ellen on it.</t>
  </si>
  <si>
    <t>v_N2fTZV7pnEw</t>
  </si>
  <si>
    <t>A man is skiin on a slope, quickly.</t>
  </si>
  <si>
    <t>He turns as he passes between other skiers on the way.</t>
  </si>
  <si>
    <t>The man continues until he is finished, then removes himself to the board and joins other skiers at the resting spot.</t>
  </si>
  <si>
    <t>v_IrTqW6Qn8mI</t>
  </si>
  <si>
    <t>A close up is shown of leaves being blown.</t>
  </si>
  <si>
    <t>A person is blowing leaves with a leaf blower.</t>
  </si>
  <si>
    <t>They continue blowing the leaves across the yard.</t>
  </si>
  <si>
    <t>v_D2Trvi7Im_s</t>
  </si>
  <si>
    <t>A woman is skating down a sidewalk outside.</t>
  </si>
  <si>
    <t>She rolls slowly past the camera.</t>
  </si>
  <si>
    <t>She keeps skating down the sidewalk past the ocean's edge.</t>
  </si>
  <si>
    <t>v_3Hgwyprv8u4</t>
  </si>
  <si>
    <t>A camera pans all around a vacuum close up and shows a person's feet.</t>
  </si>
  <si>
    <t>The person walks around with the vacuum and pushes it along a rug.</t>
  </si>
  <si>
    <t>More shots are shown of the person using the attachments on the camera as well as showing how it's made.</t>
  </si>
  <si>
    <t>v_eUCKEnKxG8w</t>
  </si>
  <si>
    <t>Two young girls are seen kneeling before a tub while speaking to the camera.</t>
  </si>
  <si>
    <t>The girls hold up a product and measure it out followed by putting it into their mouths and swishing it around.</t>
  </si>
  <si>
    <t>The girls then spit out the liquid and continue to speak to the camera.</t>
  </si>
  <si>
    <t>v_9BS1II6O7I0</t>
  </si>
  <si>
    <t>A young man solves a cube puzzle while a man stand on front him.</t>
  </si>
  <si>
    <t>Then, a man writes on a paper and shows the young man.</t>
  </si>
  <si>
    <t>The young man solves again the puzzle is less time, and the man takes note.</t>
  </si>
  <si>
    <t>After the young man solves again two times the puzzle in less time.</t>
  </si>
  <si>
    <t>At the end, the young man solves the puzzle in less time than the previous times, he raises happy from his chair.</t>
  </si>
  <si>
    <t>v_sdMr24Qyrw8</t>
  </si>
  <si>
    <t>A young girl is sitting in a chair, awaiting nervously.</t>
  </si>
  <si>
    <t>The piercing artist paints a dot above her lip.</t>
  </si>
  <si>
    <t>He sanitizes his tools and proceeds to pierce the lip of the young girl.</t>
  </si>
  <si>
    <t>He inserts a ring into the piercing.</t>
  </si>
  <si>
    <t>He tightens the piercing and cleans around the piercing.</t>
  </si>
  <si>
    <t>The girl looks into a mirror handed to her by the piercing artist and looks pleased.</t>
  </si>
  <si>
    <t>v_tseeGOVN_eY</t>
  </si>
  <si>
    <t>A child is seen turning on a faucet and begins washes dishes in a sink.</t>
  </si>
  <si>
    <t>The child turns the water off an on again while scrubbing the dishes and another person walking in to help.</t>
  </si>
  <si>
    <t>v_opAcl-kukdU</t>
  </si>
  <si>
    <t>cherleader team wearing purple uniforms are doing a choreography on the middle of a wooden court.</t>
  </si>
  <si>
    <t>a lot of people are sitting on stands around the court.</t>
  </si>
  <si>
    <t>people is walking on sides of the wooden court in a roofed gym.</t>
  </si>
  <si>
    <t>v_J0EWvkkxh5o</t>
  </si>
  <si>
    <t>We see a girl preparing to dive in an indoor pool.</t>
  </si>
  <si>
    <t>The girl jumps and stands looking scared of the height.</t>
  </si>
  <si>
    <t>The girl turns and dives into the water.</t>
  </si>
  <si>
    <t>The girl surfaces and swims to the edge of the pool.</t>
  </si>
  <si>
    <t>v_BJ-1HVacaF4</t>
  </si>
  <si>
    <t>The video starts with a logo of the cathedrals of light.</t>
  </si>
  <si>
    <t>Next a group of people are shown.</t>
  </si>
  <si>
    <t>Then people are shown swimming in an underwater world.</t>
  </si>
  <si>
    <t>Reefs and rocks are shown underwater.</t>
  </si>
  <si>
    <t>Scuba divers are shown swimming deep into the water exploring what is around.</t>
  </si>
  <si>
    <t>v_JFVZdzzJVr8</t>
  </si>
  <si>
    <t>Two men are next to the table wearing blue shirts and welding helmets.</t>
  </si>
  <si>
    <t>The man is holding a welding machine and working on a metal that causes sparks, next to him is another man watching closely on the metal.</t>
  </si>
  <si>
    <t>The lights lit up, the man is poking the metal.</t>
  </si>
  <si>
    <t>v_gJKw6jGjiDE</t>
  </si>
  <si>
    <t>A gymnast stands nervously awaiting her start.</t>
  </si>
  <si>
    <t>The crowd in the arena watches her.</t>
  </si>
  <si>
    <t>She climbs up to a bar and performs various flips, cartwheels, as well as doing the splits mid air.</t>
  </si>
  <si>
    <t>She jumps off the bar and lands on a blue mat.</t>
  </si>
  <si>
    <t>v_6fgk5PKVS2o</t>
  </si>
  <si>
    <t>A person's car is shown from several angles with a person inside and leads into the car driving with people inside.</t>
  </si>
  <si>
    <t>The people are then shown in various angles riding up a snowy mountain and going down a hill.</t>
  </si>
  <si>
    <t>Close ups of the people's faces are shown as they go up and down the hill several times and landing at the bottom of a hill.</t>
  </si>
  <si>
    <t>v_uBhuULfs3Hc</t>
  </si>
  <si>
    <t>A man is at a mound, spinning a disc around in circles.</t>
  </si>
  <si>
    <t>He lets go of the disc and watches it fly.</t>
  </si>
  <si>
    <t>A line of discs is shown before a group of people on the field, choosing their own disc.</t>
  </si>
  <si>
    <t>People are shown, one at a time, throwing the discs.</t>
  </si>
  <si>
    <t>The winner stands with his trophy, shaking hands of people who walk up to him.</t>
  </si>
  <si>
    <t>v_4dyn1oKJO34</t>
  </si>
  <si>
    <t>Various clips are shown of people playing lacrosse followed by a man holding the stick and speaking to the camera.</t>
  </si>
  <si>
    <t>He moves the stick all around demonstrating how to properly play.</t>
  </si>
  <si>
    <t>v_G9ynahMxUz8</t>
  </si>
  <si>
    <t>A little girl kicks a big pink ball to her mother, who catches it and kicks it back.</t>
  </si>
  <si>
    <t>They continue kicking and throwing the ball to each other, and a man joins in.</t>
  </si>
  <si>
    <t>The little girl chases down the ball, bringing it back.</t>
  </si>
  <si>
    <t>v_2WwWzzO6rZQ</t>
  </si>
  <si>
    <t>A female gymnast jumps onto a balance beam and do many tricks and flips and lands back on her feet.</t>
  </si>
  <si>
    <t>the gymnast does two nice back flips back to back while keeping her balance and landing prefect on her feet.</t>
  </si>
  <si>
    <t>finally the female gymnast finishes with a high twice flip off the balance beam in the air and lands on the mat prefect.</t>
  </si>
  <si>
    <t>v_oT42qP2zIXo</t>
  </si>
  <si>
    <t>An intro appears of a person standing in front of objects on a counter, then a white screen appears with a picture of an owl and the words on the screen that include a website and the gray words "Samurai Pro Knife Sharpener".</t>
  </si>
  <si>
    <t>The man then picks up the two knives near his cutting board and demonstrates how they each cut a piece of green onion the cutting board, then he fastens the sharpener onto the counter, runs his knife through the sharpener a few times then goes back to showing how it cuts the green onion and how the blades look.</t>
  </si>
  <si>
    <t>The man is touching, holding and showing the camera a closer look of the sharpener.</t>
  </si>
  <si>
    <t>The outro is a person drawing the owl and the website onto a large piece of paper with markers, gives a thumbs up when they're done, then the screen goes to a digital white screen of the same owl that was just drawn and the website below it.</t>
  </si>
  <si>
    <t>v_YPSV5JEqhBw</t>
  </si>
  <si>
    <t>Women are holding a ball and spinning around before throwing it onto the field.</t>
  </si>
  <si>
    <t>A man in a red shirt is holding a broom.</t>
  </si>
  <si>
    <t>People are watching them throw the balls.</t>
  </si>
  <si>
    <t>v_1t0yXLlX1XE</t>
  </si>
  <si>
    <t>Several images of a bald man bowling are shown and then he appears and throws a curve ball.</t>
  </si>
  <si>
    <t>Several videos from different locations are shown of the curve ball and the ball almost goes to the gutter but curves about two to three feet away from the bowling pins.</t>
  </si>
  <si>
    <t>v_iUe1t0sN4Jo</t>
  </si>
  <si>
    <t>A man bowls several times down a lane.</t>
  </si>
  <si>
    <t>The screen of the score board is shown.</t>
  </si>
  <si>
    <t>v_aUbSDHBZNEQ</t>
  </si>
  <si>
    <t>A close up of a dog is seen who proceeds to run away towards another dog.</t>
  </si>
  <si>
    <t>The big dog then leads the little dog around on a leash.</t>
  </si>
  <si>
    <t>v_QJVtvcYcwac</t>
  </si>
  <si>
    <t>This a video tutorial on getting box braids.</t>
  </si>
  <si>
    <t>A screen pops up with several websites and social media addresses.</t>
  </si>
  <si>
    <t>There are stills of the processes to make the braids shown on a girl in a pink jacket.</t>
  </si>
  <si>
    <t>Then a video shows how the process looks in actual time using a comb and the technique of separating the braids as a woman braids the hair by hand.</t>
  </si>
  <si>
    <t>Then there is a front view of the little girl in pink as the woman behind her finishes up the braiding process at the front of her head.</t>
  </si>
  <si>
    <t>There are screen text that mentions how the hair looks six hours later.</t>
  </si>
  <si>
    <t>Then there are still shots of the results of her hair being braided.</t>
  </si>
  <si>
    <t>v_Ycf5NG0xedg</t>
  </si>
  <si>
    <t>A waterfall appears on screen next to a river with the title "H20 Adventures Savegre River" overlaid.</t>
  </si>
  <si>
    <t>A group of people walk across a red suspension walking bridge above the river.</t>
  </si>
  <si>
    <t>A group of people wearing life vests and holding oars listen to instructions.</t>
  </si>
  <si>
    <t>Groups of people row inflatable rafts down the fast current river.</t>
  </si>
  <si>
    <t>People stand on shore talking and drinking beverages.</t>
  </si>
  <si>
    <t>Video credits appear on screen over video of a lizard on a rock.</t>
  </si>
  <si>
    <t>The screen goes completely black after the credits end.</t>
  </si>
  <si>
    <t>v_aFGLXYcKD2M</t>
  </si>
  <si>
    <t>A couple of men are on an indoor tennis court.</t>
  </si>
  <si>
    <t>They lob the ball back and forth over the net.</t>
  </si>
  <si>
    <t>They hit the ball back to each other.</t>
  </si>
  <si>
    <t>v_jGLJuL49zYE</t>
  </si>
  <si>
    <t>Two men alternatively dance on the street while pedestrian and road traffic pass by.</t>
  </si>
  <si>
    <t>Two women stop to watch the dancers.</t>
  </si>
  <si>
    <t>A man and a woman stop to watch the dancers.</t>
  </si>
  <si>
    <t>v_Gpjx38IDVT0</t>
  </si>
  <si>
    <t>A boy is inside an outdoor net.</t>
  </si>
  <si>
    <t>He swings a ball on a rope very quickly.</t>
  </si>
  <si>
    <t>He lets it go and watches as it flies across the field.</t>
  </si>
  <si>
    <t>v_TDwSu2nfSXw</t>
  </si>
  <si>
    <t>A boy dancing on the front of a book with describing credits.</t>
  </si>
  <si>
    <t>The boy is sitting in an empty room talking about his dance moves.</t>
  </si>
  <si>
    <t>The boy is standing in the room showing a move that starts with kicking his left foot out as he slowly turns and shows the rest of the current dance move.</t>
  </si>
  <si>
    <t>Next the boy starts with same move but moves quicker.</t>
  </si>
  <si>
    <t>The instructions to practice are shown as the boy is dancing in the almost empty room.</t>
  </si>
  <si>
    <t>v_Uk_VxavVjP0</t>
  </si>
  <si>
    <t>The trees are shown above the water.</t>
  </si>
  <si>
    <t>A man puts his hands behind his head.</t>
  </si>
  <si>
    <t>v_WjueR8K-nnI</t>
  </si>
  <si>
    <t>Children rides bumper cars in a carnival.</t>
  </si>
  <si>
    <t>The kids get stuck in the center, but they free and drive.</t>
  </si>
  <si>
    <t>A woman push a stroller in the street.</t>
  </si>
  <si>
    <t>Children bumps cars and ride around.</t>
  </si>
  <si>
    <t>The children gets off the bumper cars and walk to the exit.</t>
  </si>
  <si>
    <t>v_3nvKiZeVfGY</t>
  </si>
  <si>
    <t>A person slides a heavy ball on the floor while holding a brush on his left hand.</t>
  </si>
  <si>
    <t>Then, two men brush the floor on front the heavy ball without touching it.</t>
  </si>
  <si>
    <t>People plays behind the person.</t>
  </si>
  <si>
    <t>The yellow ball reaches the center of the red circle.</t>
  </si>
  <si>
    <t>v_pgBfTJzVB98</t>
  </si>
  <si>
    <t>A man is wearing a red hat and sunglasses.</t>
  </si>
  <si>
    <t>He throws a dart in front of him.</t>
  </si>
  <si>
    <t>He makes a bulls eye on the dart board.</t>
  </si>
  <si>
    <t>v_XwrF8edyJz0</t>
  </si>
  <si>
    <t>A camera pans around glasses of lemonade followed by a person squeezing juice out of lemons.</t>
  </si>
  <si>
    <t>The person mixes various ingredients together into a bowl and pours it into a glass.</t>
  </si>
  <si>
    <t>Several shots are shown of the glasses being poured as well as presented to the camera.</t>
  </si>
  <si>
    <t>v_1_YFTTzzLrI</t>
  </si>
  <si>
    <t>A man sits at a table and a woman moves a box from him.</t>
  </si>
  <si>
    <t>He puts his hands on the table then begins to solve a rubix cube.</t>
  </si>
  <si>
    <t>The timer continues as he solves the cube.</t>
  </si>
  <si>
    <t>v_J4UFrrwKUQA</t>
  </si>
  <si>
    <t>two men are standing in a sailing boat in sea.</t>
  </si>
  <si>
    <t>man is standing in a dock wearing a red bull shirt and then is in the saillboat.</t>
  </si>
  <si>
    <t>dolphins are swimming next to the boat.</t>
  </si>
  <si>
    <t>people are standing on a sunny day in a dock.</t>
  </si>
  <si>
    <t>v_TssNxg5XJ-o</t>
  </si>
  <si>
    <t>A man is kneeling on the ice with another beside hide pulling string out of a hole.</t>
  </si>
  <si>
    <t>They continue to pull the string while the man beside him grabs a hook.</t>
  </si>
  <si>
    <t>He places the hook near the hole but the man grabs a fish on a string.</t>
  </si>
  <si>
    <t>The fish flops around and the man grabs the fish and holds him up.</t>
  </si>
  <si>
    <t>v_RYyGvn4MOr0</t>
  </si>
  <si>
    <t>People drive bumper cars in a carnival.</t>
  </si>
  <si>
    <t>A little girl follows a boy in a yellow bumper car.</t>
  </si>
  <si>
    <t>Then, the boy and the girl hit other bumper cars.</t>
  </si>
  <si>
    <t>v_PEp22TMpoHA</t>
  </si>
  <si>
    <t>A group of people are on rafts,white water rafting through rocky waters.</t>
  </si>
  <si>
    <t>Eventually,they travel through the water and end up hitting a huge rock and losing their paddles.</t>
  </si>
  <si>
    <t>After,they continue to go through rocky parts of the water and slide down small hills.</t>
  </si>
  <si>
    <t>v_teDceMxV9PA</t>
  </si>
  <si>
    <t>A reporter reports on a story about amputees and non amputees using replacement limbs with advanced technology or as leg extenders and performance enhancers for non amputees.</t>
  </si>
  <si>
    <t>A reporter sits at a reporters table during a news broadcast before the clip cuts to people wearing limb replacement technology.</t>
  </si>
  <si>
    <t>Several clips of men who are not amputees wearing amputee extender legs are shown with the subjects running and bounced in the street.</t>
  </si>
  <si>
    <t>v_brewO_8bl4g</t>
  </si>
  <si>
    <t>Hulk Hogan is seen speaking to the camera while holding up his arms and another man stands in the background.</t>
  </si>
  <si>
    <t>The man continues speaking to the camera and leads into clips of a boy arm wrestling and another man holding up his arm.</t>
  </si>
  <si>
    <t>v_WnYqWQ005Tc</t>
  </si>
  <si>
    <t>An Asian male is standing on a hard wood floor and begins talking and begins to do a spin on his head.</t>
  </si>
  <si>
    <t>After the clip,he comes back and shows how to properly place your hands on the floor.</t>
  </si>
  <si>
    <t>As he continues,he grabs a beanie and puts it on his hand to make him turn easier.</t>
  </si>
  <si>
    <t>The man then does the twist continuously and shows off the cricket position before returning to talk again.</t>
  </si>
  <si>
    <t>v_rob5gIT_pAw</t>
  </si>
  <si>
    <t>man is welding a metal machine in a room.</t>
  </si>
  <si>
    <t>man is talknig to the camera and is holding an emery in a machine room.</t>
  </si>
  <si>
    <t>v_Yyv8oxrFGV0</t>
  </si>
  <si>
    <t>A group of men are seen crowded around a table where more men are sitting and speaking.</t>
  </si>
  <si>
    <t>Eventually two men chug a beer followed down a line of more men drinking their beer.</t>
  </si>
  <si>
    <t>The men finish their beers and laugh and applaud one another while many watch on the sides.</t>
  </si>
  <si>
    <t>v_SMpmoqIk3Ts</t>
  </si>
  <si>
    <t>Several individuals are in the water playing a game and the man throws an orange ball to a person.</t>
  </si>
  <si>
    <t>The person then takes the ball and throws it to the man sitting next to the goal.</t>
  </si>
  <si>
    <t>He then moves to the other side of the pool and grabs the goal.</t>
  </si>
  <si>
    <t>v_Xhrk1wP8tCs</t>
  </si>
  <si>
    <t>A man is sitting down next to a desk where a fitness equipment piece is placed.</t>
  </si>
  <si>
    <t>The man shows off the pedals of the equipment as well as a timer on the equipment.</t>
  </si>
  <si>
    <t>A woman is seen walking on the equipment.</t>
  </si>
  <si>
    <t>A man pulls the fitness equipment from under a desk.</t>
  </si>
  <si>
    <t>The man is seen by the desk again, talking about the fitness equipment.</t>
  </si>
  <si>
    <t>v_Snw8Jf1DQwg</t>
  </si>
  <si>
    <t>A screenshot of a woman wearing a blue jumpsuit is standing in a pose holding two batons and white words on the middle of the screen say "2 Baton Nicole".</t>
  </si>
  <si>
    <t>The woman is now standing on a floor with a lot of colorful lines and dashes and she begins her 2 baton routine that includes a lot of twirling, spinning, and throwing and catching of the batons.</t>
  </si>
  <si>
    <t>Almost to the end of her routine the woman drops the baton twice, picks them up and continues to do her routine until the end.</t>
  </si>
  <si>
    <t>v_On4V94fVLpg</t>
  </si>
  <si>
    <t>A lady speaks with two pumpkins on a table.</t>
  </si>
  <si>
    <t>A woman shows her palm.</t>
  </si>
  <si>
    <t>A person carves a pumpkin.</t>
  </si>
  <si>
    <t>A females gives an interview on carving kit.</t>
  </si>
  <si>
    <t>Children hold pumpkins with smiles on their faces.</t>
  </si>
  <si>
    <t>A man pulls the top of a pumpkin off.</t>
  </si>
  <si>
    <t>The lady presents a knife and a smaller knife.</t>
  </si>
  <si>
    <t>Two people sit with papers in front of them.</t>
  </si>
  <si>
    <t>v_K9kVsnTQh-g</t>
  </si>
  <si>
    <t>A man in sweat shirt washes plates and cups in a sink with soapy water.</t>
  </si>
  <si>
    <t>The man picks up silverware soaking in sink and washes them off.</t>
  </si>
  <si>
    <t>The man washes pots and a cutting board.</t>
  </si>
  <si>
    <t>The man washes a coffee press gadget.</t>
  </si>
  <si>
    <t>The man turns off the water and drains the sink.</t>
  </si>
  <si>
    <t>v_ssies4ErWus</t>
  </si>
  <si>
    <t>People are sitting on the edge of the water.</t>
  </si>
  <si>
    <t>A guy is chopping something on the ground.</t>
  </si>
  <si>
    <t>A woman gets up and walks away.</t>
  </si>
  <si>
    <t>v_KdqoLhoXjS8</t>
  </si>
  <si>
    <t>A grooming room is shown and three people are washing different dogs.</t>
  </si>
  <si>
    <t>Other rooms are shown and the dogs continue being groomed and laying down on the ground waiting for their turn.</t>
  </si>
  <si>
    <t>After,the camera leaves the back of the office and the reception area is shown.</t>
  </si>
  <si>
    <t>v_mNTO-xnsaTc</t>
  </si>
  <si>
    <t>People are paddling oars in a blue raft.</t>
  </si>
  <si>
    <t>They go over a wave in the water.</t>
  </si>
  <si>
    <t>They continue going down the river.</t>
  </si>
  <si>
    <t>v_6PaTEwG8Ym4</t>
  </si>
  <si>
    <t>A man is seated on a chair in a hair salon.</t>
  </si>
  <si>
    <t>He is getting a haircut from a hairdresser who is wearing a blue dress.</t>
  </si>
  <si>
    <t>The man is sitting with a camera in his hand.</t>
  </si>
  <si>
    <t>The hairdresser finishes cutting his hair and then steps back.</t>
  </si>
  <si>
    <t>v_PNdG3SUdJzc</t>
  </si>
  <si>
    <t>A kneeling man attempts to start a fire while several others watch on.</t>
  </si>
  <si>
    <t>One of the spectators walks away briefly.</t>
  </si>
  <si>
    <t>The kneeling man starts a fire.</t>
  </si>
  <si>
    <t>One of the spectators kisses the kneeing man.</t>
  </si>
  <si>
    <t>v_A0R3KFXD_BU</t>
  </si>
  <si>
    <t>A group of men sit around a bar flirting with a bartender behind the bar.</t>
  </si>
  <si>
    <t>The woman continues talking to the men while the camera pans around various groups of people nearby the bar.</t>
  </si>
  <si>
    <t>The woman sparks with her hands while also dealing cards for people at the bar.</t>
  </si>
  <si>
    <t>v_izdf6Fm48Tc</t>
  </si>
  <si>
    <t>A man is seen speaking to the camera with a pair of shoes in front of him.</t>
  </si>
  <si>
    <t>He holds up the shoes as well as cleaning products and begins using them on the shoes.</t>
  </si>
  <si>
    <t>He wipes the shoes while still showing the cleaning products and speaking to the camera.</t>
  </si>
  <si>
    <t>v_a9qztQPPsJg</t>
  </si>
  <si>
    <t>man is sitting in font of a table talking about how to clean a white sneaker.</t>
  </si>
  <si>
    <t>man pour a liquid on water and cleans the shoe with a brush and with a wipe polish it.</t>
  </si>
  <si>
    <t>v_7MDr4f1r8rI</t>
  </si>
  <si>
    <t>Girls are shown one at a time, using pvc pipes to vault in an indoor gym onto a mat.</t>
  </si>
  <si>
    <t>Finally a boy is shown vaulting as well.</t>
  </si>
  <si>
    <t>v_P2HtcvFg3z8</t>
  </si>
  <si>
    <t>A close up of a cartoon earth is shown, followed by a cartoon man with a javelin.</t>
  </si>
  <si>
    <t>The man is then shown throwing three different javelins in competition, interspersed with words on the screen.</t>
  </si>
  <si>
    <t>v_Zgiq5MK8fQ8</t>
  </si>
  <si>
    <t>A woman is seen standing next to a frozen car while looking away from the camera.</t>
  </si>
  <si>
    <t>The woman then begins using a scraper to scrape off the sides.</t>
  </si>
  <si>
    <t>The woman continues scraping the car and looking off into the distance.</t>
  </si>
  <si>
    <t>v_v5KAaaZD6uk</t>
  </si>
  <si>
    <t>Athletes are giving interviews, and some show off their participation medals.</t>
  </si>
  <si>
    <t>Athletes are boarding white buses.</t>
  </si>
  <si>
    <t>The buses move down the road.</t>
  </si>
  <si>
    <t>A person stacks tee shirts.</t>
  </si>
  <si>
    <t>Athletes wait at the start line.</t>
  </si>
  <si>
    <t>Athletes are running down the road.</t>
  </si>
  <si>
    <t>Athletes cross the finish line.</t>
  </si>
  <si>
    <t>v_i1s-HuRTr5k</t>
  </si>
  <si>
    <t>An athlete is seen sitting on the ground when a man walks over and hands him shoes.</t>
  </si>
  <si>
    <t>The man then puts on the shoes and begins moving around the field.</t>
  </si>
  <si>
    <t>The man kicks a ball around while the camera follows him from behind.</t>
  </si>
  <si>
    <t>v_Nk4p-ah_PkA</t>
  </si>
  <si>
    <t>People playing a baseball game are shown on a large field with dozens of people watching on the side.</t>
  </si>
  <si>
    <t>The people continue playing the game and ends with several players running of the field in the end.</t>
  </si>
  <si>
    <t>v_IZdVPuT8Hfs</t>
  </si>
  <si>
    <t>A person is helping a young man to jump behind the rails of a bridge and check the belts.</t>
  </si>
  <si>
    <t>Then, the man jumps down the bridge.</t>
  </si>
  <si>
    <t>v_V4_SJyhRGqA</t>
  </si>
  <si>
    <t>A game of croquette is in progress.</t>
  </si>
  <si>
    <t>A man has lined up numerous colored balls.</t>
  </si>
  <si>
    <t>He moves down the line, hitting each ball through the goal.</t>
  </si>
  <si>
    <t>v_7uk4sqUBhks</t>
  </si>
  <si>
    <t>This video is a tutorial showing people how to ski correctly.</t>
  </si>
  <si>
    <t>First it tells you what environment you should ski in.</t>
  </si>
  <si>
    <t>It also shows someone skiing in the snow to accompany the steps given.</t>
  </si>
  <si>
    <t>v_gqJE_SZyoIc</t>
  </si>
  <si>
    <t>A man is working out on an elliptical machine.</t>
  </si>
  <si>
    <t>It shows the screen on the machine.</t>
  </si>
  <si>
    <t>v_lEqYTrzaHsc</t>
  </si>
  <si>
    <t>An intro leads into a boat full of people flying on the water.</t>
  </si>
  <si>
    <t>The camera shows various angles of the boat moving along the water as well as close ups on the people on board.</t>
  </si>
  <si>
    <t>v_EavcvmrlVLQ</t>
  </si>
  <si>
    <t>We see men playing a game of soccer and scoring repeatedly indoors.</t>
  </si>
  <si>
    <t>We see a goalie jumping around and a man shoot and score.</t>
  </si>
  <si>
    <t>We see a happy young man fanning his shirt.</t>
  </si>
  <si>
    <t>v_UfYMJBu4HI0</t>
  </si>
  <si>
    <t>Apply the tiles in the same exact direction.</t>
  </si>
  <si>
    <t>The tile must be installed over the adhesive.</t>
  </si>
  <si>
    <t>Then roll immediately with a hundred-point roller.</t>
  </si>
  <si>
    <t>Cut tiles near the perimeter to ensure smooth installation.</t>
  </si>
  <si>
    <t>v_QWhn9Ncvvso</t>
  </si>
  <si>
    <t>A person shows bacon on a dish, then puts mayonnaise on two pieces of bread.</t>
  </si>
  <si>
    <t>Then, the person puts bacon on a bread and lettuce and tomato on the other bread, then spread peeper and form the sandwich.</t>
  </si>
  <si>
    <t>Next, the person cuts the sandwich in half, then takes a half and gives a bite.</t>
  </si>
  <si>
    <t>v_VGVIaQuhdcI</t>
  </si>
  <si>
    <t>A man uses a tool to even plaster on a wall.</t>
  </si>
  <si>
    <t>The man works on the wall below the visible frame of the camera.</t>
  </si>
  <si>
    <t>The man rises up in front of the camera and walks past it.</t>
  </si>
  <si>
    <t>v_oXFKaTlg3p0</t>
  </si>
  <si>
    <t>People are riding in a boat in the water.</t>
  </si>
  <si>
    <t>The boat is pulling a tube with a man behind it.</t>
  </si>
  <si>
    <t>The person flies off of the tube.</t>
  </si>
  <si>
    <t>The boat is pulling the same tube with several young people on it.</t>
  </si>
  <si>
    <t>A person water skis behind the boat.</t>
  </si>
  <si>
    <t>A jet ski passes by the boat then we see the passengers.</t>
  </si>
  <si>
    <t>v_Qzewn-dGdOI</t>
  </si>
  <si>
    <t>A man holding a red cape is standing in front of a bull.</t>
  </si>
  <si>
    <t>The bull hits him and knocks him to the ground.</t>
  </si>
  <si>
    <t>People carry the man off the arena.</t>
  </si>
  <si>
    <t>v_K_I5LyzD8m0</t>
  </si>
  <si>
    <t>A barber rubs shaving cream on a man's bald head.</t>
  </si>
  <si>
    <t>The barber stops to clean his hands with a towel.</t>
  </si>
  <si>
    <t>The barber grabs a razor and slowly shaves the head of the man.</t>
  </si>
  <si>
    <t>v_XP8pufIBsnM</t>
  </si>
  <si>
    <t>A young man bend to lift a weight to his shoulders, then he lifts the weight above his head.</t>
  </si>
  <si>
    <t>The young man lets the weight falls on the floor.</t>
  </si>
  <si>
    <t>After, the man flips, and then a man comes and hugs the young man.</t>
  </si>
  <si>
    <t>v_DhYJl8KAZN4</t>
  </si>
  <si>
    <t>An intro comes onto the screen giving information for a percussion company.</t>
  </si>
  <si>
    <t>A man begins to play a set of drums with the camera showing him from several different angles.</t>
  </si>
  <si>
    <t>The camera shows his foot using a pedal to play the drums.</t>
  </si>
  <si>
    <t>As the video ends the closing credits are displayed.</t>
  </si>
  <si>
    <t>v_Y4svcMuQgBw</t>
  </si>
  <si>
    <t>A woman talks and smiles while ironing a garment from a laundry room.</t>
  </si>
  <si>
    <t>A woman wearing a pink shirt and apron stands in a laundry room in front of a washer and dryer and talks facing the camera.</t>
  </si>
  <si>
    <t>The woman bends down to pick up a garment and then spreads it over an ironing table.</t>
  </si>
  <si>
    <t>The woman proceeds to iron the garment, stopping momentarily, to spray the garment with a liquid from a white spray bottle, then finishes ironing the garment and holds it to her face and cheeks and smiles.</t>
  </si>
  <si>
    <t>v_o0d1PXKkJqM</t>
  </si>
  <si>
    <t>There's a man in a pink shirt and a lady in a white tank top holding bagpipes in her hand.</t>
  </si>
  <si>
    <t>They are standing in a parking lot near a silver car.</t>
  </si>
  <si>
    <t>The lady begins playing her bagpipes as the man watches her play.</t>
  </si>
  <si>
    <t>She continues playing and after she's done, the man claps for her and gives her a hug.</t>
  </si>
  <si>
    <t>v_z9PXpyWbXk8</t>
  </si>
  <si>
    <t>The kid is standing in the court.</t>
  </si>
  <si>
    <t>The little girl is sitting at the other end of a mat.</t>
  </si>
  <si>
    <t>The young boy run towards the mat and jump over the pole.</t>
  </si>
  <si>
    <t>v_UdIoEWadRxI</t>
  </si>
  <si>
    <t>A woman bartender is standing behind a bar.</t>
  </si>
  <si>
    <t>An empty glass is in front of her as she talks.</t>
  </si>
  <si>
    <t>She adds ice to the glass with a scoop.</t>
  </si>
  <si>
    <t>She adds three different liquids from three bottles to the glass.</t>
  </si>
  <si>
    <t>She stirs and continues to talk about the drink.</t>
  </si>
  <si>
    <t>v_fnZIksNLUXA</t>
  </si>
  <si>
    <t>We see people on a boat and then see quick shots of people on a boat in diving gear.</t>
  </si>
  <si>
    <t>We see people under water diving.</t>
  </si>
  <si>
    <t>A man holds a white thing and touches it over and over.</t>
  </si>
  <si>
    <t>Above water people are on the boat and a person falls into the water, we see people underwater diving and looking at sealife at night.</t>
  </si>
  <si>
    <t>A person falls back into the water and we are underwater near a shipwreck in the day.</t>
  </si>
  <si>
    <t>The men get on the boat after they are done.</t>
  </si>
  <si>
    <t>v_I1P5GuVHFQA</t>
  </si>
  <si>
    <t>A man is seen speaking to the camera while holding up various objects and sharpening a stick.</t>
  </si>
  <si>
    <t>The man then puts a helmet on and attached the stick to a holder, leading into the man creating a spark and cutting an object.</t>
  </si>
  <si>
    <t>He pauses to speak more to the camera and looking down at the object to see how it turned out.</t>
  </si>
  <si>
    <t>v_n--IF_1qqYA</t>
  </si>
  <si>
    <t>A man is mowing his lawn, he has chickens in his coop.</t>
  </si>
  <si>
    <t>The time is speed up so quickly so it looks like it is in double time.</t>
  </si>
  <si>
    <t>He walks around the yard looking around.</t>
  </si>
  <si>
    <t>The yard looks very green and very nicely kept.</t>
  </si>
  <si>
    <t>v_0HrPpZa_xv8</t>
  </si>
  <si>
    <t>A cowboy on a horse runs after a cow.</t>
  </si>
  <si>
    <t>The cowboy jumps off the horse and runs after the cow.</t>
  </si>
  <si>
    <t>The cowboy ties the cow up.</t>
  </si>
  <si>
    <t>v_oRR1nIUPbjo</t>
  </si>
  <si>
    <t>A person is sitting in a raft going down a stream.</t>
  </si>
  <si>
    <t>There are multiple people in a raft going in the river.</t>
  </si>
  <si>
    <t>Someone falls into the water and gets helped back in.</t>
  </si>
  <si>
    <t>v_eMNvlcxXZj8</t>
  </si>
  <si>
    <t>They are stepping on stepping stools.</t>
  </si>
  <si>
    <t>They are dancing together while working out.</t>
  </si>
  <si>
    <t>v_MZQmJZ_31O0</t>
  </si>
  <si>
    <t>We see a ladies eye and noes up close.</t>
  </si>
  <si>
    <t>We see the lady in the desert spinning hula hoops and performing tricks.</t>
  </si>
  <si>
    <t>The lady hula hoops with 10 or so golden hula hoops.</t>
  </si>
  <si>
    <t>The lady spins the hoop on her hand then transfers it to her leg stretched upward and we see her in the gold hoops again.</t>
  </si>
  <si>
    <t>The lady spins her body in and out of the hoops and we see her in a handstand with the hula hoop on her feet.</t>
  </si>
  <si>
    <t>She is in the gold hoops as they fall to the ground she then spins many pink hoops from her hands to her feet and as a skirt.</t>
  </si>
  <si>
    <t>v_yauw3CrvbtY</t>
  </si>
  <si>
    <t>A man in a white shirt is standing next to a swimming pool.</t>
  </si>
  <si>
    <t>A man is holding a camera filming him go up the stairs.</t>
  </si>
  <si>
    <t>He stands on a diving board and jumps into the pool below him.</t>
  </si>
  <si>
    <t>He gets out of the water and walks to give hugs to people.</t>
  </si>
  <si>
    <t>v_y3r4IrZkgBo</t>
  </si>
  <si>
    <t>A woman is seen sitting on a tub with a towel wrapped around her and shaving her legs.</t>
  </si>
  <si>
    <t>She then laughs to the camera and runs out with a young boy pushing her to the floor.</t>
  </si>
  <si>
    <t>v_cz20Wqx9d4Q</t>
  </si>
  <si>
    <t>Two men are sitting at a picnic table getting ready to arm wrestle.</t>
  </si>
  <si>
    <t>Various people are watching from the sides and the men begin to arm wrestle.</t>
  </si>
  <si>
    <t>A man is interviewed by the cameraman and shows off his biceps to the camera.</t>
  </si>
  <si>
    <t>Two men continue talking to the camera and eventually begin arm wrestling again.</t>
  </si>
  <si>
    <t>They play various matches of arm wrestling and interview a woman onlooker who also wants to arm wrestle.</t>
  </si>
  <si>
    <t>The man lets her win their arm wrestling match and the girl seems giddy.</t>
  </si>
  <si>
    <t>v_1cccnJAK7TI</t>
  </si>
  <si>
    <t>A guy is tattooing a lady's upper arm.</t>
  </si>
  <si>
    <t>The lady is in pain.</t>
  </si>
  <si>
    <t>The guy whips with a white paper towel.</t>
  </si>
  <si>
    <t>v_W6y6Vmk5edg</t>
  </si>
  <si>
    <t>A gymnast is seen leaning across a long beam and begins performing a gymnastics routine.</t>
  </si>
  <si>
    <t>The girl flips and tricks along the beam while others watch on the side.</t>
  </si>
  <si>
    <t>The woman continues moving along the beam and ends by jumping off the side and walking off the stage.</t>
  </si>
  <si>
    <t>v_Z4biLo6k5fI</t>
  </si>
  <si>
    <t>The faucet showing is then a hand attached the hose and tighten the hose.</t>
  </si>
  <si>
    <t>A straw is attached to a tank.</t>
  </si>
  <si>
    <t>The woman is washing the dog with the hose in the bathtub.</t>
  </si>
  <si>
    <t>v_M2OoQFcDflU</t>
  </si>
  <si>
    <t>A tray of chips are shown on a table.</t>
  </si>
  <si>
    <t>A person is dealing cards onto the table.</t>
  </si>
  <si>
    <t>People sitting at the table give each other high fives.</t>
  </si>
  <si>
    <t>v_A6DBt7UgWEg</t>
  </si>
  <si>
    <t>A spinning disc with circles of color are shown, panning out a a film reel and the words films of india.</t>
  </si>
  <si>
    <t>A man is shown stretching before engaging in a tennis match in front of a crowd.</t>
  </si>
  <si>
    <t>He then speaks to the crowd amongst flashing cameras through a microphone.</t>
  </si>
  <si>
    <t>The man is occasionally shown playing tennis, then goes back to speaking to the group.</t>
  </si>
  <si>
    <t>v_Gl3okOVEwgg</t>
  </si>
  <si>
    <t>A man is standing at the foot of a large wall.</t>
  </si>
  <si>
    <t>He is stretching and staring at it looking like he might climb it.</t>
  </si>
  <si>
    <t>He looks up and down before putting a foot on the base of the wall.</t>
  </si>
  <si>
    <t>He then starts to climb higher and higher.</t>
  </si>
  <si>
    <t>He scales the wall very methodically.</t>
  </si>
  <si>
    <t>He eventually get to the very top with relative ease.</t>
  </si>
  <si>
    <t>v_-fuvIQpA-QQ</t>
  </si>
  <si>
    <t>A teen boy is standing in a kitchen, holding a pitcher and talking.</t>
  </si>
  <si>
    <t>He fills the pitcher with water at the sink.</t>
  </si>
  <si>
    <t>He then mixes a powder into the water, creating a drink mix.</t>
  </si>
  <si>
    <t>He ads alcohol, then drinks from the pitcher to test the flavor.</t>
  </si>
  <si>
    <t>v_nXr1r26HZis</t>
  </si>
  <si>
    <t>A group of people are inside a building.</t>
  </si>
  <si>
    <t>They are playing a game of foosball together.</t>
  </si>
  <si>
    <t>They kick the figures back and forth, trying to win the game.</t>
  </si>
  <si>
    <t>v_LslQvR_4bkk</t>
  </si>
  <si>
    <t>A man practice ice hockey throwing a disc with a stick.</t>
  </si>
  <si>
    <t>Then, the player scores in a game and he is congratulated by teammates.</t>
  </si>
  <si>
    <t>Other player talks and talks when score while men plays ice hockey.</t>
  </si>
  <si>
    <t>A player talks and teams are playing in the ice court, and players score.</t>
  </si>
  <si>
    <t>v_1JEQbXJC85w</t>
  </si>
  <si>
    <t>A man in tshirt leans on a kitchen counter next to bags of ingredients.</t>
  </si>
  <si>
    <t>The man presents each separate ingredient and holds them up showing each one.</t>
  </si>
  <si>
    <t>A pan of sliced sausage and peppers cooks on a stove.</t>
  </si>
  <si>
    <t>A pot of soup boils.</t>
  </si>
  <si>
    <t>Ingredients sit next to the stove top and are being used to prepare the food.</t>
  </si>
  <si>
    <t>A bowl of sliced vegetables has the pans ingredients added in.</t>
  </si>
  <si>
    <t>A bowl of colander of pasta is added into to bowl and shaken.</t>
  </si>
  <si>
    <t>A bag of cheese is held up.</t>
  </si>
  <si>
    <t>The man speaks up close to the camera.</t>
  </si>
  <si>
    <t>v_bJx4unQR6nU</t>
  </si>
  <si>
    <t>A woman talks in an office.</t>
  </si>
  <si>
    <t>The woman explains how she curls her hair.</t>
  </si>
  <si>
    <t>v_aT-0XxCqV5E</t>
  </si>
  <si>
    <t>A large group of people are seen standing and sitting around a sand pit while a runner jumps inside it.</t>
  </si>
  <si>
    <t>The man is shown several times jumping with people measuring his jump afterwards and raking the sand.</t>
  </si>
  <si>
    <t>v_w8LDUu66JWI</t>
  </si>
  <si>
    <t>Two cheerleaders exercise in a gym while talking.</t>
  </si>
  <si>
    <t>A cheerleader is in a room and then lift weight, while the other one talks on his phone.</t>
  </si>
  <si>
    <t>After, the cheerleaders talk and exercise.</t>
  </si>
  <si>
    <t>After, the cheerleaders exercise and also talk.</t>
  </si>
  <si>
    <t>v_UJfwaeMrZ7A</t>
  </si>
  <si>
    <t>A woman is on a concrete court outside.</t>
  </si>
  <si>
    <t>She is jumping across a chalk drawn hopscotch game.</t>
  </si>
  <si>
    <t>She goes back and forth over the puzzle twice.</t>
  </si>
  <si>
    <t>v_TqO-bmGQGiY</t>
  </si>
  <si>
    <t>Two dogs wearing clothing run together up stairs.</t>
  </si>
  <si>
    <t>The two dogs are shown running together amidst crowds in several different locations while following a man.</t>
  </si>
  <si>
    <t>The man teaches one dog to pull another by the leash.</t>
  </si>
  <si>
    <t>v_AVL31l6H1uI</t>
  </si>
  <si>
    <t>A lady in a suit talks in a white room.</t>
  </si>
  <si>
    <t>We see a man washing a car with a towel.</t>
  </si>
  <si>
    <t>We see the car being rinsed with a pressure washer and the wheel is wiped.</t>
  </si>
  <si>
    <t>the emblem appears on the screen as suds slip down a car.</t>
  </si>
  <si>
    <t>v_r6r4Q9jLFvs</t>
  </si>
  <si>
    <t>A man is standing in a room with three walls and a glass wall behind him hitting a ball with a racket.</t>
  </si>
  <si>
    <t>A series of words are then shown as well as a YouTube video.</t>
  </si>
  <si>
    <t>The next screen comes around with a large hot air balloon and animated cars.</t>
  </si>
  <si>
    <t>v_rVRNX-fClE4</t>
  </si>
  <si>
    <t>A blurry object is shown and white text shows up that reads "Fun Shoe Shine".</t>
  </si>
  <si>
    <t>As the picture becomes more clear there is a small silver can with a screw on lid and the writing on the can say's "Dr Martens AirWair".</t>
  </si>
  <si>
    <t>A pair of shiny black boots are standing and their black shoelaces are tied and the text "After" appears on the front left area of the boot.</t>
  </si>
  <si>
    <t>A few angles of the boots are shown and various words pop up in front of them.</t>
  </si>
  <si>
    <t>A person is then seen wiping the boot down with a cloth and more texts show up.</t>
  </si>
  <si>
    <t>A close up of the silver can being opened by a hand is showing the contents in it and how to use the contents on a boot.</t>
  </si>
  <si>
    <t>The can is then screwed tight again and the texts "See you next time" ends the video.</t>
  </si>
  <si>
    <t>Pop up texts occur throughout the entire time.</t>
  </si>
  <si>
    <t>v_U4UHEGNFyz8</t>
  </si>
  <si>
    <t>A person is riding a bike down a dirt track.</t>
  </si>
  <si>
    <t>A little boy wearing red is riding a small bike down the track.</t>
  </si>
  <si>
    <t>A person falls down at the end.</t>
  </si>
  <si>
    <t>v_3jEnu5mEYA4</t>
  </si>
  <si>
    <t>Food sizzling in hot oil in a black skillet on the stove, a long stemmed spoon sits in the skillet.</t>
  </si>
  <si>
    <t>Onions are added to the skillet.</t>
  </si>
  <si>
    <t>the skillet is stirred and the spoon removed.</t>
  </si>
  <si>
    <t>Salt is added and stirred in.</t>
  </si>
  <si>
    <t>The skillet gently sizzles as the mix cooks.</t>
  </si>
  <si>
    <t>Spices are added to the skillet.</t>
  </si>
  <si>
    <t>The flame is visible as the skillet sizzles more vigorously, the skillet is stirred and the food is browning.</t>
  </si>
  <si>
    <t>4 eggs are broken into the skillet.</t>
  </si>
  <si>
    <t>The mixture is stirred and left to cook.</t>
  </si>
  <si>
    <t>Pasta is poured and stirred in to the mixture from a sieve.</t>
  </si>
  <si>
    <t>It is left to cook more.</t>
  </si>
  <si>
    <t>It is now plated and fresh herbs are sprinkled on top.</t>
  </si>
  <si>
    <t>v_TcGhRsPTTRE</t>
  </si>
  <si>
    <t>A man is seen walking around an area pointing to himself and speaking to the camera.</t>
  </si>
  <si>
    <t>The man then begins performing various martial arts moves and kicking towards the camera.</t>
  </si>
  <si>
    <t>The man continues moving around while the camera captures his movements.</t>
  </si>
  <si>
    <t>v_hgzyQ_jHeJc</t>
  </si>
  <si>
    <t>A gymnast bows before walking up to the beam.</t>
  </si>
  <si>
    <t>He mounts the beam and begins to perform.</t>
  </si>
  <si>
    <t>He spins around the beam multiple times.</t>
  </si>
  <si>
    <t>He jumps off the beam in a finale.</t>
  </si>
  <si>
    <t>v_HysxcMFrTkc</t>
  </si>
  <si>
    <t>A group of men dressed as redcoats march onto a stage.</t>
  </si>
  <si>
    <t>We then see a woman holding a flag in the center and many women alongside her as they jump on a massive jumprope.</t>
  </si>
  <si>
    <t>They perform many jumping and flipping tricks with the ropes, bringing in more ropes every few minutes.</t>
  </si>
  <si>
    <t>When they finish, they freeze in a pose and the screen turns black.</t>
  </si>
  <si>
    <t>v_B-KSdR2ct00</t>
  </si>
  <si>
    <t>A woman is brushing her teeth.</t>
  </si>
  <si>
    <t>A woman approaches behind her.</t>
  </si>
  <si>
    <t>The woman stops brushing her teeth.</t>
  </si>
  <si>
    <t>A woman smiles really big.</t>
  </si>
  <si>
    <t>v_Ds-LrRrLj9c</t>
  </si>
  <si>
    <t>A little girl wearing a brown bow is standing in front of the sink brushing her teeth.</t>
  </si>
  <si>
    <t>The little girl,then turns the water on and spits several times in the sink.</t>
  </si>
  <si>
    <t>Finally,she puts the brush down,rinses her mouth and dries it with a brown towel.</t>
  </si>
  <si>
    <t>v_QLsdBUBpz_8</t>
  </si>
  <si>
    <t>A small child is seen sitting on top of a slide and looking back towards the camera.</t>
  </si>
  <si>
    <t>The boy then pushes himself backwards down the slide while turning over in the end and jumping off.</t>
  </si>
  <si>
    <t>v_ri5WJu1K0ak</t>
  </si>
  <si>
    <t>A young girl is seen speaking to the camera and begins playing with her hair.</t>
  </si>
  <si>
    <t>She pins up her and puts put a headband in her hair.</t>
  </si>
  <si>
    <t>She then puts in more fake hair as well as doing her makeup.</t>
  </si>
  <si>
    <t>She points to the camera in the end and smiles.</t>
  </si>
  <si>
    <t>v_8yFimnZ8XhA</t>
  </si>
  <si>
    <t>A girl is sitting in a tube surrounded by a large group of people also sitting on tubes.</t>
  </si>
  <si>
    <t>The camera pans around to the various people sitting in the tubes.</t>
  </si>
  <si>
    <t>The girl jumps out of her tube and finds herself swimming in the water.</t>
  </si>
  <si>
    <t>v_MEbEcvzdytY</t>
  </si>
  <si>
    <t>A woman in a red workout shirt is talking about the benefits of an elliptical cross trainer.</t>
  </si>
  <si>
    <t>Another woman in a pink tank top is demonstrating the use of the elliptical.</t>
  </si>
  <si>
    <t>The woman in red continues explaining the use of the elliptical.</t>
  </si>
  <si>
    <t>Then a demonstration of how the legs must move on the elliptical is shown.</t>
  </si>
  <si>
    <t>The woman in red further explains benefits of the workout with an elliptical.</t>
  </si>
  <si>
    <t>The woman on the machine continues to show the viewers the correct way to exercising on the elliptical.</t>
  </si>
  <si>
    <t>The host then concludes the tutorial.</t>
  </si>
  <si>
    <t>v_ZMG8WE3Y22k</t>
  </si>
  <si>
    <t>Several pictures of different individual are shown white water rafting as an intro for a video.</t>
  </si>
  <si>
    <t>Men then arrive in a field and take the rafts out before more pictures are shown.</t>
  </si>
  <si>
    <t>The men then stand in the field with their paddles and actually get in the raft demonstrating the proper way to row.</t>
  </si>
  <si>
    <t>Finally,they are in the water and all of them begin to paddle throughout the water.</t>
  </si>
  <si>
    <t>More people join them and they eventually get out of the water and walk back to land.</t>
  </si>
  <si>
    <t>v_Io8EwPbNUbE</t>
  </si>
  <si>
    <t>A video tutorial is shown of a family doing dishes at a campsite.</t>
  </si>
  <si>
    <t>Everything is thrown into two buckets.</t>
  </si>
  <si>
    <t>One with soap and the other to rinse.</t>
  </si>
  <si>
    <t>v_b40ECuGuck8</t>
  </si>
  <si>
    <t>Woman throws a throwing knife at board.</t>
  </si>
  <si>
    <t>Three men throw knives.</t>
  </si>
  <si>
    <t>Knives hit a board.</t>
  </si>
  <si>
    <t>Two men throw throwing knives backwards.</t>
  </si>
  <si>
    <t>Man throws throwing knife.</t>
  </si>
  <si>
    <t>Woman throws throwing knife.</t>
  </si>
  <si>
    <t>A man and woman throw throwing knives.</t>
  </si>
  <si>
    <t>Man throws knife while laying down.</t>
  </si>
  <si>
    <t>Man demonstrates techniques to students.</t>
  </si>
  <si>
    <t>Dojo members practice techniques.</t>
  </si>
  <si>
    <t>Dojo members bow to the man.</t>
  </si>
  <si>
    <t>v_TakNLlCbjvw</t>
  </si>
  <si>
    <t>A child walks by a hopscotch pattern.</t>
  </si>
  <si>
    <t>The child puts her palms on the hopscotch pattern.</t>
  </si>
  <si>
    <t>The child hops on the hopscotch pattern.</t>
  </si>
  <si>
    <t>v_lu1bVIcDn4c</t>
  </si>
  <si>
    <t>A young woman is standing behind a counter with a black skillet on it.</t>
  </si>
  <si>
    <t>In her hands,she is holding two onions then the video rapidly shows her with a tomato,rutabaga and a bag of Cathedral City mature cheddar.</t>
  </si>
  <si>
    <t>Next,she begins cutting each of the ingredients and adds butter to a skillet.</t>
  </si>
  <si>
    <t>After it is fried for five minutes,the mushrooms go in the pot and three eggs are cracked.</t>
  </si>
  <si>
    <t>The rest of the contents are added into a measuring cup then eventually all of the contents are poured into a frying pan.</t>
  </si>
  <si>
    <t>After sometime,an omelette is created and put on a plate along with two slices of toast.</t>
  </si>
  <si>
    <t>v_V9LQVhq2ePE</t>
  </si>
  <si>
    <t>A camera pans away from a sign and leads into people pushing material around a floor.</t>
  </si>
  <si>
    <t>A bend bends down around a floor and pushes the material around the room.</t>
  </si>
  <si>
    <t>In the end the camera pans around the finished floor.</t>
  </si>
  <si>
    <t>v_G12fEYNjIR0</t>
  </si>
  <si>
    <t>Team USA Women are in the Olympics.</t>
  </si>
  <si>
    <t>Tracy,Natalie, Nicole,Allison and Debbie are group photographed in multiple scenes.</t>
  </si>
  <si>
    <t>As Team USA scores,the team mates hug.</t>
  </si>
  <si>
    <t>v_zGwcX0S4DVA</t>
  </si>
  <si>
    <t>People are riding camels in the desert.</t>
  </si>
  <si>
    <t>People are walking alongside camels.</t>
  </si>
  <si>
    <t>A lady looks down and to the side of her camel.</t>
  </si>
  <si>
    <t>v_RbbjYXAxaPI</t>
  </si>
  <si>
    <t>A large crowd sits in a theater clapping and watching.</t>
  </si>
  <si>
    <t>Two women are seen on stage dancing.</t>
  </si>
  <si>
    <t>One of the women shows her talent balancing swords on her different parts of her body.</t>
  </si>
  <si>
    <t>v_W_LjBXWG7wI</t>
  </si>
  <si>
    <t>Several shots of beaches are shown and leads into women in bikinis playing a game of volley ball.</t>
  </si>
  <si>
    <t>The girls continue playing then sit on the sides and touch each other's legs.</t>
  </si>
  <si>
    <t>They then put lotion all over their legs and begins shaving their legs and holding the ball laughing in the end.</t>
  </si>
  <si>
    <t>v_4x08i2_AYKo</t>
  </si>
  <si>
    <t>A man walks on stilts into a park.</t>
  </si>
  <si>
    <t>Turns to his right and walks pass a row of benches.</t>
  </si>
  <si>
    <t>The man speeds up then returns to his initial speed.</t>
  </si>
  <si>
    <t>The man reaches the park's sign and comes to a stop.</t>
  </si>
  <si>
    <t>v_K_0DLTcFy-8</t>
  </si>
  <si>
    <t>A man with a thick mustache is dressed in winter clothing is sitting on a white bucket turned upside down on a frozen body of water as he drinks a beer from a blue can and talking.</t>
  </si>
  <si>
    <t>The man then picks up his fishing pole and pulls on the fishing wire that's in the fishing hole in front of him,holds the wire up, then puts it back in the hole while he's still talking.</t>
  </si>
  <si>
    <t>The man then gets off of his bucket and while on his two knees he puts his fingers in and out of the fishing hole and keeps talking.</t>
  </si>
  <si>
    <t>v_BAgUUUOGaxI</t>
  </si>
  <si>
    <t>A man is seen sitting in a busy city square playing an accordion while others watch.</t>
  </si>
  <si>
    <t>The man continues playing as people walk around and notice.</t>
  </si>
  <si>
    <t>v_nM_6V_Z6IwI</t>
  </si>
  <si>
    <t>A man is in front of a mirror.</t>
  </si>
  <si>
    <t>He is covering his face in a white liquid substance.</t>
  </si>
  <si>
    <t>He then disappears for a while, and returns with a wet but clean face.</t>
  </si>
  <si>
    <t>v_PLPUWZ7XZDo</t>
  </si>
  <si>
    <t>She grabs a while bar and holds it next to her.</t>
  </si>
  <si>
    <t>She puts the bar down and picks up a kettle bell.</t>
  </si>
  <si>
    <t>She lifts the kettle bell and puts it back down.</t>
  </si>
  <si>
    <t>She then picks it back up and lifts it up and down several times in front of her.</t>
  </si>
  <si>
    <t>v_IWHN3TD8mMQ</t>
  </si>
  <si>
    <t>A woman introduces herself to the camera and begins to talk about the topic of the video, pasta.</t>
  </si>
  <si>
    <t>The camera shows the ingredients that go into cooking pasta.</t>
  </si>
  <si>
    <t>The woman drops salt in a pot of water and turns the burners on.</t>
  </si>
  <si>
    <t>Once, boiling, she adds the pasta in the pot.</t>
  </si>
  <si>
    <t>She stirs the pasta, and then empties the pot in a colander once the pasta is al dente.</t>
  </si>
  <si>
    <t>She returns the pasta to the pot and adds olive oil.</t>
  </si>
  <si>
    <t>v_POafWgyeV0I</t>
  </si>
  <si>
    <t>A woman and male sports news reporter, report, during a live newscast, from behind a newscast table, on a story about the dangers of dodgeball in schools and whether or not a dodge ball hurts more than a soccer ball when hit with one or the other.</t>
  </si>
  <si>
    <t>Two newscasters talk to each other from behind a newscast table.</t>
  </si>
  <si>
    <t>The clip switches to display a series of video clips of different children playing dodgeball in gymnasiums and being hit by the dodgeball.</t>
  </si>
  <si>
    <t>The woman reporter then takes a group of men out to a enclosed, paved area, outdoors, and proceeds to throw both a dodgeball and soccer ball at them, at which point several of the men display that they have been hit and hurt by both balls.</t>
  </si>
  <si>
    <t>v_aG5kKRuw0Fk</t>
  </si>
  <si>
    <t>A large group of women are seen standing on a stage hitting drums while another group of men play behind them.</t>
  </si>
  <si>
    <t>The group continuously plays in front of a large crowd and ends with credits rolling along the screen.</t>
  </si>
  <si>
    <t>v_ZJWLTokAJbo</t>
  </si>
  <si>
    <t>A young woman is shown exercising on a black elliptical.</t>
  </si>
  <si>
    <t>She continues exercising and a close up of the machine is shown.</t>
  </si>
  <si>
    <t>Finally,she takes a sip of her water as she finishes her brisk workout and then Golds Gym appears in the middle of the screen.</t>
  </si>
  <si>
    <t>v_TQco5PWc2JU</t>
  </si>
  <si>
    <t>A man is seen speaking to the camera and leads into him with shaving cream.</t>
  </si>
  <si>
    <t>He then holds up a razor and begins shaving his face while old shots of movies are shown.</t>
  </si>
  <si>
    <t>The men continues shaving and ends with text across the screen.</t>
  </si>
  <si>
    <t>v_Y4pyUctR49I</t>
  </si>
  <si>
    <t>A patient sitting in a hospital chair in a hospital room gets her nails done by a manicurist who is wearing a green blouse.</t>
  </si>
  <si>
    <t>The patient is listening to music as she is moving her feet to the rhythm of some music.</t>
  </si>
  <si>
    <t>v_i887uArWX9w</t>
  </si>
  <si>
    <t>We see a game of Foosball being played.</t>
  </si>
  <si>
    <t>We pan up and see the players.</t>
  </si>
  <si>
    <t>We see the players on the left.</t>
  </si>
  <si>
    <t>A person spins the second from right bar.</t>
  </si>
  <si>
    <t>v_C4V6fqELvPY</t>
  </si>
  <si>
    <t>A fast motion video shows a young boy beginning to climb across a set of monkey bars.</t>
  </si>
  <si>
    <t>The boy makes it across and jumps down while another person attempts right behind him.</t>
  </si>
  <si>
    <t>v_9FJwDxnlW7Y</t>
  </si>
  <si>
    <t>A middle aged man is shoveling snow on a sidewalk while a medium sized brown dog chases the shovel.</t>
  </si>
  <si>
    <t>The man throws the snow and turns the other way to repeat the shoveling while the dog continues to chase the shovel.</t>
  </si>
  <si>
    <t>At the end of the sidewalk near a driveway a young woman in a black snowsuit lying on her stomach sees the dog chasing the shovel and laughs.</t>
  </si>
  <si>
    <t>The man now turns and runs down the sidewalk shoveling the snow again and the dog runs along with him.</t>
  </si>
  <si>
    <t>The man does not turn around and shovel the sidewalk again, but carries the snow in the shovel and walks away from the dog.</t>
  </si>
  <si>
    <t>The dog trails behind as if tired.</t>
  </si>
  <si>
    <t>v_nGYqSqf0yCY</t>
  </si>
  <si>
    <t>People are standing on a stage.</t>
  </si>
  <si>
    <t>They start playing a game of rock paper scissors.</t>
  </si>
  <si>
    <t>Men standing in referee shirts are standing behind them.</t>
  </si>
  <si>
    <t>v_WtBr459dWY4</t>
  </si>
  <si>
    <t>woman wearing a red shirt is holdgina ball and is trying to throw the ball to someone when somebody throw her a ball and now she gots two and throw them.</t>
  </si>
  <si>
    <t>man is holding a red ball and is walking in a wooden court and throw the ball.</t>
  </si>
  <si>
    <t>people are playing dodgeball in a roofedwooden gym.</t>
  </si>
  <si>
    <t>v_PV5Y3NeR5yQ</t>
  </si>
  <si>
    <t>A girl is standing outside in the middle of the road doing tricks with a hula hoop,moving it around her hips and her arms.</t>
  </si>
  <si>
    <t>While she is performing,a woman is sitting behind her with her bags on the ground.</t>
  </si>
  <si>
    <t>When the girl is finished performing,she grabs a beanie,holds it up and then starts to ask for money from the crowd of people who was watching her.</t>
  </si>
  <si>
    <t>v_NzMZlzy5Q9A</t>
  </si>
  <si>
    <t>Two sumo wrestlers are shown in a ring as spectators and a referee watch.</t>
  </si>
  <si>
    <t>The wrestlers crouch down and run into each other.</t>
  </si>
  <si>
    <t>They briefly wrestle while one man gets thrown out of the ring.</t>
  </si>
  <si>
    <t>The winner performs a hand signal with the referee.</t>
  </si>
  <si>
    <t>The loser walks in the back as they show a replay of the win.</t>
  </si>
  <si>
    <t>The video ends with the host interviewing the loser, and showing the sumo ring.</t>
  </si>
  <si>
    <t>v_j0FMv4RDpEk</t>
  </si>
  <si>
    <t>Men are working on a roof.</t>
  </si>
  <si>
    <t>A man is spraying the paste on the roof, a male is handing off the pieces, and a guy is adding the pieces to the pasted area on the roof.</t>
  </si>
  <si>
    <t>A person is spraying the paste on the roof pieces.</t>
  </si>
  <si>
    <t>v_aCJHnvM0Mkc</t>
  </si>
  <si>
    <t>A young Asian boy is standing in a living room with a mop in his hand.</t>
  </si>
  <si>
    <t>The boy bends down,picks up a spray bottle and squirts it on the floor.</t>
  </si>
  <si>
    <t>He then moves the broom back and forth and cleans the floor.</t>
  </si>
  <si>
    <t>v_qcYRPEEitZU</t>
  </si>
  <si>
    <t>A woman sits in front of a large crowd while holding shaving cream and a razor.</t>
  </si>
  <si>
    <t>Another man is seen on stage shaving his face and the woman begins shaving her legs.</t>
  </si>
  <si>
    <t>The crowd cheers them on for the shaving competition.</t>
  </si>
  <si>
    <t>v_mxY7J50ItrU</t>
  </si>
  <si>
    <t>A small group of people are seen standing side by side with one another punching a bag one after the other.</t>
  </si>
  <si>
    <t>Many people are then shown kicking the bags next to one another.</t>
  </si>
  <si>
    <t>v_wkJWeSw8FSE</t>
  </si>
  <si>
    <t>A man stands lighting a stick with campers in the background and a fire blazing.</t>
  </si>
  <si>
    <t>He sticks the cone into the fire and the end of the stick begins to catch fire.</t>
  </si>
  <si>
    <t>v_xATeffo_kP4</t>
  </si>
  <si>
    <t>A close up of a fooseball table is shown as well as people playing on the table.</t>
  </si>
  <si>
    <t>The game continues on as the people use the bars to move the game as the ball moves back and fourth.</t>
  </si>
  <si>
    <t>v_jCd-VeMUwRg</t>
  </si>
  <si>
    <t>A group of people are wearing snorkeling gear in the edge of the ocean water.</t>
  </si>
  <si>
    <t>They are then seen under the water, exploring and looking at fish.</t>
  </si>
  <si>
    <t>They reach out to touch the fish as they swim by.</t>
  </si>
  <si>
    <t>v_n1KeC6NXPUA</t>
  </si>
  <si>
    <t>A girl is playing on a playground.</t>
  </si>
  <si>
    <t>She goes backwards on the monkey bars.</t>
  </si>
  <si>
    <t>She shows her hands to the camera and continues talking.</t>
  </si>
  <si>
    <t>v_aivuk1LvDv8</t>
  </si>
  <si>
    <t>A woman is playing a classical song on the piano in a black and white film.</t>
  </si>
  <si>
    <t>She begins to speed up the pace of the music she is playing.</t>
  </si>
  <si>
    <t>The camera shows her playing the piano from overhead.</t>
  </si>
  <si>
    <t>The audience applauds for the woman and the video ends.</t>
  </si>
  <si>
    <t>v_GWRqx0obKzA</t>
  </si>
  <si>
    <t>A group pose smiling for the camera.</t>
  </si>
  <si>
    <t>A group wave to the camera while more people in the background walk through the water.</t>
  </si>
  <si>
    <t>The group go rafting on the water.</t>
  </si>
  <si>
    <t>They wave again to the camera.</t>
  </si>
  <si>
    <t>The group are shown in their raft as they sail along the river.</t>
  </si>
  <si>
    <t>They are shown taking a break in the river.</t>
  </si>
  <si>
    <t>POV footage from one of the rafters.</t>
  </si>
  <si>
    <t>The group is out of the river and hiking.</t>
  </si>
  <si>
    <t>v_sfPGQnxbJ3U</t>
  </si>
  <si>
    <t>men are in front of a mirror in a room.</t>
  </si>
  <si>
    <t>man is alone practicing kicks and punches.</t>
  </si>
  <si>
    <t>man wearing white shirt is stretching her legs bind the other man.</t>
  </si>
  <si>
    <t>v_bNvAqFcKzqU</t>
  </si>
  <si>
    <t>A large group of people are seen wandering around a city square with a young child in the middle playing an instrument.</t>
  </si>
  <si>
    <t>The boy plays a saxophone while people walk past him and put money down.</t>
  </si>
  <si>
    <t>The boy continues playing while the camera captures his movements and others stop to watch.</t>
  </si>
  <si>
    <t>v_xWxpAaPhknA</t>
  </si>
  <si>
    <t>People are jumping off diving boards into the pool below them.</t>
  </si>
  <si>
    <t>They are walking up a set of stairs to get to the diving board.</t>
  </si>
  <si>
    <t>A person does a back flip into the water.</t>
  </si>
  <si>
    <t>v_b7Q-Jj9ZEH0</t>
  </si>
  <si>
    <t>The little girl slide down the yellow slide and fell on the pool of balls.</t>
  </si>
  <si>
    <t>The girl reach out the a hand as she climbs on the top of the slide.</t>
  </si>
  <si>
    <t>The girl slide down again and fell on the pool of ball but on her stomach.</t>
  </si>
  <si>
    <t>v_N7kI8J6vfL8</t>
  </si>
  <si>
    <t>Girls are going down a small red slide.</t>
  </si>
  <si>
    <t>A man in a red shirt is standing behind them.</t>
  </si>
  <si>
    <t>He walks away towards the house.</t>
  </si>
  <si>
    <t>v_iIhEO_NA8gk</t>
  </si>
  <si>
    <t>A young girl is outside running down the road between a forest and then ends up in the airport.</t>
  </si>
  <si>
    <t>She is sitting down playing on her iPad and then begins to board an airplane.</t>
  </si>
  <si>
    <t>The plane lands and she is in a cabin and begins skiing at a resort.</t>
  </si>
  <si>
    <t>As she is skating,she changes her skis and the screen is covered with a grey static like film and the person continues with her snow activities.</t>
  </si>
  <si>
    <t>v_mZ6iJfRokTw</t>
  </si>
  <si>
    <t>A man is floating in the ocean water talking.</t>
  </si>
  <si>
    <t>He then talks to a group of people while drinking an energy drink.</t>
  </si>
  <si>
    <t>He bungee jumps off the side of a bridge.</t>
  </si>
  <si>
    <t>He is talking to the camera as he swings above the water.</t>
  </si>
  <si>
    <t>v_bULPHJydFTQ</t>
  </si>
  <si>
    <t>We see a locker room, and the title screen.</t>
  </si>
  <si>
    <t>We see a man winding up to throw the hammer in track and field on his third attempt.</t>
  </si>
  <si>
    <t>After it's thrown we see men measuring the distance.</t>
  </si>
  <si>
    <t>We then see his fifth attempt and the measuring.</t>
  </si>
  <si>
    <t>We then see his sixth attempt and measuring.</t>
  </si>
  <si>
    <t>The camera zooms in on the man as he shakes another mans hand.</t>
  </si>
  <si>
    <t>We then see 8 men standing on platforms holding plaques.</t>
  </si>
  <si>
    <t>v_J6ScF5n_Cug</t>
  </si>
  <si>
    <t>A young girl plays the clarinet.</t>
  </si>
  <si>
    <t>The girl pauses for a second to flip her music sheet standing in front of her.</t>
  </si>
  <si>
    <t>The young girl resumes playing her clarinet.</t>
  </si>
  <si>
    <t>The girl stops and looking pleased with her performance.</t>
  </si>
  <si>
    <t>v_KuAVv3uS4zc</t>
  </si>
  <si>
    <t>Several intros lead into a bike race between 3 men on bikes.</t>
  </si>
  <si>
    <t>One crashes hard while the others pass and continue the race.</t>
  </si>
  <si>
    <t>All men continue to ride through the track until one eventually wins while one chases him.</t>
  </si>
  <si>
    <t>v_lUk_dSjmIgM</t>
  </si>
  <si>
    <t>A young girl is cleaning the sink.</t>
  </si>
  <si>
    <t>The girl gets her shirt all wet.</t>
  </si>
  <si>
    <t>The girl points to the drain of the sink.</t>
  </si>
  <si>
    <t>v_C53reDr47oU</t>
  </si>
  <si>
    <t>A young child is shown rubbing glitter all over his lips and walking over to a mirror.</t>
  </si>
  <si>
    <t>He continues putting the gloss on his lips and smacking his lips and finally turning towards the camera to speak.</t>
  </si>
  <si>
    <t>v_WElK913B33U</t>
  </si>
  <si>
    <t>A man and a woman works out the a cardio machine.</t>
  </si>
  <si>
    <t>The stride length of the pedal is displayed in the screen.</t>
  </si>
  <si>
    <t>Then, the man comes to meet the woman that exercise.</t>
  </si>
  <si>
    <t>Then the man exercise, and the muscles of the abdomen are shown.</t>
  </si>
  <si>
    <t>The steps of the machine and the screen panel is shown.</t>
  </si>
  <si>
    <t>v_OmIcycXGkG8</t>
  </si>
  <si>
    <t>A girl and a boy play ping pong in a basement type room with a ping pong table and florescent lights for lighting.</t>
  </si>
  <si>
    <t>The boy walks up to the camera for a close up.</t>
  </si>
  <si>
    <t>The boy and girl begin to play ping pong again.</t>
  </si>
  <si>
    <t>v_HUvBb3Hmir8</t>
  </si>
  <si>
    <t>The young girl in gray shirt is brushing the thong, while the female in blue t-shirt is washing the pans, and the other girl is holding a sponge.</t>
  </si>
  <si>
    <t>The older girl in blue is washing the knife, while the other one is wiping the bowl.</t>
  </si>
  <si>
    <t>The girls put the clean dishes on the rack to dry it.</t>
  </si>
  <si>
    <t>v_mzXRehGBEOg</t>
  </si>
  <si>
    <t>A woman smiles at the camera.</t>
  </si>
  <si>
    <t>The woman rinses a toothbrush under water.</t>
  </si>
  <si>
    <t>The woman applies toothpaste to the toothbrush.</t>
  </si>
  <si>
    <t>The woman demonstrates brushing her teeth.</t>
  </si>
  <si>
    <t>The woman rinses the toothbrush under water again.</t>
  </si>
  <si>
    <t>The woman rinses her mouth with a glass of water.</t>
  </si>
  <si>
    <t>The woman towels her mouth and shows her teeth.</t>
  </si>
  <si>
    <t>v_dojDT4CtenU</t>
  </si>
  <si>
    <t>A group of athletes are shown standing on a mound, while one throws a ball to another player.</t>
  </si>
  <si>
    <t>The batter hits the ball into the stands and the moment is recaptured in 3-d.</t>
  </si>
  <si>
    <t>A reporter comments how amazing the hit was and replays it from various angles.</t>
  </si>
  <si>
    <t>The player is interviewed by a reporter and once again has his moment shown on tv.</t>
  </si>
  <si>
    <t>v_cpy_BFGQoQ8</t>
  </si>
  <si>
    <t>Inside of a rock climbing store men are gathered around a jumping on a rope.</t>
  </si>
  <si>
    <t>The man in the green does some tricks and then a man in a hoodie jumps and walks on it.</t>
  </si>
  <si>
    <t>Someone has a camera and everyone is scattered around doing their own thing.</t>
  </si>
  <si>
    <t>The man in the green continues to jump on the rope until he take it down.</t>
  </si>
  <si>
    <t>v_pq2xsK79FcQ</t>
  </si>
  <si>
    <t>A track and field long jumper from the Florida Gators dressed in blue and orange prepares to make his run while other participants, coaches and officials congregate around the track and field course.</t>
  </si>
  <si>
    <t>The Florida Gator long jumper begins his run with a gradual forward walk then a skip and a fast sprint to the sand pit jumping marker.</t>
  </si>
  <si>
    <t>The Florida Gator long jumper jumps and flies through the air and lands in the sand.</t>
  </si>
  <si>
    <t>The camera pans to the score board showing the long jumpers results.</t>
  </si>
  <si>
    <t>v_Tz5eN8gV6F4</t>
  </si>
  <si>
    <t>An intro starts and leads to a woman standing next to a German Sheppard on a table.</t>
  </si>
  <si>
    <t>A fast motion watch around of the shop occurs then shows the woman brushing the dog with several instruments.</t>
  </si>
  <si>
    <t>She pets the dog a bit while continuing to brush him and talking to the camera.</t>
  </si>
  <si>
    <t>v_15HUSdsIHxg</t>
  </si>
  <si>
    <t>Little girls performs holding sticks moving around an spinning the sticks.</t>
  </si>
  <si>
    <t>The little girls hold the sticks up and jump turning around.</t>
  </si>
  <si>
    <t>Two women walk toward the door.</t>
  </si>
  <si>
    <t>After, the little girls spins on the floor, then continue jumping and spinning around.</t>
  </si>
  <si>
    <t>Next, the girls get together to salute.</t>
  </si>
  <si>
    <t>v_2x-Xqt98Ek4</t>
  </si>
  <si>
    <t>A man plays tam-tam, and then he talks with crossed hands on a tan-tam.</t>
  </si>
  <si>
    <t>Then, the man plays tam-tam with his right hand and plays with sticks with the left hand.</t>
  </si>
  <si>
    <t>v_E-XerA_sOjw</t>
  </si>
  <si>
    <t>A man walks out onto a playing field with a large Dalmatian.</t>
  </si>
  <si>
    <t>The man stops and throws the frisbee and returns it to the man.</t>
  </si>
  <si>
    <t>The dog runs around in circles on the field with the frisbee.</t>
  </si>
  <si>
    <t>v_Tvzd_WIvBU4</t>
  </si>
  <si>
    <t>A person is cutting cordwood using a log splitter.</t>
  </si>
  <si>
    <t>The wood remaining is shown and stumps are cut up.</t>
  </si>
  <si>
    <t>v_lgwDuuJy2zY</t>
  </si>
  <si>
    <t>A camera pans all around a lake and shows a person riding around on a canoe.</t>
  </si>
  <si>
    <t>The person gets stuck before a rock and finally paddles themselves past.</t>
  </si>
  <si>
    <t>The person continues to get stuck around the area but moves down successfully.</t>
  </si>
  <si>
    <t>v_di8Vr1fzUh8</t>
  </si>
  <si>
    <t>The man in suit is talking to the camera as people are behind him.</t>
  </si>
  <si>
    <t>The older man throw his darts on the dartboard and three darts landed on one place.</t>
  </si>
  <si>
    <t>The man positioned himself then throw the darts in the board and the darts are away from each other.</t>
  </si>
  <si>
    <t>The man continue to hit the board with darts.</t>
  </si>
  <si>
    <t>v_XoeGnEtEq3U</t>
  </si>
  <si>
    <t>The camera pans around a large group of women sitting in chair knitting and speaking to one another.</t>
  </si>
  <si>
    <t>Several shots are shown of women knitting and leading back into people helping one another knit and more pictures shown.</t>
  </si>
  <si>
    <t>v_2FRzNpVz6f8</t>
  </si>
  <si>
    <t>A bunch of teammates are riding horses on the field.</t>
  </si>
  <si>
    <t>They are playing a game of polo.</t>
  </si>
  <si>
    <t>The people run on their horses, trying to hit the ball.</t>
  </si>
  <si>
    <t>v_aXI9v77XV7A</t>
  </si>
  <si>
    <t>A man is talking in front of a rock climbing wall.</t>
  </si>
  <si>
    <t>He starts climbing the rock climbing wall.</t>
  </si>
  <si>
    <t>A man in a yellow hat is talking.</t>
  </si>
  <si>
    <t>He climbs up the wall.</t>
  </si>
  <si>
    <t>Several people are climbing up the rock climbing wall.</t>
  </si>
  <si>
    <t>v_XnBUb3qoFQM</t>
  </si>
  <si>
    <t>A man wearing black bathing trunks sitting on an inner tube as it slides down a tubing slide.</t>
  </si>
  <si>
    <t>A man wearing dark trunks stands on an enclosed water slide ride at a water park.</t>
  </si>
  <si>
    <t>Two men slide down a blue water slide at a water park and end up in a huge swimming pool.</t>
  </si>
  <si>
    <t>Different scenes of a group of people swimming in different parts of a water park.</t>
  </si>
  <si>
    <t>v_5deGCvJOGg0</t>
  </si>
  <si>
    <t>A man dressed in white curling gear is participating in the sport.</t>
  </si>
  <si>
    <t>He goes on the curling rink with his stick and rock.</t>
  </si>
  <si>
    <t>He is playing the sport while in another location there are two musicians performing.</t>
  </si>
  <si>
    <t>They are both singing as one musician is playing a guitar and the other is drumming a tambourine.</t>
  </si>
  <si>
    <t>The man continues to play curling on the ice rink as he pushes the rock with his curling stick.</t>
  </si>
  <si>
    <t>He is shown pictured with another young man.</t>
  </si>
  <si>
    <t>He is posing for pictures with different people while holding a broomstick in his hand.</t>
  </si>
  <si>
    <t>He is back in the curling rink, singing and twirling the curling stick in his hands.</t>
  </si>
  <si>
    <t>v_-4WdzYpCJPU</t>
  </si>
  <si>
    <t>A man is standing at a table holding a bow in his hand talking.</t>
  </si>
  <si>
    <t>He then goes outside and shoots an arrow at a target.</t>
  </si>
  <si>
    <t>A close up of the bow is shown.</t>
  </si>
  <si>
    <t>v_n_hNYA5kWME</t>
  </si>
  <si>
    <t>We then see people solving Rubiks cubes in a competition.</t>
  </si>
  <si>
    <t>A boy finishes, throws his arms up and spins in his chair.</t>
  </si>
  <si>
    <t>We see a boy throw his arms and yells.</t>
  </si>
  <si>
    <t>v_poFH53rF9uY</t>
  </si>
  <si>
    <t>A team prepares to play a game called hurling.</t>
  </si>
  <si>
    <t>Highlights of a game are shown and players are interviewed.</t>
  </si>
  <si>
    <t>Teammates cheer from the sidelines.</t>
  </si>
  <si>
    <t>v_vREBYOCUCj0</t>
  </si>
  <si>
    <t>A man in a blue coat is standing in the snow talking.</t>
  </si>
  <si>
    <t>He begins skiing down a hill of snow.</t>
  </si>
  <si>
    <t>v_YuCMWTdK_DY</t>
  </si>
  <si>
    <t>A man is seen walking into a circle and looking off into the distance.</t>
  </si>
  <si>
    <t>The man stretches a bit and begins spinning himself around.</t>
  </si>
  <si>
    <t>He continues to spin and ends by walking away.</t>
  </si>
  <si>
    <t>v_lXueRLwe3tk</t>
  </si>
  <si>
    <t>The man in blue shirt is holding a white spray bottle with green and black lid on it.</t>
  </si>
  <si>
    <t>He started spraying the contents of the bottle on the white car's hood.</t>
  </si>
  <si>
    <t>He wiped the hood and the back of the white car with a yellow cloth.</t>
  </si>
  <si>
    <t>He vacuum the floor of the car on the driver's side, wipe the dirt off the steering wheel using the yellow cloth.</t>
  </si>
  <si>
    <t>He wiped the meters, the side window and glass and the wheel.</t>
  </si>
  <si>
    <t>He is showing a white spray bottle with black lid, while he is holding a yellow cloth.</t>
  </si>
  <si>
    <t>He is wiping the edge of the car then showed the white spray bottle.</t>
  </si>
  <si>
    <t>A white car is shown being dirty and then the after where it is clean and shiny.</t>
  </si>
  <si>
    <t>v_nobV1wL__iY</t>
  </si>
  <si>
    <t>A gun is seen moving around several corners and hitting people in various places.</t>
  </si>
  <si>
    <t>More shots of a person running around a paintball field as shown as well as pointing to others, shooting others, and hiding behind objects.</t>
  </si>
  <si>
    <t>The men group together in the end, give a thumbs up, and show more shots of people shooting.</t>
  </si>
  <si>
    <t>v_43gst-Mw43s</t>
  </si>
  <si>
    <t>a comic of a man telling how to wash with a detergent.</t>
  </si>
  <si>
    <t>a house is shown with a sentence of how to wash the rooftop.</t>
  </si>
  <si>
    <t>the numbers and address are shown in the advertising.</t>
  </si>
  <si>
    <t>v_-y5p8UMdM20</t>
  </si>
  <si>
    <t>Several shots are shown of signs and building as well as pictures of divers.</t>
  </si>
  <si>
    <t>Many people are seen speaking to the camera while taking turns diving off a board.</t>
  </si>
  <si>
    <t>More clips are shown of people diving and waving to the camera as well as speaking to one another and holding up a score.</t>
  </si>
  <si>
    <t>v_vy5IRxiudmI</t>
  </si>
  <si>
    <t>A group of people are inside a gym.</t>
  </si>
  <si>
    <t>They are lifting weights and dancing.</t>
  </si>
  <si>
    <t>Others are using recumbent bikes and pedaling quickly.</t>
  </si>
  <si>
    <t>v_FBANd818hU4</t>
  </si>
  <si>
    <t>A man kicks a soccer ball, then he plays with other young men in the street, the man scores.</t>
  </si>
  <si>
    <t>Then, they continue playing and the young man scores, as well the man scores.</t>
  </si>
  <si>
    <t>Teams are playing indoor soccer and the man wearing a yellow t-shirt scores playing with several teams.</t>
  </si>
  <si>
    <t>The man dispute the ball with other player and kick it to a playmate, the man continues playing an scoring for his team.</t>
  </si>
  <si>
    <t>v_W6Sz8ajVsjc</t>
  </si>
  <si>
    <t>There's a man in a black shirt representing Pev's Paintball talking about the recreational game.</t>
  </si>
  <si>
    <t>He is holding a paintball gun in his hand as he talks about how the sport is played.</t>
  </si>
  <si>
    <t>A man dressed in a camouflage print outfit is hiding and running with a paintball gun.</t>
  </si>
  <si>
    <t>The Pev representative is explaining the features of the paintball gun and how to use if effectively.</t>
  </si>
  <si>
    <t>v_olFThb2_GHM</t>
  </si>
  <si>
    <t>We see a man preparing to throw the discuss.</t>
  </si>
  <si>
    <t>He throws and walks away and we see it in slow motion.</t>
  </si>
  <si>
    <t>We see the next man walk up and throw and we see it again.</t>
  </si>
  <si>
    <t>A guy in yellow shorts throws and we see it again.</t>
  </si>
  <si>
    <t>v_msGQHfIRLhE</t>
  </si>
  <si>
    <t>A young woman is seen performing several martial arts moves in the middle of a large mat.</t>
  </si>
  <si>
    <t>The girl continues moving around and then leads into her fighting a boy.</t>
  </si>
  <si>
    <t>More pictures of her are shown as well as her fighting.</t>
  </si>
  <si>
    <t>v_pXeVR0bf4Pk</t>
  </si>
  <si>
    <t>A man stands up in a raft.</t>
  </si>
  <si>
    <t>Several rafts are on the ground, filled with people.</t>
  </si>
  <si>
    <t>They listen to an instructor tell them what they need to do.</t>
  </si>
  <si>
    <t>They raft through the rapids of a heavily flowing river.</t>
  </si>
  <si>
    <t>One of the rafts capsizes at the end.</t>
  </si>
  <si>
    <t>v_7I6v9c00aRA</t>
  </si>
  <si>
    <t>A man floats in calm water and holds onto a rope while waiting for the boat to drive.</t>
  </si>
  <si>
    <t>The man bare foot skis on a rope off the side of a boat attempting to stand up.</t>
  </si>
  <si>
    <t>The man stands up and immediately falls into the water at high speed.</t>
  </si>
  <si>
    <t>v_rInf05YA7ww</t>
  </si>
  <si>
    <t>people are playing futsal in a roofed gym.</t>
  </si>
  <si>
    <t>referee is watching the game running side to side.</t>
  </si>
  <si>
    <t>v_vt46wY2Q9JQ</t>
  </si>
  <si>
    <t>Two men are decorating a Christmas tree.</t>
  </si>
  <si>
    <t>They are putting red ribbon around the tree.</t>
  </si>
  <si>
    <t>A dresser is shown at the end.</t>
  </si>
  <si>
    <t>v_CI6cPLeVCTk</t>
  </si>
  <si>
    <t>Two people are seen sitting on swings outside.</t>
  </si>
  <si>
    <t>The people then begin moving back and fourth.</t>
  </si>
  <si>
    <t>The people continuously swing back and fourth on the swingset.</t>
  </si>
  <si>
    <t>v_nE0_PaRBXeA</t>
  </si>
  <si>
    <t>There's a man in a blue shirt using the lat pull machine in a gym.</t>
  </si>
  <si>
    <t>There are a few other people running on the treadmill behind the man.</t>
  </si>
  <si>
    <t>He starts off by pulling the handles of the machine and then goes back and forth to exercise.</t>
  </si>
  <si>
    <t>v_t8hx8ihRPGc</t>
  </si>
  <si>
    <t>A boy is shown going down a slide.</t>
  </si>
  <si>
    <t>A woman is talking to the camera at the park.</t>
  </si>
  <si>
    <t>Kids are shown playing on various equipment.</t>
  </si>
  <si>
    <t>v_VcbMGRcN9Cc</t>
  </si>
  <si>
    <t>The video shows a slow motion of three people playing Foosball.</t>
  </si>
  <si>
    <t>There are two people standing on one side and a single player on the other side.</t>
  </si>
  <si>
    <t>They continue playing Foosball with each other.</t>
  </si>
  <si>
    <t>v_o2hmponBzIE</t>
  </si>
  <si>
    <t>A small group of girls wearing costumes are seen walking out onto a gym floor and holding a pose in front of a large audience.</t>
  </si>
  <si>
    <t>The girls perform a dance routine with batons in their hand and end by lining up and walking away.</t>
  </si>
  <si>
    <t>v_KlJqjBqpnjw</t>
  </si>
  <si>
    <t>A woman named Sapna appears in a photo.</t>
  </si>
  <si>
    <t>She is then seen demonstrating a variety of jump rope moves.</t>
  </si>
  <si>
    <t>She jumps forward and back, and side to side.</t>
  </si>
  <si>
    <t>v_IqRwR1a9ia0</t>
  </si>
  <si>
    <t>A man wearing a construction hard hat applies plaster to a wall using a hand held flat edge.</t>
  </si>
  <si>
    <t>The man pauses to explain his procedure.</t>
  </si>
  <si>
    <t>A Company name and slogan are seen in white text.</t>
  </si>
  <si>
    <t>v_dL9mlqbG5CU</t>
  </si>
  <si>
    <t>A rock band is playing a rock song in a black an white environment.</t>
  </si>
  <si>
    <t>Several curlers are preparing for a curling match while the band plays.</t>
  </si>
  <si>
    <t>the band and the curlers are both on the ice interacting with one another.</t>
  </si>
  <si>
    <t>The video returns to the black and white environment where the curler and the band members are both singing.</t>
  </si>
  <si>
    <t>The video focuses on a woman getting ready to curl while the others watch.</t>
  </si>
  <si>
    <t>v_oKaNlV45bB8</t>
  </si>
  <si>
    <t>A young woman is seen brushing her tooth followed by close ups of a tooth brush.</t>
  </si>
  <si>
    <t>Shots are shown of her teeth close up as well as her still brushing.</t>
  </si>
  <si>
    <t>She continues brushing all along her teeth to demonstrate how it's done.</t>
  </si>
  <si>
    <t>v_uaLMHEtFlNA</t>
  </si>
  <si>
    <t>A gopro ad appears on the screen.</t>
  </si>
  <si>
    <t>Someone wears the device as he uses a mower to mow his lawn.</t>
  </si>
  <si>
    <t>It is sped up as it shows every angle as he completes mowing the lawn, back and forth and going over the same spots until it is perfect.</t>
  </si>
  <si>
    <t>v_vWNDj8KxmBg</t>
  </si>
  <si>
    <t>Several clips are shown of people performing flips and tricks in the middle of a floor while a light shines down in the middle.</t>
  </si>
  <si>
    <t>The kids continue spinning around one another and end by standing up together and falling down.</t>
  </si>
  <si>
    <t>v_gdr6iVHHYcU</t>
  </si>
  <si>
    <t>Two women are in a room talking.</t>
  </si>
  <si>
    <t>A woman begins to put makeup on the other woman.</t>
  </si>
  <si>
    <t>She dabs the woman's face with a sponge.</t>
  </si>
  <si>
    <t>v_p4qZGZenAoU</t>
  </si>
  <si>
    <t>A woman with her hair up in a towel introduces her video showing how she washes her face.</t>
  </si>
  <si>
    <t>She applies a moisturizer to her face while dancing around.</t>
  </si>
  <si>
    <t>She then dances in the living room with the moisturizer on.</t>
  </si>
  <si>
    <t>Finally, she returns to the bathroom and washes her face.</t>
  </si>
  <si>
    <t>v_Xa1yH3vxlAk</t>
  </si>
  <si>
    <t>man is standing on side of car stuck in traffic.</t>
  </si>
  <si>
    <t>man holding bagpipes is walking in street between cars.</t>
  </si>
  <si>
    <t>v_dPdeb0SgIw8</t>
  </si>
  <si>
    <t>A TV reporter is talking while shows a screen of a person playing hockey on ice.</t>
  </si>
  <si>
    <t>Then, the reporters talk and comment each other, while one of the man is on front a laptop.</t>
  </si>
  <si>
    <t>v__3hVtPVXTmg</t>
  </si>
  <si>
    <t>A gymnast is seen running towards a set of uneven bars and performing a routine on the bars.</t>
  </si>
  <si>
    <t>She swings all around and jumps on the mat to end her routine.</t>
  </si>
  <si>
    <t>v_-XCESzrIWXA</t>
  </si>
  <si>
    <t>People are playing soccer in an indoor soccer arena.</t>
  </si>
  <si>
    <t>Two of the men hug on the court.</t>
  </si>
  <si>
    <t>A person kicks a ball into the goal.</t>
  </si>
  <si>
    <t>v_2RpAv3irv1c</t>
  </si>
  <si>
    <t>A woman sprays lotion and brush her hair.</t>
  </si>
  <si>
    <t>Then, the woman makes a braid with the front hair and fasten it with a pin.</t>
  </si>
  <si>
    <t>After, the woman makes a pony tail and spray lotion to her hair.</t>
  </si>
  <si>
    <t>v_cuyD4bT4Bvc</t>
  </si>
  <si>
    <t>initial logo is shown and a web page.</t>
  </si>
  <si>
    <t>man is in a skate park in white skates.</t>
  </si>
  <si>
    <t>man is sitting in a tube and make tricks in a skate park, other man is sitting watching him.</t>
  </si>
  <si>
    <t>little kid is talking to someone and watching the man in skates doing the tricks in skate park.</t>
  </si>
  <si>
    <t>v_NzJkKwzPqvk</t>
  </si>
  <si>
    <t>An older woman is using a cue to play pool.</t>
  </si>
  <si>
    <t>She shoots the ball and walks away.</t>
  </si>
  <si>
    <t>Then she bangs cues with another person.</t>
  </si>
  <si>
    <t>v_nOxKfRwdf2w</t>
  </si>
  <si>
    <t>Two people are talking to a camera outside.</t>
  </si>
  <si>
    <t>A ballerina does several twirls on stage.</t>
  </si>
  <si>
    <t>v_U89hsv1dzuQ</t>
  </si>
  <si>
    <t>man is smoking a cigarrette in a dark street.</t>
  </si>
  <si>
    <t>man is wearing a white t shirt smoking a cigarrette and watching to the camera.</t>
  </si>
  <si>
    <t>man is in the night in a dark field smoking.</t>
  </si>
  <si>
    <t>v_3svMy4Kfjd8</t>
  </si>
  <si>
    <t>A guy is water boarding in a body of water.</t>
  </si>
  <si>
    <t>The guy messes with his hair.</t>
  </si>
  <si>
    <t>The guy gives hands gesture.</t>
  </si>
  <si>
    <t>v_aYfWH960W0Q</t>
  </si>
  <si>
    <t>An athletic woman is seen running down a track with a large group of people watching her on the sidelines.</t>
  </si>
  <si>
    <t>She continues running and finishes the race while collapsing on the ground in the end and breathing heavily while crying.</t>
  </si>
  <si>
    <t>She sits back up crying and another woman helps her up, ending with a short clip of a girl running.</t>
  </si>
  <si>
    <t>v_At7fzSxdiCg</t>
  </si>
  <si>
    <t>A man is running down the track at a track and field competition.</t>
  </si>
  <si>
    <t>He begins to take some rapid steps to give himself so leverage for a jump he is trying to make.</t>
  </si>
  <si>
    <t>He takes off into the air as he begins the jump.</t>
  </si>
  <si>
    <t>He lands on the ground as he completes the jump.</t>
  </si>
  <si>
    <t>v_o18RrUlR-0Y</t>
  </si>
  <si>
    <t>A man with long beard is talking in the camera while a hand is brushing the side of his beard, then he continue talking while in his back the TV is running, then he closed up his beard, showed a man in green and the kid sitting next to him.</t>
  </si>
  <si>
    <t>The man in green shaves the man's beard on the side then brushed it then continue to shave the long beard leaving the stubble.</t>
  </si>
  <si>
    <t>v_IfpcrV_cwHI</t>
  </si>
  <si>
    <t>A close up of a pool table is shown followed by a man hitting the ball.</t>
  </si>
  <si>
    <t>The man the celebrates and shakes the hands of the opponent.</t>
  </si>
  <si>
    <t>He walks around the audience celebrating with them and walks back to his bag.</t>
  </si>
  <si>
    <t>v_XxyTLG8B-Ns</t>
  </si>
  <si>
    <t>A man is talking to the camera as he gets ready to ride the bumper cars.</t>
  </si>
  <si>
    <t>The man rides around in the bumper car bumping in to the other people while the camera watches.</t>
  </si>
  <si>
    <t>The camera zooms in on the people for a closer look.</t>
  </si>
  <si>
    <t>The ride ends and the people get out of the bumper cars.</t>
  </si>
  <si>
    <t>v_mTlReluteEQ</t>
  </si>
  <si>
    <t>A man throws an object in a track and field event at the Olympics.</t>
  </si>
  <si>
    <t>This is then shown in slow motion and then sped up.</t>
  </si>
  <si>
    <t>The coach reacts and cheers.</t>
  </si>
  <si>
    <t>The athlete receives a medal and waves to the crowd.</t>
  </si>
  <si>
    <t>v_XkWO7aqcC8Y</t>
  </si>
  <si>
    <t>A man is outdoors, cutting wires off a stack of sheetrock.</t>
  </si>
  <si>
    <t>He moves the sheets, then muds the floors before laying them down.</t>
  </si>
  <si>
    <t>The man presses the large sheets onto the ground.</t>
  </si>
  <si>
    <t>v_BO0vQ6ASVlo</t>
  </si>
  <si>
    <t>A man holds a frisbee next to a dog, then the dog jumps above the back of the man and grabs a frisbee.</t>
  </si>
  <si>
    <t>The man throws a frisbee and the dog runs to get it, after the man does tricks with the dog.</t>
  </si>
  <si>
    <t>A person lie down with his feet up, then the dog stand on his feet and plays with the frisbee.</t>
  </si>
  <si>
    <t>The man plays with the dog frisbee doing tricks and throwing the frisbee.</t>
  </si>
  <si>
    <t>v_8pR6NBu7Ay0</t>
  </si>
  <si>
    <t>The outside of a box containing a gun is shown.</t>
  </si>
  <si>
    <t>A man is joined by two others in front of a display of guns.</t>
  </si>
  <si>
    <t>They talk about the guns, then join a game of paintball outdoors, hiding behind obstacles as they shoot at each other.</t>
  </si>
  <si>
    <t>v_M7tUnCF9lU4</t>
  </si>
  <si>
    <t>A lady standing beside the slide is holding a little child on top of the slide.</t>
  </si>
  <si>
    <t>She looked inside the tunnel and moved the little kid to show him and wave at the person.</t>
  </si>
  <si>
    <t>The lady hold the child while she push him down the slide.</t>
  </si>
  <si>
    <t>The lady slide the kid up back to the top.</t>
  </si>
  <si>
    <t>The lady hold the child and pushed him down the slide.</t>
  </si>
  <si>
    <t>The child sat on the bottom of the slide while looking away.</t>
  </si>
  <si>
    <t>v_9Cs3CYCMH2w</t>
  </si>
  <si>
    <t>Two people are jump roping outside on a patio.</t>
  </si>
  <si>
    <t>The boy leaves and the girls starts jump roping by herself.</t>
  </si>
  <si>
    <t>The girl does a hand stand.</t>
  </si>
  <si>
    <t>The boy starts jump roping by himself.</t>
  </si>
  <si>
    <t>The girl does a flip in the air.</t>
  </si>
  <si>
    <t>The boy does a flip in the air.</t>
  </si>
  <si>
    <t>v_wsc5GIgVwN8</t>
  </si>
  <si>
    <t>Several people are shown in a back ground of lasers are portrayed as members on a team.</t>
  </si>
  <si>
    <t>A man from the team then comes along and starts to skateboard down the road in a community environment.</t>
  </si>
  <si>
    <t>As he continues skating,he moves to a more rural area with large mountains and field in the open and points begin to rack up in the corner of the screen.</t>
  </si>
  <si>
    <t>v_Z-C5yMAUmM4</t>
  </si>
  <si>
    <t>A woman is sitting down taking a drink.</t>
  </si>
  <si>
    <t>She sets the drink down and starts talking.</t>
  </si>
  <si>
    <t>v_jjuitTS2cuM</t>
  </si>
  <si>
    <t>A little toddler is walking down the street holding her dog leash.</t>
  </si>
  <si>
    <t>The dog is walking ahead of her not pulling her, he is very gentle.</t>
  </si>
  <si>
    <t>The dog stops to sniff around and then begins walking again.</t>
  </si>
  <si>
    <t>The little girl trying to follow closely behind him.</t>
  </si>
  <si>
    <t>v_MWdPh6J-YXM</t>
  </si>
  <si>
    <t>A man stretches in front of the camera.</t>
  </si>
  <si>
    <t>The camera cuts to scenes of the man on a small boat paddling.</t>
  </si>
  <si>
    <t>The camera cuts to scenes of various men paddling boats from various angles, with different backgrounds.</t>
  </si>
  <si>
    <t>The camera shows men putting boats away.</t>
  </si>
  <si>
    <t>The camera shows several men in a car.</t>
  </si>
  <si>
    <t>The camera shows quick clips of men exercising in a gym.</t>
  </si>
  <si>
    <t>The camera returns to scenes of men paddling boats.</t>
  </si>
  <si>
    <t>The camera cuts to accelerated footage of a car driving.</t>
  </si>
  <si>
    <t>The camera cuts to scenes of men relaxing and tossing a ball around.</t>
  </si>
  <si>
    <t>The camera cuts to a scene of a man sitting relaxing.</t>
  </si>
  <si>
    <t>v_nwBb-WkaCYU</t>
  </si>
  <si>
    <t>A person is sitting behind a table doing a rubiks cube blind folded.</t>
  </si>
  <si>
    <t>A timer is on the desk in front of them.</t>
  </si>
  <si>
    <t>The person completes the rubiks cube and sets it down on the table.</t>
  </si>
  <si>
    <t>v_JavaLreBqtI</t>
  </si>
  <si>
    <t>We see a lady sitting on a couch talking.</t>
  </si>
  <si>
    <t>The lady makes faces and claps her hands.</t>
  </si>
  <si>
    <t>We watch the lady pull rollers our out her braids.</t>
  </si>
  <si>
    <t>We see her hair up close.</t>
  </si>
  <si>
    <t>The lady makes a quote sign with her fingers.</t>
  </si>
  <si>
    <t>v_NulnzF8avMI</t>
  </si>
  <si>
    <t>The gymnast gathers his focus, and mounts the pommel horse to begin his event.</t>
  </si>
  <si>
    <t>The audience watches and cheers as the announcers give their commentary.</t>
  </si>
  <si>
    <t>He goes up to a hand stand.</t>
  </si>
  <si>
    <t>He picks up his speed once he comes back down from the hand stand.</t>
  </si>
  <si>
    <t>The gymnast has a nice dismount.</t>
  </si>
  <si>
    <t>We watch the performance again in slow motion then see his smile as he is seated afterwords.</t>
  </si>
  <si>
    <t>v_UqE_T7oG1Gc</t>
  </si>
  <si>
    <t>woman is talking to the camera and holding makeup brushes.</t>
  </si>
  <si>
    <t>woman is shoing a braid on her hair and its shownig how to do the braid.</t>
  </si>
  <si>
    <t>v_87fIi0-1JVM</t>
  </si>
  <si>
    <t>A girl travels in a car while talking.</t>
  </si>
  <si>
    <t>The girl is in a piercing shop, then a man rubs her nose with a tissue and put a mark.</t>
  </si>
  <si>
    <t>After, the man pierce the nose of the girl and puts a tip.</t>
  </si>
  <si>
    <t>After, the man cleans the area, and the girl dry some tears on her face.</t>
  </si>
  <si>
    <t>After, the girl holds a camera on front her face and talks, also shows her piercing.</t>
  </si>
  <si>
    <t>v_8381XS5ZDNs</t>
  </si>
  <si>
    <t>A piece of exercise equipment spins around on a panel when a woman suddenly appears.</t>
  </si>
  <si>
    <t>She climbs on the machine and begins exercising while the camera pans around her movements.</t>
  </si>
  <si>
    <t>She continues to use the equipment and eventually shows a picture of the equipment.</t>
  </si>
  <si>
    <t>v_8kyg5u6o21k</t>
  </si>
  <si>
    <t>boy is putting a helmet and is fixing his skateboard.</t>
  </si>
  <si>
    <t>boy is going down an slope passing by houses till is dark.</t>
  </si>
  <si>
    <t>v_jXIKHEsmVl4</t>
  </si>
  <si>
    <t>A guy is outside chopping wood.</t>
  </si>
  <si>
    <t>The ax gets stuck on the wood on his first try.</t>
  </si>
  <si>
    <t>The guy pulls the ax out.</t>
  </si>
  <si>
    <t>The guy keeps cutting the wood smaller and smaller.</t>
  </si>
  <si>
    <t>v_SpEdr2o2TP0</t>
  </si>
  <si>
    <t>A man and woman are talking in a stable.</t>
  </si>
  <si>
    <t>The man helps the woman on the horse and she leads it around the arena.</t>
  </si>
  <si>
    <t>The woman gets off the horse and talks to the camera.</t>
  </si>
  <si>
    <t>v_iSHPVCBsnLw</t>
  </si>
  <si>
    <t>Two men are seen sitting on a couch watching tv and speaking back and fourth to one another.</t>
  </si>
  <si>
    <t>Another walks into frame speaking and holding a drink and the two men continue speaking to one another.</t>
  </si>
  <si>
    <t>v_7m--xUKvqkc</t>
  </si>
  <si>
    <t>A hand holds a damp mop sign up to the camera.</t>
  </si>
  <si>
    <t>A person mops a floor, with the camera only picking up part of the person and the mop.</t>
  </si>
  <si>
    <t>The camera shows a close up of the mop head.</t>
  </si>
  <si>
    <t>v_dKwPfFN7DpM</t>
  </si>
  <si>
    <t>A man is shown spinning in circles while throwing a shot put off into the distance.</t>
  </si>
  <si>
    <t>Several men are then shown over and over again throwing the object off into the distance in various locations.</t>
  </si>
  <si>
    <t>v_iMF8-iDLl6U</t>
  </si>
  <si>
    <t>An intro featuring the text "how to change a tire" plays.</t>
  </si>
  <si>
    <t>A woman has a tool that allows you put the tire on to a rim while a man holds the tool.</t>
  </si>
  <si>
    <t>The woman then uses the same tool to remove the tire from the rim.</t>
  </si>
  <si>
    <t>The person filming shows an iPhone's timer at various points to show how long a step should take.</t>
  </si>
  <si>
    <t>The tool that removes the tier from the rim is shown and how it works.</t>
  </si>
  <si>
    <t>A man opens a Bridgestone locker or machine to show the inside.</t>
  </si>
  <si>
    <t>The video ends with an image of a solar powered vehicle.</t>
  </si>
  <si>
    <t>v_3TVKXCyNObQ</t>
  </si>
  <si>
    <t>People skateboard down the road of a city.</t>
  </si>
  <si>
    <t>A group of teens meet on the road and watch a teen skateboard.</t>
  </si>
  <si>
    <t>A teen enters a skateboard ramp and skateboard around.</t>
  </si>
  <si>
    <t>A boy skateboards on a road passing a city and a field.</t>
  </si>
  <si>
    <t>Two teens skateboard on a road.</t>
  </si>
  <si>
    <t>v_8EGM3zcvjs8</t>
  </si>
  <si>
    <t>Eight people are standing at the studio, one woman walked at the back of the group.</t>
  </si>
  <si>
    <t>The group started dancing, swirling, shaking their hips, rotating, their arms and hands are moving from side to side, in front.</t>
  </si>
  <si>
    <t>v_SIj-ti_70HQ</t>
  </si>
  <si>
    <t>A woman stands in front of a mirror smiling and begins brushing her hair.</t>
  </si>
  <si>
    <t>She continues brushing her hair and looking at herself in the mirror.</t>
  </si>
  <si>
    <t>v_oNqtuh6qa2E</t>
  </si>
  <si>
    <t>A man is standing outside on a sidewalk with a silver camera in his hand filming something.</t>
  </si>
  <si>
    <t>As the camera turns,the man is filming someone on a one-seater paddling as he is playing a bag of pipes.</t>
  </si>
  <si>
    <t>The man continues,and a gruop of people crowd around him and watch him until he falls off the wheel.</t>
  </si>
  <si>
    <t>v__6mQ9_DQr0Q</t>
  </si>
  <si>
    <t>Man approaches the weights before him.</t>
  </si>
  <si>
    <t>Man lifts up weights and drops them to the floor.</t>
  </si>
  <si>
    <t>Man lifts up weights and holds them for a while.</t>
  </si>
  <si>
    <t>Man shakes his hands in celebration.</t>
  </si>
  <si>
    <t>Man screams in celebration.</t>
  </si>
  <si>
    <t>v_B-60jGEds7M</t>
  </si>
  <si>
    <t>A boat sails in the choppy waters of an ocean.</t>
  </si>
  <si>
    <t>The big waves moves the boat up and down.</t>
  </si>
  <si>
    <t>A person stands on front the boat wearing dark clothes.</t>
  </si>
  <si>
    <t>v_d8u6MM00_ig</t>
  </si>
  <si>
    <t>A large group of people are seen wandering around an arena when a man steps up to a weight.</t>
  </si>
  <si>
    <t>The man lifts the weight over his head and throws it on the ground.</t>
  </si>
  <si>
    <t>Several more men are seen attempting to lift the weight with others succeeding and cheering and others dropping the weight.</t>
  </si>
  <si>
    <t>v_KfkNKhAWOII</t>
  </si>
  <si>
    <t>Graphics with "FCC Presents" followed by "The Great Indoors with Tracy Briggs" appear on screen.</t>
  </si>
  <si>
    <t>Briggs speaks to the camera from a kitchen.</t>
  </si>
  <si>
    <t>She begins preparing a potato and tomtatos to eat.</t>
  </si>
  <si>
    <t>v_6rMF2jWbeUQ</t>
  </si>
  <si>
    <t>A woman is seen sitting in a wheelchair looking to the camera and wheels herself over to a side.</t>
  </si>
  <si>
    <t>She then puts her shoes on with another man's help while still smiling to the camera.</t>
  </si>
  <si>
    <t>She wheels herself away and claps in the end.</t>
  </si>
  <si>
    <t>v_9zm9jW7_ANc</t>
  </si>
  <si>
    <t>The chef begins by removing and slicing the endive.</t>
  </si>
  <si>
    <t>The chef then places them in a bin,afterwards he slices and peels more.</t>
  </si>
  <si>
    <t>The chef then chops romaine and places them in a silver bin and mixes endive with the romaine.</t>
  </si>
  <si>
    <t>Finally he removes the salad mixture with a dressing on it from a round silver bowl and places the salad on a white plate.</t>
  </si>
  <si>
    <t>v_M1SUIrWykRs</t>
  </si>
  <si>
    <t>Several people are surfing on a large wave in the water.</t>
  </si>
  <si>
    <t>A man and a little girl are swimming in the water.</t>
  </si>
  <si>
    <t>v_7OTqYfUuAIw</t>
  </si>
  <si>
    <t>A young child is seen kicking around in the middle of a room.</t>
  </si>
  <si>
    <t>The kid kicks both of his legs around while the camera pans around.</t>
  </si>
  <si>
    <t>Another child is seen kicking on the side while a dog walks in and out of frame.</t>
  </si>
  <si>
    <t>v_KYl67H9-4TA</t>
  </si>
  <si>
    <t>A small child wearing a wig is seen holding a violin and speaking to the camera.</t>
  </si>
  <si>
    <t>She then plays a song on the violin moving his arms and hands back and fourth and ends by speaking off into the distance.</t>
  </si>
  <si>
    <t>v_8z29qtUWwdU</t>
  </si>
  <si>
    <t>A man is seen talking to the camera and presents his knife and sharpener.</t>
  </si>
  <si>
    <t>He then glides the knife down the sharpener and shows how other knives work with different sharpeners.</t>
  </si>
  <si>
    <t>He presents the knife one last time while still speaking to the camera.</t>
  </si>
  <si>
    <t>v_MFlYmFZ7xlo</t>
  </si>
  <si>
    <t>A man is mopping a floor.</t>
  </si>
  <si>
    <t>A woman is eating.</t>
  </si>
  <si>
    <t>v_fjoaurNKg60</t>
  </si>
  <si>
    <t>A person washes there hands and closes a sink drain.</t>
  </si>
  <si>
    <t>The person removes a contact from the container and places on the tip of their finger.</t>
  </si>
  <si>
    <t>The person holds open one eyelid at a time and inserts the contact into their eye.</t>
  </si>
  <si>
    <t>A cleaner solution is sprayed into the container to clean it out.</t>
  </si>
  <si>
    <t>The contact lens is removed from the eye.</t>
  </si>
  <si>
    <t>Solution is sprayed on the contact lens resting in the palm of a hand before being placed back on the counter.</t>
  </si>
  <si>
    <t>v_61sN9tqZHwk</t>
  </si>
  <si>
    <t>A series of masks are shown on a table.</t>
  </si>
  <si>
    <t>A yorkie dog is shown from several angles.</t>
  </si>
  <si>
    <t>We then see the dog winning competitions and getting groomed.</t>
  </si>
  <si>
    <t>v_GEhtyurCwDQ</t>
  </si>
  <si>
    <t>We see an electric shaver from various angles.</t>
  </si>
  <si>
    <t>The man unwraps the product and takes it out of the bag.</t>
  </si>
  <si>
    <t>The product is being taken out of it's packaging.</t>
  </si>
  <si>
    <t>The man shaves his hand then adds a guard and shaves his beard and the hairline in back.</t>
  </si>
  <si>
    <t>The man rinses the shaver and works on his neck.</t>
  </si>
  <si>
    <t>v_0AjYz-s4Rek</t>
  </si>
  <si>
    <t>A man and a woman dressed in snow clothing are walking in the snow and they begin to drill into the ice ground with hand held red crank long drills.</t>
  </si>
  <si>
    <t>When they make a hole in the ice they put their fishing wire attached with bait into the hole and begin ice fishing until the woman catches a fish.</t>
  </si>
  <si>
    <t>After they're done fishing, they are now at a wood fire and the fish is cooking on the wood.</t>
  </si>
  <si>
    <t>v_19YCgLDhfoE</t>
  </si>
  <si>
    <t>A woman exercise sniping a stick on her hand in a filed.</t>
  </si>
  <si>
    <t>The woman exercise on front the ocean spinning the stick on her neck.</t>
  </si>
  <si>
    <t>Then, the woman throws the stick on the air.</t>
  </si>
  <si>
    <t>After, the woman pass the stick from hand to another on her folded arm.</t>
  </si>
  <si>
    <t>v_zihMznAYlV0</t>
  </si>
  <si>
    <t>Two men in padded sumo costumes are pulled along a tug rope on a ski slope.</t>
  </si>
  <si>
    <t>Two men in yellow padded sumo costumes do jumps on their snowboard on a downhill course.</t>
  </si>
  <si>
    <t>A filmer waives to the camera.</t>
  </si>
  <si>
    <t>The man spins while sliding across a platform in the sumo suit.</t>
  </si>
  <si>
    <t>The two men give each other a high five.</t>
  </si>
  <si>
    <t>The man in sumo suit goes over a small triangular obstacle.</t>
  </si>
  <si>
    <t>A man on small skis crashes while trying to jump.</t>
  </si>
  <si>
    <t>The man jumps onto and slide across a platform while wearing a sumo suit.</t>
  </si>
  <si>
    <t>The man bounces over a low railing.</t>
  </si>
  <si>
    <t>v_T6KP0pg7qxM</t>
  </si>
  <si>
    <t>A boy is sitting in a chair behind a counter.</t>
  </si>
  <si>
    <t>A girl comes up next to him and tries to feed him cereal.</t>
  </si>
  <si>
    <t>He starts throwing darts at a dartboard.</t>
  </si>
  <si>
    <t>v_v8XN1ajGeIw</t>
  </si>
  <si>
    <t>A close up is shown of a very dirty floor being cleaned with a large vacuum.</t>
  </si>
  <si>
    <t>Words on the screen explain the strength of the vacuum as the person continues.</t>
  </si>
  <si>
    <t>The floor is being cleaned at walking speed.</t>
  </si>
  <si>
    <t>The man continues to demonstrate the usage until an ad for the company appears at the end.</t>
  </si>
  <si>
    <t>v_zQCqzIgIpHI</t>
  </si>
  <si>
    <t>A view is seen of the outside of an airport, then the wing of the flying plane.</t>
  </si>
  <si>
    <t>A man is on the plane wearing a mask.</t>
  </si>
  <si>
    <t>Several people are sleeping in the dark quarters.</t>
  </si>
  <si>
    <t>They arrive at a ski resort, and ride the lifts before donning skis and skiing down treacherous hills.</t>
  </si>
  <si>
    <t>v_K8ZPkLVlAiA</t>
  </si>
  <si>
    <t>A man is holding the arm of a canister vacuum in a vacuum showroom.</t>
  </si>
  <si>
    <t>The man lifts the arm and shows it to the camera.</t>
  </si>
  <si>
    <t>The man then pretends, then actually vacuums the linoleum floor with the vacuum.</t>
  </si>
  <si>
    <t>v_ovTKJgSWMKQ</t>
  </si>
  <si>
    <t>Scores are shown on a screen in front of pool water.</t>
  </si>
  <si>
    <t>A man towels off in a room.</t>
  </si>
  <si>
    <t>He enters the competition, shaking hands after his dive.</t>
  </si>
  <si>
    <t>Between dives, the scoreboard is shown again.</t>
  </si>
  <si>
    <t>The final scene is of the man backflipping off the diving board.</t>
  </si>
  <si>
    <t>v_X2zoUDI1Gmc</t>
  </si>
  <si>
    <t>A woman is seen smiling to the camera holding up a blow dryer and various attachments.</t>
  </si>
  <si>
    <t>She is then seen again with wet hair and then sprays liquid into her hair and then blow dries her hair more.</t>
  </si>
  <si>
    <t>She then pins her hair up, attaches and attachment to the blow dryer, and dries her hair all around, spinning to the camera in the end.</t>
  </si>
  <si>
    <t>v_LFeoVokXAFY</t>
  </si>
  <si>
    <t>A man uses a large plastic blue bat.</t>
  </si>
  <si>
    <t>He swings it at a pinata shaped like spongebob squarepants.</t>
  </si>
  <si>
    <t>He misses several times, and keeps swinging.</t>
  </si>
  <si>
    <t>v_GvvmZ1Bi1xk</t>
  </si>
  <si>
    <t>We see a finger on the lens and a shoulder.</t>
  </si>
  <si>
    <t>A woman pushes a lawn mower through the grass.</t>
  </si>
  <si>
    <t>The lady lifts the mower and backs up.</t>
  </si>
  <si>
    <t>The lady turns the mower.</t>
  </si>
  <si>
    <t>v_lUX1nfb5rx0</t>
  </si>
  <si>
    <t>woman is standing in font of a counter and is talking to the camera.</t>
  </si>
  <si>
    <t>a clean sink is shown and a woman claing the surface of water and wine with a cloth and then with an sponge.</t>
  </si>
  <si>
    <t>the woman put a cleaner on a cloth and cleans the sink, then the woman is talking and a white table covers the sink.</t>
  </si>
  <si>
    <t>v_rBaR5xF8orE</t>
  </si>
  <si>
    <t>A large group of people are seen sitting around an auditorium with one man flying kites around in the middle.</t>
  </si>
  <si>
    <t>The person continues moving around with the kites and walks away in the end with a woman speaking to the crowd.</t>
  </si>
  <si>
    <t>v_lwXIgNoLGhM</t>
  </si>
  <si>
    <t>We see people in a field holding flags.</t>
  </si>
  <si>
    <t>We see people playing paintball in the woods.</t>
  </si>
  <si>
    <t>We see people in lines like soldiers.</t>
  </si>
  <si>
    <t>We see the people in the woods in paint ball gear.</t>
  </si>
  <si>
    <t>We see an empty metal tank.</t>
  </si>
  <si>
    <t>We see the people in the woods again.</t>
  </si>
  <si>
    <t>We see inside the tank.</t>
  </si>
  <si>
    <t>We see the people walking through the field.</t>
  </si>
  <si>
    <t>We see people running with smoke.</t>
  </si>
  <si>
    <t>We see a ending title screen.</t>
  </si>
  <si>
    <t>v_XORmEz1vOeQ</t>
  </si>
  <si>
    <t>A man kneels down by a tree in a yard.</t>
  </si>
  <si>
    <t>He talks as he digs with his hands.</t>
  </si>
  <si>
    <t>He shows and instructs on how to apply and pack mulching around the base of the tree.</t>
  </si>
  <si>
    <t>v_CYSyc4jy9-Q</t>
  </si>
  <si>
    <t>A person runs and jumps wearing bouncing shoes, and a man make a surprised face.</t>
  </si>
  <si>
    <t>People wearing bouncing shoes bounce and jumps in a gym, a presenter talks and also tries the bouncing shoes.</t>
  </si>
  <si>
    <t>A man bounce and jumps high in the beach, in the street.</t>
  </si>
  <si>
    <t>Then, men flip over wearing bouncing shoes, after a man plays basketball wearing bouncing shoes in a gym.</t>
  </si>
  <si>
    <t>A person rides a bike in the gym.</t>
  </si>
  <si>
    <t>Two men wearing bouncing shoes stand front to front in a TV set.</t>
  </si>
  <si>
    <t>v_U0HiAZCgmd8</t>
  </si>
  <si>
    <t>A woman is seen speaking to the camera and leads into her pouring ice into a glass followed by various liquids.</t>
  </si>
  <si>
    <t>She mixes the liquids back and fourth and ends by presenting the drink and putting in a lemon with straw.</t>
  </si>
  <si>
    <t>v_rLH89pN9I84</t>
  </si>
  <si>
    <t>A woman walks out onto the grass.</t>
  </si>
  <si>
    <t>Two small dogs follow her on leashes.</t>
  </si>
  <si>
    <t>She bends down and the dogs come up to her.</t>
  </si>
  <si>
    <t>v_e_y8_3siD0c</t>
  </si>
  <si>
    <t>A young child is seen standing ready before a game of hop scotch.</t>
  </si>
  <si>
    <t>The girl then begins hopping on the chalk.</t>
  </si>
  <si>
    <t>The girl hops all the way to the end and walks back to the screen.</t>
  </si>
  <si>
    <t>v_djgM0IWIBKc</t>
  </si>
  <si>
    <t>A group of men are in a kayak going down the river bank.</t>
  </si>
  <si>
    <t>The are paddling and looking at the trees in the distance enjoying their day.</t>
  </si>
  <si>
    <t>One of the men gets out of the boat to go swimming in the water, They all get in and start splashing water, swimming under and enjoying the day before getting back in to turn back.</t>
  </si>
  <si>
    <t>Once they start to head back to land and to get ready to get on the dock.</t>
  </si>
  <si>
    <t>v_dyvB6XCWPZs</t>
  </si>
  <si>
    <t>People are rafting in rafts down a choppy river.</t>
  </si>
  <si>
    <t>People are jumping off a rock into the water.</t>
  </si>
  <si>
    <t>People are doing flips off the front of the raft.</t>
  </si>
  <si>
    <t>People are sitting on a boat pulling the rafts.</t>
  </si>
  <si>
    <t>v_BSIV5tJ3bv4</t>
  </si>
  <si>
    <t>An athlete walks in front of a crowd rubbing his hands in powder and grabbing a weight set.</t>
  </si>
  <si>
    <t>He lifts the weights over his head and throws it down afterwards, raising his hands up with his coach.</t>
  </si>
  <si>
    <t>v_HHxPjC6T2e0</t>
  </si>
  <si>
    <t>A unicorn pinata sways in the wind from a line.</t>
  </si>
  <si>
    <t>A woman swings wildly at it with a bat, as she is blindfolded.</t>
  </si>
  <si>
    <t>v_fVg3StD8LL0</t>
  </si>
  <si>
    <t>A man is seen hosting a news segment and speaking to the camera.</t>
  </si>
  <si>
    <t>The man is then seen helping another lay down plaster.</t>
  </si>
  <si>
    <t>The host continues helping the men tear up floor as well as lay it down and speak to the camera.</t>
  </si>
  <si>
    <t>v_-Rv7tGWehRE</t>
  </si>
  <si>
    <t>We see a boy using jumpstilts on a residential street.</t>
  </si>
  <si>
    <t>The man stops jumping the first time.</t>
  </si>
  <si>
    <t>We see a person come outside then go inside.</t>
  </si>
  <si>
    <t>The jumping man faces and walks towards the camera.</t>
  </si>
  <si>
    <t>v_PD9e9MVHEyU</t>
  </si>
  <si>
    <t>We see the title screen on white A lady sits in a chair talking.</t>
  </si>
  <si>
    <t>The lady starts painting on her hand.</t>
  </si>
  <si>
    <t>We see the closing credits on a white screen.</t>
  </si>
  <si>
    <t>v_ZoKdN--u6TU</t>
  </si>
  <si>
    <t>A young man is seen pushing a puck down a table to another man standing on the other side.</t>
  </si>
  <si>
    <t>The other man then pushes a puck and the boys continue playing the game back and fourth.</t>
  </si>
  <si>
    <t>The camera zooms in on the men in the end as well as other people standing around the room.</t>
  </si>
  <si>
    <t>v_lQq_JPRFEMw</t>
  </si>
  <si>
    <t>People are playing a game of lacrosse on a field.</t>
  </si>
  <si>
    <t>The teams line up and shake hands.</t>
  </si>
  <si>
    <t>A woman in a blue coat is talking to the camera.</t>
  </si>
  <si>
    <t>A man in a tan suit is talking into a microphone.</t>
  </si>
  <si>
    <t>v_WYcTPQSXwRc</t>
  </si>
  <si>
    <t>A marching band plays in a parade while people watch stand on the sidewalk.</t>
  </si>
  <si>
    <t>The marching band pass on front a carnival and a green field.</t>
  </si>
  <si>
    <t>Then, the marching band arrives to a city.</t>
  </si>
  <si>
    <t>An old man holding a trophy walks on front the marching band.</t>
  </si>
  <si>
    <t>After, the marching band arrives to a bus station.</t>
  </si>
  <si>
    <t>A bond lady applaud, hug people and talks.</t>
  </si>
  <si>
    <t>v_KGIDKn3t2Qk</t>
  </si>
  <si>
    <t>An intro is shown with a drink being poured into a glass and a caption about drink mixing.</t>
  </si>
  <si>
    <t>A girl begins to make a drink called a Mai Tai.</t>
  </si>
  <si>
    <t>She takes out all the things she will need to make the drink.</t>
  </si>
  <si>
    <t>She gets some ice into a glass and into the shaker.</t>
  </si>
  <si>
    <t>She adds in the rum, triple sec, syrup, sour mix, and puts the lid on the shaker.</t>
  </si>
  <si>
    <t>She shakes the shaker for a bit until it gets cold and pours the drink into the glass over the ice.</t>
  </si>
  <si>
    <t>She tops it off with a bit of sour mix and cherries, as well as a straw.</t>
  </si>
  <si>
    <t>The video ends with the closing caption.</t>
  </si>
  <si>
    <t>v_r9OvUc28Qi8</t>
  </si>
  <si>
    <t>A large group of people are in an area walking, talking and hanging out.</t>
  </si>
  <si>
    <t>Two men with a referee in the middle appear on a stage and they are in an intense arm wrestling match.</t>
  </si>
  <si>
    <t>The man without a hat wins the match and is briefly interviewed where he's smiling and talking.</t>
  </si>
  <si>
    <t>Another match between two men begins and ones again the same man that won the first match wins again.</t>
  </si>
  <si>
    <t>He holds his right arm up flexing it while smiling and his name Allen Fisher pops up on the screen and a black screen with the words 25 Time World Champion ends the video.</t>
  </si>
  <si>
    <t>v_5O1ttcUIUKk</t>
  </si>
  <si>
    <t>men are standing in a large green field playing lacrosse.</t>
  </si>
  <si>
    <t>people is around the field watching the game.</t>
  </si>
  <si>
    <t>men are running side to side of the ield playing lacrosse trying to score.</t>
  </si>
  <si>
    <t>v_1JHqxhajh60</t>
  </si>
  <si>
    <t>A hand is holding a shower head close to a dog.</t>
  </si>
  <si>
    <t>The dog moves around the bathtub as he tries to bite the water being splashed on him.</t>
  </si>
  <si>
    <t>v_0dkIuFFlLRM</t>
  </si>
  <si>
    <t>A camera pans around a set of stairs and leads into people working out in a class.</t>
  </si>
  <si>
    <t>Several shots are shown of people working out together while a man speaks to the camera.</t>
  </si>
  <si>
    <t>The man continues speaking while more people are shown working out together.</t>
  </si>
  <si>
    <t>v_p5H5ZmAwdH8</t>
  </si>
  <si>
    <t>A woman is lifting wallpaper as she tries to smooth it down without bubbles with a tool.</t>
  </si>
  <si>
    <t>She applies the tool smoothly, making sure to repeel and correct any mistakes as she goes along.</t>
  </si>
  <si>
    <t>v_8HhihBmSS9s</t>
  </si>
  <si>
    <t>A small group of people are seen standing around a field that leads into a game of kickball.</t>
  </si>
  <si>
    <t>The people kick around the ball and cheer with one another as they score points on their side.</t>
  </si>
  <si>
    <t>Another team member scores a goal and their teammates run in with their arms up.</t>
  </si>
  <si>
    <t>v_FWPJWq-uhUw</t>
  </si>
  <si>
    <t>An athletic man wearing a track suit and a bib number 171 is walking on a track and warming himself up.</t>
  </si>
  <si>
    <t>The man then grabs his necklace, puts it in his mouth and begins clapping above his head and a name below appears and it say's IRVING SALADINO.</t>
  </si>
  <si>
    <t>The man drops the necklace from his mouth and immediately begins to run and does his hop, skip and jump.</t>
  </si>
  <si>
    <t>Replays of the man's run and jump play and the man is shown celebrating himself, and with others on the field.</t>
  </si>
  <si>
    <t>v_KFo88zRw5CM</t>
  </si>
  <si>
    <t>A man is waterskiing behind a boat while holding a rope.</t>
  </si>
  <si>
    <t>He tries to hold on as he zips to the side.</t>
  </si>
  <si>
    <t>He slips, splits, and falls into the water.</t>
  </si>
  <si>
    <t>v_YO8EY7miuk8</t>
  </si>
  <si>
    <t>A small group of people are seen standing together on a stage and lead into them playing the instruments and two men kneeling in front.</t>
  </si>
  <si>
    <t>The men then perform various martial arts around one another while the people stand around and watch.</t>
  </si>
  <si>
    <t>v_4k-F7EXpcrM</t>
  </si>
  <si>
    <t>A man is riding a rowing machine in a gym.</t>
  </si>
  <si>
    <t>A finger briefly covers part of the camera lens.</t>
  </si>
  <si>
    <t>The man continues to row as people walk by in the gym.</t>
  </si>
  <si>
    <t>v_gvhjtFg8A-c</t>
  </si>
  <si>
    <t>A person moves a tire towards the gate.</t>
  </si>
  <si>
    <t>The gates close in their lanes.</t>
  </si>
  <si>
    <t>People are sitting on tires behind gates.</t>
  </si>
  <si>
    <t>A person moves their feet.</t>
  </si>
  <si>
    <t>When the gate is released, people slide down the ice on tires.</t>
  </si>
  <si>
    <t>A person celebrates and raises their hands.</t>
  </si>
  <si>
    <t>v_avJNxcysMCk</t>
  </si>
  <si>
    <t>Many people are gathered at the finish line of a marathon, waiting for the runners to come in.</t>
  </si>
  <si>
    <t>Many runners start trickling in and slowing down stopping once they get to that point.</t>
  </si>
  <si>
    <t>There are many runners and some people on the sides but the stands are completely empty on that side.</t>
  </si>
  <si>
    <t>More and more men keep running in little by little.</t>
  </si>
  <si>
    <t>v_WVxP7f_OyEs</t>
  </si>
  <si>
    <t>Some people are seen on water skis in the lake.</t>
  </si>
  <si>
    <t>A man talks to the camera, demonstrating how to water ski.</t>
  </si>
  <si>
    <t>Several moves and positions are shown as he talks.</t>
  </si>
  <si>
    <t>v_qpeovDXc1cg</t>
  </si>
  <si>
    <t>A woman is drinking a cup of coffee.</t>
  </si>
  <si>
    <t>Coffee beans are shown in a cup.</t>
  </si>
  <si>
    <t>Web articles are being shown.</t>
  </si>
  <si>
    <t>A cup mug is being filled with coffee.</t>
  </si>
  <si>
    <t>People are riding bikes down the street.</t>
  </si>
  <si>
    <t>v_PveTDlMybvU</t>
  </si>
  <si>
    <t>Motorcycle riders race around a dirt track during a competition.</t>
  </si>
  <si>
    <t>One rider crashes over a jump and falls off his bike.</t>
  </si>
  <si>
    <t>The other rider slows down and pulls off the track.</t>
  </si>
  <si>
    <t>The crashed rider crawls on the ground and is helped by another.</t>
  </si>
  <si>
    <t>The rider waves his arms to signal the others and takes the crashed bike off the course.</t>
  </si>
  <si>
    <t>The rider is seen crashing in slow motion.</t>
  </si>
  <si>
    <t>v_qpyAkXLIJz0</t>
  </si>
  <si>
    <t>A group of people are seen standing around a room with some holding onto instruments.</t>
  </si>
  <si>
    <t>People are sitting at a table playing with cups.</t>
  </si>
  <si>
    <t>More people are seen drumming on the side while the people continue to play with cups.</t>
  </si>
  <si>
    <t>Eventually people play with a guitar and end by walking off the stage.</t>
  </si>
  <si>
    <t>v_gjfa7WGhM6U</t>
  </si>
  <si>
    <t>A young man is sitting in a chair with his head down shaving his leg with an electric razor.</t>
  </si>
  <si>
    <t>The man stops and cleans out the razor.</t>
  </si>
  <si>
    <t>The man shakes the razor when it stops working until it starts again and continues to shave his leg.</t>
  </si>
  <si>
    <t>v_eLeGJBfqURA</t>
  </si>
  <si>
    <t>A dog is outside in a large field and runs towards a man holding a yellow Frisbee.</t>
  </si>
  <si>
    <t>The man then begins walking and throws the frisbee for the dog to catch.</t>
  </si>
  <si>
    <t>He throws it several time and the dog catches each and every one.</t>
  </si>
  <si>
    <t>v_Pyf_5Bffu5A</t>
  </si>
  <si>
    <t>kids are playing beach soccer in a dusty field.</t>
  </si>
  <si>
    <t>people are standing around the field in stands.</t>
  </si>
  <si>
    <t>man makes a goal and the team and people in stands are celebrating.</t>
  </si>
  <si>
    <t>man is doing a corner and scores a goal and ruun to his teammates to celebrate.</t>
  </si>
  <si>
    <t>the game start te game and men keeps running and scores another goal and celebrates while theres a repetition.</t>
  </si>
  <si>
    <t>v_9uZoTZsTwv0</t>
  </si>
  <si>
    <t>A teenage boy on a horse spinning a rope in the air chases after a little cow.</t>
  </si>
  <si>
    <t>The cow is running and the boy throws the rope around its neck.</t>
  </si>
  <si>
    <t>It causes the cow to fall over after being pulled back by the rope.</t>
  </si>
  <si>
    <t>The boy goes running off the horse after it and pins the little cow down.</t>
  </si>
  <si>
    <t>v_VpfLfFtu0d8</t>
  </si>
  <si>
    <t>We see meat and cheese on a counter.</t>
  </si>
  <si>
    <t>A man talks to the camera in a kitchen.</t>
  </si>
  <si>
    <t>The man spreads mustard on bread.</t>
  </si>
  <si>
    <t>The man assembles the sandwich.</t>
  </si>
  <si>
    <t>The sandwich is pressed.</t>
  </si>
  <si>
    <t>The man cuts the sandwich.</t>
  </si>
  <si>
    <t>The man plates all of the food.</t>
  </si>
  <si>
    <t>v_9-yA1F4il_A</t>
  </si>
  <si>
    <t>A lady is blowing leaves off a roof.</t>
  </si>
  <si>
    <t>the lady walks to the right then towards the top.</t>
  </si>
  <si>
    <t>The camera pans down and we see a small boy on the ground below.</t>
  </si>
  <si>
    <t>v_dZ4y7J3ASEE</t>
  </si>
  <si>
    <t>A person throws a ball to a teen who runs and kick the ball.</t>
  </si>
  <si>
    <t>A teen grabs the ball in the air and throws to another girl.</t>
  </si>
  <si>
    <t>The falls on the ground an the girl takes it.</t>
  </si>
  <si>
    <t>v_sjE-hHKFghc</t>
  </si>
  <si>
    <t>A woman is seen wearing roller blades and speaking to the camera.</t>
  </si>
  <si>
    <t>She then rides around on her blades while looking over to the camera and speaking.</t>
  </si>
  <si>
    <t>She continues demonstrating how to properly use the blades and moving around.</t>
  </si>
  <si>
    <t>v_G6W6wen6n7w</t>
  </si>
  <si>
    <t>We see a man run and do a high jump 6'11 and see the replay.</t>
  </si>
  <si>
    <t>We then see the man jump at 6'9 and see the replay.</t>
  </si>
  <si>
    <t>The man jumps at 6'11 again and we see the replay.</t>
  </si>
  <si>
    <t>We see the man jump at 7'2 and we see the replay.</t>
  </si>
  <si>
    <t>We see the man jump at 8'3 using a springboard and we see the replay.</t>
  </si>
  <si>
    <t>v_ULZpTYSwlTs</t>
  </si>
  <si>
    <t>There are some weightlifters on stage participating in weightlifting events.</t>
  </si>
  <si>
    <t>There are several spectators watching the event.</t>
  </si>
  <si>
    <t>One of the weightlifters successfully lifts the weight bar high up and then drops it down.</t>
  </si>
  <si>
    <t>He raises his right hand feeling triumphant.</t>
  </si>
  <si>
    <t>v_k_gAGeXhmHo</t>
  </si>
  <si>
    <t>There is a close up of several men and boys who are sweating.</t>
  </si>
  <si>
    <t>They play rock paper scissors, and the loser becomes enraged.</t>
  </si>
  <si>
    <t>He runs through the building and outdoors, screaming and hitting the air.</t>
  </si>
  <si>
    <t>The man is shown sitting on a chair, talking.</t>
  </si>
  <si>
    <t>He shakes up a bottle and takes a drink before choking.</t>
  </si>
  <si>
    <t>They replay the game, ending with him again talking while sitting in the chair.</t>
  </si>
  <si>
    <t>v_4o7Abew2ExY</t>
  </si>
  <si>
    <t>A man is sitting on a bucket ice fishing.</t>
  </si>
  <si>
    <t>He stands up and pulls a fish out of the hole.</t>
  </si>
  <si>
    <t>He cuts the hook out of the fish and throws the fish on the ice.</t>
  </si>
  <si>
    <t>He sits back down on the bucket.</t>
  </si>
  <si>
    <t>v_Ed9xVend710</t>
  </si>
  <si>
    <t>A still shot of a man on water skis is shown.</t>
  </si>
  <si>
    <t>It then jumps to the same man water skiing very intently.</t>
  </si>
  <si>
    <t>He falls a few times and does his best to stay upright.</t>
  </si>
  <si>
    <t>The video then shows other people trying their best but falling each time.</t>
  </si>
  <si>
    <t>The video continues to show people falling again and again.</t>
  </si>
  <si>
    <t>At the end, credits are shown as to who filmed and starred in the video.</t>
  </si>
  <si>
    <t>v_agZNSscDJww</t>
  </si>
  <si>
    <t>A man is playing the bagpipes.</t>
  </si>
  <si>
    <t>People are playing a game of lacrosse outside.</t>
  </si>
  <si>
    <t>v_YZhNtSJMzq8</t>
  </si>
  <si>
    <t>A boy mows a backyard using a mower that has a collecting bag on back.</t>
  </si>
  <si>
    <t>The boy pass the sidewalk and turn to the yard to continue cutting the grass.</t>
  </si>
  <si>
    <t>v_e0a1lp4ZWu8</t>
  </si>
  <si>
    <t>People are riding on horses in a field.</t>
  </si>
  <si>
    <t>A person in a red shirt is standing next to the horse.</t>
  </si>
  <si>
    <t>A man in a black hat is next to the horse.</t>
  </si>
  <si>
    <t>v_dSsMVoPLQOk</t>
  </si>
  <si>
    <t>A woman is seen shaving down the fur of a dog while the camera shows many dogs sitting in crates.</t>
  </si>
  <si>
    <t>A woman is seen speaking to the camera and showing off several dogs with long hair and afterwards.</t>
  </si>
  <si>
    <t>The woman continues shaving down the sides of the dog while stopping to speak to the camera and showing off the shaved dog.</t>
  </si>
  <si>
    <t>v_ztnt2EYuK3I</t>
  </si>
  <si>
    <t>A person in a black coat is scraping ice off of a window.</t>
  </si>
  <si>
    <t>A kid in a yellow coat is smiling at the camera.</t>
  </si>
  <si>
    <t>A boy in a green jacket is scraping the ice off of another car.</t>
  </si>
  <si>
    <t>v_YtgiDWEY_1A</t>
  </si>
  <si>
    <t>The news shows a picture of a man name Albertinho Gazio, Meanwhile a woman walking out of her house in snow gear towards her parked car.</t>
  </si>
  <si>
    <t>The man behind the camera seems to be Albertinho, He is walking through the snow and talking, he and his wife and taking off the snow from the cars in the parking lot.</t>
  </si>
  <si>
    <t>His hands are extremely red from the snow but his wife is wearing gloves so she's unaffected.</t>
  </si>
  <si>
    <t>He takes a paper out of his pocket and reads through it, while his wife laughs at him before they start walking back inside.</t>
  </si>
  <si>
    <t>v_g0Cp28ElIMk</t>
  </si>
  <si>
    <t>A girl put her foot on a line and then pulls herself up .</t>
  </si>
  <si>
    <t>Her feet are dirty but she is trying to balance on the rope.</t>
  </si>
  <si>
    <t>A man gets up on the rope trying to balance himself also, he has trouble maintaining his balance causing himself to almost fall quite a bit.</t>
  </si>
  <si>
    <t>He tried this over water and then he watches a woman try to balance herself.</t>
  </si>
  <si>
    <t>v_jtyWcZGp4VA</t>
  </si>
  <si>
    <t>A person take on the hands a small and big brush and a com, and points a jug of detergent and a spray bottle.</t>
  </si>
  <si>
    <t>The person takes the big brush and brush the back leg of the dog from top to bottom.</t>
  </si>
  <si>
    <t>After, the person brushes the back leg of the dog using the big brush, then she small brush and the comb.</t>
  </si>
  <si>
    <t>Next, the person sprays the leg of the dog and combs.</t>
  </si>
  <si>
    <t>v_xI4LLnFt6Io</t>
  </si>
  <si>
    <t>A person plays bagpipes on the streets as people pass by.</t>
  </si>
  <si>
    <t>The crowd is shown and someone takes a picture with the woman.</t>
  </si>
  <si>
    <t>v_t5Br7yOUe4g</t>
  </si>
  <si>
    <t>There's a gymnast wearing red leotards performing gymnastics on a horse bar in a large stadium with spectators and a panel of judges.</t>
  </si>
  <si>
    <t>She begins by getting onto the horse bar and does a front flips and a couple back flips.</t>
  </si>
  <si>
    <t>Then she continues twisting her legs and does another side flips by twisting her body.</t>
  </si>
  <si>
    <t>She then gracefully does few more continuous back flips and jumps off the bar and walks away.</t>
  </si>
  <si>
    <t>v_d8MgSp3oCoA</t>
  </si>
  <si>
    <t>Two sumos stand face to face on front a woman.</t>
  </si>
  <si>
    <t>Then, the sumos push each other while the woman watch them.</t>
  </si>
  <si>
    <t>After, a sumo falls on the ground heavily, then he stands.</t>
  </si>
  <si>
    <t>A man wearing yellow clothes approach the ring.</t>
  </si>
  <si>
    <t>v_Fz1NCLAB8bA</t>
  </si>
  <si>
    <t>Five products are aligned on a table,illustrating the products needed to shave.</t>
  </si>
  <si>
    <t>A young white male walks into the bathroom,turns on the water and begins to rub his beard.</t>
  </si>
  <si>
    <t>A series of different forms of the product is shown and then the man prepares his skin with oil and puts it around his beard.</t>
  </si>
  <si>
    <t>Next comes the brush and he adds some white cream to it to lather up his hair.</t>
  </si>
  <si>
    <t>Finally,it is time to shave and the beard is taken completely down.</t>
  </si>
  <si>
    <t>For the finishing touches,lotion is added and the man is now dressed in a suit ready to go.</t>
  </si>
  <si>
    <t>v_ydJsJgdaEq4</t>
  </si>
  <si>
    <t>A man wearing a hat is seen speaking to the camera and holding up various cleaning products.</t>
  </si>
  <si>
    <t>He then holds up a bottle and rag and begins wiping down a class door.</t>
  </si>
  <si>
    <t>He continues wiping down a door and speaking to the camera.</t>
  </si>
  <si>
    <t>v_7_5VT6QCqNI</t>
  </si>
  <si>
    <t>A man is talking to the camera while styling a woman's hair.</t>
  </si>
  <si>
    <t>The man is showing various hair care products.</t>
  </si>
  <si>
    <t>The man is drying the woman's hair with a blow dryer.</t>
  </si>
  <si>
    <t>The man shows a hair brush.</t>
  </si>
  <si>
    <t>The man hands the woman the brush and blow dryer.</t>
  </si>
  <si>
    <t>The woman proceeds to dry her own hair.</t>
  </si>
  <si>
    <t>The man resumes blow drying the woman's hair.</t>
  </si>
  <si>
    <t>The man sprays the woman's hair with hairspray.</t>
  </si>
  <si>
    <t>A row of hair care products is shown.</t>
  </si>
  <si>
    <t>A logo for hair care products is shown.</t>
  </si>
  <si>
    <t>v_46l7dmH8pCg</t>
  </si>
  <si>
    <t>A group of people are in the backyard of a house, playing croquette.</t>
  </si>
  <si>
    <t>A woman uses the mallet to hit the ball, then others join in.</t>
  </si>
  <si>
    <t>A man holding a mallet and ball talks about the process of how to play the game, playing and hitting the ball and he explains it.</t>
  </si>
  <si>
    <t>He then puts his arms out at his sides.</t>
  </si>
  <si>
    <t>v_-Wmrg_0jxA8</t>
  </si>
  <si>
    <t>A circle is formed of several children who are talking and banging each other in the head with foam mallets.</t>
  </si>
  <si>
    <t>The other people laugh as they watch.</t>
  </si>
  <si>
    <t>v_3A26j50_awY</t>
  </si>
  <si>
    <t>We see a track with people standing around.</t>
  </si>
  <si>
    <t>We see a man with a javelin run.</t>
  </si>
  <si>
    <t>The man returns and we see another javelin thrower with him.</t>
  </si>
  <si>
    <t>A man in red and white runs down a track and performs a high jump.</t>
  </si>
  <si>
    <t>The camera is lowered and covered by a hand.</t>
  </si>
  <si>
    <t>v_FaDD5MyZj88</t>
  </si>
  <si>
    <t>A man is shown doing a jump in slow motion on a track several times back to back.</t>
  </si>
  <si>
    <t>The camera shows several different angles of the athlete jumping in a line as well as into the pit on sand.</t>
  </si>
  <si>
    <t>He performs several long jumps back to back and shows off his distance acquired.</t>
  </si>
  <si>
    <t>v_cxIfpBvuk0E</t>
  </si>
  <si>
    <t>A girl is lighting a cigarette and blowing smoke.</t>
  </si>
  <si>
    <t>An arm comes into view and the girl smells it.</t>
  </si>
  <si>
    <t>She smokes some more and blows smoke as she plays with her hair.</t>
  </si>
  <si>
    <t>She is saying something to the camera as she smokes.</t>
  </si>
  <si>
    <t>She thumps her ashes and continues to smoke.</t>
  </si>
  <si>
    <t>She turns around and then back to smoking.</t>
  </si>
  <si>
    <t>She sticks her tongue out.</t>
  </si>
  <si>
    <t>She pans over to a picture of a crazy looking woman and tries to imitate it.</t>
  </si>
  <si>
    <t>She continues to smoke and talk to the camera.</t>
  </si>
  <si>
    <t>She makes faces at the camera.</t>
  </si>
  <si>
    <t>She gets up close to the camera as someone walks behind her.</t>
  </si>
  <si>
    <t>v_uLT7PmD_AJA</t>
  </si>
  <si>
    <t>A person's hands are seen working on the head of a human and placing pieces of hair into the head.</t>
  </si>
  <si>
    <t>The person ties the hair into several braids and then transitions into pictures of the hair in an updo.</t>
  </si>
  <si>
    <t>v_a5R0qO5NynU</t>
  </si>
  <si>
    <t>A woman does hula hoops outside and then in the dark alternating.</t>
  </si>
  <si>
    <t>A man takes a hula hoop and describes it before cutting back to the woman.</t>
  </si>
  <si>
    <t>v_sC_hs-OXERg</t>
  </si>
  <si>
    <t>A man is seen bending over a block of wood and sanding it own.</t>
  </si>
  <si>
    <t>He pours out more liquids in front of a group of people and rubs it all along the block of wood.</t>
  </si>
  <si>
    <t>He continues rubbing it down while people on the sidelines watch.</t>
  </si>
  <si>
    <t>v_pcaPtKtS03E</t>
  </si>
  <si>
    <t>A close up of a christmas tree is shown followed by a young child hanging up ornaments.</t>
  </si>
  <si>
    <t>The girl walks back and fourth hanging up ornaments all over a tree.</t>
  </si>
  <si>
    <t>The girl continues to hang up ornaments while the camera captures her movements.</t>
  </si>
  <si>
    <t>v_z4_OuffZPAo</t>
  </si>
  <si>
    <t>A man peels a potato while blindfolded and two little girls watch.</t>
  </si>
  <si>
    <t>The man finishes and holds up the potato to the camera.</t>
  </si>
  <si>
    <t>The man picks up a peel off the table.</t>
  </si>
  <si>
    <t>the man removes his blindfold.</t>
  </si>
  <si>
    <t>v_VuEy38XdUgA</t>
  </si>
  <si>
    <t>The video starts with several people playing shuffleboard on a shuffleboard court.</t>
  </si>
  <si>
    <t>One person makes a shot with a black puck.</t>
  </si>
  <si>
    <t>The next person makes a shot with a yellow puck.</t>
  </si>
  <si>
    <t>The people continue to alternate shots between a yellow and a black puck.</t>
  </si>
  <si>
    <t>v_pOO6H6d5SXI</t>
  </si>
  <si>
    <t>An elderly man is seated in the living room.</t>
  </si>
  <si>
    <t>He is playing an accordian.</t>
  </si>
  <si>
    <t>He continues playing the accordian for the camera.</t>
  </si>
  <si>
    <t>v_6_XA3oKwwzU</t>
  </si>
  <si>
    <t>A woman is playing an acoustic guitar.</t>
  </si>
  <si>
    <t>A woman standing next to her is dancing and twirling a baton.</t>
  </si>
  <si>
    <t>v_9nh_6Hzg_aw</t>
  </si>
  <si>
    <t>A person is shown looking around a city and begins washing windows with his tools.</t>
  </si>
  <si>
    <t>He goes up and down the windows at a rapid pace and continues filming himself through the glass.</t>
  </si>
  <si>
    <t>He finishes the glass in record time and turns off the camera.</t>
  </si>
  <si>
    <t>v_o5j6N8O6HS4</t>
  </si>
  <si>
    <t>One man is explaining to another man how to use a rowing machine.</t>
  </si>
  <si>
    <t>One of the main starts to row on the rowing machine before the other.</t>
  </si>
  <si>
    <t>Next, the other man joins the first man and starts to row.</t>
  </si>
  <si>
    <t>v_GlAEgSWM2nQ</t>
  </si>
  <si>
    <t>A man in shorts is shown in front of some bushes and is trimming them with a manual trimmer.</t>
  </si>
  <si>
    <t>He is being very precise and going a very detailed job.</t>
  </si>
  <si>
    <t>He goes up and down the length of the bushes and is paying attention to every part of them.</t>
  </si>
  <si>
    <t>He then moves higher and higher getting the very top of the bush.</t>
  </si>
  <si>
    <t>v_3fg_CB3rBSk</t>
  </si>
  <si>
    <t>kids are in a park around a squarepants bob sponge piñata pulling threads.</t>
  </si>
  <si>
    <t>woman is behind playground holding a bag and watching the kids.</t>
  </si>
  <si>
    <t>woman holds the piñata while kids keep pulling from the piñata.</t>
  </si>
  <si>
    <t>kid pulls the thread and opn the piñata and kneel in the floor picking up candies.</t>
  </si>
  <si>
    <t>v_hV_Ud3zrAnA</t>
  </si>
  <si>
    <t>Several people are seen jumping roping with one another as well as on their own as others watch on the side.</t>
  </si>
  <si>
    <t>The people performing several jumps and spins with the jump rope as well as shots that are shown in slow motion.</t>
  </si>
  <si>
    <t>v_OeIQ0P0FCCg</t>
  </si>
  <si>
    <t>A person sitting on a bicycle is seen sitting before a track start with others and leads into him completing a race.</t>
  </si>
  <si>
    <t>Several more shots are shown of people racing all together as well as the man riding around and others recording him.</t>
  </si>
  <si>
    <t>v_0BXBfSWIR2k</t>
  </si>
  <si>
    <t>A wind surfer surfs against heavy waves.</t>
  </si>
  <si>
    <t>The surfer flings his board against a wave, flying high into the air.</t>
  </si>
  <si>
    <t>The surfer lands back on the waters and resumes his surf.</t>
  </si>
  <si>
    <t>v_PBZScfP9ynI</t>
  </si>
  <si>
    <t>A woman is doing kickboxing in front of a mirrored wall.</t>
  </si>
  <si>
    <t>She high kicks her legs into the air.</t>
  </si>
  <si>
    <t>She alternates the kicks with punches.</t>
  </si>
  <si>
    <t>v_PFYk8lhE7-0</t>
  </si>
  <si>
    <t>A man is outside with a large metal box.</t>
  </si>
  <si>
    <t>Another man is sanding a wall and ceiling inside a building.</t>
  </si>
  <si>
    <t>They then sand the floors.</t>
  </si>
  <si>
    <t>v__Z71mu4aQy4</t>
  </si>
  <si>
    <t>A cricket player hits a ball that is pitched.</t>
  </si>
  <si>
    <t>A player makes a diving catch in the outfield.</t>
  </si>
  <si>
    <t>The player smiles and is a good sport.</t>
  </si>
  <si>
    <t>v_-z0ZvJD9gY4</t>
  </si>
  <si>
    <t>A young man is seen spraying down a dog with water in the middle of an alleyway while the dog moves away from the water.</t>
  </si>
  <si>
    <t>The person continues spraying the dog with the hose and standing waiting for the dog.</t>
  </si>
  <si>
    <t>v_mQoYAZ2BLDM</t>
  </si>
  <si>
    <t>Two people arm wrestle in a competition.</t>
  </si>
  <si>
    <t>The losers arm is hurt.</t>
  </si>
  <si>
    <t>v_-y8LMGQt8uI</t>
  </si>
  <si>
    <t>A group of people are seen going up and down snowy mountains on skis and in ski cars.</t>
  </si>
  <si>
    <t>A view is then seen of the snowy mountains with a bridge in front.</t>
  </si>
  <si>
    <t>v_CBN0dqyWB7w</t>
  </si>
  <si>
    <t>A man is seen kneeling down next to a car while speaking to the camera.</t>
  </si>
  <si>
    <t>The camera pans all around the car as well as the tire while the man continues to speak to the camera.</t>
  </si>
  <si>
    <t>v_XkVicWlqTV4</t>
  </si>
  <si>
    <t>A man serves a ball in a beach volleyball game, then he run on front the net to receive the ball while people watch the game in a beach.</t>
  </si>
  <si>
    <t>A serves a ball and plays while people watch the game in a beach.</t>
  </si>
  <si>
    <t>v_u_G3ZPXU35A</t>
  </si>
  <si>
    <t>A pair of french doors is shown on a house.</t>
  </si>
  <si>
    <t>A man demonstrates how to clean the glass in the windows of the doors.</t>
  </si>
  <si>
    <t>He scrubs them with a cloth, wiping them clean.</t>
  </si>
  <si>
    <t>He continues going down one door, cleaning each individual window.</t>
  </si>
  <si>
    <t>v_aj1ole7T9hc</t>
  </si>
  <si>
    <t>A woman is mowing a lawn, pushing the mower back and forth.</t>
  </si>
  <si>
    <t>She covers half the lawn and driveway before the video ends.</t>
  </si>
  <si>
    <t>v_cK1ssoaX768</t>
  </si>
  <si>
    <t>A group of men plays soccer in a sand area.</t>
  </si>
  <si>
    <t>A crowd watches from the the stands.</t>
  </si>
  <si>
    <t>A goalie tries to block a ball and does the splits but misses the ball.</t>
  </si>
  <si>
    <t>v_br8Ao_UBEZA</t>
  </si>
  <si>
    <t>Two men enter the racquetball room.</t>
  </si>
  <si>
    <t>The two men start playing racquetball, running around the room trying to hit the ball.</t>
  </si>
  <si>
    <t>A man leaved the room and looks into the camera.</t>
  </si>
  <si>
    <t>v_iuEuMQUXLVw</t>
  </si>
  <si>
    <t>woman is standing in a kitchen and is eating a cake full of cream.</t>
  </si>
  <si>
    <t>a cake is in a pot on the counter, woman is speaking to the camera in the kitchen.</t>
  </si>
  <si>
    <t>cake mix is beat with a mixer, the woman keeps talking and mixing the cake.</t>
  </si>
  <si>
    <t>oil is in a pot.</t>
  </si>
  <si>
    <t>woman holds a green pot full of sand and its putted on the pressure cooker.</t>
  </si>
  <si>
    <t>put the mixer on the oily pot.</t>
  </si>
  <si>
    <t>the pression mix is open and then closed while the woman keeps talking in the kitchen, after a ime she open the pot and the cake is ready.</t>
  </si>
  <si>
    <t>a decorated cake is shown and the cakes along the pression pot.</t>
  </si>
  <si>
    <t>v_c7Rxe5IzUQw</t>
  </si>
  <si>
    <t>A black and white video shows two people in a bedroom, playing guitars.</t>
  </si>
  <si>
    <t>They continue throughout the video, shaking somewhat as they play.</t>
  </si>
  <si>
    <t>v_KU4twxFnX5Q</t>
  </si>
  <si>
    <t>A group of runners walk down a dirt path.</t>
  </si>
  <si>
    <t>They begin running, being passed by cars as they go.</t>
  </si>
  <si>
    <t>They continue running through the town together.</t>
  </si>
  <si>
    <t>v_AOBkrb8yYS4</t>
  </si>
  <si>
    <t>A close up of a ball is shown followed by a person hitting the ball in several locations.</t>
  </si>
  <si>
    <t>The man continues to demonstrate how to hit the ball in various angles as well as kneeling on the ground to shoot.</t>
  </si>
  <si>
    <t>v_ZlHaPkhGr_g</t>
  </si>
  <si>
    <t>There's a girl with long brown hair playing the harmonica in a hospital elevator.</t>
  </si>
  <si>
    <t>The elevator door opens and several people enter the elevator.</t>
  </si>
  <si>
    <t>She continues playing her harmonica.</t>
  </si>
  <si>
    <t>There's a young boy and his mother who smile at the lady as she plays.</t>
  </si>
  <si>
    <t>Then they get off the elevator when they reach their level.</t>
  </si>
  <si>
    <t>The lady continues playing the harmonica as the elevator moves further and stops at other levels and more people walk in.</t>
  </si>
  <si>
    <t>People continue to get on and off the elevator but she continues to play her harmonica.</t>
  </si>
  <si>
    <t>A person enters the elevator with a man on a stretcher along with some other people.</t>
  </si>
  <si>
    <t>They smile at her and compliment her.</t>
  </si>
  <si>
    <t>They get off the elevator when they reach their desired level in the hospital.</t>
  </si>
  <si>
    <t>v_An_CpsJkJMM</t>
  </si>
  <si>
    <t>A toddler wash his hands in the sink.</t>
  </si>
  <si>
    <t>Then, the toddler splash water on his face and smile.</t>
  </si>
  <si>
    <t>The toddled puts water on his face, and then moves his head.</t>
  </si>
  <si>
    <t>v_e07y3QI4Kbg</t>
  </si>
  <si>
    <t>Two people are seen arm wrestling with one another while one man holds their hands.</t>
  </si>
  <si>
    <t>The men then continue to wrestle with one slamming the other's hand down.</t>
  </si>
  <si>
    <t>v_tA4KrZHGoYQ</t>
  </si>
  <si>
    <t>A group of people are seen huddled around and leads into a group of them riding down a river with one man's help.</t>
  </si>
  <si>
    <t>The ride continuously down the river bumping into rocks along the way and leads to them walking out on the side.</t>
  </si>
  <si>
    <t>Finally a picture of them all together in shown in the end.</t>
  </si>
  <si>
    <t>v_-1CEVKeAyA8</t>
  </si>
  <si>
    <t>An older woman is seen sitting in a chair knitting while holding two needles and leads into her showing off her knitting basket and speaking to the camera.</t>
  </si>
  <si>
    <t>The woman continues speaking while holding the knitting tools and ends by fading to black.</t>
  </si>
  <si>
    <t>v_5aMigcn2cU8</t>
  </si>
  <si>
    <t>A group of two women and two men pose together.</t>
  </si>
  <si>
    <t>They are then shown performing an art exercise called zumba inside a building.</t>
  </si>
  <si>
    <t>They dance back and forth in unison, then are shown posing together at the end as musical notes float across the screen.</t>
  </si>
  <si>
    <t>v_IBkHS9Zl2z8</t>
  </si>
  <si>
    <t>A man in a brown coat and hat is shoveling the snow from his driveway.</t>
  </si>
  <si>
    <t>Pictures of the man are being shown.</t>
  </si>
  <si>
    <t>The man gets out a snowblower and starts snowblowing his driveway.</t>
  </si>
  <si>
    <t>A woman in a blue coat is talking.</t>
  </si>
  <si>
    <t>The man continues snowblowing before talking to the camera.</t>
  </si>
  <si>
    <t>v_-UfNSW7yeSo</t>
  </si>
  <si>
    <t>A person welds a seam of a large metal pipe wearing protective mask.</t>
  </si>
  <si>
    <t>The person peers through a tiny hole in a piece of metal.</t>
  </si>
  <si>
    <t>The man finishes the weld and the seam is seen glowing red hot.</t>
  </si>
  <si>
    <t>A man taps the finished welled with a metal file.</t>
  </si>
  <si>
    <t>v_vNzTWjEFr-Y</t>
  </si>
  <si>
    <t>The video shows a person's hand holding up an acoustic guitar.</t>
  </si>
  <si>
    <t>The Yamaha case of the guitar is also shown.</t>
  </si>
  <si>
    <t>A young man is seen playing his acoustic guitar.</t>
  </si>
  <si>
    <t>He is strumming his guitar to a tune.</t>
  </si>
  <si>
    <t>v_7e035QnLp0c</t>
  </si>
  <si>
    <t>A man is seen in several locations walking along a long rope tied to two trees.</t>
  </si>
  <si>
    <t>The man continues performing several variations on how to walk on the rope as well as jumping up and down and continuing to walk.</t>
  </si>
  <si>
    <t>v_99PtaOQbBIY</t>
  </si>
  <si>
    <t>Several cats are shown sitting around followed by a man speaking to the camera.</t>
  </si>
  <si>
    <t>More shots are shown of cars and leads into a woman cutting a cat's claws.</t>
  </si>
  <si>
    <t>Several products are shown laid out as well as several people holding cats and cutting their nails.</t>
  </si>
  <si>
    <t>v_VoQ2VhCqir0</t>
  </si>
  <si>
    <t>men is holding a bucket and is standing in the oof of a house and its working on it.</t>
  </si>
  <si>
    <t>man is doing the mix in a bucket in a floor and in the roof again.</t>
  </si>
  <si>
    <t>v_I-vi5EpjrFI</t>
  </si>
  <si>
    <t>Text is shown across the screen leading into two women speaking to one another.</t>
  </si>
  <si>
    <t>One takes a sip of mouth wash and spits it into the sink.</t>
  </si>
  <si>
    <t>She hands the container back to the woman who turns to speak to the camera.</t>
  </si>
  <si>
    <t>v_6eQuZddoEcI</t>
  </si>
  <si>
    <t>Three athletes perform hammer throws at a professional sports event in front of an audience in bleachers and score keepers.</t>
  </si>
  <si>
    <t>A man spins a hammer throw sports hammer around and around again at a professional sports event and then lets it go to fly into a field surrounded by an audience in bleachers.</t>
  </si>
  <si>
    <t>The athlete walks away and looks disappointed as a scoreboard reveals the score.</t>
  </si>
  <si>
    <t>Two more athletes perform the same sport in the same way both letting the hammer fly in the air.</t>
  </si>
  <si>
    <t>A final scoreboard displays showing hammer throw scores.</t>
  </si>
  <si>
    <t>v_4l8r_wBuJ6Y</t>
  </si>
  <si>
    <t>A man is wearing a yellow vest.</t>
  </si>
  <si>
    <t>He is standing in front of a building cleaning a window.</t>
  </si>
  <si>
    <t>A person is seen looking out one of the windows.</t>
  </si>
  <si>
    <t>v_g0RK-2ydod0</t>
  </si>
  <si>
    <t>A chef is seen standing before a table with various objects laid out and pulling a piece of food out of pot.</t>
  </si>
  <si>
    <t>He shows the object to the camera and begins peeling it out into a bowl.</t>
  </si>
  <si>
    <t>The person then cuts up the food and continues peeling more into a pot.</t>
  </si>
  <si>
    <t>v_TjDlEonao3s</t>
  </si>
  <si>
    <t>There's a woman doing a tutorial on how to use a curling iron on a model's hair.</t>
  </si>
  <si>
    <t>She takes sections of the model's hair one at time and puts it into the curling iron and then releases it gradually to pull out the curls.</t>
  </si>
  <si>
    <t>She continues the process till the entire head of hair is curled with the iron.</t>
  </si>
  <si>
    <t>The model then smiles and takes a selfie while looking in the mirror.</t>
  </si>
  <si>
    <t>v_wfSh2F8ymIg</t>
  </si>
  <si>
    <t>A camera shows a person's feet riding down a snow mountain while spinning around in circles.</t>
  </si>
  <si>
    <t>The person continues spinning down the hill while a large crowd watches on the side and a young boy jumps up at the bottom.</t>
  </si>
  <si>
    <t>v_1opIvQF0m_M</t>
  </si>
  <si>
    <t>A person on a skateboard moves over and ramp and up on a corner.</t>
  </si>
  <si>
    <t>The camera shows him doing various moves and interviewing the camera.</t>
  </si>
  <si>
    <t>Another man rides a wakeboard doing and tricks and eventually falls.</t>
  </si>
  <si>
    <t>Several other clips are shown of people kayaking doing several stunts while the camera records.</t>
  </si>
  <si>
    <t>v_soeRPsbkfas</t>
  </si>
  <si>
    <t>A man is shown doing several different long jumps back to back while the camera captures him.</t>
  </si>
  <si>
    <t>He swings his arms around to demonstrate a proper move followed by several more jumps.</t>
  </si>
  <si>
    <t>v_YonmpJvwmKM</t>
  </si>
  <si>
    <t>A man is pictured next to an ad for yoga.</t>
  </si>
  <si>
    <t>He is standing in a forest, making slow and graceful yoga moves.</t>
  </si>
  <si>
    <t>He stands on a platform, continuing the graceful movements.</t>
  </si>
  <si>
    <t>We then see him again in the woods, still performing yoga quietly.</t>
  </si>
  <si>
    <t>v_ComW-O6dMW4</t>
  </si>
  <si>
    <t>These two men are shown spraying the exterior of the black car with soap.</t>
  </si>
  <si>
    <t>Then they started hand washing the car using their hands and a towel.</t>
  </si>
  <si>
    <t>They scrubbed almost everywhere to make the black turn into shine.</t>
  </si>
  <si>
    <t>v_CIPSw35iF3k</t>
  </si>
  <si>
    <t>A person is slicing a potato.</t>
  </si>
  <si>
    <t>They stack up the potato slices and start chopping them into tiny pieces.</t>
  </si>
  <si>
    <t>He sets the pieces on a plate sitting in a sink.</t>
  </si>
  <si>
    <t>There is plates of food in the sink.</t>
  </si>
  <si>
    <t>He empties the plates into a pot.</t>
  </si>
  <si>
    <t>He stirs everything in the pot together.</t>
  </si>
  <si>
    <t>He then takes a scoop of that and puts it on a plate with vegetables on it.</t>
  </si>
  <si>
    <t>He tops it with garnishments.</t>
  </si>
  <si>
    <t>v_9wMEbyzxNHI</t>
  </si>
  <si>
    <t>men are talking to the camera sitting in a chair.</t>
  </si>
  <si>
    <t>men taking off their glasses and shave the half of their faces while a woman is putting some makeup on them, doing their eyebrows and putting some eyeliner and lashes.</t>
  </si>
  <si>
    <t>men look at them in the mirror with the half way of the face with makeup and the oher half without makeup and are talking to the camera.</t>
  </si>
  <si>
    <t>v_jCNaa108OhI</t>
  </si>
  <si>
    <t>People shovels the snow using a wheeled snow shovel.</t>
  </si>
  <si>
    <t>Then, a man demonstrates how to shovel the snow, the he uses a bag.</t>
  </si>
  <si>
    <t>v_dY2iZq5T0zo</t>
  </si>
  <si>
    <t>A group of people are riding horses and playing polo.</t>
  </si>
  <si>
    <t>They fight over the ball in front of the watching crowd.</t>
  </si>
  <si>
    <t>When it's over, they pose for pictures outside the rodeo and stadium.</t>
  </si>
  <si>
    <t>v_Qyruw9480BU</t>
  </si>
  <si>
    <t>A lady in a pink shirt stands in a laundry room talking to the camera.</t>
  </si>
  <si>
    <t>The camera zooms out to show us the whole room.</t>
  </si>
  <si>
    <t>The lady shows us a spray bottle and shakes it up.</t>
  </si>
  <si>
    <t>The lady then speaks to the camera.</t>
  </si>
  <si>
    <t>v_lEYr4d4vBWc</t>
  </si>
  <si>
    <t>A close up of a wall is shown followed by several clips of men opening a window.</t>
  </si>
  <si>
    <t>They're also seen working on a roof and putting tiles down on the side.</t>
  </si>
  <si>
    <t>They put in a window and end by closing up.</t>
  </si>
  <si>
    <t>v_3ZJQHfrfR2M</t>
  </si>
  <si>
    <t>A man is cleaning leaves off a sidewalk with a broom and a shovel.</t>
  </si>
  <si>
    <t>The man sweeps the leaves in a circle and puts them in the bin.</t>
  </si>
  <si>
    <t>A yellow bus rides past the man.</t>
  </si>
  <si>
    <t>The man sweeps again and puts the leaves in the bin.</t>
  </si>
  <si>
    <t>v_1ErQKcUju8o</t>
  </si>
  <si>
    <t>A tutorial is presented on how to do simple ballet moves.</t>
  </si>
  <si>
    <t>After showing the materials, the teacher touches the student to show perfect form.</t>
  </si>
  <si>
    <t>v_fBov3cwPEho</t>
  </si>
  <si>
    <t>We see a man and a baby decorating a Christmas tree.</t>
  </si>
  <si>
    <t>The baby takes a blue bulb off the tree.</t>
  </si>
  <si>
    <t>The dad puts it back and the baby takes it again.</t>
  </si>
  <si>
    <t>The child turns towards the camera and the dad walks to a counter.</t>
  </si>
  <si>
    <t>The child drops the blue bulb and goes for another.</t>
  </si>
  <si>
    <t>The child adds another blue bulb to the tree.</t>
  </si>
  <si>
    <t>The camera pans up to show the tree and then shows the stockings.</t>
  </si>
  <si>
    <t>v_jbSBQL08VHA</t>
  </si>
  <si>
    <t>A man is seen speaking to the camera and working on a bike followed by him pulling chains and spinning wheels on the bike.</t>
  </si>
  <si>
    <t>He peddles the bike and shows the tire spinning again, ending with him tightening the tire and spinning it once more.</t>
  </si>
  <si>
    <t>v_tS-MHCJKMgM</t>
  </si>
  <si>
    <t>A welding specialist from Tulsa Welding School is demonstrating how to weld.</t>
  </si>
  <si>
    <t>He explains the techniques of welding with the help of welder wearing protective gear and mask, using the blow torch.</t>
  </si>
  <si>
    <t>v_WVaYjd1F8kg</t>
  </si>
  <si>
    <t>A person cuts a pepper and put in a bowl.</t>
  </si>
  <si>
    <t>Also, the person cook noodles in a pot.</t>
  </si>
  <si>
    <t>Then, the person fry mushrooms in a pan, add salt, garlic, tomatoes and roots.</t>
  </si>
  <si>
    <t>After, the person add the pepper and the noodles, mix and serves.</t>
  </si>
  <si>
    <t>v_sCCJpFKVV8g</t>
  </si>
  <si>
    <t>A woman is seen bending over a table with a tattoo artist rubbing her back from behind and grabbing a tattoo needle.</t>
  </si>
  <si>
    <t>The woman then begins tattooing the back of the woman while the camera pans around from various angles.</t>
  </si>
  <si>
    <t>v_moqRG7uwZ4Q</t>
  </si>
  <si>
    <t>A view of a leaf blower lays on the ground in a yard.</t>
  </si>
  <si>
    <t>The leaf blower blows brown dried up leaves using the leaf blower.</t>
  </si>
  <si>
    <t>The leaves are blown away from some lawn furniture and blown towards the middle of the yard.</t>
  </si>
  <si>
    <t>v_B-lmXhRr6bE</t>
  </si>
  <si>
    <t>A large black item is drawn on a long sheet of white paper.</t>
  </si>
  <si>
    <t>A person uses a brush to continue the painting.</t>
  </si>
  <si>
    <t>They add leaves, creating a black plant.</t>
  </si>
  <si>
    <t>v_VLmZ3M3wSbo</t>
  </si>
  <si>
    <t>A young man is seen holding his eye open in front of a mirror and attempting to put a contact lens in.</t>
  </si>
  <si>
    <t>He drops the lens on the sink and again tries to put the contact into his eye.</t>
  </si>
  <si>
    <t>He drops the lens again and continues trying to put it into his eye and the camera moves around in the end.</t>
  </si>
  <si>
    <t>v_ti3EHJLR2mU</t>
  </si>
  <si>
    <t>The video is a tutorial on how to make Alfredo sauce pasta.</t>
  </si>
  <si>
    <t>A lady with blond hair wearing a maroon tank top is demonstrating how to boil water to make bow-tie pasta.</t>
  </si>
  <si>
    <t>She then strains the pasta out in a bowl by throwing out the excess water.</t>
  </si>
  <si>
    <t>Then she takes a stick of butter and cuts it and adds to a saucepan.</t>
  </si>
  <si>
    <t>then she adds some milk and cheese to it and stirs it in with the cooked pasta.</t>
  </si>
  <si>
    <t>She adds some more milk and cheese to the pasta to make the sauce.</t>
  </si>
  <si>
    <t>She continues stirring the pasta in the saucepan.</t>
  </si>
  <si>
    <t>She serves the pasta in a square brown plate and takes a spoonful of the pasta to taste it.</t>
  </si>
  <si>
    <t>She is happy with the way it turned out.</t>
  </si>
  <si>
    <t>v_LDjomH0-hYA</t>
  </si>
  <si>
    <t>A woman wearing a dress is dancing on a stage.</t>
  </si>
  <si>
    <t>Smoke is pumped out onto the stage behind her.</t>
  </si>
  <si>
    <t>She bows at the end and steps back.</t>
  </si>
  <si>
    <t>v_f9Bo4yVcnDE</t>
  </si>
  <si>
    <t>A man wearing a black coat is chopping a piece of wood with an ax.</t>
  </si>
  <si>
    <t>He tries again and chops it again.</t>
  </si>
  <si>
    <t>He moves the stump and tries to chop it again.</t>
  </si>
  <si>
    <t>He continues to chop the wood.</t>
  </si>
  <si>
    <t>v_I7Sole68Gag</t>
  </si>
  <si>
    <t>Swimmers are swimming to one side of the pool and then they stop briefly.</t>
  </si>
  <si>
    <t>Some swimmers on the side lines are watching them.</t>
  </si>
  <si>
    <t>They start throwing a ball back and forth around.</t>
  </si>
  <si>
    <t>A man in the corner of the pool tries to catch the ball and misses it.</t>
  </si>
  <si>
    <t>v_hSYfK-W2UJQ</t>
  </si>
  <si>
    <t>A woman talks, facing the camera while holding two dumbbells and then demonstrates a spin cycle exercise in front of a class in a gym.</t>
  </si>
  <si>
    <t>A woman stands and talks while facing the the camera, in a gym, with a wall of mirrors to her side and several people behind her standing near various pieces of gym equipment.</t>
  </si>
  <si>
    <t>The woman, now wearing a headset with a mic attached to the mouthpiece, starts cycling very fast on a spin cycle machine in front of a mirror with a class of people behind her who are also on spin cycle machines.</t>
  </si>
  <si>
    <t>The woman then lifts dumbbells with her arms while standing, lifts dumbbells while sitting on the floor and then returns to the spin cycle machine before the scene fades to black.</t>
  </si>
  <si>
    <t>v_MYzG-TsW8w8</t>
  </si>
  <si>
    <t>Four men are outside in a field throwing a baseball to each other.</t>
  </si>
  <si>
    <t>A ball then rolls into a pond and a little boy grabs it and throws it.</t>
  </si>
  <si>
    <t>The scene moves to a playground and the boys begin going down the slide.</t>
  </si>
  <si>
    <t>More kids are shown and they are doing various activities as they play such as the see saw,monkey bars and swings.</t>
  </si>
  <si>
    <t>On the side,a boy begins pumping his tire and a small baby is shown bathing in a basin.</t>
  </si>
  <si>
    <t>v_7rvrBulkd5c</t>
  </si>
  <si>
    <t>An exercise instructor is explaining the step.</t>
  </si>
  <si>
    <t>She steps up on it and begins to show the exercises.</t>
  </si>
  <si>
    <t>She goes in front of it and shows more exercises, stepping up and down and raising her arms as she steps.</t>
  </si>
  <si>
    <t>She stops and explains more.</t>
  </si>
  <si>
    <t>She turns back to the step and begins more advances steps.</t>
  </si>
  <si>
    <t>She stops for moment and shows the fast step again.</t>
  </si>
  <si>
    <t>v_upic9S0oEhg</t>
  </si>
  <si>
    <t>Two men play a song on a guitars together in a dimly lit room.</t>
  </si>
  <si>
    <t>Ones down to play the acoustic guitar.</t>
  </si>
  <si>
    <t>v_bOULU-0Nloc</t>
  </si>
  <si>
    <t>In a sped up mode an elderly man walks to the front of a house and grabs a blue snow plow.</t>
  </si>
  <si>
    <t>Continuing in the sped up mode, the man begins to plow snow to make a path.</t>
  </si>
  <si>
    <t>The man then moves the camera view and plows the snow in a different area that is fenced in.</t>
  </si>
  <si>
    <t>The man grabs the camera, points to the plow and then pans to the different areas of the yard.</t>
  </si>
  <si>
    <t>The man then goes indoors to show a messy and cluttered workshop filled with tools and supplies.</t>
  </si>
  <si>
    <t>The man goes back outside, shows his dog and walks around his yard, puts his dog down and the dog runs back to the workshop and pushes the door open.</t>
  </si>
  <si>
    <t>v_fllAtkXf7pw</t>
  </si>
  <si>
    <t>A lady sits back, talks, and drinks coffee.</t>
  </si>
  <si>
    <t>Credits of the clip are shown.</t>
  </si>
  <si>
    <t>v_QinlLV8QKBU</t>
  </si>
  <si>
    <t>A old man puts salt to bowling water in a pot, then he adds pasta and let cook for one minute.</t>
  </si>
  <si>
    <t>Then, the man turns off the stove and puts on the pot a cloth and a lid and let it for 10 min.</t>
  </si>
  <si>
    <t>After, the man drains the pasta in the sink.</t>
  </si>
  <si>
    <t>A woman comes and taste the cooked pasta and gives a thump up.</t>
  </si>
  <si>
    <t>v_ksvIIhvmSRM</t>
  </si>
  <si>
    <t>A man is seen sitting in a tube speaking and leads into people walking around carrying tubes.</t>
  </si>
  <si>
    <t>Shots of the water is shown followed by people riding down a river on the tubes.</t>
  </si>
  <si>
    <t>The people continue to ride down one after the other while people watch on the side.</t>
  </si>
  <si>
    <t>v_9RcCkU6dVD0</t>
  </si>
  <si>
    <t>A girl hits a pinata with an orange, toy bat.</t>
  </si>
  <si>
    <t>The bat falls and the girl picks it up.</t>
  </si>
  <si>
    <t>Behind her, a boy demonstrates how she should hit and cheers her on.</t>
  </si>
  <si>
    <t>v_TL7hwQauhFo</t>
  </si>
  <si>
    <t>In an indoor court teams of men are playing soccer while audience sits in the stadium.</t>
  </si>
  <si>
    <t>The team in black is trying to prevent the other team in red from scoring, the goalie blocks the score.</t>
  </si>
  <si>
    <t>They run up and down the court trying to score and keep the other from scoring.</t>
  </si>
  <si>
    <t>The red team scores and it's 1-1, they continue back on the court til the game is over.</t>
  </si>
  <si>
    <t>v_H2l7GraYFhI</t>
  </si>
  <si>
    <t>A band plays on a stage.</t>
  </si>
  <si>
    <t>A man in a suit plays the saxophone up front wearing sunglasses.</t>
  </si>
  <si>
    <t>v_BV4zqyN8hLs</t>
  </si>
  <si>
    <t>Various clips are shown of a man wake boarding and doing flips followed by him sitting on a boat and speaking to the camera.</t>
  </si>
  <si>
    <t>Several more shots of him riding and speaking are shown as well as a blonde woman also wake boarding.</t>
  </si>
  <si>
    <t>The two ride along the water together while the man continues to speak to the camera.</t>
  </si>
  <si>
    <t>v_ApH2nZIq2tU</t>
  </si>
  <si>
    <t>A band appears, walking down the street and across a field as they play for a crowd.</t>
  </si>
  <si>
    <t>Words appear on the screen talking about celebrating March 4th with a parade.</t>
  </si>
  <si>
    <t>v_d14twk9O2Vw</t>
  </si>
  <si>
    <t>An introduction comes onto the screen for a video about a tour for a band.</t>
  </si>
  <si>
    <t>They are shown getting haircuts in a barbershop and commentating about the haircut.</t>
  </si>
  <si>
    <t>They are also shown jamming out in a session with several people dancing around and having a good time.</t>
  </si>
  <si>
    <t>v_8OA30kYcAUQ</t>
  </si>
  <si>
    <t>A man rakes brown leaves in a lawn.</t>
  </si>
  <si>
    <t>The man puts the leaves in a trashcan.</t>
  </si>
  <si>
    <t>The man stops and moves the trashcan.</t>
  </si>
  <si>
    <t>The man pulls out a black object from his pocket and presents it.</t>
  </si>
  <si>
    <t>The man screws the black object at the end of the rake handle.</t>
  </si>
  <si>
    <t>The man moves the trashcan and rakes.</t>
  </si>
  <si>
    <t>The man stop raking, walks toward a tree, and hangs the rake on the tree.</t>
  </si>
  <si>
    <t>The man removes a pair of rakes for the tree and lifts it above his head.</t>
  </si>
  <si>
    <t>The man uses the dual rakes to pick up the leaves and put them into the trashcan.</t>
  </si>
  <si>
    <t>The man lifts the dual rakes above his head and then pairs them together.</t>
  </si>
  <si>
    <t>The man takes the paired rakes back to the tree where he hangs them on a branch.</t>
  </si>
  <si>
    <t>v_0vJfctL116Y</t>
  </si>
  <si>
    <t>A woman in a white apron is slicing lettuce on a board.</t>
  </si>
  <si>
    <t>She dries and cuts some cucumbers to put in a bowl of salad.</t>
  </si>
  <si>
    <t>She tosses the salad with her hands.</t>
  </si>
  <si>
    <t>She grabs a bottle of vinegar and pours it on top of the salad.</t>
  </si>
  <si>
    <t>She opens a bottle with her teeth and pours that onto the salad too.</t>
  </si>
  <si>
    <t>She puts more dressing on the salad.</t>
  </si>
  <si>
    <t>A lady in the background is pulling saran wrap out.</t>
  </si>
  <si>
    <t>She continues tossing the salad and mixing the dressing into it.</t>
  </si>
  <si>
    <t>A woman behind her pours seasoning onto the salad.</t>
  </si>
  <si>
    <t>A woman holds the bowl up and shows the salad while smiling.</t>
  </si>
  <si>
    <t>The woman who tossed the salad is washing her hands off on a towel.</t>
  </si>
  <si>
    <t>v_BiZF6o-AU64</t>
  </si>
  <si>
    <t>A graphic plays that says "StuntsAmazing" with a link to their facebook page.</t>
  </si>
  <si>
    <t>A man shows off a variety of pool tricks on his pool table in his house.</t>
  </si>
  <si>
    <t>A graphic plays that says "Subscribe" and the video ends.</t>
  </si>
  <si>
    <t>v_Ke29p3rcs1k</t>
  </si>
  <si>
    <t>a room with a table without painting is shown and a emery is on top of it.</t>
  </si>
  <si>
    <t>man walks into a room and use the emery on the top of the table.</t>
  </si>
  <si>
    <t>man take out the glasses and cleans the disc of the emery.</t>
  </si>
  <si>
    <t>v_H-hgVm5G54Y</t>
  </si>
  <si>
    <t>We see a persons hand on the camera.</t>
  </si>
  <si>
    <t>A girl then shows us her brush.</t>
  </si>
  <si>
    <t>The girl uses the brush to brush her hair.</t>
  </si>
  <si>
    <t>She shows us her brush again.</t>
  </si>
  <si>
    <t>Her hand then covers the camera.</t>
  </si>
  <si>
    <t>v_G4tUTpJV-so</t>
  </si>
  <si>
    <t>An asian woman is seen kneeling on the floor.</t>
  </si>
  <si>
    <t>She rises very slowly, arms first.</t>
  </si>
  <si>
    <t>She does several martial arts moves for the camera.</t>
  </si>
  <si>
    <t>v_ZW3SKczQzJU</t>
  </si>
  <si>
    <t>A man is seen walking into a bathroom and looking through dirty toothbrushes.</t>
  </si>
  <si>
    <t>The person pours toothpaste out onto a brush and continuously brushes his teeth.</t>
  </si>
  <si>
    <t>He then brushes more and ends by rinsing his mouth out with mouth wash and showing off the sink.</t>
  </si>
  <si>
    <t>v_kOVQPyzXkUY</t>
  </si>
  <si>
    <t>A guy type walks on a rope while holding a selfie stick recording him self.</t>
  </si>
  <si>
    <t>the guy type walks across water on a rope that has a short distance from the dock to a boat edge while people watch.</t>
  </si>
  <si>
    <t>guy's also bounce and do tricks on a pink type rope as well.</t>
  </si>
  <si>
    <t>guy's try to type walk across the water but falls in and some make it across.</t>
  </si>
  <si>
    <t>v__I8sqYLhRKM</t>
  </si>
  <si>
    <t>Two girls are shown raking up leaves in a yard while continuously talking to the camera.</t>
  </si>
  <si>
    <t>The older girl shows the younger one how to rake while another girl stands by and watches on a nearby slide.</t>
  </si>
  <si>
    <t>The camera zooms in on the younger girl and watches her rake up the leaves.</t>
  </si>
  <si>
    <t>v_gx6QvOXwetM</t>
  </si>
  <si>
    <t>Two boys are kneeling in the grass cutting the grass with a pair of scissors.</t>
  </si>
  <si>
    <t>They grab some pieces and use the scissors to cut it up.</t>
  </si>
  <si>
    <t>Then throw the grass they cut back behind them.</t>
  </si>
  <si>
    <t>They are going at it kind of quickly, they seem like very bored little kids with nothing else to do.</t>
  </si>
  <si>
    <t>v_3J_-uEjb8UE</t>
  </si>
  <si>
    <t>A red and blue triple-A logo is pictured on a white screen and then the screen flashes to a big snow truck.</t>
  </si>
  <si>
    <t>Once the truck is gone,there are various people plowing through the snow in attempt to get it off of the roads and to clear a walkway.</t>
  </si>
  <si>
    <t>After,a young Black male begins to talk and illustrate the snow on the cars as he represents the Public relations aspect of triple A.</t>
  </si>
  <si>
    <t>As the man continues to talk,a man with of bucket of water is shown and there is no longer any water on his car.</t>
  </si>
  <si>
    <t>After awhile, another man is pictured shoveling snow off of his car and then getting inside to adjust the radio,suddenly,the man is back outside and is scraping off snow from every aspect of the car including, windows,exhaust pipes, windshields,and tail lights then the black male comes back and continues to talk.</t>
  </si>
  <si>
    <t>v_Y7yGeNl7POk</t>
  </si>
  <si>
    <t>A little girl jumps hopscotch in the street.</t>
  </si>
  <si>
    <t>The little girl turns and jumps hopscotch.</t>
  </si>
  <si>
    <t>v_fxlTN3mCWDA</t>
  </si>
  <si>
    <t>There are several passengers traveling in a subway train.</t>
  </si>
  <si>
    <t>Two of the passengers are seated on folding chairs and they're playing drums on bongos.</t>
  </si>
  <si>
    <t>They continue to play the bongos while the other passengers are busy doing their own thing.</t>
  </si>
  <si>
    <t>One young boy who is seated near the players is watching them play.</t>
  </si>
  <si>
    <t>The players continue playing the bongos and drumming on them.</t>
  </si>
  <si>
    <t>After they stop playing, one person applauds them.</t>
  </si>
  <si>
    <t>v_N0DA6RpIf5Y</t>
  </si>
  <si>
    <t>A man is raking leaves in a large yard.</t>
  </si>
  <si>
    <t>He uses the rake to push the leaves into piles.</t>
  </si>
  <si>
    <t>He continues to rake, clearing a path of dirt underneath.</t>
  </si>
  <si>
    <t>v_1R25VGmqS9o</t>
  </si>
  <si>
    <t>A team on the field running around playing lacrosse.</t>
  </si>
  <si>
    <t>Everyone is running after each other trying to make the goal.</t>
  </si>
  <si>
    <t>Everyone is running a lot trying to prevent the other team from scoring.</t>
  </si>
  <si>
    <t>The girl in the red looks like she almost makes it before running off.</t>
  </si>
  <si>
    <t>v_73LZVxxlJV8</t>
  </si>
  <si>
    <t>big skyscraper with a great view.</t>
  </si>
  <si>
    <t>men is cleaning the window on the outside hanging on the Scaffolding.</t>
  </si>
  <si>
    <t>v_DrEsyzI2u4c</t>
  </si>
  <si>
    <t>An athletic man is seen holding onto a piece of exercise equipment and kneeling while speaking to the camera.</t>
  </si>
  <si>
    <t>He continues speaking and begins moving his arms and body back and fourth.</t>
  </si>
  <si>
    <t>v_oNYC_3fcGg0</t>
  </si>
  <si>
    <t>The man is surfing on the waves and fall in the water.</t>
  </si>
  <si>
    <t>The man is surfing while other surfers are behind him.</t>
  </si>
  <si>
    <t>The surfer is surfing over the water and fell near the rocks.</t>
  </si>
  <si>
    <t>v_hvCYwmaukDw</t>
  </si>
  <si>
    <t>Men are dressed in soccer gear that have the PEPSI logo on their shirts and they are playing on a grassy field.</t>
  </si>
  <si>
    <t>Very large sumos start walking on the field with their own soccer ball in hand, and the soccer men approach them and the sumo points over to the PEPSI cooler filled with soda.</t>
  </si>
  <si>
    <t>The men and sumos begin a soccer game against one another and when a man tries to make a goal a sumo blocks the entire goal and in various other moves the sumo wins including a goal when a sumo fell and the soccer ball flew into the net.</t>
  </si>
  <si>
    <t>A man grabs a pepsi can and throws it to a sumo and all the sumos run to the cooler, drinks a pepsi, then they're shown walking off with the pepsi cooler.</t>
  </si>
  <si>
    <t>v_lnvsb4-71BQ</t>
  </si>
  <si>
    <t>A man is seen speaking to the camera while holding up several game of ping pong are played.</t>
  </si>
  <si>
    <t>The man continues hitting the ball while speaking to the camera and holding up ping pong tools.</t>
  </si>
  <si>
    <t>The man demonstrates how to properly hit the ball and move his body around and still hitting the ball.</t>
  </si>
  <si>
    <t>v_q2VG0zzPJMw</t>
  </si>
  <si>
    <t>There's a welder in a blue shirt wearing a yellow protective helmet, welding a large metal pipe in a workshop.</t>
  </si>
  <si>
    <t>There's another welder wearing a blue protective suit and white helmet welding a metal piece on a workshop table.</t>
  </si>
  <si>
    <t>He is welding the metal piece with precision in a horizontal manner.</t>
  </si>
  <si>
    <t>There's a welding machine showing how it works on melting metal at high temperature.</t>
  </si>
  <si>
    <t>v_gYchIiLd9Uw</t>
  </si>
  <si>
    <t>A young girl is seen sitting on a bed speaking to the camera and leads into her performing gymnastic tricks on a trampoline.</t>
  </si>
  <si>
    <t>More shots are shown of several girls performing various flips and tricks on a gym floor and ending with a group of girl doing cheerleading lifts.</t>
  </si>
  <si>
    <t>v_7-RbxFePrmU</t>
  </si>
  <si>
    <t>A girl is holding a toothbrush up to the camera.</t>
  </si>
  <si>
    <t>She uses the brush to brush her teeth.</t>
  </si>
  <si>
    <t>She scrubs her teeth back and forth for a long time.</t>
  </si>
  <si>
    <t>v_ODx-nocNBos</t>
  </si>
  <si>
    <t>A person on the screen is showing a box containing sumo wrestling toys.</t>
  </si>
  <si>
    <t>The person gives a demonstration on how to use the toys.</t>
  </si>
  <si>
    <t>Next the person does several demonstrations of the sumo wrestling toy set using toys that they have made as well as toys from the set.</t>
  </si>
  <si>
    <t>v_bi_xkH87Rnw</t>
  </si>
  <si>
    <t>People watch a gymnast perform her routine.</t>
  </si>
  <si>
    <t>The gymnast stands on the side of the balance beam.</t>
  </si>
  <si>
    <t>The gyjmnast mounts the beam.</t>
  </si>
  <si>
    <t>The gymnast performs her routine on the beam.</t>
  </si>
  <si>
    <t>The gymnast almost falls, but catches herself.</t>
  </si>
  <si>
    <t>The gymnast dismounts and lands on the blue mat.</t>
  </si>
  <si>
    <t>v_L0arB1mOuSE</t>
  </si>
  <si>
    <t>Several clips of shown of people playing kickball against one another in a large field.</t>
  </si>
  <si>
    <t>Several clips are shown of people running around, catching and throwing the ball, as well as partying on the side.</t>
  </si>
  <si>
    <t>v_cdEBDjnH9xk</t>
  </si>
  <si>
    <t>A man is seen putting objects onto a wall and place a board along the wall.</t>
  </si>
  <si>
    <t>He continues moving the objects on the wall and then nails them down with a nail gun and presents the shelves he's made.</t>
  </si>
  <si>
    <t>v_G1LGXWN_9v4</t>
  </si>
  <si>
    <t>A man is seen playing a bongo drum quickly moving his hands all around the instrument.</t>
  </si>
  <si>
    <t>He continuously plays the drum while closing his eyes in concentration and ends by hitting his hands faster.</t>
  </si>
  <si>
    <t>v_sS1Zh8mqMOE</t>
  </si>
  <si>
    <t>A pair of shoes is displayed on a table while a man and a woman have a conversation.</t>
  </si>
  <si>
    <t>A woman challenges a man to arm wrestling.</t>
  </si>
  <si>
    <t>The man removes the shoes from the table.</t>
  </si>
  <si>
    <t>The woman and the man arm wrestle.</t>
  </si>
  <si>
    <t>The man beats the woman.</t>
  </si>
  <si>
    <t>He takes out the shoes and displays them back on the table.</t>
  </si>
  <si>
    <t>The woman and the man laugh as they carry on a conversation.</t>
  </si>
  <si>
    <t>v_5v9p5jBN_Hg</t>
  </si>
  <si>
    <t>A woman talks in a gym.</t>
  </si>
  <si>
    <t>The woman stands on a lane, then she runs to perform a long jump that lands in the sand.</t>
  </si>
  <si>
    <t>The jump of the woman is repeated several times.</t>
  </si>
  <si>
    <t>v_1AxGiLSmGZo</t>
  </si>
  <si>
    <t>Several people are seen kite surfing along the water and one performing tricks.</t>
  </si>
  <si>
    <t>More people perform tricks and one fall off the side, immediately climbing back on.</t>
  </si>
  <si>
    <t>v_9Rd8PpfRNmY</t>
  </si>
  <si>
    <t>A child paints her toenails with white nail polish on front a little child.</t>
  </si>
  <si>
    <t>A person enters the room and walk on front the children.</t>
  </si>
  <si>
    <t>Then, the child turns to listen somebody for a second and continues painting her toenails.</t>
  </si>
  <si>
    <t>After, a hand touches the back of the child twice who turns and then continues painting her toenails.</t>
  </si>
  <si>
    <t>v_O7SljQqahy8</t>
  </si>
  <si>
    <t>A person pours vinegar in a sink on a towel.</t>
  </si>
  <si>
    <t>The person then uses the towel to rub the surface of the sink.</t>
  </si>
  <si>
    <t>The person drops the towel and picks it up.</t>
  </si>
  <si>
    <t>v_xbA294b3Z5c</t>
  </si>
  <si>
    <t>A woman is seen speaking to the camera while showing off her nails and leads into her holding up a contact lens.</t>
  </si>
  <si>
    <t>The girl then pours liquid out into a container and them demonstrates how to properly put in and take on a contact lens.</t>
  </si>
  <si>
    <t>v_p2C4MeV02GU</t>
  </si>
  <si>
    <t>woman is talking to the camera holding a big cat on her legs that is sitting in a cat cushion and its caressing his head.</t>
  </si>
  <si>
    <t>woman is holding a nail clipper and cut the cat's nails explaining the right way to do it.</t>
  </si>
  <si>
    <t>v_CUtkQIV2eto</t>
  </si>
  <si>
    <t>A person water ski in the water holding a rope attached to a boat in the river.</t>
  </si>
  <si>
    <t>The person pass on front a boat in the river while waterskiing.</t>
  </si>
  <si>
    <t>Then, the person gives a thumb up while performing waterskii, after the person continues waterskiing.</t>
  </si>
  <si>
    <t>Then, the surfboard floats on front a metal structure.</t>
  </si>
  <si>
    <t>v_oSQNry_U7oA</t>
  </si>
  <si>
    <t>A trainer wearing a wet suit gives a walrus treats and the walrus nods his head up in town in excitement at the beginning of a show.</t>
  </si>
  <si>
    <t>The trainer plays a small saxophone and the walrus nods and is given a treat.</t>
  </si>
  <si>
    <t>The walrus is handed the saxophone and it plays it while the dancing with the trainer.</t>
  </si>
  <si>
    <t>v_Wq-eDa62BcI</t>
  </si>
  <si>
    <t>A person's hands demonstrates how to stye and comb a blonde haired doll.</t>
  </si>
  <si>
    <t>The person's hand begins to brush the doll's hair with a pink bristle brush before holding up a bottle of hair styling product.</t>
  </si>
  <si>
    <t>The hand sprays some of the hair style product on the doll's hair and then proceeds to brush the hair again.</t>
  </si>
  <si>
    <t>The hand then turns the doll around to showcase the finished style, the hand also gestures to areas around the dolls hair.</t>
  </si>
  <si>
    <t>v_6q7LQZLC_N8</t>
  </si>
  <si>
    <t>A sailboat with dark red plum colored sails is riding on the ocean.</t>
  </si>
  <si>
    <t>The boat turns and we see it from behind as we move to the left side.</t>
  </si>
  <si>
    <t>The camera zoom in and out then flashes to another angle.</t>
  </si>
  <si>
    <t>We see the credits run over the video.</t>
  </si>
  <si>
    <t>v_vMy5o7pvy4c</t>
  </si>
  <si>
    <t>A man swings his arms around over his head.</t>
  </si>
  <si>
    <t>He thin spins his whole body.</t>
  </si>
  <si>
    <t>The man releases the hammer and lowers his arms.</t>
  </si>
  <si>
    <t>v_MxYa4WTV8Zs</t>
  </si>
  <si>
    <t>A man and a woman decorate a Christmas tree from decorations around the room in sped-up video.</t>
  </si>
  <si>
    <t>A dog walks through the camera frame.</t>
  </si>
  <si>
    <t>The man leaves the camera frame.</t>
  </si>
  <si>
    <t>The man returns to decorating wearing a Santa hat.</t>
  </si>
  <si>
    <t>The man stands on a chair to put a decoration at the top of the tree.</t>
  </si>
  <si>
    <t>The completed tree is shown by itself.</t>
  </si>
  <si>
    <t>v_NTZ_mWvnHVY</t>
  </si>
  <si>
    <t>Two people are standing by the water one of the grabs some board.</t>
  </si>
  <si>
    <t>He puts it in the water and rides it, it goes pretty fast.</t>
  </si>
  <si>
    <t>He turns it a few times and passes by someone else on another one.</t>
  </si>
  <si>
    <t>He gets off and walks to a field with it above his head.</t>
  </si>
  <si>
    <t>v_G1aYtrFJqUc</t>
  </si>
  <si>
    <t>A man wearing gloves is inside a building.</t>
  </si>
  <si>
    <t>He rolls up a carpet and sets it aside.</t>
  </si>
  <si>
    <t>He then sweeps and mops the floors until they are clean.</t>
  </si>
  <si>
    <t>v_Z0oEaM7h6jM</t>
  </si>
  <si>
    <t>A logo appears on the screen briefly.</t>
  </si>
  <si>
    <t>A man talks to a group while standing in a raft.</t>
  </si>
  <si>
    <t>A group of people are rafting down rivers with rapids.</t>
  </si>
  <si>
    <t>They cheer by lifting their paddles.</t>
  </si>
  <si>
    <t>They continue to raft down the river.</t>
  </si>
  <si>
    <t>It cuts to the people on the bank at a campsite.</t>
  </si>
  <si>
    <t>People are once again rafting down the river.</t>
  </si>
  <si>
    <t>A person kayaks down the river.</t>
  </si>
  <si>
    <t>Another person kayaks down the river.</t>
  </si>
  <si>
    <t>Another group rafts down the river.</t>
  </si>
  <si>
    <t>It shows monkeys on the bank.</t>
  </si>
  <si>
    <t>People get splashed by a waterfall.</t>
  </si>
  <si>
    <t>It cuts to the logo and information.</t>
  </si>
  <si>
    <t>v_gdisMpHS668</t>
  </si>
  <si>
    <t>Two women are seen standing before a christmas tree with young children present as well.</t>
  </si>
  <si>
    <t>The people then all move around one another putting ornaments on the tree in fast motion.</t>
  </si>
  <si>
    <t>The girls continue putting items on the tree and end by smiling to the camera.</t>
  </si>
  <si>
    <t>v_0jvbBtMIA8k</t>
  </si>
  <si>
    <t>A man is sitting on a chair next to a talk show host.</t>
  </si>
  <si>
    <t>A woman is hosting a beer pong tournament, and the two men go over to the table.</t>
  </si>
  <si>
    <t>They drink and try to throw the balls into the cups.</t>
  </si>
  <si>
    <t>The band plays in the background as the men play.</t>
  </si>
  <si>
    <t>v_G2soQTiGL10</t>
  </si>
  <si>
    <t>A large group of people are seen standing around a table with one speaking to the camera.</t>
  </si>
  <si>
    <t>The people then assist one another putting ingredients into pans and flipping them around.</t>
  </si>
  <si>
    <t>The people continue mixing the food together and finish by presenting it onto a plate.</t>
  </si>
  <si>
    <t>v_tOEomEC1rY8</t>
  </si>
  <si>
    <t>A woman is sitting in a chair while a woman behind her is holding a hair dryer.</t>
  </si>
  <si>
    <t>She begins drying the woman's hair.</t>
  </si>
  <si>
    <t>The woman is talking to the camera pointing at a hair dryer.</t>
  </si>
  <si>
    <t>v_a370DDsJtBA</t>
  </si>
  <si>
    <t>A woman is seated behind a wooden table.</t>
  </si>
  <si>
    <t>She quickly moves color blocks on a puzzle, trying to solve it.</t>
  </si>
  <si>
    <t>She solves the puzzle and shows it to the camera.</t>
  </si>
  <si>
    <t>v_8olnQLX0hO8</t>
  </si>
  <si>
    <t>A small group of men are seen walking down a dirt road followed by several shots of them riding in tubes and laughing to the camera.</t>
  </si>
  <si>
    <t>They continue riding down the river under trees and has more people holding the camera.</t>
  </si>
  <si>
    <t>v_HhlWUEbHBUk</t>
  </si>
  <si>
    <t>A guy shows you how to make a drink,the guy pours ice in a tall glass,adds a half cup of a certain type of liquor and pour it in the cup with the ice.</t>
  </si>
  <si>
    <t>He then adds soda to the cup which makes the cup full to the top and starts to stir it up with a metal tool.</t>
  </si>
  <si>
    <t>the guy then squeezes three half limes into the cup and push the three lime to the bottom of the cup with the metal tool he use to stir the drink.</t>
  </si>
  <si>
    <t>finally he pours the drink from the tall glass to a shorter glass,adds a different type of liquor with a straw to finish it off.</t>
  </si>
  <si>
    <t>v_FJZTNJ0LuJ4</t>
  </si>
  <si>
    <t>Two people stand in front of a cake and they talk.</t>
  </si>
  <si>
    <t>Text appears on the screen as they talk.</t>
  </si>
  <si>
    <t>A woman mixes ingredients into a pot on the stove.</t>
  </si>
  <si>
    <t>A man pours in rum into the pot and stirs it.</t>
  </si>
  <si>
    <t>They poke holes in the cake with knives and pour the mixture on it.</t>
  </si>
  <si>
    <t>They stand in front of the cake again and talk.</t>
  </si>
  <si>
    <t>They eat the cake as they talk.</t>
  </si>
  <si>
    <t>v_0qTzoVjsMpQ</t>
  </si>
  <si>
    <t>A man fills a hookah with water and sets it on a table.</t>
  </si>
  <si>
    <t>He puts tobacco in a device and covers it with tin foil.</t>
  </si>
  <si>
    <t>He pokes a hole in the top of the tin foil several times.</t>
  </si>
  <si>
    <t>He puts that onto the top of the hookah.</t>
  </si>
  <si>
    <t>He takes a smoke off the hookah and blows the smoke.</t>
  </si>
  <si>
    <t>v_2O-TyeSMueg</t>
  </si>
  <si>
    <t>A group of people ride on a boat to Catalina Island.</t>
  </si>
  <si>
    <t>A man wearing a grey t-shirt films himself using a selfie stick while riding on a boat.</t>
  </si>
  <si>
    <t>The group of people on the boat are dressed in scuba diving gear.</t>
  </si>
  <si>
    <t>A man in scuba gear enters the water while filming himself while holding a selfie stick.</t>
  </si>
  <si>
    <t>The diver films himself while diving underwater.</t>
  </si>
  <si>
    <t>The ddiver films a school of fish a nd bright yellow tropical fish.</t>
  </si>
  <si>
    <t>The diver cameraman walks backwards onto steps leading out of the water.</t>
  </si>
  <si>
    <t>A group of divers dressed in street clothes ride in a golf cart.</t>
  </si>
  <si>
    <t>v_X1lLinc_yvo</t>
  </si>
  <si>
    <t>woman is standing in a kitchen in front of a camera and showing ingredients on top of table.</t>
  </si>
  <si>
    <t>woman is pouring the ingredients inside a kitchen aid and mixing them and explaining to the camera how to do the paste.</t>
  </si>
  <si>
    <t>v_VTwQgMELGVE</t>
  </si>
  <si>
    <t>A woman behind the bar talking, she has a bottle of corona.</t>
  </si>
  <si>
    <t>She sucks on the bottle of a few times.</t>
  </si>
  <si>
    <t>Then, she grabs it with just her mouth and holds it up chugging the beer.</t>
  </si>
  <si>
    <t>She chugs and chugs until it is completely empty.</t>
  </si>
  <si>
    <t>v_zD_wAe6Eoxc</t>
  </si>
  <si>
    <t>A Caucasian male is outside holding up a skateboard.</t>
  </si>
  <si>
    <t>He then goes down a winding road and comes down skateboarding and the picture is still until he slides into a trick and then it is paused again.</t>
  </si>
  <si>
    <t>The routine continues and then the player stands up as continue to go down the road.</t>
  </si>
  <si>
    <t>Once he is completely finished, he goes back to where he originally started and keeps talking to the camera as he holds his skateboard in his left hand.</t>
  </si>
  <si>
    <t>After, the man turns around and shows how his brown cargo shorts are patched up with duct tape.</t>
  </si>
  <si>
    <t>v_XKpx9fyNINg</t>
  </si>
  <si>
    <t>A close up of a person putting on a rack is shown followed by several women lifting up large amounts of weight.</t>
  </si>
  <si>
    <t>More people are seen lifting up the heavy weights over their head and throwing it down when they are done.</t>
  </si>
  <si>
    <t>v_BbJeZoks_c4</t>
  </si>
  <si>
    <t>Several people are seen sitting outside at a picnic table and leads into two people tying a rope around a tree.</t>
  </si>
  <si>
    <t>More people come to help and lead into a boy walking on the rope with a man's help.</t>
  </si>
  <si>
    <t>More people attempt to walk on the rope with other's help as well as by themselves.</t>
  </si>
  <si>
    <t>v_UvuXGKesWS0</t>
  </si>
  <si>
    <t>The words Freestyle Swimming float across the screen.</t>
  </si>
  <si>
    <t>A man jumps in the pool and swims freestyle.</t>
  </si>
  <si>
    <t>The words BackStroke Style float across the screen.</t>
  </si>
  <si>
    <t>The same man swims backstroke down the lane from where he came.</t>
  </si>
  <si>
    <t>The words BreastStroke show up on the screen.</t>
  </si>
  <si>
    <t>The man does the breaststroke back across the pool.</t>
  </si>
  <si>
    <t>v_8hkVzhEKqpY</t>
  </si>
  <si>
    <t>A man and woman news reporter are sitting in front of a tv screen as they talk.</t>
  </si>
  <si>
    <t>They then show clips from an outdoor volleyball game.</t>
  </si>
  <si>
    <t>The team mates hit the ball back and forth over the net.</t>
  </si>
  <si>
    <t>Afterward, they shake hands with their opponents.</t>
  </si>
  <si>
    <t>v_hIjOvSJf9c0</t>
  </si>
  <si>
    <t>Two people are seen speaking to the camera and leads into a ruler being shown and the woman holding a sponge.</t>
  </si>
  <si>
    <t>She wipes down a wall while the man sands it down and then are seen measuring the length of the wall.</t>
  </si>
  <si>
    <t>Then they lay paper down, cut the paper, and align it onto the wall.</t>
  </si>
  <si>
    <t>They rub in the paper, press it along the wall, and smile back at the camera.</t>
  </si>
  <si>
    <t>v_StM48dIvK-M</t>
  </si>
  <si>
    <t>People are participating in a tug of war match in a gym.</t>
  </si>
  <si>
    <t>The yellow team on the left side pulls the rope mostly to the left or wins.</t>
  </si>
  <si>
    <t>An adult grabs the arm of a blue team member.</t>
  </si>
  <si>
    <t>v_FofBEedm80o</t>
  </si>
  <si>
    <t>The words "Grandmaster Huang Sheng Shyan" and "Taiji Push Hands" appear on screen.</t>
  </si>
  <si>
    <t>Several students individually approach the Grandmaster attempting to fight him and are pushed back quickly.</t>
  </si>
  <si>
    <t>The Grandmaster taps a student on the head and he quickly falls to the ground.</t>
  </si>
  <si>
    <t>v_E6LJROCxQPA</t>
  </si>
  <si>
    <t>A person is seen walking across the yard leading into a long rope.</t>
  </si>
  <si>
    <t>The man jumps on the rope and attempts to walk across it.</t>
  </si>
  <si>
    <t>He continues walking and leads into him falling off.</t>
  </si>
  <si>
    <t>v_VVezUub0ocQ</t>
  </si>
  <si>
    <t>cat is sleeping in a furry table and a man holds him and shows a nail clipper and starts cutting the cat nails sitting in a couch.</t>
  </si>
  <si>
    <t>cat is sitting in a red carpet.</t>
  </si>
  <si>
    <t>v_1-nEQf-TJPE</t>
  </si>
  <si>
    <t>A video of vodka being poured into a martini glass is shown.</t>
  </si>
  <si>
    <t>A woman stands behind a bar with bottles and ingredients.</t>
  </si>
  <si>
    <t>She mixes the alcohols into a glass, then shakes them up before decorating and displaying the drink.</t>
  </si>
  <si>
    <t>v_M4db4WfqDoE</t>
  </si>
  <si>
    <t>A large snowy mountain is shown as well as people driving and people standing along a mountain.</t>
  </si>
  <si>
    <t>Several shots are shown of people on snowboards, performing tricks, and gesturing to the camera.</t>
  </si>
  <si>
    <t>The video continues on with impressive clips of people doing stunts as well as close ups of people riding.</t>
  </si>
  <si>
    <t>v_I9kOPQ3J5HA</t>
  </si>
  <si>
    <t>A woman puts a harness on.</t>
  </si>
  <si>
    <t>A man clips a rope to the front of the woman's harness.</t>
  </si>
  <si>
    <t>He ties the rope into a knot.</t>
  </si>
  <si>
    <t>v_ykdPTjsmfgY</t>
  </si>
  <si>
    <t>A person stands by a river.</t>
  </si>
  <si>
    <t>A group of people wearing vests kayak down a river.</t>
  </si>
  <si>
    <t>A person holds their paddle over their head.</t>
  </si>
  <si>
    <t>A couple of people are sitting by the river in a grassy area.</t>
  </si>
  <si>
    <t>The people kayaking approach a bridge.</t>
  </si>
  <si>
    <t>A couple of people sit near some cars next to the river.</t>
  </si>
  <si>
    <t>v_BD_ON66t6rM</t>
  </si>
  <si>
    <t>A man is kayaking on water and moving his arms back and fourth quickly.</t>
  </si>
  <si>
    <t>The camera follows him moving through the water and eventually works his way towards a bridge.</t>
  </si>
  <si>
    <t>v_hToIzZ3o6Ic</t>
  </si>
  <si>
    <t>The credits of the clip alongside a bucket of paint are shown.</t>
  </si>
  <si>
    <t>A hand paints a wardrobe white with a paintbrush.</t>
  </si>
  <si>
    <t>The hand picks up a white rug.</t>
  </si>
  <si>
    <t>The hand places two fingers inside the rug and proceeds to whip the painted wardrobe.</t>
  </si>
  <si>
    <t>The final product of the painted wardrobe is shown.</t>
  </si>
  <si>
    <t>v_cg0sa6wYA1U</t>
  </si>
  <si>
    <t>A person's arms are seen moving back and fourth in the water controlling a kayak under some tombs sticking out of the water.</t>
  </si>
  <si>
    <t>The man continues pushing his way along and ends with him sticking his pole into the water.</t>
  </si>
  <si>
    <t>v_0Gr4aKQzGYk</t>
  </si>
  <si>
    <t>Various shots of a tattoo shop are shown followed by a woman sitting in a chair and a man getting items ready.</t>
  </si>
  <si>
    <t>She takes a sip of water and the man then pierces her lip with a needle.</t>
  </si>
  <si>
    <t>She is shown again in a picture of her new piercing.</t>
  </si>
  <si>
    <t>v_eaFvnf8IF-I</t>
  </si>
  <si>
    <t>A man is playing an accordian while staring occasionally into the camera.</t>
  </si>
  <si>
    <t>The man changes his finger tips constantly and looks off into the distance while playing.</t>
  </si>
  <si>
    <t>The man continues his song and eventually finishes by smiling into the camera.</t>
  </si>
  <si>
    <t>v_o1bO6f-Uo8A</t>
  </si>
  <si>
    <t>A man in the front yard showing how to mow the lawn.</t>
  </si>
  <si>
    <t>He first moves all the debris out of the way so that nothing gets caught in the mower before mowing.</t>
  </si>
  <si>
    <t>Then he uses a stethoscope to listen to the mower while he puts oil in it.</t>
  </si>
  <si>
    <t>He suggest that you finish mowing by sunset and if you are using a pushing mower you should keep your back striaght and arms bent.</t>
  </si>
  <si>
    <t>v_m7vcstRI23E</t>
  </si>
  <si>
    <t>A little girl is standing in a kitchen in front of a bowl and sugar cookie mix.</t>
  </si>
  <si>
    <t>The girl starts showing the ingredients to her audience, before pouring the cookie mix into a bowl.</t>
  </si>
  <si>
    <t>She then adds butter and egg yolks, and stirs the whole thing up using a hand mixer.</t>
  </si>
  <si>
    <t>She rolls the dough in plastic wrap before spreading it back out and cutting into shapes with cookie cutters.</t>
  </si>
  <si>
    <t>The cookies are baked and ready to frost with sprinkles and frosting.</t>
  </si>
  <si>
    <t>v_FkWxS_5VxsM</t>
  </si>
  <si>
    <t>A polished hands takes a piece of tape.</t>
  </si>
  <si>
    <t>The polished hands puts a piece of tape at the edge of a brown object.</t>
  </si>
  <si>
    <t>The hand paints turquoise polish on the tape.</t>
  </si>
  <si>
    <t>The hand cuts the the polished tape in strips.</t>
  </si>
  <si>
    <t>The hand puts the strip on a polished nail.</t>
  </si>
  <si>
    <t>The hand paints the nail with clear nail polish.</t>
  </si>
  <si>
    <t>The hand rubs a soaked cotton ball on a fingernail so the polish is removed.</t>
  </si>
  <si>
    <t>v_Jp7KeCimrMI</t>
  </si>
  <si>
    <t>A man stretches out shirts on an ironing board in a workshop area and uses a flat iron to steam press it.</t>
  </si>
  <si>
    <t>The man removes the ironed shirt and places it on a hanger.</t>
  </si>
  <si>
    <t>The man gives the shirt one more quick ironing on a single spot then hangs the shirt on a rack.</t>
  </si>
  <si>
    <t>v_YotaXgC6Ee8</t>
  </si>
  <si>
    <t>A man jumps off a diving board into a pool several times.</t>
  </si>
  <si>
    <t>Another person is swimming in the pool.</t>
  </si>
  <si>
    <t>He does a flip and lands in the water before surfacing.</t>
  </si>
  <si>
    <t>v_Z_1Zoc6lINU</t>
  </si>
  <si>
    <t>We see a lady sitting at a table with shoes and supplies talking to the camera.</t>
  </si>
  <si>
    <t>We see screens with shoes on them.</t>
  </si>
  <si>
    <t>The lady shows us various shoes.</t>
  </si>
  <si>
    <t>The lady shows us the shoe supplies.</t>
  </si>
  <si>
    <t>The lady adds a product to the shoes.</t>
  </si>
  <si>
    <t>The lady then wipes the product off with a towel.</t>
  </si>
  <si>
    <t>The lady then adds shoes wax to the shoe and wipes it off.</t>
  </si>
  <si>
    <t>v_3UbQ0UDmbbw</t>
  </si>
  <si>
    <t>A man clears snow from a car in snow covered parking lot.</t>
  </si>
  <si>
    <t>A man in a narrow hallway holds and directs a camera in the hallway, presses a button in the hallway, then exits through the door in the hallway and goes outside.</t>
  </si>
  <si>
    <t>Once outside the camera picks up a snow covered parking lot filled with snow covered cars and one girl in pink pants.</t>
  </si>
  <si>
    <t>A man holding a long snow removing brush approaches a car and begins wiping snow off of the car at times gesturing wildly with his arms.</t>
  </si>
  <si>
    <t>The man clears the entire car with snow, with the brush and a shovel before the scene cuts to a vehicle driving down the street in the snow.</t>
  </si>
  <si>
    <t>v_szdKUpvx9Sk</t>
  </si>
  <si>
    <t>We see men standing around in a casino holding beers.</t>
  </si>
  <si>
    <t>We see a man and put money on the table.</t>
  </si>
  <si>
    <t>The dealer counts the money and gives the man chips.</t>
  </si>
  <si>
    <t>The dealer deals a hands of blackjack and the we see the men clapping and the dealer laughing.</t>
  </si>
  <si>
    <t>We see the dealer give the man chips and the man stands in his group showing his friends his stack of chips.</t>
  </si>
  <si>
    <t>Two men cheer and throw their fists in the air and the me laugh and cheer and walk.</t>
  </si>
  <si>
    <t>v_kHTcsP6nQdY</t>
  </si>
  <si>
    <t>He pauses as another slides down.</t>
  </si>
  <si>
    <t>He slides down as she stops.</t>
  </si>
  <si>
    <t>He runs up to her and she slides down to the end.</t>
  </si>
  <si>
    <t>v_G16xScfD5WM</t>
  </si>
  <si>
    <t>We see the title over a landscape.</t>
  </si>
  <si>
    <t>People are playing instruments in a field.</t>
  </si>
  <si>
    <t>We then see men practicing martial arts.</t>
  </si>
  <si>
    <t>A man kicks another man to the ground.</t>
  </si>
  <si>
    <t>We see a man toss another man over his back.</t>
  </si>
  <si>
    <t>A man does a flip, then does a back flip.</t>
  </si>
  <si>
    <t>We see the people playing instruments again.</t>
  </si>
  <si>
    <t>130 We see words appear on the screen, and the end credits appear.</t>
  </si>
  <si>
    <t>v_sMO2IlNgDuw</t>
  </si>
  <si>
    <t>A young child is seen playing with a toy and putting lip stick on her lips.</t>
  </si>
  <si>
    <t>The camera is then seen moving around a room, walking down stairs and following the young girl.</t>
  </si>
  <si>
    <t>The girl walks back into her room to play with her toy while the camera follows.</t>
  </si>
  <si>
    <t>v_klGP18026Ek</t>
  </si>
  <si>
    <t>Two men play games of rock paper scissors in front of a referee.</t>
  </si>
  <si>
    <t>A woman taps one of they on the back.</t>
  </si>
  <si>
    <t>They play a final game and a man celebrates his victory.</t>
  </si>
  <si>
    <t>v_gGs1qNxsFTg</t>
  </si>
  <si>
    <t>A man is sitting behind a table.</t>
  </si>
  <si>
    <t>He picks up a rubiks cube and completes it.</t>
  </si>
  <si>
    <t>A man stands next to him and writes something on a paper.</t>
  </si>
  <si>
    <t>v_Fh1LR3xB3zQ</t>
  </si>
  <si>
    <t>A man is seen speaking to the camera and begins holding up knives.</t>
  </si>
  <si>
    <t>He pans all around his tools and shows off a kit.</t>
  </si>
  <si>
    <t>He then leads into sharpening a knife with various boards and sticks while still speaking to the camera.</t>
  </si>
  <si>
    <t>v_r3dM-5cZ7e8</t>
  </si>
  <si>
    <t>A group of swimmers stand ready on a platform and bend down to their feet.</t>
  </si>
  <si>
    <t>Several men stand behind them when they all jump in at the same time.</t>
  </si>
  <si>
    <t>The men race back and fourth doing a butterfly movement back and fourth until they all reach the end.</t>
  </si>
  <si>
    <t>v_NbdAUGbrWrE</t>
  </si>
  <si>
    <t>A teenage girl brushes her hair.</t>
  </si>
  <si>
    <t>The girl looks down as if she is confused.</t>
  </si>
  <si>
    <t>v_LL_leiyIdVQ</t>
  </si>
  <si>
    <t>Various people are shown in the beginning in a large gymnasium performing several slips and tricks on a trampoline one at a time.</t>
  </si>
  <si>
    <t>The people continue jumping and flipping around the gym with one ending in a large pit in the end.</t>
  </si>
  <si>
    <t>v_JnP5FDtEPVE</t>
  </si>
  <si>
    <t>The groomer sprays the brown dog.</t>
  </si>
  <si>
    <t>The dog runs around the shop.</t>
  </si>
  <si>
    <t>The groomer bushes the brown dog.</t>
  </si>
  <si>
    <t>v_UvPUywSVy1k</t>
  </si>
  <si>
    <t>A person is seen holding up various food items while laughing and speaking with others.</t>
  </si>
  <si>
    <t>The men then begin cooking together by mixing various ingredients and presenting them onto a plate.</t>
  </si>
  <si>
    <t>The recipe is then shown for how to cook the food and leads into clips of the food being cooked and presented with the men eating together.</t>
  </si>
  <si>
    <t>v_8kNk_fzmTyI</t>
  </si>
  <si>
    <t>An intro leads into several shots of water steaming and a young woman swimming back and fourth in the water.</t>
  </si>
  <si>
    <t>She comes up to the surface and speaks to the camera while several more shots of water are shown.</t>
  </si>
  <si>
    <t>v_WmabLngcvas</t>
  </si>
  <si>
    <t>A man is seen sitting on a camel followed by getting off and another man climbing on.</t>
  </si>
  <si>
    <t>The man then leads the other around on the camel.</t>
  </si>
  <si>
    <t>The man stops the camel and gets the other person off while climbing back on.</t>
  </si>
  <si>
    <t>v_2SMmL6kIx-w</t>
  </si>
  <si>
    <t>Several performers walk out of a box and it ends up being one male and one female.</t>
  </si>
  <si>
    <t>The lady then begins moving in strange ways and continuing telling a story in ballerina form.</t>
  </si>
  <si>
    <t>After a few minutes,the male joins them and they continue dancing together with strong legs and firm arms.</t>
  </si>
  <si>
    <t>v_E4oP6Ex9IPo</t>
  </si>
  <si>
    <t>A man is holding a yellow iron sitting on top of a box.</t>
  </si>
  <si>
    <t>He melts a bar of was on the bottom of the hot iron.</t>
  </si>
  <si>
    <t>He then irons over the wax that dripped down onto a ski.</t>
  </si>
  <si>
    <t>He finishes and sets the iron down.</t>
  </si>
  <si>
    <t>v_Zfak-LkgQfQ</t>
  </si>
  <si>
    <t>A logo fro a company pops up on a black screen.</t>
  </si>
  <si>
    <t>A man in a yellow jacket and orange helmet is shown ocean kayaking.</t>
  </si>
  <si>
    <t>Other kayakers are shown battling through waves and riding them.</t>
  </si>
  <si>
    <t>A set of photos show the kayakers navigating the ocean and crashing into waves.</t>
  </si>
  <si>
    <t>v_Qq2vKc9hWUk</t>
  </si>
  <si>
    <t>A woman is standing inside a racquetball court.</t>
  </si>
  <si>
    <t>She starts hitting the ball, running after it.</t>
  </si>
  <si>
    <t>She trips and falls down, hitting the ground as a man rescues the ball.</t>
  </si>
  <si>
    <t>v_cxVbaN4GxxU</t>
  </si>
  <si>
    <t>A man stands outside a tent.</t>
  </si>
  <si>
    <t>He looks inside the tent at a group of kids playing cards and a woman sitting outside.</t>
  </si>
  <si>
    <t>A boy walks through parked cars, smiling.</t>
  </si>
  <si>
    <t>He is then shown on a kayak in a lake.</t>
  </si>
  <si>
    <t>The rest of the family soon joins him.</t>
  </si>
  <si>
    <t>v_MAZlsi4Bon8</t>
  </si>
  <si>
    <t>A young boy is at a party holding a stick and hitting a pinata.</t>
  </si>
  <si>
    <t>When the boy is done hitting it an adult walks towards the pinata.</t>
  </si>
  <si>
    <t>Another child standing with the adult also begins walking towards the pinata.</t>
  </si>
  <si>
    <t>v_eS7ENymCpZE</t>
  </si>
  <si>
    <t>A rough ocean has large white capped waves and a sailboat traversing through it.</t>
  </si>
  <si>
    <t>The sailboat goes over the top of large waves and lands with a splash.</t>
  </si>
  <si>
    <t>The boat maneuvers and is tilted sideways as it goes over waves.</t>
  </si>
  <si>
    <t>v_9Pun6fgAg8Q</t>
  </si>
  <si>
    <t>Two teams play beach volleyball on front a crowd.</t>
  </si>
  <si>
    <t>A woman holds a smart phone.</t>
  </si>
  <si>
    <t>A man serves a ball.</t>
  </si>
  <si>
    <t>A man wearing a cap and plaid shirt pass on front the players.</t>
  </si>
  <si>
    <t>v_THPFtlx3gXw</t>
  </si>
  <si>
    <t>A man is standing on a hill, celebrating before a crowd.</t>
  </si>
  <si>
    <t>He is shown on a bmx dirt bike, performing a plethora of stunts, wheelies, and spins for a crowd.</t>
  </si>
  <si>
    <t>Women are shown close up, dancing.</t>
  </si>
  <si>
    <t>v_UMUGmKRkaxo</t>
  </si>
  <si>
    <t>Two boys play ping pong in a gym and one of the boys use a Nunchaku as a racket t o play and make tricks.</t>
  </si>
  <si>
    <t>A man pass on front the ping pong table and stand near the table.</t>
  </si>
  <si>
    <t>Then, the man joint one of the players and start to play, after, Bruce Lee appears in the screen of a smart phone that flips around.</t>
  </si>
  <si>
    <t>A boy does martial arts moves and braks a board, then he fix the Nunchaku and after use it to light a match in the mouth of the other boy.</t>
  </si>
  <si>
    <t>v_lDriXPZt_Yg</t>
  </si>
  <si>
    <t>A woman is holding a bottle of purple nail polish up to the camera.</t>
  </si>
  <si>
    <t>She then applies it to her nails.</t>
  </si>
  <si>
    <t>When she is done, she shows off her nails and the polish one last time.</t>
  </si>
  <si>
    <t>v_qeyCTRqPCN4</t>
  </si>
  <si>
    <t>Bullfighting is being advertised on the screen.</t>
  </si>
  <si>
    <t>There are clips of bull fights and man is talking about his bull fighting experience.</t>
  </si>
  <si>
    <t>The bull rolls a barrel while the clown is behind it.</t>
  </si>
  <si>
    <t>A trophy is awarded to the bull fighter.</t>
  </si>
  <si>
    <t>v_V6s9eMtUnME</t>
  </si>
  <si>
    <t>A woman standing next to a vehicle talks to the camera while occasionally gesturing at the vehicle.</t>
  </si>
  <si>
    <t>The woman holds up a bottle of spray.</t>
  </si>
  <si>
    <t>The woman sprays the vehicle's window with the bottle.</t>
  </si>
  <si>
    <t>The woman uses a towel to clean the window.</t>
  </si>
  <si>
    <t>The woman talks to the camera again.</t>
  </si>
  <si>
    <t>The woman returns to cleaning the window.</t>
  </si>
  <si>
    <t>The woman talks to the camera once more.</t>
  </si>
  <si>
    <t>v_M0mLgp8VxpY</t>
  </si>
  <si>
    <t>A shuffleboard is shown in a room.</t>
  </si>
  <si>
    <t>A man in a blue sweater throws a ball down the shuffleboard.</t>
  </si>
  <si>
    <t>v_MoPg7NqyhLI</t>
  </si>
  <si>
    <t>A large group of people are seen sitting in a floor followed by people shooting bow and arrows and running around a course.</t>
  </si>
  <si>
    <t>The kids continue running around one another shooting the bow and arrows and ends with a woman holding up her hand and showing a picture.</t>
  </si>
  <si>
    <t>v_OZiArYAPXDo</t>
  </si>
  <si>
    <t>An older video of bad quality begins to play and there are white words on red blocks that read "Leichtathletik leicht gemacht Diskus".</t>
  </si>
  <si>
    <t>A disc is flying through the air and lands on a field, then a still shot picture of a naked man holding a disc briefly appears until another clip plays of a man on a large field throwing a disc.</t>
  </si>
  <si>
    <t>A man is now sitting on a field and the words on the screen say that he is "Lars Riedel" and under it the word "Olympiasieger", and it shows him talking while switching back and forth to clips of a man on a field is holding a disc on the field, swinging it and then throwing it.</t>
  </si>
  <si>
    <t>The still shot picture of the naked man holding the dickus shows up again and then goes back to clips of the man who is now just walking on the field.</t>
  </si>
  <si>
    <t>v_j3P7ttoKGeY</t>
  </si>
  <si>
    <t>A group of people begin to walk in a room and they begin to play a game of Foosball.</t>
  </si>
  <si>
    <t>The game begins to intensifies and the men begin to look at each other in the eye as they start to make goals.</t>
  </si>
  <si>
    <t>Once the first game is finished,another set of men begin to compete and starts to clip the ball over the people.</t>
  </si>
  <si>
    <t>Next,women join and starts to roll the ball on the edge of the table as they make goals.</t>
  </si>
  <si>
    <t>Finally,a man appears with a Nokia phone recording the game and shows video options of different tricks that were performed.</t>
  </si>
  <si>
    <t>v_87hjft6OBiU</t>
  </si>
  <si>
    <t>There is a man shown lifting a weight that weighs over 90 pounds.</t>
  </si>
  <si>
    <t>There is a woman who's running on the treadmill behind him.</t>
  </si>
  <si>
    <t>v_Tywf5EzWntY</t>
  </si>
  <si>
    <t>A skier is adjusting his shoes on the board.</t>
  </si>
  <si>
    <t>Then he is seen flying through the air on the water board.</t>
  </si>
  <si>
    <t>He is skiing while attached to the back of a boat.</t>
  </si>
  <si>
    <t>v_6Lh3yNFvskc</t>
  </si>
  <si>
    <t>A player holding a basketball dribbles the ball, run and jump to throw the ball in the basket several times.</t>
  </si>
  <si>
    <t>A man throw a basketball in the court and then leave.</t>
  </si>
  <si>
    <t>v_brY1jVHquE0</t>
  </si>
  <si>
    <t>A young child is seen holding onto a stick in a living room while pushing a ball around.</t>
  </si>
  <si>
    <t>The boy continues pushing the ball around while the camera captures his movements.</t>
  </si>
  <si>
    <t>He stops to speak to the camera and continues hitting the ball around.</t>
  </si>
  <si>
    <t>v_qtOP38458F4</t>
  </si>
  <si>
    <t>A male gymast prepares to mount a beam.</t>
  </si>
  <si>
    <t>He jumps up, doing an handstand on the bar.</t>
  </si>
  <si>
    <t>He then spins and flips several times.</t>
  </si>
  <si>
    <t>He dismounts, throwing his arms up in the air.</t>
  </si>
  <si>
    <t>v_aZfNeGBMU1Y</t>
  </si>
  <si>
    <t>A little girl is holding a stick and is gently hitting a large pinata that is ninja turtled theme.</t>
  </si>
  <si>
    <t>In the background a boy on a white chair is gently tossing a ball in the air above his lap.</t>
  </si>
  <si>
    <t>A taller boy is standing and walking near the boy sitting on the chair and he has a green plastic bag over his left hand that he's moving back and forth with a twist of his wrist.</t>
  </si>
  <si>
    <t>A little girl on the side begins to jump as she's waiting for her turn.</t>
  </si>
  <si>
    <t>v_iZlG0UOtImQ</t>
  </si>
  <si>
    <t>A blond boy holding a pool stick is hitting balls on a pool table that is sectioned off from yellow tape while a large crowd is gathered outside of the yellow tape.</t>
  </si>
  <si>
    <t>The boy grabs another stick from under the pool table, puts it on the table, chalks his stick,and then successfully hits the ball into the hole despite a woman trying to distract him.</t>
  </si>
  <si>
    <t>The boy goes around the table and continues to hit the remaining balls into the holes, the crowd cheers him on, and he goes around the crowd and gives everyone high fives.</t>
  </si>
  <si>
    <t>The boy hugs the woman who was trying to distract him the whole time, he puts his stick down, and she hugs him again.</t>
  </si>
  <si>
    <t>A black screen appears and white words on the screen say "The Black Widow Jeanette Lee Worlds Best Female Pool Player A Ron Hawks Video".</t>
  </si>
  <si>
    <t>v_Fp_uU-qMDSc</t>
  </si>
  <si>
    <t>A man dressed in all white is shown fighting different men outdoors and hitting them very hard.</t>
  </si>
  <si>
    <t>Tai Chi Combat along with his website and various other website icons are located on the bottom right.</t>
  </si>
  <si>
    <t>The man is then standing alone outdoors where he's still wearing the same white outfit and is talking very passionately using hand motions and lots of facial expressions.</t>
  </si>
  <si>
    <t>The man is once again shown to be fighting different men outdoors and he seems to be winning each fight.</t>
  </si>
  <si>
    <t>After this round of fights, the man is once again talking very passionately with a lot of hand movements and facial expressions.</t>
  </si>
  <si>
    <t>The man then goes back to more fighting with different men somewhere outdoors where he continues to win the fights by hitting and occasionally kicking.</t>
  </si>
  <si>
    <t>Lastly, the man is once again show talking very passionately with hand movements and a lot of facial expressions and around him are overlays on the screen advertising his youtube channel along with his website for TAI CHI COMBAT.</t>
  </si>
  <si>
    <t>v_jQgAdClKvDE</t>
  </si>
  <si>
    <t>A man in a neon coat is driving a car with the camera on a stick outside the window.</t>
  </si>
  <si>
    <t>He drives quickly on the snow, laughing as he records himself.</t>
  </si>
  <si>
    <t>He and his passengers stand on a snowy mound, spinning as they record themselves.</t>
  </si>
  <si>
    <t>They then use saws to cut a path in the snow.</t>
  </si>
  <si>
    <t>They water ski on the frozen water path.</t>
  </si>
  <si>
    <t>v_E33xUgVqEH0</t>
  </si>
  <si>
    <t>A person cleans an extremely dirty sink with a paper towel.</t>
  </si>
  <si>
    <t>The title, TubOTowels, appears on the screen.</t>
  </si>
  <si>
    <t>v_E_Z4BceegCQ</t>
  </si>
  <si>
    <t>A young man in white runs on the stage dancing.</t>
  </si>
  <si>
    <t>Other men are dancing in the background.</t>
  </si>
  <si>
    <t>A smaller boy runs on stage, confused.</t>
  </si>
  <si>
    <t>A man with a microphone talks to the young kid.</t>
  </si>
  <si>
    <t>The young boy starts dancing.</t>
  </si>
  <si>
    <t>Everyone on the stage stops dancing.</t>
  </si>
  <si>
    <t>The men point to the singer.</t>
  </si>
  <si>
    <t>The singer in red starts dancing.</t>
  </si>
  <si>
    <t>v_aTvt_fP243g</t>
  </si>
  <si>
    <t>A yellow cloth, yellow and green sponge, and a cif creme cleaner is placed on the counter next to a shallow sink with silver drainer.</t>
  </si>
  <si>
    <t>A hand pour a drop of Cif creme, wiped it with the green side of the sponge, wiped it in circular motion, then wipe the counter with yellow cloth.</t>
  </si>
  <si>
    <t>v_uWguPHhQON4</t>
  </si>
  <si>
    <t>A man prepares his supplies near a picnic table and then sets one down.</t>
  </si>
  <si>
    <t>The man pours lighter fluid in a camp fire ring.</t>
  </si>
  <si>
    <t>The man retrieves matches which drops onto the fire and it erupts in flames.</t>
  </si>
  <si>
    <t>v_VFvHqc5Bg-0</t>
  </si>
  <si>
    <t>A group of people in snow gear are shown snow boarding on snow covered snow slopes with visual emphasis shown to a particular snow boarder in a green coat.</t>
  </si>
  <si>
    <t>A man in a green coat snow sleds over many surfaces up and down slopes as he passes other snow sledders while surrounded by bare brown foliage and snow covered roofs and hills.</t>
  </si>
  <si>
    <t>As the man snowboards, one person he passes falls down and break his sled and several of the other skiers perform trick as they snowboard including snow boarding off of elevated platforms and doing jumps as they snow board.</t>
  </si>
  <si>
    <t>v_w9LRKWLmw0A</t>
  </si>
  <si>
    <t>A little boy mops a wooden ramp, barefoot,outdoors with a mini mop and bucket of water.</t>
  </si>
  <si>
    <t>A young boy stands outside, without a shirt, barefoot and jeans and mops a wooden ramp with a yellow mini mop.</t>
  </si>
  <si>
    <t>The boy dunks the mop in water after awhile and continues to mop the ramp.</t>
  </si>
  <si>
    <t>v_f--wWfsr0zA</t>
  </si>
  <si>
    <t>A news woman is speaking inside a news room.</t>
  </si>
  <si>
    <t>A couple of professional dancers are shown dancing and performing ballet on a stage, with the female occasionally shown speaking to the camera.</t>
  </si>
  <si>
    <t>She is seen walking out after a performance to see a room filled with people and do a press conference.</t>
  </si>
  <si>
    <t>A poster of three women is shown at the end.</t>
  </si>
  <si>
    <t>v_1GQARL4coRo</t>
  </si>
  <si>
    <t>A man paddles a surfboard with a baby on the board in front of him.</t>
  </si>
  <si>
    <t>He momentarily lifts the baby up to a standing position.</t>
  </si>
  <si>
    <t>A woman moves towards the man and the baby.</t>
  </si>
  <si>
    <t>The man momentarily lifts the baby up to a standing position again.</t>
  </si>
  <si>
    <t>The man momentarily lifts the baby up to a standing position once more.</t>
  </si>
  <si>
    <t>v_PcSnU_nGi5E</t>
  </si>
  <si>
    <t>The man in brown shirt is standing next to a pile of tennis ball while he is talking to the camera.</t>
  </si>
  <si>
    <t>He played tennis ball with another person.</t>
  </si>
  <si>
    <t>The man in purple shirt serve the ball while the black man hit the ball back.</t>
  </si>
  <si>
    <t>v_x03YF3JbWjs</t>
  </si>
  <si>
    <t>A woman gives a hair tutorial.</t>
  </si>
  <si>
    <t>The woman ties her hair and prepares it so that it looks better.</t>
  </si>
  <si>
    <t>v_zLbSEo4xhVY</t>
  </si>
  <si>
    <t>A special effect intro of a man airborn on a waterboard with the words MMXIV HYPERLITE COLLECTION is on the screen.</t>
  </si>
  <si>
    <t>A few men appear near the lake and then a series of different clips and men on water boards play one after another as they all waterboard quickly on the water and some are doing flips while holding onto the rope.</t>
  </si>
  <si>
    <t>A woman in pink shorts appears and she is briefly shown water boarding as well.</t>
  </si>
  <si>
    <t>Now a man is sitting on a boat while a large remote controlled airplane is flying towards him, and a standing man quickly grabs it before it hits the face of the sitting man, and the sitting man turns to the camera to give a shocked and relief look on his face.</t>
  </si>
  <si>
    <t>The clips of various people waterboarding shows up again and they are all still holding onto the rope while standing on the boards and doing jumps, flips and other tricks.</t>
  </si>
  <si>
    <t>The outro clip begins and it's similar to the intro.</t>
  </si>
  <si>
    <t>v_gEqT50dX-iY</t>
  </si>
  <si>
    <t>A man explains a procedure holdings cloths and cleaning materials while showing the cloths.</t>
  </si>
  <si>
    <t>After, the man approaches to a window and starts to clean for an instant, and then continues explaining.</t>
  </si>
  <si>
    <t>v_uavot-yVwhg</t>
  </si>
  <si>
    <t>A lady sits at a table with a shoe, water, salt, brush and towel.</t>
  </si>
  <si>
    <t>The lady puts salt it the water and dips the brush then brushes the shoe.</t>
  </si>
  <si>
    <t>The lady wipes the shoe with the towel and talks to the camera.</t>
  </si>
  <si>
    <t>We see an ending title screen.</t>
  </si>
  <si>
    <t>v_17ytsjuUCRA</t>
  </si>
  <si>
    <t>A dog is getting a bath outside.</t>
  </si>
  <si>
    <t>Soap is worked through the coat and then washed off.</t>
  </si>
  <si>
    <t>v_6hsOVkC7hxA</t>
  </si>
  <si>
    <t>There's a shirtless man wearing denim jeans out in a forest.</t>
  </si>
  <si>
    <t>He is chopping wood from a cut tree bark with a hammer.</t>
  </si>
  <si>
    <t>He he hitting the chopped log of wood with all his force.</t>
  </si>
  <si>
    <t>v_U-kPlTqXc_M</t>
  </si>
  <si>
    <t>A small group of people are seen standing around a table filled with solo cups and one catching a cup.</t>
  </si>
  <si>
    <t>The man then drinks from a cup and proceeds to collapse onto the table.</t>
  </si>
  <si>
    <t>v_Cf7xy_HQ9H0</t>
  </si>
  <si>
    <t>A man is rollerblading outside in a parking lot.</t>
  </si>
  <si>
    <t>He does several tricks on his rollerblades.</t>
  </si>
  <si>
    <t>He does a cart wheel on the ground.</t>
  </si>
  <si>
    <t>v_v1FHFQ1UZHw</t>
  </si>
  <si>
    <t>A man writing on the wall.</t>
  </si>
  <si>
    <t>Switches to a product being featured.</t>
  </si>
  <si>
    <t>The man writes on the wall again.</t>
  </si>
  <si>
    <t>He begins to apply product.</t>
  </si>
  <si>
    <t>Switches to the product again.</t>
  </si>
  <si>
    <t>He writes on the wall.</t>
  </si>
  <si>
    <t>He begins to lay out tools.</t>
  </si>
  <si>
    <t>Next he measures and levels the wall.</t>
  </si>
  <si>
    <t>He takes out the product and begins placing a coat on the crack in the wall.</t>
  </si>
  <si>
    <t>He then takes a roller and rolls it along the wall.</t>
  </si>
  <si>
    <t>Next he hangs and apply s a white sheet to the wall.</t>
  </si>
  <si>
    <t>He repeats the process in the different sections of the wall that need it.</t>
  </si>
  <si>
    <t>Now He writes on the wall again.</t>
  </si>
  <si>
    <t>Next a dog jumps in front of a wall.</t>
  </si>
  <si>
    <t>He writes again on the wall.</t>
  </si>
  <si>
    <t>Lettering appears on the screen for the product.</t>
  </si>
  <si>
    <t>v_x39KxoQHEp4</t>
  </si>
  <si>
    <t>Several people float down a river in tubes.</t>
  </si>
  <si>
    <t>They pass through several rocks.</t>
  </si>
  <si>
    <t>The water gets rough as the past through some rocks.</t>
  </si>
  <si>
    <t>Several people stand up in the river.</t>
  </si>
  <si>
    <t>v_C8fyaj592GA</t>
  </si>
  <si>
    <t>Individuals stand behind black platforms awaiting instructions.</t>
  </si>
  <si>
    <t>Individuals are using dance moves to exercise using the platform.</t>
  </si>
  <si>
    <t>The people do jumping jacks to the right of the platform.</t>
  </si>
  <si>
    <t>The individuals do jumping jacks at the left of the platform.</t>
  </si>
  <si>
    <t>The lady who had been instructing the group continuously claps her hands and begins to leave.</t>
  </si>
  <si>
    <t>v_z6g5QbIPatk</t>
  </si>
  <si>
    <t>A girl holds up a white piece of paper and it has a drawing on it that is done in black ink.</t>
  </si>
  <si>
    <t>The girl then turns around and the video is sped up to show her drawing on a pumpkin near a kitchen while multiple people are moving about around her.</t>
  </si>
  <si>
    <t>The girl finishes the drawing and she begins to carve the design out of the pumpkin while the video is still in a sped up mode.</t>
  </si>
  <si>
    <t>The pumpkin is now done being carved and it appears on a black screen with just the carved out area illuminating in an orange color.</t>
  </si>
  <si>
    <t>The girl appears again holding up the white paper, runs out of the room and the screen goes back to black with just the pumpkin illuminating.</t>
  </si>
  <si>
    <t>v_F12ga-do744</t>
  </si>
  <si>
    <t>A large man is seen standing on a large mat walking forward and screaming to the audience.</t>
  </si>
  <si>
    <t>The man then lifts the bar up then back down and screams out loud.</t>
  </si>
  <si>
    <t>The same clips is shown again immediately afterwards.</t>
  </si>
  <si>
    <t>v_YPNLMBhuDS8</t>
  </si>
  <si>
    <t>A man is seen speaking to the camera while holding up a shoe and polish and pointing to objects.</t>
  </si>
  <si>
    <t>The man then rubs down the shoe with a rag while the camera zooms in on more products and speaking to the camera.</t>
  </si>
  <si>
    <t>v_-ew9R4QppTk</t>
  </si>
  <si>
    <t>man is sitting in a white room playing congas a bongos.</t>
  </si>
  <si>
    <t>fat man wearing glasses is sitting on a chair in a white room.</t>
  </si>
  <si>
    <t>man is sitting in a room playing salsa music with the bongos.</t>
  </si>
  <si>
    <t>v_ePAc9xK9fac</t>
  </si>
  <si>
    <t>woman is climbing a rock wall in a gym and a man is pulling the ropes.</t>
  </si>
  <si>
    <t>woman start descending from the rock wall.</t>
  </si>
  <si>
    <t>v_SV-8M3HNk1s</t>
  </si>
  <si>
    <t>A clip is shown of a person on a wake board riding on some waves and crashing into the water.</t>
  </si>
  <si>
    <t>Several more clips are shown of people riding on the wake boards on the ocean waves gliding along.</t>
  </si>
  <si>
    <t>v_m12BPEN6Y3s</t>
  </si>
  <si>
    <t>A girl wearing a scarf is seen talking to the camera and begins mixing various ingredients into a bowl.</t>
  </si>
  <si>
    <t>She places the batter into circles on separate pans and shows the cookies she made after they are done.</t>
  </si>
  <si>
    <t>v_4DmsWE6byuw</t>
  </si>
  <si>
    <t>A man is walking in circles in the center of a crowd.</t>
  </si>
  <si>
    <t>He begins to break dance.</t>
  </si>
  <si>
    <t>Several clips of men break dancing in different venues are shown, as they flip, spin, and perform for crowds.</t>
  </si>
  <si>
    <t>v_vbLxVuLLPek</t>
  </si>
  <si>
    <t>There two men dressed Scottish kilts and attire standing in the courtyard.</t>
  </si>
  <si>
    <t>One of the men is playing the bagpipes and the other is playing the drums.</t>
  </si>
  <si>
    <t>A woman tourist walks past them as they continue to play.</t>
  </si>
  <si>
    <t>v_d_6BVfxlAsI</t>
  </si>
  <si>
    <t>An empty poker table is shown followed by a woman dealing cards and speaking to the camera.</t>
  </si>
  <si>
    <t>She instructs on how to play the game while still speaking to the camera and smiling.</t>
  </si>
  <si>
    <t>v_MINjkEBIIkA</t>
  </si>
  <si>
    <t>A man is standing in a room.</t>
  </si>
  <si>
    <t>They are throwing darts at a dartboard.</t>
  </si>
  <si>
    <t>A woman then comes and throws darts at a dartboard.</t>
  </si>
  <si>
    <t>v_AgocNx3-De0</t>
  </si>
  <si>
    <t>People raft in a muddy river, then they camping on the shore to rest and play.</t>
  </si>
  <si>
    <t>Then, the man continue rafting in the river, and a man falls in the water and his friends rescue him, then they continue rafting.</t>
  </si>
  <si>
    <t>A woman and a man stands next a helicopter, then the helicopter fly.</t>
  </si>
  <si>
    <t>v_yNHc-xADBm8</t>
  </si>
  <si>
    <t>A camp fire burns brightly in the night.</t>
  </si>
  <si>
    <t>The fire slowly grows in size.</t>
  </si>
  <si>
    <t>The scene becomes brighter and better lit.</t>
  </si>
  <si>
    <t>There are trees in the background.</t>
  </si>
  <si>
    <t>v_saShR7NwjMg</t>
  </si>
  <si>
    <t>A close up of a person leads into the person watching their hands and scrubbing it with soap.</t>
  </si>
  <si>
    <t>A man is shown scrubbing up his hands in a sink while demonstrating the proper way to wash hands and dip them under the water.</t>
  </si>
  <si>
    <t>The man dries it off with a rag in the end.</t>
  </si>
  <si>
    <t>v_sz1772O9AUM</t>
  </si>
  <si>
    <t>A car drives into a car wash bay.</t>
  </si>
  <si>
    <t>The driver gets out and inserts money into a machine.</t>
  </si>
  <si>
    <t>The person then washes their car with a pressure washer.</t>
  </si>
  <si>
    <t>We see another machine, and a vending machine.</t>
  </si>
  <si>
    <t>v_pK3OSevBqDw</t>
  </si>
  <si>
    <t>A man is seen standing next to a fence while the camera pans around the lake nearby.</t>
  </si>
  <si>
    <t>The man bends down and begins painting the fence while the camera focuses on a person walking down.</t>
  </si>
  <si>
    <t>Another man walks up with a bucket and helps the man paint while the cameraman continues to look around.</t>
  </si>
  <si>
    <t>v_wj_xmkHjItg</t>
  </si>
  <si>
    <t>A car is traveling through snow covered roads and trees before arriving at a cabin.</t>
  </si>
  <si>
    <t>The people put on skis and are shown going down the hills, skiing.</t>
  </si>
  <si>
    <t>They continue skiing, waving at the camera and showing a final panoramic view as the video ends.</t>
  </si>
  <si>
    <t>v_nVN1rP8H688</t>
  </si>
  <si>
    <t>Various title cards flash in front of the screen.</t>
  </si>
  <si>
    <t>We see a dog, and a man with a selfie stick carrying a snowboard.</t>
  </si>
  <si>
    <t>The man is snowboarding and holding the selfie stick.</t>
  </si>
  <si>
    <t>The man is playing with the dog, and we see the dog close up.</t>
  </si>
  <si>
    <t>The man is snowboarding downhill.</t>
  </si>
  <si>
    <t>He stops to pet his dog again before snowboarding again.</t>
  </si>
  <si>
    <t>the man and the dog are walking in an area with little snow.</t>
  </si>
  <si>
    <t>The man mounts the board and snowboards before putting it in his truck.</t>
  </si>
  <si>
    <t>We see the Gopro screen.</t>
  </si>
  <si>
    <t>v_kuPWb9E4aUQ</t>
  </si>
  <si>
    <t>A diver is swimming under the blue water.</t>
  </si>
  <si>
    <t>Two divers wearing their oxygen are under the water, they are holding onto the strong rope.</t>
  </si>
  <si>
    <t>The divers dive deeper to into the water, they swim towards a coral bed under the water.</t>
  </si>
  <si>
    <t>The people are riding the white boat towards the ocean.</t>
  </si>
  <si>
    <t>v_KSbIw1m2KoU</t>
  </si>
  <si>
    <t>A female gymnast prepares to mount the bar.</t>
  </si>
  <si>
    <t>She mounts, then does several hand springs, forward flips, and back flips.</t>
  </si>
  <si>
    <t>Then she dismounts, throwing her arms up in the air.</t>
  </si>
  <si>
    <t>v_5u-PL0wr3TU</t>
  </si>
  <si>
    <t>A toddler goes down on a slide in a playground full of people, when the toddler touches the floor, she stand and run.</t>
  </si>
  <si>
    <t>Suddenly, a man run behind the toddler.</t>
  </si>
  <si>
    <t>v_yrGietojx78</t>
  </si>
  <si>
    <t>A man in a white shirt is holding a tool in his hand.</t>
  </si>
  <si>
    <t>He starts chopping weeds down in a field.</t>
  </si>
  <si>
    <t>He stops and puts the tool against a fence.</t>
  </si>
  <si>
    <t>v_KEU4Sj6x1p4</t>
  </si>
  <si>
    <t>The race begins, one of the racer has a huge head start before the other even starts moving.</t>
  </si>
  <si>
    <t>They begin to run again but this time the man who had the head start takes his time and the man in the blue runs fast and jumps in the sand.</t>
  </si>
  <si>
    <t>He runs and jumps again, this time they show it again in slow motion.</t>
  </si>
  <si>
    <t>He just keeps practicing his run and jump over and over trying to get it perfect.</t>
  </si>
  <si>
    <t>v_iYdbam6e8cI</t>
  </si>
  <si>
    <t>People are roller blading down sets of stairs.</t>
  </si>
  <si>
    <t>A person falls into the street.</t>
  </si>
  <si>
    <t>A school bus is on the street behind them.</t>
  </si>
  <si>
    <t>v_XazKuBawFCM</t>
  </si>
  <si>
    <t>A woman is standing on a field in a circle.</t>
  </si>
  <si>
    <t>She spins while holding a disc.</t>
  </si>
  <si>
    <t>she accidentally lets go, and the disc flies out behind her.</t>
  </si>
  <si>
    <t>v__K88UOvtQPk</t>
  </si>
  <si>
    <t>A young girl is seen playing a saxophone while looking over to the camera and moving her hands up and down.</t>
  </si>
  <si>
    <t>The woman continues to play the instrument and ends by turning off the camera.</t>
  </si>
  <si>
    <t>v_G6FhQuR3_88</t>
  </si>
  <si>
    <t>We see men playing instruments in a plaza.</t>
  </si>
  <si>
    <t>The front man turns around to the men behind him.</t>
  </si>
  <si>
    <t>The man in front grabs the microphone.</t>
  </si>
  <si>
    <t>The band finishes playing their instruments.</t>
  </si>
  <si>
    <t>v_8liz3Fu7DGU</t>
  </si>
  <si>
    <t>On a a big field there is a lacrosse team playing a game , they are all moving around strategically.</t>
  </si>
  <si>
    <t>They throw the ball trying to make the goal while the other team tries to block them.</t>
  </si>
  <si>
    <t>They are running around you can see arrows to pointing to whats going on here and there.</t>
  </si>
  <si>
    <t>it is a very physical and hands on sport that requires stamina and energy.</t>
  </si>
  <si>
    <t>v_kB0h-fHb_WU</t>
  </si>
  <si>
    <t>A guy with with leg extensions enter.</t>
  </si>
  <si>
    <t>The guy hops and flips on a trampoline.</t>
  </si>
  <si>
    <t>A man and woman remove an attachment from a cable and attach another.</t>
  </si>
  <si>
    <t>The cables are lifted up.</t>
  </si>
  <si>
    <t>The man and woman remove what they removed from the trampoline and leave.</t>
  </si>
  <si>
    <t>The guy with leg extensions leaves.</t>
  </si>
  <si>
    <t>Two people enter with a chair and bucket.</t>
  </si>
  <si>
    <t>v_Ne8UzAInivM</t>
  </si>
  <si>
    <t>A scuba diver is swimming through the water on a video game.</t>
  </si>
  <si>
    <t>They are looking through rubble of an old ship.</t>
  </si>
  <si>
    <t>They get in their boat and drive.</t>
  </si>
  <si>
    <t>They jump under the water again.</t>
  </si>
  <si>
    <t>v_dZa5ir3baH4</t>
  </si>
  <si>
    <t>A man prepares to run along an indoor track.</t>
  </si>
  <si>
    <t>He runs, taking very large strides.</t>
  </si>
  <si>
    <t>He jumps awkwardly into the sand, landing on his face.</t>
  </si>
  <si>
    <t>v_d3Rx-nw5Zlw</t>
  </si>
  <si>
    <t>There's a young man wearing a blue jacket and a white shirt standing near a wall with white bathroom tiles.</t>
  </si>
  <si>
    <t>He is smoking a cigarette.</t>
  </si>
  <si>
    <t>He continues taking a several puffs of the cigarette as he empties the ashes of the burned cigarette on the side.</t>
  </si>
  <si>
    <t>He looks a bit confused as he continues smoking the cigarette.</t>
  </si>
  <si>
    <t>v_pajUG7Y6Gtk</t>
  </si>
  <si>
    <t>Three people are seen standing on a sandy field and lead into one scoring a goal.</t>
  </si>
  <si>
    <t>The men celebrate while his clip is shown again several times.</t>
  </si>
  <si>
    <t>The men continue to celebrate and begin playing the game again.</t>
  </si>
  <si>
    <t>v_avGe67wRvxA</t>
  </si>
  <si>
    <t>A lady wipes lipstick off her face.</t>
  </si>
  <si>
    <t>The lady then lines her lips with a pencil.</t>
  </si>
  <si>
    <t>The lady stops and adjusts the camera.</t>
  </si>
  <si>
    <t>the camera move and we see a man next to the lady.</t>
  </si>
  <si>
    <t>the lady fixes her hair in the camera.</t>
  </si>
  <si>
    <t>v_OZftVCeblMk</t>
  </si>
  <si>
    <t>A man is seen standing before a kitchen sink and washing dishes in his hands.</t>
  </si>
  <si>
    <t>The man then cleans the dishes and puts them away, then looking over upset to see more dishes.</t>
  </si>
  <si>
    <t>v___wPHayoMgw</t>
  </si>
  <si>
    <t>A young woman is dressed in a zebra onesie sitting on her bed smoking a hookah.</t>
  </si>
  <si>
    <t>She takes two puffs,exhales the smoke and a spark flies from the end of the tube.</t>
  </si>
  <si>
    <t>The man behind the camera switches and then begins to smoke the hookah as the girl begins to record.</t>
  </si>
  <si>
    <t>Once he is finished,the hookah is given back to the girl and she starts to smoke.</t>
  </si>
  <si>
    <t>v_t9UsqWspqZM</t>
  </si>
  <si>
    <t>A person dressed up as Darth Vader plays a violin on the sidewalk.</t>
  </si>
  <si>
    <t>People walk in front of him.</t>
  </si>
  <si>
    <t>v_LZleSe6Kovg</t>
  </si>
  <si>
    <t>A man is wearing a white robe with a black belt.</t>
  </si>
  <si>
    <t>He starts doing karate moves in a room.</t>
  </si>
  <si>
    <t>He stands up right at the end.</t>
  </si>
  <si>
    <t>v_bt4cH91_KPI</t>
  </si>
  <si>
    <t>An excited man is seen talking to the camera and transitions into several shots of men winning games, beer, and being interviewed by the host.</t>
  </si>
  <si>
    <t>The men are then seen playing a game of beer pong with several others around and showing off a shaved head.</t>
  </si>
  <si>
    <t>A man is seen talking on a phone and more shots of the men playing beer pong are shown.</t>
  </si>
  <si>
    <t>v_hJKX5ZulTgI</t>
  </si>
  <si>
    <t>A woman spins around, showing off her hair style.</t>
  </si>
  <si>
    <t>We see a black hair drying spinning on the screen.</t>
  </si>
  <si>
    <t>The woman is getting her hair styled in the background by another woman, while text covers the screen with instructions.</t>
  </si>
  <si>
    <t>The woman brushes and finalizes the style, and the client has a huge happy smile.</t>
  </si>
  <si>
    <t>v_8ZqRn0ovdAI</t>
  </si>
  <si>
    <t>A man is seen sitting on a park bench playing guitar with a small boy beside him.</t>
  </si>
  <si>
    <t>The boy then begins playing a set of drums next to the man playing guitar.</t>
  </si>
  <si>
    <t>The two continue playing with one another and stop to wave to the camera and speak to one another.</t>
  </si>
  <si>
    <t>v_ns8v94HCtlM</t>
  </si>
  <si>
    <t>A person is turning on a machine and watching a hose grow bigger while he spins the dial.</t>
  </si>
  <si>
    <t>He continues pressing buttons and begins grooming a dog.</t>
  </si>
  <si>
    <t>The person goes up and down on the dog and eventually makes him look good as new with different settings.</t>
  </si>
  <si>
    <t>v_tHFF0OaIHoE</t>
  </si>
  <si>
    <t>A young girl is sitting in an empty bath tub shaving a man's leg that is thrown over the tub.</t>
  </si>
  <si>
    <t>As she continues,the dog comes and she shows the hair on the razor to the camera.</t>
  </si>
  <si>
    <t>v_vvoqG7UQsdc</t>
  </si>
  <si>
    <t>There are two students, a boy and a girl in a pole vault runway.</t>
  </si>
  <si>
    <t>One of the students, a boy sprints with the pole on the runway while a person in blue the other student watch him perform.</t>
  </si>
  <si>
    <t>Then he jumps up high and lands a few feet away on the landing area.</t>
  </si>
  <si>
    <t>His actions are replayed in slow motion to capture his jump and landing.</t>
  </si>
  <si>
    <t>v_2bkQz8BcKZ4</t>
  </si>
  <si>
    <t>A small group of girls are seen walking onto a stage followed by more people following behind.</t>
  </si>
  <si>
    <t>More people continue walking out onto the stage with some holding signs and others watching on the side.</t>
  </si>
  <si>
    <t>v_tilmCzSf1oc</t>
  </si>
  <si>
    <t>A boy in karate class bows before a performance.</t>
  </si>
  <si>
    <t>The boy performs a karate routine with hand scythes.</t>
  </si>
  <si>
    <t>The boy ends his routine and bows.</t>
  </si>
  <si>
    <t>v_bUHE8XcPZgs</t>
  </si>
  <si>
    <t>We see a man walk to the parallel bars and jump on.</t>
  </si>
  <si>
    <t>We see the man perform a routine on the bars.</t>
  </si>
  <si>
    <t>The man does a handstand.</t>
  </si>
  <si>
    <t>The man flips and dismounts from the bars.</t>
  </si>
  <si>
    <t>The man raise his arms in the air.</t>
  </si>
  <si>
    <t>The man walks away and hugs another man.</t>
  </si>
  <si>
    <t>v_-AaOr1DI2no</t>
  </si>
  <si>
    <t>A lady stands in a living room and discusses.</t>
  </si>
  <si>
    <t>The lady easily pulls the wallpaper of the wall.</t>
  </si>
  <si>
    <t>A woman paints the wall with a liquid.</t>
  </si>
  <si>
    <t>The woman puts wallpaper on the area.</t>
  </si>
  <si>
    <t>The woman cuts the wallpaper with a box cutter.</t>
  </si>
  <si>
    <t>The woman paints the wallpaper with paint.</t>
  </si>
  <si>
    <t>v_1Uur858vdY8</t>
  </si>
  <si>
    <t>An athletic man is seen standing ready and begins running down a track and jumping into a pit.</t>
  </si>
  <si>
    <t>The man celebrates as his score is shown and his jump is shown again in slow motion.</t>
  </si>
  <si>
    <t>v_7Xl0K-revJc</t>
  </si>
  <si>
    <t>A man teaches the proper way to get a mouthpiece on a saxophone.</t>
  </si>
  <si>
    <t>He then describes how to properly play the horn.</t>
  </si>
  <si>
    <t>v_gHk4mjlJ5cg</t>
  </si>
  <si>
    <t>A shirtless man talks in a gym.</t>
  </si>
  <si>
    <t>A lady runs past both ways then jumps rope behind the man.</t>
  </si>
  <si>
    <t>We see title screens with instructions.</t>
  </si>
  <si>
    <t>We see a lady jumping rope eleven different ways.</t>
  </si>
  <si>
    <t>v_ajA_cE6b9AY</t>
  </si>
  <si>
    <t>a river is shown and a car is a dust path.</t>
  </si>
  <si>
    <t>men are rafting on a lake on the rapids.</t>
  </si>
  <si>
    <t>v_GPR8rtfZr4A</t>
  </si>
  <si>
    <t>A graphic logo is seen that is black and white in color with the letter "N".</t>
  </si>
  <si>
    <t>A tv host stands in front of a camouflaged background.</t>
  </si>
  <si>
    <t>Two girls are seen walking in a photograph in baseball uniforms.</t>
  </si>
  <si>
    <t>A large group of fans crowds on a baseball field and surrounds a famous singer doing a performance.</t>
  </si>
  <si>
    <t>A red handball is rolled to a kicker during a kickball match who kicks it into the outfield for a run.</t>
  </si>
  <si>
    <t>Another man in tshirt and black sweats kicks a ball and runs around the bases trying to avoid being tagged with the ball.</t>
  </si>
  <si>
    <t>The same man rides on a skateboard in the city.</t>
  </si>
  <si>
    <t>The man is seen again in an up close video in a room.</t>
  </si>
  <si>
    <t>v_E-6XZrDYRuM</t>
  </si>
  <si>
    <t>The title shows as a man ride a horse through an arena.</t>
  </si>
  <si>
    <t>There is then a showcase of horses jumping over obstacles.</t>
  </si>
  <si>
    <t>One of the pictures rotates around in a circle and the next video squeezes in on itself.</t>
  </si>
  <si>
    <t>It continues to show horse jumping over obstacles with video effects.</t>
  </si>
  <si>
    <t>A man walks side my side with with partner.</t>
  </si>
  <si>
    <t>The credits role with some praise.</t>
  </si>
  <si>
    <t>v_Jth2Zlpr1gQ</t>
  </si>
  <si>
    <t>The woman in red top is standing.</t>
  </si>
  <si>
    <t>The woman stretches her arms one side first then the next one.</t>
  </si>
  <si>
    <t>The woman put her arms in front of her, then stretch out and turned around.</t>
  </si>
  <si>
    <t>v_GKK32IWDlSE</t>
  </si>
  <si>
    <t>A man is outside on a track.</t>
  </si>
  <si>
    <t>He runs with a javelin in his hand.</t>
  </si>
  <si>
    <t>He throws it as far as he can, raising his arms in victory.</t>
  </si>
  <si>
    <t>v_fgFU8vdsA8k</t>
  </si>
  <si>
    <t>A girl and a man are inside a high structure wearing bungee jumping equipment.</t>
  </si>
  <si>
    <t>The girl get out and stand on the border of the structure, then while the man puts a rope behind the girl.</t>
  </si>
  <si>
    <t>After, the girl jumps from the structure for a moment and then she gets up on the structure.</t>
  </si>
  <si>
    <t>v_YDNEa5ZOf6c</t>
  </si>
  <si>
    <t>A man wearing a hood is opening a paper, then he went down the stair and walked to a pathway.</t>
  </si>
  <si>
    <t>The woman is talking to the camera and showing the ground covered with snow.</t>
  </si>
  <si>
    <t>The man is standing next to the van and began scooping off the snow on the roof of the car, while the other person is using a broom to get the snow off the car.</t>
  </si>
  <si>
    <t>v_Hub83eTB8mM</t>
  </si>
  <si>
    <t>A construction worker is standing and talking to the camera while holding a sprayer.</t>
  </si>
  <si>
    <t>He is very animated while he goes back to sanding and spraying.</t>
  </si>
  <si>
    <t>v_9ZQY-ZfimYo</t>
  </si>
  <si>
    <t>A man is shown speaking to the camera excitedly and shows several shots of the man climbing a rock wall and various locations.</t>
  </si>
  <si>
    <t>Then man then continues speaking to the camera and demonstrates how to properly climb the wall while still speaking.</t>
  </si>
  <si>
    <t>v_GwLhmYF7Wdw</t>
  </si>
  <si>
    <t>man is standing in front of a white cloth in a studio doing exercise in an elliptical machine showing the characteristics of the bike.</t>
  </si>
  <si>
    <t>woman is doing the same that the man, watching the elliptical and doing exercise.</t>
  </si>
  <si>
    <t>v_uA3dbKjT9rM</t>
  </si>
  <si>
    <t>A girl sitting int eh driver seat of a car is talking on her phone on speaker.</t>
  </si>
  <si>
    <t>She hangs up and starts talking out loud and then her and her friend are walking through a parking garage.</t>
  </si>
  <si>
    <t>The girls are walking and talking through the mall, then they go to Claires to get ears pierced.</t>
  </si>
  <si>
    <t>They continue walking around the mall for a while.</t>
  </si>
  <si>
    <t>v_Gn7Ha7l1uOk</t>
  </si>
  <si>
    <t>A man stands in a stair rail holding a knife.</t>
  </si>
  <si>
    <t>A guy prepare to play the drums.</t>
  </si>
  <si>
    <t>The guy plays a drum set.</t>
  </si>
  <si>
    <t>v_zryPDx9WL08</t>
  </si>
  <si>
    <t>Several shots are shown of a man warming up as well as performing martial arts tricks.</t>
  </si>
  <si>
    <t>A man speaks to the camera while several clips are shown of people flipping and doing tricks in various locations.</t>
  </si>
  <si>
    <t>The people jump and flip around one another and continue performing parkour.</t>
  </si>
  <si>
    <t>v_OjQHQptSXk0</t>
  </si>
  <si>
    <t>A large parade of people marching down a street is shown with several hundred people watching on the side.</t>
  </si>
  <si>
    <t>The people continue playing the instruments as the camera pans around the large group of people and following the parade.</t>
  </si>
  <si>
    <t>v_qm1dudWLlUg</t>
  </si>
  <si>
    <t>A man is drinking a beer during a game while others look on and smile.</t>
  </si>
  <si>
    <t>Several people are watching the match and the man drinking a beer looks at the camera and smiles.</t>
  </si>
  <si>
    <t>v_ZjHIN-M-dQY</t>
  </si>
  <si>
    <t>A group of people re riding stationary bikes in a big gym.</t>
  </si>
  <si>
    <t>One man moves a stationary bike.</t>
  </si>
  <si>
    <t>A woman adjusts the top hat she is wearing.</t>
  </si>
  <si>
    <t>v_ZEChBNpLCyU</t>
  </si>
  <si>
    <t>A man is seen speaking to the camera and begins laying out tarp next to a tree.</t>
  </si>
  <si>
    <t>The man cuts the tarp and begins putting mulch all around the tree.</t>
  </si>
  <si>
    <t>v_xAI1y9izXOM</t>
  </si>
  <si>
    <t>Two men sit across a table and begin an arm wrestling match.</t>
  </si>
  <si>
    <t>They both struggle a bit until the man on the left eventually wins.</t>
  </si>
  <si>
    <t>v_me4rMjlnTlI</t>
  </si>
  <si>
    <t>A small group of children are seen holding onto a rope with a man standing in front of them speaking to them.</t>
  </si>
  <si>
    <t>The kids continue pulling with adult's help and then cheer in the end.</t>
  </si>
  <si>
    <t>v_ZhPL4xb8JD0</t>
  </si>
  <si>
    <t>A horseman sits on a horse and a person stands on front a cattle squeeze chute.</t>
  </si>
  <si>
    <t>Suddenly, the horseman and a calf run to the the arena, while the horseman runs behind the calf spinning in the air a rope.</t>
  </si>
  <si>
    <t>After, the horseman throws the hoop and catch the calf, then quickly he lie the calf on the floor and tie the legs.</t>
  </si>
  <si>
    <t>v_5Ia1MCFut_8</t>
  </si>
  <si>
    <t>A young child is seen climbing into a slide and edging her way closer to the edge.</t>
  </si>
  <si>
    <t>The girl then rides down the slide smiling and walks away.</t>
  </si>
  <si>
    <t>v_X0IXZMr95TM</t>
  </si>
  <si>
    <t>A clear bottle pours a drink into a cocktail glass.</t>
  </si>
  <si>
    <t>A bartender picks up a stainless steel cup and scoops ice into it.</t>
  </si>
  <si>
    <t>The bartender pours liquors into a shot glass and dumps them into a cup.</t>
  </si>
  <si>
    <t>The bartender caps the cup and shakes vigorously.</t>
  </si>
  <si>
    <t>The contents of the mixing cup are poured into a martini glass.</t>
  </si>
  <si>
    <t>v_V4tqzi5uw9Y</t>
  </si>
  <si>
    <t>A man touches his faces and waves.</t>
  </si>
  <si>
    <t>The man walks a mower across very tall growing grass.</t>
  </si>
  <si>
    <t>v_eLVaojWbwHE</t>
  </si>
  <si>
    <t>A middle aged woman is standing in a room behind a table full of pain and various size brushes and an image of trees on a easel.</t>
  </si>
  <si>
    <t>In her left hand,she has a wheel of paint and begins to make stokes on the image to complete her picture.</t>
  </si>
  <si>
    <t>She goes back and forth from the paint to the board and shows how to make a tree and then cleans her brushes.</t>
  </si>
  <si>
    <t>v_BCsfauy69xM</t>
  </si>
  <si>
    <t>A person is carving a pumpkin.</t>
  </si>
  <si>
    <t>We see two people side by side carving pumpkins.</t>
  </si>
  <si>
    <t>We see from inside the pumpkin as they are being carved.</t>
  </si>
  <si>
    <t>We see five pumpkins on a couch and in the dark lit from the inside.</t>
  </si>
  <si>
    <t>v_Y82dz6aTwJ0</t>
  </si>
  <si>
    <t>A woman is sitting on the couch and is putting her feet in a python printed heels.</t>
  </si>
  <si>
    <t>Once they are on she stands up and walks around as the camera zooms in on her red painted toe nails.</t>
  </si>
  <si>
    <t>v_O2JUUFFdWpk</t>
  </si>
  <si>
    <t>A man in a blue costume throws something into the audience.</t>
  </si>
  <si>
    <t>He picks up a green can and takes a drink.</t>
  </si>
  <si>
    <t>He then plays rock paper scissors with another man across from him.</t>
  </si>
  <si>
    <t>v_B3fiiuk0EqE</t>
  </si>
  <si>
    <t>A man shovels snow from a driveway.</t>
  </si>
  <si>
    <t>The camera pans to show another man using an electric shoveling machine to clear show from his driveway.</t>
  </si>
  <si>
    <t>The man finishes clearing snow and turns to the camera.</t>
  </si>
  <si>
    <t>v_gYARGADLcmQ</t>
  </si>
  <si>
    <t>We see an aerial view of a beach with people all over.</t>
  </si>
  <si>
    <t>We see people building sand castles.</t>
  </si>
  <si>
    <t>We interview a judge, who then walks among the people.</t>
  </si>
  <si>
    <t>We see two men interviewed.</t>
  </si>
  <si>
    <t>We see an awning over the beach and canopies beyond that.</t>
  </si>
  <si>
    <t>v_VQPfRCsSmQk</t>
  </si>
  <si>
    <t>There's a woman in a red sweater and white shirt and blue pants sitting in her living room on a brown leather sofa.</t>
  </si>
  <si>
    <t>She is holding a spray can of furniture polish in her hand.</t>
  </si>
  <si>
    <t>She also has a paper towel in her other hand which she uses to wipe the table.</t>
  </si>
  <si>
    <t>She sprays the wooden table surface with the spray and then wipes it with the white paper towel.</t>
  </si>
  <si>
    <t>She explains how to use the spray and wipe the furniture.</t>
  </si>
  <si>
    <t>v_jYA_3BMF2d4</t>
  </si>
  <si>
    <t>We see a man standing in a room.</t>
  </si>
  <si>
    <t>The man starts performing tai chi.</t>
  </si>
  <si>
    <t>The man turns and faces left.</t>
  </si>
  <si>
    <t>The man turns to face right.</t>
  </si>
  <si>
    <t>The man makes his way to the right side of the room slowly.</t>
  </si>
  <si>
    <t>The screen then fades to black.</t>
  </si>
  <si>
    <t>v_QEaQzeB94N4</t>
  </si>
  <si>
    <t>A young man plays the violin on a sidewalk for people passing by in downtown area.</t>
  </si>
  <si>
    <t>Two students walk by behind the musician while he plays.</t>
  </si>
  <si>
    <t>The woman on the bench has turned to watch facing the man play the song.</t>
  </si>
  <si>
    <t>A man drops change in the musician's cup after he plays.</t>
  </si>
  <si>
    <t>v_dN14VPSHimI</t>
  </si>
  <si>
    <t>a man is riding a horse in a rodeo and catch a bull while in stands people are watching them andother man in a hse are on side of the court.</t>
  </si>
  <si>
    <t>men are riding a horse in a barn and throw a rope to catch a bull.</t>
  </si>
  <si>
    <t>v_TI3WqIauOYs</t>
  </si>
  <si>
    <t>A man takes off his shirt.</t>
  </si>
  <si>
    <t>He starts doing karate moves on a blue mat.</t>
  </si>
  <si>
    <t>He does several flips in the air.</t>
  </si>
  <si>
    <t>v_aAlbRFeu32E</t>
  </si>
  <si>
    <t>First the young woman is sleeping in her bed, but then she wakes up to say something.</t>
  </si>
  <si>
    <t>Next she is shown sitting at the restaurant eating fries and then she is shown in her room again, staring at the clothes on her bed and putting on her shoes.</t>
  </si>
  <si>
    <t>She is also shown doing fun things in the video and other girls are too.</t>
  </si>
  <si>
    <t>v_ICM-GjDa9QY</t>
  </si>
  <si>
    <t>A young man puts detergent in a blue bucket, then shows and explains how to clean a screen windows using a squeegee.</t>
  </si>
  <si>
    <t>After, the young man cleans the wet screen with a cloth.</t>
  </si>
  <si>
    <t>The young man compares a dirt screen with the clean one and gives a thump up.</t>
  </si>
  <si>
    <t>v_-HHybw--2XA</t>
  </si>
  <si>
    <t>A camera pans around a fenced in area and leads into a man and his dog performing tricks with a frisbee.</t>
  </si>
  <si>
    <t>The an continues to perform tricks with the dog using the toys and other dogs watching on the side.</t>
  </si>
  <si>
    <t>v_rgrzN8ELIxI</t>
  </si>
  <si>
    <t>A collage of drawings and logos are seen in black and white that make up a larger logo.</t>
  </si>
  <si>
    <t>A beach is seen from the distance and houses are seen on a hillside in a small beach town.</t>
  </si>
  <si>
    <t>A surfer walks down towards the beach.</t>
  </si>
  <si>
    <t>v_w3DvA9405_o</t>
  </si>
  <si>
    <t>A woman is seen looking off in the distance who holds onto a harmonica.</t>
  </si>
  <si>
    <t>She begins playing the harmonica while looking away from the camera.</t>
  </si>
  <si>
    <t>The continues playing the harmonica and stops to look down at the camera.</t>
  </si>
  <si>
    <t>v_5ytocb1ypRU</t>
  </si>
  <si>
    <t>A person using a chain saw is cutting down limbs off of a tree.</t>
  </si>
  <si>
    <t>The man uses an extension to cut a limb off the top of the tree.</t>
  </si>
  <si>
    <t>v_j5V7kD_HeMw</t>
  </si>
  <si>
    <t>A man descends from a steam slope on his snowboard.</t>
  </si>
  <si>
    <t>Another catches air as he flies over a snowy hill.</t>
  </si>
  <si>
    <t>Another snowboarder sharply slides down a steep hill to the base.</t>
  </si>
  <si>
    <t>A man in grey is shown performing some tricks in the air.</t>
  </si>
  <si>
    <t>First person perspective of a snowboarder going down a hill is shown.</t>
  </si>
  <si>
    <t>Another snowboarder flies down the hill, expertly cutting left and right.</t>
  </si>
  <si>
    <t>Various footage of snowboarders descending large slopes is shown.</t>
  </si>
  <si>
    <t>First person perspective of snowboarder with fellow rider in front of him closes the video.</t>
  </si>
  <si>
    <t>v_feUoPtDWe1Y</t>
  </si>
  <si>
    <t>The woman in white sweater is talking to the camera.</t>
  </si>
  <si>
    <t>The woman is holding a violin and stick.</t>
  </si>
  <si>
    <t>The woman put the violin between her neck and shoulder and began playing for few seconds then talked to the camera.</t>
  </si>
  <si>
    <t>v_pzZ4TGcMK1k</t>
  </si>
  <si>
    <t>People stand on the border of the diving boards and they dive while in the water.</t>
  </si>
  <si>
    <t>Swimmer stand on the diving boards, then they jump spinning in the air and diving in the water.</t>
  </si>
  <si>
    <t>Swimmers jump from the diving board, they spins three times in the air before to dive inn the water.</t>
  </si>
  <si>
    <t>v_NLpWaffN3XM</t>
  </si>
  <si>
    <t>A girl demonstrates playing an acoustic guitar using her hands to create percussion noise on the body of the guitar.</t>
  </si>
  <si>
    <t>A girl enters a room where an acoustic guitar is leaning against a sofa and sits down on the sofa and begins to play the guitar.</t>
  </si>
  <si>
    <t>The girl uses her right hand to make beats with the guitar and picks chords with the left hand while staring intently at the guitar.</t>
  </si>
  <si>
    <t>The girl continues to play intensely, occasionally nodding her head to the rhythm.</t>
  </si>
  <si>
    <t>v_xddZ9YjTGgo</t>
  </si>
  <si>
    <t>A young man in green shirt is standing at the goal, while the young player in blue kicked the ball to the goal, and the ball went inside the goal, the man in green shirt missed the ball.</t>
  </si>
  <si>
    <t>The man in red shirt run towards the ball, kicked the ball, and the goalkeeper wasn't able to block it, the player high five his teammates.</t>
  </si>
  <si>
    <t>The players are kicking the ball to the goal and the goalkeepers weren't able to block the ball.</t>
  </si>
  <si>
    <t>v_8btD4-N4stM</t>
  </si>
  <si>
    <t>We see scene of a bullfighting with matadors in the ring and see them stabbing the bulls.</t>
  </si>
  <si>
    <t>We see images of bloody bulls and carcasses being dragged on the ground.</t>
  </si>
  <si>
    <t>We see images of a bull in a slaughterhouse.</t>
  </si>
  <si>
    <t>Words go across the screen about torturing the bulls.</t>
  </si>
  <si>
    <t>We then see a PETA ending screen.</t>
  </si>
  <si>
    <t>v_3_hJrb_aDWU</t>
  </si>
  <si>
    <t>A kayak rider drifts in the bay of an ocean.</t>
  </si>
  <si>
    <t>Two kayak riders talk while sitting in their kayaks.</t>
  </si>
  <si>
    <t>The view of the surrounding mountains is seen.</t>
  </si>
  <si>
    <t>v_TZ5Vd9eL5WA</t>
  </si>
  <si>
    <t>Two people are standing in a kitchen.</t>
  </si>
  <si>
    <t>A man moves a glass bowl off the counter.</t>
  </si>
  <si>
    <t>A woman begins chopping a tomato on a board.</t>
  </si>
  <si>
    <t>v_unLrTQt07kI</t>
  </si>
  <si>
    <t>We a man washing dishes in a restaurant kitchen with two other men standing behind him on massaging his shoulder.</t>
  </si>
  <si>
    <t>Teh dishwasher shakes the man off his shoulders.</t>
  </si>
  <si>
    <t>The man in rear in blue walks out of the room.</t>
  </si>
  <si>
    <t>The other man pretends to wash dishes then washes his hands.</t>
  </si>
  <si>
    <t>v_2VYZeOa6804</t>
  </si>
  <si>
    <t>A reporter broadcast from a TV studio set.</t>
  </si>
  <si>
    <t>Then he reporter shows interviews a male an a female player next a swimming pool while a group of players jump into the water.</t>
  </si>
  <si>
    <t>Two teams play water polo in the swimming pool while the reporter continues to interview people.</t>
  </si>
  <si>
    <t>A woman and a man writes the scores on a the game, then people applauds.</t>
  </si>
  <si>
    <t>The winner team gets out the water and celebrates, and then the reporter interviews the team members.</t>
  </si>
  <si>
    <t>Again, the team gets in the water, and then the reporter broadcast from a studio set.</t>
  </si>
  <si>
    <t>v_0ivHmKR8cUw</t>
  </si>
  <si>
    <t>woman is standing in front of a counter talking to the camera and showing drinks.</t>
  </si>
  <si>
    <t>woman grabbs the juice and liquor and and serve it in a cup.</t>
  </si>
  <si>
    <t>woman is showing in a bar how to prepare a cocktail.</t>
  </si>
  <si>
    <t>v_4XfNexN6t04</t>
  </si>
  <si>
    <t>A man wearing a blue shirt walks to some congas and sit down.</t>
  </si>
  <si>
    <t>The musician begins to play the congas in a small room.</t>
  </si>
  <si>
    <t>The man then gets up and approaches the camera.</t>
  </si>
  <si>
    <t>v_YWu9gYCBAas</t>
  </si>
  <si>
    <t>We see shots of a sink.</t>
  </si>
  <si>
    <t>A person sprays the sink with a bottle then uses scrub brushes to scrub the sink.</t>
  </si>
  <si>
    <t>The person rinses the sink the wipes it with a blue towel.</t>
  </si>
  <si>
    <t>The person then rinses the sink again and wipes it down with the blue towel again.</t>
  </si>
  <si>
    <t>The person sprays the sink with a solution and uses a small roller paint brush to run the solution into the sink.</t>
  </si>
  <si>
    <t>We see before and after shots of the sink.</t>
  </si>
  <si>
    <t>v_QGY7zA03RkE</t>
  </si>
  <si>
    <t>A group of people play ping pong with automated machines and robots.</t>
  </si>
  <si>
    <t>One man plays ping pong with an orange machine with a red paddle attached to the end of a robotic arm.</t>
  </si>
  <si>
    <t>A man and a child play ping pong across a blue ping pong table as a man appears standing next to an orange automated machine and talks.</t>
  </si>
  <si>
    <t>Another man plays ping pong across a blue ping pong table with a white, metal, robot.</t>
  </si>
  <si>
    <t>A man in a suit and tie talks while a hand places an orange ball into the automated two prong hand of a white robot before going to an area in a room filled with orange robotic machines.</t>
  </si>
  <si>
    <t>v_in5XF1bbYr0</t>
  </si>
  <si>
    <t>We see a series of opening screens.</t>
  </si>
  <si>
    <t>A person throws a frisbee as a dog catches them.</t>
  </si>
  <si>
    <t>A man raises his hands in the air and walks off and another person walks past the camera.</t>
  </si>
  <si>
    <t>We see an image of the dog laying in the grass with words on the screen.</t>
  </si>
  <si>
    <t>v_pCEg_GoXoU4</t>
  </si>
  <si>
    <t>Several shots are shown of scuba divers moving along the water and fish moving around them.</t>
  </si>
  <si>
    <t>More people are seen moving along the ocean while gesturing to the camera and capturing all the wildlife around them.</t>
  </si>
  <si>
    <t>In the end they're seen riding a boat together and waving to the camera.</t>
  </si>
  <si>
    <t>v_J_ZY19xnhJU</t>
  </si>
  <si>
    <t>A little boy runs fast to his swing set and his dog runs after him.</t>
  </si>
  <si>
    <t>He climbs up the slide and and slide and his little brother comes up to play too.</t>
  </si>
  <si>
    <t>The mom comes over to play on the sea saw with one of the boys and he falls off.</t>
  </si>
  <si>
    <t>They play for a while going from one part of the set to the next.</t>
  </si>
  <si>
    <t>v_Aqq8S79ZAhk</t>
  </si>
  <si>
    <t>A camera pans around a room and leads into two women speaking and pulling out rock tiles.</t>
  </si>
  <si>
    <t>The women then put plaster down followed by the rock tiles and showing off the finished shower in the end and people reacting.</t>
  </si>
  <si>
    <t>v_69SYd5feEBQ</t>
  </si>
  <si>
    <t>An elderly lady sits in a chair knitting and talking to the camera.</t>
  </si>
  <si>
    <t>The lady shakes her head slightly while looking at the camera.</t>
  </si>
  <si>
    <t>The lady pauses and looks out the window.</t>
  </si>
  <si>
    <t>v_FBbN6FHC7L8</t>
  </si>
  <si>
    <t>A woman wearing a red leotard demonstrates a ballet move traveling toe move.</t>
  </si>
  <si>
    <t>The ballet instructor shimmies across the floor taking small little side steps.</t>
  </si>
  <si>
    <t>The instructor demonstrates a spot turn ballet turns.</t>
  </si>
  <si>
    <t>The instructor than combines the side toe step with the spot turning move.</t>
  </si>
  <si>
    <t>v_vZuy4OyWBsQ</t>
  </si>
  <si>
    <t>Two young teenage girls hold soapsuds in their hands in a kitchen.</t>
  </si>
  <si>
    <t>The girls throw the suds in each other's faces.</t>
  </si>
  <si>
    <t>One girl hops on the shoulders of the other.</t>
  </si>
  <si>
    <t>They begin to wash the dishes.</t>
  </si>
  <si>
    <t>v_e6r-A-LAe2E</t>
  </si>
  <si>
    <t>A young boy and a small boy are on a fenced field.</t>
  </si>
  <si>
    <t>They kick a ball, then try to chase it down.</t>
  </si>
  <si>
    <t>The kids continue playing as a man joins, fighting over the ball.</t>
  </si>
  <si>
    <t>v_4uwtqRBE4Kk</t>
  </si>
  <si>
    <t>a sea is shown with a green forest on seashore.</t>
  </si>
  <si>
    <t>blond man is standing in seashore and talking to the camera and surfing big waves on the sea.</t>
  </si>
  <si>
    <t>man is walking on seashore through a lot of people and talking to the camera and holding an award and talking about surfing the seashore.</t>
  </si>
  <si>
    <t>v_M1J3XjExaW4</t>
  </si>
  <si>
    <t>A man is seen speaking to the camera while holding onto a stick.</t>
  </si>
  <si>
    <t>He points down to balls in front of him as well as his body.</t>
  </si>
  <si>
    <t>He them demonstrates how to hit the ball properly while still speaking.</t>
  </si>
  <si>
    <t>v_FRjVP5r9rqc</t>
  </si>
  <si>
    <t>An elderly woman pans to the camera and does various hand movements on the floor.</t>
  </si>
  <si>
    <t>The woman grabs several items of clothing and shows how she washes them in the sink.</t>
  </si>
  <si>
    <t>She holds a bar of soap and rubs it all over the clothes and dips it into the water.</t>
  </si>
  <si>
    <t>She continues cleaning the clothes off in the water and showing how she cleans her clothes.</t>
  </si>
  <si>
    <t>v_ZBuPedt-oEE</t>
  </si>
  <si>
    <t>First the woman grabs some dishes to prepare something and puts them into a refrigerator.</t>
  </si>
  <si>
    <t>She then holds a cup under a foam dispenser and remove sit when it's filled up.</t>
  </si>
  <si>
    <t>She then tops it with crushed graham bears.</t>
  </si>
  <si>
    <t>next she gets a plate and a round stencil.</t>
  </si>
  <si>
    <t>she puts the plate under the dispenser and she removes it and slowly pulls the circle off of the cake once she is done smoothing the paste.</t>
  </si>
  <si>
    <t>Then she uses a knife to put lines on the sides of the cake.</t>
  </si>
  <si>
    <t>Next she puts cream on the edges from top to bottom.</t>
  </si>
  <si>
    <t>then she drizzles a little chocolate syrup on there.</t>
  </si>
  <si>
    <t>She is now done making the cake.</t>
  </si>
  <si>
    <t>v_SMUWOVJ3bzE</t>
  </si>
  <si>
    <t>A young child is seen sitting before a piano and playing a song while wearing a halloween costume.</t>
  </si>
  <si>
    <t>The boy continues playing the instrument and ends by pulling his mask down.</t>
  </si>
  <si>
    <t>v_PY4304sV5fY</t>
  </si>
  <si>
    <t>An young male Caucasian is sitting in a room behind a keyboard.</t>
  </si>
  <si>
    <t>Before he plays,he begins to talk and make movements across three black keys with his right hand as he continues to talk.</t>
  </si>
  <si>
    <t>He finally begins to play and you can see his hand moving rapidly across the keyboard on the left side of the screen.</t>
  </si>
  <si>
    <t>For his final chords,he takes his hand off the board and moves his head around in a circle.</t>
  </si>
  <si>
    <t>v_3ddoLUFrGsE</t>
  </si>
  <si>
    <t>A woman and a boy are making victory sign and smiling.</t>
  </si>
  <si>
    <t>The woman is putting make up to the boy's face, and then the boy shows his face.</t>
  </si>
  <si>
    <t>Then, the woman put make on a girl face.</t>
  </si>
  <si>
    <t>The boy and the girl look their faces on a mirror making funny faces and waving.</t>
  </si>
  <si>
    <t>v_9wtMJoqGTg0</t>
  </si>
  <si>
    <t>A girl performances some gymnastics stunts.</t>
  </si>
  <si>
    <t>A girl stands in place facing a lady.</t>
  </si>
  <si>
    <t>The girl holds up her hand.</t>
  </si>
  <si>
    <t>The girl turn around and climbs the gymnastic, wooden bar.</t>
  </si>
  <si>
    <t>With her hands on the bar, the girl lifts and splits her legs above her head.</t>
  </si>
  <si>
    <t>The lady moves a platform to the left side of the bar.</t>
  </si>
  <si>
    <t>The girl sits on the bar with her hand raised.</t>
  </si>
  <si>
    <t>The girl knees on the bar.</t>
  </si>
  <si>
    <t>The girl stands on the bar.</t>
  </si>
  <si>
    <t>The girl lifts off the bar and land on edge of the bar.</t>
  </si>
  <si>
    <t>The girl back flips three times.</t>
  </si>
  <si>
    <t>The girl takes two steps and front flips.</t>
  </si>
  <si>
    <t>The girl lifts of the bar and lands in the same position.</t>
  </si>
  <si>
    <t>The girl turns, jumps in place, and back flips.</t>
  </si>
  <si>
    <t>The girl turns and spins with hands raised.</t>
  </si>
  <si>
    <t>The girl steps forward, jumps and turns.</t>
  </si>
  <si>
    <t>The girls steps forward and front flips and lands at the edge.</t>
  </si>
  <si>
    <t>The girl back flips three times off the bar and lands on a blue mat.</t>
  </si>
  <si>
    <t>v_IbcBQFvcS9o</t>
  </si>
  <si>
    <t>a white house and a backyard full of snow appears a person is cleaning the fron entrance of the house.</t>
  </si>
  <si>
    <t>a car covered in snow appears and the person is cleaning the snow from the car and its open the road in front of the car.</t>
  </si>
  <si>
    <t>a red car appears covered in snow and a person is cleaning the snow .</t>
  </si>
  <si>
    <t>a black car is covered in snow.</t>
  </si>
  <si>
    <t>v_QDjaaUtepHo</t>
  </si>
  <si>
    <t>A pink and yellow logo with lips appears on screen.</t>
  </si>
  <si>
    <t>A male hairdresser works on the hair of a seated woman in a luxury beauty salon.</t>
  </si>
  <si>
    <t>The man dries and applies product to the woman's hair.</t>
  </si>
  <si>
    <t>v_dJVTlZWqYOs</t>
  </si>
  <si>
    <t>A man picks up a bowling ball and throws it down the lane at some pins.</t>
  </si>
  <si>
    <t>He falls onto the ground.</t>
  </si>
  <si>
    <t>The audience behind him applauds him.</t>
  </si>
  <si>
    <t>v_fsyMiHRW3z4</t>
  </si>
  <si>
    <t>A woman stands by a yellow hopscotch and talks to the camera.</t>
  </si>
  <si>
    <t>The woman plays hopscotch on the painted concrete.</t>
  </si>
  <si>
    <t>The woman talks to the camera once again.</t>
  </si>
  <si>
    <t>v_htKhaMfxxrM</t>
  </si>
  <si>
    <t>An opening scene with a child with a light saber deflecting lasers as they hit the wall to introduce a show.</t>
  </si>
  <si>
    <t>A man in a blue t-shirt and glasses is standing in front of an old telephone booth and explains to his followers on Youtube how he had gone to the hospital to fix a damaged knee from an arm wrestling match.</t>
  </si>
  <si>
    <t>Then a video is shown of the incident where he damaged his knee at an arm wrestling match as these two men sit at a table with a referee overlooking as the man in the glasses at the end of the match falls off his chair and walks off stage.</t>
  </si>
  <si>
    <t>v_wCGpPDYfs-s</t>
  </si>
  <si>
    <t>A band is playing music, while a woman in gray suit is singing, and behind her is a man in black suit is also singing, the guy in green shirt is playing the drum, the people in the big room are dancing and singing while others are sitting, two people are talking in one corner while the singing and dancing continue.</t>
  </si>
  <si>
    <t>The guy in green shirt plays the drums.</t>
  </si>
  <si>
    <t>v_mdJHGKABLhU</t>
  </si>
  <si>
    <t>A man and a woman are smiling in a picture.</t>
  </si>
  <si>
    <t>Someone holds a razor over a sink.</t>
  </si>
  <si>
    <t>A man with shaving cream on his beard starts shaving.</t>
  </si>
  <si>
    <t>The man continues shaving his beard.</t>
  </si>
  <si>
    <t>He wipes his face with a towel and smiles.</t>
  </si>
  <si>
    <t>v_m3AbqJNPn-o</t>
  </si>
  <si>
    <t>A young girl has her hair pulled back and glasses on as someone marks here cartilage.</t>
  </si>
  <si>
    <t>Once it is marked,she begins smiling at the camera.</t>
  </si>
  <si>
    <t>The man then grabs a pair of tweezers and clips the girl's ear.</t>
  </si>
  <si>
    <t>The earring is finally in and the girl begins to smile in approval and touches her other ear.</t>
  </si>
  <si>
    <t>v_nMK_jVy5ZuI</t>
  </si>
  <si>
    <t>Several clips are shown of athletes running down a large track into a pit of sand.</t>
  </si>
  <si>
    <t>More people are shown running down the track performing impressive jumps as well as celebrating afterwards.</t>
  </si>
  <si>
    <t>Several clips are shown of athletes running down the track as well as jumping over beams and waving to the audience.</t>
  </si>
  <si>
    <t>v_OMlpKhvmMpA</t>
  </si>
  <si>
    <t>A group of men are seen walking around a table filled with cups while laughing and smiling to one another.</t>
  </si>
  <si>
    <t>One man then jumps on the table and crashes it to the floor while others run around and laugh.</t>
  </si>
  <si>
    <t>v_IjFlVNAWQec</t>
  </si>
  <si>
    <t>A view is seen of people in the ocean.</t>
  </si>
  <si>
    <t>The waters are rough, splashing harshly against the rocks.</t>
  </si>
  <si>
    <t>The people are being knocked off their surfboards.</t>
  </si>
  <si>
    <t>v_ibIRzsC9NjY</t>
  </si>
  <si>
    <t>People are sitting on and riding camels outside.</t>
  </si>
  <si>
    <t>A person is walking and holding a string tied to the camel's face.</t>
  </si>
  <si>
    <t>A light brown liquid is being poured into small glasses.</t>
  </si>
  <si>
    <t>v_7wBrvMGZROQ</t>
  </si>
  <si>
    <t>A man is working out on bars.</t>
  </si>
  <si>
    <t>He has a weight attached to his belt.</t>
  </si>
  <si>
    <t>He goes up and down on the bars.</t>
  </si>
  <si>
    <t>v_g_cdSUwwk8Y</t>
  </si>
  <si>
    <t>We are shown the overgrown yard.</t>
  </si>
  <si>
    <t>A white truck is seen in a driveway.</t>
  </si>
  <si>
    <t>We see the cameraman's shadow.</t>
  </si>
  <si>
    <t>A person in blue is mowing the lawn.</t>
  </si>
  <si>
    <t>A person People are using leaf blowers.</t>
  </si>
  <si>
    <t>The camera pans to show the trees and the garden.</t>
  </si>
  <si>
    <t>v_xywGFiZ0hqs</t>
  </si>
  <si>
    <t>In introduction with show title and website is seen.</t>
  </si>
  <si>
    <t>A woman stands in bathroom and then places a contact lens into her eye.</t>
  </si>
  <si>
    <t>The woman then takes the contact lens back out of her eye.</t>
  </si>
  <si>
    <t>The woman shows a pair of tweezers and uses them to take the contact out of her eye instead.</t>
  </si>
  <si>
    <t>v_Amnp8434e90</t>
  </si>
  <si>
    <t>Various shots of windersurfers are shown on a large body of water with several people swimming off in the distance.</t>
  </si>
  <si>
    <t>The wake boarders ride back and fourth past each other and perform several tricks.</t>
  </si>
  <si>
    <t>The ride close to shore doing tricks one at a time.</t>
  </si>
  <si>
    <t>v_zTrI4pPFIlw</t>
  </si>
  <si>
    <t>He mounts, then proceeds to do many flips and handsprings.</t>
  </si>
  <si>
    <t>When he is finished, he dismounts.</t>
  </si>
  <si>
    <t>v_UtErFzrzcqk</t>
  </si>
  <si>
    <t>A girl hits a piñata blindfolded while the piñata goes up and down in a backyard.</t>
  </si>
  <si>
    <t>Then, the girl take off the cloth on her eyes and smile.</t>
  </si>
  <si>
    <t>v_pLJhoqTpAaI</t>
  </si>
  <si>
    <t>A tire for a bicycle spins, and a man catches it.</t>
  </si>
  <si>
    <t>We see a question written on paper, then a man in a bike shop as he talks.</t>
  </si>
  <si>
    <t>He demonstrates how to remove the rubber of a tire from the frame and replace it.</t>
  </si>
  <si>
    <t>He then talks to the camera a little longer.</t>
  </si>
  <si>
    <t>v_fMRgMeDs9Ck</t>
  </si>
  <si>
    <t>A mans hair is seen close up followed by a razor being used on the sides.</t>
  </si>
  <si>
    <t>A person is seen combing the person's hair while still using the trimmer.</t>
  </si>
  <si>
    <t>The man's head is also seen being shaven on the side.</t>
  </si>
  <si>
    <t>v_-zfOvigQLdA</t>
  </si>
  <si>
    <t>There's a lady swimmer diving into an indoor pool from a tall diving board while a small group of people are watching her perform.</t>
  </si>
  <si>
    <t>The diver stands in one position first to adjust her stance and then gradually steps forward on the diving board.</t>
  </si>
  <si>
    <t>She jumps up high and twists her body as she makes the jump.</t>
  </si>
  <si>
    <t>She ends up hurting herself on the back as she misjudges the distance from the diving board as she falls into the pool.</t>
  </si>
  <si>
    <t>v_Tcf9sOzU-7M</t>
  </si>
  <si>
    <t>Several different intros eventually leads into two men pointing on a field and getting ready for paintball.</t>
  </si>
  <si>
    <t>Then the men run throughout the field and attack each other with paintball guns.</t>
  </si>
  <si>
    <t>They run through the field quickly and attack one another using the paint gun.</t>
  </si>
  <si>
    <t>v_0kykNR9FUWU</t>
  </si>
  <si>
    <t>A girl gymnast in red sparkly leotard is doing gymnastics on a horse bar.</t>
  </si>
  <si>
    <t>She swiftly jumps and does handsprings and back flips on the horse bar.</t>
  </si>
  <si>
    <t>There is a panel of judges watching her in the stadium in Nanning, China.</t>
  </si>
  <si>
    <t>She continues to gracefully walk on the horse bar as she jumps and does a back flip right onto the ground and then walks away.</t>
  </si>
  <si>
    <t>v_sV8nkrbJIKE</t>
  </si>
  <si>
    <t>A close up of food is shown followed by a person putting various ingredients into a mug.</t>
  </si>
  <si>
    <t>They mix around the ingredients, put the mug in the microwave, and take it out in the end showing off the cake.</t>
  </si>
  <si>
    <t>v_79jhPh0PzWQ</t>
  </si>
  <si>
    <t>Someone hits a bat against two balls.</t>
  </si>
  <si>
    <t>The balls go to a loop in the ground.</t>
  </si>
  <si>
    <t>They split apart and go different distances.</t>
  </si>
  <si>
    <t>v_EoYvQ_pn8KE</t>
  </si>
  <si>
    <t>Two women sweep a floor together as a ball glides behind them.</t>
  </si>
  <si>
    <t>They sweep the floor again and one of the women stops for a second as her partner starts sweeping faster.</t>
  </si>
  <si>
    <t>They sweep the floor again with one woman furiously sweeping towards the end as her partner stops for a second and looks up.</t>
  </si>
  <si>
    <t>v_EAp9xQx2o6k</t>
  </si>
  <si>
    <t>People warm out raising the hands and bending.</t>
  </si>
  <si>
    <t>Then, people work out doing stepper workout putting a feet each time.</t>
  </si>
  <si>
    <t>After, people turn before step on the stepper.</t>
  </si>
  <si>
    <t>v_3zjhYw-TVQw</t>
  </si>
  <si>
    <t>There's a man in a blue shirt and beige pants sitting in front yard on brown mulch talking about lawn and garden care.</t>
  </si>
  <si>
    <t>He points to the brown mulch and the shrub near him as he explains the do's and don'ts about lawn care.</t>
  </si>
  <si>
    <t>v_Z3DhUZhoRDA</t>
  </si>
  <si>
    <t>Wall paper on a wall is shown.</t>
  </si>
  <si>
    <t>A person puts a piece of wax paper on the wall paper.</t>
  </si>
  <si>
    <t>They run a brush down the front of the paper.</t>
  </si>
  <si>
    <t>v_3HUoSa_3vpc</t>
  </si>
  <si>
    <t>We see a bartender behind a bar add ice to a glass.</t>
  </si>
  <si>
    <t>The man pours three liquors into a glass and shakes it up.</t>
  </si>
  <si>
    <t>The man pours it in a glass and adds soda.</t>
  </si>
  <si>
    <t>The man squeezes a lemon, stirs in the glass and transfers it to a smaller glass.</t>
  </si>
  <si>
    <t>The man adds a straw and presents the glass to us.</t>
  </si>
  <si>
    <t>v_uWWo9qZh3cU</t>
  </si>
  <si>
    <t>News anchors introduce a clip sitting at a desk in a newsroom.</t>
  </si>
  <si>
    <t>President Obama introduces and interviews a band playing on stage.</t>
  </si>
  <si>
    <t>President Clinton plays the saxophone on stage with a band.</t>
  </si>
  <si>
    <t>President George Bush dances with an African drum player and other diplomats.</t>
  </si>
  <si>
    <t>v_X5Dsemc20pg</t>
  </si>
  <si>
    <t>A man is seen speaking to the camera while presenting various liquids and ingredients.</t>
  </si>
  <si>
    <t>The man mixes ingredients into a glass with fruit for several drinks while stopping to have a drink.</t>
  </si>
  <si>
    <t>He continues making more drinks using different ingredients and speaking to the camera.</t>
  </si>
  <si>
    <t>v_6SFW4g4UVKI</t>
  </si>
  <si>
    <t>A man's face is moving back and forth.</t>
  </si>
  <si>
    <t>The man is shining a shoe.</t>
  </si>
  <si>
    <t>v_ys3NrLuOxMs</t>
  </si>
  <si>
    <t>Green text explains several rules of the game.</t>
  </si>
  <si>
    <t>A man and a boy practice lay ups together, and the coach shows his point of view.</t>
  </si>
  <si>
    <t>They demonstrate a couple of different moves.</t>
  </si>
  <si>
    <t>v_iPk4GeFFcTQ</t>
  </si>
  <si>
    <t>An athletic man is seen running down a long track and throwing a javelin off into the distance with others measuring his throw.</t>
  </si>
  <si>
    <t>The man walks away and high fives a man in the crowd while his score is shown and another steps up to the side.</t>
  </si>
  <si>
    <t>v_gdi_m9LjRAw</t>
  </si>
  <si>
    <t>A man is standing outside holding a chainsaw.</t>
  </si>
  <si>
    <t>He starts cutting down a tree next to him.</t>
  </si>
  <si>
    <t>He stands next to the tree talking.</t>
  </si>
  <si>
    <t>v_wUsmKmxxHYQ</t>
  </si>
  <si>
    <t>A woman is seen speaking to the camera while a woman swims back and fourth in the pool behind her.</t>
  </si>
  <si>
    <t>Clips are then shown close up on how to perform proper swimming techniques while the camera interments with the woman speaking.</t>
  </si>
  <si>
    <t>v_fhtNAMK0Vqk</t>
  </si>
  <si>
    <t>A man wearing a cowboy hat, sunglasses and yellow latex gloves is standing next to a horse in a stable.</t>
  </si>
  <si>
    <t>He is using a blow dryer to dry the horse's wet body.</t>
  </si>
  <si>
    <t>He moves the blow dryer back and forth all over the horse's back to dry it.</t>
  </si>
  <si>
    <t>He is also uses a scrubbing brush on the horse's back to clean the horse.</t>
  </si>
  <si>
    <t>v_o6lTgyb_AkM</t>
  </si>
  <si>
    <t>A painter demonstrates various art pieces in her studio.</t>
  </si>
  <si>
    <t>She sits in her studio, speaking.</t>
  </si>
  <si>
    <t>She grabs a paintbrush and dips it into black paint repeatedly, as she paints a black tree.</t>
  </si>
  <si>
    <t>She grabs a sponge and dips it into green and blue paint while painting the leaves on the tree.</t>
  </si>
  <si>
    <t>She moves on to grab the paintbrush and dips it into black paint repeatedly, and moves on to paint another tree.</t>
  </si>
  <si>
    <t>With the same paint brush, this time dipping it into green paint, she paints the pines of three.</t>
  </si>
  <si>
    <t>She finishes her painting and speaks for a bit.</t>
  </si>
  <si>
    <t>v_zCcUwVzaEac</t>
  </si>
  <si>
    <t>A man sits on a track and talks as he is interviewed.</t>
  </si>
  <si>
    <t>Two men in red walk up the bleachers and one stops to talk to someone.</t>
  </si>
  <si>
    <t>A group of women walk behind the man being interviewer.</t>
  </si>
  <si>
    <t>v_Bm6HrokioXU</t>
  </si>
  <si>
    <t>A man is seen standing around with a large group of kids and leads into the kids play dodgbeall in a large gymnasium.</t>
  </si>
  <si>
    <t>A woman is seen speaking to the camera while more shots of the game are shown and the man speaking to the kids.</t>
  </si>
  <si>
    <t>They are all seen sitting together and the man interviews the kids in a classroom.</t>
  </si>
  <si>
    <t>v_D5EgASje8MQ</t>
  </si>
  <si>
    <t>Lawrence Welk is playing an accordion and directing his band.</t>
  </si>
  <si>
    <t>He is joined by another accordion player.</t>
  </si>
  <si>
    <t>The band stands up to plan and the camera goes back and forth between the accordion players and the band.</t>
  </si>
  <si>
    <t>They continue to play the accordions with the band behind them.</t>
  </si>
  <si>
    <t>v_w6xH78z3l08</t>
  </si>
  <si>
    <t>A man is seen speaking to the camera in front of a car and begins taking a hubcap off.</t>
  </si>
  <si>
    <t>He slides the pieces off of the tire.</t>
  </si>
  <si>
    <t>Finally he puts the hubcap back in place.</t>
  </si>
  <si>
    <t>v_xdl0lyO9ub0</t>
  </si>
  <si>
    <t>A man ina shirt that says beast mode is making a video on what the best free workouts to do without a gym are.</t>
  </si>
  <si>
    <t>He has a weight bar with no weight and he bends over a certain way.</t>
  </si>
  <si>
    <t>He shows you how to use the weight bar for different weight lifting positions.</t>
  </si>
  <si>
    <t>Once he is done with the weight bar he stands back and talks about it all.</t>
  </si>
  <si>
    <t>v_vruB4ViPGuE</t>
  </si>
  <si>
    <t>People are sitting on a bench.</t>
  </si>
  <si>
    <t>A man is drinking from a coffee cup.</t>
  </si>
  <si>
    <t>A woman is drinking from a coffee cup.</t>
  </si>
  <si>
    <t>v_DF8nlagyN6k</t>
  </si>
  <si>
    <t>Two people are on a white slab and they begin fencing one another.</t>
  </si>
  <si>
    <t>There are constant stops and the boy closest to the camera keeps winning.</t>
  </si>
  <si>
    <t>Both of them keep being reset but the outcome is no different and the lady on the side keeps walking back and forth clicking a black button.</t>
  </si>
  <si>
    <t>v_2_Tgrk8iJpE</t>
  </si>
  <si>
    <t>An indoor court is filled with people wearing uniforms and playing dodgeball throwing the balls to either side of the team.</t>
  </si>
  <si>
    <t>A slow motion replay of a dodgeball being thrown and caught is replayed.</t>
  </si>
  <si>
    <t>A man quickly throws a ball and his target catches it, he turns around and walks with his right up straight up in the air while the rest of the players continue to play.</t>
  </si>
  <si>
    <t>A still shot picture of a man holding two balls and black words scrolling from the bottom to the top with the word and number "JARDINE 77" is at the top.</t>
  </si>
  <si>
    <t>v_K5_Rm4MfF9o</t>
  </si>
  <si>
    <t>A man is swimming backward in lake water.</t>
  </si>
  <si>
    <t>The two men shown begin water skiing.</t>
  </si>
  <si>
    <t>They lose their gopro device, and have to scuba to find it, taking more than two weeks to locate the still working device.</t>
  </si>
  <si>
    <t>v_sRMrtzg0nwU</t>
  </si>
  <si>
    <t>Various shots of strings are shown followed by knitting supplies and people knitting in a library.</t>
  </si>
  <si>
    <t>The woman give a small child knit wear and demonstrate how they properly knit to the young girl.</t>
  </si>
  <si>
    <t>v_9DVsv84awMg</t>
  </si>
  <si>
    <t>"EPBF Millennium Series" appears on screen.</t>
  </si>
  <si>
    <t>Opened end of vehicle appears with "www paint-supply net" printed on bumper while tools are placed inside.</t>
  </si>
  <si>
    <t>The car drives down a dark black road with photoshopped objects popping up on either side.</t>
  </si>
  <si>
    <t>The end of the road appears with the word "Paintball FAILs" above it and pictures of paintball below it.</t>
  </si>
  <si>
    <t>The words "Friendly Fire" appear.</t>
  </si>
  <si>
    <t>A group of people play paintball on a grassy field with inflatable obstacles.</t>
  </si>
  <si>
    <t>The words "Stupid Hopper" appear.</t>
  </si>
  <si>
    <t>People once again play paintball on the field.</t>
  </si>
  <si>
    <t>The words "1/3 Lauf" appear.</t>
  </si>
  <si>
    <t>People again play paintball on the field.</t>
  </si>
  <si>
    <t>The word "Fehlstart" appears on screen.</t>
  </si>
  <si>
    <t>People play paintball on the field.</t>
  </si>
  <si>
    <t>Contact information for Paint Supply GmbH appears.</t>
  </si>
  <si>
    <t>v_dRRht9vdYDE</t>
  </si>
  <si>
    <t>There are a few older gentlemen playing a game on ice.</t>
  </si>
  <si>
    <t>They have a coach to help them and he talks about how to curl.</t>
  </si>
  <si>
    <t>He talks about the steps and how to get in the hack, even demonstrating.</t>
  </si>
  <si>
    <t>He seems pretty professional walking on the ice with his shoes on while demonstrating.</t>
  </si>
  <si>
    <t>v_uhAIe9rcjSo</t>
  </si>
  <si>
    <t>A close up is seen of a metal double sink.</t>
  </si>
  <si>
    <t>Then we see two bowls with powder and a cut lime.</t>
  </si>
  <si>
    <t>A woman uses the lime dipped in powder to scrub and then rinse the sink before drying it off, showing off a perfecting clean sink.</t>
  </si>
  <si>
    <t>v_TCcopbAANQ0</t>
  </si>
  <si>
    <t>A person is assembling a bike on a white cloth.</t>
  </si>
  <si>
    <t>They put on a blue apron and gloves.</t>
  </si>
  <si>
    <t>They put handle bars on the bike.</t>
  </si>
  <si>
    <t>v_cAGABdvv5u8</t>
  </si>
  <si>
    <t>two men are riding a water bike in a sea while a big wave is behind them.</t>
  </si>
  <si>
    <t>a lot of scenes of people surfing on big waves on the sea and a city is in the background.</t>
  </si>
  <si>
    <t>v_KjbZvsu0OxE</t>
  </si>
  <si>
    <t>A dog is seen wandering around a yard as well as a man speaking to the camera.</t>
  </si>
  <si>
    <t>The dog moves around the area while the man continues to speak to the camera.</t>
  </si>
  <si>
    <t>The dog runs back and fourth while the camera zooms in on his face.</t>
  </si>
  <si>
    <t>v_YQiTt8b6N60</t>
  </si>
  <si>
    <t>A close up is shown of a woman's eyes.</t>
  </si>
  <si>
    <t>She is sitting on a rock, then biking, then adorning scuba gear.</t>
  </si>
  <si>
    <t>She dives, swimming alongside tropical fish and a nursing shark.</t>
  </si>
  <si>
    <t>She is finally shown wearing sunglasses, smiling and laughing.</t>
  </si>
  <si>
    <t>v_CoHVA7nr82A</t>
  </si>
  <si>
    <t>A man holds a welding device and adjusts it while showing his work area.</t>
  </si>
  <si>
    <t>The welder is held over a steel plate and moved slowly.</t>
  </si>
  <si>
    <t>The man pulls the welder over a copper colored piece of metal.</t>
  </si>
  <si>
    <t>The man puts down his face guard and welds a spot on a piece of metal.</t>
  </si>
  <si>
    <t>The man stops for a break.</t>
  </si>
  <si>
    <t>The man welds a line into a piece of material.</t>
  </si>
  <si>
    <t>The man holds up a hammer chisel over the bar of metal and chips off some pieces.</t>
  </si>
  <si>
    <t>the man uses a wire brush to clean the metal.</t>
  </si>
  <si>
    <t>v_bV_X5E1-T50</t>
  </si>
  <si>
    <t>A girl is sitting and smoking cigarettes.</t>
  </si>
  <si>
    <t>Johnny cash is playing in the background and she has a drink in her hand.</t>
  </si>
  <si>
    <t>She stares into the camera while taking puffs on her cigarette.</t>
  </si>
  <si>
    <t>She fixes her hair a bit while looking into the camera.</t>
  </si>
  <si>
    <t>She smiles into the camera and leans closer.</t>
  </si>
  <si>
    <t>v_G-fsWVYrAgc</t>
  </si>
  <si>
    <t>A woman stands on front a table with baby products, then the woman rolls up diapers and puts around a circular container with a ribbon.</t>
  </si>
  <si>
    <t>After, the woman puts diapers around a folded towel with a ribbon.</t>
  </si>
  <si>
    <t>Next, the woman fills the circular container with baby products and put on top the towel, a plush and a bottle.</t>
  </si>
  <si>
    <t>v_WW0Sm6oDc9M</t>
  </si>
  <si>
    <t>A boy picks up a bowling ball and runs down the lane.</t>
  </si>
  <si>
    <t>He dives into the pins at the end.</t>
  </si>
  <si>
    <t>He runs back and falls onto the lane.</t>
  </si>
  <si>
    <t>v_i0rC2mfp7mI</t>
  </si>
  <si>
    <t>A man dressed in all black and a mask on is outside in a public place playing and instrument with bags in the middle and small keyboard on the outside of it.</t>
  </si>
  <si>
    <t>As he plays,multiple people walk by continuing on with their life.</t>
  </si>
  <si>
    <t>None of them acknowledge him and the hat in front of hi remains empty.</t>
  </si>
  <si>
    <t>v_8w9pf_Ecm_U</t>
  </si>
  <si>
    <t>Two girls holding pom poms perform a dance routine in a gymnasium.</t>
  </si>
  <si>
    <t>Several people are shown watching in the background while the girls continue to do flexible moves.</t>
  </si>
  <si>
    <t>The grab canes and continue spinning the canes while doing splits and various other dance moves.</t>
  </si>
  <si>
    <t>v_LNKdVrX_0Fg</t>
  </si>
  <si>
    <t>A woman wearing overalls is talking to the camera.</t>
  </si>
  <si>
    <t>She lays out wrapping paper, showing how to wrap a toy in it.</t>
  </si>
  <si>
    <t>She wraps it around the toy, then tapes it up.</t>
  </si>
  <si>
    <t>v_I6gc2AjcYOY</t>
  </si>
  <si>
    <t>We see a lady washing a white towel in a sink.</t>
  </si>
  <si>
    <t>The lady lifts the towel up.</t>
  </si>
  <si>
    <t>The lady picks something up off the floor.</t>
  </si>
  <si>
    <t>The lady wrings out the towel in the sink.</t>
  </si>
  <si>
    <t>the lady then walks away.</t>
  </si>
  <si>
    <t>v_b87ec6jTm_M</t>
  </si>
  <si>
    <t>We see a black screen with the intro.</t>
  </si>
  <si>
    <t>We see people in blue playing drums.</t>
  </si>
  <si>
    <t>A title screen appears and we see another team.</t>
  </si>
  <si>
    <t>Another title screen and a team with a man jumping a ribbon.</t>
  </si>
  <si>
    <t>The title appears twice and we see a red team.</t>
  </si>
  <si>
    <t>The title screen returns and we see a team in purple.</t>
  </si>
  <si>
    <t>The title returns 3 times and people are outdoors practicing.</t>
  </si>
  <si>
    <t>We see people perform in front of a crowd.</t>
  </si>
  <si>
    <t>We see a bunch of quick shots of teams, then the ending screen.</t>
  </si>
  <si>
    <t>v_w9cJ3FNGw_U</t>
  </si>
  <si>
    <t>A cowboy on a horse is released from a gate.</t>
  </si>
  <si>
    <t>He lassos a little calf.</t>
  </si>
  <si>
    <t>He dismounts, then ties the calf.</t>
  </si>
  <si>
    <t>v_LxLvhGHwca8</t>
  </si>
  <si>
    <t>Several people are seen wandering around a dark city while wearing stilts on their feet to walk.</t>
  </si>
  <si>
    <t>The people continue walking and jumping around on the stilts while waving to the camera and sitting on the ground.</t>
  </si>
  <si>
    <t>v_27Pg4wHah2I</t>
  </si>
  <si>
    <t>A man is seated at a piano, looking confused as he plays and an elderly woman watches.</t>
  </si>
  <si>
    <t>He speeds his playing as she stands.</t>
  </si>
  <si>
    <t>The audience looks perplexed and amused, dancing in place.</t>
  </si>
  <si>
    <t>The people get up and dance to the music.</t>
  </si>
  <si>
    <t>He then walks away with his arm in a woman's.</t>
  </si>
  <si>
    <t>v_UzCeMCr0lM8</t>
  </si>
  <si>
    <t>A woman peels a potatoes in a rustic kitchen.</t>
  </si>
  <si>
    <t>Then, the woman takes another potatoes and peels it with a knife.</t>
  </si>
  <si>
    <t>After, the woman puts the potatoe on adish.</t>
  </si>
  <si>
    <t>v_YnG1Uhh2h5E</t>
  </si>
  <si>
    <t>Two young man and a man play pool hitting white balls with a cue stick.</t>
  </si>
  <si>
    <t>The young man hits balls that land in the pocket of the pool table.</t>
  </si>
  <si>
    <t>Then, the man puts the balls in a metal triangle and arrange others balls.</t>
  </si>
  <si>
    <t>After, the young man strikes the white ball but immidiately stop it with the cue sticks.</t>
  </si>
  <si>
    <t>Next, the young man strikes the balls and sends a white ball to a pocket.</t>
  </si>
  <si>
    <t>The man strikes a white ball and send balls in the pocket.</t>
  </si>
  <si>
    <t>At the end, the young man puts the ball inside a metal triangle.</t>
  </si>
  <si>
    <t>v_rDWa3Z2IaIw</t>
  </si>
  <si>
    <t>Three girls are standing together on a green floor talking with one another about a sport.</t>
  </si>
  <si>
    <t>One person is then shown playing Field hockey and then comes back to talk about what she has just done.</t>
  </si>
  <si>
    <t>Next,they go over the correct ways to defend the ball and then they all begin talking one by one about the sport again.</t>
  </si>
  <si>
    <t>After,a screen appears with the question,"What if the game is tied?"and the young lady goes into detail for the answer.</t>
  </si>
  <si>
    <t>Finally the questions are answered and they all come back together and close out the video.</t>
  </si>
  <si>
    <t>v_fo0gFCcKdtg</t>
  </si>
  <si>
    <t>People are paddling canoes in an indoor pool.</t>
  </si>
  <si>
    <t>A boy paddles a canoe.</t>
  </si>
  <si>
    <t>The boy leans to the side, and the canoe flips over.</t>
  </si>
  <si>
    <t>The boy swims to the surface of the water.</t>
  </si>
  <si>
    <t>v_B69Fkd_L9gA</t>
  </si>
  <si>
    <t>There's man standing on his deck that is covered with snow.</t>
  </si>
  <si>
    <t>He is getting ready to get into his hot tub on his deck.</t>
  </si>
  <si>
    <t>He walks bare foot through the snow to get into his hot tub.</t>
  </si>
  <si>
    <t>He begins to shovel the snow off the deck to make it easier for him to walk.</t>
  </si>
  <si>
    <t>He clears the snow from the deck to create a pathway to the hot tub.</t>
  </si>
  <si>
    <t>v_jTChoOFb05w</t>
  </si>
  <si>
    <t>Various shots of landscapes are shown as well as people driving and other's being interviewed.</t>
  </si>
  <si>
    <t>Several shots of people on the beach are shown and leads into people playing various sports on the beach.</t>
  </si>
  <si>
    <t>The people play back and fourth while others interview and many watch on the sides.</t>
  </si>
  <si>
    <t>v_Qp_zbvHLwLk</t>
  </si>
  <si>
    <t>A woman is seen pushing a lawn mower along a yard and stopping to pull the string and get it going.</t>
  </si>
  <si>
    <t>The woman continues pushing the mower along the lawn and moving back to where she started.</t>
  </si>
  <si>
    <t>v_Lr-FutvMXoA</t>
  </si>
  <si>
    <t>A person is pole volting over a beam followed by several more clips of people jumping.</t>
  </si>
  <si>
    <t>More people are shown using the bar to pole volt over a beam.</t>
  </si>
  <si>
    <t>v_wr2FC2P3hIs</t>
  </si>
  <si>
    <t>A row of clippers,brushes,and razors are being shown.</t>
  </si>
  <si>
    <t>Shortly after,the front of the building is shown and the name on the plaza is shown.</t>
  </si>
  <si>
    <t>A man with long curly hair is shown sitting in the barbershop getting his hair down and the barber is using a combination of scissors,brushes, and blow dryers to complete the look.</t>
  </si>
  <si>
    <t>Once done, a still image of the barber and his information is shown for advertisement.</t>
  </si>
  <si>
    <t>v_rMevLL0KHzc</t>
  </si>
  <si>
    <t>A person is seen riding on a horse around others while speaking to other people and kids holding up a sign.</t>
  </si>
  <si>
    <t>The kids continue to hold signs and look to the camera while more people ride around on horses.</t>
  </si>
  <si>
    <t>More clips are shown of people riding horses and kids wearing helmets.</t>
  </si>
  <si>
    <t>v_hEoASC7qC28</t>
  </si>
  <si>
    <t>A man is sitting in the water holding a rope.</t>
  </si>
  <si>
    <t>He gets up and starts wake boarding.</t>
  </si>
  <si>
    <t>He falls back into the water.</t>
  </si>
  <si>
    <t>v_vX0xxYxGj-4</t>
  </si>
  <si>
    <t>Two lines of people stand over a long rope.</t>
  </si>
  <si>
    <t>Each line picks up the rope and starts playing tug rope while a large crowd watches.</t>
  </si>
  <si>
    <t>The team wearing light blue shirts wins the round.</t>
  </si>
  <si>
    <t>v_JQ3mObvro1s</t>
  </si>
  <si>
    <t>A white intro screen appears with small circle pictures of a man at the upper left, a woman at the bottom right, and the words "HOOKED ON RUNNING Smart training for busy women" in the middle.</t>
  </si>
  <si>
    <t>A woman wearing a hat, glasses and a long sleeved hot pink top is standing in front of a brick wall and talking.</t>
  </si>
  <si>
    <t>The woman is now standing behind a table and is putting crumpled up papers into a running shoe and stuffing it as much as she can.</t>
  </si>
  <si>
    <t>The woman then grabs a pink sole from the shoe and pours baking soda all over the top.</t>
  </si>
  <si>
    <t>The woman then grabs a toothbrush and the show she just stuffed and motions scrubbing but doesn't really do it, then puts both the toothbrush and the shoe out of sight.</t>
  </si>
  <si>
    <t>The woman grabs another pair of shoes, the right shoe is unlaced and the left shoe is laced and she's holding onto them then puts them down.</t>
  </si>
  <si>
    <t>v_uXPm6SMQH1M</t>
  </si>
  <si>
    <t>A black horse is standing in a stable with several yellow things on his hair.</t>
  </si>
  <si>
    <t>A woman then appears and begin shaving off all of the horse's hair.</t>
  </si>
  <si>
    <t>The side is completely gone and when she moves from the back she goes underneath his body to remove that hair as well.</t>
  </si>
  <si>
    <t>v_Z8QrA66UVzI</t>
  </si>
  <si>
    <t>A man is seen standing in front of a window speaking to the camera while wearing a headpiece.</t>
  </si>
  <si>
    <t>The man then brushes along the sides of the window and points back and fourth to the window while speaking to the camera.</t>
  </si>
  <si>
    <t>v_f3spxjpfuxM</t>
  </si>
  <si>
    <t>A man is shown speaking to the camera then kneels down and presses carpet down with a tool.</t>
  </si>
  <si>
    <t>He then screws in the stairs and kneel down while still speaking to the camera.</t>
  </si>
  <si>
    <t>v_meMZuh8iNDs</t>
  </si>
  <si>
    <t>A woman talks and shows her long French braid.</t>
  </si>
  <si>
    <t>Then, the woman lie on the bed and brush her hair on the border of the bed.</t>
  </si>
  <si>
    <t>Then, the woman takes a lock of front hair and braid taking hair from sides.</t>
  </si>
  <si>
    <t>Then, the woman shows the braid while continues talking.</t>
  </si>
  <si>
    <t>v_L5nqeFWufrE</t>
  </si>
  <si>
    <t>There's a diver participating in an event in a large stadium in lots of spectators.</t>
  </si>
  <si>
    <t>He is jumping off the dash board and diving into the deep swimming pool.</t>
  </si>
  <si>
    <t>While diving he accidentally bumps his head on the diving board and injures himself.</t>
  </si>
  <si>
    <t>He expresses pain as he gets off the pool and his coach comes to help him.</t>
  </si>
  <si>
    <t>The second time when the diver dives, he manages to successfully make it into the swimming pool without injuries.</t>
  </si>
  <si>
    <t>Another historic diving event is shown where the diver accidentally hurts his head on the diving board while diving into the pool.</t>
  </si>
  <si>
    <t>v_oJCB2Zglcq4</t>
  </si>
  <si>
    <t>A small group of people are seen standing inside a fenced in area with a man sitting on a horse.</t>
  </si>
  <si>
    <t>The man rides into the pit and chases a calf with a rope.</t>
  </si>
  <si>
    <t>The man ties up the calf after it's caught and climbs back on the horse while another unties the calf.</t>
  </si>
  <si>
    <t>v_r4bI22hGTg4</t>
  </si>
  <si>
    <t>There are kids bouncing in trampolines.</t>
  </si>
  <si>
    <t>Several kids are jumping up and down.</t>
  </si>
  <si>
    <t>The camera is very shaky.</t>
  </si>
  <si>
    <t>v_ZsXJw0d3QbU</t>
  </si>
  <si>
    <t>They begin going and bumping into each other.</t>
  </si>
  <si>
    <t>People are standing behind the gate watching them.</t>
  </si>
  <si>
    <t>A man in a blue shirt is walking in front of them.</t>
  </si>
  <si>
    <t>v_STaS53CNlZI</t>
  </si>
  <si>
    <t>An intro that's a blue screen with white words that read "MegaZip Sentosa dot Singapore dot November 2010" appear on the screen.</t>
  </si>
  <si>
    <t>Four people appear near a railing where they are all attached to harnesses.</t>
  </si>
  <si>
    <t>A man puts his hand on the woman's shoulder and guides her to the opening where she is to leave but a blue screen appears with the white words say "yes",then it goes back to the woman getting ready to jump and she bends her knees and a blue screen appears and say's "no", and she shakes her head and backs away.</t>
  </si>
  <si>
    <t>A blue screen appears again and it says "OK Maybe"and the woman once again gets ready to jump at the opening and at the same time the other man who is attached to the harness is also ready to go.</t>
  </si>
  <si>
    <t>A blue screen appears that say's "no" but the woman and the man do let go and they go zip lining across the heavily tree green forest below and a blue screen appears again and say's "I Think She Said Yes?".</t>
  </si>
  <si>
    <t>A new group is now harnessed and they are filmed taking their turns going down the zip line and the man holding the camera turns it to himself to reveal a close up shot of his smiling face as well as the scenery around him which include the forest below them and the beach at the ending point.</t>
  </si>
  <si>
    <t>They reach the end of the zip line and the worker begins to pull them to the landing point where a close up of the worker appears and he also has a big smile on his face while he other zip liners are standing there and smiling as well.</t>
  </si>
  <si>
    <t>The view changes to ground view and it shows what the zip liners look like from the ground.</t>
  </si>
  <si>
    <t>The blue outro appears and the words "Sentosa MegaZip November 2010 The End" are displayed.</t>
  </si>
  <si>
    <t>v_goSGYjLTGnQ</t>
  </si>
  <si>
    <t>A young male dressed in an red jumpsuit is on the stage break dancing.</t>
  </si>
  <si>
    <t>Once he is finished,a group of guys swarm him and they all point to another boy so he can take the stage.</t>
  </si>
  <si>
    <t>The boy comes along and starts flipping and doing a variation of the robot.</t>
  </si>
  <si>
    <t>All of the men behind him then become his background dancers as the boy takes a microphone and begins singing.</t>
  </si>
  <si>
    <t>v_Ej_a4iCd45I</t>
  </si>
  <si>
    <t>We see the title cards on blue.</t>
  </si>
  <si>
    <t>We see men playing beach volleyball.</t>
  </si>
  <si>
    <t>We see an interview with a man.</t>
  </si>
  <si>
    <t>Two men high five each other the men all trade sides.</t>
  </si>
  <si>
    <t>The ball lands on the ground.</t>
  </si>
  <si>
    <t>A man kicks the ball to the other side.</t>
  </si>
  <si>
    <t>A man jumps and spins in the air.</t>
  </si>
  <si>
    <t>The man in gray daces as the other men jump around.</t>
  </si>
  <si>
    <t>The men pose for a photo.</t>
  </si>
  <si>
    <t>The title card is shown and we fade out.</t>
  </si>
  <si>
    <t>v_QfUTGmlNO1s</t>
  </si>
  <si>
    <t>A clip of an old tv show is shown with a woman washing dishes and a young girl stepping into frame.</t>
  </si>
  <si>
    <t>The woman hands the girl a glass of water and is shown again in various angles, ending with a woman washing clothes.</t>
  </si>
  <si>
    <t>v_JWb0-VdfZI4</t>
  </si>
  <si>
    <t>A small child is seen standing on the sidewalk and looking off into the distance.</t>
  </si>
  <si>
    <t>The girl then throws the rock and begins playing a game of hopscotch.</t>
  </si>
  <si>
    <t>She throws and hops several times while stopping to look to the camera.</t>
  </si>
  <si>
    <t>v_YFTQImGp_nY</t>
  </si>
  <si>
    <t>A television announcer claps on her legs while singing introducing a show.</t>
  </si>
  <si>
    <t>A group of dancers in colorful costumes do an dance act with hula hoops.</t>
  </si>
  <si>
    <t>The audience is seen and members clap for the group.</t>
  </si>
  <si>
    <t>The older members of the group hold up poles for the children dancing to swing from.</t>
  </si>
  <si>
    <t>The hula hoop dancers get even more hoops for the finale.</t>
  </si>
  <si>
    <t>Confetti rains from the air onto the performers.</t>
  </si>
  <si>
    <t>The announcer stands up and claps for the group.</t>
  </si>
  <si>
    <t>v_rCwolEeHY80</t>
  </si>
  <si>
    <t>A man sits with shears resting in hand in a rose garden.</t>
  </si>
  <si>
    <t>The man clips dead roses from a rose bush with shears.</t>
  </si>
  <si>
    <t>The man clips whole branches near the base of the rose bushes.</t>
  </si>
  <si>
    <t>Dying rose bush leaves a seen up close.</t>
  </si>
  <si>
    <t>Healthy rose bush leaves are seen up close.</t>
  </si>
  <si>
    <t>v_boqfpo3YAps</t>
  </si>
  <si>
    <t>Several pictures are shown of a woman standing by herself as well as with friends.</t>
  </si>
  <si>
    <t>Video footage is then shown of her running alongside a large group of people while many watch on the sides.</t>
  </si>
  <si>
    <t>More pictures are shown of her finishing the race as well as others.</t>
  </si>
  <si>
    <t>v_bEt8fGREAAA</t>
  </si>
  <si>
    <t>A man with a saxaphone around his neck talks to the camera in a dim room.</t>
  </si>
  <si>
    <t>The camera changes like a box spinning.</t>
  </si>
  <si>
    <t>The man looks around then he is playing his saxophone.</t>
  </si>
  <si>
    <t>A website a person the screen in the lower left corner and the screen fades.</t>
  </si>
  <si>
    <t>v_sYJgYpQknw0</t>
  </si>
  <si>
    <t>The front of a large brown building with snow in front of it is shown.</t>
  </si>
  <si>
    <t>In the inside,there is a ping pong table and two adult males begin walking towards each other.</t>
  </si>
  <si>
    <t>They then begin playing ping pong with nun-chucks and using their feet to hit the ball.</t>
  </si>
  <si>
    <t>As the game progresses,more balls are added and they continue to play without missing one ball.</t>
  </si>
  <si>
    <t>The game intensifies and the man on the right misses the ball and the man congratulates himself.</t>
  </si>
  <si>
    <t>v_3YDQ9wZtIgw</t>
  </si>
  <si>
    <t>A large group of people are seen running around a field playing a game of lacrosse with one another.</t>
  </si>
  <si>
    <t>The players run up and down the field while the camera captures their movements.</t>
  </si>
  <si>
    <t>The men continue playing around one another while people watch on the side and cheer them on.</t>
  </si>
  <si>
    <t>v_C9yUg3e1dEg</t>
  </si>
  <si>
    <t>A man is lifting a large weight over his head several times.</t>
  </si>
  <si>
    <t>A woman walks in front of him.</t>
  </si>
  <si>
    <t>A man in a black shirt stands behind him.</t>
  </si>
  <si>
    <t>v_ybcStSlBGPc</t>
  </si>
  <si>
    <t>A lighted jack-o-lantern comes into focus.</t>
  </si>
  <si>
    <t>The jack-o-lantern moves towards the camera.</t>
  </si>
  <si>
    <t>A young woman is talking very animatedly in front of a white wall.</t>
  </si>
  <si>
    <t>The woman holds a small pumpkin in her hand while talking.</t>
  </si>
  <si>
    <t>The woman holds up a piece of paper with some stickers on it.</t>
  </si>
  <si>
    <t>The pumpkin is seen moving on it's own on a table with a black tablecloth.</t>
  </si>
  <si>
    <t>The pumpkin spins around showing some cartoon faces.</t>
  </si>
  <si>
    <t>An animation of a knife stabs the pumpkin and a cat runs back and forth next to the table.</t>
  </si>
  <si>
    <t>The pumpkin is replaced with other objects one at a time, a knife, a spoon, a candle, etc.</t>
  </si>
  <si>
    <t>The woman is wearing a sticker of a mustache on her face and draws on the small pumpkin with a black felt pen.</t>
  </si>
  <si>
    <t>The woman holds a knife and begins carving the pumpkin along the lines she drew.</t>
  </si>
  <si>
    <t>The woman scoops out the pumpkin seeds with a spoon and puts the seeds in a Halloween themed paper cup.</t>
  </si>
  <si>
    <t>The woman continues carving the face of the pumpkin to turn it into a jack-o-lantern.</t>
  </si>
  <si>
    <t>The woman cleans up the face of the jack-o-lantern with a towel and places the top with the stem back on.</t>
  </si>
  <si>
    <t>The woman places the candle inside the jack-o-lantern.</t>
  </si>
  <si>
    <t>The woman flicks on a disposable lighter.</t>
  </si>
  <si>
    <t>The lighted jack-o-lantern is seen once again moving on it's own on the black table.</t>
  </si>
  <si>
    <t>The video ends and shows a split screen with samples from three other videos the woman has made, with a "Subscribe" button in the middle.</t>
  </si>
  <si>
    <t>v_weB3srg6o4c</t>
  </si>
  <si>
    <t>man is sitting in a handwash and another man enters in the bathrrom and start a conversation.</t>
  </si>
  <si>
    <t>man is spreading toothpaste in toothbrush and wash their tooth.</t>
  </si>
  <si>
    <t>v_EE1UoJSNyms</t>
  </si>
  <si>
    <t>A man rakes leaves from the yard into a pile and dumps them in a metal trash bin.</t>
  </si>
  <si>
    <t>The man puts his tools away in the shed and carries away a bag of leaves.</t>
  </si>
  <si>
    <t>v_w2zTEQMg_v0</t>
  </si>
  <si>
    <t>A group of men and women of various ages are working out on elliptical exercise machines.</t>
  </si>
  <si>
    <t>A man, wearing only work out shorts, wipes sweat from his brown and leans against a wall.</t>
  </si>
  <si>
    <t>A fit woman's body in a white bikini exhibits as a woman and a man in work out clothes appear working out on elliptical machines.</t>
  </si>
  <si>
    <t>The woman and man then appear dressed in full casual attire before returning to the elliptical machines in work out gear, and cycling backwards and forwards on the elliptical machines again and showcasing fit profiles both alone and on the machine.</t>
  </si>
  <si>
    <t>v_TN73eY7B208</t>
  </si>
  <si>
    <t>A group of female in a big studio are wearing black, they are in a formation, then the man in black vest and white pants walked at the center.</t>
  </si>
  <si>
    <t>The females and man started to march, then danced, putting their arms up, then down and then they go forward then backward, sideways, and move their arms side to side, they also shake their hips and body.</t>
  </si>
  <si>
    <t>v_rDGbxMgkt7w</t>
  </si>
  <si>
    <t>Several women are outside on a stage doing several exercises and working out as a group.</t>
  </si>
  <si>
    <t>As they continue,several people begin to walk by the stage and watch them perform.</t>
  </si>
  <si>
    <t>The instructors continue to dance and amp up the other teams to dance and they end by clapping it off together.</t>
  </si>
  <si>
    <t>v_obt6wudzHxY</t>
  </si>
  <si>
    <t>Instruction on how to braid your hair.</t>
  </si>
  <si>
    <t>A girl in a grey t-shirt demonstrates how to braid your hair and shows a step by step process.</t>
  </si>
  <si>
    <t>Some tips are displayed in print.</t>
  </si>
  <si>
    <t>The hair stylist shows the finished product while dresses in a black top and sunglasses.</t>
  </si>
  <si>
    <t>v_xfThpRE6bLc</t>
  </si>
  <si>
    <t>A few people attempt to surf in an ocean.</t>
  </si>
  <si>
    <t>Sometimes they fall, but often the surfers do a great job.</t>
  </si>
  <si>
    <t>v_g-Egl6eXlX4</t>
  </si>
  <si>
    <t>A man is sitting in a barber chair.</t>
  </si>
  <si>
    <t>Another man starts shaving the sides of his head.</t>
  </si>
  <si>
    <t>He blow dries his hair and styles it.</t>
  </si>
  <si>
    <t>He puts some gel in his hair.</t>
  </si>
  <si>
    <t>v_XLOhMBLYy2g</t>
  </si>
  <si>
    <t>A camera pans all around a lake and trees an leads into people pulling a rope along.</t>
  </si>
  <si>
    <t>A man ties the rope into place and shows several clips of people hanging on the rope as well as walking.</t>
  </si>
  <si>
    <t>More clips are shown of people walking along the rope as well as more landscapes.</t>
  </si>
  <si>
    <t>v_pVehZjbud_M</t>
  </si>
  <si>
    <t>A lady plays with her hair.</t>
  </si>
  <si>
    <t>The lady brushes the bottom of her hair by stretching her arm upwards she brushes the top then the ends and finishes.</t>
  </si>
  <si>
    <t>v_s9Q8SZbixV4</t>
  </si>
  <si>
    <t>A group of people are in a high school gym.</t>
  </si>
  <si>
    <t>Males are partnered with females and they are holding hands.</t>
  </si>
  <si>
    <t>Now they are all dancing the same dance.</t>
  </si>
  <si>
    <t>It appears to be some sort of tango dance.</t>
  </si>
  <si>
    <t>The men are twirling the girls around their hands.</t>
  </si>
  <si>
    <t>The men are leading the girls in the dance.</t>
  </si>
  <si>
    <t>The girls are twirling around the boys.</t>
  </si>
  <si>
    <t>The dancing continues for many more moments.</t>
  </si>
  <si>
    <t>The girls and boys separate.</t>
  </si>
  <si>
    <t>The girls twirl scarfs around, then the boys pick them up to finish.</t>
  </si>
  <si>
    <t>v_nm2sHNDN7Lo</t>
  </si>
  <si>
    <t>We see a man in a pink shirt throw a ball in a cup in a game of beer pong.</t>
  </si>
  <si>
    <t>The man on the left team blows the ball out of the cup.</t>
  </si>
  <si>
    <t>The man and the two ladies laugh and cheer and he high fives one lady.</t>
  </si>
  <si>
    <t>The man makes hand signs.</t>
  </si>
  <si>
    <t>v_Ig_AvatvYrk</t>
  </si>
  <si>
    <t>There is a young man dressed in a black shirt going round in circles to show his hair from the front and back.</t>
  </si>
  <si>
    <t>Then he takes a spray bottle and sprays his hair with water and combs it.</t>
  </si>
  <si>
    <t>He then takes a razor and begins shaving the sides and the back of his head.</t>
  </si>
  <si>
    <t>He takes a pair of scissors and starts trimming the top part of hair.</t>
  </si>
  <si>
    <t>He uses a black comb and scissors to point cut his hair.</t>
  </si>
  <si>
    <t>He holds the hair in his hand as he trims it.</t>
  </si>
  <si>
    <t>He takes the razor again and shaves the sides.</t>
  </si>
  <si>
    <t>He takes the scissors too and trims his hair.</t>
  </si>
  <si>
    <t>He then blow dries his hair.</t>
  </si>
  <si>
    <t>He takes a small amount of hair gel on his finger from the container and rubs it through the long section of his hair.</t>
  </si>
  <si>
    <t>He then combs the hair to style it.</t>
  </si>
  <si>
    <t>He runs his fingers through the hair to finish off the look.</t>
  </si>
  <si>
    <t>He rotates around to show his hairstyle from all angles.</t>
  </si>
  <si>
    <t>v_fL8Gzk7ALxQ</t>
  </si>
  <si>
    <t>A group of people is gathered in a circle.</t>
  </si>
  <si>
    <t>Two men are in the circle demonstrating a martial art.</t>
  </si>
  <si>
    <t>Several men in the circle play an instrument.</t>
  </si>
  <si>
    <t>v_pLcrLi5oAvU</t>
  </si>
  <si>
    <t>A hair dresser is cutting a mans hair, starting at the top.</t>
  </si>
  <si>
    <t>Then, he starts at the back cut and combing back there.</t>
  </si>
  <si>
    <t>After that he uses some clippers to clip some of the harder areas.</t>
  </si>
  <si>
    <t>Finally using the comb to style it a bit and give it finishing touches.</t>
  </si>
  <si>
    <t>v_mhsotF4wdG8</t>
  </si>
  <si>
    <t>two guys appears in a backyard and are speaking to the camera.</t>
  </si>
  <si>
    <t>guys are in a wood surface playing rock paper scissors and the loser is given a wooden hit in the nuts and fell to the floor.</t>
  </si>
  <si>
    <t>man is talking to camera and other guys are in the back adn then talking to the winner.</t>
  </si>
  <si>
    <t>they are playing round two o rock paper scissors and again the loser is fiven a wooden hit in the nuts and a man is talking to the camera.</t>
  </si>
  <si>
    <t>the guys make the final round of rock paper scissors and the winner is announced, one of the men gaves a hit in the nuts to both guys.</t>
  </si>
  <si>
    <t>v_JvFo4uTvmYs</t>
  </si>
  <si>
    <t>A person stands on a mat.</t>
  </si>
  <si>
    <t>They run down a runway holding a pole and vault over a bar.</t>
  </si>
  <si>
    <t>They land on their back on a mat.</t>
  </si>
  <si>
    <t>v_Ia3Aa4AO-_E</t>
  </si>
  <si>
    <t>two twins dressed in the same way and with the same hairstyle are in a room talking to the camera.</t>
  </si>
  <si>
    <t>the man in the back start putting some boxers above the pants and the man in front continue speaking to the camera.</t>
  </si>
  <si>
    <t>Man in front holds a brushteeth and put some toothpaste and clean his teeth, then the guy introduces the toothbrush into a honey pot and brush the teeth with it.</t>
  </si>
  <si>
    <t>man in front holds an hairbrush and the other guy drinks water, the other guy holds a toothbrush with jam and brush his teeth.</t>
  </si>
  <si>
    <t>v_2CfCDcCuOO4</t>
  </si>
  <si>
    <t>A small dog is playing with a pink frisbee.</t>
  </si>
  <si>
    <t>A man in a white shirt and red shorts lays down and puts his feet in the air.</t>
  </si>
  <si>
    <t>The dog stands on top of the mans feet.</t>
  </si>
  <si>
    <t>People are watching them on the sidelines.</t>
  </si>
  <si>
    <t>v_QPxiOzXkUFM</t>
  </si>
  <si>
    <t>man is sitting on a boat in a calm lake.</t>
  </si>
  <si>
    <t>car is being driven in a highway with cars standing on the sides.</t>
  </si>
  <si>
    <t>photo of a iver is shown and he car going through the haighway and arriving to a lake.</t>
  </si>
  <si>
    <t>people are in boat paddling in the river and arriving to a camp on pier.</t>
  </si>
  <si>
    <t>v_KQvqRh1mY8c</t>
  </si>
  <si>
    <t>A man runs holding a pole with both hands.</t>
  </si>
  <si>
    <t>Then, she jumps high with the pole to pass over an horizontal bar.</t>
  </si>
  <si>
    <t>The man falls on the mat.</t>
  </si>
  <si>
    <t>v_nSuPseBeQI0</t>
  </si>
  <si>
    <t>A couple of boys are riding skateboards.</t>
  </si>
  <si>
    <t>They watch another couple of men playing basketball.</t>
  </si>
  <si>
    <t>They argue, then the basketball players leave.</t>
  </si>
  <si>
    <t>v_1SXVKikAHdM</t>
  </si>
  <si>
    <t>a box of rollerbldes is shown and the lid is opened amd tje accesories are shown with the rollerblades.</t>
  </si>
  <si>
    <t>man is in street skating and showing pictures of the skates.</t>
  </si>
  <si>
    <t>v_erXZ0pZEtGE</t>
  </si>
  <si>
    <t>A woman in a parking lot is bouncing up and down with some kind of pogo stick attachments on her legs.</t>
  </si>
  <si>
    <t>The woman walks around the parking lot.</t>
  </si>
  <si>
    <t>The woman starts bouncing up and down while walking around.</t>
  </si>
  <si>
    <t>A man walks up and talks to the woman.</t>
  </si>
  <si>
    <t>The woman holds the man's hands for balance while bouncing.</t>
  </si>
  <si>
    <t>v_u2uoYvo8J5s</t>
  </si>
  <si>
    <t>A man is opening his back door to let a little girl outside.</t>
  </si>
  <si>
    <t>The man is following the little girl.</t>
  </si>
  <si>
    <t>A little girl walks and points toward the camera.</t>
  </si>
  <si>
    <t>A dog enters the scene and the little girl jumps with happiness.</t>
  </si>
  <si>
    <t>The little girl walks around her slide.</t>
  </si>
  <si>
    <t>The little girl starts to climb up the slide and the man helps her get to the top.</t>
  </si>
  <si>
    <t>The little girl begins to play with the wheel and gets on her knees.</t>
  </si>
  <si>
    <t>The man helps the little girl go down the slide.</t>
  </si>
  <si>
    <t>The little girl goes to the swing and the man helps her into it.</t>
  </si>
  <si>
    <t>The little girl points at the camera.</t>
  </si>
  <si>
    <t>The man pushes the little girl on the swing.</t>
  </si>
  <si>
    <t>v_wBy9_ZSfEVA</t>
  </si>
  <si>
    <t>People run dragging a large red kite through a field.</t>
  </si>
  <si>
    <t>The kite is in the air and the kids are standing under it watching it.</t>
  </si>
  <si>
    <t>The kite is in the air flying.</t>
  </si>
  <si>
    <t>A man and a little girl and a boy are flying the kite and holding the base of it.</t>
  </si>
  <si>
    <t>A little girl throws something on the ground.</t>
  </si>
  <si>
    <t>v_jmS3NFo4XCc</t>
  </si>
  <si>
    <t>We see a dart board swinging gently.</t>
  </si>
  <si>
    <t>Two darts, one red, one green hit the board.</t>
  </si>
  <si>
    <t>We change angle and two more darts hit the board.</t>
  </si>
  <si>
    <t>The screen fades to black and we see the end credits.</t>
  </si>
  <si>
    <t>v_DR0hc7lT0hE</t>
  </si>
  <si>
    <t>A man is seen backing away from the camera while speaking and holding a hula hoop.</t>
  </si>
  <si>
    <t>The man then swings the hula hoop all around himself while walking to the camera.</t>
  </si>
  <si>
    <t>Another man walks into frame and hula hoops with the man while still looking at the camera.</t>
  </si>
  <si>
    <t>v_PF0c0UIsG0E</t>
  </si>
  <si>
    <t>A man is seen sitting down and speaking to the camera while holding a hookah hose and another person is seen in frame.</t>
  </si>
  <si>
    <t>The man takes a puff from the pipe while speaking to the camera and hands it to the other man who also takes a hit.</t>
  </si>
  <si>
    <t>He blows the smoke out and the first man is still seen speaking to the camera.</t>
  </si>
  <si>
    <t>v_4QqoWbK2ELc</t>
  </si>
  <si>
    <t>A person prepares to bungee jump over a body of water while onlookers watch from the ground.</t>
  </si>
  <si>
    <t>The person is sitting down, first, strapped into bungee jumping gear.</t>
  </si>
  <si>
    <t>The person stands at the edge of a wooden jumping surface as onlookers watch from the ground.</t>
  </si>
  <si>
    <t>The person jumps off of the edge and falls down as the camera follows and reveals that this is a man who has jumped, and the man is smiling and laughing as he flails in the air just above the water.</t>
  </si>
  <si>
    <t>v_cKFARm4dsws</t>
  </si>
  <si>
    <t>A little boy is getting on the swinging closing his little safety guard.</t>
  </si>
  <si>
    <t>He closes it and builds up some momentum to start going fast.</t>
  </si>
  <si>
    <t>He kicks his feet back and forth getting pretty high.</t>
  </si>
  <si>
    <t>He just enjoys his time swinging back and forth outside enjoying the day.</t>
  </si>
  <si>
    <t>v_3WyJNIqDFQg</t>
  </si>
  <si>
    <t>A close up a chair is shown while the camera pans out backwards and text moves across the screen.</t>
  </si>
  <si>
    <t>The camera follows closely into the chair and leads into a woman sitting comfortable on the chair.</t>
  </si>
  <si>
    <t>The woman adjusts the seat and leads into several more close ups of the chair being shown.</t>
  </si>
  <si>
    <t>v_W_iKlOPSDos</t>
  </si>
  <si>
    <t>We see a speedboat speeding through a lake and a man jet skiing behind it.</t>
  </si>
  <si>
    <t>The screen flashes black and we see more jet skiing.</t>
  </si>
  <si>
    <t>v_zlXs92vjuSU</t>
  </si>
  <si>
    <t>A young man named Sean wearing a beanie hat and black earring studs.</t>
  </si>
  <si>
    <t>He is demonstrating how to pierce his ear with stud earrings.</t>
  </si>
  <si>
    <t>He expresses severe pain as he tries to pierce his ear lobe.</t>
  </si>
  <si>
    <t>He takes an ice cube to soothe his ear lobe.</t>
  </si>
  <si>
    <t>Then he uses a cigarette lighter to heat the earring to sanitize it.</t>
  </si>
  <si>
    <t>He tries using a thumbtack to help the piercing but ends up causing severe bleeding in his ear.</t>
  </si>
  <si>
    <t>He then tries a rubber mallet to force the earring in.</t>
  </si>
  <si>
    <t>He cries and sobs in pain at his unsuccessful attempt of piercing his own ear lobe.</t>
  </si>
  <si>
    <t>v_vu-3Zi94F0M</t>
  </si>
  <si>
    <t>A man is seen sitting in a kayak looking to the camera.</t>
  </si>
  <si>
    <t>He then sticks his paddle in the water and begins moving along.</t>
  </si>
  <si>
    <t>He continues riding around an area while moving the paddle.</t>
  </si>
  <si>
    <t>v_evXdygHVzNc</t>
  </si>
  <si>
    <t>A teen spins holding a disc in his right hand, then the girl throws the disc while competing in a stadium.</t>
  </si>
  <si>
    <t>Then, another young woman spins around an throws a disc.</t>
  </si>
  <si>
    <t>A female spins and throw a disc far and she wins the competition.</t>
  </si>
  <si>
    <t>A man in the track raise a white flag on his right arm.</t>
  </si>
  <si>
    <t>v_8LiO75NtXNw</t>
  </si>
  <si>
    <t>Gymnast from Ukraine performs long jump in a final competition.</t>
  </si>
  <si>
    <t>A man holds a white and a red flags.</t>
  </si>
  <si>
    <t>The gymnast runs in the track until a white line, and jumps to perform the long jump.</t>
  </si>
  <si>
    <t>Then, a woman from Germany performs the long jump, and after a girl from Australia jumps long on the sand box.</t>
  </si>
  <si>
    <t>The woman from Germany wins the competition, she runs and greats the public.</t>
  </si>
  <si>
    <t>v_PNQpC_FlE2M</t>
  </si>
  <si>
    <t>A man in a vest is sitting in a boat.</t>
  </si>
  <si>
    <t>Then the man is in the water, holding a stick and a line attached to the boat.</t>
  </si>
  <si>
    <t>The boat begins to pull him in the water as he begins water skiing.</t>
  </si>
  <si>
    <t>He skis for a long while.</t>
  </si>
  <si>
    <t>v_8xS6cDOq5do</t>
  </si>
  <si>
    <t>girls are sitting in a rom and boys are standing behind them boys starts comb the hair.</t>
  </si>
  <si>
    <t>woman wearing blue sweater crawl on all fours.</t>
  </si>
  <si>
    <t>boys keep combing the hair and putting some hair rolls on the girls.</t>
  </si>
  <si>
    <t>woman in the middle is irritated and stands and remove the rolls for th head and sits again and laugh a lot.</t>
  </si>
  <si>
    <t>v_shZRGB58YBU</t>
  </si>
  <si>
    <t>A man is seated on a stage.</t>
  </si>
  <si>
    <t>There is a room full of people watching him.</t>
  </si>
  <si>
    <t>He is playing a set of drums with his hands.</t>
  </si>
  <si>
    <t>v_OTMkyaTCpqM</t>
  </si>
  <si>
    <t>An overhead view of a pool match.</t>
  </si>
  <si>
    <t>A man in a funny blue vest is shown as the next player to take a shot.</t>
  </si>
  <si>
    <t>He pauses and studies the table before taking his shot.</t>
  </si>
  <si>
    <t>He shoots and hits the blue ball in the corner right pocket.</t>
  </si>
  <si>
    <t>v_eBEnQDNyzFk</t>
  </si>
  <si>
    <t>A close up of food is shown followed by two women speaking to the camera and presenting various ingredients.</t>
  </si>
  <si>
    <t>The women then mix the ingredients into a pot after the noodles are cooked and then mix everything together in a bowl.</t>
  </si>
  <si>
    <t>Finally the dish is shown on a plate in the end and the women eat the food.</t>
  </si>
  <si>
    <t>v_ZtfdFFYa8vY</t>
  </si>
  <si>
    <t>black dog is walking in a treadmill in a white room.</t>
  </si>
  <si>
    <t>dog is running in the treadmill that is next to a drawer.</t>
  </si>
  <si>
    <t>dog is wearing a red necklace and is doing exercise.</t>
  </si>
  <si>
    <t>v_yE0fDD_7FkM</t>
  </si>
  <si>
    <t>A girl is walking on a diving board.</t>
  </si>
  <si>
    <t>People are in the background watching.</t>
  </si>
  <si>
    <t>The girl jumps off the diving board into the swimming pool.</t>
  </si>
  <si>
    <t>There is a small splash in the water.</t>
  </si>
  <si>
    <t>v_5qBzjfW-sMs</t>
  </si>
  <si>
    <t>A young man is seen putting a piece of wood onto a bark and holds up an axe.</t>
  </si>
  <si>
    <t>He then swings the axe the bark breaking it in half, followed by him yelling into the air.</t>
  </si>
  <si>
    <t>v_N2nNkWXYAYw</t>
  </si>
  <si>
    <t>A woman sits on the floor next a vacuum.</t>
  </si>
  <si>
    <t>The woman vacuums dirt on a hard floor.</t>
  </si>
  <si>
    <t>Then, the woman cleans waste on a carpet.</t>
  </si>
  <si>
    <t>After, the woman vacuums over a pillow using a smaller nozzle.</t>
  </si>
  <si>
    <t>Next, then woman put a new nozzle to clean narrow surfaces.</t>
  </si>
  <si>
    <t>Also the woman measures the pressure of suction and shows the inside of the vacuum.</t>
  </si>
  <si>
    <t>v_yCqe0J1xgyc</t>
  </si>
  <si>
    <t>We see two girls representing China standing on diving boards above an Olympic size pool and dive in unison and we see their scores.</t>
  </si>
  <si>
    <t>We then see two girls representing the USA dive in unison and see their scores.</t>
  </si>
  <si>
    <t>Next are two girls representing Italy diving and scores are shown.</t>
  </si>
  <si>
    <t>Germany is the next team to dive and scores are shown for them.</t>
  </si>
  <si>
    <t>v_x75wqBUD3zo</t>
  </si>
  <si>
    <t>A man is seen speaking to the camera while holding up a harmonica.</t>
  </si>
  <si>
    <t>The man blows into the instrument while pausing to speak to the camera.</t>
  </si>
  <si>
    <t>He continues playing the instrument and stopping to speak to the camera.</t>
  </si>
  <si>
    <t>v___mIAEE03bE</t>
  </si>
  <si>
    <t>People are snowboarding down a large hill of snow.</t>
  </si>
  <si>
    <t>A person in a green jacket is snowboarding while holding a camera in front of them.</t>
  </si>
  <si>
    <t>The people get to the bottom and start taking their snowboards off.</t>
  </si>
  <si>
    <t>v_vV_d5bfNmBQ</t>
  </si>
  <si>
    <t>Men on the beach playing volleyball in the sand.</t>
  </si>
  <si>
    <t>One of the guys hits the ball over to the other side and they hit it back.</t>
  </si>
  <si>
    <t>Then on the other side of the beach there is a group of women also playing volleyball.</t>
  </si>
  <si>
    <t>They are playing a really good game, one of the girl lands right on her stomach.</t>
  </si>
  <si>
    <t>v_Djlmto9iibw</t>
  </si>
  <si>
    <t>A dog is swimming in a small pool.</t>
  </si>
  <si>
    <t>He is being rubbed with shampoo.</t>
  </si>
  <si>
    <t>He is back in the water getting cleaned.</t>
  </si>
  <si>
    <t>A person is spraying the dog with a hose.</t>
  </si>
  <si>
    <t>The dog is then put in a metal pen.</t>
  </si>
  <si>
    <t>v_jA-KApGlXyA</t>
  </si>
  <si>
    <t>A person explains how to play squash holding a racket and a blue ball.</t>
  </si>
  <si>
    <t>Then, he continues explaining showing how to hit the ball on the wall.</t>
  </si>
  <si>
    <t>v_EBhAGOXvPcA</t>
  </si>
  <si>
    <t>A bike is seen outside a building.</t>
  </si>
  <si>
    <t>A group of men are outside, drinking eer and talking while playing beer pong.</t>
  </si>
  <si>
    <t>They try to throw the ball into the glasses.</t>
  </si>
  <si>
    <t>They laugh and talk as they play.</t>
  </si>
  <si>
    <t>v_eTIaRqgQ4Qg</t>
  </si>
  <si>
    <t>A camera is seen panning around a large lake followed by a person riding by on skis behind a jet ski.</t>
  </si>
  <si>
    <t>Two people are seen riding behind the jet ski and continuing to move along the water.</t>
  </si>
  <si>
    <t>v_offWBoR4Ggg</t>
  </si>
  <si>
    <t>The player in yellow shirt kicked the ball towards the goal, and the goalkeeper was not able to catch it, another player in red shirt kicked the ball and the goalkeeper weren't able to catch it.</t>
  </si>
  <si>
    <t>The goalkeeper is standing in front of the net, the crowds are cheering.</t>
  </si>
  <si>
    <t>v_0rX2f0H3AaA</t>
  </si>
  <si>
    <t>A white screen is shown and several words are shown on the screen.</t>
  </si>
  <si>
    <t>Then a blue mat is shown and an individual begins sweeping and laying the blue mat against the mat.</t>
  </si>
  <si>
    <t>The man takes out a measuring tape and cuts off a piece of the blue mat and continues covering the floor.</t>
  </si>
  <si>
    <t>v_IRmk1AM-yJE</t>
  </si>
  <si>
    <t>Two people are seen playing a game of pool while others watch on the side and conversation.</t>
  </si>
  <si>
    <t>The men continue hitting the ball around the table and moving around.</t>
  </si>
  <si>
    <t>v_Fi0PQwhsGs4</t>
  </si>
  <si>
    <t>Two men are outside talking to one another and they begin doing arm stretches.</t>
  </si>
  <si>
    <t>They then stop and do a series of Rock,Paper,Scissors.</t>
  </si>
  <si>
    <t>v_3CO7fRiJOy4</t>
  </si>
  <si>
    <t>Several small children drive around in bumper cars.</t>
  </si>
  <si>
    <t>One of them continuously spins in circles.</t>
  </si>
  <si>
    <t>She rides alone after the others have left.</t>
  </si>
  <si>
    <t>v_5KEq4f4dGto</t>
  </si>
  <si>
    <t>We see a lady painting her fingernails.</t>
  </si>
  <si>
    <t>We see a titles screen.</t>
  </si>
  <si>
    <t>The lady files and puts on a clear coat.</t>
  </si>
  <si>
    <t>The lady paints her finger nails blue.</t>
  </si>
  <si>
    <t>The lady adds a top coat of clear polish.</t>
  </si>
  <si>
    <t>The lady puts oil on her cuticles and we see the finished product.</t>
  </si>
  <si>
    <t>v_nA9MM4baSdc</t>
  </si>
  <si>
    <t>This woman is shown playing the black harmonica.</t>
  </si>
  <si>
    <t>she stops for a little bit, but then she keeps going.</t>
  </si>
  <si>
    <t>v_cfhc7tf8vU4</t>
  </si>
  <si>
    <t>A tall Black male is standing outside clapping trying to gain the crowds participation.</t>
  </si>
  <si>
    <t>The athlete then takes off and does a triple jump into the pit.</t>
  </si>
  <si>
    <t>Once he gets out of the pit,he walks around and a replay is shown to make sure that he didn't scratch and the jump can be counted.</t>
  </si>
  <si>
    <t>Another man approaches the run way and repeats the same step but ends up scratching.</t>
  </si>
  <si>
    <t>v_VEwZJ-5u_Xs</t>
  </si>
  <si>
    <t>People fly kites from a rooftop holding kite string pools.</t>
  </si>
  <si>
    <t>Several kites fly in the sky.</t>
  </si>
  <si>
    <t>A man holds a kite string pool while flying a kite.</t>
  </si>
  <si>
    <t>v_IWXIEfaltJ4</t>
  </si>
  <si>
    <t>A man is shown holding up a piece of metal and places it along a wall.</t>
  </si>
  <si>
    <t>He then puts plaster along the metal and rubs the sander all over the wall while still looking back to the camera.</t>
  </si>
  <si>
    <t>v_TWhxFETOG8I</t>
  </si>
  <si>
    <t>Two teams play a game of indoor soccer.</t>
  </si>
  <si>
    <t>Players from the white team dribble and pass the ball all the way down field and make a goal.</t>
  </si>
  <si>
    <t>Players from the blue team dribble and pass all the way down field and make a goal.</t>
  </si>
  <si>
    <t>A member of the blue team battles two defenders near goal and makes a point.</t>
  </si>
  <si>
    <t>Players take corner kicks and assist a goals.</t>
  </si>
  <si>
    <t>v_CcKeoeSZVnE</t>
  </si>
  <si>
    <t>Two women are smoking a hookah while seated on a couch.</t>
  </si>
  <si>
    <t>They take turns taking hits and blowing smoke.</t>
  </si>
  <si>
    <t>They are blowing the smoke in rings toward the camera.</t>
  </si>
  <si>
    <t>v_uK0dxEMBXfY</t>
  </si>
  <si>
    <t>A man standing in a yard talks to the camera about his yard.</t>
  </si>
  <si>
    <t>The man motions he had across the yard.</t>
  </si>
  <si>
    <t>The man then mows his lawn with his mower.</t>
  </si>
  <si>
    <t>The man stops and shows the electrical cord on his mower.</t>
  </si>
  <si>
    <t>v_QRcwvzq7QUM</t>
  </si>
  <si>
    <t>We see a lady standing in a news studio talking to the camera.</t>
  </si>
  <si>
    <t>We then see people in a field on horses.</t>
  </si>
  <si>
    <t>The people are playing polo on the horses.</t>
  </si>
  <si>
    <t>We see a man talking to the camera.</t>
  </si>
  <si>
    <t>We then see the people playing again.</t>
  </si>
  <si>
    <t>The man is talking to the camera again.</t>
  </si>
  <si>
    <t>We see the polo players on their horses.</t>
  </si>
  <si>
    <t>A man holds liquor in front of a horses mouth, We see the newscaster again.</t>
  </si>
  <si>
    <t>v_PnY3FT_QqWo</t>
  </si>
  <si>
    <t>A woman is standing in a gated yard beside a girl on a horse.</t>
  </si>
  <si>
    <t>She walks away as the girl rides the horse carefully around the fence.</t>
  </si>
  <si>
    <t>She then takes the horse into a light trot as she rides.</t>
  </si>
  <si>
    <t>v_1QjVfj0S8qQ</t>
  </si>
  <si>
    <t>A shirtless man scrapes roofing gravel using a shovel.</t>
  </si>
  <si>
    <t>The man stops and leans on the shovel for a moment to look at the amount of work that is ahead of him.</t>
  </si>
  <si>
    <t>The man continues to scrape the gravel roof and turns with his back towards the camera.</t>
  </si>
  <si>
    <t>v_BrnUW2LSJDI</t>
  </si>
  <si>
    <t>Two men are seen standing around a shuffleboard table followed by the men hitting pucks across the board.</t>
  </si>
  <si>
    <t>The men continue hitting the pucks and zoom in on their faces in the end.</t>
  </si>
  <si>
    <t>v_m978SIFnHS8</t>
  </si>
  <si>
    <t>Dark nights are shown with lightning flashing through the sky.</t>
  </si>
  <si>
    <t>After,the video begins and several people are shown on a large boat sailing in the water.</t>
  </si>
  <si>
    <t>The weather begins to turn nasty and the people have to hold on for dear life so they won't die.</t>
  </si>
  <si>
    <t>In one instance,the boat begins to tip to the side and the people jump in joy that it didn't tip over as the horrid weather continues.</t>
  </si>
  <si>
    <t>v_W-poAYW1pb0</t>
  </si>
  <si>
    <t>A group of runners are on a street, and a boston marathoner who has broken a record is shown talking in an interview after celebrating.</t>
  </si>
  <si>
    <t>News casters are shown talking about the man and others as they reach the end of the marathon.</t>
  </si>
  <si>
    <t>The runners are shown as a group, as men dressed as british solders enact a play for the crowds.</t>
  </si>
  <si>
    <t>v_BGeB6KEQM94</t>
  </si>
  <si>
    <t>A man in peach sweater is skateboarding and then fell on the ground.</t>
  </si>
  <si>
    <t>A man in orange stop is skateboarding in the dark street and fell on the ground.</t>
  </si>
  <si>
    <t>A man in black shirt skateboard down the wide road and fell on the side of the road, the man showed his bleeding cuts in front of the camera.</t>
  </si>
  <si>
    <t>A the skateboarders are falling off their skateboards.</t>
  </si>
  <si>
    <t>v_p7VTBhv3OLY</t>
  </si>
  <si>
    <t>A man is talking in front of a net in a yard.</t>
  </si>
  <si>
    <t>Two boys are seen hitting a ball into the net.</t>
  </si>
  <si>
    <t>Then we see a game on a field with men hitting balls with nets into the goal.</t>
  </si>
  <si>
    <t>v_d0h_l9bE1o0</t>
  </si>
  <si>
    <t>A group of cheerleaders are shown practicing their routine in a gymnasium.</t>
  </si>
  <si>
    <t>The scene transitions to one cheerleader being interviewed while others stretch in the background, with occasional cheerleader-related clips interspersed.</t>
  </si>
  <si>
    <t>A man wearing blue is interviewed in the same setting, with occasional cheerleader-related clips interspersed.</t>
  </si>
  <si>
    <t>Another man is interviewed in the same setting, with occasional cheerleader-related clips interspersed.</t>
  </si>
  <si>
    <t>The camera returns to the man in blue being interviewed, with short cheerleader action sequences.</t>
  </si>
  <si>
    <t>The camera returns to the first individual interviewed, with short cheerleader action sequences.</t>
  </si>
  <si>
    <t>v_cqHWqXRkUfU</t>
  </si>
  <si>
    <t>Several people are standing outside in a snow with tubes in front of them.</t>
  </si>
  <si>
    <t>Two people then get in the tubes and are pushed down the slopes.</t>
  </si>
  <si>
    <t>They go down the snow slide and once they reach the bottom they get off.</t>
  </si>
  <si>
    <t>v_g0B_4IlLn3g</t>
  </si>
  <si>
    <t>A girl is standing in her bathroom making giggly faces while holding a cup.</t>
  </si>
  <si>
    <t>She finally takes whatever is in the cub and begins to gags as she spits it into the sink.</t>
  </si>
  <si>
    <t>After her mouth is empty,she shows off a bottle of Crest mouthwash.</t>
  </si>
  <si>
    <t>v_KAbo60mowhw</t>
  </si>
  <si>
    <t>A man plays catch with a dog in a dirt field while throwing a Frisbee.</t>
  </si>
  <si>
    <t>The man holds out the Frisbee in his hand to the dog.</t>
  </si>
  <si>
    <t>A woman plays catch with the dog throwing a Frisbee in a grassy park.</t>
  </si>
  <si>
    <t>v_faF9-lWmK3Y</t>
  </si>
  <si>
    <t>The camera man opens a door and watches a woman leaving forward in a tub.</t>
  </si>
  <si>
    <t>The woman talks to the camera man while washing several clothes in a tub filled with water.</t>
  </si>
  <si>
    <t>The woman learns down exhausted and turns back to the camera man quickly then back to the tub.</t>
  </si>
  <si>
    <t>v_vAzTt06gpgE</t>
  </si>
  <si>
    <t>A group of people are running down a road with various people cheering and clapping on the sides.</t>
  </si>
  <si>
    <t>A woman is high fiving the people as well other runners.</t>
  </si>
  <si>
    <t>More shots of people on the sides are shown while the runners continue running.</t>
  </si>
  <si>
    <t>v_Mw_AIqw6rfM</t>
  </si>
  <si>
    <t>A large group of people are seen standing around a horse track and leads into several men sitting on horses and one riding around swinging a stick.</t>
  </si>
  <si>
    <t>The men then begin playing a game on the horses and shaking each other's hands.</t>
  </si>
  <si>
    <t>The princess then hands a box to one of the players and stands near several others holding a trophy.</t>
  </si>
  <si>
    <t>v_16g-sBraeKE</t>
  </si>
  <si>
    <t>A woman is showing her finger nails to the camera.</t>
  </si>
  <si>
    <t>A woman in a black shirt is sitting in a room talking to a camera.</t>
  </si>
  <si>
    <t>A person is doing someone else's nails on a table.</t>
  </si>
  <si>
    <t>They are putting fake fingernails on them.</t>
  </si>
  <si>
    <t>They are cutting the nails down.</t>
  </si>
  <si>
    <t>They begin painting the nails.</t>
  </si>
  <si>
    <t>v__ao0UwSJHWA</t>
  </si>
  <si>
    <t>A man is seen sitting in a large gym while speaking to the camera and sitting on a medicine ball.</t>
  </si>
  <si>
    <t>The man then bends forward onto the ball while still speaking to the camera.</t>
  </si>
  <si>
    <t>The man continues to balance on the ball and sits himself up as well as catches a ball.</t>
  </si>
  <si>
    <t>v_kpE3q-Hmd7A</t>
  </si>
  <si>
    <t>A group of men are inside of a gym space stepping on aerobic steppers at a fast pace.</t>
  </si>
  <si>
    <t>They look to be having a great time and begin reaching out with their arms and varying their workout.</t>
  </si>
  <si>
    <t>They continue on performing another series of similar workout with their steppers.</t>
  </si>
  <si>
    <t>They move side to side, alternating their movements to a specific rhythm.</t>
  </si>
  <si>
    <t>Their last of their workouts seem to be a compilation of everything they have been doing thus far and they are varying their movements within it.</t>
  </si>
  <si>
    <t>v_NzRNlTfyYtI</t>
  </si>
  <si>
    <t>A woman uses a NordicTrack exercise machine.</t>
  </si>
  <si>
    <t>The exercise machine is shown by itself.</t>
  </si>
  <si>
    <t>The woman uses the machine again.</t>
  </si>
  <si>
    <t>The machine's digital display controls are shown.</t>
  </si>
  <si>
    <t>A splash screen of a woman and a show title are shown.</t>
  </si>
  <si>
    <t>The woman exercises on the machine again.</t>
  </si>
  <si>
    <t>v_Wdp8yduPUX4</t>
  </si>
  <si>
    <t>Four people prepare to skateboard down a slope.</t>
  </si>
  <si>
    <t>The four individuals skateboard down the slope together or alone as spectators watch.</t>
  </si>
  <si>
    <t>The camera pans over background scenery.</t>
  </si>
  <si>
    <t>One of the individuals tends to his skateboard.</t>
  </si>
  <si>
    <t>The four individuals engage in more skateboarding down the slope.</t>
  </si>
  <si>
    <t>One of the individuals is again shown tending to his skateboard.</t>
  </si>
  <si>
    <t>v_GTxmHim5JnY</t>
  </si>
  <si>
    <t>Two children twirl on a tire swing.</t>
  </si>
  <si>
    <t>Another child is swinging in another swing set.</t>
  </si>
  <si>
    <t>A very small child runs through the play area.</t>
  </si>
  <si>
    <t>v_1FKoT6uFsjY</t>
  </si>
  <si>
    <t>A kid is sitting on the bed and waves to the camera.</t>
  </si>
  <si>
    <t>He is explaining his daily routine to the camera.</t>
  </si>
  <si>
    <t>He is putting red contacts in his eyes.</t>
  </si>
  <si>
    <t>The contact falls out of his eye and he puts it back in, but it falls out over and over.</t>
  </si>
  <si>
    <t>Finally he gets it to stay and he gives the camera close up and some moves.</t>
  </si>
  <si>
    <t>v_znhZPUF6xQw</t>
  </si>
  <si>
    <t>Several clips are shown of various girls performing gymnastics tricks on a large mat.</t>
  </si>
  <si>
    <t>The girls continue jumping and flipping around the area while the camera continues to capture their movements.</t>
  </si>
  <si>
    <t>v_gMwjhe0Njkc</t>
  </si>
  <si>
    <t>A black and white image of a man is shown and then the man appears in a field throwing a discus.</t>
  </si>
  <si>
    <t>After,he continues throwing the discus and when he is finished,he is shown standing on a set of cubes as the winner.</t>
  </si>
  <si>
    <t>The participants shake each other hands and they both end up walking off.</t>
  </si>
  <si>
    <t>v_2mVwrM0qOGw</t>
  </si>
  <si>
    <t>man is standing in a room holding a bow and talking to another man.</t>
  </si>
  <si>
    <t>manis practicing shots with a bow to a board in a large field.</t>
  </si>
  <si>
    <t>v_6EKVtCJ2nrs</t>
  </si>
  <si>
    <t>A man in black jacket holds a friend in both arms.</t>
  </si>
  <si>
    <t>The friend wearing a rope puts out her arms in preparation.</t>
  </si>
  <si>
    <t>The friend is thrown from the building wearing a bungee cord and swings in a wide arc over the ground below then back and forth.</t>
  </si>
  <si>
    <t>A woman in black jacket sits on a ramp and is pushed down by friends.</t>
  </si>
  <si>
    <t>The woman falls off the building and swings from a rope above the ground below.</t>
  </si>
  <si>
    <t>v_fs2per3zoZQ</t>
  </si>
  <si>
    <t>Two men sit behind a table with a pumpkin on it.</t>
  </si>
  <si>
    <t>A man smashes the pumpkin with a hammer.</t>
  </si>
  <si>
    <t>He starts ripping out the seeds and handing them to the man next to him.</t>
  </si>
  <si>
    <t>v_NpfdyZntPbg</t>
  </si>
  <si>
    <t>A man wipes the bottom of a ski.</t>
  </si>
  <si>
    <t>He puts polish on the bottom of the ski and rubs it in.</t>
  </si>
  <si>
    <t>He takes a paper towel and wipes the bottom of the ski.</t>
  </si>
  <si>
    <t>v_aDBSNU2trmo</t>
  </si>
  <si>
    <t>A point of view of a person shows himself sitting in a sled holding hands of two children in sleds.</t>
  </si>
  <si>
    <t>A person pushes the three down a hill while still holding hands and lets go at the bottom to meet with the others.</t>
  </si>
  <si>
    <t>v_7rT8tqLyFa0</t>
  </si>
  <si>
    <t>A man is standing in a weight room with multiple screens on and computers on it.</t>
  </si>
  <si>
    <t>After he finishes talking,he gets on an ellipitacal and starts rowing.</t>
  </si>
  <si>
    <t>Next,he moves to another machine and does the same thing as well in a slightly different way.</t>
  </si>
  <si>
    <t>v_D9DdNf-TIO8</t>
  </si>
  <si>
    <t>A bird is sitting on a bar over a bath tub.</t>
  </si>
  <si>
    <t>A dog is in the bathtub getting a shower.</t>
  </si>
  <si>
    <t>A person is rubbing soap into the dogs fur.</t>
  </si>
  <si>
    <t>The dog shakes itself off.</t>
  </si>
  <si>
    <t>v_rv9jW-t3mT4</t>
  </si>
  <si>
    <t>An outdoor track and field meet is shown.</t>
  </si>
  <si>
    <t>Pole vaulters are shown in a competition.</t>
  </si>
  <si>
    <t>Some of them make their jumps while others do not.</t>
  </si>
  <si>
    <t>v_Prt07JFztMI</t>
  </si>
  <si>
    <t>Two men are in an alley.</t>
  </si>
  <si>
    <t>They are bouncing up and down on sticks.</t>
  </si>
  <si>
    <t>There is a van in the foreground.</t>
  </si>
  <si>
    <t>There are also several buildings.</t>
  </si>
  <si>
    <t>v_EmM2yXiiz5c</t>
  </si>
  <si>
    <t>A man rides a bicycle behind three men who are running in a professional race on a paved freeway lined with onlookers, spectators and participants.</t>
  </si>
  <si>
    <t>A man is riding a bicycle down a freeway wearing a helmet and sporting a paper tag on the front of the bicycle.</t>
  </si>
  <si>
    <t>Three men are running in front of the man on the bicycle with one of the men juggling three balls while running and one drinking water and waiving at the crowd.</t>
  </si>
  <si>
    <t>The men turn a bend while jogging and an onlooker starts clapping for them from behind.</t>
  </si>
  <si>
    <t>v_64vbnwtL7I8</t>
  </si>
  <si>
    <t>Groups of people bowl games in a bowling alley.</t>
  </si>
  <si>
    <t>People in recorded video of the bowling match.</t>
  </si>
  <si>
    <t>Spectators sit and stand behind the railing watching the event.</t>
  </si>
  <si>
    <t>A man bowls a his turns standing backwards.</t>
  </si>
  <si>
    <t>People in the stands cheer for the bowler.</t>
  </si>
  <si>
    <t>v_SSqVGeD2XaQ</t>
  </si>
  <si>
    <t>Three men are seen speaking and waving to the camera that leads into the men playing games with strangers on the street.</t>
  </si>
  <si>
    <t>The winner gets to kiss the man and the loser gets to slap him.</t>
  </si>
  <si>
    <t>Several shots are shown of him slapping and kissing girls as well as running around the area to find more people.</t>
  </si>
  <si>
    <t>v_3rqesp6F95Q</t>
  </si>
  <si>
    <t>A few people are seen standing around various fooseball tables playing games with one another.</t>
  </si>
  <si>
    <t>The people continue to push the ball around back and fourth while the camera focuses on one game.</t>
  </si>
  <si>
    <t>The people keep track of their scores and others watch them in the distance.</t>
  </si>
  <si>
    <t>v_k2U1lOpLqdk</t>
  </si>
  <si>
    <t>As a red cut scene passes a young man in a blue shirt is seen concentrating.</t>
  </si>
  <si>
    <t>Afterwards another man is seen on a curling rink releasing a rock stone as two other men use brooms to clear the way as the stone travels down the path.</t>
  </si>
  <si>
    <t>The act continues with the same men once more engaging in the same act.</t>
  </si>
  <si>
    <t>Afterwards another young man in a blue shirt repeats the same move as the white team looks on.</t>
  </si>
  <si>
    <t>Finally as spectators look on, a member of the white team releases a rock stone and two men from the team use brooms to clear the path.</t>
  </si>
  <si>
    <t>v_Y-SehqCvzME</t>
  </si>
  <si>
    <t>A man is seen speaking to the camera while holding a guitar in his hands.</t>
  </si>
  <si>
    <t>The man begins playing the guitar and singing into a microphone.</t>
  </si>
  <si>
    <t>The man continues singing and playing and stops in the end.</t>
  </si>
  <si>
    <t>v_mQ9e5RyHE_k</t>
  </si>
  <si>
    <t>A man is seen speaking to the camera as well as several shots of a bowling alley and him bowling a ball.</t>
  </si>
  <si>
    <t>He continues speaking to the camera while showing several videos of him throwing the bowling ball and hitting several pins.</t>
  </si>
  <si>
    <t>v_-V5_GMuMzc8</t>
  </si>
  <si>
    <t>Another man is giving him a hair cut.</t>
  </si>
  <si>
    <t>He then brushes off the mans neck.</t>
  </si>
  <si>
    <t>v_Q0UzDeDra3U</t>
  </si>
  <si>
    <t>A man demonstrates how to change the tire on a car.</t>
  </si>
  <si>
    <t>A car drives through a street and then shows as being parked at which a man approaches the car holding a lug nut removal tool.</t>
  </si>
  <si>
    <t>The man removes the lug nuts and then jacks the car up.</t>
  </si>
  <si>
    <t>The man then removes the tire and pulls a spare tire off of the back of the car.</t>
  </si>
  <si>
    <t>The man then puts the new tire on the car.</t>
  </si>
  <si>
    <t>v_PG0ao4HkF8M</t>
  </si>
  <si>
    <t>A man hangs wallpaper on a blank wall.</t>
  </si>
  <si>
    <t>Each frame is rolled down and put on the wall.</t>
  </si>
  <si>
    <t>v_R4M90w2zPVU</t>
  </si>
  <si>
    <t>A man in a red hockey helmet and with a long curling mustache is seen in a still shot standing next to a woman while leaning on a glass barrier in front of a hockey skate rink.</t>
  </si>
  <si>
    <t>The man is then shown entering a live hockey game and playing hockey with a floor filled with other players.</t>
  </si>
  <si>
    <t>Another man is shown sitting next to a snoopy doll before the camera changes back to the man in the mustache again in another still shot.</t>
  </si>
  <si>
    <t>v_85DumZo8-ik</t>
  </si>
  <si>
    <t>A woman claps her hands together.</t>
  </si>
  <si>
    <t>She sprints down a track.</t>
  </si>
  <si>
    <t>She jumps up in the air.</t>
  </si>
  <si>
    <t>v_uO2YgcdqoZg</t>
  </si>
  <si>
    <t>A man dressed in a black wife-beater is near a fluorescent wall glass and is talking.</t>
  </si>
  <si>
    <t>As he is talking,several clips appear in between him where he is in a room with three walls and glass as the fourth wall while playing wall ball.</t>
  </si>
  <si>
    <t>The final scene is shown,and the male comes back talking before finally flashing a url at then end.</t>
  </si>
  <si>
    <t>v_Mm6iYEyY9dI</t>
  </si>
  <si>
    <t>A young man is seen standing in the middle of a large field holding instruments and standing in front of others.</t>
  </si>
  <si>
    <t>The man then begins playing the instruments one by one.</t>
  </si>
  <si>
    <t>Several kids then walk into frame using hula hoops while the man joins in still singing and clapping his hands.</t>
  </si>
  <si>
    <t>v_wtQQ5I0QRuw</t>
  </si>
  <si>
    <t>A young women in her bra and underwear sits on a bed.</t>
  </si>
  <si>
    <t>She then applies lotion to her legs and hands.</t>
  </si>
  <si>
    <t>She is very thorough in her work making sure not to miss anything.</t>
  </si>
  <si>
    <t>She then starts the process of shaving her legs very intently.</t>
  </si>
  <si>
    <t>She continues this process with her other leg being very good at attention to detail.</t>
  </si>
  <si>
    <t>v_4eCKiA1czfk</t>
  </si>
  <si>
    <t>A person blows leaves using a leaf blower.</t>
  </si>
  <si>
    <t>Then, an area without leaves are shown next to the trees.</t>
  </si>
  <si>
    <t>v_zT6ITDwPi0w</t>
  </si>
  <si>
    <t>A girl stands and talks in a public restroom.</t>
  </si>
  <si>
    <t>The girl goes into a stall and closes the door.</t>
  </si>
  <si>
    <t>She emerges and washes her hands.</t>
  </si>
  <si>
    <t>She takes a paper and drys her hands.</t>
  </si>
  <si>
    <t>Another person is washing their hands.</t>
  </si>
  <si>
    <t>The girl throws away the papertowel.</t>
  </si>
  <si>
    <t>v_eOmL8f-yB40</t>
  </si>
  <si>
    <t>A man taps the top of a piano with a stick and talks to a large band sitting in front of him.</t>
  </si>
  <si>
    <t>He sits down at the piano and he and the band play.</t>
  </si>
  <si>
    <t>A large audience watches from near by.</t>
  </si>
  <si>
    <t>The man throws the stick behind the band.</t>
  </si>
  <si>
    <t>The man plays standing for a moment and then bows.</t>
  </si>
  <si>
    <t>v_83a5nOzZU1g</t>
  </si>
  <si>
    <t>A drink is being poured into a glass followed by a woman grabbing a glass and pouring mixtures into it.</t>
  </si>
  <si>
    <t>She creates an alcoholic drink by pouring several different mixes together and the camera zooming in on the drink.</t>
  </si>
  <si>
    <t>v_EqqqGf4wLH0</t>
  </si>
  <si>
    <t>A Mexican band is playing and singing.</t>
  </si>
  <si>
    <t>The camera does a closeup on each member.</t>
  </si>
  <si>
    <t>There is a crowd listening to them.</t>
  </si>
  <si>
    <t>The band name is on the back of their shirts.</t>
  </si>
  <si>
    <t>v_k6AzbT12a9c</t>
  </si>
  <si>
    <t>This man is on his hands and knees on the floor.</t>
  </si>
  <si>
    <t>This is being recorded from a tv screen and it's really loud.</t>
  </si>
  <si>
    <t>There's no one else in the room with this man and he looks like a woman who's being entered from behind.</t>
  </si>
  <si>
    <t>v_DaDHatB3RbM</t>
  </si>
  <si>
    <t>A close up of a canoe is seen moving along the water showing a person paddling in the front.</t>
  </si>
  <si>
    <t>Several more people are seen riding around in canoes and showing waterfalls as well as a fire.</t>
  </si>
  <si>
    <t>v_nj5dMUGvOWo</t>
  </si>
  <si>
    <t>A woman is doing a gymnastics routine on uneven bars.</t>
  </si>
  <si>
    <t>A woman does flips on the bar.</t>
  </si>
  <si>
    <t>She jumps off and lands on a mat.</t>
  </si>
  <si>
    <t>v_IDr50VT8BK8</t>
  </si>
  <si>
    <t>She picks up a red brush and begins brushing her hair.</t>
  </si>
  <si>
    <t>A Netflix advertisement is shown on the screen.</t>
  </si>
  <si>
    <t>v_iCkDtX_mTII</t>
  </si>
  <si>
    <t>A man is sitting on an exercise machine.</t>
  </si>
  <si>
    <t>He pulls a bar in front of him and starts working out.</t>
  </si>
  <si>
    <t>He drops the bar and finishes.</t>
  </si>
  <si>
    <t>v_lGvI5pyjpFg</t>
  </si>
  <si>
    <t>A young girl is seen standing behind a table squeezing limes while another washes dishes in the background.</t>
  </si>
  <si>
    <t>The girl continues juicing the fruit and walks towards the camera then back again.</t>
  </si>
  <si>
    <t>v_oZa-yum3mcU</t>
  </si>
  <si>
    <t>The Duggar mom and a little girl walks up to another woman at a horse ranch and the words on the bottom left say the woman's name is Morgan Brown and she's the Equestrian Instructor.</t>
  </si>
  <si>
    <t>The woman leads them into the barn and she puts a helmet on the little girls head, they walk to get horses and at some point the Duggar mom put a helmet on as well.</t>
  </si>
  <si>
    <t>In between interviews they show the Duggar mom and the little girl getting instructions about their horse and then getting on their horses and riding on them in an enclosed area.</t>
  </si>
  <si>
    <t>The red and white TLC logo remains on the bottom right area of the screen the whole time.</t>
  </si>
  <si>
    <t>v_B_heSKsoI9o</t>
  </si>
  <si>
    <t>A man is seen speaking to the camera and leads into several people holding and shooting bows.</t>
  </si>
  <si>
    <t>The instructors assists the students while speaking to the camera and shows several shots of the person shooting the arrows.</t>
  </si>
  <si>
    <t>v_c0Hix_5Vm8I</t>
  </si>
  <si>
    <t>A vans off the wall ad is shown.</t>
  </si>
  <si>
    <t>Multiple pictures flash across the screen.</t>
  </si>
  <si>
    <t>Men are shown drinking wine before performing numerous tricks on ski boards.</t>
  </si>
  <si>
    <t>Images of them in the air performing tricks and jumping are shown.</t>
  </si>
  <si>
    <t>v_h49mHiWjXBA</t>
  </si>
  <si>
    <t>man is standing in an icetrack talking to the camera.</t>
  </si>
  <si>
    <t>people are playing curling in an ice court.</t>
  </si>
  <si>
    <t>v_BIJK3xcjiKE</t>
  </si>
  <si>
    <t>Several clips are shown of people playing soccer in front of a large stadium.</t>
  </si>
  <si>
    <t>The people kick a ball all around the area as well as throw their hands up.</t>
  </si>
  <si>
    <t>More shots are shown of people playing against one another on different fields and celebrating.</t>
  </si>
  <si>
    <t>v__7AyUgKv3kU</t>
  </si>
  <si>
    <t>A kid is seen speaking to the camera and pans over to an older woman blowing leaves in yard.</t>
  </si>
  <si>
    <t>The woman speaks to the boy and he walks over to her while she still blows leaves around.</t>
  </si>
  <si>
    <t>In the end she's seen walking away past a fence.</t>
  </si>
  <si>
    <t>v_mhU_KzxJyr4</t>
  </si>
  <si>
    <t>A young male is sitting in the desert on top of a camel.</t>
  </si>
  <si>
    <t>The man begins talking to another male who has a red wrap on his head.</t>
  </si>
  <si>
    <t>The camel then lifts up and begins walking throughout the desert towards a group of kids and cars.</t>
  </si>
  <si>
    <t>v_1PTNnaEu8xo</t>
  </si>
  <si>
    <t>A man is tying a yellow belt around the waist of a taller man who shakes his hand and then shakes everyone else.</t>
  </si>
  <si>
    <t>The man and another begin to do some karate moves against one another but they rarely make physical contact.</t>
  </si>
  <si>
    <t>There is a group of men standing around them watching them.</t>
  </si>
  <si>
    <t>When they are finished, they take all take a group photo together.</t>
  </si>
  <si>
    <t>v_om1vXrpctVE</t>
  </si>
  <si>
    <t>Two large men are seen standing in a pit surrounded by others and one ref standing in the middle.</t>
  </si>
  <si>
    <t>The men then bow before one another as people continue to sweep the arena and lead into the men fighting.</t>
  </si>
  <si>
    <t>The men continuously wrestle one another while the ref moves around them and ends with them walking around then off stage.</t>
  </si>
  <si>
    <t>v_q9y-83399Ao</t>
  </si>
  <si>
    <t>A person in a yellow cap is swimming in a swimming pool.</t>
  </si>
  <si>
    <t>A person in a white shirt is talking.</t>
  </si>
  <si>
    <t>The person is out of the water moving their arms.</t>
  </si>
  <si>
    <t>v_NeUIHk1uCgA</t>
  </si>
  <si>
    <t>A woman mounts a beam with an audience in the background.</t>
  </si>
  <si>
    <t>The woman performs gymnastics on the beam.</t>
  </si>
  <si>
    <t>The woman dismounts from the beam.</t>
  </si>
  <si>
    <t>v_QY-2lN9zwho</t>
  </si>
  <si>
    <t>A young boy laughs while holding two toothbrushes.</t>
  </si>
  <si>
    <t>He uses an electric brush to brush his teeth.</t>
  </si>
  <si>
    <t>He shakes the brush, occasionally pouring water on it and putting it back in his mouth.</t>
  </si>
  <si>
    <t>v_A1SuSeqDTEI</t>
  </si>
  <si>
    <t>We see a man preparing to get in a kayak.</t>
  </si>
  <si>
    <t>We then see the man riding in his kayak on a rough river.</t>
  </si>
  <si>
    <t>The man goes over a rock.</t>
  </si>
  <si>
    <t>We see a mountain near the river.</t>
  </si>
  <si>
    <t>The kayak is overturned in the river.</t>
  </si>
  <si>
    <t>We see the man on the shore.</t>
  </si>
  <si>
    <t>We see the man go over a waterfall.</t>
  </si>
  <si>
    <t>We see the man pull his kayak onto the shore.</t>
  </si>
  <si>
    <t>We see the kayak overturned and we then see the river running.</t>
  </si>
  <si>
    <t>We see the ending screens.</t>
  </si>
  <si>
    <t>v_QCBaT1NJ32E</t>
  </si>
  <si>
    <t>A woman is seen laughing to the camera and begins smoking a cigarette.</t>
  </si>
  <si>
    <t>The woman takes puffs off of her cigarette while looking into the camera.</t>
  </si>
  <si>
    <t>The woman continues lifting up her cigarette and blowing smoke into the distance.</t>
  </si>
  <si>
    <t>v_g2uL6H3fP1c</t>
  </si>
  <si>
    <t>We see a man walking in a parking lot.</t>
  </si>
  <si>
    <t>The man starts performing martial arts moves.</t>
  </si>
  <si>
    <t>The man removes his shirt and necklace.</t>
  </si>
  <si>
    <t>The man flips around and does Capoeira moves.</t>
  </si>
  <si>
    <t>We see the man do a handstand on one hand.</t>
  </si>
  <si>
    <t>The man finishes, grabs his shirt, and walks off.</t>
  </si>
  <si>
    <t>We see video clips in the closing screen.</t>
  </si>
  <si>
    <t>v_p0O-EsMFcL4</t>
  </si>
  <si>
    <t>An individual rides on an inner tube down a river with rocks in it.</t>
  </si>
  <si>
    <t>A man pushes the individual downstream.</t>
  </si>
  <si>
    <t>Another man pushes the individual further downstream.</t>
  </si>
  <si>
    <t>v_kMYZWwZXx3E</t>
  </si>
  <si>
    <t>A camera pans all around a fence while text is being shown across.</t>
  </si>
  <si>
    <t>A person is shown in several shots spraying down the fence with a hose.</t>
  </si>
  <si>
    <t>In the end more clips are shown of the fence.</t>
  </si>
  <si>
    <t>v_lzQwtmUrSK4</t>
  </si>
  <si>
    <t>People are running around on dirt playing soccer.</t>
  </si>
  <si>
    <t>People are in an indoor arena playing soccer.</t>
  </si>
  <si>
    <t>People in the stands are applauding for them.</t>
  </si>
  <si>
    <t>v_c05oRliUOxk</t>
  </si>
  <si>
    <t>We see an opening title scene.</t>
  </si>
  <si>
    <t>We see people riding horses through the mountains.</t>
  </si>
  <si>
    <t>We turn and see the canyon and river.</t>
  </si>
  <si>
    <t>A person in blue turns around a few times.</t>
  </si>
  <si>
    <t>We see a large white mound of snow.</t>
  </si>
  <si>
    <t>The person in the blue shirt looks up the mountain.</t>
  </si>
  <si>
    <t>We see a blue bar at the bottom of the screen.</t>
  </si>
  <si>
    <t>v_wrf4MfW4MGg</t>
  </si>
  <si>
    <t>A man with long hair is seen brushing his face with a brush while holding his hand up and speaking to the camera.</t>
  </si>
  <si>
    <t>He then holds up the brush and grabs his hoodie while smiling at the camera.</t>
  </si>
  <si>
    <t>v_U_qCCwgS0OM</t>
  </si>
  <si>
    <t>Intro leads into A man mopping up dirt on a floor and showing the tools afterwards.</t>
  </si>
  <si>
    <t>Several shots of mops pushing around dirt is shown followed by the better mop being dipped into water and dripped on a table.</t>
  </si>
  <si>
    <t>A 3d mop shows how it works with a woman also moping up things on her floor.</t>
  </si>
  <si>
    <t>Several other shots of people mopping are shown as well as people shrugging and where to buy the mops.</t>
  </si>
  <si>
    <t>v_YrMrSXH8k6k</t>
  </si>
  <si>
    <t>A man is seen holding a blow torch and begins using it while pulling his mask down.</t>
  </si>
  <si>
    <t>The man continuously sparks with the machine on a piece of metal.</t>
  </si>
  <si>
    <t>He stops in the end while taking off his mask and looking into the camera.</t>
  </si>
  <si>
    <t>v_X4IE65LtDzQ</t>
  </si>
  <si>
    <t>A woman and young girl are seen speaking to the camera while holding together a toy.</t>
  </si>
  <si>
    <t>The two create a hop scotch game with the toy and lay it down on the ground and show off the foam.</t>
  </si>
  <si>
    <t>The woman speaks to the camera while the girl hops along the game.</t>
  </si>
  <si>
    <t>v_0bjHe_5nACw</t>
  </si>
  <si>
    <t>A woman is seen speaking to the camera while holding a violin and continues with her playing the violin and pausing.</t>
  </si>
  <si>
    <t>The woman continues playing the instrument and stopping to speak to the camera and demonstrate how to play.</t>
  </si>
  <si>
    <t>v_jwqotL-yNvE</t>
  </si>
  <si>
    <t>A video is shown of a first person view of someone exploring a large open field on the way to a track.</t>
  </si>
  <si>
    <t>Then, the person puts the camera down and begins working out on the track.</t>
  </si>
  <si>
    <t>The guys takes off his track suit and continues to work out.</t>
  </si>
  <si>
    <t>He flips himself over in the air and lands on a pile of sand.</t>
  </si>
  <si>
    <t>He proceeds to do some break dancing moves before the video ends.</t>
  </si>
  <si>
    <t>v_Wx-fRCjU9r0</t>
  </si>
  <si>
    <t>Teams are playing ice hockey in the center so everyone who's sitting down can watch them.</t>
  </si>
  <si>
    <t>The blue team scores a goal first and then people start clapping and cheering.</t>
  </si>
  <si>
    <t>Next the blue team scores another one again and the crowd goes wild.</t>
  </si>
  <si>
    <t>v_wt-PGxOkL_s</t>
  </si>
  <si>
    <t>A woman is seen bending down in front of the camera and turn on a faucet of water.</t>
  </si>
  <si>
    <t>The woman continues uses the water and begins scrubbing down a shirt and stepping in the buckets.</t>
  </si>
  <si>
    <t>More shots are shown of them cleaning the clothes and ends by hanging them up.</t>
  </si>
  <si>
    <t>v_Ls8ha6c0ye8</t>
  </si>
  <si>
    <t>a man is driving a car through a window.</t>
  </si>
  <si>
    <t>He gets a pass into a park area.</t>
  </si>
  <si>
    <t>He is shown driving, walking, and riding horses as he explores the area.</t>
  </si>
  <si>
    <t>v_c8iet_4ndU0</t>
  </si>
  <si>
    <t>A girl is jumping and swinging on balance bars.</t>
  </si>
  <si>
    <t>A woman in a black shirt is standing under her watching.</t>
  </si>
  <si>
    <t>She helps her jump off and land on a mat.</t>
  </si>
  <si>
    <t>v_9VGxxRNOdbM</t>
  </si>
  <si>
    <t>A gymnast put power chalk power on his hands and stands near the pommel horse.</t>
  </si>
  <si>
    <t>Then, the gymnast approach the pommel horse to spin around many times.</t>
  </si>
  <si>
    <t>Then, the gymnast stand on his hand and jumps to land on the floor, while people applaud.</t>
  </si>
  <si>
    <t>v_JSDZWq777Mc</t>
  </si>
  <si>
    <t>A man walks up to the side of a cabin.</t>
  </si>
  <si>
    <t>He uses a large knife to cut through the grass.</t>
  </si>
  <si>
    <t>He swings the knife back and forth, cutting the grass and weeds.</t>
  </si>
  <si>
    <t>v_xWY7A8Sf-HE</t>
  </si>
  <si>
    <t>A woman is standing on a field while people are gathered behind her.</t>
  </si>
  <si>
    <t>Several people run together, chasing each other.</t>
  </si>
  <si>
    <t>Kids are shown close up at the end.</t>
  </si>
  <si>
    <t>v_6z6iFou8nW0</t>
  </si>
  <si>
    <t>A boy in a green shirt steps on a stool to reach the sink.</t>
  </si>
  <si>
    <t>A woman stands next to him.</t>
  </si>
  <si>
    <t>The little boy washes his hands in the sink.</t>
  </si>
  <si>
    <t>She wipes the sink with a paper towel.</t>
  </si>
  <si>
    <t>The boy dries his hands with a towel.</t>
  </si>
  <si>
    <t>v_ctMcsGnutho</t>
  </si>
  <si>
    <t>A woman is seen speaking to the camera in a dealership and leads into several close ups of a car.</t>
  </si>
  <si>
    <t>The woman then presents various tools and begins taking off the tire off of the car.</t>
  </si>
  <si>
    <t>She pulls out a new tire and places it on the car, screwing it in place and showing where the tire is in the trunk.</t>
  </si>
  <si>
    <t>She closes the trunk and shows off the car while still speaking to the camera.</t>
  </si>
  <si>
    <t>v_wWOH-b4PTq4</t>
  </si>
  <si>
    <t>A large group of people are seen sitting on a beach that leads into several people sitting on sail boats and riding along.</t>
  </si>
  <si>
    <t>The various boats continue riding all along the water with the winner jumping in the water and standing proudly on the podium.</t>
  </si>
  <si>
    <t>v_h-N9TvaBax8</t>
  </si>
  <si>
    <t>woman is talking in news talking about a los angeles baseball player.</t>
  </si>
  <si>
    <t>me are in a street court playing dodgeball wearing dodgers uniform, people are watching the game and cars are passing by in the street.</t>
  </si>
  <si>
    <t>men wearing dodgers uniform are shown in pictures in a baseball field people on the terraces and the woman on the news talking about them.</t>
  </si>
  <si>
    <t>v_FrvK75jGdjE</t>
  </si>
  <si>
    <t>A child plays a violin on stage during a solo performance.</t>
  </si>
  <si>
    <t>A man watches with interest from the side of the stage.</t>
  </si>
  <si>
    <t>The girl pauses briefly then begins playing again.</t>
  </si>
  <si>
    <t>The girl lowers her violin and wand at the end of the performance.</t>
  </si>
  <si>
    <t>v_jqZg_FK2OlM</t>
  </si>
  <si>
    <t>A camera pans around a fenced in are and leads into a woman holding a paint brush.</t>
  </si>
  <si>
    <t>She brushes the side of the fence up and down while the camera continues looking around the side.</t>
  </si>
  <si>
    <t>v_DkouAjobzac</t>
  </si>
  <si>
    <t>An intro leads into a man talking and smiling into a camera and several shots of people preparing a boat and riding along the water.</t>
  </si>
  <si>
    <t>Another woman is seen talking to the camera followed by several more shots of the boat along the water and people riding and steering the boat.</t>
  </si>
  <si>
    <t>v_o1R8glzh0As</t>
  </si>
  <si>
    <t>Three men are seen walking in slow motion while another girl walks into frame and the group grab tubes from a pile.</t>
  </si>
  <si>
    <t>The people speak to the camera and are then seen sitting in the tubes and floating down a river.</t>
  </si>
  <si>
    <t>The people continuously ride down the river while bobbing back and fourth and are then seen sitting on a bus and speaking to one another.</t>
  </si>
  <si>
    <t>v_kzdRUWpBXd4</t>
  </si>
  <si>
    <t>A large group of people are seen dressed up in holiday gear and are seen throwing objects at one another.</t>
  </si>
  <si>
    <t>The people continue playing dodgeball against one another and end by dancing in the middle.</t>
  </si>
  <si>
    <t>v_6ffxjwTIZHk</t>
  </si>
  <si>
    <t>A man in a green shirt is holding some papers and talking outside.</t>
  </si>
  <si>
    <t>He starts moving some dirt next to a tree with his hand.</t>
  </si>
  <si>
    <t>He steps away from the tree and continues talking.</t>
  </si>
  <si>
    <t>v_Y53B2WdEbAg</t>
  </si>
  <si>
    <t>Several women are kneeling on the ground and working on preparing a soup.</t>
  </si>
  <si>
    <t>One of the women picks out some of the food from the grater.</t>
  </si>
  <si>
    <t>A woman slices some of the white vegetable into a yellow bowl.</t>
  </si>
  <si>
    <t>v_iFDr-o61ewo</t>
  </si>
  <si>
    <t>A little boy carries a bower on his back and blow dead leaves of a backyard.</t>
  </si>
  <si>
    <t>Then, the little boy goes to other place to blow leaves.</t>
  </si>
  <si>
    <t>After, the little boy blow leaves near a tree.</t>
  </si>
  <si>
    <t>v_Vf02ZDnbduk</t>
  </si>
  <si>
    <t>A piece of exercise equipment is put together through technology and then shown in real time.</t>
  </si>
  <si>
    <t>A person's hand turns a knob on the machine and begins running on the machine.</t>
  </si>
  <si>
    <t>Close ups of her feet are shown as well as several other angles of her running.</t>
  </si>
  <si>
    <t>v_AQSiBbhLBhs</t>
  </si>
  <si>
    <t>A woman with very long hair is standing on a balcony showing off the length of her hair.</t>
  </si>
  <si>
    <t>She turns around and faces the camera continuing to brush her hair and display its length.</t>
  </si>
  <si>
    <t>She begins to twirl and sway her hair with her back to the camera and that is when the video ends.</t>
  </si>
  <si>
    <t>v_2FcdD7WapJM</t>
  </si>
  <si>
    <t>A person is seen unscrewing a bottle of mouth wash and pouring it into a cup.</t>
  </si>
  <si>
    <t>The girl then drinks from it and swishes it around her mouth.</t>
  </si>
  <si>
    <t>She spits out the mixture and shows off pictures in the end.</t>
  </si>
  <si>
    <t>v_zLF5DSuDixg</t>
  </si>
  <si>
    <t>A compilation of shot put is put together, you see many different men getting prepared.</t>
  </si>
  <si>
    <t>They turn their bodies very quickly building up as much speed as they can before taking their shot.</t>
  </si>
  <si>
    <t>They practice and they do it professionally, it a serious sport that people really enjoy yo be a part of.</t>
  </si>
  <si>
    <t>They tend to get very excited when they do good on their throws.</t>
  </si>
  <si>
    <t>v__032TQam_mY</t>
  </si>
  <si>
    <t>A woman in a purple coat is talking.</t>
  </si>
  <si>
    <t>She starts brushing a horse with the brush.</t>
  </si>
  <si>
    <t>She cleans the bottom of the horse's foot.</t>
  </si>
  <si>
    <t>She sprays the horse's tail and starts brushing it.</t>
  </si>
  <si>
    <t>She finishes and continues talking to the camera.</t>
  </si>
  <si>
    <t>v_nfe_V3ei6ag</t>
  </si>
  <si>
    <t>A volleyball player throws the ball in the air.</t>
  </si>
  <si>
    <t>Her teammate catches it and throws it over the net.</t>
  </si>
  <si>
    <t>The volleyball player serves the ball.</t>
  </si>
  <si>
    <t>An opposing player dives to spike the ball.</t>
  </si>
  <si>
    <t>Her teammate throws the ball over the net.</t>
  </si>
  <si>
    <t>The volleyball player who dove earlier spikes the ball over the net.</t>
  </si>
  <si>
    <t>An opposing player hits the ball.</t>
  </si>
  <si>
    <t>Her teammate hits it back at her.</t>
  </si>
  <si>
    <t>The teammate spikes it over the net.</t>
  </si>
  <si>
    <t>The opposing player hits the ball.</t>
  </si>
  <si>
    <t>Her teammate throws the ball over the net to the opposing team.</t>
  </si>
  <si>
    <t>The opposing player hits the ball towards her teammate.</t>
  </si>
  <si>
    <t>Her teammate hits the ball.</t>
  </si>
  <si>
    <t>Her teammate hits the ball over the net.</t>
  </si>
  <si>
    <t>An opposing player dives and hits the ball.</t>
  </si>
  <si>
    <t>One of the teammates on the opposing team dives to catch and throw the out of bounds ball.</t>
  </si>
  <si>
    <t>v_dE1NAofn3ks</t>
  </si>
  <si>
    <t>A curler prepares to make a curling shot while being watch be other people in the arena.</t>
  </si>
  <si>
    <t>She makes the shot and lets go of the puck as the other team members chase it and sweep the ice.</t>
  </si>
  <si>
    <t>Another shot is made, and team members proceed to follow the shot and sweep the ice.</t>
  </si>
  <si>
    <t>A third shot is then made and the curlers allow the shot to knock out another puck.</t>
  </si>
  <si>
    <t>v_BII4aKnegaU</t>
  </si>
  <si>
    <t>A small group of people are seen taking a spin class together that leads into a man speaking to the camera.</t>
  </si>
  <si>
    <t>Shots of the gym are shown that lead into another cycling class with the man leading the group and still speaking to the camera.</t>
  </si>
  <si>
    <t>v_EjUMR9v_8Pg</t>
  </si>
  <si>
    <t>A man and a woman are sitting down talking on a bench in front of a wall with several rims.</t>
  </si>
  <si>
    <t>The two then stand up and begin talking and you can see that they are in a junk yard.</t>
  </si>
  <si>
    <t>Finally,they begin dancing together and do rugged hip hop dance moves suited for the environment.</t>
  </si>
  <si>
    <t>v_YPlsA_vTltk</t>
  </si>
  <si>
    <t>A girl walks in from the side and begins stomping in the room.</t>
  </si>
  <si>
    <t>The girl continues exercising and moves side to side and starts to put her foot up moving in a hip hop fashion.</t>
  </si>
  <si>
    <t>She then moves into a sort of squat of some sort and continues moving and then slides from left to right and continues dancing and crumping.</t>
  </si>
  <si>
    <t>v_DuU7OKTAmsY</t>
  </si>
  <si>
    <t>We see people floating in a lake in purple rafts.</t>
  </si>
  <si>
    <t>A person puts their feet on a rock.</t>
  </si>
  <si>
    <t>The people hit the rough water.</t>
  </si>
  <si>
    <t>We see a red canoe on the shore.</t>
  </si>
  <si>
    <t>We pan over the river.</t>
  </si>
  <si>
    <t>v_Cdmd9VB8tJI</t>
  </si>
  <si>
    <t>A man is shown washing a dog with a water hose in a backyard with several flowers.</t>
  </si>
  <si>
    <t>The camera pans around the wet dog as the man continues to wash him and he shakes off.</t>
  </si>
  <si>
    <t>He pours more shampoo on the dog and rubs the shampoo into it's fur.</t>
  </si>
  <si>
    <t>v_lKSWdEIuJtM</t>
  </si>
  <si>
    <t>A back yard area is seen that leads into several kids and older man working on a ladder.</t>
  </si>
  <si>
    <t>The group cuts hedges along the side as well as throw them into a bucket and help the older man.</t>
  </si>
  <si>
    <t>The kids continue to help the other man by gathering leaves as he pushing them back towards the front.</t>
  </si>
  <si>
    <t>v_opaWopwV74I</t>
  </si>
  <si>
    <t>A woman is sitting bent over and washing her laundry by hand in a bowl.</t>
  </si>
  <si>
    <t>Her friend comes by and talks to her and laugh before walking away again.</t>
  </si>
  <si>
    <t>She continues to scrub her clothes extensively, making sure its nice and clean before putting in another bucket.</t>
  </si>
  <si>
    <t>She washes and washes and throws them in the dry bucket when she is done.</t>
  </si>
  <si>
    <t>v_v8fS--GlXF4</t>
  </si>
  <si>
    <t>A man is seen kneeling down on the dirt when a bull comes running into the man.</t>
  </si>
  <si>
    <t>He knocks over the man and is dragged away, followed by his clip being shown again.</t>
  </si>
  <si>
    <t>Several more clips are shown of people chasing bulls and running away.</t>
  </si>
  <si>
    <t>v_v3tNh1and0U</t>
  </si>
  <si>
    <t>A swimmer swims inside of a pool.</t>
  </si>
  <si>
    <t>The swimmer is seen wearing a training snorkel.</t>
  </si>
  <si>
    <t>v_Gi55CA6ktE8</t>
  </si>
  <si>
    <t>A screen of fighters are shown and then two random images are selected.</t>
  </si>
  <si>
    <t>Once selected,the pictures move to the top corners of the screen and two people dressed in sumo uniforms stand in the middle of a round-about and begin fighting as cars travel around them.</t>
  </si>
  <si>
    <t>v_rhDxMg72ofo</t>
  </si>
  <si>
    <t>An intro begins then shows pictures of a girl standing in the bathroom with long, straight hair.</t>
  </si>
  <si>
    <t>She then begins talking to the camera while stroking her hair followed by blow drying and brushing her hair.</t>
  </si>
  <si>
    <t>She then puts lotion into her hair and breaking her hair into sections.</t>
  </si>
  <si>
    <t>She straightens each section of hair and smiles in the end.</t>
  </si>
  <si>
    <t>v_sYpC9oPhmY4</t>
  </si>
  <si>
    <t>A band is gathered outside a building.</t>
  </si>
  <si>
    <t>A leader is using a baton to instruct them.</t>
  </si>
  <si>
    <t>They are playing the drums for a small audience.</t>
  </si>
  <si>
    <t>v_V4BNtCtuSQQ</t>
  </si>
  <si>
    <t>A guy in the backyard is mowing the lawn on a hot and sunny day while a lady records and narrates.</t>
  </si>
  <si>
    <t>He starts to go in a back and forth motion as he moves the mower.</t>
  </si>
  <si>
    <t>The guy changes direction as he continues to mow.</t>
  </si>
  <si>
    <t>v_MnzVdvbvnMc</t>
  </si>
  <si>
    <t>A group of guards march down a driveway as they play the trumpets.</t>
  </si>
  <si>
    <t>A man heats a small pan with a flame.</t>
  </si>
  <si>
    <t>Three soldiers standing near watch him.</t>
  </si>
  <si>
    <t>The man grabs a paintbrush and moves it around in the pan.</t>
  </si>
  <si>
    <t>He takes the brush and brushes a shoe.</t>
  </si>
  <si>
    <t>He flames the shoe with the flame canister.</t>
  </si>
  <si>
    <t>He brushes the shoe again.</t>
  </si>
  <si>
    <t>He then flames the shoe some more.</t>
  </si>
  <si>
    <t>v_-DTxZliHCTE</t>
  </si>
  <si>
    <t>A man is mowing the lawn on a yard and laughing and making jokes with friends that are watching.</t>
  </si>
  <si>
    <t>He begins to run with the lawn mover and nearly runs into something as his friends laugh in enjoyment.</t>
  </si>
  <si>
    <t>One of his friends tries to help him as he is mowing the lawn.</t>
  </si>
  <si>
    <t>v_6aj1njn541k</t>
  </si>
  <si>
    <t>a girl is sitting in a chair talking.</t>
  </si>
  <si>
    <t>A woman walks up to the girl and wipes her earlobes.</t>
  </si>
  <si>
    <t>The woman then pierces the girl's ear.</t>
  </si>
  <si>
    <t>The girl puts her glasses on after her ears are pieced.</t>
  </si>
  <si>
    <t>v_q6bl7g5JGng</t>
  </si>
  <si>
    <t>A man is shown smiling in an image as words go over his face.</t>
  </si>
  <si>
    <t>He is in and indoor court, showing a little boy how to hit a tennis ball against the wall with a racket.</t>
  </si>
  <si>
    <t>The boy tries several times.</t>
  </si>
  <si>
    <t>v_AF8sbdPa4rE</t>
  </si>
  <si>
    <t>A man with no hands grabs a dart that is stuck to the board and walks backward.</t>
  </si>
  <si>
    <t>He then throws the dark up in the air to show it landed on the board.</t>
  </si>
  <si>
    <t>v_F5IWShcFIN4</t>
  </si>
  <si>
    <t>A storm trooper is seen speaking to the camera and leads into a camera panning around a neighbor and the man walking around.</t>
  </si>
  <si>
    <t>Many kids stop to speak to the man as well as cars stopping to speak.</t>
  </si>
  <si>
    <t>v_YBuNpnthXfE</t>
  </si>
  <si>
    <t>A large group of people are seen playing a game of tug of war with other people walking around.</t>
  </si>
  <si>
    <t>The people play back and fourth while others watching on the side.</t>
  </si>
  <si>
    <t>One group then pulls another down and ends by walking away.</t>
  </si>
  <si>
    <t>v_lsgB3WU-1r0</t>
  </si>
  <si>
    <t>A city skyline appears in front of a large river.</t>
  </si>
  <si>
    <t>Several businesses are shown from the outside.</t>
  </si>
  <si>
    <t>A fencing match commences inside a building.</t>
  </si>
  <si>
    <t>v_2fs09c8gFsk</t>
  </si>
  <si>
    <t>We see people riding bumper cars.</t>
  </si>
  <si>
    <t>The camera moves down the row to the right.</t>
  </si>
  <si>
    <t>The girl in black gets stuck the gets going.</t>
  </si>
  <si>
    <t>The cars then come to a stop.</t>
  </si>
  <si>
    <t>v_hv3tNd_6qB4</t>
  </si>
  <si>
    <t>A woman dances while another stands in the background.</t>
  </si>
  <si>
    <t>A third woman sweeps the floor.</t>
  </si>
  <si>
    <t>The second woman starts walking around with a towel under one foot.</t>
  </si>
  <si>
    <t>The first woman stops dancing and starts walking around with a towel under one foot.</t>
  </si>
  <si>
    <t>The sweeping woman stops, jumps, and waves before resuming.</t>
  </si>
  <si>
    <t>The first woman pulls items out of a cabinet and places them on the floor.</t>
  </si>
  <si>
    <t>A fourth individual is briefly shown in the doorway.</t>
  </si>
  <si>
    <t>v_rfWlK9njyzg</t>
  </si>
  <si>
    <t>The floor has a hopscotch on it.</t>
  </si>
  <si>
    <t>Someone is sitting with a lap top.</t>
  </si>
  <si>
    <t>There is a trashcan in the corner.</t>
  </si>
  <si>
    <t>A boy is playing hopscotch.</t>
  </si>
  <si>
    <t>v_3YdmY4oPE5s</t>
  </si>
  <si>
    <t>A small group of people are seen standing around a field when one lady hits a ball.</t>
  </si>
  <si>
    <t>The people continue playing crochet on the lawn while walking around.</t>
  </si>
  <si>
    <t>v_XhqFJNRt-5g</t>
  </si>
  <si>
    <t>People are walking in front of a white fence.</t>
  </si>
  <si>
    <t>Behind the fence a man is riding a horse.</t>
  </si>
  <si>
    <t>He ropes a calf and throws it down onto the ground.</t>
  </si>
  <si>
    <t>He ties the legs of the calf and stands up.</t>
  </si>
  <si>
    <t>He gets back on his horse.</t>
  </si>
  <si>
    <t>v_n-hsQkfdUk0</t>
  </si>
  <si>
    <t>A person plays tam-tam using three instruments.</t>
  </si>
  <si>
    <t>Other man plays the drums using two sticks.</t>
  </si>
  <si>
    <t>v_wSTU_jI-FRU</t>
  </si>
  <si>
    <t>A cartoon yellow character is shown running with bulls behind him.</t>
  </si>
  <si>
    <t>Several sumo wrestlers are then shown running down a track.</t>
  </si>
  <si>
    <t>A gun fires, and they run again.</t>
  </si>
  <si>
    <t>v_LSkcoamI3gw</t>
  </si>
  <si>
    <t>A man comes outside and starts shoveling the snow with his black shovel and many people drive past while he's doing it.</t>
  </si>
  <si>
    <t>In the end the camera zooms in to show what is written in the big pile of snow.</t>
  </si>
  <si>
    <t>The letters create this world known holiday phrase and that is Merry Christmas including the year 2013.</t>
  </si>
  <si>
    <t>v_ntYIITLp90k</t>
  </si>
  <si>
    <t>A man gets on his bike.</t>
  </si>
  <si>
    <t>The tire is flat and he feels it.</t>
  </si>
  <si>
    <t>He hooks the air pump up to the tire.</t>
  </si>
  <si>
    <t>Tools are sitting on a brick wall.</t>
  </si>
  <si>
    <t>He turns the bike upside down to look at the tire.</t>
  </si>
  <si>
    <t>He takes a nut off of the wheel to get the tire off.</t>
  </si>
  <si>
    <t>He uses a tool to get the tire off of the wheel.</t>
  </si>
  <si>
    <t>He pumps a pump and then fills it with water.</t>
  </si>
  <si>
    <t>He rubs chalk on the tire and puts glue on it.</t>
  </si>
  <si>
    <t>He puts the tire back on the wheel.</t>
  </si>
  <si>
    <t>He puts the air pump on and fills it with air.</t>
  </si>
  <si>
    <t>He gets on his bike and rides away.</t>
  </si>
  <si>
    <t>v_xMChLTVPzNI</t>
  </si>
  <si>
    <t>A woman is seen standing behind a counter speaking to the camera and pointing to various ingredients.</t>
  </si>
  <si>
    <t>She pours oil into a hot pan and begins mixing ingredients together in the pan.</t>
  </si>
  <si>
    <t>She boils noodles into a pot and mixes it together in the pan and serves it onto a plate.</t>
  </si>
  <si>
    <t>v_fJ7gcHxxJMM</t>
  </si>
  <si>
    <t>A girl in a one piece bathing suit begins walking on a diving board that's located in a large indoor pool area with a lot of people in the stands.</t>
  </si>
  <si>
    <t>When the girl gets to the end of the diving board she jumps and then flips and spins into the pool.</t>
  </si>
  <si>
    <t>When the girl hits the water she makes a small splash.</t>
  </si>
  <si>
    <t>v_YmVdnkDo0xQ</t>
  </si>
  <si>
    <t>A man is seen cleaning up a bathroom when a walks into frame and leads into a news article.</t>
  </si>
  <si>
    <t>A picture of a sign is shown followed by a person washing their hands as well as clips from tv shows.</t>
  </si>
  <si>
    <t>More shots are articles are shown and ends with people walking in a subway.</t>
  </si>
  <si>
    <t>v_oOYaw6-b4SY</t>
  </si>
  <si>
    <t>A blurry vision shows two people in a gym with one punching and kicking the other holding gloves.</t>
  </si>
  <si>
    <t>The two continue to move around the gym practicing their kicks and punches.</t>
  </si>
  <si>
    <t>v_9BR5LChbBLQ</t>
  </si>
  <si>
    <t>There's a black and red colored race car in a parking lot.</t>
  </si>
  <si>
    <t>A man wearing beige shorts begins cleaning the black race car with a cloth and a spray.</t>
  </si>
  <si>
    <t>He wipes the car down to make it shiny and clean.</t>
  </si>
  <si>
    <t>Both the cars are parked in the parking lot, looking clean and sparkly after a car wash.</t>
  </si>
  <si>
    <t>Information about Hand Job, mobile waterless car wash is shown on the screen.</t>
  </si>
  <si>
    <t>v_AQ2-EcbX4dE</t>
  </si>
  <si>
    <t>A small group of people are seen standing around a large horse in a barn full of hay.</t>
  </si>
  <si>
    <t>The people brush the horse all along the sides when a woman comes out back to speak to them.</t>
  </si>
  <si>
    <t>v_UB2GzjNzo3M</t>
  </si>
  <si>
    <t>A man is seen riding a bike in slow motion with a flag in the back and leads into several clips of people of all ages riding bikes.</t>
  </si>
  <si>
    <t>The people continuing riding around the dirt court while other stand ready on their bikes and interact with one another.</t>
  </si>
  <si>
    <t>v_tJcbG_HGZE8</t>
  </si>
  <si>
    <t>A glue stick is shown on a table.</t>
  </si>
  <si>
    <t>A pair of scissors is on a table.</t>
  </si>
  <si>
    <t>A person gets on a computer and prints something.</t>
  </si>
  <si>
    <t>They stick that to their door.</t>
  </si>
  <si>
    <t>v_zvXi08rTq3Y</t>
  </si>
  <si>
    <t>A man is in the car with a small boy.</t>
  </si>
  <si>
    <t>We see an orange car come into the screen followed by a gold car.</t>
  </si>
  <si>
    <t>v_vi8zTSA6bhY</t>
  </si>
  <si>
    <t>man is in a swinging make a kind of somervault on the air.</t>
  </si>
  <si>
    <t>the man makes the big jump in the air and lands in a bike and stat riding it.</t>
  </si>
  <si>
    <t>men iss swinging in a green grassy yard.</t>
  </si>
  <si>
    <t>v_ggw-70xi0dA</t>
  </si>
  <si>
    <t>A man with a red jacket and grey pants is walking across a slack line in the middle of the mountains.</t>
  </si>
  <si>
    <t>As he is trying to tight rope,he falls over and is never able to stand up.</t>
  </si>
  <si>
    <t>Although he isn't able to get up,he holds on and starts bouncing up and down upside down.</t>
  </si>
  <si>
    <t>v_65rZgGe7Zr4</t>
  </si>
  <si>
    <t>man is walking in a backyard shake the tree holds a broom and sweep the dry leaves on the floor.</t>
  </si>
  <si>
    <t>man go for a dustpan and a bag and pick up the leaves from the floor.</t>
  </si>
  <si>
    <t>v_PI_A4uJ_fsI</t>
  </si>
  <si>
    <t>A man is setting up cameras and lighting in the background for some video shoot.</t>
  </si>
  <si>
    <t>A man is on a machine standing and using only his arms and feet to move on it.</t>
  </si>
  <si>
    <t>Then a woman gets on it taking the mans place and she uses the machine.</t>
  </si>
  <si>
    <t>They are creating a commercial advertisment for television viewers.</t>
  </si>
  <si>
    <t>v_Gz0UlnBx6JU</t>
  </si>
  <si>
    <t>man is talking to the camera in a news studio and sart talking with a man that is part of a band.</t>
  </si>
  <si>
    <t>band is in a stage, men are playing drums.</t>
  </si>
  <si>
    <t>man is again in news studio with the band and man start laying drums.</t>
  </si>
  <si>
    <t>v_Ci__IRtoMOo</t>
  </si>
  <si>
    <t>We see people riding in bumper cars.</t>
  </si>
  <si>
    <t>A girl is waving frilly toy.</t>
  </si>
  <si>
    <t>A little boy in gray smiles a the camera.</t>
  </si>
  <si>
    <t>We see a man in a red hat with a boy laughing hard.</t>
  </si>
  <si>
    <t>We see a traffic jam on the right.</t>
  </si>
  <si>
    <t>We zoom in on a lady in a white shirt.</t>
  </si>
  <si>
    <t>The lady in white smiles at the camera.</t>
  </si>
  <si>
    <t>The ride ends and the people all stand up.</t>
  </si>
  <si>
    <t>v_w8lqIgJn09Y</t>
  </si>
  <si>
    <t>A man in an athletic uniform begins swinging a ball and a string around.</t>
  </si>
  <si>
    <t>He lets go and the ball hits the screen as he falls to the ground.</t>
  </si>
  <si>
    <t>The video is replayed at various speeds.</t>
  </si>
  <si>
    <t>v_Z-syOvXCc20</t>
  </si>
  <si>
    <t>A young child is seen sitting on a swing set when an older man steps behind him and pushes.</t>
  </si>
  <si>
    <t>The boy moves back and fourth on the swing and leads to the boy jumping off and the man looking surprised.</t>
  </si>
  <si>
    <t>v_dtvIQ9Pd-Bg</t>
  </si>
  <si>
    <t>We see a man and the intro scene.</t>
  </si>
  <si>
    <t>A man in a kitchen has knifes and a sharpening block.</t>
  </si>
  <si>
    <t>The man wets the block and runs a knife across two different blocks.</t>
  </si>
  <si>
    <t>The man grabs a pole and sharpens the knife on it.</t>
  </si>
  <si>
    <t>The man wipes the knife on a towel.</t>
  </si>
  <si>
    <t>The man grabs and removes a lemon.</t>
  </si>
  <si>
    <t>The man shows us an upside down pot.</t>
  </si>
  <si>
    <t>v_vPhAXENSjiw</t>
  </si>
  <si>
    <t>The cheerleading team comes out for a performance.</t>
  </si>
  <si>
    <t>A girl attempts multiple flips and sticks the landing.</t>
  </si>
  <si>
    <t>Another girls follows suit as the team works hard in the background.</t>
  </si>
  <si>
    <t>The team shows off some dance moves next and the crowd cheers.</t>
  </si>
  <si>
    <t>After some more team-flips the team poses and celebrates as the routine ends.</t>
  </si>
  <si>
    <t>Several members hug and talk.</t>
  </si>
  <si>
    <t>The judges submit their scores and the team anticipates the results.</t>
  </si>
  <si>
    <t>The team is crowned the winners of the competition.</t>
  </si>
  <si>
    <t>v_qTvZtsi-3KU</t>
  </si>
  <si>
    <t>Some women are swimming in a pool.</t>
  </si>
  <si>
    <t>They have babies in their arms as they swim.</t>
  </si>
  <si>
    <t>They are teaching the babies to go under water and hold their breaths.</t>
  </si>
  <si>
    <t>v_elW8E-9bCRQ</t>
  </si>
  <si>
    <t>Two very tall men in tuxedos are dancing outside of a store.</t>
  </si>
  <si>
    <t>People are standing back watching them do their dance.</t>
  </si>
  <si>
    <t>One of the men puts his foot out while the other turns him in circles.</t>
  </si>
  <si>
    <t>When the dance is finally over both men shake hands and wave to the crowd.</t>
  </si>
  <si>
    <t>v_nAkA1HfRwF8</t>
  </si>
  <si>
    <t>A man is seen doing flips on a soft floor while moving in slow motion.</t>
  </si>
  <si>
    <t>The man continues performing several tricks across the floor and ends with a title sequence across the screen.</t>
  </si>
  <si>
    <t>v_uXcCES4BsQ0</t>
  </si>
  <si>
    <t>Two people are seen sitting behind a counter when one moves back and fourth and prepares himself.</t>
  </si>
  <si>
    <t>The man then solves a rubix cube while a timer is going and he puts a blindfold over his eyes and a person puts paper in front.</t>
  </si>
  <si>
    <t>He solves the sube and then slams his hands down on the table.</t>
  </si>
  <si>
    <t>v_-Xl95IW5H_s</t>
  </si>
  <si>
    <t>This is a tutorial on how to start a campfire.</t>
  </si>
  <si>
    <t>It shows the campfire burning on the ground.</t>
  </si>
  <si>
    <t>It starts with the things you will need to begin with.</t>
  </si>
  <si>
    <t>A designated place and some rocks arranged in a circle to create a pit.</t>
  </si>
  <si>
    <t>Some crumpled newspaper and a lighter along with a bucket of water.</t>
  </si>
  <si>
    <t>A man begins demonstrating how to place the newspaper and twigs on top of that.</t>
  </si>
  <si>
    <t>He then creates a pyramid shaped structure.</t>
  </si>
  <si>
    <t>He takes his lighter and lights the newspaper in several places to start the fire.</t>
  </si>
  <si>
    <t>The bonfire starts burning and continues to burn.</t>
  </si>
  <si>
    <t>He adds a few more twigs to keep the flames burning.</t>
  </si>
  <si>
    <t>v_aIwFZCRFHx8</t>
  </si>
  <si>
    <t>First the people are all shown sitting in their cars in one long line.</t>
  </si>
  <si>
    <t>Then the cars get powered on and they are able to get driven.</t>
  </si>
  <si>
    <t>After the people are done driving they all get out of the cars.</t>
  </si>
  <si>
    <t>v_NpKBAtQ5M6I</t>
  </si>
  <si>
    <t>An older man with a long ponytail and a pair of glasses is outside kneeling near a bike.</t>
  </si>
  <si>
    <t>The man has a pair of blue pliers in his hand and begins fixing the chain on the bike.</t>
  </si>
  <si>
    <t>Once the chain is on,he begins moving the pedal and demonstrates how the chain is operating.</t>
  </si>
  <si>
    <t>After awhile,he stops the chain and begins to take two links out of the chain on the bike.</t>
  </si>
  <si>
    <t>As the chain begins to hang down,the man puts it back in the right place and begins to spin the back wheel and begins to talk when he is finished.</t>
  </si>
  <si>
    <t>v_5laHmakSAAg</t>
  </si>
  <si>
    <t>The video leads into several shots of people throwing impressive shots of balls landing into cups.</t>
  </si>
  <si>
    <t>Several people are shown throwing balls into a cup and the camera showing a close up.</t>
  </si>
  <si>
    <t>v_q3-S2tg4ULw</t>
  </si>
  <si>
    <t>Young boy talks to camera in front of drum set in a studio.</t>
  </si>
  <si>
    <t>Young boy plays on the drum set, and the cymbals, while intermittently speaking to the camera.</t>
  </si>
  <si>
    <t>The boy finishes up recording his drum session and returns to the camera.</t>
  </si>
  <si>
    <t>v_9PqYL4zTnxY</t>
  </si>
  <si>
    <t>A woman is in a driveway, doing tricks and stunts as she jumps rope.</t>
  </si>
  <si>
    <t>She increases speed, then stops as a man approaches her to discuss her technique.</t>
  </si>
  <si>
    <t>She then returns to demonstrating how to jump rope, and the various names of the moves.</t>
  </si>
  <si>
    <t>v_mDqiAEB4Ads</t>
  </si>
  <si>
    <t>A view from indoors show a nice ocean view then pans to a man on his knees on the ground as he grouts some tiles and the white words on the screen say "INSTALLING TILES WITH DITRA".</t>
  </si>
  <si>
    <t>The man is then shown putting spacers in between tiles and measuring.</t>
  </si>
  <si>
    <t>The man then goes to another part of the room with a white bucket and an orange cloth and is wiping down wooden floorboards.</t>
  </si>
  <si>
    <t>The man is then shown pouring powder into a large white bucket, pouring water into it then mixing the contents with a hand drill.</t>
  </si>
  <si>
    <t>The man is then in a corner of the room and he's applying the mixture onto the floorboards then puts down an orange material.</t>
  </si>
  <si>
    <t>The man is then shown cutting the tiles with a manual hand cutter while another man is helping him by holding it, the the man holding the tile takes it away and sands it.</t>
  </si>
  <si>
    <t>The man is shown once again on his hands and knees and is applying putty onto the ground or the tile, putting the tiles down, adding spacers, then measuring that it's all even with a white circular leveler.</t>
  </si>
  <si>
    <t>A low view of the tiles are shown and a man is grouting, wiping tiles down and various views of the tiled room are shown.</t>
  </si>
  <si>
    <t>v_Lfh5p8ReOYo</t>
  </si>
  <si>
    <t>A woman is seen sitting at the end of a bed taking her shoes off and then baby's feet walking.</t>
  </si>
  <si>
    <t>Shots of furniture is shown that leads into a woman speaking, followed by several people vacuuming and stepping onto the carpet.</t>
  </si>
  <si>
    <t>A person adjusts the vacuum and continues using it while the woman speaks, and leads into a man playing with a baby.</t>
  </si>
  <si>
    <t>v_vYxBAbbvSxc</t>
  </si>
  <si>
    <t>A GoPro camera is seen and then another screen appears showing that the camera has won awards.</t>
  </si>
  <si>
    <t>A camera is mounted on the helmet of a water skier and after he gets himself into position a man on a horse by a pond pull him for a ride.</t>
  </si>
  <si>
    <t>Near land he lets go and falls into the water, as he celebrates and points at the man on the horse as a dog runs by.</t>
  </si>
  <si>
    <t>A screen appears asking to submit footage to the GoPro awards.</t>
  </si>
  <si>
    <t>v__6fbXk6y8X0</t>
  </si>
  <si>
    <t>We see a man kite surfing.</t>
  </si>
  <si>
    <t>We pass a person on the beach.</t>
  </si>
  <si>
    <t>The rider falls in the water.</t>
  </si>
  <si>
    <t>Water splashes and covers the camera lens.</t>
  </si>
  <si>
    <t>The person is riding in the other direction.</t>
  </si>
  <si>
    <t>We see the sand blowing in the wind.</t>
  </si>
  <si>
    <t>v_nVk5nIE-6bM</t>
  </si>
  <si>
    <t>There are a lot of people gathered on the street to watch a parade or to be in the parade.</t>
  </si>
  <si>
    <t>There are 4 young people dressed in military attire carrying a red and white banner in a parade.</t>
  </si>
  <si>
    <t>They are then followed by a group of dancing girls that are all dressed in the same outfits that are red, white and black, but some are wearing white tops and the others are wearing red tops.</t>
  </si>
  <si>
    <t>They are then followed by a very large band that are playing different instruments and they are all in sync and one woman is enjoying it so much that she begins to dance while the band plays on.</t>
  </si>
  <si>
    <t>v_mHWQrZW6-0M</t>
  </si>
  <si>
    <t>Several people canoe down a lake interspersed with several still photos of the lake stats and features.</t>
  </si>
  <si>
    <t>Several still photos of the lake are shown which includes browned and dry weeds/marsh and calm blue water along with a shallow body of water heavy with rocks.</t>
  </si>
  <si>
    <t>Two canoes with people in them are shown in the lake.</t>
  </si>
  <si>
    <t>An art mural of a blue and yellow fish is shown along with more still shots and video of people on the lake.</t>
  </si>
  <si>
    <t>v_9GP266ETAuE</t>
  </si>
  <si>
    <t>A ball is shown swinging around followed by shots of scenery and people getting ready.</t>
  </si>
  <si>
    <t>A man records an athlete holding the ball and sitting on a bench.</t>
  </si>
  <si>
    <t>Various people are shown getting ready to perform followed by several people swinging the balls.</t>
  </si>
  <si>
    <t>Eventually several different women are shown performing the task while also warming up their throws.</t>
  </si>
  <si>
    <t>v_u0p_dBCEDs4</t>
  </si>
  <si>
    <t>We see an intro screen with arrows.</t>
  </si>
  <si>
    <t>A chef is talking while standing in front of a bow as she cooks spaghetti.</t>
  </si>
  <si>
    <t>The lady adds salt, and spaghetti to boiling water.</t>
  </si>
  <si>
    <t>The lady grabs a noodle to show how it should look when cooked.</t>
  </si>
  <si>
    <t>The lady drains the water, adds sauce, and adds some of the cook water.</t>
  </si>
  <si>
    <t>She puts it on a plate.</t>
  </si>
  <si>
    <t>We then see the black credits rolling.</t>
  </si>
  <si>
    <t>v_exhsUZg_xQA</t>
  </si>
  <si>
    <t>man is standing in a track in a roofed gym and runs to make big jumps in front of judges.</t>
  </si>
  <si>
    <t>people are in terraces watching the boy.</t>
  </si>
  <si>
    <t>man claps after the man make the jumps.</t>
  </si>
  <si>
    <t>v_4-_ZQGwppfI</t>
  </si>
  <si>
    <t>A woman is seen looking beyond the camera and showing the back of her head.</t>
  </si>
  <si>
    <t>She holds up various products and rubs them through her hair.</t>
  </si>
  <si>
    <t>She then pits up her hair while hairspraying it and feeling the texture afterwards.</t>
  </si>
  <si>
    <t>She finishes pinning up her hair and looking back at the camera.</t>
  </si>
  <si>
    <t>v_IQvSj-3BGPo</t>
  </si>
  <si>
    <t>A man and a dog are standing in the middle of the field playing while he is holding a group of Frisbees.</t>
  </si>
  <si>
    <t>The man then throws all of the frisbees and the dog runs after them several times and catches them.</t>
  </si>
  <si>
    <t>In the middle of the routine,he grabs several frisbees and gives them to the dog one by one as he kneels down in front of him.</t>
  </si>
  <si>
    <t>Several tricks are done,and then the dog appears jump roping in the field,they go back to their regular routines and the owner picks up the dog and waves to the crowd.</t>
  </si>
  <si>
    <t>v_qmar8pDP5co</t>
  </si>
  <si>
    <t>The video begins with two sumo wrestlers on a sumo stage.</t>
  </si>
  <si>
    <t>There is a large crowd spectating, and a man in the center of the ring acting as referee.</t>
  </si>
  <si>
    <t>The two sumo wrestlers throw a white powder into the ring.</t>
  </si>
  <si>
    <t>The squat and clap their hands together, while a group of men hold flags and walk around the ring.</t>
  </si>
  <si>
    <t>Two other men hold brooms as sweep up some of the powder.</t>
  </si>
  <si>
    <t>The two sumo wrestlers walk out of the ring and again throw more powder.</t>
  </si>
  <si>
    <t>They collide into one another and back away.</t>
  </si>
  <si>
    <t>They again collide into each other and begin wrestling.</t>
  </si>
  <si>
    <t>The man in black sumo shorts throws the other man out of the ring.</t>
  </si>
  <si>
    <t>They bow and the loser exits the ring.</t>
  </si>
  <si>
    <t>v_gjkK_eSIs2g</t>
  </si>
  <si>
    <t>A man is bending over picking up a heavy weight several times in a row and setting it down.</t>
  </si>
  <si>
    <t>A man is measuring another mans arm length.</t>
  </si>
  <si>
    <t>The man measures the length of the weight bar.</t>
  </si>
  <si>
    <t>v_b1D6v3kZrHM</t>
  </si>
  <si>
    <t>A man stands with a bow and arrow.</t>
  </si>
  <si>
    <t>A man shots an arrow from bow.</t>
  </si>
  <si>
    <t>The credit of the clip is shown.</t>
  </si>
  <si>
    <t>A guy talks with his mouth and hand.</t>
  </si>
  <si>
    <t>An extended hand holding a pen is shown on a split screen.</t>
  </si>
  <si>
    <t>Several arrows hit the target.</t>
  </si>
  <si>
    <t>An arrow goes through the hole of a donut.</t>
  </si>
  <si>
    <t>An arrow cuts the string holding an apple.</t>
  </si>
  <si>
    <t>An arrow goes through the hole of a CD.</t>
  </si>
  <si>
    <t>Credit of the clip is presented.</t>
  </si>
  <si>
    <t>Credits of the video are shown.</t>
  </si>
  <si>
    <t>v_QRdQ8KIVf40</t>
  </si>
  <si>
    <t>Two men play billiards while taking turns to hit the ball with a stick, while a man plays billiards alone on back.</t>
  </si>
  <si>
    <t>A man and a child walk in a living room on back the table pool.</t>
  </si>
  <si>
    <t>A woman walks with a stick next to the men.</t>
  </si>
  <si>
    <t>v_CZp3ZPTQrds</t>
  </si>
  <si>
    <t>A man is seen speaking to the camera followed by several pictures of bearded men.</t>
  </si>
  <si>
    <t>The man then begins using scissors on his face while holding up pieces of paper.</t>
  </si>
  <si>
    <t>The man continues to shave his face and ends by waving to the camera.</t>
  </si>
  <si>
    <t>v_sHx5UcQQ1kU</t>
  </si>
  <si>
    <t>A young boy is shown speaking to the camera and eventually shows his hands moving objects.</t>
  </si>
  <si>
    <t>He places the objects together and begins shaving the sides with a sharp knife.</t>
  </si>
  <si>
    <t>He continues sharpening the object and shows the knife running across his bare skin.</t>
  </si>
  <si>
    <t>v_R_EnlXwBvtA</t>
  </si>
  <si>
    <t>Two men in basketball shorts are playing racketball.</t>
  </si>
  <si>
    <t>The men continue to serve and then hit and return each other's serves.</t>
  </si>
  <si>
    <t>They take a short break after one man scores.</t>
  </si>
  <si>
    <t>They continue to play and serve.</t>
  </si>
  <si>
    <t>v_iqe_HmjojQ8</t>
  </si>
  <si>
    <t>A kickball player kicks the ball at home plate in a large arena.</t>
  </si>
  <si>
    <t>The player runs past the first base.</t>
  </si>
  <si>
    <t>The player then comes back to the first base and puts his foot on it.</t>
  </si>
  <si>
    <t>v_y-7ZKlq2UFw</t>
  </si>
  <si>
    <t>There's a guitarist in a green shirt demonstrating how to play an acoustic guitar.</t>
  </si>
  <si>
    <t>Various types of guitars made from a variety of wood are shown.</t>
  </si>
  <si>
    <t>The guitarist is strumming the guitar with his pick as he plays his music.</t>
  </si>
  <si>
    <t>There are images of the guitar store and the kinds of guitars sold scrolling through the bottom of the screen.</t>
  </si>
  <si>
    <t>The guitarist continues playing his guitar.</t>
  </si>
  <si>
    <t>v_ndET50Ccnr8</t>
  </si>
  <si>
    <t>A small group of people are seen swimming around a pool throwing a ball around while several people watch on the sides.</t>
  </si>
  <si>
    <t>The people continue throwing the ball around to one another while the camera captures the game going on.</t>
  </si>
  <si>
    <t>v_tl2RLYJUu3k</t>
  </si>
  <si>
    <t>Three martial artists with black belts do a demonstration for younger children.</t>
  </si>
  <si>
    <t>They jump and kick then bow to each other.</t>
  </si>
  <si>
    <t>v_nr34x_-K5c0</t>
  </si>
  <si>
    <t>An athletic man is swimming around on a paddle board while another man gets behind and assists him.</t>
  </si>
  <si>
    <t>He then flips the man forward and the man demonstrates how to flip yourself back over.</t>
  </si>
  <si>
    <t>They do this several more times to become more comfortable with the move.</t>
  </si>
  <si>
    <t>v_xSiT1pgUEm8</t>
  </si>
  <si>
    <t>There are six to eight people sailing down a turbulent water stream in a raft.</t>
  </si>
  <si>
    <t>They are all dressed in red gears and yellow helmets.</t>
  </si>
  <si>
    <t>They use the oars to sail themselves down the rapids.</t>
  </si>
  <si>
    <t>They are trying hard to stay afloat in the turbulent water as the boat gets bumpy sailing through the rapids.</t>
  </si>
  <si>
    <t>As they sail through they come across another group of rafters in the same rapids.</t>
  </si>
  <si>
    <t>They continue their journey through the rough water of the rapids.</t>
  </si>
  <si>
    <t>v_CKWWRS9CpTY</t>
  </si>
  <si>
    <t>A group of runners are running in a marathon.</t>
  </si>
  <si>
    <t>A man high fives a woman in a crowd.</t>
  </si>
  <si>
    <t>The crowd around them cheers.</t>
  </si>
  <si>
    <t>A woman in white hat starts walking strangely.</t>
  </si>
  <si>
    <t>Another woman in a white hat falls to the ground.</t>
  </si>
  <si>
    <t>The other woman in the hat also falls.</t>
  </si>
  <si>
    <t>They both try to get up but they keep falling down.</t>
  </si>
  <si>
    <t>One of the women starts to crawl to the finish line.</t>
  </si>
  <si>
    <t>The other woman follows her.</t>
  </si>
  <si>
    <t>A man lifts one of the women and hugs her.</t>
  </si>
  <si>
    <t>v_W3a7BIqWov4</t>
  </si>
  <si>
    <t>A person is seen laying down on a bowling alley on the floor.</t>
  </si>
  <si>
    <t>The man then begins break dancing on the floor.</t>
  </si>
  <si>
    <t>The man kics a ball down a lane and people celebrate.</t>
  </si>
  <si>
    <t>v_qCy-68g0oXw</t>
  </si>
  <si>
    <t>A man is seen standing before a ping pong table and throws a ball off into the distance.</t>
  </si>
  <si>
    <t>A man takes a drink and leads into the two playing more beer pong.</t>
  </si>
  <si>
    <t>The men throw the ball back and fourth to one another while smiling to the camera.</t>
  </si>
  <si>
    <t>v_metrvLaYO1w</t>
  </si>
  <si>
    <t>People are standing on a colorful mat.</t>
  </si>
  <si>
    <t>A woman does a karate move.</t>
  </si>
  <si>
    <t>A child standing behind her raises his hand.</t>
  </si>
  <si>
    <t>v_d40Tv56RrnA</t>
  </si>
  <si>
    <t>The camera man captures a view of a thatched roof house.</t>
  </si>
  <si>
    <t>A young girl in a black blouse and a girl in a white tank top stand in a thatched roof house watching two woman washing clothes Filipino style.</t>
  </si>
  <si>
    <t>A girl in a pink blouse and a girl in a white t-shirt wash clothes in large tubs just outside the thatched roof house.</t>
  </si>
  <si>
    <t>The camera man pans the front of the washing area while the girl in the white t-shirt rinses the clothes.</t>
  </si>
  <si>
    <t>v__ajGnJjNUX0</t>
  </si>
  <si>
    <t>An ad for Floorworks appears on the screen.</t>
  </si>
  <si>
    <t>A guest room is shown, displaying the dirty carpets.</t>
  </si>
  <si>
    <t>Men are shown replacing and repairing the floors with wooden slats that don't need glue to install.</t>
  </si>
  <si>
    <t>Final photos are shown of the new hardwood floors in the guest room.</t>
  </si>
  <si>
    <t>v_yVQBdK8VQ_I</t>
  </si>
  <si>
    <t>A girl stands at a kitchen sink and demonstrates rinsing her mouth out with Crest whitening mouthwash.</t>
  </si>
  <si>
    <t>A girl stands by a sink talking and using had gestures.</t>
  </si>
  <si>
    <t>The girl then picks up a bottle of Crest whiting mouth wash and rinses her mouth for 60 seconds.</t>
  </si>
  <si>
    <t>The woman then spits the rinse out in the sink, and proceeds to talk to the camera again.</t>
  </si>
  <si>
    <t>v_He7CDkVm_aE</t>
  </si>
  <si>
    <t>A woman stands with a child that is seated next to a counter.</t>
  </si>
  <si>
    <t>The woman applies a dry powder to the back of the girls hair and brushes in through.</t>
  </si>
  <si>
    <t>The woman get s a blow dryer and uses it while she brushes the girls hair to straighten it.</t>
  </si>
  <si>
    <t>v_tbKBKWCh6rs</t>
  </si>
  <si>
    <t>man is standing in front of a mirror spreading cream on his face.</t>
  </si>
  <si>
    <t>man is kneeling and wash her face.</t>
  </si>
  <si>
    <t>the man grabs a green towel and wipe his face.</t>
  </si>
  <si>
    <t>v_iEWe6IYVIuk</t>
  </si>
  <si>
    <t>A woman is adjusting her exercise machine.</t>
  </si>
  <si>
    <t>She adjusts the knobs and pushes the seat up.</t>
  </si>
  <si>
    <t>She then sits down on the seat and places her feet in the pedals.</t>
  </si>
  <si>
    <t>She begins to pedal slow then fast.</t>
  </si>
  <si>
    <t>v_Db6sq4DjW7E</t>
  </si>
  <si>
    <t>A coach instructs players in a basketball court.</t>
  </si>
  <si>
    <t>v_YJOoLvwqWCw</t>
  </si>
  <si>
    <t>two women are standing on a gym arm wrestling.</t>
  </si>
  <si>
    <t>in te background people are standingin the gym doing exercise.</t>
  </si>
  <si>
    <t>strong women are sitting in a chair arm wrestling.</t>
  </si>
  <si>
    <t>v_66-sCRx4QRI</t>
  </si>
  <si>
    <t>A man drives to the ocean and surfs on a surfboard, riding waves, before leaving the beach with his surfboard.</t>
  </si>
  <si>
    <t>A man gets in his truck, puts his surfboard in the back of his truck and drives.</t>
  </si>
  <si>
    <t>The man arrives at the beach, changes into a wets suit and begins to surf on a surfboard in the ocean, riding waves.</t>
  </si>
  <si>
    <t>The man then leaves the beach, in his wetsuit, with his surfboard under his arm.</t>
  </si>
  <si>
    <t>v_AIZWoAbhUTY</t>
  </si>
  <si>
    <t>a man is crouched next to a girl on the beach.</t>
  </si>
  <si>
    <t>They are putting sand into a pile.</t>
  </si>
  <si>
    <t>They are trying to build a sand castle.</t>
  </si>
  <si>
    <t>v_KOFXi1RYx_g</t>
  </si>
  <si>
    <t>An audience is sitting in the stands watching a game on the field.</t>
  </si>
  <si>
    <t>These riders get on their horses and start trying to score for their team.</t>
  </si>
  <si>
    <t>Someone makes it and one of the groups in the audience clap.</t>
  </si>
  <si>
    <t>When the game is over the riders all shake each others hands.</t>
  </si>
  <si>
    <t>v_K_AFdv3PKp0</t>
  </si>
  <si>
    <t>A man is seen using a large sander against a wall moving the machinery all along the wall.</t>
  </si>
  <si>
    <t>The man continues sanding the wall and ends with him keeping it steady.</t>
  </si>
  <si>
    <t>v_IJ2m8Bi3LVE</t>
  </si>
  <si>
    <t>Various shots are shown of a person close up wearing making and laughing at the camera.</t>
  </si>
  <si>
    <t>Various objects are then shown closely to the camera and the person pours liquid into a contact case.</t>
  </si>
  <si>
    <t>He then mixes the liquids with the contacts and puts them slowly into his eye while looking at the camera.</t>
  </si>
  <si>
    <t>He then takes his hands and pops out the contacts.</t>
  </si>
  <si>
    <t>v_3CImIarFM30</t>
  </si>
  <si>
    <t>A person's hands are seen playing in dirt while moving their hands all around the soil.</t>
  </si>
  <si>
    <t>The person continues to play around in the soil while the camera watches their hand movements.</t>
  </si>
  <si>
    <t>v_F_sbhegCsyg</t>
  </si>
  <si>
    <t>A group of people are gathered at an outdoor park.</t>
  </si>
  <si>
    <t>They are dressed up, and they get into a raft.</t>
  </si>
  <si>
    <t>They white water raft down a river together.</t>
  </si>
  <si>
    <t>v_mzxp9dHn0Rs</t>
  </si>
  <si>
    <t>A man is sitting in front of a goal blocking balls.</t>
  </si>
  <si>
    <t>People are in the stands watching the game.</t>
  </si>
  <si>
    <t>v_1KVxpHAC08g</t>
  </si>
  <si>
    <t>A young boy and girl sit next to each other.</t>
  </si>
  <si>
    <t>They are fed ice cream.</t>
  </si>
  <si>
    <t>The girl tries to eat the boys ice cream.</t>
  </si>
  <si>
    <t>The girl laughs at the end.</t>
  </si>
  <si>
    <t>v_i9Yxt2k2aWg</t>
  </si>
  <si>
    <t>Someone is sleeping on a white couch.</t>
  </si>
  <si>
    <t>They get up and do crunches on the floor.</t>
  </si>
  <si>
    <t>They stand up and walk out the door.</t>
  </si>
  <si>
    <t>v_cNvTm72aGcM</t>
  </si>
  <si>
    <t>A woman is on stage in front of a band.</t>
  </si>
  <si>
    <t>She is a belly dancer, and gyrates and shakes to the music.</t>
  </si>
  <si>
    <t>She dances slowly, dropping to the ground as she finishes.</t>
  </si>
  <si>
    <t>v_dF2p3CMDe_g</t>
  </si>
  <si>
    <t>A man wearing no shirt plays a hand drum.</t>
  </si>
  <si>
    <t>A solo man spins his body around on his hands and does cartwheels.</t>
  </si>
  <si>
    <t>Two men do a practice karate routine and dodge kicks from the other opponent.</t>
  </si>
  <si>
    <t>The men both do hand stands then come together and touch hands.</t>
  </si>
  <si>
    <t>The man does jumping flips by himself.</t>
  </si>
  <si>
    <t>The two men do jumping kicks while they spar in a karate dance.</t>
  </si>
  <si>
    <t>The man stands on his hands and bends backwards to a horizontal position.</t>
  </si>
  <si>
    <t>v__LmtW0w6ad4</t>
  </si>
  <si>
    <t>A man displays martial arts moves in a movie clip that shows the man fighting different people in several different locations in a city backdrop.</t>
  </si>
  <si>
    <t>A man is escorted into a room and left alone until he is attacked, violently, by a man who appears suddenly in the room with him, the two fight.</t>
  </si>
  <si>
    <t>The man is then shown in several other locations fighting with different men using martial arts skills until the clip fades to a marketing invitation to subscribe.</t>
  </si>
  <si>
    <t>v_wJV-kQRmaGc</t>
  </si>
  <si>
    <t>A black banner overlay with the word POWERCHALK written in white and green is across the banner.</t>
  </si>
  <si>
    <t>When the banner overlay goes away a man jumps to the end of a diving board and then does a forward front flip and flips 5 times before he dives straight into the water in the pool.</t>
  </si>
  <si>
    <t>There are a lot of spectators standing on the sidelines.</t>
  </si>
  <si>
    <t>v_SEebwJMNMQs</t>
  </si>
  <si>
    <t>A violinist is playing the violin in a music room.</t>
  </si>
  <si>
    <t>She adjusts the violin under her chin as she reads the music.</t>
  </si>
  <si>
    <t>At the end of her song she removes the violin and smiles.</t>
  </si>
  <si>
    <t>v_p4Bm_NB_QoI</t>
  </si>
  <si>
    <t>A small group of girls are first seen walking out on a gymnasium floor with several people watching on the sidelines.</t>
  </si>
  <si>
    <t>The girls then perform a routine using batons while spinning and twirling.</t>
  </si>
  <si>
    <t>They make an ending pose while the audience claps and run off to the side.</t>
  </si>
  <si>
    <t>v_hDpYoAAFwOA</t>
  </si>
  <si>
    <t>A man performs stunts on the back of a motorcycle, falls off, and injures himself at which point he falls to the ground and looks hurt.</t>
  </si>
  <si>
    <t>A man is hanging off of a moving bicycle on a down ramp.</t>
  </si>
  <si>
    <t>The man falls off of the bike and onto the ground with torn clothes.</t>
  </si>
  <si>
    <t>The camera pans the man's damaged clothes and helmet and his befallen face as he lays on the ground injured.</t>
  </si>
  <si>
    <t>v_ADbpTpH4U7s</t>
  </si>
  <si>
    <t>Various ingredients are shown laid out on a table and leads into a person putting items into a bowl.</t>
  </si>
  <si>
    <t>The person is then seen cutting up fruit and laying it into a bowl.</t>
  </si>
  <si>
    <t>She pours more liquid in and presents it to the camera.</t>
  </si>
  <si>
    <t>v_yEBiJguscMY</t>
  </si>
  <si>
    <t>Two men are playing wall ball in a room.</t>
  </si>
  <si>
    <t>There is an audience watching them play.</t>
  </si>
  <si>
    <t>The man pretends his racket is a guitar.</t>
  </si>
  <si>
    <t>v_bzZMUbtgZho</t>
  </si>
  <si>
    <t>A man is surf boarding in the ocean on a blue surf board.</t>
  </si>
  <si>
    <t>The water looks greenish blue as the surfer surfs through big waves.</t>
  </si>
  <si>
    <t>The man is surfing near a beach by some hotels.</t>
  </si>
  <si>
    <t>The surfer continues to surf through tall waves without falling off.</t>
  </si>
  <si>
    <t>v_Eo3PUIfZSJU</t>
  </si>
  <si>
    <t>A gymnast performs on the vault on front a crowd, she flips and falls from the vault.</t>
  </si>
  <si>
    <t>Then, the gymnast jumps, flips but staggers during her performance.</t>
  </si>
  <si>
    <t>The gymnast performs backward flips, then she continues with her routine.</t>
  </si>
  <si>
    <t>Next, the gymnast jumps and does a double flip and land stands on the mat.</t>
  </si>
  <si>
    <t>v_scBelfrnHoI</t>
  </si>
  <si>
    <t>A man runs and jumps in various public locations with springs on his legs while spectators watch.</t>
  </si>
  <si>
    <t>A cameraman films the man while lying on the ground.</t>
  </si>
  <si>
    <t>The man with springs jumps over another man.</t>
  </si>
  <si>
    <t>v_LWJzkihZUWA</t>
  </si>
  <si>
    <t>We see a little girl putting makeup on her face at a toy vanity.</t>
  </si>
  <si>
    <t>She closes the makeup case and opens it back up.</t>
  </si>
  <si>
    <t>She rubs the tip of the brush with her finger.</t>
  </si>
  <si>
    <t>v_uICwWvS_AOo</t>
  </si>
  <si>
    <t>Four men ride in a convertible car and drive along a desert highway.</t>
  </si>
  <si>
    <t>Two friends ride down an escalator.</t>
  </si>
  <si>
    <t>The friends stand at a card table in a casino and play hands.</t>
  </si>
  <si>
    <t>The man makes a large bet and sits down to play a few hands at the table.</t>
  </si>
  <si>
    <t>The man accumulates a large number of chips.</t>
  </si>
  <si>
    <t>The man's friends win a hand and the couple celebrates.</t>
  </si>
  <si>
    <t>The man is tracked by security personnel and cameras.</t>
  </si>
  <si>
    <t>The woman falls back if her chair to the ground and the men help her up.</t>
  </si>
  <si>
    <t>The friend playing is gone and the chair is empty.</t>
  </si>
  <si>
    <t>v_Hv3We5wjaJE</t>
  </si>
  <si>
    <t>A couple are in the flowing water of a river.</t>
  </si>
  <si>
    <t>They are sitting next to several buckets.</t>
  </si>
  <si>
    <t>They scrub clothing against the rocks, trying to clean them.</t>
  </si>
  <si>
    <t>v_GySHt3Z6Lt4</t>
  </si>
  <si>
    <t>A person light wood to make fire.</t>
  </si>
  <si>
    <t>Then, a man blow the fire, while the person puts sticks on the nascent fire.</t>
  </si>
  <si>
    <t>After, the fire starts to growth bigger and bigger while the men put sticks on top.</t>
  </si>
  <si>
    <t>v_b5GrYqt5tRQ</t>
  </si>
  <si>
    <t>A group of men are holding maracas in the their hands and playing to some Reggae music.</t>
  </si>
  <si>
    <t>One of the men begins singing in the microphone.</t>
  </si>
  <si>
    <t>The rest of the men join him in singing the chorus.</t>
  </si>
  <si>
    <t>They play the maracas as they sing the song.</t>
  </si>
  <si>
    <t>The men also dance as they sing and play the maracas The lead singer sings solo for some time while the others play their maracas.</t>
  </si>
  <si>
    <t>Then all the men join him in singing the song while playing their maracas.</t>
  </si>
  <si>
    <t>v_TiQ6P1NkPHU</t>
  </si>
  <si>
    <t>Two people are dancing in a dance studio.</t>
  </si>
  <si>
    <t>First the woman sways her hips a little bit and moves one foot behind the other.</t>
  </si>
  <si>
    <t>She also tells viewers to make eye contact with the person to make sure they're comfortable and at some point, the man spins her around in a circle and she comes back around for them to start dancing normal again.</t>
  </si>
  <si>
    <t>v_BCC6fxrmA9M</t>
  </si>
  <si>
    <t>Three men are interviewed, one of whom plays the piano and sings for the interviewer and his camera crew in a narrow hallway.</t>
  </si>
  <si>
    <t>Four men are in a room, three of whom are being interviewed by the fourth man who has blonde hair, is wearing glasses, and has a camera crew with him.</t>
  </si>
  <si>
    <t>The interviewer leads one of the men into the hallway to a piano, where the man has a seat.</t>
  </si>
  <si>
    <t>The man begins to play and sing as the camera crew, interviewer and onlookers watch, before the man ends the song, gets up and walks away.</t>
  </si>
  <si>
    <t>v_-DphPPTybSY</t>
  </si>
  <si>
    <t>We see men in a room playing pool in a tournament.</t>
  </si>
  <si>
    <t>The man in the blue shirt approaches to shoot.</t>
  </si>
  <si>
    <t>The man walks away to exchange his pool stick.</t>
  </si>
  <si>
    <t>The man in blue makes his shot.</t>
  </si>
  <si>
    <t>The man then takes another shot.</t>
  </si>
  <si>
    <t>The man takes his third shot.</t>
  </si>
  <si>
    <t>The man makes his fourth shot.</t>
  </si>
  <si>
    <t>The man makes his final shot.</t>
  </si>
  <si>
    <t>v_UkZiyYfO57g</t>
  </si>
  <si>
    <t>An intro leads into a woman speaking to the camera while several skiiers ride around her.</t>
  </si>
  <si>
    <t>The camera follows the girl riding down a snowy hill as well as riding up ski lifts and speaking again to the camera.</t>
  </si>
  <si>
    <t>Several more shots of her skiing are shown and ends with her waving to the camera and various pictures of skiers.</t>
  </si>
  <si>
    <t>v_Cu8lmHiXkUU</t>
  </si>
  <si>
    <t>Two people are seen playing a game of ping pong with one another.</t>
  </si>
  <si>
    <t>They hit the ball back and fourth across the table while people watch on the sides.</t>
  </si>
  <si>
    <t>The boys continue to play back and fourth while switching places and looking to the camera.</t>
  </si>
  <si>
    <t>v_9SiYS0SEKTw</t>
  </si>
  <si>
    <t>A person is seen standing behind a bike speaking to the camera and showing close ups of the bike.</t>
  </si>
  <si>
    <t>The person continues speaking while showing off his gear and leads into him adjusting settings on his bike.</t>
  </si>
  <si>
    <t>v_YMSMASHyl2Y</t>
  </si>
  <si>
    <t>A woman dressed in a black top is talking about American Grooming services for pets.</t>
  </si>
  <si>
    <t>She demonstrates all the various grooming services that her company provides for pets.</t>
  </si>
  <si>
    <t>There are several groomers working on dogs as they trim and shear pet hair and clip their nails.</t>
  </si>
  <si>
    <t>The groomers talk about where they have graduated from and how they got hired for the job.</t>
  </si>
  <si>
    <t>The video shows how different dogs are groomed by professional groomers that provide quality services.</t>
  </si>
  <si>
    <t>v_s_H9cTp2tT8</t>
  </si>
  <si>
    <t>Various shots of people walking around a snowy mountain are shown followed by person playing games on horses.</t>
  </si>
  <si>
    <t>Many upscale people are seen watching on the sidelines as the horse game carries on and a winner is chosen.</t>
  </si>
  <si>
    <t>The people then arrive late at night dressed up and posing for pictures.</t>
  </si>
  <si>
    <t>v_uDs0wOnwaAM</t>
  </si>
  <si>
    <t>A small group of people are all seen playing various matches of ping pong with one another down a line of tables.</t>
  </si>
  <si>
    <t>The people continuing hitting the ball back and fourth while the camera captures them from various angles and a close up of a young boy in the end.</t>
  </si>
  <si>
    <t>v_15vwVfNA99o</t>
  </si>
  <si>
    <t>a woman is sitting at a table in a fast food restaurant while eating.</t>
  </si>
  <si>
    <t>She continually speaks to nobody as she eats.</t>
  </si>
  <si>
    <t>She stands up and grabs her purse, continuing to talk and laugh as she leaves.</t>
  </si>
  <si>
    <t>v_4E89GQ2UnoQ</t>
  </si>
  <si>
    <t>We see a raft full of people in a rough river and see lots of stills.</t>
  </si>
  <si>
    <t>We see the people in shots.</t>
  </si>
  <si>
    <t>We see the title screen.</t>
  </si>
  <si>
    <t>We see a helicopter over a river.</t>
  </si>
  <si>
    <t>The raft turns over and a lady laughs.</t>
  </si>
  <si>
    <t>We see a bus driving on the street.</t>
  </si>
  <si>
    <t>We see the canyon from afar.</t>
  </si>
  <si>
    <t>We see a tunnel and a speedboat.</t>
  </si>
  <si>
    <t>We see still shots of the rafters.</t>
  </si>
  <si>
    <t>v_6d7oOG3dS-Y</t>
  </si>
  <si>
    <t>A man is seen pushing a board down into the floor to push the carpet down.</t>
  </si>
  <si>
    <t>He continues cutting around the carpet and pushing it down with a large beam.</t>
  </si>
  <si>
    <t>v_Yf49q7bGpkk</t>
  </si>
  <si>
    <t>A bull in a ring starts chasing two men.</t>
  </si>
  <si>
    <t>Several others run onto the ring, and the bull flips as they grab his horns and tail.</t>
  </si>
  <si>
    <t>They open the gate, but fail to get the bull back inside as he charges them.</t>
  </si>
  <si>
    <t>v_V9nOM1VWdnc</t>
  </si>
  <si>
    <t>A person shows and explains a lemon squeezer and shows the part were the lemon goes.</t>
  </si>
  <si>
    <t>Then, the person points to two jugs on a table.</t>
  </si>
  <si>
    <t>Next, the person puts ice in a cup, and then squeeze a lemon using the lemon squeezer, add syrup and water from jugs.</t>
  </si>
  <si>
    <t>Then, the person put a cover on the cup and shake the mix.</t>
  </si>
  <si>
    <t>v_f6NpnKJZJE0</t>
  </si>
  <si>
    <t>A woman is working out an elliptical machine.</t>
  </si>
  <si>
    <t>A person plugs a cell phone into the machine.</t>
  </si>
  <si>
    <t>v_XHuKkrKjnhQ</t>
  </si>
  <si>
    <t>city with buildings and skyscrapers are in the back and a woman holding a cake is walking and is written how to wrap gifts.</t>
  </si>
  <si>
    <t>wmoan is sitting in a table and have a box and a a gift wrap on top and its showing how to wrap the gift and talking about it.</t>
  </si>
  <si>
    <t>decoative tapes are used to make a ribbon aound the gift and is showing how to make ribbons with diferents clothes.</t>
  </si>
  <si>
    <t>v_N3xWCui6fNY</t>
  </si>
  <si>
    <t>A young girl plays an accordian.</t>
  </si>
  <si>
    <t>The girl turns her head to the right.</t>
  </si>
  <si>
    <t>The girl's playing slows.</t>
  </si>
  <si>
    <t>v_XFySa1Gc-yM</t>
  </si>
  <si>
    <t>A woman is seen curling her hair while speaking to the camera and leads into her speaking in front of judges.</t>
  </si>
  <si>
    <t>The judges critique her and she runs away happy and skipping out of the building.</t>
  </si>
  <si>
    <t>v_SjwFCog0amE</t>
  </si>
  <si>
    <t>Two men are sitting, with their shoes in view.</t>
  </si>
  <si>
    <t>A man picks up a shoe and puts it on his foot.</t>
  </si>
  <si>
    <t>He then applies the other shoe, then ties the laces.</t>
  </si>
  <si>
    <t>v_3tRTl23mhVQ</t>
  </si>
  <si>
    <t>man is chewing gum sitting on the grades.</t>
  </si>
  <si>
    <t>man is standing on ractrack holding a large pole and running to do a javelin throw.</t>
  </si>
  <si>
    <t>people is going down the stairs.</t>
  </si>
  <si>
    <t>v_UrPn5-8yNgA</t>
  </si>
  <si>
    <t>A person is shaving their legs.</t>
  </si>
  <si>
    <t>A polished hand gestures at the person shaving.</t>
  </si>
  <si>
    <t>The person lows their head to see under their leg.</t>
  </si>
  <si>
    <t>v_lidR3AK0ZzQ</t>
  </si>
  <si>
    <t>A woman is seen bending down in front of a large set of weights and begins lifting it to her shoulders.</t>
  </si>
  <si>
    <t>She then bends down and puts the weights back down to her feet.</t>
  </si>
  <si>
    <t>v_sVeC5VlDsjk</t>
  </si>
  <si>
    <t>Several pictures are shown of a beach and landscapes as well as people walking on the beach.</t>
  </si>
  <si>
    <t>Several clips are then shown of people riding along the water and surfing the waves.</t>
  </si>
  <si>
    <t>More shots are shown of people surfing in the water.</t>
  </si>
  <si>
    <t>v_s2cXljpR-xk</t>
  </si>
  <si>
    <t>A man is seen speaking to a woman outside that leads into a game of rock paper scissors.</t>
  </si>
  <si>
    <t>The girls slaps the man and he continues to play the game with several other girls on the street in various locations.</t>
  </si>
  <si>
    <t>When the man wins the girls kiss him on the cheek.</t>
  </si>
  <si>
    <t>v_306mYrvdzIk</t>
  </si>
  <si>
    <t>Four people are in a pool hitting the ball back and forth over the net.</t>
  </si>
  <si>
    <t>As they play,someone walks across the camera and then a set of boys are zoomed in on as they serve the ball.</t>
  </si>
  <si>
    <t>The ball goes out on both sides and they are forced to get out and go and get it.</t>
  </si>
  <si>
    <t>They get the large beach ball back and continue to hit it over the net to one another.</t>
  </si>
  <si>
    <t>v_M-bUoaIqtDk</t>
  </si>
  <si>
    <t>We see a person kitesufing in the sea.</t>
  </si>
  <si>
    <t>The person passes us and turns around.</t>
  </si>
  <si>
    <t>The person stops before taking off again.</t>
  </si>
  <si>
    <t>v_GehJuCIJ7AI</t>
  </si>
  <si>
    <t>five different people tosses a freebie in the air and a dog jumps and catch the freebie in his mouth, the dog then moves on to the next person and do the same thing as many people watch from a distances.</t>
  </si>
  <si>
    <t>there are two dogs now that are jumping the air catching freebies while doing tricks.</t>
  </si>
  <si>
    <t>Now there is one lady with one dog doing tricks and the dog catches the freebie as the lady toss it in the air.</t>
  </si>
  <si>
    <t>v_ruHRz56XGE4</t>
  </si>
  <si>
    <t>A man mows the grass around a tree.</t>
  </si>
  <si>
    <t>The man gets stuck and the mower turns off, and the man has to pull the igniter.</t>
  </si>
  <si>
    <t>Then, the man continues cutting the grass around the tree.</t>
  </si>
  <si>
    <t>v_Q684UQhx7yI</t>
  </si>
  <si>
    <t>A man is sitting on a bull in a gate.</t>
  </si>
  <si>
    <t>The bull is released and a man on a horse chases after it.</t>
  </si>
  <si>
    <t>The man jumps off the horse and ties the bull up.</t>
  </si>
  <si>
    <t>The man stands up and walks back to his horse.</t>
  </si>
  <si>
    <t>v_pzHDfjY-pFY</t>
  </si>
  <si>
    <t>A boy is floating in a raft as his father holds a rope attached to it.</t>
  </si>
  <si>
    <t>The boat floats away slowly, pulling the child as he stands in his raft.</t>
  </si>
  <si>
    <t>He is then pulled up toward the two men in the boat.</t>
  </si>
  <si>
    <t>v_deLpSUF1wio</t>
  </si>
  <si>
    <t>A boy is standing in the woods with another boy.</t>
  </si>
  <si>
    <t>He lights a fire, then throws it at a pile.</t>
  </si>
  <si>
    <t>The two boys stare at the pile while it burns.</t>
  </si>
  <si>
    <t>v_aqpeiIMe47Q</t>
  </si>
  <si>
    <t>chiopped vegetables are in a bowls on top of table.</t>
  </si>
  <si>
    <t>the ingredients are mixed inside a bowl together with oil, pepper and mayonnaise.</t>
  </si>
  <si>
    <t>v_6RdkwoTi-98</t>
  </si>
  <si>
    <t>A man performs a hammer throw in an outdoor area, caged in, surrounded by crowds of people watching.</t>
  </si>
  <si>
    <t>A man in a red t-shirt approaches a players circle on the ground inside of an enclosed metal fence area.</t>
  </si>
  <si>
    <t>The man spins a ball, attached to a rope, around and around.</t>
  </si>
  <si>
    <t>The man lets the ball goes and watches as it lands off screen.</t>
  </si>
  <si>
    <t>v_BTG82umu8Ug</t>
  </si>
  <si>
    <t>A young woman is practicing on a track and field track, sprinting and high jumping over a high bar and landing on her feet while three men in the background are watching her practice.</t>
  </si>
  <si>
    <t>The woman jumps again, this time sprinting a little bit faster.</t>
  </si>
  <si>
    <t>The woman jumps again with a longer run up.</t>
  </si>
  <si>
    <t>Another young woman in the background is jogging by.</t>
  </si>
  <si>
    <t>The woman jumps again with an even longer run up and adds a small skip/hop to her initial run.</t>
  </si>
  <si>
    <t>A man in the background is jogging on the field while another man stands and stretches his legs.</t>
  </si>
  <si>
    <t>The woman doesn't clear the bar perfectly and it falls off of it's poles.</t>
  </si>
  <si>
    <t>The woman jumps again with an even longer run up and a more powerful skip/hop to start her run.</t>
  </si>
  <si>
    <t>The woman jumps again with the long run up and powerful skip at the beginning.</t>
  </si>
  <si>
    <t>v_5g70tfGYWDk</t>
  </si>
  <si>
    <t>A couple of people are on an indoor tennis court.</t>
  </si>
  <si>
    <t>They lob the ball back and forth, playing a game of tennis.</t>
  </si>
  <si>
    <t>They continue playing, trying to win the game.</t>
  </si>
  <si>
    <t>v_jM0l31xZj8E</t>
  </si>
  <si>
    <t>The screen is full of white bubbles and words, while a pair of hands plays the piano.</t>
  </si>
  <si>
    <t>The bubbles and words disappear and it is just the hands moving over the keyboard.</t>
  </si>
  <si>
    <t>The hands disappear and it is just the keyboard.</t>
  </si>
  <si>
    <t>v__6TamBiyYWA</t>
  </si>
  <si>
    <t>A man appears before several targets on a back wall.</t>
  </si>
  <si>
    <t>He talks about the basics of archery.</t>
  </si>
  <si>
    <t>A woman is shown with an archery set.</t>
  </si>
  <si>
    <t>She pulls back the arrow, then shoots at her target as he talks.</t>
  </si>
  <si>
    <t>v_YAjqqbSsFTg</t>
  </si>
  <si>
    <t>A bunch of colorful flowers are shown, including their identification tags.</t>
  </si>
  <si>
    <t>A man shows bees and different breeds, including a tree.</t>
  </si>
  <si>
    <t>He teaches us how to mulch a tree properly.</t>
  </si>
  <si>
    <t>v_5wOmHw6Boj8</t>
  </si>
  <si>
    <t>A clear bottle of detergent is shown and a person begins cleaning a mug with a cloth.</t>
  </si>
  <si>
    <t>The person shows herself putting on the glove and goes back to washing the mug before finally showing her book on the product.</t>
  </si>
  <si>
    <t>v_oTKYejnHLtE</t>
  </si>
  <si>
    <t>A magazine about saxophones is shown just before a pair of hands are shown playing a saxophone.</t>
  </si>
  <si>
    <t>Multiple screens begin to appear, showing the hands playing various notes on the screen.</t>
  </si>
  <si>
    <t>The screen goes backwards until the video ends.</t>
  </si>
  <si>
    <t>v_QWFedtlPRYM</t>
  </si>
  <si>
    <t>Title screens show up on the video.</t>
  </si>
  <si>
    <t>A woman is holding a cloth in a kitchen.</t>
  </si>
  <si>
    <t>The woman begins running water in a bath tub and a sink.</t>
  </si>
  <si>
    <t>The woman washes a cloth in the sink.</t>
  </si>
  <si>
    <t>The woman lays the wet cloth on a dry one and dries it out.</t>
  </si>
  <si>
    <t>The woman puts the pair of pants on an ironing board.</t>
  </si>
  <si>
    <t>The ending credits appear.</t>
  </si>
  <si>
    <t>v_oXKrreio9hg</t>
  </si>
  <si>
    <t>A gymnast is seen standing ready with her arms up that leads into her running down and doing flips down a track into a pit.</t>
  </si>
  <si>
    <t>She puts her arms up to finish and her jumps are shown several more times in slow motion.</t>
  </si>
  <si>
    <t>v_P7bvD_CZH5M</t>
  </si>
  <si>
    <t>Several clips are shown of many people standing on a surf board and pushing themselves along the water with a paddle.</t>
  </si>
  <si>
    <t>The people continue to paddle around the water while many people are seen sitting.</t>
  </si>
  <si>
    <t>v_cSfs5ht9sro</t>
  </si>
  <si>
    <t>We see a person riding a ski lift.</t>
  </si>
  <si>
    <t>The person lifts the bar on the chair.</t>
  </si>
  <si>
    <t>The person hops off the lift and onto the slope.</t>
  </si>
  <si>
    <t>The person puts on their ski poles.</t>
  </si>
  <si>
    <t>The person skis swiftly down the ski slope.</t>
  </si>
  <si>
    <t>The person reaches the bottom of the slope and looks up.</t>
  </si>
  <si>
    <t>320 The person's hand comes to the screen to turn off the camera.</t>
  </si>
  <si>
    <t>v_8xsLp6lqijo</t>
  </si>
  <si>
    <t>A man is standing on a skateboard.</t>
  </si>
  <si>
    <t>He picks up the skateboard and holds it in his hand.</t>
  </si>
  <si>
    <t>He puts the skateboard back down and continues skateboarding.</t>
  </si>
  <si>
    <t>v_buBtMl9SUNk</t>
  </si>
  <si>
    <t>People dive in the water wearing diving suit, small and big fishes swim near the divers.</t>
  </si>
  <si>
    <t>The diver kneel on the sea floor waving their hands.</t>
  </si>
  <si>
    <t>Manta fish and a big fish swim in the water.</t>
  </si>
  <si>
    <t>The divers stands and continue swimming in the water.</t>
  </si>
  <si>
    <t>v_UZBHdQZc0ZM</t>
  </si>
  <si>
    <t>men are holding snowslides from a deposit.</t>
  </si>
  <si>
    <t>old woman is sitting on snowslide and its going down a snowy slope.</t>
  </si>
  <si>
    <t>old woman is in snowslide going down snow track.</t>
  </si>
  <si>
    <t>a man and a woman are grabing the old lady fom the back in a slide.</t>
  </si>
  <si>
    <t>different people are going down slope holding snowslides with a rope.</t>
  </si>
  <si>
    <t>old women are sitting on woodn bench talking to the camera.</t>
  </si>
  <si>
    <t>old people are sitting and standing in front of a camera posing for a picture.</t>
  </si>
  <si>
    <t>v_USaP2UCPBEc</t>
  </si>
  <si>
    <t>Text appears on the screen with a link.</t>
  </si>
  <si>
    <t>People in uniform march down the street.</t>
  </si>
  <si>
    <t>It cuts to the crowd looking on.</t>
  </si>
  <si>
    <t>A marchign band begins to walk down the street.</t>
  </si>
  <si>
    <t>Another set of uniformed people walk down the street.</t>
  </si>
  <si>
    <t>They stop and wave to the crowd.</t>
  </si>
  <si>
    <t>It goes back to the marching band.</t>
  </si>
  <si>
    <t>A horse and carriage walk down the street followed by the people in uniform.</t>
  </si>
  <si>
    <t>Two woman wave flags around.</t>
  </si>
  <si>
    <t>The rest of the people continue to march down the street.</t>
  </si>
  <si>
    <t>v_lVe-7FnfNz8</t>
  </si>
  <si>
    <t>A girl is going across monkey bars on a playground.</t>
  </si>
  <si>
    <t>She gets to the end and jumps onto the ground.</t>
  </si>
  <si>
    <t>She puts her hands up in the air.</t>
  </si>
  <si>
    <t>v_NNQQPZpzCOk</t>
  </si>
  <si>
    <t>Some women are on a boat attempting to figure out how to play shuffleboard.</t>
  </si>
  <si>
    <t>The girl makes a shuffleboard ahot and the girls all begin to celebrate.</t>
  </si>
  <si>
    <t>She continues to attempt make shots and act silly.</t>
  </si>
  <si>
    <t>She puts down the shuffleboard stick and the video ends.</t>
  </si>
  <si>
    <t>v_jqLFT1c8WS8</t>
  </si>
  <si>
    <t>Videos of several men throwing the discus are shown in turn, with the men being watched by audiences and judges, and the throws replayed in slow motion after.</t>
  </si>
  <si>
    <t>Judges are shown evaluating the distance of the one of the throws.</t>
  </si>
  <si>
    <t>Judges are once again shown evaluating the distance of one of the throws.</t>
  </si>
  <si>
    <t>v_bz9R-Xa5xqM</t>
  </si>
  <si>
    <t>A man wearing a black shirt stands in a living room with a red and black accordion.</t>
  </si>
  <si>
    <t>The musician sitting in a chair holding a black accordion and prepares to demonstrate how to play an accordion.</t>
  </si>
  <si>
    <t>The man then demonstrates playing an accordian using a brown accordion.</t>
  </si>
  <si>
    <t>v_0jeq5CeP2P0</t>
  </si>
  <si>
    <t>A kite is seen flying around the air with a person riding behind the kite on the sand.</t>
  </si>
  <si>
    <t>The camera continues to pan around the beach capturing the person flying a kite and him riding around and holding it.</t>
  </si>
  <si>
    <t>v_kOIj7AgonHM</t>
  </si>
  <si>
    <t>A person with crazy hair appears and leads into her on a space ship with gravity essentially turned off.</t>
  </si>
  <si>
    <t>She shows off the various items carried on a space craft and puts a lotion into her hair.</t>
  </si>
  <si>
    <t>She combs the lotion in thoroughly and dries off her head with a towel.</t>
  </si>
  <si>
    <t>She points to the camera and combs through her hair one last time.</t>
  </si>
  <si>
    <t>v_kXP1tgr476c</t>
  </si>
  <si>
    <t>This man is sitting outdoors polishing another man's shoes and neither one of their faces are shown.</t>
  </si>
  <si>
    <t>The man is sitting on the ground and he is using a brown towel to polish the man's shoes.</t>
  </si>
  <si>
    <t>He also puts liquid onto a small brush and he puts it on the man's shoes.</t>
  </si>
  <si>
    <t>v_5DBzvN5Qe_0</t>
  </si>
  <si>
    <t>A girl does flips in front of a room full of children.</t>
  </si>
  <si>
    <t>She uses a hula hoop to go in circles.</t>
  </si>
  <si>
    <t>She acts silly as she demonstrates how she can use the hula hoop.</t>
  </si>
  <si>
    <t>v_Ay6oxBYCSnU</t>
  </si>
  <si>
    <t>Several players are on an ice rink.</t>
  </si>
  <si>
    <t>They are playing hockey against each other.</t>
  </si>
  <si>
    <t>One team scores a goal.</t>
  </si>
  <si>
    <t>Everyone cheers about the goal.</t>
  </si>
  <si>
    <t>v_Mx-rOsiQTos</t>
  </si>
  <si>
    <t>We see a man get in riding leaf blower.</t>
  </si>
  <si>
    <t>We see the leaves being blown on the ground.</t>
  </si>
  <si>
    <t>We see a pipe on the machine.</t>
  </si>
  <si>
    <t>We return to seeing the leaves being blown.</t>
  </si>
  <si>
    <t>We see leaves blowing in the street.</t>
  </si>
  <si>
    <t>v_cy-RLevyo_8</t>
  </si>
  <si>
    <t>From the roof we see the street where a car is parked and a man standing on the room the man begins to pry up roof shingles.</t>
  </si>
  <si>
    <t>The man adds a fixed piece of shingles and nails hem down.</t>
  </si>
  <si>
    <t>The man finishes and walks away.</t>
  </si>
  <si>
    <t>We see the ruck on the street for the roofing company.</t>
  </si>
  <si>
    <t>v_KYN1NR7l2zQ</t>
  </si>
  <si>
    <t>This man is shown standing in the water wearing his pool cap and his goggles are on top of his forehead.</t>
  </si>
  <si>
    <t>He then puts on the goggles on and shows us a couple of swimming techniques in the water and he goes back to talking.</t>
  </si>
  <si>
    <t>v_m34BYRanODU</t>
  </si>
  <si>
    <t>A woman talks in a backyard wearing loose clothes.</t>
  </si>
  <si>
    <t>The woman exercise stepping on the mat.</t>
  </si>
  <si>
    <t>v_2DvHUEFc5VA</t>
  </si>
  <si>
    <t>two men are sitting in front of a counter in a kitchen.</t>
  </si>
  <si>
    <t>men start mixing a cake.</t>
  </si>
  <si>
    <t>man is in the kitchen and pour some ingredients inside a cooking pot and mix them while is boiling water and put the pot on top of the boiled water.</t>
  </si>
  <si>
    <t>man start mixing in a kitchen aid and create a white cream.</t>
  </si>
  <si>
    <t>v_6Ik0MQ53FBU</t>
  </si>
  <si>
    <t>A large group of people are seen standing around a beach as well as several shots of cars and people riding bulls.</t>
  </si>
  <si>
    <t>Various people ride the bulls and sit in the cars as well as end with a game of volleyball and celebrating.</t>
  </si>
  <si>
    <t>v_O_StqLLpAVI</t>
  </si>
  <si>
    <t>A bike with a deflated tire goes through the dirt.</t>
  </si>
  <si>
    <t>A man gets off the bike to look at it.</t>
  </si>
  <si>
    <t>He removes the tire from the bike.</t>
  </si>
  <si>
    <t>He replaces the tube of the tire and fixes the bike.</t>
  </si>
  <si>
    <t>v_Pu85El6jhao</t>
  </si>
  <si>
    <t>A man in a red wet suit is sitting on a float talking casually.</t>
  </si>
  <si>
    <t>Next to hime are many other people on their own floats, just relaxing.</t>
  </si>
  <si>
    <t>They are floating through the river passing all the green scenery.</t>
  </si>
  <si>
    <t>The man in the red wet suit is leading the way.</t>
  </si>
  <si>
    <t>v_B3ZVUyLeT84</t>
  </si>
  <si>
    <t>A boy surfs in a big wave.</t>
  </si>
  <si>
    <t>A group of people lye down on surfboards in a wave.</t>
  </si>
  <si>
    <t>Suddenly, a boy stands an surf below the wave.</t>
  </si>
  <si>
    <t>Men stand in the beach holding surfboards.</t>
  </si>
  <si>
    <t>v_UVxXr_mh5BM</t>
  </si>
  <si>
    <t>A picture of a young lady's bun is shown and then the lady then appears.</t>
  </si>
  <si>
    <t>She begins by braiding one side of her hair and then twists it down and does the same thing on the other side.</t>
  </si>
  <si>
    <t>With one twist,she pulls it up and bobby pins it together with the other side following.</t>
  </si>
  <si>
    <t>The hair style is then complete and she more pictures are shown again of the finish product.</t>
  </si>
  <si>
    <t>v_cwCNZAsvf8U</t>
  </si>
  <si>
    <t>A females left leg and foot is in a bathtub as the lady shaves her leg.</t>
  </si>
  <si>
    <t>Once she is done with the front,she turns her legs to the left and right and shaves the sides in an upward motion.</t>
  </si>
  <si>
    <t>v_8YTuNZ-mIaY</t>
  </si>
  <si>
    <t>A large group of men in uniform are gathered around to play some paintball.</t>
  </si>
  <si>
    <t>They start to run off and everyone is sneaking around trying to catch and shoot other people without getting caught.</t>
  </si>
  <si>
    <t>The field they are playing on is pretty cool, it has a lot of different hiding places.</t>
  </si>
  <si>
    <t>in the end they all take of most of their head gear and start walking back together.</t>
  </si>
  <si>
    <t>v_FZix27qFZTc</t>
  </si>
  <si>
    <t>A man paints a hose on front a fence in a backyard.</t>
  </si>
  <si>
    <t>The man paint the fence from up to down.</t>
  </si>
  <si>
    <t>v_VNROQWtYhlw</t>
  </si>
  <si>
    <t>There's a woman dressed in a sparkly golden dress is eating a Magnum chocolate truffle ice cream bar.</t>
  </si>
  <si>
    <t>She talks about her favorite flavor being chocolate.</t>
  </si>
  <si>
    <t>She takes a bite off the ice cream bar as she savors the rich flavor.</t>
  </si>
  <si>
    <t>She answers questions about needing to have down time as an actor and enjoying her favorite ice cream bar.</t>
  </si>
  <si>
    <t>The video ends with a decadent chocolate ice cream bar being drizzled with rich chocolate.</t>
  </si>
  <si>
    <t>v_b0QGh__f7lU</t>
  </si>
  <si>
    <t>An older man is seen laughing to the camera and playing a large set of bongo drums.</t>
  </si>
  <si>
    <t>He continues playing along faster and faster and finishes by slapping the drum one final time.</t>
  </si>
  <si>
    <t>v_aRdqcOaBvjk</t>
  </si>
  <si>
    <t>A person is seen close up riding on the back of a bike shooting a paint ball off into the distance.</t>
  </si>
  <si>
    <t>Several shots are shown of people riding around in cars shooting paint balls at one another.</t>
  </si>
  <si>
    <t>The people continue riding around on machines and jumping over obstacles.</t>
  </si>
  <si>
    <t>v_LQAFcEvifrU</t>
  </si>
  <si>
    <t>A camera pans around the inside of a car looking out showing other cars driving around.</t>
  </si>
  <si>
    <t>The car begins moving while looking around the sandy area and showing people inside the car.</t>
  </si>
  <si>
    <t>The camera leads into shots of people riding around on camels and leads into shots of people riding on the camels.</t>
  </si>
  <si>
    <t>v_mM6F8DppWcQ</t>
  </si>
  <si>
    <t>A person skateboard down to the ramp, a woman is shown in the phone's screen and then a man.</t>
  </si>
  <si>
    <t>A boy rollerskate down the white railings as two other men walked up to him to give him high five.</t>
  </si>
  <si>
    <t>A young man in blue top roller blades in the railing and give high fives to his peers.</t>
  </si>
  <si>
    <t>v_3w5xIOwFUXU</t>
  </si>
  <si>
    <t>A small group of people are seen standing around table speaking and laughing to one another.</t>
  </si>
  <si>
    <t>Two men then drink out of ice containers and lead into more people drinking out of the containers.</t>
  </si>
  <si>
    <t>One team finishes before the other and everyone celebrates.</t>
  </si>
  <si>
    <t>v_O1XzCrHZm34</t>
  </si>
  <si>
    <t>There are many women in a gym, wearing boxing gloves and athletic gear punching on hanging bags.</t>
  </si>
  <si>
    <t>The camera pans to show a wall and the words "iLoveKickboxing dot com" is on the wall along with a logo that includes a heart with wings and boxing gloves hanging from the bottom of the right wing.</t>
  </si>
  <si>
    <t>The room pans back to the rest of the room and continues to show many women still punching the hanging punching bags.</t>
  </si>
  <si>
    <t>v_RgeVltfPDXQ</t>
  </si>
  <si>
    <t>Children swings a broom handle at a pinata in a backyard.</t>
  </si>
  <si>
    <t>The boy breaks the pinata open and candy spills on the ground.</t>
  </si>
  <si>
    <t>A woman runs up and adjusts the pinata.</t>
  </si>
  <si>
    <t>A woman runs up to get the broom stick but dodges to not get hit by the blindfolded child.</t>
  </si>
  <si>
    <t>The woman guides the boy up who is blindfolded toward the tree.</t>
  </si>
  <si>
    <t>v_JvP1O8ZIL3A</t>
  </si>
  <si>
    <t>A woman is seen standing behind another woman sitting in a chair and begins styling her hair.</t>
  </si>
  <si>
    <t>The woman brushes and parts her hair ad begins braiding the hair and pinning it in several locations.</t>
  </si>
  <si>
    <t>The woman shows off her finished hair do while looking and smiling to the camera.</t>
  </si>
  <si>
    <t>v_jhiJUgDpwFw</t>
  </si>
  <si>
    <t>A young girl is at a park and grabbing and hanging on triangles that are hanging and makes her way going forward and across 7 triangles.</t>
  </si>
  <si>
    <t>As soon as she reaches the end she goes back 3 triangles without turning around and then turns herself around on the 4th triangle and continues back to where she started .</t>
  </si>
  <si>
    <t>The young girl jumps down on the platform, smiles and waves.</t>
  </si>
  <si>
    <t>v_dG8fhIBgx9k</t>
  </si>
  <si>
    <t>A girl with two braids going down her back is standing outside.</t>
  </si>
  <si>
    <t>She turns toward the camera, and her hair is now down.</t>
  </si>
  <si>
    <t>She lays in a stylist chair, showing how the style was done.</t>
  </si>
  <si>
    <t>v_ACki-MP9qdQ</t>
  </si>
  <si>
    <t>This woman is showing viewers how she makes a cheesecake shot.</t>
  </si>
  <si>
    <t>First she puts 3 quarters of an ounce of Baileys and the same amount of pineapple juice.</t>
  </si>
  <si>
    <t>Then she puts a quarter ounce of another liquid and she gets a 2 ounce shot glass and strains the drink from the ice in the shaker to put it into the glass.</t>
  </si>
  <si>
    <t>v_knHJztfWFrA</t>
  </si>
  <si>
    <t>Two men are shown standing in a recording studio playing instruments.</t>
  </si>
  <si>
    <t>One is playing the guitar while the other plays the flute together.</t>
  </si>
  <si>
    <t>They finish their song and one gives a hand gesture to the camera while the other smiles.</t>
  </si>
  <si>
    <t>v_SHZ9fsusMGc</t>
  </si>
  <si>
    <t>A man is holding a rubiks cube.</t>
  </si>
  <si>
    <t>He then starts to turn it.</t>
  </si>
  <si>
    <t>He stops and looks it over.</t>
  </si>
  <si>
    <t>Eventually he solves it and shows his time.</t>
  </si>
  <si>
    <t>v_xfNYfCAlkM4</t>
  </si>
  <si>
    <t>A boy shows up on the screen and gets a cup of water and gargles it.</t>
  </si>
  <si>
    <t>He smiles and walks off the screen for a moment.</t>
  </si>
  <si>
    <t>He returns and continues gragling and laughing.</t>
  </si>
  <si>
    <t>A man comes onto the screen and invites people to subscribe to his videos.</t>
  </si>
  <si>
    <t>v_IWHER8iS1B4</t>
  </si>
  <si>
    <t>woman is talking to the camera.</t>
  </si>
  <si>
    <t>kids are running in stage and jumping the rope.</t>
  </si>
  <si>
    <t>kids are siting on court watching the skipping rope competition.</t>
  </si>
  <si>
    <t>v_yqFdxxWgvh8</t>
  </si>
  <si>
    <t>A woman puts ice in a glass.</t>
  </si>
  <si>
    <t>She dumps a bottle into the glass and adds juice.</t>
  </si>
  <si>
    <t>She stirs the drink and sets it down on the counter.</t>
  </si>
  <si>
    <t>v_PAhJqXTzCOU</t>
  </si>
  <si>
    <t>A man wearing a green cap sits in a car holding a coffee cup talking.</t>
  </si>
  <si>
    <t>He sets the camera on his dashboard and continues talking.</t>
  </si>
  <si>
    <t>He holds the coffee and takes several sips.</t>
  </si>
  <si>
    <t>He continues talking while holding the cup in his hand.</t>
  </si>
  <si>
    <t>v_RP_PlV5Jzuc</t>
  </si>
  <si>
    <t>A close up of a horse is shown tied to a fence when a man walks in with a reef blower and pushing it towards the horses.</t>
  </si>
  <si>
    <t>He moves all around the animals flowing the air on their fur as the horses move around.</t>
  </si>
  <si>
    <t>v_toeGFZLoeHU</t>
  </si>
  <si>
    <t>A man, wearing a kilt and white t-shirt plays the bagpipes while standing outside of a shopping strip parking lot, as cars pass by.</t>
  </si>
  <si>
    <t>A man stands outside next to a yellow fire hydrant and plays the bagpipes as cars pass.</t>
  </si>
  <si>
    <t>The man moves closer to the cars or the edge of the sidewalk as he plays.</t>
  </si>
  <si>
    <t>The man continues to play bagpipes on the sidewalk until the scene fades to black.</t>
  </si>
  <si>
    <t>v_nypn_gYS8Ik</t>
  </si>
  <si>
    <t>A woman is combing her hair while looking into the camera.</t>
  </si>
  <si>
    <t>She then brushes her bangs straight.</t>
  </si>
  <si>
    <t>She continues brushing with the comb and her hand.</t>
  </si>
  <si>
    <t>v_PgS2F7NxNBg</t>
  </si>
  <si>
    <t>A man is standing outside of a wall with some sort of machine machine and begins talking.</t>
  </si>
  <si>
    <t>The man takes the hose and pressure washes the fence before caulking it.</t>
  </si>
  <si>
    <t>He then gets on his knees and adds spray paint to the machine and paints the wall.</t>
  </si>
  <si>
    <t>Finally,he goes back to the wall with his paint brush and fills in the missing spaces.</t>
  </si>
  <si>
    <t>v_8VPiqCCOPWg</t>
  </si>
  <si>
    <t>A woman is seen diving through colorful banners.</t>
  </si>
  <si>
    <t>The outside of a building is shown.</t>
  </si>
  <si>
    <t>We see a scoreboard, then women being prepped for swimming by their coaches.</t>
  </si>
  <si>
    <t>The women take turns diving off the high board, flipping as they go.</t>
  </si>
  <si>
    <t>The winner poses with a medal as everyone claps.</t>
  </si>
  <si>
    <t>v_Y_sVqGm8AyU</t>
  </si>
  <si>
    <t>A woman gets her belly button clamped with a white clamp.</t>
  </si>
  <si>
    <t>She then gets her belly button pierced.</t>
  </si>
  <si>
    <t>The person removes the clamp and wipes it with a towel.</t>
  </si>
  <si>
    <t>v_xJ3KAhVRr8c</t>
  </si>
  <si>
    <t>They are using steppers for exercising.</t>
  </si>
  <si>
    <t>They jumping and climb back and forth over the steppers.</t>
  </si>
  <si>
    <t>v_gvHcfC9snJA</t>
  </si>
  <si>
    <t>A woman in a white shirt is dancing.</t>
  </si>
  <si>
    <t>She holds a curling iron in her hair.</t>
  </si>
  <si>
    <t>She takes the curling iron out of her hair.</t>
  </si>
  <si>
    <t>v_sV4vBuWGJng</t>
  </si>
  <si>
    <t>The video shows a tutorial from Howcast on how to create volume in a haircut.</t>
  </si>
  <si>
    <t>A lady hair dresser wearing a green shirt and pants is demonstrating a haircut on a model wearing a black tank top.</t>
  </si>
  <si>
    <t>She shows how to section the lady's hair and cuts the hair in a slanting manner.</t>
  </si>
  <si>
    <t>She explains how this technique helps in creating extra volume in the crown of the head.</t>
  </si>
  <si>
    <t>v_cb5Xy7k7z1w</t>
  </si>
  <si>
    <t>A young girl and gymnast performs a gymnastic exercise on the balancing beam at a professional sports event in front of many photographers and an audience in the stands.</t>
  </si>
  <si>
    <t>A young gymnast in a blue outfit stands in front of a balance beam, jumps on it and begins to perform a routine involving flips.</t>
  </si>
  <si>
    <t>The girl performs several flips on the balance beam and high jumps using her arms to balance her stance before performing one final flip off of the beam and sticking the landing after which she walks hugs a coach before looking at the scoreboard and talking briefly with a man seated in a white chair.</t>
  </si>
  <si>
    <t>v_02WlEYafQ9Q</t>
  </si>
  <si>
    <t>Several people white water raft and kayak in large inflatable rafts and kayaks on a violent, narrow, body of water surrounded by large rocks.</t>
  </si>
  <si>
    <t>A group of people on a blue water raft paddle against a violent stream/body of water.</t>
  </si>
  <si>
    <t>Several lone people paddle in small kayaks against the same violent water.</t>
  </si>
  <si>
    <t>A person navigates the rocky waves in a large water raft.</t>
  </si>
  <si>
    <t>The rafters and kayakers continue to fight the force of the water as the scene face to a positivity mantra and then to black.</t>
  </si>
  <si>
    <t>v_OFn-c_XvIhU</t>
  </si>
  <si>
    <t>An suv full of friends drives out of a parking lot and onto a resort.</t>
  </si>
  <si>
    <t>A young girl who was in the car steps out of the car.</t>
  </si>
  <si>
    <t>The group of friends scuba dive among fishes in a large pool.</t>
  </si>
  <si>
    <t>They leave the pool excited and happy.</t>
  </si>
  <si>
    <t>One of the girls who was on the trip gives the trip a thumbs up.</t>
  </si>
  <si>
    <t>v_3j4OdbgaoAM</t>
  </si>
  <si>
    <t>A man is seen hosting a new segment that leads into a large group of people standing and marching around a field.</t>
  </si>
  <si>
    <t>People are then seen riding around on horses playing a game with one another.</t>
  </si>
  <si>
    <t>Players speak to the camera as well as the audience and ends with a team standing all together.</t>
  </si>
  <si>
    <t>v_k5wjc4OO1XM</t>
  </si>
  <si>
    <t>A man pours an egg into a small pan.</t>
  </si>
  <si>
    <t>He sets the pan onto a stove.</t>
  </si>
  <si>
    <t>He dumps the food out onto a plate.</t>
  </si>
  <si>
    <t>v_3osNjmYjTGg</t>
  </si>
  <si>
    <t>A man pole vaults over a rope on a track of a sporting field.</t>
  </si>
  <si>
    <t>The man just barely makes his body over the rope.</t>
  </si>
  <si>
    <t>v_rBGdFwbG118</t>
  </si>
  <si>
    <t>A man wearing glasses is talking in a parking lot.</t>
  </si>
  <si>
    <t>He walks into a car wash, where a green substance is being sprayed on the cars.</t>
  </si>
  <si>
    <t>The soap is then rinsed away with hoses.</t>
  </si>
  <si>
    <t>v_E7NTSqMgx44</t>
  </si>
  <si>
    <t>A large marching band is seen walking down a street with a large group of people standing around and watching.</t>
  </si>
  <si>
    <t>The people continue marching and the camera ends with a credit scene.</t>
  </si>
  <si>
    <t>v_uBT9n8wOKP4</t>
  </si>
  <si>
    <t>A young child is seen wearing ear pieces on his head and blowing around the grass.</t>
  </si>
  <si>
    <t>He is holding a large machine and is seen pushing it all around the yard.</t>
  </si>
  <si>
    <t>He pauses for a moment to play with the grass, followed by him working more.</t>
  </si>
  <si>
    <t>v_mnv-Qz4QDfU</t>
  </si>
  <si>
    <t>A group of girls are gathered in a room.</t>
  </si>
  <si>
    <t>They are shown in a series of images posing together.</t>
  </si>
  <si>
    <t>We also several several boys posing before playing a game of foosball.</t>
  </si>
  <si>
    <t>v_kk1Iqyox4c8</t>
  </si>
  <si>
    <t>A man walks up to a microphone while playing the sax.</t>
  </si>
  <si>
    <t>A group of baseball players wait on the field.</t>
  </si>
  <si>
    <t>The man continues to play the saxophone for the crowd.</t>
  </si>
  <si>
    <t>v_kUTDgJmoRE8</t>
  </si>
  <si>
    <t>There's a young main in a white tank top and beige shorts practicing dancing with a woman wearing a gray shirt and blue shorts.</t>
  </si>
  <si>
    <t>They are practicing dancing in their living room with a flat screen television hanging on the wall.</t>
  </si>
  <si>
    <t>They are holding hands as they twirl around and dance.</t>
  </si>
  <si>
    <t>v_2PBdNJcQcp4</t>
  </si>
  <si>
    <t>They are swinging their hips from side to side.</t>
  </si>
  <si>
    <t>The dance is supposed to be sexy.</t>
  </si>
  <si>
    <t>They form a line as they dance.</t>
  </si>
  <si>
    <t>They turn their backs to the audience and dance.</t>
  </si>
  <si>
    <t>The lights go down.</t>
  </si>
  <si>
    <t>The dance is over.</t>
  </si>
  <si>
    <t>v_Nh-RdjyfGNA</t>
  </si>
  <si>
    <t>People stand and talk at a tables.</t>
  </si>
  <si>
    <t>Teams of players play beach soccer.</t>
  </si>
  <si>
    <t>A player scores a goal with the soccer ball.</t>
  </si>
  <si>
    <t>v_YRp5nE0Hlsc</t>
  </si>
  <si>
    <t>The screen is black and we see a ballerina dance across the stage spilling feathers.</t>
  </si>
  <si>
    <t>The person moves it's head like a chicken.</t>
  </si>
  <si>
    <t>The person does a shuffle and dance then falls to the ground before getting up and dancing more.</t>
  </si>
  <si>
    <t>The person puts their hands in a prayer pose.</t>
  </si>
  <si>
    <t>The person picks up feathers off the ground and sprinkles them around then dances and falls to the ground and the scene ends.</t>
  </si>
  <si>
    <t>v_56McYSkE4uQ</t>
  </si>
  <si>
    <t>A person is seen sitting behind a table solving a rubix cube while a timer records her.</t>
  </si>
  <si>
    <t>Two men are seen standing around her and write things down when the girl eventually finishes.</t>
  </si>
  <si>
    <t>v_JJ0jtr07EGE</t>
  </si>
  <si>
    <t>People are sitting and driving in a bunch of bumper cards on a track.</t>
  </si>
  <si>
    <t>They slam and bump into each other, having fun.</t>
  </si>
  <si>
    <t>v_r8qq4rU0tPE</t>
  </si>
  <si>
    <t>A large mountain covered in snow with scarce trees is visible.</t>
  </si>
  <si>
    <t>Someone begins skiing and then a man in an orange snow suit begins talking.</t>
  </si>
  <si>
    <t>The person continues skiing and then two males appear talking to one another.</t>
  </si>
  <si>
    <t>The person skiing then goes from the top of the mountain to the bottom and then hides behind a boulder of ice.</t>
  </si>
  <si>
    <t>v_dTZZq23pYFY</t>
  </si>
  <si>
    <t>Two reporters report on a story about drinking too much coffee on a live news telecast.</t>
  </si>
  <si>
    <t>A dark haired woman reporter talks on camera before the camera cuts to a blonde haired reporter also talking on camera.</t>
  </si>
  <si>
    <t>The camera cuts to video of a coffee cup being filled with coffee while a written template explaining what the story is about appears beneath the cup.</t>
  </si>
  <si>
    <t>The camera then cuts to a four person news panel of people talking on camera.</t>
  </si>
  <si>
    <t>v_9eJgsiS3xH8</t>
  </si>
  <si>
    <t>sailboat is in open sea with some people standing on it.</t>
  </si>
  <si>
    <t>men are siting on te sailboat and are driving it and talking to each other.</t>
  </si>
  <si>
    <t>v_B7Q1egUKmZg</t>
  </si>
  <si>
    <t>A group of children play and practice basketball throws and techniques in an interior gym in front of coaches and other children.</t>
  </si>
  <si>
    <t>A group of children take turns throwing orange and white balls in the net and running up to the net as well.</t>
  </si>
  <si>
    <t>The coaches trail them as they play, at time, trying to block the throws using the hands.</t>
  </si>
  <si>
    <t>v_inbkDgHuRrY</t>
  </si>
  <si>
    <t>A man is seen speaking to the camera while it pans around the area and he climbs into a machine.</t>
  </si>
  <si>
    <t>He uses the machine to rip up the roof and ends with a close up of the machine.</t>
  </si>
  <si>
    <t>v_kFmOtf_Ew1w</t>
  </si>
  <si>
    <t>Several clips are shown of people swimming in the water leading into a woman looking at the camera and still moving around under the water.</t>
  </si>
  <si>
    <t>The woman continues floating in the water followed by grabbing a boogie board and performing various moves around the water.</t>
  </si>
  <si>
    <t>v_ZEgmWaMa9PU</t>
  </si>
  <si>
    <t>Several shots of landscapes are shown that pan back from people standing on a bridge.</t>
  </si>
  <si>
    <t>Shots are shown of people jumping off the side of the bridge while the camera captures more landscapes.</t>
  </si>
  <si>
    <t>Several more people are seen lined up watching that lead into more people jumping off the side.</t>
  </si>
  <si>
    <t>v_7aydawW3AfE</t>
  </si>
  <si>
    <t>A little girl is sitting on a bed with her eyes closed.</t>
  </si>
  <si>
    <t>A woman kneels down and puts eye liner on the girl.</t>
  </si>
  <si>
    <t>The girl opens her eye and smiles.</t>
  </si>
  <si>
    <t>v_tRgK4fFA8sE</t>
  </si>
  <si>
    <t>A person repairs a bike chain and installs the chain on a bike interspersed with an image of a woman talking.</t>
  </si>
  <si>
    <t>A woman looks into a camera and smiles while talking before the scene cuts away to a pair of hands working on a bike chain.</t>
  </si>
  <si>
    <t>A pair of hands work on a bike chain with tools and bolts.</t>
  </si>
  <si>
    <t>The hands install the chain on a blue bike on a dirt ground surface.</t>
  </si>
  <si>
    <t>v_Z0GbQKiufUE</t>
  </si>
  <si>
    <t>A woman holding towels talks to the camera.</t>
  </si>
  <si>
    <t>The woman wipes the window behind her with a towel.</t>
  </si>
  <si>
    <t>The woman sprays a liquid on the window.</t>
  </si>
  <si>
    <t>The woman resumes wiping the window.</t>
  </si>
  <si>
    <t>The woman returns to talking to the camera.</t>
  </si>
  <si>
    <t>v_bPw2rvCjXUE</t>
  </si>
  <si>
    <t>Two boys perform arm wrestling while people are watching, suddenly the boys free their hands.</t>
  </si>
  <si>
    <t>After, they continue competing, then the boy wearing purple t-shirt fold the hand of his rival.</t>
  </si>
  <si>
    <t>After, the continue performing arm wrestling and then free again the hands.</t>
  </si>
  <si>
    <t>v_XyZoiuga6vw</t>
  </si>
  <si>
    <t>A man in blue stands in an auditorium.</t>
  </si>
  <si>
    <t>He does gymnastics on some equipment.</t>
  </si>
  <si>
    <t>People are watching from the stands.</t>
  </si>
  <si>
    <t>He spins his body about.</t>
  </si>
  <si>
    <t>v_08afjR_3SwI</t>
  </si>
  <si>
    <t>Two people white water raft over a rocky, climactic, body of water in narrow canoes and with paddles.</t>
  </si>
  <si>
    <t>A person dressed in a red and black outfit stands in a red canoe and begins to put a piece of black equipment on.</t>
  </si>
  <si>
    <t>The person in the red and black outfit begins rafting in the red canoe over a tumultuous body of water filled with large rocks.</t>
  </si>
  <si>
    <t>The person in the red canoe approaches another canoe in the water, this one blue, the red canoe and blue canoe raft through the waters behind one another as the scene fades to black.</t>
  </si>
  <si>
    <t>v_YMbZ7RFRuYI</t>
  </si>
  <si>
    <t>People compete bike-cross on a bumpy road.</t>
  </si>
  <si>
    <t>A person sprays water on the bumpy road where the bikers pass.</t>
  </si>
  <si>
    <t>A group of bikers leave the start line to start the motocross competition, while other group start to run bike-cross.</t>
  </si>
  <si>
    <t>A person wearing white top take pictures to the bikers.</t>
  </si>
  <si>
    <t>New groups of bikers start to run on the bumpy road to compete bike-cross.</t>
  </si>
  <si>
    <t>v_3aQnQEL3USQ</t>
  </si>
  <si>
    <t>A boy wears jumping shoes to bounce in front a building and in a playground.</t>
  </si>
  <si>
    <t>Then, the boy gets up the steps of a building, and then take big steps and jump down high.</t>
  </si>
  <si>
    <t>A family of four wait the boy to pass the street.</t>
  </si>
  <si>
    <t>Then, the boy returns to the playground and jumps over a stone.</t>
  </si>
  <si>
    <t>After, the boy jumps high on the street until he arrives to a parking lot.</t>
  </si>
  <si>
    <t>v_R58R070r2GE</t>
  </si>
  <si>
    <t>She dismounts and lands on the mat with her arms up.</t>
  </si>
  <si>
    <t>v_afrMWrFkgDg</t>
  </si>
  <si>
    <t>We see a girl kick and sit down.</t>
  </si>
  <si>
    <t>A boy joins her and they eat ice cream.</t>
  </si>
  <si>
    <t>The boy puts his cone in front of the camera.</t>
  </si>
  <si>
    <t>The boy licks his ice cream wildly.</t>
  </si>
  <si>
    <t>A boy throws something at the boy with ice cream.</t>
  </si>
  <si>
    <t>v_K0e_DdvGP54</t>
  </si>
  <si>
    <t>A boy drinks something from a small cup in a bathroom.</t>
  </si>
  <si>
    <t>The boy runs into the room and jumps on the bed.</t>
  </si>
  <si>
    <t>The boy swallows the item in his mouth and covers his mouth with his hands.</t>
  </si>
  <si>
    <t>v_8-WiWyjqAv4</t>
  </si>
  <si>
    <t>A person is seen sitting along the water in a kayak holding a paddle.</t>
  </si>
  <si>
    <t>The person then begins moving along the water in the kayak.</t>
  </si>
  <si>
    <t>The person continues paddling and is then pulled back by a rope and his arms up cheering.</t>
  </si>
  <si>
    <t>v_USwMjvs45MU</t>
  </si>
  <si>
    <t>A large group of people are seen in various areas of a building while some are signing up for a race.</t>
  </si>
  <si>
    <t>People sit around a track and leads into small children performing several long jumps.</t>
  </si>
  <si>
    <t>An older man announces awards in the end and the winners stand by and get their ribbons.</t>
  </si>
  <si>
    <t>v_rSGgal9LtDk</t>
  </si>
  <si>
    <t>A white Breville toaster is sitting on a counter being plugged.</t>
  </si>
  <si>
    <t>In front of the toaster, a block of white cream and a banana is sitting on a white plate.</t>
  </si>
  <si>
    <t>Next,two slices of bread are in the toaster going up and down.</t>
  </si>
  <si>
    <t>Once the bread is finished,it is put on the plate and the spread is put on both slices of the brad then the banana is cut up and put on the bread is put on top of the bananas.</t>
  </si>
  <si>
    <t>Now,the sandwich is cut is half and the person begins to eating it.</t>
  </si>
  <si>
    <t>v_nPTq63WtemI</t>
  </si>
  <si>
    <t>An older man is seen kneeling in the middle of a gym with several people around him.</t>
  </si>
  <si>
    <t>The man pulls on a piece of exercise equipment working his upper arms back and fourth.</t>
  </si>
  <si>
    <t>v_gUFRtx51OJc</t>
  </si>
  <si>
    <t>A woman is seen sitting in a doctor's office with a doctor speaking to her and the camera.</t>
  </si>
  <si>
    <t>The doctor then holds an object up to the girl's lip.</t>
  </si>
  <si>
    <t>Finally the man pierces the girls lip and smiles down to her.</t>
  </si>
  <si>
    <t>v_1dFLeGRT0NQ</t>
  </si>
  <si>
    <t>A boy stands at a podium, talking into a microphone.</t>
  </si>
  <si>
    <t>A group of girls are on stage together.</t>
  </si>
  <si>
    <t>They start dancing while using hula hoops.</t>
  </si>
  <si>
    <t>When they finish, one girl gathers the hoops and the crowd claps as the curtain closes.</t>
  </si>
  <si>
    <t>v_AhsujXLZYWA</t>
  </si>
  <si>
    <t>A woman is seen sitting down on the floor while holding a cat and cutting it's claws.</t>
  </si>
  <si>
    <t>The woman continues to hold the cat cutting his claws and then gets up and runs away in the end.</t>
  </si>
  <si>
    <t>v_9Nj9WdaSQCs</t>
  </si>
  <si>
    <t>The words "Women's Artistic Gymnastics (WAG)" appear on a red screen.</t>
  </si>
  <si>
    <t>"Code of Points 2013-2016" appear briefly.</t>
  </si>
  <si>
    <t>Clips of Chellsie Memmel performing gymnastics olympic trials are shown.</t>
  </si>
  <si>
    <t>Various stats from her performance are shown on screen.</t>
  </si>
  <si>
    <t>v_E0dqgXVU6wA</t>
  </si>
  <si>
    <t>This woman is doing a nail tutorial of how to create nyan cat nails.</t>
  </si>
  <si>
    <t>First paint all of your nails blue and do a big white stripe across them and dot little stars.</t>
  </si>
  <si>
    <t>Then use a tiny paintbrush to put rainbow colors and then use a plastic sandwich bag to make nyan cat and she pushes it onto her nail.</t>
  </si>
  <si>
    <t>v_b8ftOk8tKxg</t>
  </si>
  <si>
    <t>A lady discusses and folds a towel.</t>
  </si>
  <si>
    <t>The lady washes her face with a powder from a box.</t>
  </si>
  <si>
    <t>The lady rinses her face and use a towel to dry up.</t>
  </si>
  <si>
    <t>v_9nE6C-efQdc</t>
  </si>
  <si>
    <t>A woman trying to instruct big bang theory's way of playing rock paper scissors lizard spock.</t>
  </si>
  <si>
    <t>It shows a quick clip of Sheldon from big bang theory actually doing it.</t>
  </si>
  <si>
    <t>Then, she tries to demonstrate it a few times for the viewers.</t>
  </si>
  <si>
    <t>At the end she smiles and ends it with another big bang theory picture.</t>
  </si>
  <si>
    <t>v_5n7NCViB5TU</t>
  </si>
  <si>
    <t>A man swings a metal object from hand to hand.</t>
  </si>
  <si>
    <t>The man spins and releases an object behind him, and the credits of the video are shown.</t>
  </si>
  <si>
    <t>v_JxN0fchWCNI</t>
  </si>
  <si>
    <t>A man and a woman are standing in a kitchen behind an island with fruits on them.</t>
  </si>
  <si>
    <t>Once the male finishes talking,the woman begins grating a vegetable and cutting an orange in half.</t>
  </si>
  <si>
    <t>She then squeezes the orange into a clear glass bowl and seasoning it and mixing it together with the previously cut up ingredients.</t>
  </si>
  <si>
    <t>v_uegTBtD59R0</t>
  </si>
  <si>
    <t>A person is seen looking to the camera in several shots as well as a close up of a dirt bike.</t>
  </si>
  <si>
    <t>People are then shown in several shots riding around a track and performing tricks.</t>
  </si>
  <si>
    <t>The men ride around wooded areas as well as tracks in many shots.</t>
  </si>
  <si>
    <t>v_uiCkFmebAZs</t>
  </si>
  <si>
    <t>There are many different people in the pool swimming and the words "speedo How to guide series How to 'breathe' during your open water swim" appear on the screen.</t>
  </si>
  <si>
    <t>A young lady in a bathing suit and a shower cap is sitting at the side of the pool talking while clips of her swimming are shown, and her name is Keri-anne Payne and is the 10km Open Water Silver Olympic Medalist.</t>
  </si>
  <si>
    <t>The outro appears and it's a black screen with a speedo logo and the word speedo.</t>
  </si>
  <si>
    <t>v_N88-LuWK_K0</t>
  </si>
  <si>
    <t>An intro leads into several clips of people riding in on horses throwing a rope and grabbing calf's in the middle of a pit.</t>
  </si>
  <si>
    <t>More clips are shown of people roping calf's in the pit and ending with pictures of people performing.</t>
  </si>
  <si>
    <t>v_D8dHEAYIawg</t>
  </si>
  <si>
    <t>A group of women and a man are playing volleyball in the sand on a beach.</t>
  </si>
  <si>
    <t>They lob the pink ball back and forth over the net.</t>
  </si>
  <si>
    <t>A woman goes behind a piece of equipment to grab the ball.</t>
  </si>
  <si>
    <t>v_RAQs7EkXLtE</t>
  </si>
  <si>
    <t>A large group of women are seen moving around a stage and begin with two women performing a belly dancing routine.</t>
  </si>
  <si>
    <t>The women continue dancing around the stage and end by holding a pose and bumping into one another.</t>
  </si>
  <si>
    <t>v_sYAAXumvtck</t>
  </si>
  <si>
    <t>Several bottles and nail tools sit on a table.</t>
  </si>
  <si>
    <t>A woman is filing her nails on the table with a white bar.</t>
  </si>
  <si>
    <t>She then paints her nails clear.</t>
  </si>
  <si>
    <t>She then places her finger nails into a white box that is lit up.</t>
  </si>
  <si>
    <t>The light turns off and she takes her hand out and lays it on the table.</t>
  </si>
  <si>
    <t>A nail polish bottle is shown on the screen.</t>
  </si>
  <si>
    <t>She paints her nails with that polish.</t>
  </si>
  <si>
    <t>She puts her hand back in the lit up box on the table.</t>
  </si>
  <si>
    <t>She does another coat of the nail polish.</t>
  </si>
  <si>
    <t>She puts her hand back in the lit up box.</t>
  </si>
  <si>
    <t>A bottle is shown on the table.</t>
  </si>
  <si>
    <t>She lays her hands flat on the table.</t>
  </si>
  <si>
    <t>v_MbCAiWBhAjo</t>
  </si>
  <si>
    <t>Lemons are thrown onto a counter and glasses of lemon-aid appear with ice in mason jars on the counter as well.</t>
  </si>
  <si>
    <t>Lemons are then rolled around against the counter back and forth evenly with the palm of a hand using firm pressure.</t>
  </si>
  <si>
    <t>The lemons are scraped back and forth against a metal food grater to get the zest off of them leaving the skin of the lemon in a bowl.</t>
  </si>
  <si>
    <t>Water is added into a saucepan along with sugar, and then the lemon zest that was extracted with the metal shredder is added to the water as well.</t>
  </si>
  <si>
    <t>The lemons are cut and juiced over a glass bowl and then the juice is poured through a strainer along with the sugar water with zest that was previously mixed in the saucepan.</t>
  </si>
  <si>
    <t>The mixture is stirred with added water and ice is then added.</t>
  </si>
  <si>
    <t>v_EHXpUlacN88</t>
  </si>
  <si>
    <t>A man is seen standing with one man in a bedroom.</t>
  </si>
  <si>
    <t>He bends down and begins picking up the other man.</t>
  </si>
  <si>
    <t>He finally throws the man down onto the bed.</t>
  </si>
  <si>
    <t>v_MNSzt39_UbE</t>
  </si>
  <si>
    <t>Two groups of boys compete tug of war rope, while a man supervise the game and other people watch.</t>
  </si>
  <si>
    <t>A person takes a picture.</t>
  </si>
  <si>
    <t>The team on the left wins the competition.</t>
  </si>
  <si>
    <t>v_w_wIOJrztdU</t>
  </si>
  <si>
    <t>The video leads into several shots of people standing on a beach as well as playing in the sand.</t>
  </si>
  <si>
    <t>Several more pictures are shown of people moving along the beach as well as helping others and shots of the scenery.</t>
  </si>
  <si>
    <t>v_gHhgZ0Bd4H4</t>
  </si>
  <si>
    <t>We see rolling credits rise up the screen.</t>
  </si>
  <si>
    <t>We see three people riding stationary bikes in a gym.</t>
  </si>
  <si>
    <t>The camera moves closer to the bikers.</t>
  </si>
  <si>
    <t>The lady stop and adjusts something on her bike.</t>
  </si>
  <si>
    <t>We wee the fourth rider in the scene.</t>
  </si>
  <si>
    <t>The lady is riding her bike slower.</t>
  </si>
  <si>
    <t>The lady is riding her bike slowly.</t>
  </si>
  <si>
    <t>We see the closing screen on a blue background.</t>
  </si>
  <si>
    <t>v_TmnVK-cYrzg</t>
  </si>
  <si>
    <t>There's a little boy sitting on a bed in the bedroom.</t>
  </si>
  <si>
    <t>There is a laundry basket and a lot of clothes on the bed.</t>
  </si>
  <si>
    <t>The mother of the boy who is filming the video shows a vacuum cleaner.</t>
  </si>
  <si>
    <t>Then she turns the vacuum cleaner on and begins vacuuming the bedroom floor.</t>
  </si>
  <si>
    <t>The boy watches his mom vacuum as he jumps on the bed.</t>
  </si>
  <si>
    <t>the boy then lays down on the bed as he sees his mother finish the job.</t>
  </si>
  <si>
    <t>Then the boy gets off the bed and jumps down to the ground to look under the bedside table.</t>
  </si>
  <si>
    <t>v_WwwfCw1dYlg</t>
  </si>
  <si>
    <t>A man is talking inside a pool gym.</t>
  </si>
  <si>
    <t>A view is shown under the water, then it cuts back to him talking.</t>
  </si>
  <si>
    <t>v_pElJ7U46XnQ</t>
  </si>
  <si>
    <t>A guy gets ready to lift weight.</t>
  </si>
  <si>
    <t>The guy lifts the weight.</t>
  </si>
  <si>
    <t>The guy dance around and then leaves the stage.</t>
  </si>
  <si>
    <t>A man carries a box into the stage.</t>
  </si>
  <si>
    <t>v_rxEQaswh_Uo</t>
  </si>
  <si>
    <t>A boy is smiling up at the man whose shoe he is shining.</t>
  </si>
  <si>
    <t>The man is looking down at the boy.</t>
  </si>
  <si>
    <t>The boy is shining the mans shoes.</t>
  </si>
  <si>
    <t>The boy is talking to passerbys and pointing.</t>
  </si>
  <si>
    <t>A small kid walks away from the wall.</t>
  </si>
  <si>
    <t>The boy is wiping the mans shoes with a towel.</t>
  </si>
  <si>
    <t>He has started to rub with block.</t>
  </si>
  <si>
    <t>The boy gives a peace sign and grins.</t>
  </si>
  <si>
    <t>v_MJpfymVwtGc</t>
  </si>
  <si>
    <t>A lady is lying down on a black bed, a woman in black sweater and wearing black gloves is rubbing a white cotton on the lady's belly button.</t>
  </si>
  <si>
    <t>Then the woman draw a dot on the belly button, piercing the navel with a thong, then the woman inserted a metal stick, then cleaned the pierce, then the woman inserted the belly button accessory, and tighten it then cleaned up the piercing.</t>
  </si>
  <si>
    <t>v_mTtBz5d83C4</t>
  </si>
  <si>
    <t>There are several people sledding down a snowy slope in round snow tubes.</t>
  </si>
  <si>
    <t>They are going down the steep snowy slope at high speed.</t>
  </si>
  <si>
    <t>One of the people going down the slope raises his hand to his friend as he goes downhill.</t>
  </si>
  <si>
    <t>v_g_65rfEiXPY</t>
  </si>
  <si>
    <t>A man cleans a large window using a long handle squeegee.</t>
  </si>
  <si>
    <t>Then, the man uses a long steel wiper to clean the window from right to left.</t>
  </si>
  <si>
    <t>After, the man takes a cloth and cleans the lower part of the window, then he continues cleaning the with a squeegee and a steel wipe.</t>
  </si>
  <si>
    <t>v_tA7cF5wA6ZU</t>
  </si>
  <si>
    <t>A bald man is leading an orchestra.</t>
  </si>
  <si>
    <t>Several female singers are singing while a choir of younger people sing backup.</t>
  </si>
  <si>
    <t>A young drummer and a man playing the piano are near each other as the young boy looks around.</t>
  </si>
  <si>
    <t>As the singers and musicians finish the song,the conductor waves his wand to end the music.</t>
  </si>
  <si>
    <t>v_NVtRGWuiEP4</t>
  </si>
  <si>
    <t>We see girls in a red costume gym performing a baton routine.</t>
  </si>
  <si>
    <t>Three girls walk past in the background.</t>
  </si>
  <si>
    <t>The girls next to them in pink perform their routine.</t>
  </si>
  <si>
    <t>The girls in the red uniforms finish and walk away.</t>
  </si>
  <si>
    <t>A team of girls in black and neon walk past behind the girls.</t>
  </si>
  <si>
    <t>The girls in pink finish their routine.</t>
  </si>
  <si>
    <t>v_KylUHdDXuCg</t>
  </si>
  <si>
    <t>An intro leads into several clips of people attempting to fight bulls from many generations.</t>
  </si>
  <si>
    <t>Several clips are shown of people interacting with the bulls as well as running around and people watching.</t>
  </si>
  <si>
    <t>v_eqm20MDaeRQ</t>
  </si>
  <si>
    <t>A woman is seen kneeling over a bucket on an old tv show.</t>
  </si>
  <si>
    <t>She is seen washing clothes in the bucket while looking off into the distance.</t>
  </si>
  <si>
    <t>She sighs to herself in exhaustion and continues washing the clothes when a shot of a washing machine is shown.</t>
  </si>
  <si>
    <t>v_KuyaO3brwBc</t>
  </si>
  <si>
    <t>A man stands behind a shoe counter and describes how to clean them.</t>
  </si>
  <si>
    <t>The man talks about the three step program and answers frequently asked questions.</t>
  </si>
  <si>
    <t>The man scrubs to shine the shoe and adds some polish then sprays them.</t>
  </si>
  <si>
    <t>v_AbzyaqyFI0Y</t>
  </si>
  <si>
    <t>A person is seen riding a kayak along a rough river and spinning himself around.</t>
  </si>
  <si>
    <t>More shots of him riding around shown and he continues to flip in the water.</t>
  </si>
  <si>
    <t>v_Hi4YiQO47EM</t>
  </si>
  <si>
    <t>A group of people are talking next to a table with red solo cups and beer cans.</t>
  </si>
  <si>
    <t>A woman puts a red solo cup under a man's nose.</t>
  </si>
  <si>
    <t>A man tosses a ping pong ball into a red solo cup.</t>
  </si>
  <si>
    <t>The floor is shown along with a person's foot.</t>
  </si>
  <si>
    <t>v_2mOQx0l1158</t>
  </si>
  <si>
    <t>A closeup of a bike is shown followed by a person unscrewing the handles on the bike and adjusting the sides.</t>
  </si>
  <si>
    <t>The person then screwed it a light in front of the handlebars and holds them in place.</t>
  </si>
  <si>
    <t>v_5-SbGVTPM1c</t>
  </si>
  <si>
    <t>Men run down a track and leap backwards over a bar.</t>
  </si>
  <si>
    <t>A man waves a white flag once the land.</t>
  </si>
  <si>
    <t>An audience is watching them jump.</t>
  </si>
  <si>
    <t>v_TrtuuE1K8pk</t>
  </si>
  <si>
    <t>A man put paint on the wall with a hose, while a person uses a flat mop to spread the paint.</t>
  </si>
  <si>
    <t>Then, the man puts paint around the window.</t>
  </si>
  <si>
    <t>v_Izr9-P7YIKw</t>
  </si>
  <si>
    <t>A woman removes a bolt from a tire.</t>
  </si>
  <si>
    <t>The woman removes a second bolt.</t>
  </si>
  <si>
    <t>The woman removes a third bolt.</t>
  </si>
  <si>
    <t>Lastly, the woman removes a fourth bolt.</t>
  </si>
  <si>
    <t>The woman takes the tire off the car.</t>
  </si>
  <si>
    <t>v_FiJi18WpPe8</t>
  </si>
  <si>
    <t>A girl in a blue and plaid school uniform stands in a school bathroom brushing her teeth and primping in the mirror.</t>
  </si>
  <si>
    <t>The girl begins facing the camera and brushing her teeth, leaning in to the camera at one point before leaning back to continue brushing teeth.</t>
  </si>
  <si>
    <t>The girl then turns towards the bathroom mirror and spits into the bathroom sink, then returns to brushing teeth and facing the camera again.</t>
  </si>
  <si>
    <t>The girl then moves to another sink that is further back in the bathroom, plays with her hair, primps in the mirror, all while another girl in a school uniform enters the bathroom and walks into a bathroom stall.</t>
  </si>
  <si>
    <t>v_WzSZJ-yJX48</t>
  </si>
  <si>
    <t>Two men talk heatedly until a man comes and separates them.</t>
  </si>
  <si>
    <t>Number 99 leaves then goes back to finish talking.</t>
  </si>
  <si>
    <t>Number 69 walks across the field.</t>
  </si>
  <si>
    <t>We see number 69 hit the ball.</t>
  </si>
  <si>
    <t>he then argues with the catcher.</t>
  </si>
  <si>
    <t>A pitcher begins to pitch.</t>
  </si>
  <si>
    <t>v_-fBTCykx4gM</t>
  </si>
  <si>
    <t>A little boy walk toward the sink.</t>
  </si>
  <si>
    <t>The boy stands on front the sink and puts toothpaste on the brush, and then brush the teeth.</t>
  </si>
  <si>
    <t>Then, the boy rinse his mouth and then show teeth and dry mouth.</t>
  </si>
  <si>
    <t>v_8PkoDfbK5Bc</t>
  </si>
  <si>
    <t>A person is doing flips on a stage in front of people.</t>
  </si>
  <si>
    <t>People are standing in the corner playing the drums.</t>
  </si>
  <si>
    <t>A man does a hand stand on the stage.</t>
  </si>
  <si>
    <t>v_6uhLrPgbpUA</t>
  </si>
  <si>
    <t>Several bicycle racers dressed in motocross suits and wearing helmets are lined up at the start line, waiting to race.</t>
  </si>
  <si>
    <t>The race begins, and all bikers race down a hill, toward a jump.</t>
  </si>
  <si>
    <t>The bikers jump off a hill, but one of the bikers, dressed in red and black, tumbles to the ground.</t>
  </si>
  <si>
    <t>The biker immediately behind him, dressed in red, white and blue, tries to avoid the fallen biker, and falls to the ground as well.</t>
  </si>
  <si>
    <t>The other bikers race off.</t>
  </si>
  <si>
    <t>The biker in black and red immediately trots off the track, while the biker in red, white and blue, is clearly injured and struggles to get to his knees.</t>
  </si>
  <si>
    <t>Three men dressed in black jackets come to the aid of the first biker.</t>
  </si>
  <si>
    <t>v_h-lKlgls9OI</t>
  </si>
  <si>
    <t>A recreation building is pictured and kids doing various activities ranging from basketball to swimming is shown.</t>
  </si>
  <si>
    <t>A set of young boys are picture din the water on their backs holding up a green ball and one throws it into the goal.</t>
  </si>
  <si>
    <t>The outside of the building is shown again and a flash of a car parked outside in the parking lot appears.</t>
  </si>
  <si>
    <t>v_mBHsAuDJmj4</t>
  </si>
  <si>
    <t>a man in overalls sits in front of a large wheel of metal.</t>
  </si>
  <si>
    <t>He picks up a torch, and begins welding.</t>
  </si>
  <si>
    <t>Sparks fly as he wears his mask, welding the equipment.</t>
  </si>
  <si>
    <t>v_sO7ZGxFwbm8</t>
  </si>
  <si>
    <t>The video leads into several shots of javelin athletes throwing poles down a large track.</t>
  </si>
  <si>
    <t>Many people are shown running down the track throwing the javelin and watching where their pole lands.</t>
  </si>
  <si>
    <t>v_ZLJJ5LxfE6o</t>
  </si>
  <si>
    <t>Men are doing karate moves in a gym.</t>
  </si>
  <si>
    <t>People are playing instruments next to them.</t>
  </si>
  <si>
    <t>A man in a white shirt is playing the drums in front of him.</t>
  </si>
  <si>
    <t>v_jqKK2KH6l4Q</t>
  </si>
  <si>
    <t>AN intro screen showing a man perform Brazilian martial arts appears on the screen.</t>
  </si>
  <si>
    <t>It then shows a man doing the same martial arts in slow motion on some grass in what looks like a park.</t>
  </si>
  <si>
    <t>The man spins and kicks continuously and is highly skilled.</t>
  </si>
  <si>
    <t>The video then shows another man indoors giving a thumbs up, before jumping to two other men performing on a stage.</t>
  </si>
  <si>
    <t>A bunch of other men are performing martial arts inside of a gymnasium and classroom, while another man speaks to the camera.</t>
  </si>
  <si>
    <t>v_gxuere-ofCU</t>
  </si>
  <si>
    <t>A man is seen sitting in front of a camera holding a harmonica in his hands.</t>
  </si>
  <si>
    <t>The man then begins playing several songs while pausing in between.</t>
  </si>
  <si>
    <t>He continues playing the instrument while looking off into the distance.</t>
  </si>
  <si>
    <t>v_CN0F45eLq1s</t>
  </si>
  <si>
    <t>A picture of a person jumping off of a boat into the water.</t>
  </si>
  <si>
    <t>A sail boat is in the water with people on it.</t>
  </si>
  <si>
    <t>People are sitting on the boat talking.</t>
  </si>
  <si>
    <t>A woman in a white bikini stands at the bow of the boat and a man stands behind her.</t>
  </si>
  <si>
    <t>People are sitting at the bow of the boat.</t>
  </si>
  <si>
    <t>A woman lies on her back wearing a bikini on the boat.</t>
  </si>
  <si>
    <t>People are walking in the sand in front of the camera.</t>
  </si>
  <si>
    <t>A view of the water and beach is shown.</t>
  </si>
  <si>
    <t>People are walking on the sand of the beach.</t>
  </si>
  <si>
    <t>A group of people are posing for a picture.</t>
  </si>
  <si>
    <t>People are taking pictures on the boat.</t>
  </si>
  <si>
    <t>v_8twDb4CdhE0</t>
  </si>
  <si>
    <t>A close up of a woman is shown speaking to the camera holding an ice cream in front of her face.</t>
  </si>
  <si>
    <t>She takes multiple bites of the ice cream while the camera pans around her body and several other people surround her.</t>
  </si>
  <si>
    <t>v_bscUMcCmyYw</t>
  </si>
  <si>
    <t>A girls hops across the pavement.</t>
  </si>
  <si>
    <t>A younger girl watches her.</t>
  </si>
  <si>
    <t>A mans arm is in the foreground.</t>
  </si>
  <si>
    <t>There is also a wooden deck.</t>
  </si>
  <si>
    <t>v_4L0AI0f-cMs</t>
  </si>
  <si>
    <t>White text says the video is about how to make a belly cake.</t>
  </si>
  <si>
    <t>Two pieces of wrapped chocolate cake are shown as a hand adjusts and touches them.</t>
  </si>
  <si>
    <t>Instructions appear at the bottom of the screen before fondant baby parts are shown being placed after the cake is frosted.</t>
  </si>
  <si>
    <t>The cake is complete as a woman's stomach with a baby foot protruding from her dress.</t>
  </si>
  <si>
    <t>v_ADy-2Y0jmXQ</t>
  </si>
  <si>
    <t>A woman is seen hosting a news segment that leads into several clips of people measuring themselves and speaking to the camera.</t>
  </si>
  <si>
    <t>Many shots are shown of people drinking coffee while holding up larger pants and showing off the weight they had lost.</t>
  </si>
  <si>
    <t>More people are seen speaking to the camera while more products are shown as well as food being presented and a woman showing off her closet.</t>
  </si>
  <si>
    <t>v_61iCOJ3Meus</t>
  </si>
  <si>
    <t>A boy in a white tshirt picks up his brother over head and body slams him onto the bed.</t>
  </si>
  <si>
    <t>The brother in army colored shirt gets up from bed.</t>
  </si>
  <si>
    <t>v_iJ6rHJf_Hgo</t>
  </si>
  <si>
    <t>We see a skateboarder walk with his board.</t>
  </si>
  <si>
    <t>the man then skateboards down a busy street.</t>
  </si>
  <si>
    <t>The boarder has his hand on the ground as he skates.</t>
  </si>
  <si>
    <t>The boarder takes a right turn.</t>
  </si>
  <si>
    <t>The cars drive by and the scene ends.</t>
  </si>
  <si>
    <t>v_Vq7Mm98I5Qs</t>
  </si>
  <si>
    <t>A motorbike race is shown on dirt.</t>
  </si>
  <si>
    <t>The preparations include scantily clad women.</t>
  </si>
  <si>
    <t>Motorbikes are then shown jumping and doing agility things.</t>
  </si>
  <si>
    <t>v_5FwNVOIGdVs</t>
  </si>
  <si>
    <t>A man gets on a red machine.</t>
  </si>
  <si>
    <t>He then backs up and begins to blow leaves with it.</t>
  </si>
  <si>
    <t>The leaves blow all over the driveway.</t>
  </si>
  <si>
    <t>Finally the driveway is cleared of the leaves.</t>
  </si>
  <si>
    <t>v_m8SFyH4vhik</t>
  </si>
  <si>
    <t>She dismounts and lands on the mat next to the beam.</t>
  </si>
  <si>
    <t>v_QlQrJ5WsWzo</t>
  </si>
  <si>
    <t>A man sits on top of a camel.</t>
  </si>
  <si>
    <t>The camel stands up and a man in front leads it.</t>
  </si>
  <si>
    <t>A red barn is seen behind them.</t>
  </si>
  <si>
    <t>The camel sits back down and the man gets off.</t>
  </si>
  <si>
    <t>v_hcRf6HmOAzo</t>
  </si>
  <si>
    <t>A woman is seen standing in front of buckets and speaking to the camera.</t>
  </si>
  <si>
    <t>She pours water into a bucket while dragging it over as well as mixing cleaning into it and beginning to dump clothes.</t>
  </si>
  <si>
    <t>The woman dips the clothes into the bucket and shows where she hangs them and waving to the camera.</t>
  </si>
  <si>
    <t>v_GcEutQTeAnA</t>
  </si>
  <si>
    <t>A man carefully washes the side of a car with a sponge.</t>
  </si>
  <si>
    <t>The man stands up and washes the windshield.</t>
  </si>
  <si>
    <t>He then moves along the back of the car washing the spoiler.</t>
  </si>
  <si>
    <t>v_fsSCNCY0iQY</t>
  </si>
  <si>
    <t>A standing Asian woman wearing makeup is talking to a bunch of sitting Asian women who have no make up on their faces.</t>
  </si>
  <si>
    <t>The Asian woman with the make up claps and then hits a clock that has a 10 second timer.</t>
  </si>
  <si>
    <t>The women with no makeup quickly begin to apply makeup before the time runs out.</t>
  </si>
  <si>
    <t>Two women quickly apply makeup to their faces, but when they are done they have upset looks on their faces.</t>
  </si>
  <si>
    <t>The third woman puts make up and fake eyelashes onto a tray in front of her and then slams her face into the tray and rolls it side to side.</t>
  </si>
  <si>
    <t>When she lifts her head up her makeup is perfect and at the same time she pulls her hair out of a ponytail and shakes her hair free.</t>
  </si>
  <si>
    <t>The outro video is a purple screen with white words that read "Beautiful and fast" and ends with a white screen that has purple words readings "Windows 8" and the microsoft logo.</t>
  </si>
  <si>
    <t>v_BbQ39yhaC54</t>
  </si>
  <si>
    <t>A man is talking in a racquetball court.</t>
  </si>
  <si>
    <t>He talks about how to pose and swing the racquet.</t>
  </si>
  <si>
    <t>He demonstrates by hitting the ball back and forth against the wall.</t>
  </si>
  <si>
    <t>v_ZkkTMR21XLc</t>
  </si>
  <si>
    <t>A man and woman biker are standing outside an event.</t>
  </si>
  <si>
    <t>They get into a raft and push it into a river.</t>
  </si>
  <si>
    <t>They ride the rapids, going over falls and paddling as they go.</t>
  </si>
  <si>
    <t>v_w5lQ5vNAksM</t>
  </si>
  <si>
    <t>man is standing in a room playing the flute.</t>
  </si>
  <si>
    <t>the man ends to play and laugh and thanks to the public.</t>
  </si>
  <si>
    <t>man is wearing a blue shirt and is sitting behind the man playing the flute.</t>
  </si>
  <si>
    <t>v_JouywOCeGHI</t>
  </si>
  <si>
    <t>A man talks to a camera from an outdoors scene by a slope.</t>
  </si>
  <si>
    <t>Several quick cuts are shown explaining the terms behind belaying in the context of climbing.</t>
  </si>
  <si>
    <t>More quick scenes are shown explaining the process behind belaying in the context of climbing.</t>
  </si>
  <si>
    <t>The man talks to the camera once more.</t>
  </si>
  <si>
    <t>v_p1_6T9d4ZuY</t>
  </si>
  <si>
    <t>The gymnast approaches the bar with a leap.</t>
  </si>
  <si>
    <t>She grasps the bar and begins to flip herself around the bar before leaping to the next bar and propelling herself up and over it repeatedly.</t>
  </si>
  <si>
    <t>She launches herself in the air and lands on the mat.</t>
  </si>
  <si>
    <t>v_4rvACiBclFI</t>
  </si>
  <si>
    <t>A bunch of cars are driving while tilted on one side.</t>
  </si>
  <si>
    <t>The tires are taken off one of the cars.</t>
  </si>
  <si>
    <t>v_bM5VpCdPOrw</t>
  </si>
  <si>
    <t>A man is seen speaking to he camera and leads into clip of his truck driving and people riding behind.</t>
  </si>
  <si>
    <t>A man speaks to the ground with a stick as they wander around a deserted area and showing off various plants and wildlife in the area.</t>
  </si>
  <si>
    <t>He puts white clothing all over his body and several others and leads into the people riding camels with others leading in front.</t>
  </si>
  <si>
    <t>v_yuxoNmlNcc8</t>
  </si>
  <si>
    <t>A flag is shown waving where it is stuck in the ground.</t>
  </si>
  <si>
    <t>A group of people are standing outside the building, some eating.</t>
  </si>
  <si>
    <t>A man shurgs at the camera as a game commences.</t>
  </si>
  <si>
    <t>v_Q_kqplOxytU</t>
  </si>
  <si>
    <t>A small boy is immersed into pool water as he looks around.</t>
  </si>
  <si>
    <t>He floats and swims with his mother's help.</t>
  </si>
  <si>
    <t>He blows bubbles, and she removes him from the water.</t>
  </si>
  <si>
    <t>v_hDf32SV0QN0</t>
  </si>
  <si>
    <t>A woman is sitting in front of a camera.</t>
  </si>
  <si>
    <t>She begins brushing her partially wet hair.</t>
  </si>
  <si>
    <t>She continues brushing, then stops and stares at the camera.</t>
  </si>
  <si>
    <t>v_Skz2tom_Ag0</t>
  </si>
  <si>
    <t>A man is seen standing on a tennis court on one side of the fence.</t>
  </si>
  <si>
    <t>Another person is seen standing on the other side and then hit a ball to one another.</t>
  </si>
  <si>
    <t>The person misses the birdie and walks over towards it.</t>
  </si>
  <si>
    <t>v_cMoy7UJtlyA</t>
  </si>
  <si>
    <t>A man stands on a dock wearing a green shirt.</t>
  </si>
  <si>
    <t>He then rides a boat with a sail.</t>
  </si>
  <si>
    <t>He steers it through the lake.</t>
  </si>
  <si>
    <t>He stands on the dock again at the end.</t>
  </si>
  <si>
    <t>v_W70Urhy8Yl4</t>
  </si>
  <si>
    <t>A couple are standing on a snowy hillside.</t>
  </si>
  <si>
    <t>A man walks over to a small red flag.</t>
  </si>
  <si>
    <t>He removes the flag, then pulls a line out of the ground.</t>
  </si>
  <si>
    <t>He pulls up a giant fish he caught.</t>
  </si>
  <si>
    <t>v_0T14tLwBafQ</t>
  </si>
  <si>
    <t>We see people playing volleyball in sand with a dog.</t>
  </si>
  <si>
    <t>We see a man laying in the sand.</t>
  </si>
  <si>
    <t>The dog runs for the ball.</t>
  </si>
  <si>
    <t>A person throws the ball back and the dog returns.</t>
  </si>
  <si>
    <t>The dog tries to get the ball.</t>
  </si>
  <si>
    <t>A man kicks sand at and shoos the dog.</t>
  </si>
  <si>
    <t>v_xIU6DO35R_c</t>
  </si>
  <si>
    <t>A man scuffs a shoe in the street while another person sits and watches.</t>
  </si>
  <si>
    <t>She talks to the man and moves her hands to follow his movement.</t>
  </si>
  <si>
    <t>v_Q3FkUH9kImU</t>
  </si>
  <si>
    <t>He is showing a shuffleboard.</t>
  </si>
  <si>
    <t>He walks to the end of the shuffleboard and another man is on the other side.</t>
  </si>
  <si>
    <t>He begins playing by throwing one down the board.</t>
  </si>
  <si>
    <t>v_oQ_gE5_0xyc</t>
  </si>
  <si>
    <t>We see a few opening screens.</t>
  </si>
  <si>
    <t>We see a lady performs a baton routine in a arena.</t>
  </si>
  <si>
    <t>The lady spins and catches her baton.</t>
  </si>
  <si>
    <t>The lady flips forwards and backwards and catches her baton.</t>
  </si>
  <si>
    <t>The lady spins and catches her baton again.</t>
  </si>
  <si>
    <t>The lady flips multiple times and catches her baton before posing.</t>
  </si>
  <si>
    <t>The crowd claps and the lady waves.</t>
  </si>
  <si>
    <t>v_S47vfJ9g3Mw</t>
  </si>
  <si>
    <t>The video begins with a title screen and an intro which shows various works of art.</t>
  </si>
  <si>
    <t>The topic is about Chinese paintings of waterfalls and rocks.</t>
  </si>
  <si>
    <t>An older Chinese man speaks to the camera.</t>
  </si>
  <si>
    <t>He then begins painting as the camera pans down to view how he does it.</t>
  </si>
  <si>
    <t>At one point, the camera focuses back to his face for a moment.</t>
  </si>
  <si>
    <t>The video ends with another title screen.</t>
  </si>
  <si>
    <t>v_GbvZWitR2_g</t>
  </si>
  <si>
    <t>A kite is flying above a beach.</t>
  </si>
  <si>
    <t>Several people sit on the beach.</t>
  </si>
  <si>
    <t>The kite soars through the sky.</t>
  </si>
  <si>
    <t>Several people are in the water.</t>
  </si>
  <si>
    <t>v_OHOi0ZSuDUg</t>
  </si>
  <si>
    <t>An old man plays the ukulele and a boy plays the tam-tams in the street.</t>
  </si>
  <si>
    <t>A person pass on front the players.</t>
  </si>
  <si>
    <t>v_5vk8OuKkttU</t>
  </si>
  <si>
    <t>A set of instructions are shown transitioning back and fourth between a man laying down carpet on a set of stairs.</t>
  </si>
  <si>
    <t>The text continues showing while the man lays out paper all down the stairs.</t>
  </si>
  <si>
    <t>v_JjRSGzdwtc0</t>
  </si>
  <si>
    <t>A woman is seen walking along a field and throwing a jump rope to another.</t>
  </si>
  <si>
    <t>Several clips are followed by people jump roping in various locations as well as with each other.</t>
  </si>
  <si>
    <t>The group continue dancing and jumping around public places and ends with a baby holding a rope.</t>
  </si>
  <si>
    <t>v_zpJ91CkCiyw</t>
  </si>
  <si>
    <t>We see two men on a city street and the title loads.</t>
  </si>
  <si>
    <t>A man takes off his hood and talks to the camera.</t>
  </si>
  <si>
    <t>We see men in roller blades fall then skate down a railing.</t>
  </si>
  <si>
    <t>A person flashes a light at the camera.</t>
  </si>
  <si>
    <t>A man falls on the railing.</t>
  </si>
  <si>
    <t>A person falls at the bottom of the stairs and then the light is flashing again.</t>
  </si>
  <si>
    <t>We see a man fall down the railing three times.</t>
  </si>
  <si>
    <t>We see the men talk and shake hands before seeing the end screen.</t>
  </si>
  <si>
    <t>v__5VJcnrEgbg</t>
  </si>
  <si>
    <t>A man hits a ball with a tennis racket.</t>
  </si>
  <si>
    <t>Another man joins him shortly after.</t>
  </si>
  <si>
    <t>Several different angles are shown as the group of four play before an audience, hitting the ball back and forth quickly.</t>
  </si>
  <si>
    <t>When they are done, the men walk away, patting each other on the backs.</t>
  </si>
  <si>
    <t>v_nStBfiFl6RU</t>
  </si>
  <si>
    <t>A group of women dance in an aerobic class in a group inside a gym studio.</t>
  </si>
  <si>
    <t>The women jump up and down on alternating feet.</t>
  </si>
  <si>
    <t>The woman walk one way taking a few steps then back the other way during the routine.</t>
  </si>
  <si>
    <t>v_FFCmoQp_xVA</t>
  </si>
  <si>
    <t>A man stands behind a bar talking to the camera.</t>
  </si>
  <si>
    <t>The man holds a drink up and puts it down.</t>
  </si>
  <si>
    <t>The man adds ice to a glass and two shots of a red liquor then another.</t>
  </si>
  <si>
    <t>The man puts a strainer on the glass and stirs the glass with a long metal stick.</t>
  </si>
  <si>
    <t>The man pours it into a martini glass.</t>
  </si>
  <si>
    <t>The man smiles and holds the drink in the air.</t>
  </si>
  <si>
    <t>v_9z_ylV5c9HA</t>
  </si>
  <si>
    <t>A girl demonstrates applying contact lenses to her eyes in an extreme close up video.</t>
  </si>
  <si>
    <t>A pink slide appears advising that the a person is not good at applying contact lenses.</t>
  </si>
  <si>
    <t>A girl with blonde hair and long pink nails proceeds to apply contact lenses to her eyes in a close up video which capture the lens and the eye before and after.</t>
  </si>
  <si>
    <t>v_6gZuc4umTPk</t>
  </si>
  <si>
    <t>Two young girls are seen speaking to the camera and playing with one another.</t>
  </si>
  <si>
    <t>One girl then pulls out a bottle of nail polish while the other waves to the camera.</t>
  </si>
  <si>
    <t>More clips are shown of one girl attempting to paint the nails of the other and ends by waving to the camera.</t>
  </si>
  <si>
    <t>v_cGtK7bs-TE8</t>
  </si>
  <si>
    <t>A fast motion video is shown of various people raking leaves around a yard.</t>
  </si>
  <si>
    <t>Two boys look around towards each other and continue raking the leaks until the yard is done.</t>
  </si>
  <si>
    <t>v_EoQgUlLb3U4</t>
  </si>
  <si>
    <t>A man turns his body around, preparing to throw his discus.</t>
  </si>
  <si>
    <t>The man throws the discus really hard.</t>
  </si>
  <si>
    <t>The man watches ahead after his discus.</t>
  </si>
  <si>
    <t>v_jsqD1NB63hk</t>
  </si>
  <si>
    <t>A young man is seen wearing goggles and speaking to the camera followed by him jumping into the pool.</t>
  </si>
  <si>
    <t>The boy gets out and is seen once again jumping into the pool and swimming to the side to present an object.</t>
  </si>
  <si>
    <t>v_p8h3G0Tblqc</t>
  </si>
  <si>
    <t>A man introduces the basketball concepts of the video to the camera.</t>
  </si>
  <si>
    <t>The player starts from one side of the court and runs up and lays up the basketball in the net.</t>
  </si>
  <si>
    <t>He repeats around the court from every angle.</t>
  </si>
  <si>
    <t>The man returns to go over the concepts again as the video closes.</t>
  </si>
  <si>
    <t>v_ySQBZ8hqBo4</t>
  </si>
  <si>
    <t>The athlete is balancing in the bean as the man took out the spring jumper.</t>
  </si>
  <si>
    <t>The athlete did cartwheel on the beam as the crowd applauded.</t>
  </si>
  <si>
    <t>When the female athlete finished her number, she jumped off the beam cartwheeling down the blue mat.</t>
  </si>
  <si>
    <t>v_T8wY9ZQv8vQ</t>
  </si>
  <si>
    <t>The video is showing clips of gymnastics players performing tricks along a padded area, while judges and spectators look on and cheer.</t>
  </si>
  <si>
    <t>The first player hits her head at the end of her performance.</t>
  </si>
  <si>
    <t>The video continues to show many other gymnasts competing, with the audience cheering after the completion of each performance.</t>
  </si>
  <si>
    <t>The video ends with a male performer.</t>
  </si>
  <si>
    <t>v_vDaDT1vUOfI</t>
  </si>
  <si>
    <t>A woman appears and disappears under the water as she swims in an olympic sized pool.</t>
  </si>
  <si>
    <t>She is seen swimming in a fishlike manner under the water.</t>
  </si>
  <si>
    <t>She displays several different swimming styles and moves.</t>
  </si>
  <si>
    <t>v_0e7-mNDgIXw</t>
  </si>
  <si>
    <t>A special effect intro that looks like a chalk board on wood appears and the words on it say SKI SCHOOL on the upper left, and the middle words say "Ski Tips: FOOT ROTATION" along with a website at the bottom and a blue circle icon on the upper right.</t>
  </si>
  <si>
    <t>A man skis into view and he's standing on a snowy mountain with a lot of trees and he's talking and looks like he's giving tips on how to ski as he physically demonstrates and continues to talk the whole time.</t>
  </si>
  <si>
    <t>The man is now back at his starting point where he was originally standing and he's talking again.</t>
  </si>
  <si>
    <t>The special affect screen appears with a wooden background and 4 different pictures on the screen with words under them.</t>
  </si>
  <si>
    <t>v_UwZbkuVsPno</t>
  </si>
  <si>
    <t>Two men are standing on a basketball goal.</t>
  </si>
  <si>
    <t>They start doing layups, then stand talking to the camera again.</t>
  </si>
  <si>
    <t>v_Xo4-GnduX8A</t>
  </si>
  <si>
    <t>Man talks to camera shooting video.</t>
  </si>
  <si>
    <t>Soccer players are shown practicing their moves.</t>
  </si>
  <si>
    <t>Soccer players take shots.</t>
  </si>
  <si>
    <t>Man is shoved off of the court.</t>
  </si>
  <si>
    <t>Man is congratulated for his goal.</t>
  </si>
  <si>
    <t>Man shakes his hand at the camera.</t>
  </si>
  <si>
    <t>v_q1jvfsKWY5c</t>
  </si>
  <si>
    <t>These people are playing tug of war against sumo wrestler who are more than 4 times their size and the small people win against them.</t>
  </si>
  <si>
    <t>In the end the people and sumo wrestlers take selfies and the sumo wrestlers open the fanta and throw it on each other.</t>
  </si>
  <si>
    <t>v_zOcXA1S_VPI</t>
  </si>
  <si>
    <t>A man wearing a black hat is talking.</t>
  </si>
  <si>
    <t>A man dribbles a basketball around some cones and shoots the ball.</t>
  </si>
  <si>
    <t>Two people are playing basketball.</t>
  </si>
  <si>
    <t>A man is dribbling a basketball on a court.</t>
  </si>
  <si>
    <t>v_mVC8DBsg1i0</t>
  </si>
  <si>
    <t>A man is sitting on a stool while the dog is in front of him, the dog is wearing a red leash.</t>
  </si>
  <si>
    <t>A white dog is hiding behind the wall.</t>
  </si>
  <si>
    <t>A man is brushing the dog's fur on his side first the at the back.</t>
  </si>
  <si>
    <t>The man started to shave the dog's front leg.</t>
  </si>
  <si>
    <t>A white dog is laying on the brown bed.</t>
  </si>
  <si>
    <t>The beige dog is laying on the rug while the man is shaving the beige.</t>
  </si>
  <si>
    <t>The white dog rubbing her face on the glass table, then the beige dog is standing on the glass sat then sat on the table, then the white dog is standing beside the beige dog.</t>
  </si>
  <si>
    <t>v_Qmo9D73hWXY</t>
  </si>
  <si>
    <t>We see a person in hockey gear skate onto the ice.</t>
  </si>
  <si>
    <t>Another person enters and we watch two people play hockey.</t>
  </si>
  <si>
    <t>We see the puck drop in front of the camera.</t>
  </si>
  <si>
    <t>The person knocks the goalie to the ground.</t>
  </si>
  <si>
    <t>The goalie skates up to the camera.</t>
  </si>
  <si>
    <t>v_TM_5fb15eXQ</t>
  </si>
  <si>
    <t>A guy is giving a lesson about snow boards he puts a big rub brand on the board to hold the foot placers in place.</t>
  </si>
  <si>
    <t>the guy shows the difference between snow boards and put them on a object to smoothing out the bottom of the board for better skiing.</t>
  </si>
  <si>
    <t>v_9tAyfaBGwyg</t>
  </si>
  <si>
    <t>A woman is drawing a hopscotch board on the ground in chalk.</t>
  </si>
  <si>
    <t>She stands up and walks to the front of the hopscotch board.</t>
  </si>
  <si>
    <t>She begins jumping on the board.</t>
  </si>
  <si>
    <t>v_SiBSwSu_REQ</t>
  </si>
  <si>
    <t>People are walking around the basketball court.</t>
  </si>
  <si>
    <t>A team of dancers walk onto the basketball court and stand at attention.</t>
  </si>
  <si>
    <t>As onlookers clap, the squad turns around in unison.</t>
  </si>
  <si>
    <t>The squad does their routine.</t>
  </si>
  <si>
    <t>The squad ends their routine and exits the floor.</t>
  </si>
  <si>
    <t>v_I6VBFfeBqF0</t>
  </si>
  <si>
    <t>A man props his leg on the side of a tub.</t>
  </si>
  <si>
    <t>He is shaving his leg with a razor, revealing a tattoo underneath.</t>
  </si>
  <si>
    <t>When he is done, he wipes off the hair and shows a tattoo of homer simpson as the grim reaper.</t>
  </si>
  <si>
    <t>v_tu6EkaMa9c8</t>
  </si>
  <si>
    <t>A tubing advertisement is on the screen.</t>
  </si>
  <si>
    <t>Tubers are going down the river.</t>
  </si>
  <si>
    <t>West Virginia advertisement is on the screen.</t>
  </si>
  <si>
    <t>A tuber goes under a plank with a dog on it.</t>
  </si>
  <si>
    <t>The camera is pointed towards the sky and trees.</t>
  </si>
  <si>
    <t>One tuber runs into branches, one stands up and falls over.</t>
  </si>
  <si>
    <t>the cameraman turns circles in his tube then has a snack.</t>
  </si>
  <si>
    <t>One guy gets his head tangled in branches.</t>
  </si>
  <si>
    <t>The video ends with advertisements.</t>
  </si>
  <si>
    <t>v_cGNkR-JvaJs</t>
  </si>
  <si>
    <t>A sports logo flashes on the screen.</t>
  </si>
  <si>
    <t>A woman talking into a microphone wearing a white shirt.</t>
  </si>
  <si>
    <t>A man is playing pool behind a blue pool table.</t>
  </si>
  <si>
    <t>The woman continues talking in front of the pool table.</t>
  </si>
  <si>
    <t>The woman and the man talk to each other.</t>
  </si>
  <si>
    <t>A trophy flashes on the screen.</t>
  </si>
  <si>
    <t>The man and the woman continue talking.</t>
  </si>
  <si>
    <t>The man plays pool again.</t>
  </si>
  <si>
    <t>The man and woman continue talking to each other.</t>
  </si>
  <si>
    <t>It flashes back to the pool table.</t>
  </si>
  <si>
    <t>The man and woman continue talking and the woman laughs at what the man is saying.</t>
  </si>
  <si>
    <t>The man is now teaching the woman how to shoot the pool ball while standing behind her.</t>
  </si>
  <si>
    <t>The woman makes the shot and they celebrate with a high five.</t>
  </si>
  <si>
    <t>The man is telling the woman how to make another shot.</t>
  </si>
  <si>
    <t>She attempts the shot and makes it and they high five again.</t>
  </si>
  <si>
    <t>They continue talking and laughing.</t>
  </si>
  <si>
    <t>The woman lays down on the pool table and he shoots a ball out of her mouth.</t>
  </si>
  <si>
    <t>The woman is sitting in a chair next to the pool table talking into the microphone.</t>
  </si>
  <si>
    <t>A Maxim logo flashes on the screen.</t>
  </si>
  <si>
    <t>v_S4GiCywMi38</t>
  </si>
  <si>
    <t>A man demonstrates how to apply make up to a face by applying make up to his own face in the camera.</t>
  </si>
  <si>
    <t>A man talks to the camera, close up, while standing in front of a mirror.</t>
  </si>
  <si>
    <t>The man begins to put on makeup blush using a brush and brushing across the apples of his cheeks.</t>
  </si>
  <si>
    <t>The man then runs a crayon like makeup tool across his cheeks before returning to apply blush to his cheeks and forehead.</t>
  </si>
  <si>
    <t>the man then uses a narrow and wide brush across his cheeks and then back to the regular brush for the same areas of his face.</t>
  </si>
  <si>
    <t>v_BKrUkWSo4Ig</t>
  </si>
  <si>
    <t>An intro leads into a man holding a violin and playing with his hands.</t>
  </si>
  <si>
    <t>The man continues to play and then pauses to speak to the camera while also demonstrating how to properly play.</t>
  </si>
  <si>
    <t>v_m_B1Jb6Wwn0</t>
  </si>
  <si>
    <t>A man is cleaning the soles of his sneakers with the thin, metal end of a hose.</t>
  </si>
  <si>
    <t>The man places the hose back and starts to leave.</t>
  </si>
  <si>
    <t>v_Z8xxgFpK-NM</t>
  </si>
  <si>
    <t>A man is dancing on a stage in white pants.</t>
  </si>
  <si>
    <t>Two people start dancing together on a stage.</t>
  </si>
  <si>
    <t>A man does several back flips on the stage.</t>
  </si>
  <si>
    <t>A person is playing a drum.</t>
  </si>
  <si>
    <t>v_wuHLveuf6PQ</t>
  </si>
  <si>
    <t>Several person are seen riding down a hill on roller blades while a person on a police bike rides in front.</t>
  </si>
  <si>
    <t>At one point several people fall and trip over one another but keep riding their blades on.</t>
  </si>
  <si>
    <t>v_KgGQ6dHKl8U</t>
  </si>
  <si>
    <t>A man mounted on a horse chases after a cow.</t>
  </si>
  <si>
    <t>He catches the cow with a rope.</t>
  </si>
  <si>
    <t>He mounts off the horse and hits the cow several times.</t>
  </si>
  <si>
    <t>v_PIJd7_6RGpY</t>
  </si>
  <si>
    <t>A man stands around a fire pit, talking.</t>
  </si>
  <si>
    <t>The man lights a torch.</t>
  </si>
  <si>
    <t>The man uses the torch to light the wood in the fire pit.</t>
  </si>
  <si>
    <t>The man sits by the fire pit, enjoying the warmth.</t>
  </si>
  <si>
    <t>v_Yb5b_xx1P9I</t>
  </si>
  <si>
    <t>A man in a black shirt is checking food in a sandwich shop.</t>
  </si>
  <si>
    <t>The man then moves fast to make a hoagie sandwich by adding ingredients from the bins.</t>
  </si>
  <si>
    <t>The man wraps the sandwich in paper and puts it in a plastic bag.</t>
  </si>
  <si>
    <t>We see on a phone the man made the sandwich in 41 seconds.</t>
  </si>
  <si>
    <t>The man then takes the sandwich apart in the back.</t>
  </si>
  <si>
    <t>v_0ysVELHeEyc</t>
  </si>
  <si>
    <t>The camera pans down the side of a fence.</t>
  </si>
  <si>
    <t>It stops at a broken section.</t>
  </si>
  <si>
    <t>It continues to pan down the fence.</t>
  </si>
  <si>
    <t>Nails are hammered into the fence.</t>
  </si>
  <si>
    <t>They continue down the fence and remove some dead plants.</t>
  </si>
  <si>
    <t>They show a product used to clean the fence.</t>
  </si>
  <si>
    <t>A man sprays the fence with the product.</t>
  </si>
  <si>
    <t>He drops it and gets some paint.</t>
  </si>
  <si>
    <t>A painted section of the fence is shown.</t>
  </si>
  <si>
    <t>v_IOmzDJjVUoQ</t>
  </si>
  <si>
    <t>A little in a pink shirt is going across the monkey bars.</t>
  </si>
  <si>
    <t>She hangs upside down from the bars.</t>
  </si>
  <si>
    <t>She smiles at the camera.</t>
  </si>
  <si>
    <t>v_bvBNoeCBDdg</t>
  </si>
  <si>
    <t>A title screen appears for a tutorial for hockey agility.</t>
  </si>
  <si>
    <t>A hockey player goes through several routines showing agility warm ups with a hockey stick and puck and drills with tires, small cones.</t>
  </si>
  <si>
    <t>Another title screen appear with a website just below it.</t>
  </si>
  <si>
    <t>v_IcDadC2tw5c</t>
  </si>
  <si>
    <t>A person watches another person using a leaf blower in a yard from an elevated window.</t>
  </si>
  <si>
    <t>A person in dark clothing blows leaves on a piece of property in front of two open garage doors.</t>
  </si>
  <si>
    <t>Another person moves with the camera as they watch from a window in an elevated room against a white window sill.</t>
  </si>
  <si>
    <t>The person blowing the leaves moves around the yard and continues to do lawn maintenance.</t>
  </si>
  <si>
    <t>v_pFh-8ICMTFY</t>
  </si>
  <si>
    <t>A woman talks while on a stair machine in a gym and shows proper footing.</t>
  </si>
  <si>
    <t>The woman walks on aerobic machine in the gym without the handles.</t>
  </si>
  <si>
    <t>The woman uses the arm bars while walking on the aerobic machine.</t>
  </si>
  <si>
    <t>The woman holds the arm grips to get off the machine.</t>
  </si>
  <si>
    <t>v_N_zbcVs419E</t>
  </si>
  <si>
    <t>A person's hand is seen holding a paint brush.</t>
  </si>
  <si>
    <t>The hand then puts drops of ink on paper.</t>
  </si>
  <si>
    <t>The person's hand is seen again with the paint brush.</t>
  </si>
  <si>
    <t>The hand returns with an ink dropper and creates pictures with ink.</t>
  </si>
  <si>
    <t>The hand gently touches the picture with a paper towel.</t>
  </si>
  <si>
    <t>v_G5ueYVLGtm8</t>
  </si>
  <si>
    <t>The woman in black shirt is bend over and hit the ball with mallet.</t>
  </si>
  <si>
    <t>The woman hit again the green ball causing it to hit the small pole.</t>
  </si>
  <si>
    <t>The woman in black cheered and began to walk.</t>
  </si>
  <si>
    <t>v_jfFnL_o8QS0</t>
  </si>
  <si>
    <t>A stopwatch is shown and a crowd gathers for a game of field hockey.</t>
  </si>
  <si>
    <t>The documentary features the voice of a former player as archival footage is shown in color.</t>
  </si>
  <si>
    <t>Photos and video in black and white depicts the history of the game.</t>
  </si>
  <si>
    <t>The documentary then focuses on a famous player.</t>
  </si>
  <si>
    <t>After that, a famous manager is highlighted and former players talk about him.</t>
  </si>
  <si>
    <t>v_p28XWij4U1c</t>
  </si>
  <si>
    <t>A woman talks to a camera and then demonstrates exercises that can be done from the playground using playground equipment including monkey bars.</t>
  </si>
  <si>
    <t>A woman in a red short sleeved shirt stands on the sand of a playground and talks facing the camera, while standing next to some monkey bars.</t>
  </si>
  <si>
    <t>The woman begins to use the monkey bars and pulls herself across the entire expanse of the bar without using feet for propulsion from bar to bar, using just upper arm and core strength to pull across the bars.</t>
  </si>
  <si>
    <t>The woman then climbs a wall and jumps off it in a gymnastic flip into the sand and begins to talk to the camera again.</t>
  </si>
  <si>
    <t>v_bJj66H_WsDA</t>
  </si>
  <si>
    <t>A man is seen sitting on the sidelines followed by a large group of people playing lacrosse.</t>
  </si>
  <si>
    <t>The players continue to move up and down the field past one another and many watching on the sides.</t>
  </si>
  <si>
    <t>The group continue to play and end by scoring a goal and the ref reacting.</t>
  </si>
  <si>
    <t>v_xT6ejzSmftg</t>
  </si>
  <si>
    <t>A marching group of cadets in dark clothing comes into view in what appears to be a downtown city square.</t>
  </si>
  <si>
    <t>A drum corp is heard drumming proudly as the cadets march down the street.</t>
  </si>
  <si>
    <t>The marchers begin waving to the crowd and greeting the onlookers.</t>
  </si>
  <si>
    <t>A long train whistle is heard as the cadets continue to wave to the crowd.</t>
  </si>
  <si>
    <t>Behind the cadets, a marching band comes into view, dressed in white.</t>
  </si>
  <si>
    <t>The band marches by while playing cadet songs.</t>
  </si>
  <si>
    <t>v_Er88I-NQkG4</t>
  </si>
  <si>
    <t>spanish letters are shown in the video.</t>
  </si>
  <si>
    <t>baby kid is dancing in the top of a table wearing a white diaper in the kitchen and a woman is filming it.</t>
  </si>
  <si>
    <t>v_vaqswUFfvMY</t>
  </si>
  <si>
    <t>A gymnast bend to rise weight above his head, while other men sit in the gym watch him.</t>
  </si>
  <si>
    <t>The gymnast drops the weight to the floor.</t>
  </si>
  <si>
    <t>v_72F30o9V8v0</t>
  </si>
  <si>
    <t>A man is shown sitting on a fence and talking to the camera while pointing out horses.</t>
  </si>
  <si>
    <t>A girl is shown riding a horse while three others hold onto the horse and help.</t>
  </si>
  <si>
    <t>These people help various people on and off the horses.</t>
  </si>
  <si>
    <t>The people also walk through obstacle courses with the horses and keep one hand on at all times.</t>
  </si>
  <si>
    <t>The man stands in the middle applauding the riders and giving the horses direction.</t>
  </si>
  <si>
    <t>A boy smiles when he gets off the horse and several people congratulate him.</t>
  </si>
  <si>
    <t>The man finishes by talking about his camp and why you should join.</t>
  </si>
  <si>
    <t>v_dKf46wUnn-s</t>
  </si>
  <si>
    <t>Two children are seen walking around a yard play crochet with one another and laughing on the side.</t>
  </si>
  <si>
    <t>the kids continue to play with each other while the camera pans all around their movements.</t>
  </si>
  <si>
    <t>v_AoyoL-921Ws</t>
  </si>
  <si>
    <t>A large yard is shown followed by a young child pushing a lawn mower around.</t>
  </si>
  <si>
    <t>The boy continues pushing the lawn mower around while the camera watches from the side.</t>
  </si>
  <si>
    <t>The boy moves the mower all along the yard.</t>
  </si>
  <si>
    <t>v_Tg3FU9Ro6KQ</t>
  </si>
  <si>
    <t>A woman is seen speaking to the camera and leads into her holding up various nail polishes and beginning to a set of fake nails.</t>
  </si>
  <si>
    <t>She continues painting on the nails use several different colors and presents the nail to the camera in the end.</t>
  </si>
  <si>
    <t>v_Hev5Vj0Jjuk</t>
  </si>
  <si>
    <t>A group of girls look up at an amusement park ride and wave there hands in fear and anticipation.</t>
  </si>
  <si>
    <t>The girls put on safety harnesses.</t>
  </si>
  <si>
    <t>The group climb up the stairs to the top of the platform.</t>
  </si>
  <si>
    <t>A girl stands on top of the platform with a rope and harness and prepares to jump.</t>
  </si>
  <si>
    <t>A pop band is seen singing a song and dancing.</t>
  </si>
  <si>
    <t>The girl jumps from the platform and bounces on the bungee cord in the air.</t>
  </si>
  <si>
    <t>The girl is met by the group members who congratulate her for the jump.</t>
  </si>
  <si>
    <t>v_ygmYkKbS-4U</t>
  </si>
  <si>
    <t>A man in a blue shirt is sweeping the floor in a gym.</t>
  </si>
  <si>
    <t>He flips the broom over and lays it flat on the floor.</t>
  </si>
  <si>
    <t>He starts vacuuming around the floor.</t>
  </si>
  <si>
    <t>He vacuums the bottom of the broom.</t>
  </si>
  <si>
    <t>v_sx5Q-JsaAAs</t>
  </si>
  <si>
    <t>Two men play ping pong on front a crowd.</t>
  </si>
  <si>
    <t>When the person with black jacket serves, the ball lands on net, also the young man fails to serve well and the ball lands outside the table.</t>
  </si>
  <si>
    <t>The young man wins and raise his hands, while his opponent hug him.</t>
  </si>
  <si>
    <t>People take picture to the men.</t>
  </si>
  <si>
    <t>v_sicaCRRCkiY</t>
  </si>
  <si>
    <t>A camera shows several different ingredients laid out on a table followed by someone mixing the ingredients together.</t>
  </si>
  <si>
    <t>They put the mixture on a pan to create cookies in the oven and show off the final results.</t>
  </si>
  <si>
    <t>v_BFrsZmuj4Ns</t>
  </si>
  <si>
    <t>Two men are seen running around a circle surrounded by people and performing martial arts moves.</t>
  </si>
  <si>
    <t>More people come in the circle and the people continue spinning around one another and fighting with each other.</t>
  </si>
  <si>
    <t>v_m1pNOYN-DoI</t>
  </si>
  <si>
    <t>Four guys are throwing golf balls across a table to hit plastic cups.</t>
  </si>
  <si>
    <t>Two guys high five after one guy gets the golf ball into the plastic cup.</t>
  </si>
  <si>
    <t>Guys point at the camera and laugh.</t>
  </si>
  <si>
    <t>A guy takes the golf ball out of the cup and attempts to drink the liquid.</t>
  </si>
  <si>
    <t>A guy throws a golf ball with his back toward the table, lands it inside the cup, and leaves the room.</t>
  </si>
  <si>
    <t>The guys celebrate and give high fives.</t>
  </si>
  <si>
    <t>v_UXX8k68S3_g</t>
  </si>
  <si>
    <t>A person is seen drawing on the side of a pumpkin and then leads into cutting out the outlines.</t>
  </si>
  <si>
    <t>The person then wipes a rag all over the pumpkin cleaning off its sides.</t>
  </si>
  <si>
    <t>v_DCyLmohIwkQ</t>
  </si>
  <si>
    <t>A man slowly walks over and takes some equipment off of the wall as some dramatic music plays.</t>
  </si>
  <si>
    <t>He sets up the bow and gets his arrows.</t>
  </si>
  <si>
    <t>Next we see him outdoors as he walks across some grass towards a target.</t>
  </si>
  <si>
    <t>He pulls out an arrow and and sets it in his bow.</t>
  </si>
  <si>
    <t>After a few tries he gets a bulls-eye.</t>
  </si>
  <si>
    <t>He sets his bow and his arrows down onto a wooden platform.</t>
  </si>
  <si>
    <t>v_Rx4gq8hrZ8s</t>
  </si>
  <si>
    <t>Four people plays soccer table indoors.</t>
  </si>
  <si>
    <t>A man shows a ball on a stick and demonstrates the movement of the ball on the soccer table.</t>
  </si>
  <si>
    <t>Then the mans shows the ball to the players, and one of them grab the ball and others play.</t>
  </si>
  <si>
    <t>v_ydRycaBjMVw</t>
  </si>
  <si>
    <t>A man is seen sitting on a bench with other wiping his ear down with cleaner.</t>
  </si>
  <si>
    <t>The man looks at his phone while the other then begins piercing his ears.</t>
  </si>
  <si>
    <t>The man puts an earring in each hole while still speaking to the man and shoving off his earring.</t>
  </si>
  <si>
    <t>v_jpGyplACWUg</t>
  </si>
  <si>
    <t>a man is celebrating with his arms in the air.</t>
  </si>
  <si>
    <t>He is shown spinning on a field.</t>
  </si>
  <si>
    <t>He then throws the ball far away and it is measured.</t>
  </si>
  <si>
    <t>v_-5h2E52tl4Q</t>
  </si>
  <si>
    <t>A middle aged female talks about a cleaning product.</t>
  </si>
  <si>
    <t>The female opens a container of cleaner and puts it on a rag.</t>
  </si>
  <si>
    <t>The female then uses the rag to rub the inside of the sink.</t>
  </si>
  <si>
    <t>The same female then uses a different rag to rub the sink surface.</t>
  </si>
  <si>
    <t>The female puts more cleaner on the rag and cleans the counter top.</t>
  </si>
  <si>
    <t>v_Anvhv9FFv1Q</t>
  </si>
  <si>
    <t>A man is seen speaking to the camera and leads into him presenting various objects and sharpening a knife on a board.</t>
  </si>
  <si>
    <t>The man demonstrates how to properly sharpen the knife using the tools and his hands while continuing to sharpen the knife on the board.</t>
  </si>
  <si>
    <t>v_KanNWuKvkxs</t>
  </si>
  <si>
    <t>A woman talks and shows a little bottle.</t>
  </si>
  <si>
    <t>Then, the woman put on her eyes white contact lenses and continues explaining.</t>
  </si>
  <si>
    <t>v_It-SVT1ICJM</t>
  </si>
  <si>
    <t>A couple of toys are wrestling on a table next to a stack of dvds.</t>
  </si>
  <si>
    <t>They kick and push each other down.</t>
  </si>
  <si>
    <t>A screen of stars in a black sky are shown.</t>
  </si>
  <si>
    <t>v_xKPF_SpZ1gQ</t>
  </si>
  <si>
    <t>A calf and horse run out of a gate.</t>
  </si>
  <si>
    <t>The man catches the calf and ties it up.</t>
  </si>
  <si>
    <t>v_5olJd75WWFw</t>
  </si>
  <si>
    <t>A man wearing a black shirt is demonstrating how to polish wood and other surfaces using liquid polish and a white soft cloth.</t>
  </si>
  <si>
    <t>He pours some of the polish from the bottle onto the cloth and uses it to gently scrub ad rub it over the furniture and tabletop.</t>
  </si>
  <si>
    <t>He uses it over various surfaces to clean and polish the surfaces of wood, vinyl and leather.</t>
  </si>
  <si>
    <t>v_y20J3BbydOk</t>
  </si>
  <si>
    <t>kids are gathered around a wooden table in a kitchen.</t>
  </si>
  <si>
    <t>woman is cutting oranges and showing it to kids and squeezing it in a glass in the table.</t>
  </si>
  <si>
    <t>v_AEQ9zIG9LqA</t>
  </si>
  <si>
    <t>A man does several back flips on a red mat.</t>
  </si>
  <si>
    <t>A woman in a black shirt watches him go by and claps.</t>
  </si>
  <si>
    <t>He stands up and walks away.</t>
  </si>
  <si>
    <t>v_1HWajOhmPVg</t>
  </si>
  <si>
    <t>Various text is shown across the screen that leads into a man hosting a news segment.</t>
  </si>
  <si>
    <t>An athlete is then seen spinning around in circles and throwing an object off into the distance.</t>
  </si>
  <si>
    <t>More text is shown across the screen.</t>
  </si>
  <si>
    <t>v_PyM_VG5KFa4</t>
  </si>
  <si>
    <t>A channel is displaying some cool and incredible videos.</t>
  </si>
  <si>
    <t>A young boy is sitting outdoors on a wooden bench and drumming on a drum set that is made out of steel plates, cans and pots.</t>
  </si>
  <si>
    <t>A man just walked past him while the boy was drumming loudly.</t>
  </si>
  <si>
    <t>He continues to drum on the handmade drum set rhythmically.</t>
  </si>
  <si>
    <t>He plays in a fast manner without stopping.</t>
  </si>
  <si>
    <t>The screen shows details of how to subscribe to the channel.</t>
  </si>
  <si>
    <t>v_O0nOzufJ_OM</t>
  </si>
  <si>
    <t>A compilation/tribute video for a Hungarian discus throwing Olympian begins with some pictures of him in action.</t>
  </si>
  <si>
    <t>An attempt with him twirling rapidly begins and the discus launches.</t>
  </si>
  <si>
    <t>More photos play, showing the competitor in different positions.</t>
  </si>
  <si>
    <t>Two straight attempts featuring a powerful spin result in the the discus flying far both times.</t>
  </si>
  <si>
    <t>This is followed by more photos.</t>
  </si>
  <si>
    <t>Another attempt plays, followed by another slate of photos.</t>
  </si>
  <si>
    <t>The next attempt occurs in front of a large green net, the discus is launched like a rocket and the thrower celebrates.</t>
  </si>
  <si>
    <t>Another set of photos close the montage.</t>
  </si>
  <si>
    <t>v_9o_SlEkq-L0</t>
  </si>
  <si>
    <t>A man is standing in a yard of green grass and is shown mowing the lawn and when he's done there is a short exchange of a hand handing his hand one dollar bill.</t>
  </si>
  <si>
    <t>The man is then shown moving the grass again and when he's done he's once again indoors and this time getting three one dollar bills handed to him.</t>
  </si>
  <si>
    <t>He is once again back in the yard but this time he has the container filled with cut grass and a special effect makes it look like the cut grass is jumping into his container.</t>
  </si>
  <si>
    <t>A special effect shows the man quickly in one place and then in another spot that varies a lot all throughout the yard.</t>
  </si>
  <si>
    <t>The man goes back to mowing the yard and then back indoors to get one more dollar handed to him.</t>
  </si>
  <si>
    <t>The man is very happy about this and he's back in the yard celebrating by jumping and mowing the yard a little more.</t>
  </si>
  <si>
    <t>The man is then back indoors and a special effect shows a bunch of money flying into the air and straight into his hands and ends with a the man holding a bunch of money in his hands as they move.</t>
  </si>
  <si>
    <t>v_PzeM5iOLQnk</t>
  </si>
  <si>
    <t>We see a man talking in a bike ship.</t>
  </si>
  <si>
    <t>the man points at a bike.</t>
  </si>
  <si>
    <t>The man takes off the handlebars on a bike and adjusts them.</t>
  </si>
  <si>
    <t>The man puts the handlebars back on.</t>
  </si>
  <si>
    <t>The man moves to the front of the bike to adjust the handlebars.</t>
  </si>
  <si>
    <t>The man then finishes tightening the bolt on the handlebar.</t>
  </si>
  <si>
    <t>The man steps back when finished.</t>
  </si>
  <si>
    <t>v_ozgrP6Znupc</t>
  </si>
  <si>
    <t>Two men talk to the camera, interspersed with action footage of them playing lacrosse.</t>
  </si>
  <si>
    <t>The man dressed in orange talks to the camera.</t>
  </si>
  <si>
    <t>The man in orange demonstrates passing the lacrosse ball against the wall.</t>
  </si>
  <si>
    <t>The man in orange talks to the camera again.</t>
  </si>
  <si>
    <t>Both men demonstrate passing the lacrosse ball against the wall.</t>
  </si>
  <si>
    <t>The man in orange talks to the camera a third time while demonstrating with his lacrosse stick.</t>
  </si>
  <si>
    <t>The man is briefly interrupted by a scene of him passing the ball against the wall.</t>
  </si>
  <si>
    <t>The two man practice passing the ball to each other with the wall.</t>
  </si>
  <si>
    <t>The man in orange talks to the camera a final time.</t>
  </si>
  <si>
    <t>v_uklYBuQDwIw</t>
  </si>
  <si>
    <t>A woman is seen sitting down on a string while others watch around her.</t>
  </si>
  <si>
    <t>A man is shown speaking to the camera while others take their turns balance on the rope.</t>
  </si>
  <si>
    <t>More shots are shown of the people walking along one another.</t>
  </si>
  <si>
    <t>v_zFUUBWJ58UA</t>
  </si>
  <si>
    <t>A woman is seen walking up to a door and smiling to the camera while hanging up her coat.</t>
  </si>
  <si>
    <t>She puts an apron on and pours paint into a bucket while speaking to the camera.</t>
  </si>
  <si>
    <t>She is shown painting various furniture as well as showing it off in the end.</t>
  </si>
  <si>
    <t>v_mEEovBtzwHc</t>
  </si>
  <si>
    <t>A woman is seen sitting in a chair while speaking to the camera and leads into a close up of a tree and the woman putting ornaments on.</t>
  </si>
  <si>
    <t>The woman ties string all along the tree while the camera pans around and ends with her showing off the end result and speaking to the camera.</t>
  </si>
  <si>
    <t>v_nlXavqvgf6A</t>
  </si>
  <si>
    <t>A boy is sitting on a ramp with the flaps up on his dirt bike waiting to go on the course.</t>
  </si>
  <si>
    <t>The boy then comes back and begins moving the pedals on the bicycle and then stands up on the bike.</t>
  </si>
  <si>
    <t>Another angle is shown and the ramps are let down and the boy begins riding down the pavement.</t>
  </si>
  <si>
    <t>v_W4tmb8RwzQM</t>
  </si>
  <si>
    <t>A teen sits in a chair talking.</t>
  </si>
  <si>
    <t>The boy stands and we see him bouncing on a slackline in various locations.</t>
  </si>
  <si>
    <t>There is a second boy on a different line who walks away.</t>
  </si>
  <si>
    <t>The boy almost falls and steadys himself.</t>
  </si>
  <si>
    <t>The boy gets off and walks away.</t>
  </si>
  <si>
    <t>The boy walks to the camera and gestures with his hands.</t>
  </si>
  <si>
    <t>v_nnWJGghixr0</t>
  </si>
  <si>
    <t>A black intro screen appears with white words and letters saying "Eric Bristow's unique TV 'Robin Hood' Darts shot 1983 vs J Wilson".</t>
  </si>
  <si>
    <t>An older looking video begins and two different men are throwing darts at a dartboard.</t>
  </si>
  <si>
    <t>When the men are done throwing darts, a dartboard is show and blue letters scroll up from the bottom to the top.</t>
  </si>
  <si>
    <t>v_xPyj6pmYyEk</t>
  </si>
  <si>
    <t>An introduction comes onto the screen for a video about how to make linguine with clam sauce.</t>
  </si>
  <si>
    <t>Water is brought to a boil in a pot and the pasta is added to the pot.</t>
  </si>
  <si>
    <t>Parsley is finely chopped along with some garlic, and the clams are drained into a bowl to separate them from the juice.</t>
  </si>
  <si>
    <t>Olive oil goes into the pan with the garlic, red pepper, parsley, white wine, basil, salt, and clam juice to simmer, and the clams are added to the mixture at the end.</t>
  </si>
  <si>
    <t>The pasta is drained and added into the pan with the sauce.</t>
  </si>
  <si>
    <t>The pasta is then served with shredded cheese on top.</t>
  </si>
  <si>
    <t>v_gWyBBQtsDhc</t>
  </si>
  <si>
    <t>A woman with long hair is seen speaking to the camera while moving her arms around and smiling while she speaks.</t>
  </si>
  <si>
    <t>She then begins brushing her long hair out and smiling back at the camera and waving.</t>
  </si>
  <si>
    <t>v_-od9zDziq9U</t>
  </si>
  <si>
    <t>A girl walks up the the center of the stage and messes with her feet and gets in position.</t>
  </si>
  <si>
    <t>She pauses in that position before she begins to dance around.</t>
  </si>
  <si>
    <t>She does a split and some poses all around.</t>
  </si>
  <si>
    <t>She does some cart wheels and more dancing all around the court and finally she finishes.</t>
  </si>
  <si>
    <t>v_MkouTZhtvEI</t>
  </si>
  <si>
    <t>A large group of people are shown walking in holding bows and arrows and one making a shot.</t>
  </si>
  <si>
    <t>Several more people are shown making shots with their bows and arrows and celebrating in the end and standing on a podium waving.</t>
  </si>
  <si>
    <t>v_AIxxMCcmIgM</t>
  </si>
  <si>
    <t>We see a man water skiing.</t>
  </si>
  <si>
    <t>We see the water spraying on the left.</t>
  </si>
  <si>
    <t>The man jumps over to the right.</t>
  </si>
  <si>
    <t>The man is bending down on the surfboard.</t>
  </si>
  <si>
    <t>The man performs a flip.</t>
  </si>
  <si>
    <t>v_BfsCKU69hHs</t>
  </si>
  <si>
    <t>A pair of female hands uses an iron on a piece of baby clothing.</t>
  </si>
  <si>
    <t>The woman sets the iron aside and flips the clothing.</t>
  </si>
  <si>
    <t>The woman uses the iron on the other side of the clothing.</t>
  </si>
  <si>
    <t>The woman sets the iron aside.</t>
  </si>
  <si>
    <t>v_MY6o5ZObFLE</t>
  </si>
  <si>
    <t>A man is sipping a drink on the beach.</t>
  </si>
  <si>
    <t>A girl is applying squirts of suntan lotion onto their bodies.</t>
  </si>
  <si>
    <t>Then then go into the water, swimming and walking in the surf.</t>
  </si>
  <si>
    <t>v_AjiCJiOIDtI</t>
  </si>
  <si>
    <t>A man is seen speaking to the camera while holding up a foam rubber mat.</t>
  </si>
  <si>
    <t>The camera pans around more mats laying out while the man still speaks to the camera.</t>
  </si>
  <si>
    <t>v_vtYbJD2J8Tw</t>
  </si>
  <si>
    <t>A woman begins talking to the camera smiling and leads into her coming another woman's hair.</t>
  </si>
  <si>
    <t>She parts the hair into sections and places rollers into the woman's hair and talking to the camera.</t>
  </si>
  <si>
    <t>v_GJz8FEFB70w</t>
  </si>
  <si>
    <t>Two people lift a large weight over their heads.</t>
  </si>
  <si>
    <t>They drop the weight to the ground.</t>
  </si>
  <si>
    <t>The weights are shown on each side.</t>
  </si>
  <si>
    <t>v__4oBeoCuU7M</t>
  </si>
  <si>
    <t>Two cars are seen parked outside of a garage as a man focuses his camera.</t>
  </si>
  <si>
    <t>Once the camera is sin position,a man is shown with a steel mask on as he beats a piece on a concrete.</t>
  </si>
  <si>
    <t>The piece is on the concrete and he puts the bottom of the mask on and begins burning the metal.</t>
  </si>
  <si>
    <t>v_USOc5S2-3zA</t>
  </si>
  <si>
    <t>A woman in a belly dancer outfit is on stage.</t>
  </si>
  <si>
    <t>She walks down the lane while dancing and singing.</t>
  </si>
  <si>
    <t>She gyrates her hips and arms as she performs.</t>
  </si>
  <si>
    <t>v_bNh4SQ2nR80</t>
  </si>
  <si>
    <t>A video is shown for how to do a frizz free blowout.</t>
  </si>
  <si>
    <t>After washing and conditioning, product is applied and blow dried.</t>
  </si>
  <si>
    <t>Then the rest of the procedure is completed.</t>
  </si>
  <si>
    <t>v_8kGiDHAnTqY</t>
  </si>
  <si>
    <t>A man is helping a little girl go down a slide.</t>
  </si>
  <si>
    <t>She goes down the slide on her belly.</t>
  </si>
  <si>
    <t>She climbs up the side of the playground and goes down the slide again.</t>
  </si>
  <si>
    <t>v_BWCMfPoKlMM</t>
  </si>
  <si>
    <t>A large group of athletes are seen standing around a track while some holding their arms up to clap.</t>
  </si>
  <si>
    <t>One runner makes his way down the track and jumps into a large sand pit and walks away.</t>
  </si>
  <si>
    <t>v_NyL7m4JV8vQ</t>
  </si>
  <si>
    <t>A man in red runs jumps and flips over an obstacle.</t>
  </si>
  <si>
    <t>It is done over and over in slow motion.</t>
  </si>
  <si>
    <t>He then does it again for one last time.</t>
  </si>
  <si>
    <t>Then finally, they begin a race on a field a man wearing black crosses the finish line first.</t>
  </si>
  <si>
    <t>v_tr1sNwRTMd8</t>
  </si>
  <si>
    <t>A woman wearing number 177 is standing in place, she crosses her heart and get prepared to run.</t>
  </si>
  <si>
    <t>She breathes in deeply and starts to run really fast down the field.</t>
  </si>
  <si>
    <t>She jumps up high and lands right in the sand on to her butt, they show mulitple replays of her performance.</t>
  </si>
  <si>
    <t>She bends over and fixes her uniform, dusting off her bottom as she walks away.</t>
  </si>
  <si>
    <t>v_2UJ4wqJt_Y8</t>
  </si>
  <si>
    <t>People are roller blading about in front of a building.</t>
  </si>
  <si>
    <t>A man roller blades fast.</t>
  </si>
  <si>
    <t>The man lifts his hands up in the air and starts to stop his roller blades.</t>
  </si>
  <si>
    <t>v_ycBFz2RdgoY</t>
  </si>
  <si>
    <t>People windsurf on a large body of water.</t>
  </si>
  <si>
    <t>A park sign that reads "Welcome to Kanaha Beach Park" is shown.</t>
  </si>
  <si>
    <t>More windsurfers are shown racing across the water.</t>
  </si>
  <si>
    <t>v_VkRjs03YEjE</t>
  </si>
  <si>
    <t>The man in the corner kicks the ball straight into the net.</t>
  </si>
  <si>
    <t>The team runs around the court celebrating.</t>
  </si>
  <si>
    <t>A man in the stands climbs over the railing and runs onto the court celebrating.</t>
  </si>
  <si>
    <t>The group is in a bunch celebrating on the court.</t>
  </si>
  <si>
    <t>One of the players kicks the ball into the stands and walks off with his head down.</t>
  </si>
  <si>
    <t>A few players are standing in the corner looking like they are arguing.</t>
  </si>
  <si>
    <t>A bunch of players and spectators run the court toward the melee.</t>
  </si>
  <si>
    <t>Men are running along the edge of the court.</t>
  </si>
  <si>
    <t>The small group is still arguing and holding back fights.</t>
  </si>
  <si>
    <t>A small group is having an animated discussion.</t>
  </si>
  <si>
    <t>The two men walk back on to the court as the group starts talking again around the court floor and edge.</t>
  </si>
  <si>
    <t>v_2tpwfPdSEVo</t>
  </si>
  <si>
    <t>A woman talks as she is seated on the ground.</t>
  </si>
  <si>
    <t>She shows off a pair of clipping scissors.</t>
  </si>
  <si>
    <t>She then uses them to gently but quickly trim a cat's nails while another woman assists her.</t>
  </si>
  <si>
    <t>v_NI-TZyAxJU0</t>
  </si>
  <si>
    <t>People raft down a narrow river between two mountains.</t>
  </si>
  <si>
    <t>People rafting passing troubled waters in the narrow river.</t>
  </si>
  <si>
    <t>People sail down the rocky river in an open space.</t>
  </si>
  <si>
    <t>v_5V47VQHzWHc</t>
  </si>
  <si>
    <t>A man is seated at the front of a church and plays a song on an accordion.</t>
  </si>
  <si>
    <t>The man goes all the way down the scale than back up at the end of the song.</t>
  </si>
  <si>
    <t>The man finishes the song and smiles.</t>
  </si>
  <si>
    <t>v_QgzpNg0Ponc</t>
  </si>
  <si>
    <t>A man is seen riding on a skateboard down a hill on his head.</t>
  </si>
  <si>
    <t>More shots are shown of people performing tricks on skateboards around an area.</t>
  </si>
  <si>
    <t>The people continue to perform tricks and ride around while other people watch on the side.</t>
  </si>
  <si>
    <t>v_ot4CuJqrN-Y</t>
  </si>
  <si>
    <t>A group of band mates are outside at a park.</t>
  </si>
  <si>
    <t>They are wearing revolutionary war era outfits.</t>
  </si>
  <si>
    <t>They play the drums in unison to a beat.</t>
  </si>
  <si>
    <t>v_mLijl36SjJU</t>
  </si>
  <si>
    <t>A man is seen kneeling onto a floor holding a bit of carpet and speaking to the camera.</t>
  </si>
  <si>
    <t>He peels off the layers and begins rubbing down the carpet.</t>
  </si>
  <si>
    <t>He pours liquid onto the carpet and pats it down with a paper towel.</t>
  </si>
  <si>
    <t>Finally the person vacuums up the carpet and is seen standing next to the vacuum.</t>
  </si>
  <si>
    <t>v_QeH6IOAjy-4</t>
  </si>
  <si>
    <t>Three people are in the gym,one of the males is kneeling down and jerking a bar while the other is giving a massage to a woman.</t>
  </si>
  <si>
    <t>The male with the bar lifts the weights,drops it and then jumps in joy that he has lifted the weight,drops his belt and walks off.</t>
  </si>
  <si>
    <t>v_CXSoih6nFME</t>
  </si>
  <si>
    <t>A young child is seen adjusting the camera and showing off her face.</t>
  </si>
  <si>
    <t>She grabs some makeup and begins putting it all over her face.</t>
  </si>
  <si>
    <t>She continues putting on more makeup and showing it off to the camera.</t>
  </si>
  <si>
    <t>v_uVHuVnv5XAk</t>
  </si>
  <si>
    <t>A man sprints down a track.</t>
  </si>
  <si>
    <t>The man jumps at the end of the track.</t>
  </si>
  <si>
    <t>The man's jump is shown from different angles an in slow motion.</t>
  </si>
  <si>
    <t>v_v-dxQNxdMrU</t>
  </si>
  <si>
    <t>A camera pans around large city buildings and leads into people riding motocross bikes.</t>
  </si>
  <si>
    <t>More clips are seen of people performing tricks on the bike while hundreds watch on the sidelines.</t>
  </si>
  <si>
    <t>More people are seen riding around and waving their hands up in the end.</t>
  </si>
  <si>
    <t>v_Nosx28FNB5E</t>
  </si>
  <si>
    <t>People start to play a game of pool.</t>
  </si>
  <si>
    <t>A man talks to the camera and laughs.</t>
  </si>
  <si>
    <t>v_x8yuq2i72eo</t>
  </si>
  <si>
    <t>Four people are doing situps on the ground.</t>
  </si>
  <si>
    <t>The third person is paused.</t>
  </si>
  <si>
    <t>The farthest person is barely visible.</t>
  </si>
  <si>
    <t>v_9hPFweZeIWs</t>
  </si>
  <si>
    <t>People are standing around an arena wearing cowboy hats.</t>
  </si>
  <si>
    <t>They release a calf from a box.</t>
  </si>
  <si>
    <t>A man on a horse runs after the calf.</t>
  </si>
  <si>
    <t>He ties the legs of the calf and gets up and walks away.</t>
  </si>
  <si>
    <t>v_dZSjgAYlpS0</t>
  </si>
  <si>
    <t>A man is standing over a sink and with his right hand he's holding a drill that has a potato attached to the end of it, and the right hand is holding the hand peeler as the drill moves the potato and the peeler peels it.</t>
  </si>
  <si>
    <t>The man temporarily stops the drill to pull off a small piece of potato and a long piece of metal is shown sticking out of the drill.</t>
  </si>
  <si>
    <t>The man then puts another potato onto the pointy metal piece and continues to peel the potato.</t>
  </si>
  <si>
    <t>Once again he stops and then cleans off his peeler and then returns back to peeling the rest of the potato.</t>
  </si>
  <si>
    <t>The man stops the drill for the last time,lets it go and cleans the peeler once more with both hands as he throws the contents into the sink and.</t>
  </si>
  <si>
    <t>v_eBITMlyTZhY</t>
  </si>
  <si>
    <t>A lady gets up from her seat and we see the orchestra playing music.</t>
  </si>
  <si>
    <t>The woman does a belly dancing routine on the stage.</t>
  </si>
  <si>
    <t>We see a camera enter the scene on the right.</t>
  </si>
  <si>
    <t>We see the back of the head of a man.</t>
  </si>
  <si>
    <t>We then see the woman next to the man.</t>
  </si>
  <si>
    <t>The woman finishes her dance and picks up her wrap.</t>
  </si>
  <si>
    <t>We see a somber lady holding a microphone.</t>
  </si>
  <si>
    <t>v_J98U-PGh1bQ</t>
  </si>
  <si>
    <t>A man is mopping a dirty public bathroom floor.</t>
  </si>
  <si>
    <t>He pushes the mop back and forth, making the floor clean and shiny.</t>
  </si>
  <si>
    <t>v_xVQkf_TrX7U</t>
  </si>
  <si>
    <t>A big man dressed as batman is running around doing weird nonsensical stuff.</t>
  </si>
  <si>
    <t>He runs inside of the house and begins to start giving instructions on how to make the perfect batman sandwich.</t>
  </si>
  <si>
    <t>He is cutting up cheese and adding ham to the sandwich.</t>
  </si>
  <si>
    <t>He even cuts the bread into a batman shape before finally doing being done.</t>
  </si>
  <si>
    <t>v_4VVIFV6XmKo</t>
  </si>
  <si>
    <t>Two men are in a small gym boxing and fighting one another.</t>
  </si>
  <si>
    <t>They continue fighting and hitting one another as a person stands in the corner showing them.</t>
  </si>
  <si>
    <t>After some time,they finish fighting and stand still across from one another in the gym.</t>
  </si>
  <si>
    <t>v_pOyP_kDaskY</t>
  </si>
  <si>
    <t>A man in a suit reads off of a paper.</t>
  </si>
  <si>
    <t>A woman then begins to report a news story.</t>
  </si>
  <si>
    <t>A young boy plays the harmonica on the street.</t>
  </si>
  <si>
    <t>He stands on a dock telling his story.</t>
  </si>
  <si>
    <t>v_ZFi592_m_NQ</t>
  </si>
  <si>
    <t>A man is shown on camera doing several moves with his arms and legs while smiling into the camera.</t>
  </si>
  <si>
    <t>He performs several more moves slowly and continues to speak and smile to the camera.</t>
  </si>
  <si>
    <t>v_v_Vg4a8igc0</t>
  </si>
  <si>
    <t>A woman is bathing a white and brown puppy dog in a bathtub.</t>
  </si>
  <si>
    <t>the woman is using a hand held shower to wash the dog.</t>
  </si>
  <si>
    <t>The woman is holding the dog with its two front legs.</t>
  </si>
  <si>
    <t>She continues to wash the dog with the shower.</t>
  </si>
  <si>
    <t>v_7knqgoHxuGE</t>
  </si>
  <si>
    <t>Several people are at a party.</t>
  </si>
  <si>
    <t>They are drinking and playing beer pong.</t>
  </si>
  <si>
    <t>There are people dancing and looking at their phones.</t>
  </si>
  <si>
    <t>v_tES39s-LJsQ</t>
  </si>
  <si>
    <t>The name Seppe Smits appears on screen followed by "Snow Boarding 2400 Hours A Day".</t>
  </si>
  <si>
    <t>Video of Smits starting his day is intermixed with shots of him snowboarding.</t>
  </si>
  <si>
    <t>Social media hashtags on are shown on screen.</t>
  </si>
  <si>
    <t>v_c3lo99rni-o</t>
  </si>
  <si>
    <t>woman is standing in a kitchen talking to the camera holding a bag of pasta.</t>
  </si>
  <si>
    <t>woman grab some pasta and put them in boiled water.</t>
  </si>
  <si>
    <t>woman grab one spaghetti and eats it to see if is cooked and explain how to know it.</t>
  </si>
  <si>
    <t>throw the water in the sink and grate cheese in pasta and a little oegano and serve it in a white plate.</t>
  </si>
  <si>
    <t>v_IGamNJ5yIh4</t>
  </si>
  <si>
    <t>A group of men are on a sandy beach playing soccer while a lot of people are looking on.</t>
  </si>
  <si>
    <t>A man kicks the ball very hard, makes it in the goal and he throws his two arms up in the air and gives a team mate a high five and they all run back to get into place for the next play.</t>
  </si>
  <si>
    <t>The replay of the goal that was kicked is replayed but in slow motion.</t>
  </si>
  <si>
    <t>v_YJxqF6aSs7s</t>
  </si>
  <si>
    <t>A man is holding a camera as he stands talking beside a lake.</t>
  </si>
  <si>
    <t>He goes through tunnels, walks along bridges, and stands over cliffs.</t>
  </si>
  <si>
    <t>He drives down a road and records rafting on a white water river.</t>
  </si>
  <si>
    <t>People are shown diving into deep waters off of cliffs before rafting again.</t>
  </si>
  <si>
    <t>v_jhuRtkqUSSI</t>
  </si>
  <si>
    <t>A camera pans out on a man's back followed by a man performing a flipping dive into a pool.</t>
  </si>
  <si>
    <t>He is shown twice more performing impressing dives off the diving board and into the pool.</t>
  </si>
  <si>
    <t>v_OhydQlKoSUw</t>
  </si>
  <si>
    <t>A person is seen getting out of a car and walking around to the trunk to grab a surf board.</t>
  </si>
  <si>
    <t>The person is then seen wearing a suit and running down a boardwalk followed by him surfing.</t>
  </si>
  <si>
    <t>The man glides along the water in slow motion and is then seen speaking to the camera.</t>
  </si>
  <si>
    <t>v_iJzt1rvGiOc</t>
  </si>
  <si>
    <t>A blond woman is sitting on a bed in a hotel room videotaping her self in a mirror with a white phone and talking to the camera.</t>
  </si>
  <si>
    <t>the woman stands up and points the camera to the door into the bathroom where a man is washing his sneakers in the sink with a brush.</t>
  </si>
  <si>
    <t>The blond woman walks back into the room and shows all the various pairs of sneakers the man has laying all over the hotel room.</t>
  </si>
  <si>
    <t>The blond woman walks back into the bathroom and video tapes the man holding the white sneakers.</t>
  </si>
  <si>
    <t>The man is now outside putting polish and plastic tape on the sneakers and he is detailing them with a toothbrush.</t>
  </si>
  <si>
    <t>There are various pictures of the end product of clean sneakers.</t>
  </si>
  <si>
    <t>v_GPl7nFwqSgk</t>
  </si>
  <si>
    <t>A large group of people are seen standing in a circle playing drums with one person in the middle instructing them.</t>
  </si>
  <si>
    <t>The camera pans around the group playing drums while people them on the side.</t>
  </si>
  <si>
    <t>v_zcDA0s8eWU4</t>
  </si>
  <si>
    <t>A woman chops wood on a block with an ax.</t>
  </si>
  <si>
    <t>She has a hard time getting the ax out of the wood.</t>
  </si>
  <si>
    <t>Someone else comes and tries to get it out but they can't.</t>
  </si>
  <si>
    <t>The first girl comes back and continues trying to pull the ax out of the wood.</t>
  </si>
  <si>
    <t>v_64oq7grVNVs</t>
  </si>
  <si>
    <t>A young man clips the hair of several older men in an outdoor barber chair.</t>
  </si>
  <si>
    <t>The man cutting hair is inside a barber shop talking.</t>
  </si>
  <si>
    <t>Some still shots of the man cutting hair are shown.</t>
  </si>
  <si>
    <t>The man is seen again cutting a mans hair in the outdoor barber chair.</t>
  </si>
  <si>
    <t>v_ntKbTDQUhDA</t>
  </si>
  <si>
    <t>A man is pouring shots of alcohol into a blender.</t>
  </si>
  <si>
    <t>He blends the drink together.</t>
  </si>
  <si>
    <t>He puts orange slices on two glasses.</t>
  </si>
  <si>
    <t>He pours the drink from the blender into the glasses and adds straws.</t>
  </si>
  <si>
    <t>v_TexMXN2yegk</t>
  </si>
  <si>
    <t>A man is carving a pumpkin.</t>
  </si>
  <si>
    <t>A man in a batman costume is shown.</t>
  </si>
  <si>
    <t>The man continues carving the pumpkin.</t>
  </si>
  <si>
    <t>A dog is chewing on a blue ball.</t>
  </si>
  <si>
    <t>v_RaYMOYWhba8</t>
  </si>
  <si>
    <t>A group of young boys are seen passing soccer balls to each along a large sandy beach.</t>
  </si>
  <si>
    <t>They continue running back and fourth on the sand and passing the ball to one another.</t>
  </si>
  <si>
    <t>v_9AqHhUuE9bE</t>
  </si>
  <si>
    <t>A man is sitting along side a road polishing a shoe.</t>
  </si>
  <si>
    <t>Some other people are seated nearby, and many individuals walk past him.</t>
  </si>
  <si>
    <t>A motorcycle drives by on the road.</t>
  </si>
  <si>
    <t>The man puts the shoe down and picks up another one to polish.</t>
  </si>
  <si>
    <t>v_yIIDIQDKVhI</t>
  </si>
  <si>
    <t>A man in a red polo shirt demonstrates the Kleva Sharp sharpener.</t>
  </si>
  <si>
    <t>He sharpens a dull butcher knife and cuts a tomato.</t>
  </si>
  <si>
    <t>The man in the red polo shirt then sharpens a dull steak knife and cuts a tomato into slices and then he cuts a cucumber into slices.</t>
  </si>
  <si>
    <t>The man demonstrating the Kleva Sharpener, he sharpens a garden clipper and slices a carrot.</t>
  </si>
  <si>
    <t>The demonstrator then sharpens a serated bread knife and slices a loaf of bread.</t>
  </si>
  <si>
    <t>A series of demonstrations of different knives cutting different foods.</t>
  </si>
  <si>
    <t>The Kleva Sharpener is dismounted from the table and stored in a cabinet drawer.</t>
  </si>
  <si>
    <t>The Kleva Sharpener is mounted on the refrigerator on a wall and on the table.</t>
  </si>
  <si>
    <t>He demonstrates the locking mechanism.</t>
  </si>
  <si>
    <t>v_eGLD-0b1LV0</t>
  </si>
  <si>
    <t>A woman is speaking while standing next to an elliptical trainer.</t>
  </si>
  <si>
    <t>The mechanics of the elliptical machine are shown.</t>
  </si>
  <si>
    <t>We then see the woman on the machine, demonstrating how it works.</t>
  </si>
  <si>
    <t>v_2mI7NL54yP8</t>
  </si>
  <si>
    <t>A man is shown on a bike riding across the snow.</t>
  </si>
  <si>
    <t>Then another group of people are riding in a cart through the snow.</t>
  </si>
  <si>
    <t>Three skiers are pictured on top of a mountain of a snow and they begin skiing.</t>
  </si>
  <si>
    <t>A skier is then panned up and down holding a set of skiis as well as people on mountain bikes and they begin racing.</t>
  </si>
  <si>
    <t>v_KTk1Rh8Lgdw</t>
  </si>
  <si>
    <t>A woman puts rollers to a young lady, combing a portion of the hair and then coil on a roller.</t>
  </si>
  <si>
    <t>The young lady raise her left hand to pass a roller to the woman while taking.</t>
  </si>
  <si>
    <t>The young lady put a towel on front her face.</t>
  </si>
  <si>
    <t>v_cC3dwwPPHKE</t>
  </si>
  <si>
    <t>Several views are shown of a machine from different angles.</t>
  </si>
  <si>
    <t>A woman uses an attachment to suck the wrinkles out of a shirt.</t>
  </si>
  <si>
    <t>She then hangs a pair of pants, and irons it smooth, creating a crease.</t>
  </si>
  <si>
    <t>v_b993qWuMRBA</t>
  </si>
  <si>
    <t>We see a man in the upper corner and out over the hood of a car while driving.</t>
  </si>
  <si>
    <t>The car stops at an intersection.</t>
  </si>
  <si>
    <t>The car makes a u-turn.</t>
  </si>
  <si>
    <t>The man drives into a car wash and gets out.</t>
  </si>
  <si>
    <t>The man pressure washes ice off his car and continues rinsing his car.</t>
  </si>
  <si>
    <t>The man shows his wet car.</t>
  </si>
  <si>
    <t>v_Zl6o69-R2DE</t>
  </si>
  <si>
    <t>man is talking to the camera is a snowy day outside a house.</t>
  </si>
  <si>
    <t>man is holding a shovel and cleaning the path from the snow.</t>
  </si>
  <si>
    <t>little kid is wearing red snow clothes and is standing nxt to a car.</t>
  </si>
  <si>
    <t>the man stops and is again talking to the camera with the shovel on his hands.</t>
  </si>
  <si>
    <t>v_9KNOOoIK0zw</t>
  </si>
  <si>
    <t>A lady in a black tank top gives instruction on how to blow dry a girl's hair wearing a blue t-shirt.</t>
  </si>
  <si>
    <t>The hair stylist first places a liquid in her hand and rubs it into the models hair and then brushes clients hair.</t>
  </si>
  <si>
    <t>The lady in the black tank top uses the blow drier while combing the hair with a brush.</t>
  </si>
  <si>
    <t>Scenes of the finished product showing side views and back vies of the models hair.</t>
  </si>
  <si>
    <t>v_M9og58TMAm0</t>
  </si>
  <si>
    <t>A woman is seen moving up and down on an exercise bar while several shots are shown of her exercising.</t>
  </si>
  <si>
    <t>She's shown again holding weights and doing exercises while standing on the beam as well as laying.</t>
  </si>
  <si>
    <t>v_WUdefl_j2-8</t>
  </si>
  <si>
    <t>man is sitting on a seat of the car watching by the window.</t>
  </si>
  <si>
    <t>man is snowboarding on snowy slope making high jumps.</t>
  </si>
  <si>
    <t>men are in a dark room with pots.</t>
  </si>
  <si>
    <t>v_BVhUKjJrEw8</t>
  </si>
  <si>
    <t>Guys play polo sport on a dirt arena.</t>
  </si>
  <si>
    <t>v_-c71seS8bWk</t>
  </si>
  <si>
    <t>An intro leads into a fox news segment with two anchors speaking.</t>
  </si>
  <si>
    <t>A woman is then interviewed followed by several pictures of mushrooms and people speaking with one another.</t>
  </si>
  <si>
    <t>A doctor examines a man and interviews the camera followed by people using household products and interviewing the reporter.</t>
  </si>
  <si>
    <t>v_or7N8oeI-SY</t>
  </si>
  <si>
    <t>We see a lady sitting on the floor with a shoe, bucket of water, brush and soap.</t>
  </si>
  <si>
    <t>The lady shows us the items one at a time.</t>
  </si>
  <si>
    <t>We see an illustration of a thermometer.</t>
  </si>
  <si>
    <t>We see an illustration of a washer.</t>
  </si>
  <si>
    <t>The lady puts her shoe in the bucket and scrubs it with a the brush.</t>
  </si>
  <si>
    <t>She shows us the already cleaned shoe.</t>
  </si>
  <si>
    <t>We see a radiator illustration.</t>
  </si>
  <si>
    <t>The lady picks up the soap and we see an illustration of a shelf.</t>
  </si>
  <si>
    <t>The ending title screen plays.</t>
  </si>
  <si>
    <t>v_zjAZ7m8TQ3E</t>
  </si>
  <si>
    <t>A woman and her child are outside of a cabin sitting on a wooden table talking to one another.</t>
  </si>
  <si>
    <t>The camera then pans the cabin and a large mountain of snow is shown.</t>
  </si>
  <si>
    <t>After,the woman and her daughter are seen on a flat standing ski lift with large donut tubes following behind them.</t>
  </si>
  <si>
    <t>Once they are at the top,they get into the tubes and race to the bottom along with several other people who are also at the place.</t>
  </si>
  <si>
    <t>v_HGk9BqOuxCE</t>
  </si>
  <si>
    <t>A man is seen standing in front of a chalk board holding a musical instrument and transitioning to the chalk board every now and then.</t>
  </si>
  <si>
    <t>A person's hand is seen using an ipod followed by more shots of the person talking and writing on a paper.</t>
  </si>
  <si>
    <t>The man then plays the instrument as the camera captures him from several angles while pausing to speak.</t>
  </si>
  <si>
    <t>v_EjRE-fbECtg</t>
  </si>
  <si>
    <t>A man in white shirt and gray shorts is standing at the center of the court, while young people in black tops and black shorts are standing behind him.</t>
  </si>
  <si>
    <t>The young people where standing in a triangle form, the young man at the center start to perform by having his arms up then jump and do it again and some of the girls followed what he is doing.</t>
  </si>
  <si>
    <t>v_1o-Fx2dGfpc</t>
  </si>
  <si>
    <t>A woman is sitting down holding a violin.</t>
  </si>
  <si>
    <t>She lifts the violin up and starts playing it.</t>
  </si>
  <si>
    <t>She finishes and lowers the violin.</t>
  </si>
  <si>
    <t>v_H_Spgfds1iY</t>
  </si>
  <si>
    <t>A large group of people are seen walking into an office and interviewing a man on television.</t>
  </si>
  <si>
    <t>Many people are watching the interview and one man speaks to a woman angrily.</t>
  </si>
  <si>
    <t>The woman strikes the man and more people are seen walking around and talking.</t>
  </si>
  <si>
    <t>The people walk into a bar and begin playing pool and speaking.</t>
  </si>
  <si>
    <t>v_GYkKMTl-0Os</t>
  </si>
  <si>
    <t>A small group of women are seen standing around a kitchen with one stirring ingredients into a large pot.</t>
  </si>
  <si>
    <t>Another woman walks into frame when one woman pours more into the bowl and mixing it around.</t>
  </si>
  <si>
    <t>She hands a spoonful for a girl to try and another takes the bowl away from the table.</t>
  </si>
  <si>
    <t>v_kee3-2cw7-E</t>
  </si>
  <si>
    <t>A man is seen blindfolded while holding a stick and two others around him.</t>
  </si>
  <si>
    <t>The man then swings violently at the pinata as someone moves it higher and then drops the pinata right above his head.</t>
  </si>
  <si>
    <t>v__dLbtK8_SHo</t>
  </si>
  <si>
    <t>The video is about a tennis tutorial and drill by Edgar Giffenig.</t>
  </si>
  <si>
    <t>There are two lady tennis players on a clay court who are demonstrating how to throw the ball up high to the partner.</t>
  </si>
  <si>
    <t>The player is shuffling behind the net and turning the racquet upside down in between the shots.</t>
  </si>
  <si>
    <t>Then the players demonstrate another drill as they shuffle on the tennis court in between shots and returning the balls.</t>
  </si>
  <si>
    <t>The player bounces the ball back with the tip of the racquet handle.</t>
  </si>
  <si>
    <t>They continue playing while demonstrating the tennis drill.</t>
  </si>
  <si>
    <t>v_h1d-jcsWap8</t>
  </si>
  <si>
    <t>A person is seen peeling off potatoes into a box with pausing for a bit to speak to the camera.</t>
  </si>
  <si>
    <t>The person peels several potatoes and shows of a bowl full of potatoes while peeling even more.</t>
  </si>
  <si>
    <t>v_QCcueK6xiZ4</t>
  </si>
  <si>
    <t>A man is crouching on the ground, cleaning something.</t>
  </si>
  <si>
    <t>Several cars are parked in a parking lot.</t>
  </si>
  <si>
    <t>People are seeing washing the cars with soap and water.</t>
  </si>
  <si>
    <t>v_pV1b0Fs6qW8</t>
  </si>
  <si>
    <t>Three people are seen flying a kite in a field and text appears on the screen.</t>
  </si>
  <si>
    <t>A scary girl appears then leads into pictures of kids flying kites.</t>
  </si>
  <si>
    <t>v_ZBZUrC4M5E8</t>
  </si>
  <si>
    <t>A buff man steps into a circle and puts the shot put on this shoulder.</t>
  </si>
  <si>
    <t>The man then spins around and throws the ball into the field.</t>
  </si>
  <si>
    <t>Once completed,he puts on a large neon shirt.</t>
  </si>
  <si>
    <t>Another man approaches the cirle and does the samething as someone comes to the field and measure how far the ball went.</t>
  </si>
  <si>
    <t>The contestants then come back and begin talking to each other before their scores are shown.</t>
  </si>
  <si>
    <t>An aerial view is then provided,then the camera pans the crowd.</t>
  </si>
  <si>
    <t>v_MKLwNTbEK4E</t>
  </si>
  <si>
    <t>A close up of a poker table is shown followed by the camera panning around to other tables in the area as well as people playing.</t>
  </si>
  <si>
    <t>Several clips are shown of people sitting at tables gambling as well as laughing to the camera.</t>
  </si>
  <si>
    <t>More pictures are shown of people at the casino as well as video of them wandering around the area.</t>
  </si>
  <si>
    <t>v_bWYIL4KG8kM</t>
  </si>
  <si>
    <t>This girl is shown zooming in on people's teeth, eyes and other things on their face.</t>
  </si>
  <si>
    <t>Then she shows us the game of dodge ball is going.</t>
  </si>
  <si>
    <t>v_soGmSXFO7wI</t>
  </si>
  <si>
    <t>A man walks onto a field before a crowd, holding a heavy ball into the air.</t>
  </si>
  <si>
    <t>He spins, then throws the ball as far as he can.</t>
  </si>
  <si>
    <t>A woman and several others follow, doing the same.</t>
  </si>
  <si>
    <t>The winners celebrate, holding up flags and hugging joyfully.</t>
  </si>
  <si>
    <t>v_fgBFlwM466w</t>
  </si>
  <si>
    <t>A man is seen swimming in a pool holding various objects in his hands and showing how to put them on.</t>
  </si>
  <si>
    <t>He then swims down the pool with a breast stroke to the end and works his way back.</t>
  </si>
  <si>
    <t>v_Y-CZasxVlx4</t>
  </si>
  <si>
    <t>A girl holding a guitar talks to the camera.</t>
  </si>
  <si>
    <t>The girl plays the guitar as she sits on the sofa.</t>
  </si>
  <si>
    <t>The girl stops playing and talks to the camera again while demonstrating.</t>
  </si>
  <si>
    <t>v_AG6Rpvxxetg</t>
  </si>
  <si>
    <t>The video takes place in a gymnastics arena.</t>
  </si>
  <si>
    <t>A man is performing gymnastics on a beam while several others are watching.</t>
  </si>
  <si>
    <t>The man begins on the beam upside down.</t>
  </si>
  <si>
    <t>He then does several flips.</t>
  </si>
  <si>
    <t>The video ends as he performs a final flip and hops off the beam.</t>
  </si>
  <si>
    <t>v_VHUC47iq1Wg</t>
  </si>
  <si>
    <t>Several clips of cricketers are shown.</t>
  </si>
  <si>
    <t>In them a someone throws a ball at a player.</t>
  </si>
  <si>
    <t>Another player hits the ball with his bat.</t>
  </si>
  <si>
    <t>Another player then catches the ball.</t>
  </si>
  <si>
    <t>v__JE5T2RKZvo</t>
  </si>
  <si>
    <t>A woman is seen speaking to the camera and leads into her sanding down a board in several locations.</t>
  </si>
  <si>
    <t>She then sands more objects and shows off a large selection of tools she has.</t>
  </si>
  <si>
    <t>She hammers down the sides of the board and ends with her painting the board.</t>
  </si>
  <si>
    <t>v_EVSuDXeNUYQ</t>
  </si>
  <si>
    <t>The cheer leading team walked towards the stage, while in the audience, their teammates, who are wearing red and white uniforms are cheering.</t>
  </si>
  <si>
    <t>The team started their cheer dance, where women are stood up on the the men's hands, they did pinwheels, jumped in the air, held some banners in the air, jumped high in the air and fell on their teammate's arms.</t>
  </si>
  <si>
    <t>v_W80KSM1I47Q</t>
  </si>
  <si>
    <t>Video from the 1980's is shown.</t>
  </si>
  <si>
    <t>Celebrities play a game of tug of war outdoors.</t>
  </si>
  <si>
    <t>The team with Lou Ferrigno playing on it wins the contest.</t>
  </si>
  <si>
    <t>Ferrigno and other celebrities are interviewed.</t>
  </si>
  <si>
    <t>v_Q9Fw56ZvXq4</t>
  </si>
  <si>
    <t>A group of girls are outside underneath a tent.</t>
  </si>
  <si>
    <t>A girl wipes off a yellow plate with a towel.</t>
  </si>
  <si>
    <t>Three girls are washing dishes in large tubs.</t>
  </si>
  <si>
    <t>v_uwQDvcWzBy0</t>
  </si>
  <si>
    <t>A woman is seen speaking to the camera and leads into her putting several ingredients inside a mason jar.</t>
  </si>
  <si>
    <t>The woman uses tongs to layer items into the jar and then puts a lid on top.</t>
  </si>
  <si>
    <t>The woman puts a ribbon around the side as well as a label and smiles to the camera.</t>
  </si>
  <si>
    <t>v_UBDcmeET6ys</t>
  </si>
  <si>
    <t>Individuals are exercising on various equipment.</t>
  </si>
  <si>
    <t>A male and a female move back and forth.</t>
  </si>
  <si>
    <t>v_gf3JIm2C59g</t>
  </si>
  <si>
    <t>There's a middle aged couple demonstrating how to do ball room dancing.</t>
  </si>
  <si>
    <t>They are in a room with large mirrors on a wall and hardwood floors.</t>
  </si>
  <si>
    <t>They are showing how to move the foot back and forth in rhythm while twirling their hips.</t>
  </si>
  <si>
    <t>v_Atdxx_Pxnd4</t>
  </si>
  <si>
    <t>A cowboy runs out of a gate on a horse.</t>
  </si>
  <si>
    <t>He uses a lasso to rope a calf.</t>
  </si>
  <si>
    <t>He tries to tie up the calf, losing his rope.</t>
  </si>
  <si>
    <t>v_yhWw7oJrUFo</t>
  </si>
  <si>
    <t>A girl wearing a black blouse describes how to bake in a kitchen.</t>
  </si>
  <si>
    <t>The baker pours flour into a clear bowl using a measuring cup.</t>
  </si>
  <si>
    <t>The baker then scoops out four level tablespoons from a yellow container of cornstarch and ads it to the bowl of flour.</t>
  </si>
  <si>
    <t>The baker pours the flour and cornstarch mixture into a sifter and begins sifting the ingredients three times.</t>
  </si>
  <si>
    <t>v_nbgE4MAR0pc</t>
  </si>
  <si>
    <t>A person is seen running down a long track while holding a pole.</t>
  </si>
  <si>
    <t>The person pole volts over the beam onto a mat and is shown again in slow motion.</t>
  </si>
  <si>
    <t>v_1Y1pKGFm-pQ</t>
  </si>
  <si>
    <t>A young man puts lipstick on his lips.</t>
  </si>
  <si>
    <t>Two reporters talk in a TV set with audience.</t>
  </si>
  <si>
    <t>Then, the young man brush his face, then people in the audience talk.</t>
  </si>
  <si>
    <t>After, the young men shows his face with make up.</t>
  </si>
  <si>
    <t>v_Xi68dag0iGo</t>
  </si>
  <si>
    <t>A man dressed in army fatigues is playing bagpipes while other people watch.</t>
  </si>
  <si>
    <t>A woman is shown in the background dancing around as he plays.</t>
  </si>
  <si>
    <t>When he is finished claim he laughs and jokes with the other people.</t>
  </si>
  <si>
    <t>v_W4LIBSfe6bc</t>
  </si>
  <si>
    <t>A man does a tattoo on the waist area of a woman using a needle.</t>
  </si>
  <si>
    <t>The man cleans the area of the tattoo with a tissue.</t>
  </si>
  <si>
    <t>The man continues doing the tattoo and cleaning.</t>
  </si>
  <si>
    <t>v_ZuuY0xffLYE</t>
  </si>
  <si>
    <t>The image and label of the presenter or stylist is shown.</t>
  </si>
  <si>
    <t>The presenter styles a female client's hair.</t>
  </si>
  <si>
    <t>The presenter speaks directly into the camera.</t>
  </si>
  <si>
    <t>The client spins slowly on a chair to present her hair.</t>
  </si>
  <si>
    <t>The stylist wets the client's hair.</t>
  </si>
  <si>
    <t>The stylist parts the clients hair.</t>
  </si>
  <si>
    <t>The stylist uses a brush and a blow dryer to add volume, texture and curl to the client's hair.</t>
  </si>
  <si>
    <t>The stylist sprays the clients hair.</t>
  </si>
  <si>
    <t>The stylist uses his hand to position the bangs.</t>
  </si>
  <si>
    <t>The stylist use his hand to add a gel product to the client hair.</t>
  </si>
  <si>
    <t>The client spins slowly on the chair to show of her hair style.</t>
  </si>
  <si>
    <t>The stylist name and credits are shown.</t>
  </si>
  <si>
    <t>v_yJezvcXU4YE</t>
  </si>
  <si>
    <t>A man in a black vest is standing in a room.</t>
  </si>
  <si>
    <t>He throws darts at a dart board on the wall.</t>
  </si>
  <si>
    <t>A woman stands next to him watching.</t>
  </si>
  <si>
    <t>A man walks up and pulls the dart out of the board.</t>
  </si>
  <si>
    <t>v_tl2hDYGBfqU</t>
  </si>
  <si>
    <t>A "Finale Coppa Italia" beach soccer title screen appears featuring Sambenedettese and Catania.</t>
  </si>
  <si>
    <t>Men play professional soccer on a beach near the water.</t>
  </si>
  <si>
    <t>Players on the field celebrate a victory and pose for a photo.</t>
  </si>
  <si>
    <t>v_1RYEOaCeV4k</t>
  </si>
  <si>
    <t>A lawn mower is shown on the ground.</t>
  </si>
  <si>
    <t>A man starts the lawn mower and begins mowing the lawn.</t>
  </si>
  <si>
    <t>They finish mowing the lawn and the lawn is shown.</t>
  </si>
  <si>
    <t>v_c1Gby2EHBzs</t>
  </si>
  <si>
    <t>A man is seen holding a stick in his hands and speaking to the camera.</t>
  </si>
  <si>
    <t>The man attempts several times to hit the ball followed by him picking it up and hitting it off into the distance.</t>
  </si>
  <si>
    <t>v_G5gvb71BB5I</t>
  </si>
  <si>
    <t>A group of males are standing in a room getting dressed.</t>
  </si>
  <si>
    <t>All of a sudden,plenty of women and beach activities including swimming,volleyball and drinking are shown.</t>
  </si>
  <si>
    <t>Next,the man reappears but he is joined by teammates playing a game of beach soccer in a stadium surrounded by people.</t>
  </si>
  <si>
    <t>One team wins and they are shown bringing home their trophy and cheering and then it goes back to showing the rest of the team competing.</t>
  </si>
  <si>
    <t>v_jml_hnhjltg</t>
  </si>
  <si>
    <t>A woman is seen carrying a snow blower and pushing it along a path.</t>
  </si>
  <si>
    <t>The woman continues pushing the snow blowing along the snow with the camera following her movements.</t>
  </si>
  <si>
    <t>She moves back and fourth while stopping to speak to the camera and continue moving.</t>
  </si>
  <si>
    <t>v_Bhz-WgJH8R0</t>
  </si>
  <si>
    <t>A group of skiers are riding down a hill.</t>
  </si>
  <si>
    <t>They split their line and create multiple lines.</t>
  </si>
  <si>
    <t>They split again to make 4 different lines.</t>
  </si>
  <si>
    <t>The all being and finish at the same time.</t>
  </si>
  <si>
    <t>v_DqHWMWY-r1o</t>
  </si>
  <si>
    <t>A person throw a heavy in an stadium full of people, then people measure where the ball landed.</t>
  </si>
  <si>
    <t>Then, the man walks while reporters and cameramen follow him on the field.</t>
  </si>
  <si>
    <t>After, the man puts on a long sleeve shirt while a cameraman film him.</t>
  </si>
  <si>
    <t>v_qHu0fz_anTQ</t>
  </si>
  <si>
    <t>A woman is standing at a table with a pile of scissors and supplies.</t>
  </si>
  <si>
    <t>She demonstrates how to cut cellophane and wrap it around a gift.</t>
  </si>
  <si>
    <t>She ties a string around the gift, showing off the final product.</t>
  </si>
  <si>
    <t>v_makIgB4X3q8</t>
  </si>
  <si>
    <t>A girl in a ponytail is speaking.</t>
  </si>
  <si>
    <t>The girl with her hair down is speaking in a bathroom and places her hand on the sink.</t>
  </si>
  <si>
    <t>The girl turns on the faucet to wet her toothbrush.</t>
  </si>
  <si>
    <t>The girl turns off the faucet, unscrews the toothpaste, and puts some toothpaste on her toothbrush.</t>
  </si>
  <si>
    <t>The girl brushes her teeth and spit in the sink.</t>
  </si>
  <si>
    <t>The girl rinse her toothbrush and places on the side of the sink.</t>
  </si>
  <si>
    <t>The credits of the video are shown on images of the video.</t>
  </si>
  <si>
    <t>v_I5QbY8vlR54</t>
  </si>
  <si>
    <t>People are surfing behind the giant wave.</t>
  </si>
  <si>
    <t>The surfer maintains his balance as he surfs and goes beneath a second wave.</t>
  </si>
  <si>
    <t>v_FNB1BMEtIvw</t>
  </si>
  <si>
    <t>We see the opening screen and we see landscapes and a sword.</t>
  </si>
  <si>
    <t>We see a lady talking, then a man.</t>
  </si>
  <si>
    <t>We see lots of people snowboarding.</t>
  </si>
  <si>
    <t>Two people shake hands on the landing.</t>
  </si>
  <si>
    <t>A man in a black room is interviewed then we see a man outside talking.</t>
  </si>
  <si>
    <t>People high five and we see a lady talking.</t>
  </si>
  <si>
    <t>A lady throws her arms in the air, people being sprayed, and a man with a sword.</t>
  </si>
  <si>
    <t>v_M7MDkkGdkas</t>
  </si>
  <si>
    <t>A woman is talking to a camera inside a kitchen.</t>
  </si>
  <si>
    <t>She turns on water, showing how to properly soap her hands.</t>
  </si>
  <si>
    <t>She then rinses and dries them.</t>
  </si>
  <si>
    <t>v_reEjJfSUGa8</t>
  </si>
  <si>
    <t>The biker is cycling and jumping over the big ramps.</t>
  </si>
  <si>
    <t>The biker jumps in the ramp with his bike in front up.</t>
  </si>
  <si>
    <t>Four bikers raced and jumped over the ramps, the biker in white is leading in the race.</t>
  </si>
  <si>
    <t>v_wvewX55VADs</t>
  </si>
  <si>
    <t>A man and a woman are standing in front of the camera and a woman shows how to properly perform the tango.</t>
  </si>
  <si>
    <t>She moves her feet in arms in a particular motion while the man does the same from a different angle.</t>
  </si>
  <si>
    <t>The man and woman finally piece together their instructions and perform the tango moves together.</t>
  </si>
  <si>
    <t>v_Lt6waJFJWI0</t>
  </si>
  <si>
    <t>The players are holding a flat bat and running towards the balls.</t>
  </si>
  <si>
    <t>The players bounced the balls on the bat, some of them picked up the balls from the ground using the bat.</t>
  </si>
  <si>
    <t>The girl in blue jacket bounced the ball on her bat and she walked forward, but the ball fall on the ground.</t>
  </si>
  <si>
    <t>A girl in the black vest is picking up the ball from the ground using her bat.</t>
  </si>
  <si>
    <t>Two girls walked normally without chasing the balls.</t>
  </si>
  <si>
    <t>A girl on the field is trying to pick up the ball.</t>
  </si>
  <si>
    <t>The players are lined up and ready to pick up the balls from the ground using their bats.</t>
  </si>
  <si>
    <t>The players started to bounce their balls on their bat while running forward, some of the balls fell down on the ground and the players have to pick them up using the bat.</t>
  </si>
  <si>
    <t>v_8CAvjawFn3w</t>
  </si>
  <si>
    <t>A man is on a galloping horse back riding for sport.</t>
  </si>
  <si>
    <t>Horse back riding is considered to be a sport, a fun one but still work.</t>
  </si>
  <si>
    <t>Like working with a team you have to work with a horse also, you have to communicate with a horse that doesn't speak.</t>
  </si>
  <si>
    <t>Make it know when you need to go faster, when it needs to jump and such.</t>
  </si>
  <si>
    <t>v_esZMkzlZiuY</t>
  </si>
  <si>
    <t>A small group of people are seen pushing a ball along the water and scoring into the goal.</t>
  </si>
  <si>
    <t>The people continue playing with the ball and swimming along the water.</t>
  </si>
  <si>
    <t>The ball is passed another to score a goal and then the game continues on.</t>
  </si>
  <si>
    <t>v_DOONG5zq1Yg</t>
  </si>
  <si>
    <t>A woman is seen kneeling down on a yoga mat while bending forward.</t>
  </si>
  <si>
    <t>The woman then moves her leg out in front of her and bends down further creating a stretch.</t>
  </si>
  <si>
    <t>v_pspJX3Lyys0</t>
  </si>
  <si>
    <t>An athlete is seen spinning around and throwing a discuss while men on the field run to track his score.</t>
  </si>
  <si>
    <t>The athlete walks away and another steps up and throws the discuss.</t>
  </si>
  <si>
    <t>Several more people step up to throw the object and ends with one athlete winning and walking away.</t>
  </si>
  <si>
    <t>v_A_Rh4tMM2xY</t>
  </si>
  <si>
    <t>There are two kids on the swing set while two old ladies standing beside them swinging them.</t>
  </si>
  <si>
    <t>The old lady in pink top went away, while the other old woman in purple continues to swing the boy.</t>
  </si>
  <si>
    <t>The old lady in pink shirt went back with a piece of paper to fan some air on her, while a little kid is walking towards the front of the bench.</t>
  </si>
  <si>
    <t>The old lady in purple continues to swing the boy, while the old lady in pink top stood and rest her back on the red bar of the swing.</t>
  </si>
  <si>
    <t>The lady in pink top came in front of the other boy with white shirt, and talked to him, started to push him on the swing, give him a kiss and continue to swing him from the side of the swing.</t>
  </si>
  <si>
    <t>The littler girl near the bench sat to pick up something from the blue ground.</t>
  </si>
  <si>
    <t>v_cjS2B52jBbU</t>
  </si>
  <si>
    <t>A man wearing glasses is on a stage.</t>
  </si>
  <si>
    <t>He throws darts at a board, trying to hit the target while the crowd claps.</t>
  </si>
  <si>
    <t>Another competitor appears, doing the same.</t>
  </si>
  <si>
    <t>The winner walks onto the stage as camera flash, celebrating.</t>
  </si>
  <si>
    <t>v_2wC0d2XUses</t>
  </si>
  <si>
    <t>Two kids are seen playing a game of shuffleboard on the side of a boat while the camera watches.</t>
  </si>
  <si>
    <t>The kids continue taking turns while running up and down the path on the boat.</t>
  </si>
  <si>
    <t>v_GkPmeXaNY0s</t>
  </si>
  <si>
    <t>A doctor is speaking while a nurse sits next to him in a medical office.</t>
  </si>
  <si>
    <t>He holds up a bottle of cleanser, and uses a rag to wipe it onto the woman's face, before wiping it clean again.</t>
  </si>
  <si>
    <t>It is also rubbed into her hands.</t>
  </si>
  <si>
    <t>v_9DIDpTlfBWs</t>
  </si>
  <si>
    <t>A chef is standing in front of a table and begins turning on a stove with a pan on it.</t>
  </si>
  <si>
    <t>The man then mixes various ingredients together and finally putting the ingredients on the stove top.</t>
  </si>
  <si>
    <t>He finishes the plate by making an omelette and serves it on a plate and cuts it up.</t>
  </si>
  <si>
    <t>v_InwY966XXBY</t>
  </si>
  <si>
    <t>people are in a camp with a lot of camels sitting on the floor.</t>
  </si>
  <si>
    <t>a men is riding a camel and starts walking in the dessert passing by the piramids while a man is leading them with a rope.</t>
  </si>
  <si>
    <t>the camels stops and a man is taking a picture.</t>
  </si>
  <si>
    <t>men are riding camels in the dessert.</t>
  </si>
  <si>
    <t>v_zJNYqTVWqyY</t>
  </si>
  <si>
    <t>We see a small dog in a bathtub with the title over the top.</t>
  </si>
  <si>
    <t>A person wets the dog and puts shampoo on it.</t>
  </si>
  <si>
    <t>The person washes the dog with their hands.</t>
  </si>
  <si>
    <t>They stand the dog up and wash him.</t>
  </si>
  <si>
    <t>They rinse the soap off the dog.</t>
  </si>
  <si>
    <t>We see the wet little dog from above.</t>
  </si>
  <si>
    <t>v_pi2AaadXnnI</t>
  </si>
  <si>
    <t>A woman is cleaning clothes on a table.</t>
  </si>
  <si>
    <t>She pours a bucket of water onto the clothing.</t>
  </si>
  <si>
    <t>She picks up a brush and scrubs the clothing.</t>
  </si>
  <si>
    <t>She pours more water onto the clothing.</t>
  </si>
  <si>
    <t>She picks up the clothing and sets it next to her.</t>
  </si>
  <si>
    <t>v_MinmayCk2Nk</t>
  </si>
  <si>
    <t>We see a male gymnast prepare to use the pommel horse.</t>
  </si>
  <si>
    <t>The man mounts the pommel horse and spins his legs around it.</t>
  </si>
  <si>
    <t>The man takes a bow and starts walking away.</t>
  </si>
  <si>
    <t>v_P06Slwn3JG0</t>
  </si>
  <si>
    <t>A girl stands in a yard holding a rake.</t>
  </si>
  <si>
    <t>The girl rakes the leaves in a pile.</t>
  </si>
  <si>
    <t>the girl walks to a trampoline and gets a different rake and rakes the leaves in a circle.</t>
  </si>
  <si>
    <t>the girl put the rake back on the trampoline and talks to the camera.</t>
  </si>
  <si>
    <t>the girl jumps in, rolls around and throws the leaves around before standing and talking to the camera.</t>
  </si>
  <si>
    <t>v_JB3h1trZ1cE</t>
  </si>
  <si>
    <t>A man in a suit is talking into a microphone.</t>
  </si>
  <si>
    <t>People are water skiing in the water.</t>
  </si>
  <si>
    <t>A man falls down and is dragged by the boat through the water.</t>
  </si>
  <si>
    <t>A man turns around while water skiing and holds the rope with his foot.</t>
  </si>
  <si>
    <t>He crashes and falls into the water.</t>
  </si>
  <si>
    <t>v_xootaiXcXZw</t>
  </si>
  <si>
    <t>Two men are doing Capoeira surrounded by a circle of people.</t>
  </si>
  <si>
    <t>The men take a break and being to perform for the people again.</t>
  </si>
  <si>
    <t>They shake hands and leave the circle allowing two other men to enter the circle.</t>
  </si>
  <si>
    <t>A man in blue and a man in grey greet each other in the middle of the circle.</t>
  </si>
  <si>
    <t>The other two men begin to perform Capoeira for the crowd.</t>
  </si>
  <si>
    <t>v_xwu60huH3ds</t>
  </si>
  <si>
    <t>We see people grooming various dogs.</t>
  </si>
  <si>
    <t>We see a man fluff the fur on a large dog.</t>
  </si>
  <si>
    <t>We see a man blow dry a dog.</t>
  </si>
  <si>
    <t>We see a large black dog being blow dried.</t>
  </si>
  <si>
    <t>A man combs a dogs hair straight up.</t>
  </si>
  <si>
    <t>We see two dark ending screens.</t>
  </si>
  <si>
    <t>v_2WKy0FvMtCM</t>
  </si>
  <si>
    <t>`A cookie is shown on a plate.</t>
  </si>
  <si>
    <t>Ingredients are being added to a glass bowl and being mixed together.</t>
  </si>
  <si>
    <t>Chocolate chips are added to the dough.</t>
  </si>
  <si>
    <t>The dough is flattened out onto a cookie sheet.</t>
  </si>
  <si>
    <t>Chocolate is drizzled over the top.</t>
  </si>
  <si>
    <t>Candies are placed on top of the cookie.</t>
  </si>
  <si>
    <t>The cookie is cut and placed on a plate.</t>
  </si>
  <si>
    <t>A fork is shown eating the cookie.</t>
  </si>
  <si>
    <t>v_wZZUcxhISyE</t>
  </si>
  <si>
    <t>A woman is sitting in a booth.</t>
  </si>
  <si>
    <t>Her little girl shoves a vanilla ice cream cone in her face and laughs.</t>
  </si>
  <si>
    <t>The girl continues doing it, and the woman has to wipes her mouth and nose several times.</t>
  </si>
  <si>
    <t>v_5rlLaok_U5M</t>
  </si>
  <si>
    <t>The player serves the birdie to start the match.</t>
  </si>
  <si>
    <t>Two teams compete in a badminton game in gymnasium.</t>
  </si>
  <si>
    <t>The teams have a long volley during the game.</t>
  </si>
  <si>
    <t>The player spikes the birdie down hard and scores a point.</t>
  </si>
  <si>
    <t>v_Z-UR8n33TWc</t>
  </si>
  <si>
    <t>A sumo warrior is shown holding a pager.</t>
  </si>
  <si>
    <t>A larger sumo warrior is shown holding another pager.</t>
  </si>
  <si>
    <t>The sumo warriors face off and the larger one sits on and makes the smaller one disappear.</t>
  </si>
  <si>
    <t>v_c7SweMMGQE8</t>
  </si>
  <si>
    <t>A camera pans around a picture of a horse followed by a person brushing and vacuuming hair off of a horse.</t>
  </si>
  <si>
    <t>The person continues brushing and vacuuming the hair and ending with the picture of the two together.</t>
  </si>
  <si>
    <t>v_vJkL_4niC4w</t>
  </si>
  <si>
    <t>a man and a woman are sitting in front of a piano playing it together.</t>
  </si>
  <si>
    <t>people are gathered around the piano watching the people sitting on the piano.</t>
  </si>
  <si>
    <t>people on the piano stands and change the position in fornt of the piano.</t>
  </si>
  <si>
    <t>v_6GIWY4-491k</t>
  </si>
  <si>
    <t>A man dressed in winter gear is sitting out in winter on a frozen lake.</t>
  </si>
  <si>
    <t>He is sitting there with fishing equipment fishing on the frozen lake.</t>
  </si>
  <si>
    <t>He uses a bait to fish and catches a mid size gray fish.</t>
  </si>
  <si>
    <t>He shows the two fish that he has caught.</t>
  </si>
  <si>
    <t>Then he puts his fishing net in a hole in the lake and continues fishing.</t>
  </si>
  <si>
    <t>He catches another dark gray fish and tosses it in his box.</t>
  </si>
  <si>
    <t>He continues fishing and catches more fish in that same hole.</t>
  </si>
  <si>
    <t>He collects the fish in a white bucket.</t>
  </si>
  <si>
    <t>v_BH9zsAu6OMQ</t>
  </si>
  <si>
    <t>A woman stands on a track.</t>
  </si>
  <si>
    <t>She bends over on the track.</t>
  </si>
  <si>
    <t>She then runs down the track.</t>
  </si>
  <si>
    <t>She jumps and lands in the sand.</t>
  </si>
  <si>
    <t>v_3oS_28utt2Y</t>
  </si>
  <si>
    <t>A man is sitting on a wave runner in the water.</t>
  </si>
  <si>
    <t>A person is surfing on a large wave in the water.</t>
  </si>
  <si>
    <t>The wave crashes over the surfer.</t>
  </si>
  <si>
    <t>v_HYYQ56oZSDM</t>
  </si>
  <si>
    <t>A woman and man dancing provocatively outside of a restaurant.</t>
  </si>
  <si>
    <t>She is wearing a very sexy short dress and kicking her legs up and down in heels.</t>
  </si>
  <si>
    <t>People are walking out od the restaurant.</t>
  </si>
  <si>
    <t>One of the workers is sitting on a stool smoking until they end their dance on the ground.</t>
  </si>
  <si>
    <t>v_5N-PfYLyCpI</t>
  </si>
  <si>
    <t>Several people are hitting an instrument with sticks.</t>
  </si>
  <si>
    <t>Two men do flips in front of each other.</t>
  </si>
  <si>
    <t>Several more groups of people appear to be doing some kind of martial arts dance.</t>
  </si>
  <si>
    <t>They are surronded by clapping onlookers.</t>
  </si>
  <si>
    <t>v_ZbfYwmb39H0</t>
  </si>
  <si>
    <t>A man is seen standing in front of a goal holding a stick and speaking to the camera.</t>
  </si>
  <si>
    <t>Several shots of him speaking are shown and he demonstrates how to properly be a goalie.</t>
  </si>
  <si>
    <t>He moves back and fourth a bit while moving the stick while still holding his arms up and speaking to the camera.</t>
  </si>
  <si>
    <t>v_oKdzcTnENks</t>
  </si>
  <si>
    <t>A little boy is playing hop scotch on the pavement.</t>
  </si>
  <si>
    <t>There is a truck behind him.</t>
  </si>
  <si>
    <t>He doesn't really play it right.</t>
  </si>
  <si>
    <t>He jumps on all of the numbers.</t>
  </si>
  <si>
    <t>He kind of runs through the game.</t>
  </si>
  <si>
    <t>v_opxLlaEPxqw</t>
  </si>
  <si>
    <t>An athlete is seen standing ready holding a javelin and throwing it off into the distance.</t>
  </si>
  <si>
    <t>Several more people are seen throwing a javelin with their throw being shown again afterwards.</t>
  </si>
  <si>
    <t>The camera pans around the woman in the end and shows off their score.</t>
  </si>
  <si>
    <t>v_VTbMcI6nw54</t>
  </si>
  <si>
    <t>A man talks about coaching gymnastics.</t>
  </si>
  <si>
    <t>A girl starts to do a routine on the uneven bars.</t>
  </si>
  <si>
    <t>v_Hs1fGDcU6Js</t>
  </si>
  <si>
    <t>A man is seen kneeling on the floor and speaking to the camera.</t>
  </si>
  <si>
    <t>The man then flips over and begins doing leg exercises.</t>
  </si>
  <si>
    <t>His moves his body all around demonstrating proper exercises while still looking over and speaking to the camera.</t>
  </si>
  <si>
    <t>v_xBGgX2PqAo8</t>
  </si>
  <si>
    <t>A man sets up a camera in a bar.</t>
  </si>
  <si>
    <t>The man then talks to the camera.</t>
  </si>
  <si>
    <t>The man shoots pool alone.</t>
  </si>
  <si>
    <t>The bearded man walks past the table.</t>
  </si>
  <si>
    <t>The man finishes and talks to the camera before turning it off.</t>
  </si>
  <si>
    <t>v_pvFviIF1VGc</t>
  </si>
  <si>
    <t>A person pours water to a cup.</t>
  </si>
  <si>
    <t>A woman talks in a bar showing liquor bottles.</t>
  </si>
  <si>
    <t>Then, the woman put ice in a glass, then she adds liquors from three bottles.</t>
  </si>
  <si>
    <t>After, the woman add soda and put a straw.</t>
  </si>
  <si>
    <t>v_OzAqwPQ-APY</t>
  </si>
  <si>
    <t>A diver is in the ocean in the keys of florida, he has a a pumpkin in his hand.</t>
  </si>
  <si>
    <t>He goes down with another diver and they begin carving the pumpkins underneath the water.</t>
  </si>
  <si>
    <t>They are craving about five or six of them making different faces.</t>
  </si>
  <si>
    <t>Then they line them up and put some light inside or something as fish swim around them casually.</t>
  </si>
  <si>
    <t>v_tjDOXnDswdA</t>
  </si>
  <si>
    <t>A person's hands are seen holding a rube and spinning it around.</t>
  </si>
  <si>
    <t>The person turns the cube all over it's sides while attempting to solve the puzzle.</t>
  </si>
  <si>
    <t>The man connects all the sides and shows it to the camera.</t>
  </si>
  <si>
    <t>v_pHq6Eb280uM</t>
  </si>
  <si>
    <t>A close up of a fooseball table is seen followed by people holding onto the sides.</t>
  </si>
  <si>
    <t>The people play the game back and fourth while the camera captures their movements.</t>
  </si>
  <si>
    <t>The men continue playing on the table and the video fades to white.</t>
  </si>
  <si>
    <t>v_l9XzNcLiMKc</t>
  </si>
  <si>
    <t>A man and a woman are standing at the counter of a kitchen.</t>
  </si>
  <si>
    <t>They pour ingredients into a large bowl and mix it together.</t>
  </si>
  <si>
    <t>They pour the mixture into two round pans.</t>
  </si>
  <si>
    <t>They then take the cakes and stack them together with frosting in between.</t>
  </si>
  <si>
    <t>They eat the cake at the end.</t>
  </si>
  <si>
    <t>v_JZ9mgVXPD-I</t>
  </si>
  <si>
    <t>A young man plays drums on a stage with lights dancing in the background.</t>
  </si>
  <si>
    <t>He finishes and stands up playing air drums.</t>
  </si>
  <si>
    <t>v_lSbbzsOjwno</t>
  </si>
  <si>
    <t>A young girl is seen scrubbing a small dog down with soap next to a tub full of water.</t>
  </si>
  <si>
    <t>She pours more soap onto the dog and drags him over and leads into pictures of the dog all cleaned.</t>
  </si>
  <si>
    <t>v_Vh8RINfopdk</t>
  </si>
  <si>
    <t>A person applies paint designs to a red fingernail on a plastic hand with a flexible black limb labeled "nail trainer".</t>
  </si>
  <si>
    <t>A brown plastic hand with a black plastic arm appears with white fingernail tips and red fingernails.</t>
  </si>
  <si>
    <t>A person's real hand appears and begins to apply white designs on one of the red fingernails on the plastic hand.</t>
  </si>
  <si>
    <t>The scene then fades to a closeup of one finished red fingernail with a complete white design from the plastic hand.</t>
  </si>
  <si>
    <t>v_vu65aIIJHtU</t>
  </si>
  <si>
    <t>Cars are driving on a road.</t>
  </si>
  <si>
    <t>People get back into their car and put the snowboard on top of the car.</t>
  </si>
  <si>
    <t>v_XuSWH1lfcvI</t>
  </si>
  <si>
    <t>A man is seen standing before a set of uneven bars with his arms up.</t>
  </si>
  <si>
    <t>He then jumps up on the beam and swings himself around.</t>
  </si>
  <si>
    <t>The man continues to swing around on the bars and ends by jumping off the side and walking away.</t>
  </si>
  <si>
    <t>v_nwpz-KGn46A</t>
  </si>
  <si>
    <t>She then is shown performing several different exercises as well as riding on a bicycle and leading a class.</t>
  </si>
  <si>
    <t>More shots of her are shown riding on the bike and wearing a headset to speak to others.</t>
  </si>
  <si>
    <t>v_a5WhYgyH_C0</t>
  </si>
  <si>
    <t>A man in a pink shirt is holding a cord in his hand.</t>
  </si>
  <si>
    <t>He starts vacuuming the carpet in front of him.</t>
  </si>
  <si>
    <t>v_y4Y8gD1mpTw</t>
  </si>
  <si>
    <t>A woman is doing a tutorial on how to do water marble nails using water.</t>
  </si>
  <si>
    <t>She uses a nail polish brush and dips it in water.</t>
  </si>
  <si>
    <t>She gives the instructions on how to start with a base coat of nail polish.</t>
  </si>
  <si>
    <t>Then she puts drops of different colored nail polish on the water surface.</t>
  </si>
  <si>
    <t>Then she dips her nail into that paint.</t>
  </si>
  <si>
    <t>She cleans off any excess nail polish that has smeared on the side of the nails with a paint brush and Q-tip.</t>
  </si>
  <si>
    <t>She finally shares information about herself and her social media accounts.</t>
  </si>
  <si>
    <t>v_ZoKode_Gexg</t>
  </si>
  <si>
    <t>A woman is in a kitchen, wearing a dress and pregnant.</t>
  </si>
  <si>
    <t>She is washing dishes in the sink and talking to the person with the camera.</t>
  </si>
  <si>
    <t>She smiles as the camera zooms in on her right eye.</t>
  </si>
  <si>
    <t>v_djQnCU5MNJg</t>
  </si>
  <si>
    <t>A woman swings on a swing set.</t>
  </si>
  <si>
    <t>A baby swings beside her.</t>
  </si>
  <si>
    <t>They are both wearing red.</t>
  </si>
  <si>
    <t>The woman looks happy to swing.</t>
  </si>
  <si>
    <t>v_xE43h7Kd9Oc</t>
  </si>
  <si>
    <t>Two boys are standing in a living room next to a tree and begin taking ornaments out of two plastic bins and decorating the tree.</t>
  </si>
  <si>
    <t>As the boys continue,the outside of the house is shown as rain comes thundering down.</t>
  </si>
  <si>
    <t>After,the boys receive help from a male and puts the tree topper on.</t>
  </si>
  <si>
    <t>Once that is finished,the young boys hug and kiss each other and the finish product of the tree is shown.</t>
  </si>
  <si>
    <t>v_wfc_R5VnoHU</t>
  </si>
  <si>
    <t>Several animated people are in the water.</t>
  </si>
  <si>
    <t>Two people in scuba gear stand on the ledge of a platform while two other people watch from a platform above.</t>
  </si>
  <si>
    <t>The two people in scuba gear jump in the water.</t>
  </si>
  <si>
    <t>One person in scuba gear holds on to the other person in scuba gear and does something to her tank.</t>
  </si>
  <si>
    <t>One person pushes the other one away.</t>
  </si>
  <si>
    <t>Several people in scuba gear gather with one person still in the background.</t>
  </si>
  <si>
    <t>The people in scuba gear struggle and one persons mask floats away.</t>
  </si>
  <si>
    <t>v_oEdRUyN6Kfo</t>
  </si>
  <si>
    <t>A large black dog and a little girl in a white blouse carries two hoolahoops in the living room.</t>
  </si>
  <si>
    <t>The little girl holds a hoola hoop in front of the dog and the dog walks through the hoolahoop.</t>
  </si>
  <si>
    <t>The little girl spins the other hoola hoop around her waste and spins it 10 or 12 times.</t>
  </si>
  <si>
    <t>The little girl walks up to the black dog and lets the dog lick her hand.</t>
  </si>
  <si>
    <t>v_SBJWn8AjK-4</t>
  </si>
  <si>
    <t>Five boys are shown walking in a playground.</t>
  </si>
  <si>
    <t>The boys get onto the swings and begin to show how to do tricks.</t>
  </si>
  <si>
    <t>For the finale, all five guys get onto the swings and perform a back flip.</t>
  </si>
  <si>
    <t>v_srSwfib_ogk</t>
  </si>
  <si>
    <t>A young woman gets in position to perform with a baton.</t>
  </si>
  <si>
    <t>She performs a gymnastics and twirling routine.</t>
  </si>
  <si>
    <t>She does cartwheels as part of her routine.</t>
  </si>
  <si>
    <t>She drops the baton, but picks it back up and continues with the routine.</t>
  </si>
  <si>
    <t>She loses her balance but is able to recover.</t>
  </si>
  <si>
    <t>v_mWj6lO9PZCs</t>
  </si>
  <si>
    <t>A woman is seen pushing a lawn mower across some grass while speaking to the camera.</t>
  </si>
  <si>
    <t>The camera zooms in on plants in the yard and continues to follow the woman around as she cuts the grass.</t>
  </si>
  <si>
    <t>The camera wanders through a bunch of plants and trees in the end.</t>
  </si>
  <si>
    <t>v_rVLkm3MLzns</t>
  </si>
  <si>
    <t>A man in ski gear is standing on a snowy hill.</t>
  </si>
  <si>
    <t>He and others begin skiing down the slopes, kicking up snow and traveling through tunnels.</t>
  </si>
  <si>
    <t>v_CvkyjR4yk60</t>
  </si>
  <si>
    <t>men are working in a tablein the background, a man in the center of the room start walking in circles and make break dance, a screen hanging is playing a rap video.</t>
  </si>
  <si>
    <t>the screen is playing a video and the credits are in the right side.</t>
  </si>
  <si>
    <t>v_0lYwrXV1R3A</t>
  </si>
  <si>
    <t>A hockey player is injured and is helped up from the ice by the coach.</t>
  </si>
  <si>
    <t>The hockey player is escorted from the ice by the coach.</t>
  </si>
  <si>
    <t>A replay shows the hockey player being hit in the face by the puck and he falls to the ice.</t>
  </si>
  <si>
    <t>The teams stand together around a circle and face off to start the match.</t>
  </si>
  <si>
    <t>Hockey player play a game and skate around the ice passing back and forth.</t>
  </si>
  <si>
    <t>v_P0A0rMgjXGQ</t>
  </si>
  <si>
    <t>We see water on an opening screen.</t>
  </si>
  <si>
    <t>A man is measuring and cutting carpet while kneeling.</t>
  </si>
  <si>
    <t>The man adds a strip and puts a tool in the seam.</t>
  </si>
  <si>
    <t>The man runs a black item over the seam repeatedly then stands.</t>
  </si>
  <si>
    <t>v_IYbnF7LM2II</t>
  </si>
  <si>
    <t>Two men are seen running around an enclosed room holding tennis rackets and hitting a ball around the room.</t>
  </si>
  <si>
    <t>The men continue hitting the ball around the room while the camera continues to follow their movements.</t>
  </si>
  <si>
    <t>v_pS-BoCsMcpQ</t>
  </si>
  <si>
    <t>Men are swimming more or less in sync with the volleyballs.</t>
  </si>
  <si>
    <t>They stop and get a in a circle in the pool and start throwing the ball between each other.</t>
  </si>
  <si>
    <t>After that they start to swim and throw for a little bit.</t>
  </si>
  <si>
    <t>After, they put it all together and every one joins in to play.</t>
  </si>
  <si>
    <t>v_ok6LTNirAPo</t>
  </si>
  <si>
    <t>A child sitting at restaurant table places his hands in a dessert.</t>
  </si>
  <si>
    <t>The child uses his hands to eat the food.</t>
  </si>
  <si>
    <t>The adult keeps the child from spilling the food on the floor and helps feed him.</t>
  </si>
  <si>
    <t>v_vWz90CichbM</t>
  </si>
  <si>
    <t>The video starts showing the company logo for a roofing company.</t>
  </si>
  <si>
    <t>A voice is heard reciting the steps to applying ridges on a roof.</t>
  </si>
  <si>
    <t>As the voice recites the steps, an older man is shown on video performing these steps to a roof.</t>
  </si>
  <si>
    <t>As the voice says the steps are complete, the final shot shows a close up of the completed ridges.</t>
  </si>
  <si>
    <t>The video ends with the company logo.</t>
  </si>
  <si>
    <t>v_UoX2xhYPD38</t>
  </si>
  <si>
    <t>A young man is washing clothes inside a bathroom sink as he talks to the camera.</t>
  </si>
  <si>
    <t>Initially he starts to wash the clothes with both hands.</t>
  </si>
  <si>
    <t>Afterwards he adds more soap using two different bottles to the sink.</t>
  </si>
  <si>
    <t>Subsequently he keeps washing the clothes as he talks to the camera.</t>
  </si>
  <si>
    <t>v_NKNgAE07TIQ</t>
  </si>
  <si>
    <t>A man wearing a black shirts with a graphic design is seated near a table with liquor bottles and a shaker.</t>
  </si>
  <si>
    <t>He is a demonstrating how to make a seasonal alcoholic drink.</t>
  </si>
  <si>
    <t>He picks up the liquor bottles that he will be using for the drinks.</t>
  </si>
  <si>
    <t>He uses the jigger to measure and then pour the necessary ingredients into the shaker.</t>
  </si>
  <si>
    <t>He then adds some cream to the mixture.</t>
  </si>
  <si>
    <t>He adds a few cubes of ice into the shaker.</t>
  </si>
  <si>
    <t>Then he shakes beverage vigorously and pours into a conical glass.</t>
  </si>
  <si>
    <t>He then tops the drink with whipped cream from a can and puts a cherry on the top.</t>
  </si>
  <si>
    <t>He gives information about his Facebook page and other details.</t>
  </si>
  <si>
    <t>v_3lla2AaJgNA</t>
  </si>
  <si>
    <t>A woman is using an iron on a board.</t>
  </si>
  <si>
    <t>She is showing how to iron baby clothes.</t>
  </si>
  <si>
    <t>She flips the clothing, buttoning it up as she goes.</t>
  </si>
  <si>
    <t>v_dsgQVrJi71g</t>
  </si>
  <si>
    <t>A man plugs a mowing machine, then he pushes the mower to cut the grass in a backyard.</t>
  </si>
  <si>
    <t>After, the man cuts the grass on the borders with garden scissors.</t>
  </si>
  <si>
    <t>v_lcwR7eA-VOY</t>
  </si>
  <si>
    <t>Two wrestlers are up on a ring arguing.</t>
  </si>
  <si>
    <t>The referee stands by, instructing them on what to do.</t>
  </si>
  <si>
    <t>They finally get to the arm wrestling.</t>
  </si>
  <si>
    <t>The crowd around them cheers on.</t>
  </si>
  <si>
    <t>A guy jumps onto the ring and begins to fight with one of the wrestlers.</t>
  </si>
  <si>
    <t>The man leaves the ring and the wrestler approaches the other wrestler and beats him to the ground.</t>
  </si>
  <si>
    <t>The wrestler celebrates his win.</t>
  </si>
  <si>
    <t>v_I2Ctmi7C56k</t>
  </si>
  <si>
    <t>Two little boys rake leaves in a backyard while a little girl watches and walks with them as they rake.</t>
  </si>
  <si>
    <t>The two little boys rake leaves with red handled rakes and a little girl watches them and hangs around while they rake.</t>
  </si>
  <si>
    <t>The two boys start raking to the right of the lawn and the little girl runs behind them.</t>
  </si>
  <si>
    <t>The boys then turn around and begin raking to the right side of the lawn.</t>
  </si>
  <si>
    <t>v_bz62JE0qMSk</t>
  </si>
  <si>
    <t>little kid is standing in a pool poining out a yellow bucket in the water and other peolpe is sitting in benches around the pool.</t>
  </si>
  <si>
    <t>woman is carrying the child on his back and then she is with a man and the kid riding bikes in the park.</t>
  </si>
  <si>
    <t>kid is running inside a roofed basket court.</t>
  </si>
  <si>
    <t>kid is laying with a tennis racket.</t>
  </si>
  <si>
    <t>v_lMYtmGRAn8k</t>
  </si>
  <si>
    <t>A boy is standing next to a playground jumping rope.</t>
  </si>
  <si>
    <t>A person is jumping rope on a white mat.</t>
  </si>
  <si>
    <t>A man is kneeling down on the ground in front of a red table.</t>
  </si>
  <si>
    <t>He gets up and starts jumping rope.</t>
  </si>
  <si>
    <t>v_i2e67kStfk4</t>
  </si>
  <si>
    <t>A child performs on the double uneven bars, while flipping around the bars.</t>
  </si>
  <si>
    <t>Then, the child flips and land stand on the floor, then walks.</t>
  </si>
  <si>
    <t>v_EBOT5e2xAoQ</t>
  </si>
  <si>
    <t>The video leads into several clips of track runners jumping over a bar with their jump being shown again in slow motion.</t>
  </si>
  <si>
    <t>Several more people are shown jumping over the bar with one hitting the bar and not jumping over.</t>
  </si>
  <si>
    <t>v_EkwX8Swnut8</t>
  </si>
  <si>
    <t>A boy sits behind the wheel of car, driving and talking to the other passengers in the car.</t>
  </si>
  <si>
    <t>The car travels down a winding highway as the camera pans between the people talking at the time.</t>
  </si>
  <si>
    <t>The people in the car eventually arrive at a snow covered slope where they don ski apparel and begin to ski on the slopesdoing flips, going down hills and jumping off of elevated platforms.</t>
  </si>
  <si>
    <t>At one point of the boys falls on the ground and huddles in the fetal position on the snow.</t>
  </si>
  <si>
    <t>The scene then cuts to the boys back at home in the kitchen peparing things with a final image of a boy standing in the snow covered woods talking to the camera.</t>
  </si>
  <si>
    <t>v_BfTjydFBQJU</t>
  </si>
  <si>
    <t>A small group of people are seen standing in a gym with a man leading in front.</t>
  </si>
  <si>
    <t>The man leads the group in an exercise class that involves a beam on the floor.</t>
  </si>
  <si>
    <t>The people move up and down the beam while the man claps and smiles at the group.</t>
  </si>
  <si>
    <t>v_Q159fj3M9NM</t>
  </si>
  <si>
    <t>A gymnast runs, then flips several times down an indoor track.</t>
  </si>
  <si>
    <t>Other girls follow suit, flipping quickly as they go.</t>
  </si>
  <si>
    <t>They dismount at the end, arms in the air.</t>
  </si>
  <si>
    <t>v_AZrI6X2XAUU</t>
  </si>
  <si>
    <t>a blond little kid with large hair sits in a table and holds a contact eye and put the contacts on his eyes.</t>
  </si>
  <si>
    <t>little kid is talking to the camera and is in a table wearnig a red uniform putting contact lenses on her eyes.</t>
  </si>
  <si>
    <t>v_GTV4XlxawgE</t>
  </si>
  <si>
    <t>man is running in a roofed gym and doing a high jump.</t>
  </si>
  <si>
    <t>man is doing a somersault in a roofed gym.</t>
  </si>
  <si>
    <t>two woman are standing in the gym by the jumping man.</t>
  </si>
  <si>
    <t>man is doing a somersault in a roofed gym in a racetrack.</t>
  </si>
  <si>
    <t>v_bRVazNYfpGE</t>
  </si>
  <si>
    <t>There's a girl gymnast dressed in purple leotards doing flips on a horse bar in a large indoor stadium filled with spectators.</t>
  </si>
  <si>
    <t>She continues doing front flips and twisting her body around on the horse bar.</t>
  </si>
  <si>
    <t>She walks the entire horse bar and then finally jumps off the horse bar to successfully end her round.</t>
  </si>
  <si>
    <t>As she jumps down and walks away, the crowd cheer and applaud loudly.</t>
  </si>
  <si>
    <t>v_WxefBZ7Iaow</t>
  </si>
  <si>
    <t>A blue raft is shown and a group of people are shown throwing them up in a pile.</t>
  </si>
  <si>
    <t>Finally,they are by the water and about eight of them are sitting on the raft traveling down the water.</t>
  </si>
  <si>
    <t>After a certain distance,they encounter a rock and a large wave and they all flip out of the raft.</t>
  </si>
  <si>
    <t>The rafting continues and eventually they are all shown standing outside in a field in a large circle talking and drinking about a job well done.</t>
  </si>
  <si>
    <t>v_lsIiSTG2pn4</t>
  </si>
  <si>
    <t>Ladies are playing volley ball outside.</t>
  </si>
  <si>
    <t>A female hits the ball twice.</t>
  </si>
  <si>
    <t>A lady touches a teammate's arm.</t>
  </si>
  <si>
    <t>v_js9SDSngI7A</t>
  </si>
  <si>
    <t>A coach align a group of teens in a basketball court, the teen on front holds a basketball ball.</t>
  </si>
  <si>
    <t>Three teens run and a boy throws the basketball to the basket, then the second teen grabs the ball and pass the ball to two teens disputing to have the ball.</t>
  </si>
  <si>
    <t>Then, three more boys run to practice the same steps.</t>
  </si>
  <si>
    <t>A young man wearing a yellow t-shirt practice basketball on the other basketball goal.</t>
  </si>
  <si>
    <t>After, a group of three boys runs to practice basketball shooting and blocking.</t>
  </si>
  <si>
    <t>v_YD7pb5-CZdI</t>
  </si>
  <si>
    <t>An athlete is standing on a field.</t>
  </si>
  <si>
    <t>He is holding a large steel ball.</t>
  </si>
  <si>
    <t>He spins and throws the ball, then walks around the track waiting for his next turn.</t>
  </si>
  <si>
    <t>v_UYUvjnlU9Ho</t>
  </si>
  <si>
    <t>There are some people playing croquet in their backyard that is covered with fall leaves.</t>
  </si>
  <si>
    <t>There's a teenage boy and a teenage girl playing croquet on some wooden boards.</t>
  </si>
  <si>
    <t>They use their wooden mallet to hit the ball down the wooden boards.</t>
  </si>
  <si>
    <t>Another group of young teenagers are also playing croquet in the yard.</t>
  </si>
  <si>
    <t>One of the teens wearing a yellow shirt pretends his mallet is a guitar and plays it.</t>
  </si>
  <si>
    <t>The teens continue playing croquet as they take turns to hit the ball with the mallet while another boy is playing with a black and white cat.</t>
  </si>
  <si>
    <t>The teens continue playing while the cat watches them.</t>
  </si>
  <si>
    <t>The teen in the yellow shirt plays with the black and white cat.</t>
  </si>
  <si>
    <t>One of the teen pose and aims to hit the ball with his mallet while the two other teens watch him.</t>
  </si>
  <si>
    <t>They continue playing croquet as they take turns to hit the balls one by one with the mallets.</t>
  </si>
  <si>
    <t>One of the teens then just drops his mallet down while the two other teens give each other high fives.</t>
  </si>
  <si>
    <t>v_Lh3dhueuKmQ</t>
  </si>
  <si>
    <t>A woman is putting wall paper on a wall.</t>
  </si>
  <si>
    <t>She smooths the wall paper with her hands.</t>
  </si>
  <si>
    <t>She is rolling the wall paper onto the wall.</t>
  </si>
  <si>
    <t>v_Wr69bnB86d0</t>
  </si>
  <si>
    <t>A man sits at a table and holds a screwdriver which he presses it against the tabletop.</t>
  </si>
  <si>
    <t>The man pretents to time himself and uses the screwdriver tool to pierce a hole in a full beer can that sprays some of its contents.</t>
  </si>
  <si>
    <t>The man holds up the can with the hole facing upwards.</t>
  </si>
  <si>
    <t>The man drinks the contents of the beer can from the hole after opening the top.</t>
  </si>
  <si>
    <t>v_aSFtL7YEbDE</t>
  </si>
  <si>
    <t>A group of people are on a neatly mown field.</t>
  </si>
  <si>
    <t>They are playing a game of croquette.</t>
  </si>
  <si>
    <t>They hit the balls through the hoops with mallets.</t>
  </si>
  <si>
    <t>v_bTlfN4vJkiY</t>
  </si>
  <si>
    <t>A young boy is wearing a bandana and mowing a large yard.</t>
  </si>
  <si>
    <t>He walks away from the camera as he pushes the mower.</t>
  </si>
  <si>
    <t>He then suddenly stops, chasing the person with the camera and knocking them over.</t>
  </si>
  <si>
    <t>v_2LzWCwYtUzs</t>
  </si>
  <si>
    <t>We see an animation on the opening title screen.</t>
  </si>
  <si>
    <t>A person washes and peels a potato.</t>
  </si>
  <si>
    <t>The person rinses the person rinses the peeled potato in a bowl.</t>
  </si>
  <si>
    <t>The person then dices the potato.</t>
  </si>
  <si>
    <t>v_T1T3UvwZcKU</t>
  </si>
  <si>
    <t>A young child is seen sitting a top of a slide with his tongue sticking out.</t>
  </si>
  <si>
    <t>He begins to go down the slide but falls off the side and is seen laying on the floor.</t>
  </si>
  <si>
    <t>v_4uitkT3dDIM</t>
  </si>
  <si>
    <t>General technique is shown for throwing javelins.</t>
  </si>
  <si>
    <t>He then shows how to do it with crossovers.</t>
  </si>
  <si>
    <t>v_ozkDsQ1UY1k</t>
  </si>
  <si>
    <t>A close up of a pool table is seen followed by a man hitting a ball.</t>
  </si>
  <si>
    <t>Another man steps up with the pool stick to aim his shot and hits the balls.</t>
  </si>
  <si>
    <t>The men take turns back and fourth playing pool until one wins and the camera pans to a man watching.</t>
  </si>
  <si>
    <t>v_F_-w_z4B3bg</t>
  </si>
  <si>
    <t>A young man is seen sitting before an instrument with another sitting on a drum set.</t>
  </si>
  <si>
    <t>The man moves sticks around while looking off into the distance and begins to play.</t>
  </si>
  <si>
    <t>Another boy walks in and out of frame and begins singing into a microphone.</t>
  </si>
  <si>
    <t>v_fGMZvLvAMK4</t>
  </si>
  <si>
    <t>A skier holds a ski stick in his left hand and a pole in his right hand.</t>
  </si>
  <si>
    <t>Then, the man ski down the hill covered with snow.</t>
  </si>
  <si>
    <t>The man stops in middle of the hill.</t>
  </si>
  <si>
    <t>Then, the man continues skiing until arrives to a city.</t>
  </si>
  <si>
    <t>v_OSndW3d2XxU</t>
  </si>
  <si>
    <t>a man is on a field in a circle.</t>
  </si>
  <si>
    <t>He starts spinning a ball around in circles.</t>
  </si>
  <si>
    <t>He then throws the ball as far as he can, but falls down.</t>
  </si>
  <si>
    <t>v_K8G5CBJtluY</t>
  </si>
  <si>
    <t>A young man lying prone on a tiled floor with this hands behind his head and his knees bent attempts to perform a sit-up in front of a few friends.</t>
  </si>
  <si>
    <t>As he brings his elbows towards his knees, a loud crack can be heard as the man laughs, "That hurt my ass.</t>
  </si>
  <si>
    <t>" He attempts a second sit-up and with another cracking sound, exclaims and grabs his buttocks.</t>
  </si>
  <si>
    <t>The man says, "one more" and attempts another time, after which he says, "that felt horrible.</t>
  </si>
  <si>
    <t>" The man struggles through nine more attempts before giving up to the amusement of his friends.</t>
  </si>
  <si>
    <t>v_I41kmlYZmt4</t>
  </si>
  <si>
    <t>A close up of a hedge is shown as well as a man using a tool to cut the hedge.</t>
  </si>
  <si>
    <t>The man speaks to the camera and continues using the tool on the hedge.</t>
  </si>
  <si>
    <t>Several shots are shown of his surroundings as well as other tools you can use and more grass being cut.</t>
  </si>
  <si>
    <t>v_7CeAzJF2z4o</t>
  </si>
  <si>
    <t>A intro leads to a young man wearing a backwards baseball cap playing the guitar on a bed.</t>
  </si>
  <si>
    <t>The man strokes his fingers up and down the neck of the guitar while strumming the string and looking down at the neck.</t>
  </si>
  <si>
    <t>v_erevt6avST0</t>
  </si>
  <si>
    <t>A man is standing at a counter.</t>
  </si>
  <si>
    <t>The store front is shown to the door.</t>
  </si>
  <si>
    <t>the man is still at the counter talking.</t>
  </si>
  <si>
    <t>A man is runnign around a course with a gun.</t>
  </si>
  <si>
    <t>The man is still talkign at the counter.</t>
  </si>
  <si>
    <t>A man in the course is aiming his gun.</t>
  </si>
  <si>
    <t>The man at the counter is showing a particular gun.</t>
  </si>
  <si>
    <t>A man at the course is running around aiming and shooting his gun.</t>
  </si>
  <si>
    <t>The man at the counter is still holding the gun talking.</t>
  </si>
  <si>
    <t>The man on the course runs around and shoots.</t>
  </si>
  <si>
    <t>The man at the counter continues to talk with the gun in his hand.</t>
  </si>
  <si>
    <t>The man at the course peers around a corner aiming his gun.</t>
  </si>
  <si>
    <t>The man at the counter is talking and motioning with the gun in his hand.</t>
  </si>
  <si>
    <t>v_-X7fBYN5fBc</t>
  </si>
  <si>
    <t>Men are standing against the fence, the gates are up and a rider is waiting to start.</t>
  </si>
  <si>
    <t>Once the gate opens a little cow comes running out and the horse chases after.</t>
  </si>
  <si>
    <t>The rider throws a rope at the cow trying to catch it and then jumps off the horse.</t>
  </si>
  <si>
    <t>After he jumps off the horse he starts to pin the cow down and tie the rope around its legs very roughly.</t>
  </si>
  <si>
    <t>v_0_IShglbOQ4</t>
  </si>
  <si>
    <t>A young boy is seen holding onto a lawn mower and pushing it along the yard.</t>
  </si>
  <si>
    <t>The boy continues to push the mower around while the camera captures his movements.</t>
  </si>
  <si>
    <t>He pushes the mower back where he started and looks back to the camera.</t>
  </si>
  <si>
    <t>v_I9_eKiGZPxc</t>
  </si>
  <si>
    <t>Vehicles are moving down a road.</t>
  </si>
  <si>
    <t>A lady stands and discusses.</t>
  </si>
  <si>
    <t>People are paddling down a rocky body of water.</t>
  </si>
  <si>
    <t>A person tries to lift an individual back into the inflated boat.</t>
  </si>
  <si>
    <t>A lady walks away from the inflated boat.</t>
  </si>
  <si>
    <t>The lady used her hands to over her face.</t>
  </si>
  <si>
    <t>People that are sitting on an inflated boat raise their paddles.</t>
  </si>
  <si>
    <t>An inflated boat flips over and the occupants falls overboard.</t>
  </si>
  <si>
    <t>The lady takes off her helmet.</t>
  </si>
  <si>
    <t>A guy gives the lady her white sandals.</t>
  </si>
  <si>
    <t>The lady blows a kiss.</t>
  </si>
  <si>
    <t>Guys are playing soccer outside.</t>
  </si>
  <si>
    <t>Two red team players chest bump.</t>
  </si>
  <si>
    <t>v_Z90-HZ_geSI</t>
  </si>
  <si>
    <t>An intro leads into shots outside a dog groomers and inside where several dogs are tied it.</t>
  </si>
  <si>
    <t>Many woman are shown brushing the dogs and trimming their fur while giving them head scratches in between.</t>
  </si>
  <si>
    <t>More dogs are seen sitting in crates and barking at the camera while the wind blows on them.</t>
  </si>
  <si>
    <t>v_kGxikShxkpQ</t>
  </si>
  <si>
    <t>Team mates are seen walking out onto a field surrounded by dozens of people and stand ready over a rope holding their arms up.</t>
  </si>
  <si>
    <t>The men then pull the rope against another team and end by falling down.</t>
  </si>
  <si>
    <t>v__MYAaRrTeMQ</t>
  </si>
  <si>
    <t>A man is seen holding an axe and looking back to smile at the camera.</t>
  </si>
  <si>
    <t>The man then swings the axe down and hits a log of wood still smiling at the camera.</t>
  </si>
  <si>
    <t>v_C7sabT8febk</t>
  </si>
  <si>
    <t>Paint is shown being mixed on a styrofoam plate.</t>
  </si>
  <si>
    <t>A hand draws on a piece of paper using a brush and the mixed paint.</t>
  </si>
  <si>
    <t>v_fZc3tkvUJe0</t>
  </si>
  <si>
    <t>A chef is seen speaking to a woman and leads into him holding knives and sharpening the sides.</t>
  </si>
  <si>
    <t>He then wipes the knife with a rag and continues sharpening the knives.</t>
  </si>
  <si>
    <t>v_S5kuckj4Ud4</t>
  </si>
  <si>
    <t>We see are driving down the street then we see the man in the car.</t>
  </si>
  <si>
    <t>The man gets out and grabs flat tire supplies.</t>
  </si>
  <si>
    <t>The man sits in the car and thinks about how to change a tire.</t>
  </si>
  <si>
    <t>The guy loosens bolts, jacks the car up and takes off the flat.</t>
  </si>
  <si>
    <t>The guy then puts the spare tire on the car.</t>
  </si>
  <si>
    <t>We see the bolts up close in a line.</t>
  </si>
  <si>
    <t>The man puts the spare tire in the car and gets in the car.</t>
  </si>
  <si>
    <t>He makes a call and turns on the radio.</t>
  </si>
  <si>
    <t>The man makes a u-turn and leaves.</t>
  </si>
  <si>
    <t>We see the ending title.</t>
  </si>
  <si>
    <t>v_IKTYMYu8FFs</t>
  </si>
  <si>
    <t>A container of hair styling cream is shown by a stylist.</t>
  </si>
  <si>
    <t>She applies it to a seated brunette's skin.</t>
  </si>
  <si>
    <t>She then demonstrates how it works.</t>
  </si>
  <si>
    <t>v_Iphl3YB-yYQ</t>
  </si>
  <si>
    <t>A man is seen speaking to the camera and pans over to a roof that is breaking apart.</t>
  </si>
  <si>
    <t>He points all over the roof and shows a man working on the roof while panning around again.</t>
  </si>
  <si>
    <t>v_feqYwvoENzk</t>
  </si>
  <si>
    <t>A woman is seen putting her hair up in a pony tail with a man watching her on the side.</t>
  </si>
  <si>
    <t>She then plays the piano while smiling and the man continuing to watch her.</t>
  </si>
  <si>
    <t>v_O8vPTn6Ho7w</t>
  </si>
  <si>
    <t>People are paddling in kayaks in a body of water.</t>
  </si>
  <si>
    <t>A man takes off in a green kayak.</t>
  </si>
  <si>
    <t>A man in a red jacket is talking to the camera.</t>
  </si>
  <si>
    <t>v_dyobp97TugE</t>
  </si>
  <si>
    <t>A woman and a dog are playing on the grass with a frisbee.</t>
  </si>
  <si>
    <t>The dog has the frisbee in its mouth.</t>
  </si>
  <si>
    <t>The woman and the dog are playing with a rope.</t>
  </si>
  <si>
    <t>v_qX7UMKN6ygM</t>
  </si>
  <si>
    <t>At the beach, a group of soccer balls lie next to a man who is kicking them at the goal, protected by a keeper.</t>
  </si>
  <si>
    <t>He boots them up and off his knee before shooting wide.</t>
  </si>
  <si>
    <t>He finally scores over the keeper.</t>
  </si>
  <si>
    <t>His final ball is saved once again by the keeper.</t>
  </si>
  <si>
    <t>v_r96PJ548pn8</t>
  </si>
  <si>
    <t>A woman wearing exercise equipment is shown talking to the camera and pointing to several areas on her body.</t>
  </si>
  <si>
    <t>She continues talking to the camera while performing several ab crunches to work your core.</t>
  </si>
  <si>
    <t>She then grabs a weight in both hands as well as a cat to use as a weight for the exercise.</t>
  </si>
  <si>
    <t>She bends forward and continues talking to the camera.</t>
  </si>
  <si>
    <t>v_N8otQdjR96s</t>
  </si>
  <si>
    <t>A man is sitting at a drum set.</t>
  </si>
  <si>
    <t>He is playing the drums and cymbals, and talking to the camera.</t>
  </si>
  <si>
    <t>He shows the mechanics of the pedals and the effects on the drums as he uses them.</t>
  </si>
  <si>
    <t>v_mTmcz5NWNQA</t>
  </si>
  <si>
    <t>A group of people riding bmx dirt bikes come down a path together.</t>
  </si>
  <si>
    <t>Then spin around, taking sharp turns and curves on the track.</t>
  </si>
  <si>
    <t>When the race is over, they walk around handing out medals and posing for photos.</t>
  </si>
  <si>
    <t>v_kF6tSW-ZOFg</t>
  </si>
  <si>
    <t>A lady stands at the end of a hopscotch court.</t>
  </si>
  <si>
    <t>The lady then jumps across the hopscotch court towards the right.</t>
  </si>
  <si>
    <t>The lady then hops back where she started.</t>
  </si>
  <si>
    <t>v_hP8wUI0qdaQ</t>
  </si>
  <si>
    <t>woman is talking to the camera in front of a large gym with a lot of estatic bikes in the background and people doing exercise.</t>
  </si>
  <si>
    <t>girl start doing exercise in the elliptical bike.</t>
  </si>
  <si>
    <t>v_2GSSuYAWFc8</t>
  </si>
  <si>
    <t>Several pieces of belly button jewelry are shown.</t>
  </si>
  <si>
    <t>This is followed by a man disinfecting a woman's belly button.</t>
  </si>
  <si>
    <t>He then inserts a piercing using a clamp and a rod.</t>
  </si>
  <si>
    <t>The woman watches as the final studs are in place.</t>
  </si>
  <si>
    <t>v_ufK2mbJI0to</t>
  </si>
  <si>
    <t>A large group of people are seen running around a soccer field playing a game of soccer.</t>
  </si>
  <si>
    <t>The kids continue to kick the ball around one another while others watch on the side.</t>
  </si>
  <si>
    <t>More shots are shown of the game as well as people playing with one another.</t>
  </si>
  <si>
    <t>v_jMQP5ePI4eQ</t>
  </si>
  <si>
    <t>A man in a white shirt is sitting down playing a guitar.</t>
  </si>
  <si>
    <t>Next to the man is a smaller screen of a black and white video of a man singing and a woman.</t>
  </si>
  <si>
    <t>v_LcmTBkWvV74</t>
  </si>
  <si>
    <t>A close up a girl smiling and pointing to her face is shown followed by a pair of pliers piercing her inner lip.</t>
  </si>
  <si>
    <t>The piercer pushes the scissor through her lip while she holds it up and presents the piercing in the end.</t>
  </si>
  <si>
    <t>v_BfnM0eyjB5Q</t>
  </si>
  <si>
    <t>A woman is giving instructions on how to install and adjust a saddle on a bike.</t>
  </si>
  <si>
    <t>She uses a Allen key wrench to loosen up the bolt.</t>
  </si>
  <si>
    <t>Then she demonstrates how she can move the saddle after she loosens it.</t>
  </si>
  <si>
    <t>She hits it with her hand to push the jammed saddle.</t>
  </si>
  <si>
    <t>Then she shows how to adjust the saddle by moving it back and forth.</t>
  </si>
  <si>
    <t>She later demonstrates how to remove the saddle off.</t>
  </si>
  <si>
    <t>She puts the new one on and then uses tools to tighten it back on.</t>
  </si>
  <si>
    <t>She uses a screwdriver to tighten the screws and adjust the level.</t>
  </si>
  <si>
    <t>She then shows another saddle and demonstrates how to tighten the bolts to adjust the level of the saddle.</t>
  </si>
  <si>
    <t>She shows how to tighten the bolt to make sure the saddle fits snugly.</t>
  </si>
  <si>
    <t>v_P1Ve5WrfTb8</t>
  </si>
  <si>
    <t>A boy in grey throws a ball at a a kid on the other side of the court.</t>
  </si>
  <si>
    <t>A boy in blue does an extraordinary flip in the air after catching the ball and lands.</t>
  </si>
  <si>
    <t>He throws the ball back at the other kid after landing.</t>
  </si>
  <si>
    <t>They are being watched by a group of kids standing behind them.</t>
  </si>
  <si>
    <t>v_Cj3W6CW3Zbc</t>
  </si>
  <si>
    <t>Four men are working on the roof of a house.</t>
  </si>
  <si>
    <t>They are scraping the shingles off with shovels, knocking debris to the ground as they work.</t>
  </si>
  <si>
    <t>v_pYYA4rARL1Y</t>
  </si>
  <si>
    <t>We then see men spinning on the pommel horse with title screens clipped in between.</t>
  </si>
  <si>
    <t>We see a man throwing his legs over the pommel horse.</t>
  </si>
  <si>
    <t>We see a man in red spinning himself around the pommel horse quickly.</t>
  </si>
  <si>
    <t>A man in red and yellow spins fast on the pommel.</t>
  </si>
  <si>
    <t>We see a man dismount the pommel and throw his arms in the air.</t>
  </si>
  <si>
    <t>We then see the closing scenes.</t>
  </si>
  <si>
    <t>v_ZO8ValsY3rE</t>
  </si>
  <si>
    <t>A woman holds a box with UV light to light the handle of the refrigerator, her hand, the microwave oven and utensils.</t>
  </si>
  <si>
    <t>Then, the woman wash and dry her hands and light a hand with the UV light.</t>
  </si>
  <si>
    <t>After, the woman takes off her ring and wash and wash her hands with soap and rinse with water.</t>
  </si>
  <si>
    <t>v_Yjkz62cLVdQ</t>
  </si>
  <si>
    <t>A man holds clips against a bracket placed on a wooden desk.</t>
  </si>
  <si>
    <t>He welds the metal bracket.</t>
  </si>
  <si>
    <t>The man finishes welding and picks up a stick from the wooden desk.</t>
  </si>
  <si>
    <t>v_YVbMt3qsB3o</t>
  </si>
  <si>
    <t>A chubby man is standing outside in a field and throws a yellow medicine ball demonstrating exercising to strengthen athletes for shot put.</t>
  </si>
  <si>
    <t>The man is then pictured in a gym doing reps with the bar and then begins throwing a ball up against the tree.</t>
  </si>
  <si>
    <t>Another boy then begins throwing a bag of sand before the previous man comes back and starts using elliptical machines.</t>
  </si>
  <si>
    <t>Once finished,he returns back to a field and begins pulling the chain across the field and throwing kettle balls.</t>
  </si>
  <si>
    <t>v_KiE-fFIz5ic</t>
  </si>
  <si>
    <t>A man in a hat is standing outside talking.</t>
  </si>
  <si>
    <t>People are practicing pole vaulting on a blue mat.</t>
  </si>
  <si>
    <t>A person is jumping over hurdles on a track.</t>
  </si>
  <si>
    <t>People are laying on a blue mat stretching.</t>
  </si>
  <si>
    <t>v_WJwLjPDvLrY</t>
  </si>
  <si>
    <t>A group is on the beach, playing volleyball.</t>
  </si>
  <si>
    <t>The crowd cheers them on as they continue the competition.</t>
  </si>
  <si>
    <t>v_PiDMuIRtgZo</t>
  </si>
  <si>
    <t>We see men playing hockey in an ice rink.</t>
  </si>
  <si>
    <t>A player in blue goes behind the goal close to the camera.</t>
  </si>
  <si>
    <t>The hockey puck slips past the goalie and into the goal net.</t>
  </si>
  <si>
    <t>The goalie gets up off the ground.</t>
  </si>
  <si>
    <t>v_-lJS58hyo1c</t>
  </si>
  <si>
    <t>A lady walks to a barbell.</t>
  </si>
  <si>
    <t>She bends down and grabs the pole.</t>
  </si>
  <si>
    <t>The lady stands and lifts the weight over her head.</t>
  </si>
  <si>
    <t>The lady drops the barbell and smiles.</t>
  </si>
  <si>
    <t>v_KpoH4pBp9fg</t>
  </si>
  <si>
    <t>a woman is standing inside a dark kitchen, talking.</t>
  </si>
  <si>
    <t>She shows a cake cooling on a metal rack.</t>
  </si>
  <si>
    <t>She demonstrates how to mix the ingredients in a mixer, then bake the cake.</t>
  </si>
  <si>
    <t>When it is done, she turns it onto the rack to cool.</t>
  </si>
  <si>
    <t>v_n04zQqQI3wQ</t>
  </si>
  <si>
    <t>woman is with two kids in snow in a open land and they are on a inflatable sliding down a mountain.</t>
  </si>
  <si>
    <t>kids walks with the inflatable on their hands through the field and run to the mountain again.</t>
  </si>
  <si>
    <t>v_ciS5DtShxA8</t>
  </si>
  <si>
    <t>A young boy has on a black and white soccer jersey and is sitting down on the floor next to a bed and begins putting on a long black soccer sock.</t>
  </si>
  <si>
    <t>The young boy then reaches for his shin guard and puts it over his right leg and then folds his sock down over it.</t>
  </si>
  <si>
    <t>Once that is finished,he reaches over for his other sock and begins to do the same thing on the left leg.</t>
  </si>
  <si>
    <t>Finally,he moves to his cleats and grabs a pair of orange Adidas soccer cleats and ties them up.</t>
  </si>
  <si>
    <t>Everything is completed and the child sits criss-cross and begins talking to the camera.</t>
  </si>
  <si>
    <t>v_BpiExjaNwvI</t>
  </si>
  <si>
    <t>A close up zooms in on a screen.</t>
  </si>
  <si>
    <t>Several adults and kids are outdoors.</t>
  </si>
  <si>
    <t>The kids are riding dirt bikes in a competition.</t>
  </si>
  <si>
    <t>They are shown racing around a course and over hills and taking sharp turns.</t>
  </si>
  <si>
    <t>A boy on a bike stops at the camera, looking intently.</t>
  </si>
  <si>
    <t>v_cHHVpBYfwdU</t>
  </si>
  <si>
    <t>A man leans over the camera he has placed on a dog.</t>
  </si>
  <si>
    <t>The dog runs through different rooms of the house, then to the door and outside.</t>
  </si>
  <si>
    <t>They go for a walk outside with the people and other dogs.</t>
  </si>
  <si>
    <t>He returns home, and looks in his water bowl.</t>
  </si>
  <si>
    <t>v_VN-BUL75x5Y</t>
  </si>
  <si>
    <t>A woman sitting on the floor talks to the camera while petting a dog.</t>
  </si>
  <si>
    <t>The woman holds up some sort of tool while talking to the camera.</t>
  </si>
  <si>
    <t>The woman uses the tool to brush the dog while talking.</t>
  </si>
  <si>
    <t>The woman sets down the tool and pets the dog while talking to the camera.</t>
  </si>
  <si>
    <t>The woman talks to the camera about the tool.</t>
  </si>
  <si>
    <t>The dog and women get up from the ground.</t>
  </si>
  <si>
    <t>A sped up process of drawing an owl emblem is shown.</t>
  </si>
  <si>
    <t>v_M1dEZrQWeRY</t>
  </si>
  <si>
    <t>A skier uses a wind drone to propel him across a flat slope.</t>
  </si>
  <si>
    <t>The skier uses the wind drone to do a few passes on a flat area of a ski resort.</t>
  </si>
  <si>
    <t>The camera pans across the ski area and views of the surrounding mountains.</t>
  </si>
  <si>
    <t>The skier does a pass by on a large flat area going very fast.</t>
  </si>
  <si>
    <t>v_qJfhu80Ldgo</t>
  </si>
  <si>
    <t>A man squats down and lifts a bar of weights in a gym.</t>
  </si>
  <si>
    <t>He throws the bar down and it crashes into the floor and takes a deep breath.</t>
  </si>
  <si>
    <t>v_5T7vTuJmYeQ</t>
  </si>
  <si>
    <t>A child swings on monkey bars.</t>
  </si>
  <si>
    <t>The child dismounts from the monkey bars.</t>
  </si>
  <si>
    <t>The child walks towards the camera.</t>
  </si>
  <si>
    <t>v_k3nRbFeancA</t>
  </si>
  <si>
    <t>The video shows various clips of sumo wrestlers fighting in a ring while a referee and audience looks on.</t>
  </si>
  <si>
    <t>In the first clip, a much bigger wrestler wrestles a smaller man who ends up winning.</t>
  </si>
  <si>
    <t>The video continues with several other clips of wrestlers and how each wrestler wins the round.</t>
  </si>
  <si>
    <t>The video ends with a comedy commercial where a smaller sumo wrestler crawls under another very large one, and ends up stuck in his sumo outfit.</t>
  </si>
  <si>
    <t>v_QsRW8dj-F7M</t>
  </si>
  <si>
    <t>A mascot is seen running around a field as the camera pans around a large audience.</t>
  </si>
  <si>
    <t>Several mascots are seen holing sticks on a field walking around one another and leads into them chasing a ball.</t>
  </si>
  <si>
    <t>The group continues running around the field as the mascots continue to chase the ball one after the other.</t>
  </si>
  <si>
    <t>v_W5cGKWhOTOU</t>
  </si>
  <si>
    <t>There are 3 people at a store in a shoe section and there are two people on the ground trying on boots.</t>
  </si>
  <si>
    <t>The man on the ground removes his pink boot, throws it on the side and stands up smiling.</t>
  </si>
  <si>
    <t>The girl grabs his pink boot, tries it on her right foot and sits there modeling it while talking to the people around her.</t>
  </si>
  <si>
    <t>The girl then grabs the left boot, removes the stuff in it, tries it on and stands up to model them.</t>
  </si>
  <si>
    <t>The girl stands next to the guy and they smile, she gives a thumbs up and he hugs her from behind.</t>
  </si>
  <si>
    <t>v_wLcpMJv83XY</t>
  </si>
  <si>
    <t>A still image of a man dressed in an Under Armour shirt and a pair of slacks is standing in one spot in a bowling alley.</t>
  </si>
  <si>
    <t>The man finally moves and throws the ball down the Alley.</t>
  </si>
  <si>
    <t>After,an instant replay is shown of the video being chopped and screwed with a circle highlighting the ball before it is thrown down the lane.</t>
  </si>
  <si>
    <t>v_-3Ss9jSRbKk</t>
  </si>
  <si>
    <t>A woman demonstrates how to do sit ups, in a gym room, using a woman who is simulating the exercise as an example.</t>
  </si>
  <si>
    <t>A woman kneels on the hardwood floors of a gym room and talks to the camera.</t>
  </si>
  <si>
    <t>The camera pans out and another woman is revealed lying on her back on a gym mat as the woman kneeling above her continues to talk.</t>
  </si>
  <si>
    <t>The woman lying down demonstrates how to do a sit up and the other woman continues to talk at times touching the other woman's stomach.</t>
  </si>
  <si>
    <t>v_iFwmJi-I5sg</t>
  </si>
  <si>
    <t>A person is seen standing in the middle of a circle throwing a discuss off into the distance.</t>
  </si>
  <si>
    <t>The man walks back several times and is shown continuing to throw the object.</t>
  </si>
  <si>
    <t>The man continues to spin around while throwing the object off into the distance.</t>
  </si>
  <si>
    <t>v_FayB7ZswnAw</t>
  </si>
  <si>
    <t>two men are standing in a court room playing squash.</t>
  </si>
  <si>
    <t>man is wearing white shirt standing in a court room.</t>
  </si>
  <si>
    <t>men are standing in a court room behind transparent doors.</t>
  </si>
  <si>
    <t>v_ZZImcxqa1_w</t>
  </si>
  <si>
    <t>A little boy is standing outside on the sidewalk he has his arms behind his back holding something.</t>
  </si>
  <si>
    <t>Then out of nowhere is starts to spin the thing in his hand, it looks really dangerous.</t>
  </si>
  <si>
    <t>He starts to turn along with it when he catches a lot of speed.</t>
  </si>
  <si>
    <t>Then he suddenly loses control of it and he ends up falling to the ground.</t>
  </si>
  <si>
    <t>v_bDkSq9T55RI</t>
  </si>
  <si>
    <t>A man wearing a red shirt is decorating a Christmas tree.</t>
  </si>
  <si>
    <t>He is using white lights to wrap the tree around to decorate it.</t>
  </si>
  <si>
    <t>He goes around the tree several times.</t>
  </si>
  <si>
    <t>Then he takes a gold colored garland and wraps the tree.</t>
  </si>
  <si>
    <t>Then he turns the lights on to light up the tree.</t>
  </si>
  <si>
    <t>He then stands besides the tree, pointing to it after the lights turn on.</t>
  </si>
  <si>
    <t>v_nXD-q814KjI</t>
  </si>
  <si>
    <t>A man uses a hose to spray something vertically on a wooden wall.</t>
  </si>
  <si>
    <t>The man changes to spraying horizontally on the wall.</t>
  </si>
  <si>
    <t>The man manipulates the tip of the spray nozzle.</t>
  </si>
  <si>
    <t>v_AA46-AbEGdk</t>
  </si>
  <si>
    <t>There's a girl gymnast dressed in shiny blue leotards performing gymnastics on a horse bar in front of many spectators in a large gymnasium.</t>
  </si>
  <si>
    <t>She gets on the horse bar and begins to do front flips and back flips.</t>
  </si>
  <si>
    <t>Then she does twisted backs flip while landing securely back on the horse bar.</t>
  </si>
  <si>
    <t>She continues her gymnastic moves and then securely jumps off the horse bar and lands on the ground.</t>
  </si>
  <si>
    <t>After she gets off the bar, she goes and hugs her coach.</t>
  </si>
  <si>
    <t>Slow motion actions of her gymnastic moves are replayed to show how she landed back on the ground from the horse bar.</t>
  </si>
  <si>
    <t>Then the gymnast walks past the where the panel of judges are seated.</t>
  </si>
  <si>
    <t>v_NVNUT5iwLtw</t>
  </si>
  <si>
    <t>A woman is seen sitting on a rock and grabbing laundry out of a bucket.</t>
  </si>
  <si>
    <t>She then rubs down the clothes with a rag while smiling to the camera.</t>
  </si>
  <si>
    <t>She continues cleaning the cloth by hitting it on cement and washing it down with water.</t>
  </si>
  <si>
    <t>v_p8tlnMtsTf8</t>
  </si>
  <si>
    <t>A helicopter is seen driving over an ocean where people are seen surfing.</t>
  </si>
  <si>
    <t>Several shots are shown of people riding along the water and others sitting.</t>
  </si>
  <si>
    <t>The people continue riding along the water while the helicopter rides around.</t>
  </si>
  <si>
    <t>v_M9uQCTr2-r0</t>
  </si>
  <si>
    <t>Young boys are shown playing ping pong with one another in a large gymnasium serving one after the other.</t>
  </si>
  <si>
    <t>Another boy walks up to the table and starts playing with the other boys, which then turns into a two versus two game of Ping Pong.</t>
  </si>
  <si>
    <t>The boys take turns serving back and forth scoring points at random.</t>
  </si>
  <si>
    <t>The boy that was first shown is playing a third game now that is being kept score of by an official and scores the first 4 points.</t>
  </si>
  <si>
    <t>The boy is playing yet another tournament with a different child in Ping Pong and seems to possibly be falling behind a little in points.</t>
  </si>
  <si>
    <t>v_aQQr1ad0v1I</t>
  </si>
  <si>
    <t>A man is showing off his motorbike.</t>
  </si>
  <si>
    <t>He gives a small talk about his bike first.</t>
  </si>
  <si>
    <t>Then he drives his bike on the track.</t>
  </si>
  <si>
    <t>He then does quick demonstrations on how his bike moves and how it sits.</t>
  </si>
  <si>
    <t>He then talks more about his bike while sitting on his bike.</t>
  </si>
  <si>
    <t>He then drives around a flat dirt track while cutting a few times to his talks describing his techniques.</t>
  </si>
  <si>
    <t>He ends by talking about his bike some more.</t>
  </si>
  <si>
    <t>v_Ye3u6ujLEl0</t>
  </si>
  <si>
    <t>A swimmer puts on a pair of goggles getting ready.</t>
  </si>
  <si>
    <t>The swimmer pulls a muscle in the pool and jumps up onto the pool deck and stretches out his leg.</t>
  </si>
  <si>
    <t>A swimmer dives off from a board into the water with a splash.</t>
  </si>
  <si>
    <t>The athlete swims in a lane and pulls himself along with the float line.</t>
  </si>
  <si>
    <t>The swimmer swims underwater and pushes off the pool floor.</t>
  </si>
  <si>
    <t>The swimmer does a butterfly stroke in the pool lane.</t>
  </si>
  <si>
    <t>v_V1ntLwOfkyE</t>
  </si>
  <si>
    <t>A gymnast jumps onto a pummel horse.</t>
  </si>
  <si>
    <t>The gymnast performs many spins around the horse as he holds onto the two bars on the pummel horse.</t>
  </si>
  <si>
    <t>A couple of judges look on.</t>
  </si>
  <si>
    <t>The gymnast jumps off the pummel horse.</t>
  </si>
  <si>
    <t>v_hkpYSfc5Ewc</t>
  </si>
  <si>
    <t>A gymnast is seen jumping onto a set of uneven bars and performs a gymnastics routine in front of a large crowd.</t>
  </si>
  <si>
    <t>The man flips around the beams and ends with him jumping down with his arms up and waving to the crowd.</t>
  </si>
  <si>
    <t>v_Xag8E74bkpw</t>
  </si>
  <si>
    <t>A woman wearing a hat is seen sitting behind a large set of bongo drums.</t>
  </si>
  <si>
    <t>The woman plays on the drums continuously.</t>
  </si>
  <si>
    <t>The woman continues hitting the drums and ends by pointing to the camera and standing up.</t>
  </si>
  <si>
    <t>v_UOkpGU7NAag</t>
  </si>
  <si>
    <t>A girl is going across a set of monkey bars.</t>
  </si>
  <si>
    <t>She gets to the end and stands on a wooden plank.</t>
  </si>
  <si>
    <t>She then goes back across the monkey bars in the other direction.</t>
  </si>
  <si>
    <t>She goes to another part of the playground and jumps up and down.</t>
  </si>
  <si>
    <t>v_b-ex8bAnl5U</t>
  </si>
  <si>
    <t>man is in front of an automaic cashier and take some money of it, and go talk with some men in a room full of people.</t>
  </si>
  <si>
    <t>men are sittig in a blackjack table and are gambling in a casino and talking to each other while people is looking the game and walking around the table.</t>
  </si>
  <si>
    <t>dealing is spreading the cards and men fire up a tobacco.</t>
  </si>
  <si>
    <t>v_Jb8YAhQ6EMk</t>
  </si>
  <si>
    <t>A woman washes a pot with soapy water while standing with her back to the camera at the kitchen sink.</t>
  </si>
  <si>
    <t>The woman turns and talks to the camera while washing the pot and smiles a bit as the camera shakily catches the activity.</t>
  </si>
  <si>
    <t>The woman rinses the pot off and then turns and holds it up in the air, dripping water, making a scary face, as if she is going to attack the camera man with it, but then turns away from the camera man and toward the sink counter.</t>
  </si>
  <si>
    <t>v_csxC5H5uDb4</t>
  </si>
  <si>
    <t>Two individuals are in room painting and doing redecorating.</t>
  </si>
  <si>
    <t>Two men alternate going up and down on a ladder putting paste on the wall for the wall paper.</t>
  </si>
  <si>
    <t>These actions continue to take place until the whole wall is covered in white wall paper with large blue flowers on them as a girl sits down behind a row of books.</t>
  </si>
  <si>
    <t>v_02yDi9BaDO8</t>
  </si>
  <si>
    <t>A woman in a red shirt is standing in a room.</t>
  </si>
  <si>
    <t>She starts working out on a blue mat.</t>
  </si>
  <si>
    <t>She stops and talks to the camera.</t>
  </si>
  <si>
    <t>v_wBv1tu74S2E</t>
  </si>
  <si>
    <t>A gymnast stretches out and climbs onto a set of parallel double bars.</t>
  </si>
  <si>
    <t>The gymnast does a routine in a competition on the double bars with flips and turns.</t>
  </si>
  <si>
    <t>The gymnast dismounts from the equipment and lands on the mat.</t>
  </si>
  <si>
    <t>v_hxQhQsl-N1k</t>
  </si>
  <si>
    <t>A guy is half kneeing on a gym floor.</t>
  </si>
  <si>
    <t>The guy starts pressing a weight in one hand.</t>
  </si>
  <si>
    <t>v_MYRsm8m9mk4</t>
  </si>
  <si>
    <t>There are several men playing tug of war on a sandy ground that is surrounded by mountains.</t>
  </si>
  <si>
    <t>They continue pulling the rope with force.</t>
  </si>
  <si>
    <t>Several spectators are watching them and cheering them as they continue to play.</t>
  </si>
  <si>
    <t>The players continue to pull the rope with concentration.</t>
  </si>
  <si>
    <t>Finally the victorious team raises their hands up and cheer and dance around in a circle.</t>
  </si>
  <si>
    <t>v_NdFbQ0l3R9k</t>
  </si>
  <si>
    <t>A young preteen female is standing in the corner of a room talking.</t>
  </si>
  <si>
    <t>The girl is then shown in a sparkly leotard inside of a gymnasium.</t>
  </si>
  <si>
    <t>After,she hops on the balance beam and begins to do tricks before she flips off of the balance beam.</t>
  </si>
  <si>
    <t>She then retreats back to the camera,says a few brief words and waves bye.</t>
  </si>
  <si>
    <t>v_mbGDPga031E</t>
  </si>
  <si>
    <t>People play shuffleboard indoors and outdoors.</t>
  </si>
  <si>
    <t>A person observes when people plays shuffleboard in the street.</t>
  </si>
  <si>
    <t>A couple of old people play outdoor.</t>
  </si>
  <si>
    <t>Other people play shuffleboard pushing the balls in the triangle.</t>
  </si>
  <si>
    <t>v_T-rV3KKFOgg</t>
  </si>
  <si>
    <t>A man demonstrates how to wash the underbody of a car.</t>
  </si>
  <si>
    <t>A car is shown going through a commercial wash.</t>
  </si>
  <si>
    <t>They advertise their expertise in washing cars.</t>
  </si>
  <si>
    <t>v_K-PpTJmmjhA</t>
  </si>
  <si>
    <t>An old woman talks in a costume shop.</t>
  </si>
  <si>
    <t>Then she puts a garment on the iron board, sprays water and iron the collar.</t>
  </si>
  <si>
    <t>After, the woman irons the sleeves of the garment and the body part.</t>
  </si>
  <si>
    <t>Next, the woman shows the ironed garment.</t>
  </si>
  <si>
    <t>v_I_6Ok72DnJA</t>
  </si>
  <si>
    <t>A man is hanging wallpaper on a wall.</t>
  </si>
  <si>
    <t>He peels the sticky side from the backing paper.</t>
  </si>
  <si>
    <t>He is now applying the sticky side of the paper to the wall.</t>
  </si>
  <si>
    <t>He repeats this several more times on different parts of the wall.</t>
  </si>
  <si>
    <t>v_GoVqtUSnshE</t>
  </si>
  <si>
    <t>A news woman is speaking from a news room.</t>
  </si>
  <si>
    <t>Then we see breaking news videos on the screen.</t>
  </si>
  <si>
    <t>A woman is shown drinking some kind of fluid on a dare, and the women take turns drinking the liquid.</t>
  </si>
  <si>
    <t>v_cHdZ_dBVgDE</t>
  </si>
  <si>
    <t>A man and a woman dressed in black and red stand in the middle of a room surrounded by a very large amount of people sitting and watching them.</t>
  </si>
  <si>
    <t>They dance and dance working very well together.</t>
  </si>
  <si>
    <t>They twist and turn and even do all kinds of nice moves together.</t>
  </si>
  <si>
    <t>The man bends down and swings the female across his back where she flips over and ends the dance.</t>
  </si>
  <si>
    <t>v_hGUUlFxygmw</t>
  </si>
  <si>
    <t>A girl is sitting talking the the camera.</t>
  </si>
  <si>
    <t>The girl points the camera to the ground.</t>
  </si>
  <si>
    <t>A half manicure hand of another girl is seen on the floor.</t>
  </si>
  <si>
    <t>The first girl proceeds to polish the second girl's fingernails.</t>
  </si>
  <si>
    <t>v_WvpiEwrWmWE</t>
  </si>
  <si>
    <t>A cheerleader perform graciously using a rod that spins in her right hand.</t>
  </si>
  <si>
    <t>Then, she takes another rod to perform and spins at the same time the rods.</t>
  </si>
  <si>
    <t>After, the cheerleader put one rod on the floor and continue performing only with one rod.</t>
  </si>
  <si>
    <t>v_Fk0z6MeCV0I</t>
  </si>
  <si>
    <t>A class of kids are at outside at school dressed in uniforms with their teacher standing next to them.</t>
  </si>
  <si>
    <t>As they are in line,one girl is in the middle of a game of hop scotch,turns around,finishes and gets back in line.</t>
  </si>
  <si>
    <t>Once she is finishes,all of the other kids takes their turn one by one.</t>
  </si>
  <si>
    <t>v_YmGXXV6ztUo</t>
  </si>
  <si>
    <t>An Asian man wearing glasses, a green shirt with yellow stripes is sitting down talking in a room.</t>
  </si>
  <si>
    <t>Still shot pictures of a book appear, and the man appears talking again, and then more black text on a white screen shows up.</t>
  </si>
  <si>
    <t>The man appears again but this time he's outdoors and he's holding a very large archery and is showing the right and the wrong way to draw his string back.</t>
  </si>
  <si>
    <t>The man then moves a plant and stands so that he's standing in between two of them on the ground and he begins holding his archery, and showing different ways to hold it.</t>
  </si>
  <si>
    <t>The man appears again back indoors and sitting down talking.</t>
  </si>
  <si>
    <t>v_8l7SuE4_lCk</t>
  </si>
  <si>
    <t>A young man is seen looking into the camera holding a toothbrush.</t>
  </si>
  <si>
    <t>The man then begins brushing his teeth in several shots.</t>
  </si>
  <si>
    <t>He continues brushing his teeth and showing off his mouth in the end.</t>
  </si>
  <si>
    <t>v_CYj2ltxPNDo</t>
  </si>
  <si>
    <t>An athlete stands eagerly awaiting his turn while the judges prepare for his routine.</t>
  </si>
  <si>
    <t>A foreign commentator comments on his routine while he flips himself through the air.</t>
  </si>
  <si>
    <t>The man continues twirling and flipping on the bars for his gymnastic routine while audience members cheer loudly.</t>
  </si>
  <si>
    <t>The video slows down and shows the highlights of the routine in slow motion.</t>
  </si>
  <si>
    <t>The athlete rests on the couch while the judges finish their critiques.</t>
  </si>
  <si>
    <t>Eventually the man hears his score and smiles pleasingly.</t>
  </si>
  <si>
    <t>v_E1b_DF716Q4</t>
  </si>
  <si>
    <t>A young girl is seen sitting in front of the camera with several objects being held in front of her face.</t>
  </si>
  <si>
    <t>Two hand pulls a tube through next to her and the woman then puts the tubes in the girl's hair.</t>
  </si>
  <si>
    <t>In the end the woman takes the tubes out and the girl continues to look at the camera.</t>
  </si>
  <si>
    <t>v_ucR3VztMyeE</t>
  </si>
  <si>
    <t>A girl starts to climb the monkey bars.</t>
  </si>
  <si>
    <t>She starts climbing forward to the end.</t>
  </si>
  <si>
    <t>She has difficulties in the middle of the bars.</t>
  </si>
  <si>
    <t>A woman appears looking to help.</t>
  </si>
  <si>
    <t>She finishes the climb very happy.</t>
  </si>
  <si>
    <t>v_7hRls13HJow</t>
  </si>
  <si>
    <t>A person is filming a house and a dog walking into frame.</t>
  </si>
  <si>
    <t>A small girl is washing the floor with a mop and talking to the camera man.</t>
  </si>
  <si>
    <t>The camera man talks to the girl about cleaning and why she likes it.</t>
  </si>
  <si>
    <t>The girl finishes washing the floor.</t>
  </si>
  <si>
    <t>v_Ax8GCogz6Yg</t>
  </si>
  <si>
    <t>An introduction comes onto the screen for a video about a jump rope competition.</t>
  </si>
  <si>
    <t>One person is shown doing a set of jump rope tricks.</t>
  </si>
  <si>
    <t>Two people are then shown doing more jump rope tricks.</t>
  </si>
  <si>
    <t>Next, four people are shown doing jump rope tricks in the gymnasium.</t>
  </si>
  <si>
    <t>Next a variety of tricks are being shown done by several different people on the floor in the gymnasium.</t>
  </si>
  <si>
    <t>The video then ends with the closing credits.</t>
  </si>
  <si>
    <t>v_ANuV_fDgI54</t>
  </si>
  <si>
    <t>We see a red opening screen.</t>
  </si>
  <si>
    <t>Men pole vault in an outdoor field.</t>
  </si>
  <si>
    <t>A mans's face on the left of the screen moves back and out of the shot.</t>
  </si>
  <si>
    <t>The camera angle changes and we continue to watch the men pole vault.</t>
  </si>
  <si>
    <t>v_dzsSiqXxfpw</t>
  </si>
  <si>
    <t>A man is seen lecturing a crowd while holding several green Frisbees in his hand.</t>
  </si>
  <si>
    <t>After talking to the crowd he calls out and a dog runs out on the stage to him.</t>
  </si>
  <si>
    <t>Initially he starts to play with the dog and the dog kept trying to grab the mans frisbees,than the man throws the Frisbees on the ground and starts to play fetch with the dog.</t>
  </si>
  <si>
    <t>At one point the dog starts to jump off the mans back as he chases after Frisbees.</t>
  </si>
  <si>
    <t>Also at another point the man grabs on to a Frisbee at one end and a dog at the other end and he starts to spin the dog around.</t>
  </si>
  <si>
    <t>In the end the man performs a trick with the dog and makes him do a back flip and grabs him and takes him off the stage .</t>
  </si>
  <si>
    <t>v_-uICMT1yOcM</t>
  </si>
  <si>
    <t>A baby is sitting in a high chair.</t>
  </si>
  <si>
    <t>An ice cream pop goes into her mouth, and she chews a bite from it.</t>
  </si>
  <si>
    <t>She sticks out her tongue after every bite, licking at the air.</t>
  </si>
  <si>
    <t>v_FI_1dsErIXE</t>
  </si>
  <si>
    <t>A man holds a yellow canister as he clears a wood board.</t>
  </si>
  <si>
    <t>He sprays the wood with the yellow canister.</t>
  </si>
  <si>
    <t>He takes a rag and cleans the wood.</t>
  </si>
  <si>
    <t>He speaks as he showcases the wood and presses his fingers on the board.</t>
  </si>
  <si>
    <t>v_c6Cbq-WNq9M</t>
  </si>
  <si>
    <t>The exterior of a building is shown, including a waving American flag near the front door.</t>
  </si>
  <si>
    <t>A man appears and talks about a tree near the front of the building.</t>
  </si>
  <si>
    <t>He then demonstrates how to trim the tree, picking off branches at eye level and using a tool for taller branches.</t>
  </si>
  <si>
    <t>The company hat is then shown on the step, surrounded by leaves.</t>
  </si>
  <si>
    <t>v_mb2fWzNSob0</t>
  </si>
  <si>
    <t>At the center of sandy field, has the cows fighting at the center, while the audience are watching on the sides, sitting on the ground.</t>
  </si>
  <si>
    <t>Three men are supervising the bullfighting, the bull push each other with their horns.</t>
  </si>
  <si>
    <t>A man got off from his truck, the other man pulled the bull off of his truck, the bull are tied on a poles.</t>
  </si>
  <si>
    <t>Two men are holding each end of the rope as the black bull stumped on the ground.</t>
  </si>
  <si>
    <t>The bulls are fighting at the center of the field, and the people are watching, one bull ran towards the audience.</t>
  </si>
  <si>
    <t>v_80spFFIdnC4</t>
  </si>
  <si>
    <t>A view of a wide ocean taken from a boat appears and various men are shown doing different things on the boat on both the inside and the outside and include steering the wheel up deck, or sitting at computers monitoring things.</t>
  </si>
  <si>
    <t>A man sitting on the deck of the boat is talking to the camera while a man behind him is standing and the man beside that standing man is controlling the steering wheel of the boat.</t>
  </si>
  <si>
    <t>The focus change to another man on the boat and he is talking to the camera as well.</t>
  </si>
  <si>
    <t>v_2OEc8kPVn_Y</t>
  </si>
  <si>
    <t>An Asian woman is standing outside in a large field wearing a pink loose linen like outfit.</t>
  </si>
  <si>
    <t>She then puts her legs and hands out and begins to move like a ninja throughout the field.</t>
  </si>
  <si>
    <t>After she has moved left and right across the field,she then comes back to the middle of the field and stands still to complete her routine.</t>
  </si>
  <si>
    <t>v_kRBqJhxfWHc</t>
  </si>
  <si>
    <t>A woman in an orange shirt is drinking a glass of beer.</t>
  </si>
  <si>
    <t>The beer is pouring down the front of her shirt.</t>
  </si>
  <si>
    <t>People behind her are dancing.</t>
  </si>
  <si>
    <t>She finishes the drink and sets it down.</t>
  </si>
  <si>
    <t>v_4ZyPBOe4P0U</t>
  </si>
  <si>
    <t>A man in a tan shirt is talking.</t>
  </si>
  <si>
    <t>He sets his tennis racket down on the ground.</t>
  </si>
  <si>
    <t>Another man runs around on a tennis court.</t>
  </si>
  <si>
    <t>v_bH7ORYDcI7A</t>
  </si>
  <si>
    <t>A black and white dog is standing near the main door of a house as he listens to the sound of helicopter.</t>
  </si>
  <si>
    <t>Then main door then opens and the dog steps back.</t>
  </si>
  <si>
    <t>There are two dog trainers in an enclosed room training a dog to jump and catch several Frisbee.</t>
  </si>
  <si>
    <t>the male trainer throws the Frisbee at the dog and the dog jumps and fetches it for him.</t>
  </si>
  <si>
    <t>The trainer continuously throws the Frisbee and dog jumps high up and grabs the Frisbee every time.</t>
  </si>
  <si>
    <t>There are several different trainers shown training and teaching their dogs tricks.</t>
  </si>
  <si>
    <t>v_rScqKu8Mwhk</t>
  </si>
  <si>
    <t>An introduction for a vacuum demo is shown on the screen.</t>
  </si>
  <si>
    <t>The video shows the vacuum being tested against several different challenges by a boy and his father.</t>
  </si>
  <si>
    <t>The video ends with a screen showing the logo for the vacuum company.</t>
  </si>
  <si>
    <t>v_7VbXyfF3kEw</t>
  </si>
  <si>
    <t>Two women wearing matching outfits are on their microphones and kind of half watching a boy play with a rubix cube.</t>
  </si>
  <si>
    <t>The boy is solving the cube pretty quickly the girl seems pretty shocked.</t>
  </si>
  <si>
    <t>Then a group of people start trying to a puzzle to see who is the fastest.</t>
  </si>
  <si>
    <t>Another boy in a blue shirt come up and starts to solve it and when he does the girls give hime a prize.</t>
  </si>
  <si>
    <t>v_7lwrP2ma2TU</t>
  </si>
  <si>
    <t>A person observes an old samurai temple.</t>
  </si>
  <si>
    <t>A man holds an arch and shoots arrows, while men sit on the road sorts arrows.</t>
  </si>
  <si>
    <t>Three small boards are fix on the ground, suddenly and arrow hits one board.</t>
  </si>
  <si>
    <t>People gather on a road, then a old man gives a white box to a man dressed in white clothes.</t>
  </si>
  <si>
    <t>v_gi0wjdtxaC4</t>
  </si>
  <si>
    <t>A boy does cartwheels and back hand springs on the grass as a friend watches and records.</t>
  </si>
  <si>
    <t>He stops for a moment and takes a break then continues to do more flips.</t>
  </si>
  <si>
    <t>Another guy comes onto the screen and attempts to do some flips on the grass.</t>
  </si>
  <si>
    <t>v_ru4NMIVZqrg</t>
  </si>
  <si>
    <t>A girl walks out of a room and down a hall.</t>
  </si>
  <si>
    <t>She puts down her duffel bag before lying down on a table.</t>
  </si>
  <si>
    <t>Someone hands her a cup and she drinks it, then they work on tattooing her tongue.</t>
  </si>
  <si>
    <t>A rod is inserted into her tonue and clipped, creating a piercing.</t>
  </si>
  <si>
    <t>She sticks out her tongue at the camera, showing off her piercing.</t>
  </si>
  <si>
    <t>v_r09mVf2dQnk</t>
  </si>
  <si>
    <t>A custodian sprays the counter of a sink with a spray bottle.</t>
  </si>
  <si>
    <t>The worker uses a brush to clean out the sink.</t>
  </si>
  <si>
    <t>The worker uses a hand towel to clean out the liquid in the sink.</t>
  </si>
  <si>
    <t>v_xww6n1FoJIM</t>
  </si>
  <si>
    <t>A man is talking about what is going on in the TV behind him as a news story.</t>
  </si>
  <si>
    <t>A group of people are in the field playing a game running all around.</t>
  </si>
  <si>
    <t>Many of the players are able to have a chance to speak about the team and stuff.</t>
  </si>
  <si>
    <t>They show the practice and the players and then they go back to the news anchors who continue to talk a little bit more about it.</t>
  </si>
  <si>
    <t>v_8TqqLqBb3sk</t>
  </si>
  <si>
    <t>A woman is standing in a kitchen while talking.</t>
  </si>
  <si>
    <t>She shows a bag, pushing on it with her fist.</t>
  </si>
  <si>
    <t>She closes it up, and shows how it stays in shape.</t>
  </si>
  <si>
    <t>v__cU5aISTDBo</t>
  </si>
  <si>
    <t>A man picks up a long pole and starts running down a track.</t>
  </si>
  <si>
    <t>He jumps over a high bar and lands on a mat.</t>
  </si>
  <si>
    <t>v_ij87GXkcdho</t>
  </si>
  <si>
    <t>Several people are seen riding on exercise equipment while speaking to the camera.</t>
  </si>
  <si>
    <t>A man is seen speaking to the camera while more shots of the equipment are shown.</t>
  </si>
  <si>
    <t>People move all around the machine and lead with the man speaking more and showing how to adjust the machine.</t>
  </si>
  <si>
    <t>v_3FUVKpQA6IY</t>
  </si>
  <si>
    <t>Some people are playing beer bong having a good time, the man throws fist and he makes it into the girls cup.</t>
  </si>
  <si>
    <t>She drinks her drink and then wets her ball in water before throwing her ball.</t>
  </si>
  <si>
    <t>Then, she takes a seat and the other guy takes his turn.</t>
  </si>
  <si>
    <t>Then it's the girl on the other teams turn, they keep taking their turns and drinking away, having a good time.</t>
  </si>
  <si>
    <t>v_IytPbGtfo14</t>
  </si>
  <si>
    <t>We see a lady behind a bar talking.</t>
  </si>
  <si>
    <t>The lady pours ice in glass.</t>
  </si>
  <si>
    <t>The lady pours three shots of liquor into a cup.</t>
  </si>
  <si>
    <t>The lady pours other stuff in and shakes it.</t>
  </si>
  <si>
    <t>The lady pours the pours the drink into a glass.</t>
  </si>
  <si>
    <t>The lady adds some red stuff.</t>
  </si>
  <si>
    <t>The lady holds the glass and smiles.</t>
  </si>
  <si>
    <t>v_hiz0rH1bO7k</t>
  </si>
  <si>
    <t>kids are playing hurling in a large green field.</t>
  </si>
  <si>
    <t>kids are sanding al in front of the goal to make a free shot.</t>
  </si>
  <si>
    <t>kids are posing for a picture in the green field.</t>
  </si>
  <si>
    <t>v_J7LhH4IKvnM</t>
  </si>
  <si>
    <t>A large dog is standing in a bath tub.</t>
  </si>
  <si>
    <t>A woman in a pink shirt is scrubbing the dog with soap.</t>
  </si>
  <si>
    <t>She then starts washing the dog with a hose.</t>
  </si>
  <si>
    <t>v_bW5HfDWUP3U</t>
  </si>
  <si>
    <t>A woman is sitting on the floor with her shoes off.</t>
  </si>
  <si>
    <t>The woman puts one shoe on.</t>
  </si>
  <si>
    <t>Something is thrown at the woman and she attempts to catch it.</t>
  </si>
  <si>
    <t>The camera briefly shifts right to show another individual.</t>
  </si>
  <si>
    <t>The camera returns to the woman still putting the shoe on.</t>
  </si>
  <si>
    <t>The camera shifts right to several individuals in the room, waiting for the woman to put her shoes on.</t>
  </si>
  <si>
    <t>The camera shifts back to the woman, still putting her shoe on.</t>
  </si>
  <si>
    <t>The woman begins putting the other shoe on.</t>
  </si>
  <si>
    <t>v_Z2b84JjYdtw</t>
  </si>
  <si>
    <t>A slide of pictures shows performing a marching band and girls moving around.</t>
  </si>
  <si>
    <t>Then, marching bands play and girls perform holding flags.</t>
  </si>
  <si>
    <t>v_uGVkH6PjXLs</t>
  </si>
  <si>
    <t>A young lady is standing in a field of dirt with an ax in her hand attempting to cut down a log.</t>
  </si>
  <si>
    <t>The girl is not successful in her first attempt so she picks the log back up and tries again.</t>
  </si>
  <si>
    <t>v_giN7cA0EmLs</t>
  </si>
  <si>
    <t>A group of people are seen riding around in tubes while pushing themselves down a diver.</t>
  </si>
  <si>
    <t>The people continue to ride in the tubes down the river while looking towards the camera as well as laughing and smiling.</t>
  </si>
  <si>
    <t>v_3LrLgh2rlAM</t>
  </si>
  <si>
    <t>A man wearing black is in a gym.</t>
  </si>
  <si>
    <t>He picks up some heavy barbells.</t>
  </si>
  <si>
    <t>He lifts the barbells over his head.</t>
  </si>
  <si>
    <t>He then drops the barbells onto the ground.</t>
  </si>
  <si>
    <t>v_iRp-pWnPoYw</t>
  </si>
  <si>
    <t>A man walks out of a building and starts skateboarding.</t>
  </si>
  <si>
    <t>He is skateboarding in between cars.</t>
  </si>
  <si>
    <t>He walks into a building and sits down at a computer.</t>
  </si>
  <si>
    <t>v_23-lat1nVJg</t>
  </si>
  <si>
    <t>We see a lady knitting and singing.</t>
  </si>
  <si>
    <t>We then see a ad for a beer.</t>
  </si>
  <si>
    <t>v_Vk-aKj0R65o</t>
  </si>
  <si>
    <t>Two people are in a room, wearing fencing equipment.</t>
  </si>
  <si>
    <t>They fight with swords, passing back and forth as they jab at each other.</t>
  </si>
  <si>
    <t>v_arfBwR8qgPw</t>
  </si>
  <si>
    <t>a camera shows a group of people sitting around a gymnasium floor with a few standing and one crossing his arms.</t>
  </si>
  <si>
    <t>Suddenly a student comes into frame and jumps over a pole into a mat.</t>
  </si>
  <si>
    <t>v_Cb_R59_-0zU</t>
  </si>
  <si>
    <t>A man starts doing different things such as sneezing,cooking,using the restroom,and washing his face indicating when to wash your hands.</t>
  </si>
  <si>
    <t>A female then comes along and walks to a sink in the kitchen and begins to lather her hands.</t>
  </si>
  <si>
    <t>She then turns on the faucet and rinses her hands,dries them,and puts the napkin in the trash can.</t>
  </si>
  <si>
    <t>v_jpSbO4LrEnc</t>
  </si>
  <si>
    <t>A person is seen wearing a back pack and riding away from the camera on roller blades.</t>
  </si>
  <si>
    <t>The person then rides back and hangs onto a sign swinging himself around then smiling at the camera.</t>
  </si>
  <si>
    <t>v_hhN1647pP88</t>
  </si>
  <si>
    <t>a man is wearing a safety vest.</t>
  </si>
  <si>
    <t>He is working with tools and sand.</t>
  </si>
  <si>
    <t>He uses the sand to spread evenly against the walls.</t>
  </si>
  <si>
    <t>v_FCYdwCXRNVI</t>
  </si>
  <si>
    <t>We see a person welding in the dark.</t>
  </si>
  <si>
    <t>The person pauses and adjusts his helmet.</t>
  </si>
  <si>
    <t>The man lifts his helmet briefly.</t>
  </si>
  <si>
    <t>The man lifts and lowers his helmet.</t>
  </si>
  <si>
    <t>the man looks out from under his helmet.</t>
  </si>
  <si>
    <t>The man finishes and lifts his helmet.</t>
  </si>
  <si>
    <t>v_QLVgy-1ydr0</t>
  </si>
  <si>
    <t>A male attaches a hollow stick on a bull whom chases him.</t>
  </si>
  <si>
    <t>A guy messes with a bull.</t>
  </si>
  <si>
    <t>A bull pushes a man down.</t>
  </si>
  <si>
    <t>The audience claps while standing.</t>
  </si>
  <si>
    <t>The bull is lured into a pen and the gates are close.</t>
  </si>
  <si>
    <t>The male gives a thumbs up and smiles.</t>
  </si>
  <si>
    <t>A male attaches two hollow sticks on a bull and runs off.</t>
  </si>
  <si>
    <t>The bull tackles the male.</t>
  </si>
  <si>
    <t>The male gets up and his face is bloody.</t>
  </si>
  <si>
    <t>People help the male and carry him away.</t>
  </si>
  <si>
    <t>The male leaves a black shoe behind.</t>
  </si>
  <si>
    <t>People discuss in a circle.</t>
  </si>
  <si>
    <t>The man nods his head.</t>
  </si>
  <si>
    <t>People walk off the rodeo dirt and the man covers his nose.</t>
  </si>
  <si>
    <t>v_fZ_CmvF-_No</t>
  </si>
  <si>
    <t>A team of competition cheerleaders come running out into the field and get into formation.</t>
  </si>
  <si>
    <t>The girls squat down and they begin to do their cheer which consists of several stunts,tricks,and jumps across the mat.</t>
  </si>
  <si>
    <t>Once they are finished,the girls end in a stunt and the stunt man runs out to the group.</t>
  </si>
  <si>
    <t>v_2cUJTeArPsI</t>
  </si>
  <si>
    <t>little kid is hanging from a pole in a playground.</t>
  </si>
  <si>
    <t>playground is shown in a dusty field in a big park.</t>
  </si>
  <si>
    <t>little kid is wearng pink shirt and is hanging from a side to side.</t>
  </si>
  <si>
    <t>v_0UcBldDI0RA</t>
  </si>
  <si>
    <t>Joe Morin from Titan alloy is talking about welding aluminum.</t>
  </si>
  <si>
    <t>He is doing a tutorial on how to fix aluminum.</t>
  </si>
  <si>
    <t>He shows a new product called Nova, which is an electrode for cleaning dirty aluminum.</t>
  </si>
  <si>
    <t>He shows two aluminum plates that are joined together for demonstration purposes.</t>
  </si>
  <si>
    <t>He takes the Nova rod and shows how he can weld the two pieces together.</t>
  </si>
  <si>
    <t>He begins welding the two plates of aluminum.</t>
  </si>
  <si>
    <t>Then he hits the plates with a hammer and scrubs off the dust.</t>
  </si>
  <si>
    <t>He shows the back side of the plates and how it is welded together.</t>
  </si>
  <si>
    <t>v_EzQL-i_MTdU</t>
  </si>
  <si>
    <t>A man at a professional sports event, lifts a large and heavy weight using knees, back and arm strength while a woman in a suit watches from the sidelines.</t>
  </si>
  <si>
    <t>A man wearing a "USA" shirt, or team uniform approaches a two sided weight as a woman watches from the side near a door.</t>
  </si>
  <si>
    <t>The man lifts the weight and the camera shows the process in slow motion.</t>
  </si>
  <si>
    <t>The man lifts the weight over his head and then drops it to mid body before letting it fall to the floor, at which he point he waives at an unseen audience, all while the woman on the sideline continues to observe.</t>
  </si>
  <si>
    <t>v_b1PAqOmflgI</t>
  </si>
  <si>
    <t>A boy in a blue t-shirt bounces two basketballs in a gym while blocking another basketball player and making a goal with the ball.</t>
  </si>
  <si>
    <t>A boy bounces two basketballs between his legs.</t>
  </si>
  <si>
    <t>Another basketball player approaches him and tries to take the ball from him.</t>
  </si>
  <si>
    <t>The player in the blue shirt blocks him and makes the goal, and then proceeds to do it again, twice.</t>
  </si>
  <si>
    <t>v_OLUOk4xfYWE</t>
  </si>
  <si>
    <t>man is playing piano with a lot of people gathered around him.</t>
  </si>
  <si>
    <t>man is holding a cellphone and is recording the man in the piano.</t>
  </si>
  <si>
    <t>v_HBJzxWj7CaY</t>
  </si>
  <si>
    <t>A man stands in front of the camera speaking and various trips of people and sites are shown.</t>
  </si>
  <si>
    <t>Another man is interviewed followed by several more shots of the area.</t>
  </si>
  <si>
    <t>A panel of people speak to one another and people get ready for a race.</t>
  </si>
  <si>
    <t>Dozens of people line up and begin swimming in the ocean to race.</t>
  </si>
  <si>
    <t>Many more people are interviewed while the race continues and many people watch and discuss the events.</t>
  </si>
  <si>
    <t>v_pf9u7M6vafU</t>
  </si>
  <si>
    <t>A young girl is seen sitting on a bed with two knitting needles and thread in her hands.</t>
  </si>
  <si>
    <t>The camera pans around her and watches her knit while she speaks and looks off into the distance.</t>
  </si>
  <si>
    <t>v_2U0vMYnC49c</t>
  </si>
  <si>
    <t>A boy in red jacket holds a window scraper tool and remove snow from a car windshield.</t>
  </si>
  <si>
    <t>The boy turns the tool and uses the edge corner edge briefly.</t>
  </si>
  <si>
    <t>The boy continues to scrape the windshield as before with the broad side of the tool.</t>
  </si>
  <si>
    <t>v_0GpNcvAVWVg</t>
  </si>
  <si>
    <t>We see the colorful title card.</t>
  </si>
  <si>
    <t>We see kids playing at the playground.</t>
  </si>
  <si>
    <t>The boy gets off the swing and we follow him to the slide.</t>
  </si>
  <si>
    <t>The boy finishes sliding and goes to a different part of the park and plays around.</t>
  </si>
  <si>
    <t>The boy slides and falls on the bridge before sliding down.</t>
  </si>
  <si>
    <t>He plays with the large swing with another kid.</t>
  </si>
  <si>
    <t>We see the end screen.</t>
  </si>
  <si>
    <t>v_hgpekgU915k</t>
  </si>
  <si>
    <t>A person is holding someone on their shoulders.</t>
  </si>
  <si>
    <t>They spin around several times and fall over onto the floor.</t>
  </si>
  <si>
    <t>The man gets up and sits on the bed.</t>
  </si>
  <si>
    <t>v_PvrozrgcGf0</t>
  </si>
  <si>
    <t>These girls are shown kneeling down on the floor and playing dress up One girl put's chap stick on her lips, cheeks, forehead, and under her eyes.</t>
  </si>
  <si>
    <t>Then another one puts a little makeup on the top of her eyes.</t>
  </si>
  <si>
    <t>v_e5XATG2IK6Q</t>
  </si>
  <si>
    <t>A young child is seen standing before a car holding a rag and looking at the camera.</t>
  </si>
  <si>
    <t>The boy uses the rag all over the car while the camera follows his movements.</t>
  </si>
  <si>
    <t>He continues moving around the car while another man sprays a hose and the boy wipes it down.</t>
  </si>
  <si>
    <t>v_JXucFXh58VE</t>
  </si>
  <si>
    <t>Several people are seen drilling holes into the ice while looking down and speaking to the camera.</t>
  </si>
  <si>
    <t>Many pictures are shown of the people fishing as well as pulling fish out of a hole.</t>
  </si>
  <si>
    <t>More people sit by the holes and continue to pull out fish.</t>
  </si>
  <si>
    <t>v_lV7tpgelpAY</t>
  </si>
  <si>
    <t>A group of people are on an obstacle course together.</t>
  </si>
  <si>
    <t>They are hiding behind the obstacles and shooting at each other with paint guns.</t>
  </si>
  <si>
    <t>They run around, then gather and hug when they are done.</t>
  </si>
  <si>
    <t>v_T8P52q1gCNA</t>
  </si>
  <si>
    <t>Ingredients are mixed together in a silver bowl.</t>
  </si>
  <si>
    <t>It is then placed on a cookie sheet.</t>
  </si>
  <si>
    <t>The cooked food is then shown and broken in half.</t>
  </si>
  <si>
    <t>v_kRVmpJILmjo</t>
  </si>
  <si>
    <t>A field is shown along with some mountains as a person begins driving down a road.</t>
  </si>
  <si>
    <t>After,men are shown and they get out and begin skateboarding down a road in the country.</t>
  </si>
  <si>
    <t>As the continue,a large hay stand is in the middle of the road and they all pass through it and they finish skating down the road.</t>
  </si>
  <si>
    <t>v_LihSTWbJZJo</t>
  </si>
  <si>
    <t>A pile of trees are shown blowing outside on a cobblestone path outside of a building.</t>
  </si>
  <si>
    <t>As the leaves continue to blow a young boy walks into the scene clearing the path with his leaf blower.</t>
  </si>
  <si>
    <t>v_LI3wIHFQkAk</t>
  </si>
  <si>
    <t>A man in a suit plays a flute on stage in front of a man playing a piano.</t>
  </si>
  <si>
    <t>They finish playing and the man playing the piano stands up.</t>
  </si>
  <si>
    <t>v_zc7_D9RiOY0</t>
  </si>
  <si>
    <t>A scuba diver is under the water wearing oxygen in he mouth.</t>
  </si>
  <si>
    <t>The diver is holding his eye mask, and put it on.</t>
  </si>
  <si>
    <t>Another scuba diver took off his eye masks, while behind him are other scuba divers swimming, then he put back is masked on and give an okay sign with his fingers.</t>
  </si>
  <si>
    <t>v_XgJ6iiK-gQo</t>
  </si>
  <si>
    <t>A man is hedging a bush in a yard.</t>
  </si>
  <si>
    <t>He cuts the thick brush up and down.</t>
  </si>
  <si>
    <t>He finishes the hedge, showing off his skills.</t>
  </si>
  <si>
    <t>v_LXH96dFBVYk</t>
  </si>
  <si>
    <t>A bulls runs in the street goring people and throwing them to the floor, while the bulls is attached to a rope.</t>
  </si>
  <si>
    <t>The bull enters a home, then the bull continues goring people in the street.</t>
  </si>
  <si>
    <t>The bull enters a corral and attack a person behind the fence, then the bull continues fiercely goring people in the street.</t>
  </si>
  <si>
    <t>A person pet the bull through a window, after the bull clash with another bull that falls on the ground.</t>
  </si>
  <si>
    <t>The bull attacks a dog sit on front a door.</t>
  </si>
  <si>
    <t>The bull gores people and also attacks people on the sidewalk.</t>
  </si>
  <si>
    <t>The bull continues goring people's behind.</t>
  </si>
  <si>
    <t>v__Ga4HoMl6yM</t>
  </si>
  <si>
    <t>First the man walks the blindfolded woman near the pinata and she starts swinging the broom to hit it.</t>
  </si>
  <si>
    <t>But she misses a few times because the pinata moves up and down in the air.</t>
  </si>
  <si>
    <t>After a while of trying, she hits the string the pinata is hanging from and knocks the pinata down, but has barely gotten any candy out.</t>
  </si>
  <si>
    <t>v_DHWmzuAWxLM</t>
  </si>
  <si>
    <t>A small group of people seen sitting in the water followed by one riding behind a helicopter on a board and a woman speaking to the camera.</t>
  </si>
  <si>
    <t>The man continues to ride and then is seen up in the air with the helicopter and the pilots waving.</t>
  </si>
  <si>
    <t>The man then lets go of the helicopter, riding down on a parachute and landing safely back into the water.</t>
  </si>
  <si>
    <t>The man then lays down while his shot is shown again and the woman speaks to him.</t>
  </si>
  <si>
    <t>v_5Vd6PEUWo64</t>
  </si>
  <si>
    <t>Two women are standing on a beach, wearing bikinis and holding a surf board.</t>
  </si>
  <si>
    <t>They are then shown walking onto the beach and posing for pictures in between surfing on the waves.</t>
  </si>
  <si>
    <t>They show how to do various surfing moves.</t>
  </si>
  <si>
    <t>They are then shown on the beach, sitting down as they talk.</t>
  </si>
  <si>
    <t>v_WVkOtMX9Gg8</t>
  </si>
  <si>
    <t>Several men are seen hosting a news segment that leads into clips of people playing a game together and arguing with one another.</t>
  </si>
  <si>
    <t>More shots of people playing are shown as well as people celebrating and walking away.</t>
  </si>
  <si>
    <t>More shots are shown of the hosts speaking to one another and people hitting the ball and walking away.</t>
  </si>
  <si>
    <t>v_2RxbcK90TeA</t>
  </si>
  <si>
    <t>A woman and one other person paddle in an orange canoe in a calm body of water surrounded by mountains, trees, and bushes.</t>
  </si>
  <si>
    <t>The woman is at the front of the canoe paddling and the other person, who is wearing a face covering hat, sits behind the woman.</t>
  </si>
  <si>
    <t>The two people paddle from the left and pass a line of bushes in front of a mountain.</t>
  </si>
  <si>
    <t>The two people then paddle further away from the mountain and closer to the middle of the body of water.</t>
  </si>
  <si>
    <t>v_vcE8e-fQBhs</t>
  </si>
  <si>
    <t>The video leads into several shots of people performing impressing jumps and flips off of a high dive.</t>
  </si>
  <si>
    <t>More and more people jump off the various heights of the dives and two are shown at the same time in the end.</t>
  </si>
  <si>
    <t>v_8O1cLqQrn4o</t>
  </si>
  <si>
    <t>A man is seen speaking to the camera while man people stand around behind him and practice.</t>
  </si>
  <si>
    <t>The men hit the badminton back and fourth while the older gentlemen continues to speak and point around the court.</t>
  </si>
  <si>
    <t>v_SmBEf-g82Ew</t>
  </si>
  <si>
    <t>A close up of tools and objects are shown laid out leading into several clips of a mean measuring a wall and laying plaster down on it.</t>
  </si>
  <si>
    <t>The man shows how to make plaster while transitioning with him making plaster and continues to show more clips of him laying it down.</t>
  </si>
  <si>
    <t>v_mTsEJFP3W1A</t>
  </si>
  <si>
    <t>A bicycle is shown in a room leaning up against a brown table.</t>
  </si>
  <si>
    <t>A person then walks into the room and starts to take pieces off of the bicycle.</t>
  </si>
  <si>
    <t>The pieces are then added back on the bike and tightened around the wheel.</t>
  </si>
  <si>
    <t>v_iHQ-Kg4Fms8</t>
  </si>
  <si>
    <t>A man stand in the porch of a house looks around and smile.</t>
  </si>
  <si>
    <t>Then, the man grabs a cup and drinks, after he leaves.</t>
  </si>
  <si>
    <t>v_i_Fs0Qrtu90</t>
  </si>
  <si>
    <t>A woman touched a black phone, and a screen of purple capsule like bacteria showed up.</t>
  </si>
  <si>
    <t>The person put back the phone, and started typing on the black keyboard.</t>
  </si>
  <si>
    <t>The bacteria shot is put in the scene.</t>
  </si>
  <si>
    <t>The woman put her hand on the mouse.</t>
  </si>
  <si>
    <t>She put her hand on the wooden desktop.</t>
  </si>
  <si>
    <t>The woman got up and walk towards the hallway.</t>
  </si>
  <si>
    <t>The woman saw a man and shake his hand.</t>
  </si>
  <si>
    <t>The woman went to the bathroom.</t>
  </si>
  <si>
    <t>The woman took off her ring, wash her hand, got home soap and rub it on her hand thoroughly and rinse it.</t>
  </si>
  <si>
    <t>The woman sneeze on her hand.</t>
  </si>
  <si>
    <t>She walks towards her office, put her hand on the desk and phone.</t>
  </si>
  <si>
    <t>v_qqLiKDMtps8</t>
  </si>
  <si>
    <t>These two people shown here are riding their bikes over snowy humps outside.</t>
  </si>
  <si>
    <t>They've rode over dirt humps.</t>
  </si>
  <si>
    <t>They've also rode over sand humps in the building and other humps in a race.</t>
  </si>
  <si>
    <t>v_V3Sz4WWJ2_M</t>
  </si>
  <si>
    <t>A man is seen holding up objects while speaking to a woman and rubbing the object along the wall.</t>
  </si>
  <si>
    <t>He then dips paper in water and begins hanging it up on the walls.</t>
  </si>
  <si>
    <t>He holds up a spray bottle to spray the walls while the others help.</t>
  </si>
  <si>
    <t>The people check the wall and take the paper off followed taking the actual wallpaper off and rubbing the wall.</t>
  </si>
  <si>
    <t>v_3I6LMFdA2lc</t>
  </si>
  <si>
    <t>A baby is shown laying in bed while a comb gently brushes it's hair.</t>
  </si>
  <si>
    <t>The baby eventually smiling while the hand continues to brush the baby's head.</t>
  </si>
  <si>
    <t>The baby gently closes it's eyes and yawns while the brush continues to comb.</t>
  </si>
  <si>
    <t>v_g4vyzwiJYWw</t>
  </si>
  <si>
    <t>A woman demonstrates how to wash the face by washing her face in sink.</t>
  </si>
  <si>
    <t>A woman stands over a sink and splashes water on her face.</t>
  </si>
  <si>
    <t>The woman then works up a lather with liquid soap she has poured onto her hands.</t>
  </si>
  <si>
    <t>The woman then washes her face in circular motions the woman then used a towel to dry her face.</t>
  </si>
  <si>
    <t>v_Ti14bsS3RtU</t>
  </si>
  <si>
    <t>A roofing commercial demonstrates how to fix a slate roof on a house.</t>
  </si>
  <si>
    <t>A man cuts parts on a folding table outside and then installs a slate on a roof using power tools and tools from his tool belt.</t>
  </si>
  <si>
    <t>The man installs copper pieces to the slate roof that protrude from the roof.</t>
  </si>
  <si>
    <t>The man then cuts a copper pipe and does some soldering to the edges of a hole in the copper pipe before the camera cuts again to the roof and then a marketing graphic.</t>
  </si>
  <si>
    <t>v_GBNj2k2OVGo</t>
  </si>
  <si>
    <t>A man with saxophone is playing at the center of the park while a woman is sitting by the fountain.</t>
  </si>
  <si>
    <t>The man is playing the saxophone.</t>
  </si>
  <si>
    <t>Behind him are people lining up at the atm.</t>
  </si>
  <si>
    <t>The camera came closer to the gold saxophone.</t>
  </si>
  <si>
    <t>The man continue playing while people walking past him.</t>
  </si>
  <si>
    <t>The man blow so hard on his saxophone.</t>
  </si>
  <si>
    <t>A white bird standing behind the man.</t>
  </si>
  <si>
    <t>v_7HKWppcWgeY</t>
  </si>
  <si>
    <t>A man is standing next to a bicycle.</t>
  </si>
  <si>
    <t>He is holding a new tube for a tire.</t>
  </si>
  <si>
    <t>He grabs an air pump and attaches it to the tire.</t>
  </si>
  <si>
    <t>He pumps the tire with air.</t>
  </si>
  <si>
    <t>He attaches the pump to the flat tire and pumps it up.</t>
  </si>
  <si>
    <t>v_OO3NO29L50U</t>
  </si>
  <si>
    <t>A person's hand is shown sticking a pen into some water followed by a bit of nail polish.</t>
  </si>
  <si>
    <t>The water changes colors as the various paints are shown and the person creates a swirling pattern into the water.</t>
  </si>
  <si>
    <t>v_RoHYo2x9gbc</t>
  </si>
  <si>
    <t>We see three men in a field cutting tall grass with a scythe.</t>
  </si>
  <si>
    <t>We see the man take a handful of grass and wipe the scythe head with it.</t>
  </si>
  <si>
    <t>The man pulls something from his pocket and rubs it on the scythe.</t>
  </si>
  <si>
    <t>The men then return to cutting the grass.</t>
  </si>
  <si>
    <t>v_1aNOjjLWjxc</t>
  </si>
  <si>
    <t>People are standing on a volleyball court.</t>
  </si>
  <si>
    <t>A man in a white hat is standing in the sand.</t>
  </si>
  <si>
    <t>A person in a black shirt serves the volleyball but it doesn't make it over the net.</t>
  </si>
  <si>
    <t>v_e4YsOfQR3sI</t>
  </si>
  <si>
    <t>A woman sits at a piano and plays in front of a small audience.</t>
  </si>
  <si>
    <t>The camera focuses on several men watching her.</t>
  </si>
  <si>
    <t>The woman sings with the piano.</t>
  </si>
  <si>
    <t>The camera captures the reaction of the members of the audience.</t>
  </si>
  <si>
    <t>The camera captures more reaction shots from the audience.</t>
  </si>
  <si>
    <t>v_QZi1yBFRZzc</t>
  </si>
  <si>
    <t>A pair of garden shears is shown.</t>
  </si>
  <si>
    <t>A woman is demonstrating how to use the garden shears in different situations.</t>
  </si>
  <si>
    <t>A younger girl demonstrates how to use the shears.</t>
  </si>
  <si>
    <t>An older man shows how he uses the shears.</t>
  </si>
  <si>
    <t>A young man is shown using the shears to reach something above his head.</t>
  </si>
  <si>
    <t>The original woman shown demonstrates using the shears on different plant types.</t>
  </si>
  <si>
    <t>The same woman shows how to use the telescoping handle of the shears and cutting plants that would be out of reach.</t>
  </si>
  <si>
    <t>The same woman walks down a path with the shears.</t>
  </si>
  <si>
    <t>The woman then shows how the shears work demonstrating on several other plants.</t>
  </si>
  <si>
    <t>A young woman is shown using the shears.</t>
  </si>
  <si>
    <t>An older man uses the shears.</t>
  </si>
  <si>
    <t>Another man is shown using the shears to reach tree limbs.</t>
  </si>
  <si>
    <t>The first woman shows additional features of the shears and the same examples of other people using the shears is shown again.</t>
  </si>
  <si>
    <t>The woman walks up a set of stairs with the shears.</t>
  </si>
  <si>
    <t>The same woman is shown in the store purchasing the shears.</t>
  </si>
  <si>
    <t>v_fFoYCI-Si6s</t>
  </si>
  <si>
    <t>Two men are inside a gym.</t>
  </si>
  <si>
    <t>One is in boxing gloves and the other is wearing arm guards.</t>
  </si>
  <si>
    <t>They show off the different moves in punching and kicking.</t>
  </si>
  <si>
    <t>v_6aHGUTy1iho</t>
  </si>
  <si>
    <t>A camera pans around an athletic field with various people warming up and holding sticks.</t>
  </si>
  <si>
    <t>A girl holding a stick is spoken to by an instructor and she runs through and throws the pole.</t>
  </si>
  <si>
    <t>She walks back while another grabs a rope to estimate her distance.</t>
  </si>
  <si>
    <t>v_n1JkJu0VjQk</t>
  </si>
  <si>
    <t>A young man in a white karate uniform practices some moves.</t>
  </si>
  <si>
    <t>He bows at the end and runs towards the camera.</t>
  </si>
  <si>
    <t>v_aDrjDISgmLU</t>
  </si>
  <si>
    <t>men are standing in a field playing throwing a small piece of food into another man's mouth.</t>
  </si>
  <si>
    <t>man is talking in front of the camera and the team is standing in a big green grassy field.</t>
  </si>
  <si>
    <t>man starts playing cricket in the field.</t>
  </si>
  <si>
    <t>woman is talking to the camera in news.</t>
  </si>
  <si>
    <t>v_xSpWBpHMxqY</t>
  </si>
  <si>
    <t>A girl is riding in the back seat of a car, playing lipstick to a baby girl in a car seat.</t>
  </si>
  <si>
    <t>The girl takes the wand, trying to put it on her own lips.</t>
  </si>
  <si>
    <t>She smiles broadly for the camera.</t>
  </si>
  <si>
    <t>v_bXJMw4gLmGM</t>
  </si>
  <si>
    <t>A man is talking inside a shop.</t>
  </si>
  <si>
    <t>He shows off an iron, then uses it to melt a piece of plastic.</t>
  </si>
  <si>
    <t>The man irons then brushes a long piece of metal.</t>
  </si>
  <si>
    <t>v_HXCLDIk4pgI</t>
  </si>
  <si>
    <t>A person is clearing snow with a red snow plow.</t>
  </si>
  <si>
    <t>They push the snow to the side in a pile.</t>
  </si>
  <si>
    <t>They finish plowing the driveway.</t>
  </si>
  <si>
    <t>v_B5Zi054Fa5k</t>
  </si>
  <si>
    <t>A man in a black sweater quickly performs a Rubik cube challenge as the timer ticks.</t>
  </si>
  <si>
    <t>A man sits next to him watching.</t>
  </si>
  <si>
    <t>The man in the black sweater finishes and jumps up in excitement.</t>
  </si>
  <si>
    <t>The man that was sitting next to him stands up and is joined by other young men.</t>
  </si>
  <si>
    <t>v_cXRWQa9tQLw</t>
  </si>
  <si>
    <t>A group of cheerleaders are posing on a stage.</t>
  </si>
  <si>
    <t>They break apart, going into an elaborate dance routine.</t>
  </si>
  <si>
    <t>They flip, toss, and throw each other, then jump up and down excitedly.</t>
  </si>
  <si>
    <t>v_A_g93uJD-_8</t>
  </si>
  <si>
    <t>Two men cook omelettes on long pans in the street.</t>
  </si>
  <si>
    <t>People pass on front the men.</t>
  </si>
  <si>
    <t>A man puts scrambles eggs in the hot pan using two stick to turn over the eggs.</t>
  </si>
  <si>
    <t>Then the man adds more scrambled eggs while turning the omelette to make it bigger.</t>
  </si>
  <si>
    <t>After, he man wraps the omelette.</t>
  </si>
  <si>
    <t>v_JKE9D1anR7I</t>
  </si>
  <si>
    <t>A man jumps onto parallel bars.</t>
  </si>
  <si>
    <t>He begins doing a gymnastic routine on the parallel bars.</t>
  </si>
  <si>
    <t>He does a jump off and lands on the mat.</t>
  </si>
  <si>
    <t>v_BLSycXOF3Ro</t>
  </si>
  <si>
    <t>A girl does hula hoop spinning a hula ring around her neck, body and hands.</t>
  </si>
  <si>
    <t>Then, a person gives a hula to the girl who spins simultaneously the two hula rings.</t>
  </si>
  <si>
    <t>After, a person gives another hula ring to the girl to do hula hooping with three rings.</t>
  </si>
  <si>
    <t>At the end the girl gives a hug to the person and a presenter talks.</t>
  </si>
  <si>
    <t>v_BR4dhPz42mQ</t>
  </si>
  <si>
    <t>A large crowd of people are seen standing in the middle of the street and lead into a dance performance as well as a music performance.</t>
  </si>
  <si>
    <t>The people continue moving around in the street and end with a finishing pose.</t>
  </si>
  <si>
    <t>v_CQtu83639js</t>
  </si>
  <si>
    <t>A camera pans outside of a building and looks into a dark room where a man is exercising and speaking to the camera.</t>
  </si>
  <si>
    <t>The man continues riding on the equipment while moving faster and slower and the camera pans around his movements.</t>
  </si>
  <si>
    <t>v_BnkUgUQBED0</t>
  </si>
  <si>
    <t>We see a chair with a pillow on it.</t>
  </si>
  <si>
    <t>A man holding a cat sits down on the chair.</t>
  </si>
  <si>
    <t>The man clips the cats fingernails.</t>
  </si>
  <si>
    <t>The man strokes the cat's head.</t>
  </si>
  <si>
    <t>The man plays with the cat rocking it back and forth.</t>
  </si>
  <si>
    <t>The man stops the camera.</t>
  </si>
  <si>
    <t>v_zHXpo62bCaQ</t>
  </si>
  <si>
    <t>A woman with blonde long hair is carrying a white hula hoops, the hula hoops has rainbow colored tape on parts of it.</t>
  </si>
  <si>
    <t>The girl walked towards the lake, she is walking barefoot on the grass.</t>
  </si>
  <si>
    <t>The camera turns towards her face, then she started swirling the hula hoops and put it on her.</t>
  </si>
  <si>
    <t>The girl started to do hula hoops tricks, first on her waist then up, then to her legs and arms.</t>
  </si>
  <si>
    <t>v_M3jMJB_t024</t>
  </si>
  <si>
    <t>A large group of people are seen standing around a foose ball table speaking to one another and leads into them playing the game.</t>
  </si>
  <si>
    <t>Many people continue to watch the game on the sidelines and look down at the game taking place.</t>
  </si>
  <si>
    <t>v_VssVjdgvHrQ</t>
  </si>
  <si>
    <t>A person is seen standing before a sink turning on the faucet and wetting their hands.</t>
  </si>
  <si>
    <t>They then put soap on their hands, scrub the soap in, and rinse their hands through the water.</t>
  </si>
  <si>
    <t>Finally they use paper towels to dry their hands and throw it into the trash.</t>
  </si>
  <si>
    <t>v_jLykQW_-IVw</t>
  </si>
  <si>
    <t>A woman is smoking a cigarette.</t>
  </si>
  <si>
    <t>She is sitting down and people are walking behind her.</t>
  </si>
  <si>
    <t>She continues to hold cigarette in one arm.</t>
  </si>
  <si>
    <t>People continue to walk behind her and in front.</t>
  </si>
  <si>
    <t>She continues to smoke and stare straight ahead.</t>
  </si>
  <si>
    <t>v_Koxtbgzexmw</t>
  </si>
  <si>
    <t>Two boys play ping pong across a large ping pong table outdoors while a third boy watches from the sidelines.</t>
  </si>
  <si>
    <t>A boy in a t shirt with a wing graphic on it hits the ball towards the other shirtless player.</t>
  </si>
  <si>
    <t>The shirtless player returns the serve and the boy with the t-shirt misses the ball and has to pick it up and throw it to the other player for a re-serve.</t>
  </si>
  <si>
    <t>The two begin playing again while the boy in the middle on the sidelines observes the game.</t>
  </si>
  <si>
    <t>v_F1MKU9-yXg0</t>
  </si>
  <si>
    <t>A young man in a green jacket is standing in front of a mound of dirt and is talking about his maintenance tasks.</t>
  </si>
  <si>
    <t>The man then comes in the back yard with a green wheelbarrow and dumps the dirt in the back yard.</t>
  </si>
  <si>
    <t>He then takes his rake and moves the dirt back and forth around the house evening it out.</t>
  </si>
  <si>
    <t>When complete,he disappears and a path of mulch is seen along the garage.</t>
  </si>
  <si>
    <t>v_lxtG6PbeaqY</t>
  </si>
  <si>
    <t>Two dodgeball teams play against each other in an interior gym surrounded by onlookers in bleachers.</t>
  </si>
  <si>
    <t>The game begins with a team of men against a team of women each taking turns throwing dodge balls at each other violently.</t>
  </si>
  <si>
    <t>The teams then change sides on the gym floor with the women on the left and the men on the right.</t>
  </si>
  <si>
    <t>The game ends and both teams meet in the middle of the floor and give each other high fives.</t>
  </si>
  <si>
    <t>v_sYPd_0tC318</t>
  </si>
  <si>
    <t>There's a woman skurfing where the woman is towed on a surf board behind a sailboat.</t>
  </si>
  <si>
    <t>The woman surfer jumps up high as the sailboat sails in the water.</t>
  </si>
  <si>
    <t>The woman twists and turns around while on the surf board.</t>
  </si>
  <si>
    <t>The sailboat continues to pull the woman and she balances perfectly on the surfs as she twists and turns and spins on the surfs.</t>
  </si>
  <si>
    <t>She goes in a zig zag pattern making foamy waves in the water as the boats speeds up.</t>
  </si>
  <si>
    <t>The same surfing is watched on television as a guy and a another woman put several medals around the surfer's neck.</t>
  </si>
  <si>
    <t>The surfer pretends to fall down with the sheer weight of the medals.</t>
  </si>
  <si>
    <t>v_6ZabZdqdLyA</t>
  </si>
  <si>
    <t>Two small children are playing on a swingset on a snow covered yard.</t>
  </si>
  <si>
    <t>One child runs over to a swingset, but decides to change over to a green swing.</t>
  </si>
  <si>
    <t>An adult helps the child onto the swing.</t>
  </si>
  <si>
    <t>The other child also wants to join the first child on the same swing, and holds the swing steady while the child climbs on.</t>
  </si>
  <si>
    <t>The child is able to climb on, and the two children enjoy swinging together as the adult pushes the swing forward.</t>
  </si>
  <si>
    <t>v_Kt1JpqwDvl8</t>
  </si>
  <si>
    <t>A person vacuum the inside of a car, while other men clean by hand the car with detergent and water.</t>
  </si>
  <si>
    <t>Then, a man dry the car with clothes.</t>
  </si>
  <si>
    <t>Other cars are washed in a automatic car machine.</t>
  </si>
  <si>
    <t>After, people cleans the car with cloths inside and outside by hand.</t>
  </si>
  <si>
    <t>v_YfWKbMPFmcU</t>
  </si>
  <si>
    <t>The outside of homes is shown by a woman in a pink shirt.</t>
  </si>
  <si>
    <t>She is painting one of the houses with blue paint.</t>
  </si>
  <si>
    <t>She is holding a bucket of paint.</t>
  </si>
  <si>
    <t>v_Eilil6FZhK8</t>
  </si>
  <si>
    <t>peolpe are running wearing stilts in an avenue.</t>
  </si>
  <si>
    <t>man is interviewing an old woman in the sreet.</t>
  </si>
  <si>
    <t>man is doing a high jump above a car in street.</t>
  </si>
  <si>
    <t>man is laying down in a wooden table and other man jumps above the table.</t>
  </si>
  <si>
    <t>men are jumping side to side wearing stilts.</t>
  </si>
  <si>
    <t>man is helping a woman wear the stilts and walks in a gym room playing basketball with oher players.</t>
  </si>
  <si>
    <t>people are in sreet wearing stilts and running and jumping .</t>
  </si>
  <si>
    <t>man are sitting around a bench in street outside a restaurant.</t>
  </si>
  <si>
    <t>team are jumping in stilts in the roofed gym.</t>
  </si>
  <si>
    <t>v_YfouQ4TJhmQ</t>
  </si>
  <si>
    <t>An old man in white shirt is brushing the the body of the brown horse.</t>
  </si>
  <si>
    <t>The girl in blue shirt standing beside the old man brushed the horse's fur, then the old man took over, brush the horse and the girl rub the horse's fur with her hands.</t>
  </si>
  <si>
    <t>v_kKxNVwk7Evc</t>
  </si>
  <si>
    <t>A marching band is walking down a track.</t>
  </si>
  <si>
    <t>People carrying flags follows behind them.</t>
  </si>
  <si>
    <t>The drummers at at the back playing their drums.</t>
  </si>
  <si>
    <t>v_7cpX1j9dwjA</t>
  </si>
  <si>
    <t>A colorful intro includes the white words that say "World's Most DANGEROUS SPORTS Events" and the green letters separately "SRP".</t>
  </si>
  <si>
    <t>Madrid Spain on a map appears and it quickly goes into various different clips of men in arenas holding red capes as they taunt angry bulls.</t>
  </si>
  <si>
    <t>Suddenly a bull doesn't go after the cape, and instead he goes after the man where the bull continues to attack him with his horns and throw him around on the dirt.</t>
  </si>
  <si>
    <t>People begin to run towards the bull and the man to help him and the injured man quickly gets carried and run out of the area of danger.</t>
  </si>
  <si>
    <t>The intro appears and it's a black screen with the green letters SRP, production credits along with the rights.</t>
  </si>
  <si>
    <t>v_AV8q7nnOtq4</t>
  </si>
  <si>
    <t>A young man is seen sitting in front of a drum kit and begins playing the set of drums for the camera.</t>
  </si>
  <si>
    <t>He continues playing the drums and finishes by hitting the cymbal one last time.</t>
  </si>
  <si>
    <t>v_701UoJ5pgeo</t>
  </si>
  <si>
    <t>A woman is in a kitchen talking.</t>
  </si>
  <si>
    <t>She pours cleaner in a sink and describes some cleaning tools.</t>
  </si>
  <si>
    <t>She puts a powder in the sink and squeezes a lemon over the powder.</t>
  </si>
  <si>
    <t>She pours a liquid over that and scrubs with a brush.</t>
  </si>
  <si>
    <t>She turns the water on for a second and then uses a stone on the sink before using the sprayer to rinse everything.</t>
  </si>
  <si>
    <t>v__K3Cpdks6NQ</t>
  </si>
  <si>
    <t>There is very large group of people outside on a basketball court after sunset.</t>
  </si>
  <si>
    <t>They are all jumping up and down on these new pogo stick things that you wear like shoes.</t>
  </si>
  <si>
    <t>There are many young kids just bouncing up and down on them enjoying the evening.</t>
  </si>
  <si>
    <t>There are even a few people standing by and watching.</t>
  </si>
  <si>
    <t>v_eksIn1NfWJg</t>
  </si>
  <si>
    <t>A person's eye is seen close up the camera holing a contact lens in their hands and holding their eye open.</t>
  </si>
  <si>
    <t>The person then puts the contact lens in their eye and rubs their eye while blinking multiple times.</t>
  </si>
  <si>
    <t>v_yCAsVc5Tb_0</t>
  </si>
  <si>
    <t>We see the title card over the screen.</t>
  </si>
  <si>
    <t>We see people standing on a blue stage.</t>
  </si>
  <si>
    <t>They then perform a cheer leading routine.</t>
  </si>
  <si>
    <t>The men lift the women who spin into their arms.</t>
  </si>
  <si>
    <t>They all flip backwards together.</t>
  </si>
  <si>
    <t>The men hold the women by one leg and almost drop a lady.</t>
  </si>
  <si>
    <t>A girl brings letters onto the field.</t>
  </si>
  <si>
    <t>They use the letter to spell a word while standing in the air.</t>
  </si>
  <si>
    <t>They have different cards with color names on them.</t>
  </si>
  <si>
    <t>The men yell out of horns.</t>
  </si>
  <si>
    <t>Two women flip out of a stance, and they end in the air.</t>
  </si>
  <si>
    <t>v_VufybWyvP98</t>
  </si>
  <si>
    <t>There are some swimmers playing water polo in an indoor swimming pool.</t>
  </si>
  <si>
    <t>One of the swimmers is underwater, trying to reach the ball.</t>
  </si>
  <si>
    <t>He throws the ball across to another swimmer who catches the ball.</t>
  </si>
  <si>
    <t>Two swimmers are under water trying to reach the ball.</t>
  </si>
  <si>
    <t>They pass the ball around as they swim through the water.</t>
  </si>
  <si>
    <t>Then the swimmers swim their way up and get out of the pool while some other swimmers are still inside the pool.</t>
  </si>
  <si>
    <t>One of the swimmers spits out water on the camera while still inside the pool.</t>
  </si>
  <si>
    <t>A few other swimmerd can be seen in the locker room drying themselves after the swim.</t>
  </si>
  <si>
    <t>v_67NwPB79MTo</t>
  </si>
  <si>
    <t>A small group of people are seen moving around a gym kicking a ball around.</t>
  </si>
  <si>
    <t>The boys yell to one another with their hands up and continue walking around the gym.</t>
  </si>
  <si>
    <t>v_kyMsxlpBjlY</t>
  </si>
  <si>
    <t>There's a person mowing the lawn in his yard with a lawn mower while carrying his child on his back.</t>
  </si>
  <si>
    <t>The man walks up and down, straight across the yard as he mows the lawn.</t>
  </si>
  <si>
    <t>The child watches calmly while resting on the man's back.</t>
  </si>
  <si>
    <t>The man continues to mow the lawn with his black lawn mower.</t>
  </si>
  <si>
    <t>v_zEdAxKm9SLA</t>
  </si>
  <si>
    <t>There's a person named Michael from the Wild flower Tool company who is doing a tutorial on telescopic head shears for gardening.</t>
  </si>
  <si>
    <t>He demonstrates the several features of the shears such as extendable handles.</t>
  </si>
  <si>
    <t>He is standing near a big hedge in a garden.</t>
  </si>
  <si>
    <t>He shows how to use the shears by cutting off some of the branches of the hedge.</t>
  </si>
  <si>
    <t>He then extends the handles of the shears to show how far he can reach hard to reach places on top of the hedge.</t>
  </si>
  <si>
    <t>v_qRFZMO_mTGU</t>
  </si>
  <si>
    <t>A woman walks forward talking to the camera and putting her hands on her hips.</t>
  </si>
  <si>
    <t>A girl is shown playing field hockey and presents various clips of herself doing moves.</t>
  </si>
  <si>
    <t>She later is talking to the camera about her experiences with the sport and who exactly she is and why other people love her.</t>
  </si>
  <si>
    <t>v_qwdavExYM_Y</t>
  </si>
  <si>
    <t>We see people walking with rafts up an escalator on a snowy field in a rafting park.</t>
  </si>
  <si>
    <t>A child almost falls on the left.</t>
  </si>
  <si>
    <t>We see the crowded escalator from a distance.</t>
  </si>
  <si>
    <t>We see a boy in a black coat running with his raft in tow.</t>
  </si>
  <si>
    <t>v_r9AepFEEfsQ</t>
  </si>
  <si>
    <t>A man with glasses playing an accordion and smiling.</t>
  </si>
  <si>
    <t>The camera zooms in on his fingers going up and down the neck of the instrument.</t>
  </si>
  <si>
    <t>The man continues to play his song and smiles to the camera while moving up and down.</t>
  </si>
  <si>
    <t>v_uuH0ieCzqkM</t>
  </si>
  <si>
    <t>A kid stands on a court as a group of judges watch him jump rope rapidly.</t>
  </si>
  <si>
    <t>Behind him, other competitors jump rope, too.</t>
  </si>
  <si>
    <t>v_qi5Oie047pQ</t>
  </si>
  <si>
    <t>A young boy is sitting up against the wall making a face as two people are standing in front of him.</t>
  </si>
  <si>
    <t>The girl on the left then takes a small tube of polish and begins to paints the boy's nail with red glitter.</t>
  </si>
  <si>
    <t>When she is finished,the boy is shown and he begins to laugh about the situation.</t>
  </si>
  <si>
    <t>v_twL4mmkCQ0s</t>
  </si>
  <si>
    <t>A backdrop screen with paws and dog bones appear and the words in red and black appear and read "TEG's CANINE CLIPPERY Dog &amp; Cat Grooming".</t>
  </si>
  <si>
    <t>Clips of different dogs are shown getting baths, haircuts, and brushed while still shots of pictures appear between clips and they all include company name, website and phone number.</t>
  </si>
  <si>
    <t>The very last screen is a picture of a dog with it's eyes closed and 2 pairs of hands blow drying it with a brush above it's head, the company name, website, phone number and address.</t>
  </si>
  <si>
    <t>v_TLJdzU44My4</t>
  </si>
  <si>
    <t>A young man is seen sitting in a chair holding a vacuum in his hands.</t>
  </si>
  <si>
    <t>The boy speaks to the camera while still pushing the vacuum back and fourth.</t>
  </si>
  <si>
    <t>The camera moves closer to the boy and zooms in on his face while vacuuming.</t>
  </si>
  <si>
    <t>v_InavXU3iWBE</t>
  </si>
  <si>
    <t>A man is standing on top of a truck.</t>
  </si>
  <si>
    <t>Two men jump onto a trampoline.</t>
  </si>
  <si>
    <t>One of the men lays down and the other man hits him.</t>
  </si>
  <si>
    <t>The man on the truck jumps onto the trampoline.</t>
  </si>
  <si>
    <t>v__wl0vFvb8Bc</t>
  </si>
  <si>
    <t>A person's foot is shown and then it moves up slowly to their face.</t>
  </si>
  <si>
    <t>The camera pans out and shows a silver car.</t>
  </si>
  <si>
    <t>The person is holding a stick in their hands.</t>
  </si>
  <si>
    <t>The person is holding a hose and washing the car.</t>
  </si>
  <si>
    <t>They dip the stick into a bucket of soapy water and continue washing the car.</t>
  </si>
  <si>
    <t>They hold the hose up and pour the water on their face.</t>
  </si>
  <si>
    <t>They take their sunglasses off at the end and wipe their face.</t>
  </si>
  <si>
    <t>v_7uhJ_0oKV6s</t>
  </si>
  <si>
    <t>Two people are standing in front of a street performance.</t>
  </si>
  <si>
    <t>We see a group of people as two use a jump rope.</t>
  </si>
  <si>
    <t>Several others jump in, jumping over the rope, flipping and doing stunts.</t>
  </si>
  <si>
    <t>v_qV8hycDJWto</t>
  </si>
  <si>
    <t>A man steps away from a desk.</t>
  </si>
  <si>
    <t>The man applies his glove to his left hand.</t>
  </si>
  <si>
    <t>The man taps a metal with a soldering iron.</t>
  </si>
  <si>
    <t>The man soldiers on the piece of metal.</t>
  </si>
  <si>
    <t>The man stops soldering the metal.</t>
  </si>
  <si>
    <t>The man removes his glove and blows smoke away from the metal piece.</t>
  </si>
  <si>
    <t>v_BNQPVf2Ia5Y</t>
  </si>
  <si>
    <t>A man wearing black pants, a plaid shirt and baseball cap trims a dark green hedge with an electric hedge trimmer.</t>
  </si>
  <si>
    <t>The man trims a smaller light green hedge with the trimmer.</t>
  </si>
  <si>
    <t>The man trims another hedge with trimmer.</t>
  </si>
  <si>
    <t>The scene is sped up and contains ambient noises.</t>
  </si>
  <si>
    <t>v_cDe2GlvMEQg</t>
  </si>
  <si>
    <t>A man is seen speaking to the camera indoors as well as outdoors.</t>
  </si>
  <si>
    <t>He points to several objects while leading into dirt being shown as well as plaster.</t>
  </si>
  <si>
    <t>People are seen putting plaster all over the walls while the man continues to speak.</t>
  </si>
  <si>
    <t>v_uokQq9Xrjf8</t>
  </si>
  <si>
    <t>There's a fitness trainer representing The FitCast fitness in a gym demonstrating how to do a tall kneeling palloff press.</t>
  </si>
  <si>
    <t>He is kneeling down on the floor in a black shirt and gray sweat pants.</t>
  </si>
  <si>
    <t>He is pulling the handles of the palloff press with both hands towards his chest while keeping his back and shoulders up straight.</t>
  </si>
  <si>
    <t>v_yOKDaH8Go0A</t>
  </si>
  <si>
    <t>A man in a garage stands over a plank of wood.</t>
  </si>
  <si>
    <t>The man takes some white paste out of a can, adds some coloring to it and mixes it.</t>
  </si>
  <si>
    <t>The man applies the brown colored paste to holes in the wood.</t>
  </si>
  <si>
    <t>v_9-U2WOLIqB8</t>
  </si>
  <si>
    <t>A shot of pins are shown sitting on a lane followed by a man walking into frame.</t>
  </si>
  <si>
    <t>The man spins a ball to go around the pins to hit more in the end.</t>
  </si>
  <si>
    <t>The person spins another ball that is followed shortly afterwards.</t>
  </si>
  <si>
    <t>v_M1_4oDuh2as</t>
  </si>
  <si>
    <t>A woman wearing an apron is talking and picks up a bucket with supplies in it.</t>
  </si>
  <si>
    <t>She grabs a brush and cleans a window.</t>
  </si>
  <si>
    <t>She grabs a squeegee and removes the excess water from the window.</t>
  </si>
  <si>
    <t>v_AFs_aK0DY7E</t>
  </si>
  <si>
    <t>He does a gymnastics routine on the beam.</t>
  </si>
  <si>
    <t>He does a hand stand before jumping off onto a mat.</t>
  </si>
  <si>
    <t>v__9e948mdwrs</t>
  </si>
  <si>
    <t>A man blows dead leaves of a backyard.</t>
  </si>
  <si>
    <t>A person makes a pile of dead leaves.</t>
  </si>
  <si>
    <t>v_AK34mhNU28s</t>
  </si>
  <si>
    <t>A man holds a huge kite in a big field.</t>
  </si>
  <si>
    <t>A dog chases the man as he runs and jumps.</t>
  </si>
  <si>
    <t>The man brings the kite to the ground.</t>
  </si>
  <si>
    <t>v_b1U1VmaZz7Y</t>
  </si>
  <si>
    <t>A man is pouring something onto a large camp fire.</t>
  </si>
  <si>
    <t>A dog walks around the camp site.</t>
  </si>
  <si>
    <t>A person in a yellow shirt holding a blanket walks around the fire.</t>
  </si>
  <si>
    <t>v_kxXoosv0iDg</t>
  </si>
  <si>
    <t>A girl in a sparkly outfit dances on a hardwood floor.</t>
  </si>
  <si>
    <t>She brings out batons and twirls them around while dancing.</t>
  </si>
  <si>
    <t>She sits on the ground after finishing her performance.</t>
  </si>
  <si>
    <t>v_6iSqTbL5WXY</t>
  </si>
  <si>
    <t>We see a man dunk a basketball wearing jump stilts.</t>
  </si>
  <si>
    <t>We see another man bounce the ball and the jump stilt man dunks again.</t>
  </si>
  <si>
    <t>We then see the opening screen for the closing.</t>
  </si>
  <si>
    <t>v_1AZxtWKkRlo</t>
  </si>
  <si>
    <t>A group of cheerleaders run onto a stage before a cheering audience.</t>
  </si>
  <si>
    <t>They get into formation, then begin dancing and flipping as male cheerleaders join them.</t>
  </si>
  <si>
    <t>They all continue dancing and flipping, doing hand springs.</t>
  </si>
  <si>
    <t>When they are finished, they jump up and down happily and walk off the stage, exhausted.</t>
  </si>
  <si>
    <t>v_sJK-NjgOB6g</t>
  </si>
  <si>
    <t>A man lifts a young girl up to reach the sink in a bathroom.</t>
  </si>
  <si>
    <t>Both the man and the girl reach for their toothbrush and add toothpaste at the same time.</t>
  </si>
  <si>
    <t>They look in the mirror together as the man shows the girl how to brush her teeth properly.</t>
  </si>
  <si>
    <t>They rinse and smile at their clean teeth in the mirror.</t>
  </si>
  <si>
    <t>The man then teaches the girl to floss.</t>
  </si>
  <si>
    <t>They put their toothbrushes away and the man helps the girl back to the floor.</t>
  </si>
  <si>
    <t>They walk away together and turn off the bathroom light.</t>
  </si>
  <si>
    <t>v_crxqFzslD0Y</t>
  </si>
  <si>
    <t>A man in a black shirt smiles at the camera.</t>
  </si>
  <si>
    <t>He pulls out a harmonica and begins to play it.</t>
  </si>
  <si>
    <t>He uses his hand to accentuate the notes.</t>
  </si>
  <si>
    <t>He finishes the song at the end.</t>
  </si>
  <si>
    <t>v_boRX-UKXzy8</t>
  </si>
  <si>
    <t>A bumper car arena is shown followed by people driving around and bumping into one another.</t>
  </si>
  <si>
    <t>Several shots are shown of people crashing into one another and a man speaking to the camera in the end.</t>
  </si>
  <si>
    <t>v_tvR1ovqyJZ8</t>
  </si>
  <si>
    <t>A person is riding inside a boat on the water.</t>
  </si>
  <si>
    <t>They are dragging a person on water skis.</t>
  </si>
  <si>
    <t>The person stays upright as they are pulled quickly through the water.</t>
  </si>
  <si>
    <t>v_uCdUm-lou7w</t>
  </si>
  <si>
    <t>A girl swings on monkey bars on an outdoor playground.</t>
  </si>
  <si>
    <t>The girl misses a monkey bar and then looses her grip and falls to the ground.</t>
  </si>
  <si>
    <t>v_WhhbKOSW7m0</t>
  </si>
  <si>
    <t>People are sitting in bleachers watching people.</t>
  </si>
  <si>
    <t>The people in the room are playing wall ball.</t>
  </si>
  <si>
    <t>A man in the stands puts his hands on his face.</t>
  </si>
  <si>
    <t>v_x0TiekqVMj0</t>
  </si>
  <si>
    <t>A woman is seen performing a belly dancing routine in a dark room with one single line shown on her.</t>
  </si>
  <si>
    <t>She continues dancing around the room and ends by the room going dark as she spins.</t>
  </si>
  <si>
    <t>v_uBCLX7hfZLQ</t>
  </si>
  <si>
    <t>A woman wearing a white shirt is sitting with her black and white cat on her lap.</t>
  </si>
  <si>
    <t>She is clipping the cats nails by holding the cat's paws in her hands.</t>
  </si>
  <si>
    <t>She continues clipping the cat's nails one by one.</t>
  </si>
  <si>
    <t>When she's done she kisses the cat.</t>
  </si>
  <si>
    <t>then she begins clipping a brown cat's nails.</t>
  </si>
  <si>
    <t>The cat sits calmly on her lap as she finishes clipping its nails.</t>
  </si>
  <si>
    <t>v_R4yz8nXO5hI</t>
  </si>
  <si>
    <t>A person paints flowers onto a white canvas with a fine brush.</t>
  </si>
  <si>
    <t>The person removes the painting from the table and shows the finished product.</t>
  </si>
  <si>
    <t>v_gGg-kio0dmU</t>
  </si>
  <si>
    <t>People are playing and swimming in a pool.</t>
  </si>
  <si>
    <t>a girl does a back flip off a board.</t>
  </si>
  <si>
    <t>v_WXaFTEWJThM</t>
  </si>
  <si>
    <t>A person is seen filling up a sink with water and holding a rag in the water.</t>
  </si>
  <si>
    <t>She scrubs down her face and washing it off with the rag and smiling into the mirror.</t>
  </si>
  <si>
    <t>v_QsfIM28uvHM</t>
  </si>
  <si>
    <t>A person hangs onto the handles of a kite flying overhead.</t>
  </si>
  <si>
    <t>The kite falls as the wind lessens.</t>
  </si>
  <si>
    <t>The kite blows hard in the air as the wind picks up again.</t>
  </si>
  <si>
    <t>v_FL9yhHtoc6c</t>
  </si>
  <si>
    <t>A man and a woman are dancing on a concrete ground at night under a street light.</t>
  </si>
  <si>
    <t>Both the man and the woman are wearing a black tank top and black shorts along with black shoes.</t>
  </si>
  <si>
    <t>They are dancing in a synchronized manner by following choreographed dance steps to a song.</t>
  </si>
  <si>
    <t>They move their hands as they lift their right leg up high while dancing.</t>
  </si>
  <si>
    <t>Then they shake their hips and their heads they lip sync to the song.</t>
  </si>
  <si>
    <t>when the music gets faster, they move their hands in a circular motion.</t>
  </si>
  <si>
    <t>They also lift their knees up high while shaking their bodies.</t>
  </si>
  <si>
    <t>They repeat the steps every time the chorus of the song plays.</t>
  </si>
  <si>
    <t>They lift their knees up high alternating between the two legs.</t>
  </si>
  <si>
    <t>They continue to dance as they hold up the palms of their hands straight up and move their hips.</t>
  </si>
  <si>
    <t>They repeat the steps as the chorus of the song repeats.</t>
  </si>
  <si>
    <t>Finally after the song ends, they both stand still with their hands on their hips.</t>
  </si>
  <si>
    <t>v_tVbrnWNOmFY</t>
  </si>
  <si>
    <t>A man takes a patch and put on a wheel while explaining and showing materials .</t>
  </si>
  <si>
    <t>Then, the man takes the wheel of a bike to fix the hole of the tube by applying a patch.</t>
  </si>
  <si>
    <t>After, the man put the tube on the wheel and pump air in the wheel.</t>
  </si>
  <si>
    <t>Then, the man put and fix the wheel in the bike.</t>
  </si>
  <si>
    <t>v_fLvPz8W00l4</t>
  </si>
  <si>
    <t>A man shows the proper way to lift a kettlebell.</t>
  </si>
  <si>
    <t>He shows with his hips how not to do it.</t>
  </si>
  <si>
    <t>v_W-pFUV2O1l0</t>
  </si>
  <si>
    <t>A man is cutting another mans hair.</t>
  </si>
  <si>
    <t>He is demonstrating the types of cuts.</t>
  </si>
  <si>
    <t>He combs and snips the front of the mans hair.</t>
  </si>
  <si>
    <t>He parts the hair and continues pulling and trimming the front flip.</t>
  </si>
  <si>
    <t>He then turns the mans head and works on the back.</t>
  </si>
  <si>
    <t>He finishes haircut on the man.</t>
  </si>
  <si>
    <t>v_rlH9RkelqHk</t>
  </si>
  <si>
    <t>A person's feet are show followed by a woman putting shoes over her socks and bending forward.</t>
  </si>
  <si>
    <t>She twirls around her feet and looking to the camera while showing her shoe completely on.</t>
  </si>
  <si>
    <t>v_N6HUPyM5m2o</t>
  </si>
  <si>
    <t>woman is wearing a purple shit lifting weight.</t>
  </si>
  <si>
    <t>woman is sitting in stairs tying the laces.</t>
  </si>
  <si>
    <t>two women are in a gym room doing exercise.</t>
  </si>
  <si>
    <t>v_CZveW9zX0s8</t>
  </si>
  <si>
    <t>A man is shown speaking to the camera and leads into a woman trimming the fur on a dog.</t>
  </si>
  <si>
    <t>The speaks more to the camera while other dogs are shown groomed and one woman walks away holding two excited dogs.</t>
  </si>
  <si>
    <t>More shots of dogs held are shown while the man speaks and the camera pans around the building.</t>
  </si>
  <si>
    <t>v_9fnmcyUz5jg</t>
  </si>
  <si>
    <t>A logo shows that this video is presented by Expert Village.</t>
  </si>
  <si>
    <t>A man in a small blue boat discusses the topic of hand surfing in a hole and gives hints on how to perform this activity.</t>
  </si>
  <si>
    <t>The man demonstrates tricks that can be done while performing this activity.</t>
  </si>
  <si>
    <t>v_ayDqRzRN8_M</t>
  </si>
  <si>
    <t>News hosts present a story seated at a desk in a news room.</t>
  </si>
  <si>
    <t>A news reporter interviews a man on an ice skating rink.</t>
  </si>
  <si>
    <t>An athlete glides a stone across the ice.</t>
  </si>
  <si>
    <t>The reporter and the man practice brushing the ice with brooms.</t>
  </si>
  <si>
    <t>A woman sits in a salon and has her hair curled.</t>
  </si>
  <si>
    <t>The curls are taken out of the woman's hair after the makeover.</t>
  </si>
  <si>
    <t>The news anchors close out the story.</t>
  </si>
  <si>
    <t>v_LHewj6shKGw</t>
  </si>
  <si>
    <t>A group of kids are on a track, and they practice jumping over a low beam.</t>
  </si>
  <si>
    <t>They perform the motion several times, portraying the act in slow motion.</t>
  </si>
  <si>
    <t>v_UxIXOCccW24</t>
  </si>
  <si>
    <t>Two people are seen speaking to the camera wearing costume when another person steps into frame.</t>
  </si>
  <si>
    <t>Two people then battle one another in the costumes and run into one another.</t>
  </si>
  <si>
    <t>One person knocks the other on the ground and shows off a wrestling move.</t>
  </si>
  <si>
    <t>v_1OmzECVyIww</t>
  </si>
  <si>
    <t>An athletic man is seen waving one arm up into the air and standing ready for a beam.</t>
  </si>
  <si>
    <t>The man then spins himself around the beam performing a gymnastics routine and ends with him jumping to the side and holding his arms up, smiling and waving to the crowd.</t>
  </si>
  <si>
    <t>v_-rwKyNnz89s</t>
  </si>
  <si>
    <t>A man is seen standing in a goal followed by a person kicking a boll.</t>
  </si>
  <si>
    <t>More clips are shown of people kicking a ball towards the goal while people watch on the sides.</t>
  </si>
  <si>
    <t>Several more people take their turn kicking a ball and end by running all together and cheering.</t>
  </si>
  <si>
    <t>v_gBTnWp9VLz4</t>
  </si>
  <si>
    <t>A car drives behind another while filming several snowy houses and trees shown.</t>
  </si>
  <si>
    <t>Eventually two snowboarding are shown doing jumps and tricks down a mountain.</t>
  </si>
  <si>
    <t>Another does several flips and tricks while another performs the same down the mountain.</t>
  </si>
  <si>
    <t>v_iMXdwkAGfM4</t>
  </si>
  <si>
    <t>A man sits in a chair while a standing man uses an electric razor on his beard.</t>
  </si>
  <si>
    <t>The man gently shaves the other man's beard until it is gone.</t>
  </si>
  <si>
    <t>The man sits in the chair, wiping himself off before standing up.</t>
  </si>
  <si>
    <t>v_yqzV0O139Yk</t>
  </si>
  <si>
    <t>Two people are seen standing on a field in front of ball when one bends over to balance on the ball.</t>
  </si>
  <si>
    <t>The woman then performs exercises on the ball with the man's assistance.</t>
  </si>
  <si>
    <t>v_leKf6Q87IYg</t>
  </si>
  <si>
    <t>Several pictures of seen of a man wakeboarding and leading into him speaking to the camera.</t>
  </si>
  <si>
    <t>He demonstrates how to properly perform moves while standing on the lawn.</t>
  </si>
  <si>
    <t>It follows into the man riding around on a wakeboard.</t>
  </si>
  <si>
    <t>v_PwbZimjxzps</t>
  </si>
  <si>
    <t>A man stands in front of a crowd pointing and speaking about the layout of a bullfighting ring.</t>
  </si>
  <si>
    <t>A demonstration of bullfighting is performed by a man with a pink cape and a man moving a fake bull object with a wheel.</t>
  </si>
  <si>
    <t>The bullfighter then demonstrates how to use his sword on the bull.</t>
  </si>
  <si>
    <t>Then the students wants to give it a try.</t>
  </si>
  <si>
    <t>v_J1LIG037WzE</t>
  </si>
  <si>
    <t>Two men are seen fighting back and fourth on a set of mats using boxing gloves and pads.</t>
  </si>
  <si>
    <t>The men continue punching and kicking back and fourth while the camera continues to follow them around.</t>
  </si>
  <si>
    <t>v_RrScnC2xQpw</t>
  </si>
  <si>
    <t>A girl is seen kneeling before the camera and leads into her walking around her house.</t>
  </si>
  <si>
    <t>She zooms in on an oven and is shown taking a pan out full of cookies.</t>
  </si>
  <si>
    <t>She lays out a plate to clean off follows by grabbing the cookies and laying them on the plate.</t>
  </si>
  <si>
    <t>v_ZeN0mrRQHg8</t>
  </si>
  <si>
    <t>A group of kids are riding in bumper cars.</t>
  </si>
  <si>
    <t>They spin and move, hitting each other.</t>
  </si>
  <si>
    <t>The kids smile and laugh at each other as they collide.</t>
  </si>
  <si>
    <t>v_3LyyqeVeYkI</t>
  </si>
  <si>
    <t>He lassos a young calf on the dirt.</t>
  </si>
  <si>
    <t>He jumps off his horse and ties the calf.</t>
  </si>
  <si>
    <t>v_UySzNwvkQKQ</t>
  </si>
  <si>
    <t>There are people standing in a large indoor court, on two different sides, with balls in the middle of the court.</t>
  </si>
  <si>
    <t>Suddenly people start running towards the balls and they begin to play dodge ball and pick them up and throw them at one another until one of the teams has only 1 person left standing.</t>
  </si>
  <si>
    <t>Only 1 guy remain standings and he attempts to hit someone else on the other team with a ball, and they in return do the same, they go back and forth doing this until a red ball finally hits the last guy standing on the team and he hits the floor.</t>
  </si>
  <si>
    <t>v_xzoquwJYEZw</t>
  </si>
  <si>
    <t>man is standing in a wooden court talking to the camera.</t>
  </si>
  <si>
    <t>men are playing squash in a room holding rackets on his hands.</t>
  </si>
  <si>
    <t>the man is holding a racket and is talking to the camera.</t>
  </si>
  <si>
    <t>v_v-xUwDARVb4</t>
  </si>
  <si>
    <t>A band is seen performing on stage while the camera pans around and captures them from several angles.</t>
  </si>
  <si>
    <t>The singer interacts with the band and continues playing while the audience cheers.</t>
  </si>
  <si>
    <t>v_YGBldj7DUq4</t>
  </si>
  <si>
    <t>A man is in a kayak in the water making turns with the help of an oar.</t>
  </si>
  <si>
    <t>Then, the man explains showing and moving the oar.</t>
  </si>
  <si>
    <t>After the man starts to row in the river and turning the kayak.</t>
  </si>
  <si>
    <t>v_wP0jr86MNOw</t>
  </si>
  <si>
    <t>man is standing nex to a van wearing stilts.</t>
  </si>
  <si>
    <t>another man is sitting on the back part of a van is putting the stilts on his feet.</t>
  </si>
  <si>
    <t>men wearing stilts are walking in a parking lot to street.</t>
  </si>
  <si>
    <t>men are kneeling on the street and start jumping going down the paved slope.</t>
  </si>
  <si>
    <t>v_X9CpU4ucYeg</t>
  </si>
  <si>
    <t>woman is standing in a kitchen talking to the camera and showing the lemons, jar and the bowl on the counter.</t>
  </si>
  <si>
    <t>woman is squeezing the lemon into a bowl and on the water.</t>
  </si>
  <si>
    <t>woman is ni front of the stove and pour sugar into water in a pan till boil.</t>
  </si>
  <si>
    <t>woman pour sugar in the jar with ice.</t>
  </si>
  <si>
    <t>v_rG-WlnAoc3M</t>
  </si>
  <si>
    <t>A person wet a car with water, then he puts detergent to the car using a long squeegee.</t>
  </si>
  <si>
    <t>The man rinses the car with water.</t>
  </si>
  <si>
    <t>Then, the man cleans again with soap and water the car for the second time.</t>
  </si>
  <si>
    <t>The man cleans with a cloth and rinse with water the rims of the car.</t>
  </si>
  <si>
    <t>After, the man dry the car manually with a cloth.</t>
  </si>
  <si>
    <t>Next, the man cleans inside the car, then drives the car.</t>
  </si>
  <si>
    <t>v_AA6nXQMyfhU</t>
  </si>
  <si>
    <t>A man sits at a table talking.</t>
  </si>
  <si>
    <t>The man, now standing, pours paint thinner n a rag and wipes the table with the rag.</t>
  </si>
  <si>
    <t>The man sits at the table again while talking.</t>
  </si>
  <si>
    <t>Now he is standing putting a polish on the table and shining it.</t>
  </si>
  <si>
    <t>He then cleans the table legs with a brush.</t>
  </si>
  <si>
    <t>He sits at the table talking for another moment.</t>
  </si>
  <si>
    <t>The scene changes and the man is seen standing in a garage.</t>
  </si>
  <si>
    <t>v_FAPMunnTNsE</t>
  </si>
  <si>
    <t>Two people are seen riding in a canoe pushing a paddle along the water and looking into the camera.</t>
  </si>
  <si>
    <t>More clips are shown of the scenery as well as the people riding around and meeting up with others.</t>
  </si>
  <si>
    <t>v_-5Yp-vToI2E</t>
  </si>
  <si>
    <t>A large group of people are seen standing around a ballet room and leads into four performing a dance.</t>
  </si>
  <si>
    <t>The four continuously move together while holding hands and doing the same moves.</t>
  </si>
  <si>
    <t>The girls laugh together and continue dancing and ending by holding a pose.</t>
  </si>
  <si>
    <t>v_zPl4spxrvg4</t>
  </si>
  <si>
    <t>A woman walks into frame speaking to the camera and pointing to a sign that leads into her speaking with a man in front of a bow and arrow.</t>
  </si>
  <si>
    <t>The man speaks to her and puts bowing equipment on the woman and holds out the bow for her.</t>
  </si>
  <si>
    <t>He teaches her how to properly hold the bow and the woman takes several turns shooting the bow and arrow.</t>
  </si>
  <si>
    <t>She cheers and continues shooting while the man speaks to her and shakes her hand as they walk away.</t>
  </si>
  <si>
    <t>v_svSM-UqjNWE</t>
  </si>
  <si>
    <t>A woman is seen sitting under an umbrella with a hookah stick in her mouth.</t>
  </si>
  <si>
    <t>She takes a couple puffs from the stick while blowing it into the camera and speaking to the camera.</t>
  </si>
  <si>
    <t>v_pu-2w-UxdYg</t>
  </si>
  <si>
    <t>The woman wipes down the furniture with acetone.</t>
  </si>
  <si>
    <t>Woman sprays silicone on table and wipes it off.</t>
  </si>
  <si>
    <t>Woman compares old section to cleaned section.</t>
  </si>
  <si>
    <t>v_f2LGG2ocbu8</t>
  </si>
  <si>
    <t>A large group of people are seen sitting around a pit with one man spinning around and throwing a ball off into the distance.</t>
  </si>
  <si>
    <t>People around him clap while more stand around and talk as well as watch the balls be thrown.</t>
  </si>
  <si>
    <t>The people grab the ball from the ground over and over again while occasionally looking over to the camera and panning back to the large crowd.</t>
  </si>
  <si>
    <t>v_NyNuB328oi0</t>
  </si>
  <si>
    <t>A ball is shown flying up in the sky while a large group of people stand around.</t>
  </si>
  <si>
    <t>A person is then seen grabbing the ball on the ground.</t>
  </si>
  <si>
    <t>The person catches the ball and the clip is shown again in slow motion.</t>
  </si>
  <si>
    <t>v_4avZ79LB5n4</t>
  </si>
  <si>
    <t>At an outdoor poor facility people are in the pool and others are outside standing by.</t>
  </si>
  <si>
    <t>There are two boys on the diving board preparing to jump down.</t>
  </si>
  <si>
    <t>They get in a unique position and then simultaneously dive in together.</t>
  </si>
  <si>
    <t>They make a huge splash as they land inside the water.</t>
  </si>
  <si>
    <t>v_InHt3sukfeg</t>
  </si>
  <si>
    <t>A picture of a patio set is shown followed by a woman scrubbing down the tables and chairs.</t>
  </si>
  <si>
    <t>She wipes them down with a rag and then shakes up a can and spray paints the furniture.</t>
  </si>
  <si>
    <t>More close ups are shown of the furniture while text instructions pan over the screen.</t>
  </si>
  <si>
    <t>v_5qh_gx81Bd8</t>
  </si>
  <si>
    <t>A man stands in a dance studio and shows how he sets up for different dance postures.</t>
  </si>
  <si>
    <t>The man in white tshirt does a spins while break dancing.</t>
  </si>
  <si>
    <t>v_Lk_Xe9yQ8Zc</t>
  </si>
  <si>
    <t>man is in stage in the news.</t>
  </si>
  <si>
    <t>people are in street jumping the rope and dancing while people gathered around them are watching them.</t>
  </si>
  <si>
    <t>an old chinese woman is being interviewed.</t>
  </si>
  <si>
    <t>old man is talking to the camera.</t>
  </si>
  <si>
    <t>woman is holding a microphone talking to the camera jumping the rope.</t>
  </si>
  <si>
    <t>woman is jumping the rope and doing somersaults.</t>
  </si>
  <si>
    <t>women are being interviewed and behind her people are jumping the rope.</t>
  </si>
  <si>
    <t>people are in stage in competition jumping the rope.</t>
  </si>
  <si>
    <t>women are in street being interviewed and people keep jumping the rope.</t>
  </si>
  <si>
    <t>v_of4bEaqQzOk</t>
  </si>
  <si>
    <t>The man in blue leotard raised the barbel, but he let go of the barbel and he fell on his back.</t>
  </si>
  <si>
    <t>The man in red leotard carried the barbel all the way up his head the crowd cheered.</t>
  </si>
  <si>
    <t>The athlete raised his barbel but wasn't able to go all the way up his head.</t>
  </si>
  <si>
    <t>The crowd is cheering while the athletes are able to raise the barbel all up his head.</t>
  </si>
  <si>
    <t>v_cC1nvRqyXWs</t>
  </si>
  <si>
    <t>A man in blue gym shorts iron his clothes on an ironing board at home.</t>
  </si>
  <si>
    <t>The man sits down on the floor and folds his clothes and stacks them up.</t>
  </si>
  <si>
    <t>The man leaves the room and the room goes dark.</t>
  </si>
  <si>
    <t>v_rbLCMaf3phk</t>
  </si>
  <si>
    <t>A man stands in a large arena.</t>
  </si>
  <si>
    <t>She throws a heavy ball really far.</t>
  </si>
  <si>
    <t>He does this again and again.</t>
  </si>
  <si>
    <t>He throws the balls really far.</t>
  </si>
  <si>
    <t>v_Pso333FAp2w</t>
  </si>
  <si>
    <t>Outside a dog is laying down on the pavement when a human picks up a frisbee and throws it.</t>
  </si>
  <si>
    <t>The dog excitedly runs after it and come running back with it, bringing it back to his human.</t>
  </si>
  <si>
    <t>He disappears for a little bit and then you see him excitedly get ready to run for it again.</t>
  </si>
  <si>
    <t>Once he see's the frisbee flying he starts to run for it and brings it back every time.</t>
  </si>
  <si>
    <t>v_t3Zg4mSksXk</t>
  </si>
  <si>
    <t>There are a few teenage boys skateboarding on a quiet streets in a neighborhood.</t>
  </si>
  <si>
    <t>They are going down the street, trying some stunts on the skateboard.</t>
  </si>
  <si>
    <t>There are a some leaves fallen on the curb.</t>
  </si>
  <si>
    <t>One of the boys bends down and skates in a seated position.</t>
  </si>
  <si>
    <t>The boys continue skateboarding through the streets, going past houses in the residential area.</t>
  </si>
  <si>
    <t>v_H6hb3SIqdL4</t>
  </si>
  <si>
    <t>A man in a striped shirt prepares to throw dart at a dart board.</t>
  </si>
  <si>
    <t>The man throws three darts at the dartboard.</t>
  </si>
  <si>
    <t>The camera man pans to the side of the dartboard and zooms in on the darts as the man in the striped shirt reaches for the dart board.</t>
  </si>
  <si>
    <t>v_S9QG5MAga68</t>
  </si>
  <si>
    <t>An ad for Vidal Sassoon appears.</t>
  </si>
  <si>
    <t>We then see their curling iron and hot roller set.</t>
  </si>
  <si>
    <t>A demonstration is shown for how to set and use the hot rollers and iron on a woman's hair.</t>
  </si>
  <si>
    <t>Her hair is shown in pretty curls all around her head.</t>
  </si>
  <si>
    <t>v_uRBE-ANigvs</t>
  </si>
  <si>
    <t>An intro shot of various athletes are shown.</t>
  </si>
  <si>
    <t>A man is then shown throwing a discus on a large field.</t>
  </si>
  <si>
    <t>Another man is also shown doing the same with a still shot of him afterwards showing his posture and his throw in slow motion.</t>
  </si>
  <si>
    <t>He is then shown walking away and feeling very confident about what he just accomplished.</t>
  </si>
  <si>
    <t>v_4kbtdUz2M3M</t>
  </si>
  <si>
    <t>Various people are seen wandering around a beach, followed by waves moving along the water and people sitting in the water.</t>
  </si>
  <si>
    <t>Several people surfing the waves while people on the sidelines watch the athletes move.</t>
  </si>
  <si>
    <t>v_00S8I27qDU4</t>
  </si>
  <si>
    <t>A lady holds a javelin on a track she puts it down.</t>
  </si>
  <si>
    <t>The scene starts over and we see a lady throw a javelin and walk away.</t>
  </si>
  <si>
    <t>We then see the throw measured and a man walks up as talks to the girl.</t>
  </si>
  <si>
    <t>v__8m1tlowwKM</t>
  </si>
  <si>
    <t>A man with long sideburns wearing a red colored robe is playing the piano.</t>
  </si>
  <si>
    <t>there's another man in a blue shirt standing near him, busy engaged in packing some bags.</t>
  </si>
  <si>
    <t>The main in red continues playing the piano as the other man carries two bags and leaves.</t>
  </si>
  <si>
    <t>The man stops playing the piano and waves to the other person as he gets up and leaves.</t>
  </si>
  <si>
    <t>v_TdZOfBHjU5g</t>
  </si>
  <si>
    <t>There's a person wearing blue latex gloves polishing a hexagonal wooden table to demonstrate French polishing technique.</t>
  </si>
  <si>
    <t>He is using a polishing sponge to polish the table top surface in circular motion.</t>
  </si>
  <si>
    <t>He then goes in up and down motion over the table surface to make it shiny.</t>
  </si>
  <si>
    <t>He meticulously goes over the entire surface making sure no part of the table is left untouched.</t>
  </si>
  <si>
    <t>He then starts polishing the surface of a dinning room buffet that has bamboo finish doors.</t>
  </si>
  <si>
    <t>He again polishes in circular motions on the top surface.</t>
  </si>
  <si>
    <t>v_cRpzDPS6zeY</t>
  </si>
  <si>
    <t>A man and a woman are performing a couple's dance routine while other couples dance around them.</t>
  </si>
  <si>
    <t>A group of onlookers watch the couples spin around and continue the dance routine.</t>
  </si>
  <si>
    <t>v_HGqaDftZe5s</t>
  </si>
  <si>
    <t>We see small kids ride BMX bikes on a dirt track in an arena.</t>
  </si>
  <si>
    <t>The kids ride past the camera.</t>
  </si>
  <si>
    <t>The kids start passing the finish line.</t>
  </si>
  <si>
    <t>v_p4MMyVArVc0</t>
  </si>
  <si>
    <t>A woman is balancing on a tight rope outdoors.</t>
  </si>
  <si>
    <t>The woman is showing various acrobatic moves.</t>
  </si>
  <si>
    <t>The woman is bouncing on the wire.</t>
  </si>
  <si>
    <t>An animal is in the field in the background.</t>
  </si>
  <si>
    <t>v_OT98MiVje0g</t>
  </si>
  <si>
    <t>A close up is seen of Christmas decorations.</t>
  </si>
  <si>
    <t>A man in Santa Claus costume plays a drum set in a home with a lit up Christmas tree.</t>
  </si>
  <si>
    <t>The man dressed up as Santa finishes playing the song on drums.</t>
  </si>
  <si>
    <t>v_DeHIqrMlsU8</t>
  </si>
  <si>
    <t>The video begins with several shots of a person riding down a hill on a skateboard and doing tricks.</t>
  </si>
  <si>
    <t>The boy continues to ride around on a skateboard doing flips and tricks and the camera capturing him from several angles.</t>
  </si>
  <si>
    <t>v_haUWdHvwpUo</t>
  </si>
  <si>
    <t>A man is giving instructions about playing the congo.</t>
  </si>
  <si>
    <t>He speaks with his hands and then he taps the top of the congo very lightly.</t>
  </si>
  <si>
    <t>He starts to tap lightly on the congo at a very slow tempo and after a little bit of doing that he stops to start talking again.</t>
  </si>
  <si>
    <t>Finally, he starts using both of his hands to build up an actual beat and talks some more about it.</t>
  </si>
  <si>
    <t>v_JQf_oSGY8q4</t>
  </si>
  <si>
    <t>There's a woman dressed in black playing billiards in front of some spectators.</t>
  </si>
  <si>
    <t>After she's done another lady takes her turn and hits a few shots.</t>
  </si>
  <si>
    <t>The second contestant aims and shoots the ball in the hole.</t>
  </si>
  <si>
    <t>She aims precisely and shoots the balls in the holes one by one, without missing a single shot.</t>
  </si>
  <si>
    <t>She continues to concentrate and shoots the balls till only one ball is left on the billiards table.</t>
  </si>
  <si>
    <t>v_cErtrZrWhiQ</t>
  </si>
  <si>
    <t>Two men dressed in suits are facing one another with a hand on each others back, and holding hands with the other one and they dance in one direction, then back in another and then laugh and separate.</t>
  </si>
  <si>
    <t>Right where the men separate from dancing there is an Asian woman that is now the focus as she plays on an accordion keyboard.</t>
  </si>
  <si>
    <t>The woman stops playing, laughs and looks and says something.</t>
  </si>
  <si>
    <t>v_gPjH9C9wdJw</t>
  </si>
  <si>
    <t>A man is holding a guitar and looks back and fourth between the camera and the guitar.</t>
  </si>
  <si>
    <t>He moves his hands up and down the neck of the guitar and sings softly to the camera.</t>
  </si>
  <si>
    <t>v_fBxpQxIqGN8</t>
  </si>
  <si>
    <t>A person in pink does tai chi.</t>
  </si>
  <si>
    <t>She moves around but is basically doing the same basic thing.</t>
  </si>
  <si>
    <t>She stops and is still at the end.</t>
  </si>
  <si>
    <t>v_IGXq7a7Jl7s</t>
  </si>
  <si>
    <t>Several athletes compete for the javelin world championships.</t>
  </si>
  <si>
    <t>The Russia Dimitri is 3rd bronze medal in the competition.</t>
  </si>
  <si>
    <t>the Japanese Jenki is silver medal.</t>
  </si>
  <si>
    <t>Till from Germany won the gold medal.</t>
  </si>
  <si>
    <t>v_nvFtFFJXxB0</t>
  </si>
  <si>
    <t>An intro leads into hands seen playing a musical instrument while pausing the point on the instrument.</t>
  </si>
  <si>
    <t>He continues moving his hands around to play and is then seen speaking to the camera.</t>
  </si>
  <si>
    <t>v_rZ8tVgFyY84</t>
  </si>
  <si>
    <t>A man wearing surgical clothes demonstrates the proper way to wash hands for surgical procedures and first removes jewelry.</t>
  </si>
  <si>
    <t>The surgeon then wets his hands and ads soap.</t>
  </si>
  <si>
    <t>The surgeon then rubs the palms together and builds a lather.</t>
  </si>
  <si>
    <t>He then rubs back of hand with palm.</t>
  </si>
  <si>
    <t>The surgeon then rubs the back of fingers with hands.</t>
  </si>
  <si>
    <t>He then rubs the thumbs with the palm clasping thumb.</t>
  </si>
  <si>
    <t>Then he rubs the tips of the fingers into palm.</t>
  </si>
  <si>
    <t>Then he rubs the wrists and rinses the hands in wter and fully dries his hands.</t>
  </si>
  <si>
    <t>v_VqeeqABnpQk</t>
  </si>
  <si>
    <t>A dancer stands up from a chair.</t>
  </si>
  <si>
    <t>He pushes the chair towards him female dance partner.</t>
  </si>
  <si>
    <t>She sits on the chair.</t>
  </si>
  <si>
    <t>He walks towards her, picking her up from the chair and they dance.</t>
  </si>
  <si>
    <t>People in the audience applaud.</t>
  </si>
  <si>
    <t>v_CAW0CEuyvZo</t>
  </si>
  <si>
    <t>A girl is in front of a camera.</t>
  </si>
  <si>
    <t>She applies light pink lip gloss to her lips.</t>
  </si>
  <si>
    <t>v_xS6elK6Khs4</t>
  </si>
  <si>
    <t>A man is seen sitting in front of a fence sitting on a skateboard and speaking to the camera.</t>
  </si>
  <si>
    <t>Several shots are then shown of him speaking to the camera and performing various skateboarding tricks around a park.</t>
  </si>
  <si>
    <t>v_QIkDYInr17A</t>
  </si>
  <si>
    <t>Two young children are seen standing behind a table with one peeling lemons and a boy watching on the side.</t>
  </si>
  <si>
    <t>Another child is seen squeezing lemons and zooms in on the kids working.</t>
  </si>
  <si>
    <t>The kids continue to squeeze the lemon while looking and waving to the camera and speaking on the side.</t>
  </si>
  <si>
    <t>v_IwViXKNNBEU</t>
  </si>
  <si>
    <t>A man prepares himself to throw a discus.</t>
  </si>
  <si>
    <t>Multiple people walk around and talk in the background.</t>
  </si>
  <si>
    <t>The man spins and throws the discus.</t>
  </si>
  <si>
    <t>v_vWULU8NttX8</t>
  </si>
  <si>
    <t>A group of bike riders are seen standing ready side by side with one another and speaking to a man in front.</t>
  </si>
  <si>
    <t>The camera continues to pan around the riders getting ready and finally jumping down and racing along the dirt path.</t>
  </si>
  <si>
    <t>v_cffsp2tCT5k</t>
  </si>
  <si>
    <t>A young girl is seen cutting a hole in the top of a pumpkin followed by her scooping out seeds and cutting out the sides.</t>
  </si>
  <si>
    <t>The girl wipes off the pumpkin and puts on the top and shows the pumpkin in the dark.</t>
  </si>
  <si>
    <t>v_APuN4vwgKJ4</t>
  </si>
  <si>
    <t>A woman standing at a counter speaking about making chocolate chip cookies.</t>
  </si>
  <si>
    <t>She combines and mixes the ingredients with a hand mixer.</t>
  </si>
  <si>
    <t>She then places flour into a bowl after she measures it along with baking soda.</t>
  </si>
  <si>
    <t>She adds it to the cookies dough and mixes it by hand then adds in the chocolate chips.</t>
  </si>
  <si>
    <t>She then measures out dough that is on a baking sheet for cooking.</t>
  </si>
  <si>
    <t>Placed in the oven and after they cool you have cookies.</t>
  </si>
  <si>
    <t>v_DXluU6_7OXQ</t>
  </si>
  <si>
    <t>A girl stands up from a table in a kitchen.</t>
  </si>
  <si>
    <t>She and another girl have glasses and spoons.</t>
  </si>
  <si>
    <t>They proceed to eat the substance as they sit on the floor.</t>
  </si>
  <si>
    <t>v_GldxuTsExZM</t>
  </si>
  <si>
    <t>A person holding a moose moves the puppet and leads into someone opening a box.</t>
  </si>
  <si>
    <t>The person pulls pumpkins out of the box and cuts a circle around the top.</t>
  </si>
  <si>
    <t>He scoops the seeds out of the pumpkin while using the moose and uses a marker to draw on its side.</t>
  </si>
  <si>
    <t>He cuts around the marker lines and puts a candle inside to make a jack o lantern.</t>
  </si>
  <si>
    <t>v_xBtydVn3MVI</t>
  </si>
  <si>
    <t>A man films himself standing in a bathroom while holding a razor close to his face.</t>
  </si>
  <si>
    <t>He begins gently shaving the sides of his face and moves down towards his beard.</t>
  </si>
  <si>
    <t>He continues shaving the beard from all angles and eventually leaves nothing but a five 0 lock shadow.</t>
  </si>
  <si>
    <t>v_YtFGG_7A_UU</t>
  </si>
  <si>
    <t>A middle aged white female is standing in a lobby of some sort next to a picture talking.</t>
  </si>
  <si>
    <t>She then reappears in another room of the same place and is talking in front of a mirror,vase,and plant.</t>
  </si>
  <si>
    <t>In her hand,she has a small circular container with shoe polish it and takes a rag and dips the rag in the container.</t>
  </si>
  <si>
    <t>The woman then proceeds to clean the male dress shoe with the cloth and polish.</t>
  </si>
  <si>
    <t>She then takes a brush and start going over the shoe with it and pauses briefly and begins talking.</t>
  </si>
  <si>
    <t>v_r5oPTDuHhoE</t>
  </si>
  <si>
    <t>A group of girls are shown standing around a field huddled up together.</t>
  </si>
  <si>
    <t>The next shots are of the girls running around the field passing the ball back and fourth.</t>
  </si>
  <si>
    <t>A girl shoots the ball into the goal and achieves a point.</t>
  </si>
  <si>
    <t>Another later tries to shoot a goal but is blocked by the goalie.</t>
  </si>
  <si>
    <t>v_A8q6beSMpEE</t>
  </si>
  <si>
    <t>A man is holding windex near his car door.</t>
  </si>
  <si>
    <t>The man then sprays the window with windex and wipes the window.</t>
  </si>
  <si>
    <t>The man rolls the window up.</t>
  </si>
  <si>
    <t>The man finishes and rolls the window down to wipe it some more.</t>
  </si>
  <si>
    <t>v_WX1TLuHXCd8</t>
  </si>
  <si>
    <t>Guys are playing lacrosse on a field.</t>
  </si>
  <si>
    <t>A guy pushes a male to the ground.</t>
  </si>
  <si>
    <t>v_FMtUqoxfR50</t>
  </si>
  <si>
    <t>A special effect intro screen appears, it's mainly red and contains words on it that say "How to Improve Your Volleyball Spike".</t>
  </si>
  <si>
    <t>In slow motion a man is on a volleyball court demonstrating moves as white text appears as he does certain movements.</t>
  </si>
  <si>
    <t>When he's done a red screen appears that include a website in white text that say's "AcuSpike dot com" and it includes a blue clip art going through it along with a white volleyball.</t>
  </si>
  <si>
    <t>v_SO67XxdevPw</t>
  </si>
  <si>
    <t>An African American male gymnast in a blue leotard steps under two bars and begins stretching.</t>
  </si>
  <si>
    <t>He grabs the bars and pulls himself up into a hand stand on the bars.</t>
  </si>
  <si>
    <t>He continues to do acrobatic flips and continuous flips.</t>
  </si>
  <si>
    <t>His next set of flips consists of splits over the bars,followed by hand stands.</t>
  </si>
  <si>
    <t>Finally, he flips off the bars and lands on the mat to complete his performance.</t>
  </si>
  <si>
    <t>v_hFtmkU7wdx4</t>
  </si>
  <si>
    <t>A sky with the sun is peeking through the clouds.</t>
  </si>
  <si>
    <t>A man is on a track in front of a crowd.</t>
  </si>
  <si>
    <t>He runs, doing a long jump in slow motion.</t>
  </si>
  <si>
    <t>He celebrates as he wins the medal.</t>
  </si>
  <si>
    <t>A man is shown talking about him.</t>
  </si>
  <si>
    <t>The credits appear at the end.</t>
  </si>
  <si>
    <t>v_t6vWMTMooDc</t>
  </si>
  <si>
    <t>A man and a woman are standing in a living room with large sumo costumes on.</t>
  </si>
  <si>
    <t>The girl jumps up and then the man tries it to see how heavy the uniform is.</t>
  </si>
  <si>
    <t>Next,the man holds up a bag of lemons and begin to talk before they put their head equipment on.</t>
  </si>
  <si>
    <t>Now,it is time for the match and they begin wrestling with one another.</t>
  </si>
  <si>
    <t>However,they've added a feature to the match and each person has to put lemons in the other's hat to gain points.</t>
  </si>
  <si>
    <t>After several attempts,the girl wins and the score is 4 to 0.</t>
  </si>
  <si>
    <t>Now begins round two and the outcome is the same as the girl cheats to win.</t>
  </si>
  <si>
    <t>v_FmugQfHQ4p0</t>
  </si>
  <si>
    <t>Two vacuums appear in a gray room.</t>
  </si>
  <si>
    <t>One of the vacuums disappears.</t>
  </si>
  <si>
    <t>A lady vacuums her house then empties the vacuum.</t>
  </si>
  <si>
    <t>The lady puts the vacuum in a closet.</t>
  </si>
  <si>
    <t>We see a room full of desks and engineers designing products.</t>
  </si>
  <si>
    <t>Three Dyson fans swivel toward the camera.</t>
  </si>
  <si>
    <t>v_pt6XC-p_CFE</t>
  </si>
  <si>
    <t>A woman is seen speaking to the camera and holding up a tin.</t>
  </si>
  <si>
    <t>She then folds a piece of paper into an airplane and rubs it along the pan.</t>
  </si>
  <si>
    <t>She then puts a container into the pan while speaking to the camera.</t>
  </si>
  <si>
    <t>v_0PyY_iHBZHk</t>
  </si>
  <si>
    <t>A man is seen speaking to the camera while showing shots of people playing water polo.</t>
  </si>
  <si>
    <t>More clips are shown of people hitting the ball as well as the host speaking to another man.</t>
  </si>
  <si>
    <t>More clips are shown of people playing in the pool and laughing with one another.</t>
  </si>
  <si>
    <t>v_J4FBxa5FWSo</t>
  </si>
  <si>
    <t>A man runs on a pair of stilts down an alley.</t>
  </si>
  <si>
    <t>He bounces over a bike as he runs.</t>
  </si>
  <si>
    <t>He then runs up the side trim of a building before disappearing around the corner.</t>
  </si>
  <si>
    <t>v_0O589B9zr84</t>
  </si>
  <si>
    <t>Cartoon buildings are shown, then a pair of angels.</t>
  </si>
  <si>
    <t>We see a bucket filled with laundry.</t>
  </si>
  <si>
    <t>The video explains how washing clothes should involve soaking and brushing, and hand washing.</t>
  </si>
  <si>
    <t>Then it talks about rinsing and hanging the clothing to dry.</t>
  </si>
  <si>
    <t>We finally see an empty dryer before an ad for Laundry Bin Heaven.</t>
  </si>
  <si>
    <t>v_smYAy6TYS3M</t>
  </si>
  <si>
    <t>A group of small children are on a playground.</t>
  </si>
  <si>
    <t>They take turns hopping across a game of hopscotch drawn on the sidewalk.</t>
  </si>
  <si>
    <t>They continue taking turns over and over.</t>
  </si>
  <si>
    <t>v_jE0XAclET5w</t>
  </si>
  <si>
    <t>A man is doing a rubiks cube behind a table.</t>
  </si>
  <si>
    <t>There is a timer on the table in front of him.</t>
  </si>
  <si>
    <t>He picks up another rubiks cube and starts completing it.</t>
  </si>
  <si>
    <t>v_drarkco9LfQ</t>
  </si>
  <si>
    <t>A man is about to do an arm wrestling match with an older gentlemen.</t>
  </si>
  <si>
    <t>The older man is struggling from the faces that he is making.</t>
  </si>
  <si>
    <t>The camera's are getting all in their faces basically.</t>
  </si>
  <si>
    <t>The older man wins the match and the referees and everyone start to talk.</t>
  </si>
  <si>
    <t>v_COeXmBZpLSE</t>
  </si>
  <si>
    <t>An intro to Dancing with the Stars shows followed by a man playing piano and a couple looking off into the distance.</t>
  </si>
  <si>
    <t>The woman begins playing the piano when the man standing plays and grabs her.</t>
  </si>
  <si>
    <t>They twirl around a large stage surrounded by hundreds of people watching them dance.</t>
  </si>
  <si>
    <t>The man picks her up and twirls her around the music and ends with audience clapping.</t>
  </si>
  <si>
    <t>v_800KXmqsK-w</t>
  </si>
  <si>
    <t>A group of people riding bumper cars.</t>
  </si>
  <si>
    <t>The attendant crosses the course dodging the bumper cars.</t>
  </si>
  <si>
    <t>The attendant hops onto a girls car and helps her maneuver the car.</t>
  </si>
  <si>
    <t>The attendant continues running across the course assisting drivers while the the other drivers continue to crash into each other.</t>
  </si>
  <si>
    <t>v_37siIMJNG9Y</t>
  </si>
  <si>
    <t>A young girl is sitting down in front of a screen and begins talking as she is holding a bottle of blue mouthwash.</t>
  </si>
  <si>
    <t>The girl then takes the mouthwash and starts to put it over head and playing with is while making funny faces.</t>
  </si>
  <si>
    <t>After taking about it,the girls takes a gulp of it and starts to gargle it and holds it in her mouth.</t>
  </si>
  <si>
    <t>Finally,she spits it out and takes a drink of water before the replay is shown.</t>
  </si>
  <si>
    <t>v_6uNhwOSZXco</t>
  </si>
  <si>
    <t>A man in a snow jacket is seated in a ski lift.</t>
  </si>
  <si>
    <t>A man in yellow jacket holds a rubber inter tube with a rope and a child in ski clothes sits down inside.</t>
  </si>
  <si>
    <t>The man pushes the child down a ski slope.</t>
  </si>
  <si>
    <t>The child goes down a set of hills on the intertube.</t>
  </si>
  <si>
    <t>A woman attempts to stop the child then retrieves his intertube.</t>
  </si>
  <si>
    <t>A group of young girls and boy pull intertubes up a hill.</t>
  </si>
  <si>
    <t>A child in green jacket gets into an intertube.</t>
  </si>
  <si>
    <t>The child is pushed down the ski slope and sleds to the bottom.</t>
  </si>
  <si>
    <t>A woman in grey sweatshirt retrieves the intertube at the bottom of the slope.</t>
  </si>
  <si>
    <t>A boy in green jacket is pushed down the ski slope.</t>
  </si>
  <si>
    <t>A woman an grey sweatshirt retrieves the intertube at the bottom of the slope.</t>
  </si>
  <si>
    <t>v_9vqOA8KVcME</t>
  </si>
  <si>
    <t>A lady talks to the camera.</t>
  </si>
  <si>
    <t>We see the lady hold up bottle of witch hazel and a cotton pad and talks.</t>
  </si>
  <si>
    <t>The lady holds up a bottle of lotion.</t>
  </si>
  <si>
    <t>We see the lady put lotion on her face and then hold a small bottle of serum she puts on her face.</t>
  </si>
  <si>
    <t>We see teh lady with makeup on talking to the camera.</t>
  </si>
  <si>
    <t>v_KYtV2vpwuVw</t>
  </si>
  <si>
    <t>1 A camera man watches men on bikes that are about to race.</t>
  </si>
  <si>
    <t>2 The race begins with the guys on bikes.</t>
  </si>
  <si>
    <t>3 One man wipes out.</t>
  </si>
  <si>
    <t>4 The race ends and the guys take their bikes.</t>
  </si>
  <si>
    <t>v_HRbBaePTCR8</t>
  </si>
  <si>
    <t>A man is driving a boat, then two men are sitting on the side of the boat, the man in black life vest is on the side of the boat then let go off the boat then start to wakeboard while he is holding on to the harness.</t>
  </si>
  <si>
    <t>The man continue to wake board, he flipped over and then wake board on the water.</t>
  </si>
  <si>
    <t>v_QjoEYtjPa3w</t>
  </si>
  <si>
    <t>We see an opening instruction screen.</t>
  </si>
  <si>
    <t>We see a person holding a contact lens.</t>
  </si>
  <si>
    <t>We see another instruction screen and see the person inserts the lens on the left.</t>
  </si>
  <si>
    <t>Another screen of instructions and the person inserts the right lens.</t>
  </si>
  <si>
    <t>Two sets of Instructions appear an the person removes the left and right lens.</t>
  </si>
  <si>
    <t>the person waves bye to the camera.</t>
  </si>
  <si>
    <t>v_5z6q_Ix3kWI</t>
  </si>
  <si>
    <t>A man is skiing very fast down a hillside and hops one for fun.</t>
  </si>
  <si>
    <t>He is now walking back up the mountain with difficulty.</t>
  </si>
  <si>
    <t>He skiis and walks up various hills.</t>
  </si>
  <si>
    <t>Skiis down a rather large hillside or mountain.</t>
  </si>
  <si>
    <t>He jumps off a hill and tries to do a 360 but falls.</t>
  </si>
  <si>
    <t>He skiis between some trees and on a path.</t>
  </si>
  <si>
    <t>v_32EWNGHBctI</t>
  </si>
  <si>
    <t>A professional tennis match is played during a tournament.</t>
  </si>
  <si>
    <t>The players talk on headsets during the match.</t>
  </si>
  <si>
    <t>A man prepares to serve the ball to start the match.</t>
  </si>
  <si>
    <t>The man serves the ball and scores a point.</t>
  </si>
  <si>
    <t>The opposing team has a turn to serve the ball.</t>
  </si>
  <si>
    <t>v_9SEc3QVBCo4</t>
  </si>
  <si>
    <t>A man is working outside a house.</t>
  </si>
  <si>
    <t>He uses a hammer and clamp on the shingles.</t>
  </si>
  <si>
    <t>He knocks each shingle off the house with the hammer.</t>
  </si>
  <si>
    <t>v_g5BPyMdlurg</t>
  </si>
  <si>
    <t>First this girl does a back bend and then another girl does a back walkover.</t>
  </si>
  <si>
    <t>Then someone else does a cartwheel and that same person does a round off.</t>
  </si>
  <si>
    <t>next someone does a front walkover and another girl does a standing back handspring along with other people who are doing gymnastic moves.</t>
  </si>
  <si>
    <t>v_bSBmunE-1KQ</t>
  </si>
  <si>
    <t>A man wearing a bag is seen speaking to the camera and leads into a group of people riding in a raft.</t>
  </si>
  <si>
    <t>One person paddles around and turns the ground around, leading back into the man speaking to the camera.</t>
  </si>
  <si>
    <t>v_gCuRcP4txc0</t>
  </si>
  <si>
    <t>A group of drummers dressed in all white outfits perform a song.</t>
  </si>
  <si>
    <t>An instructor stands in front of the group giving instructions.</t>
  </si>
  <si>
    <t>v_oBZ_oAUGO0E</t>
  </si>
  <si>
    <t>man is sitting in an ofice talking to the camera.</t>
  </si>
  <si>
    <t>a tattoo is shown in a back of a man and the man is tattoing him.</t>
  </si>
  <si>
    <t>man is standing laying no a stand getting a tatto on his back.</t>
  </si>
  <si>
    <t>v_eElKkhIJXCs</t>
  </si>
  <si>
    <t>A group of kids are playing on a field.</t>
  </si>
  <si>
    <t>The coaches talk to them as they run.</t>
  </si>
  <si>
    <t>They engage in a game of lacrosse together.</t>
  </si>
  <si>
    <t>v_oWaqaK58Tds</t>
  </si>
  <si>
    <t>A large group of people are seen standing on ice followed by various shots of curling tools and people playing the sport.</t>
  </si>
  <si>
    <t>A man is seen putting shoes on, walking along the ice while another helps him walk.</t>
  </si>
  <si>
    <t>The men continue to teach him how to glide along the ice and and use the brush to move the puck.</t>
  </si>
  <si>
    <t>v_tzbJ_CETeG8</t>
  </si>
  <si>
    <t>A group of men are in a sandy desert.</t>
  </si>
  <si>
    <t>They climb on top of camels and ride them.</t>
  </si>
  <si>
    <t>They ride the camels toward a set of pyramids.</t>
  </si>
  <si>
    <t>v_pwoy7UXdnAE</t>
  </si>
  <si>
    <t>We see a title screen fade in and out.</t>
  </si>
  <si>
    <t>A man and a dog walk in a training room.</t>
  </si>
  <si>
    <t>The man throws Frisbees for the dog to catch.</t>
  </si>
  <si>
    <t>The dog stands to catch the Frisbee the leans on the man.</t>
  </si>
  <si>
    <t>The dog jumps into the man's arms.</t>
  </si>
  <si>
    <t>v_L9dtiopWGe4</t>
  </si>
  <si>
    <t>A table of various cut fruits appear on screen with the title "Making Drinks".</t>
  </si>
  <si>
    <t>A person cuts and squeezes lemons followed by the title "Making Lemonade Is Easy and Fun".</t>
  </si>
  <si>
    <t>Different items needed to make lemonade are shown and titled followed by interviews.</t>
  </si>
  <si>
    <t>Each step of making lemonade is shown and titled.</t>
  </si>
  <si>
    <t>People are interviewed drinking the lemonade.</t>
  </si>
  <si>
    <t>A "Citrus Saturday" logo appears with various supporting organization logos beneath.</t>
  </si>
  <si>
    <t>v_wideKBXF-60</t>
  </si>
  <si>
    <t>An intro appears showing empty glasses, a card that say's "Audi Polo Challenge 2014", an Audi flag blowing in the wind, close up shots of a white horse, people with drinks, cars driving, polo riders getting on their horses, and a large group of people near and in a tent both standing and sitting.</t>
  </si>
  <si>
    <t>The polo match begins and the men are riding on hroses that are going very fast as they all attempt to hit the ball with their sticks.</t>
  </si>
  <si>
    <t>There are a lot of celebrities and even royalty at this polo event and every now and then they are shown, and sometimes they are also interviewed.</t>
  </si>
  <si>
    <t>Between matches the people all go out into the grass and put the patches of grass back into the holes that are missing them, and the polo game continues for another round.</t>
  </si>
  <si>
    <t>The polo match ends and Prince Harry and Prince William are seen separately receiving a white box from a man, while they talk and shake hands as people clap and take pictures.</t>
  </si>
  <si>
    <t>v_q3NOVbRyFfw</t>
  </si>
  <si>
    <t>People are seen walking in the forest carrying tubes and lead into them sitting in the water.</t>
  </si>
  <si>
    <t>More people climb into the water and sit on top of their tubes.</t>
  </si>
  <si>
    <t>Several close ups are seen of the people riding on the tubes as well as swimming in the water.</t>
  </si>
  <si>
    <t>v_uv7COBs24D8</t>
  </si>
  <si>
    <t>written instructions about how to makea hand lay down are in the screen.</t>
  </si>
  <si>
    <t>man is standing in a basket court dribbling the ball and doing shos to the basket.</t>
  </si>
  <si>
    <t>three basket players are doing shots and showing how to do a two steps technique.</t>
  </si>
  <si>
    <t>v_UaZcqOngDzo</t>
  </si>
  <si>
    <t>Two kids are seen riding in a truck moving down a road as well as shots of landscapes and the kids sitting on bikes.</t>
  </si>
  <si>
    <t>Several shots are shown of the kids riding around a dirt track with one another while the camera captures them all over.</t>
  </si>
  <si>
    <t>v_Taw5ILRt9hI</t>
  </si>
  <si>
    <t>There's a woman with red colored hair wearing a black tank top and printed black tights skating on roller blades through the streets of a city.</t>
  </si>
  <si>
    <t>The streets don't have any cars but people are riding bikes or skateboarding.</t>
  </si>
  <si>
    <t>The woman swiftly skates through the crowded streets as she passes by several tourists walking leisurely.</t>
  </si>
  <si>
    <t>v_8d7FyPzxzjg</t>
  </si>
  <si>
    <t>A man flies in the air with on a motorcycle.</t>
  </si>
  <si>
    <t>A man makes a motocross circuit using a heavy machine.</t>
  </si>
  <si>
    <t>People runs motocross on an bumpy road.</t>
  </si>
  <si>
    <t>people ride a motorcycle on ramps, and then flies and spin in the air.</t>
  </si>
  <si>
    <t>v_8ZPV7ySIcbM</t>
  </si>
  <si>
    <t>men are walking to a bike shop and talks with the man inside.</t>
  </si>
  <si>
    <t>they are assembling different pieces of the bike.</t>
  </si>
  <si>
    <t>man says goodbye and leaves the shop and get home where man carry the bike and put it in a living room.</t>
  </si>
  <si>
    <t>man is wriing on white papers and is fixing the bike on the garage.</t>
  </si>
  <si>
    <t>v_U0p4tW1LoPg</t>
  </si>
  <si>
    <t>A group of people wearing swim caps move around a pool and toss a ball around with a man on the sides waving a flag.</t>
  </si>
  <si>
    <t>They play a game of water polo and throw the ball around to each other.</t>
  </si>
  <si>
    <t>One throws the ball into the net and causes the people on the side to jump and cheer.</t>
  </si>
  <si>
    <t>A video of the event shows in slow motion followed by men on the sidelines watching.</t>
  </si>
  <si>
    <t>v_tJLm2D4J3X0</t>
  </si>
  <si>
    <t>People are running down a track and jumping into a sand pit.</t>
  </si>
  <si>
    <t>People are standing on the side of the track watching them.</t>
  </si>
  <si>
    <t>The man is posing in front of a sign.</t>
  </si>
  <si>
    <t>v_qxQWNu_MN94</t>
  </si>
  <si>
    <t>He jumps off into the pool below him.</t>
  </si>
  <si>
    <t>Another person steps onto the diving board.</t>
  </si>
  <si>
    <t>v_f-uRpjoKGLQ</t>
  </si>
  <si>
    <t>Two people are seen riding along on skis while speaking to one another and leads into them riding down a snowy hill.</t>
  </si>
  <si>
    <t>The people continuously push themselves quickly down a hill moving past several people and ending by stopping at the end.</t>
  </si>
  <si>
    <t>v_4pSWTD4vAz0</t>
  </si>
  <si>
    <t>A dog rides on a boat with his owners.</t>
  </si>
  <si>
    <t>A crab is seen crawling on the bottom of a lake.</t>
  </si>
  <si>
    <t>People water ski behind a boat on a calm lake.</t>
  </si>
  <si>
    <t>The person lets go of the tug rope and glides towards the shore of the lake.</t>
  </si>
  <si>
    <t>The group prepare a chair on a sled with a rope on shore.</t>
  </si>
  <si>
    <t>A man is pulled on a sled from the shore then on the lake.</t>
  </si>
  <si>
    <t>The group removes the sled from the water and lifts it to drain the water.</t>
  </si>
  <si>
    <t>v_rWHm1-o_zL0</t>
  </si>
  <si>
    <t>A shiny mopped floor is shown.</t>
  </si>
  <si>
    <t>A janitor is shown rolling rugs, scraping gum, putting out signs, and mopping floors.</t>
  </si>
  <si>
    <t>He goes into a closet and picks out the cleaner he uses while he talks about it.</t>
  </si>
  <si>
    <t>He sprays water and the cleaning solution into his mop cart.</t>
  </si>
  <si>
    <t>He is then shown mopping the floor with the solution.</t>
  </si>
  <si>
    <t>He takes everything apart and puts it away before washing his hands for the day.</t>
  </si>
  <si>
    <t>v_beASFdYJFUU</t>
  </si>
  <si>
    <t>Women are playing indoor hockey and competing.</t>
  </si>
  <si>
    <t>They begin fighting over the inflatable pucks.</t>
  </si>
  <si>
    <t>They are shown talking to the camera about the game.</t>
  </si>
  <si>
    <t>The women are again shown playing hockey in a competition with one another.</t>
  </si>
  <si>
    <t>A close up is shown of the puck.</t>
  </si>
  <si>
    <t>v_Vckc3ZOollk</t>
  </si>
  <si>
    <t>Several outside views of a casino are shown.</t>
  </si>
  <si>
    <t>Card players and the dealer at a table are shown engaging in a game inside the casino.</t>
  </si>
  <si>
    <t>The dealer deals cards to each player.</t>
  </si>
  <si>
    <t>The dealer reveals the dealer's hand.</t>
  </si>
  <si>
    <t>One man talks to the camera while another man stands nearby.</t>
  </si>
  <si>
    <t>v_ZC65qkYMy9Q</t>
  </si>
  <si>
    <t>Several people are seen standing around an arena while others stand to play shuffleboard.</t>
  </si>
  <si>
    <t>A man pushes a puck along several times while others do the same behind him.</t>
  </si>
  <si>
    <t>The people continue playing and end with a man speaking to the camera in the end.</t>
  </si>
  <si>
    <t>v_U_ZW0tTvf0k</t>
  </si>
  <si>
    <t>A girl is seen laying on a table with a man piercing her belly button below her.</t>
  </si>
  <si>
    <t>The girl screams in pain and the man finishes her piercing while she looks to the camera.</t>
  </si>
  <si>
    <t>v_95L-8JtlwRU</t>
  </si>
  <si>
    <t>A pair of white and red nike shoes are shown.</t>
  </si>
  <si>
    <t>A man is using inserts to prepare the shoes.</t>
  </si>
  <si>
    <t>He then uses a brush and cleaning solution to wash the shoes.</t>
  </si>
  <si>
    <t>v_bBXbFpJMveI</t>
  </si>
  <si>
    <t>We see men skateboarding near a parking lot.</t>
  </si>
  <si>
    <t>We see two men talking to each other.</t>
  </si>
  <si>
    <t>We see the man in khakis stumble and fail repeatedly.</t>
  </si>
  <si>
    <t>We see a man holding a cell phone and talking to the skater.</t>
  </si>
  <si>
    <t>The men shake hands and the cameraman points at the skater.</t>
  </si>
  <si>
    <t>We see the subscribe screen.</t>
  </si>
  <si>
    <t>We see people riding and see a man ride a red toy kids skateboard and the cameraman kicks it across the lot.</t>
  </si>
  <si>
    <t>v_99Mk5a8Tvyk</t>
  </si>
  <si>
    <t>There's a man wearing a red hat and a black shirt training and playing with his dog in a dog park.</t>
  </si>
  <si>
    <t>There are several other people in that park with their dogs, sitting under canopies.</t>
  </si>
  <si>
    <t>The man is throwing a Frisbee for the dog to fetch.</t>
  </si>
  <si>
    <t>The dog is running around and fetching the Frisbee for its owner.</t>
  </si>
  <si>
    <t>The dog jumps up high to catch the Frisbee.</t>
  </si>
  <si>
    <t>The man also throws a ball to the dog for him to fetch.</t>
  </si>
  <si>
    <t>The man lifts the dog up and walks away with it.</t>
  </si>
  <si>
    <t>v_fYIr-1aIHmA</t>
  </si>
  <si>
    <t>We see a black screen and the title.</t>
  </si>
  <si>
    <t>We see a boy holding onto to a pole being pulled by a boat.</t>
  </si>
  <si>
    <t>He gets on his feet and skis.</t>
  </si>
  <si>
    <t>The boy loses his balance and fall off the pole entirely.</t>
  </si>
  <si>
    <t>A girl is next to hold onto the bar of the boat.</t>
  </si>
  <si>
    <t>The girls looks at the camera before she looses her footing and falls off the bar.</t>
  </si>
  <si>
    <t>v_n9Fqjdwh-L8</t>
  </si>
  <si>
    <t>A woman in an orange shirt is doing various karate moves.</t>
  </si>
  <si>
    <t>She does a back flip on the mat.</t>
  </si>
  <si>
    <t>v_E0U3v4WLuEA</t>
  </si>
  <si>
    <t>A man demonstrates how to install some grips onto bicycle handles.</t>
  </si>
  <si>
    <t>First he installs some rings onto the grips themselves.</t>
  </si>
  <si>
    <t>Next he screws on some screws to have them ready.</t>
  </si>
  <si>
    <t>He then slides on the grips onto the handles of the bike.</t>
  </si>
  <si>
    <t>He completes the tightening of the grips with an Alan wrench.</t>
  </si>
  <si>
    <t>Last he inserts plugs into the end of the grips and the handle bars.</t>
  </si>
  <si>
    <t>v_1SdH6HFnOZA</t>
  </si>
  <si>
    <t>men are playing beach football in a empty court.</t>
  </si>
  <si>
    <t>man kick another player on the head and he holds his head.</t>
  </si>
  <si>
    <t>v_jPLJAYnjsBw</t>
  </si>
  <si>
    <t>Two woman are riding in a car.</t>
  </si>
  <si>
    <t>The passenger is talking to the camera.</t>
  </si>
  <si>
    <t>They are demonstrating dance moves.</t>
  </si>
  <si>
    <t>The driver is talking to the camera.</t>
  </si>
  <si>
    <t>The passenger is now talking to the camera.</t>
  </si>
  <si>
    <t>The driver is looking at the camera and smiling while driving.</t>
  </si>
  <si>
    <t>A girl is looking in a mirror holding a tattoo pattern on her shoulder.</t>
  </si>
  <si>
    <t>Another girl is lying on a bed while another girl gives her a tattoo.</t>
  </si>
  <si>
    <t>The other girl is sitting on a stool while a man gives her a tattoo her shoulder.</t>
  </si>
  <si>
    <t>A hand reaches out from behind the camera.</t>
  </si>
  <si>
    <t>A girl is talking to the camera with her hand on her shoulder.</t>
  </si>
  <si>
    <t>Another girl is talking to the camera and making hand gestures.</t>
  </si>
  <si>
    <t>Both girls are talking to the camera.</t>
  </si>
  <si>
    <t>v_lp_Rwbp8S1k</t>
  </si>
  <si>
    <t>A man in a black coat is shoveling snow with a shovel.</t>
  </si>
  <si>
    <t>He picks up a large shovel full of snow and tosses it next to him.</t>
  </si>
  <si>
    <t>He continues shoveling the driveway.</t>
  </si>
  <si>
    <t>v_1tRTSOnylOs</t>
  </si>
  <si>
    <t>A man is in an arena fighting a bull.</t>
  </si>
  <si>
    <t>He swings the cape and runs near other men, teasing the bull into chasing him.</t>
  </si>
  <si>
    <t>The bull slams into the side of a horse being ridden by a man before running back towards the man with the cape.</t>
  </si>
  <si>
    <t>The man on the horse rides away to the side.</t>
  </si>
  <si>
    <t>v_iL__89eDRzg</t>
  </si>
  <si>
    <t>An intro comes onto the screen introducing the video clip.</t>
  </si>
  <si>
    <t>Two people are shown frolicking around in the lake.</t>
  </si>
  <si>
    <t>After that, they take off in motion in the water connected by a cord to a speed boat.</t>
  </si>
  <si>
    <t>The video ends when they both fall int the water.</t>
  </si>
  <si>
    <t>v_THtDZ6g9csA</t>
  </si>
  <si>
    <t>A lady paints her fingernails a plum color.</t>
  </si>
  <si>
    <t>She then puts streaks and dots of black and silver on the nails to create a design.</t>
  </si>
  <si>
    <t>She finishes and shows her painted nails.</t>
  </si>
  <si>
    <t>v_lR4vyq1WbyU</t>
  </si>
  <si>
    <t>A man is seen speaking to others off in the distance and begins pushing a man around a room.</t>
  </si>
  <si>
    <t>He continues pushing the man while many watch on the side.</t>
  </si>
  <si>
    <t>The man stands up and looks surprised as he's continuously pushed down.</t>
  </si>
  <si>
    <t>v_RZpbFG3j-Bo</t>
  </si>
  <si>
    <t>A lady stands outside and talks.</t>
  </si>
  <si>
    <t>The lady is let in an office where she undergoes an eye exam.</t>
  </si>
  <si>
    <t>A eye contact is examined using a tool and a human hand.</t>
  </si>
  <si>
    <t>Several items associated with contacts lenses wear are displayed.</t>
  </si>
  <si>
    <t>A man washes his hand.</t>
  </si>
  <si>
    <t>A lady picks up a contact lens.</t>
  </si>
  <si>
    <t>A man writes the letter l on a paper.</t>
  </si>
  <si>
    <t>A hand bends a contact lens.</t>
  </si>
  <si>
    <t>A man puts a contact lens in.</t>
  </si>
  <si>
    <t>A lady puts each contact lens in.</t>
  </si>
  <si>
    <t>The lady shakes the man's hand.</t>
  </si>
  <si>
    <t>v_hPIHCG5n7RI</t>
  </si>
  <si>
    <t>A small group of people are seen playing a game of lacrosse on a field with a man walking towards them.</t>
  </si>
  <si>
    <t>The man yells to the players as they run up and down the field and continues to watch them as they play.</t>
  </si>
  <si>
    <t>v_Fpivz0Yie_Q</t>
  </si>
  <si>
    <t>A van towing a car drives by view of blue road signs are shown and in white letters they read "WALTON", "Ontario's West Coast" and "MOTORCROSS TOWN".</t>
  </si>
  <si>
    <t>A lot of people are now shown walking or riding bikes at a large gathering as other people are hanging out under tents.</t>
  </si>
  <si>
    <t>A group of men are at a starting line of a large motor cross track and they begin to go around and around while people watch on.</t>
  </si>
  <si>
    <t>When they are done going around the track various clips of people doing different things are shown again.</t>
  </si>
  <si>
    <t>v_iaqFvTpoceI</t>
  </si>
  <si>
    <t>Cheerleaders are standing on a blue mat.</t>
  </si>
  <si>
    <t>They start doing a routine on the mat.</t>
  </si>
  <si>
    <t>They hold up signs in the air.</t>
  </si>
  <si>
    <t>They finish their routine and wave at the audience.</t>
  </si>
  <si>
    <t>v_rYumFn7S1YA</t>
  </si>
  <si>
    <t>A woman is holding an athlete's ankle while sh is on the beam.</t>
  </si>
  <si>
    <t>The woman is making the athlete raiser her ankle a and walk to the beam, she guide the athlete as she walks.</t>
  </si>
  <si>
    <t>The athlete walked backwards with her ankle's up, then the woman guided her as she turns around.</t>
  </si>
  <si>
    <t>v_qK2iRSxxRQU</t>
  </si>
  <si>
    <t>A bellydancer in green begins her routine, smiling for the audience.</t>
  </si>
  <si>
    <t>She is joined by two more dancers who are in red and each does their own moves before coming together.</t>
  </si>
  <si>
    <t>They again break for solo performances, each dancer getting a moment to show off.</t>
  </si>
  <si>
    <t>They return to dancing together and the performance ends.</t>
  </si>
  <si>
    <t>v_RkBHHWFh2rk</t>
  </si>
  <si>
    <t>The video leads into several shots of people riding skateboards as well as riding on a tire and walking next to each other.</t>
  </si>
  <si>
    <t>They're seen looking and laughing to the camera while more shots of people riding down on skateboards are shown.</t>
  </si>
  <si>
    <t>v_u1upxlAgsqM</t>
  </si>
  <si>
    <t>Three people do a basketball drill of driving to the hoop.</t>
  </si>
  <si>
    <t>They take turns playing different positions and doing a layup.</t>
  </si>
  <si>
    <t>v_arTumJHoLB0</t>
  </si>
  <si>
    <t>A young man is seen looking off into the distance with lotion on his face.</t>
  </si>
  <si>
    <t>He continues rubbing the lotion in while looking away from the camera.</t>
  </si>
  <si>
    <t>He finishes putting in the sunscreen and looking away from the camera.</t>
  </si>
  <si>
    <t>v_bMDyOXygNPM</t>
  </si>
  <si>
    <t>Several men are seen standing around an indoor court kicking a ball around.</t>
  </si>
  <si>
    <t>People watch the game on the sidelines as the players continue to run up and down the field.</t>
  </si>
  <si>
    <t>Different games are shown in between and the group continues to play.</t>
  </si>
  <si>
    <t>v_GfSGZZSGH6g</t>
  </si>
  <si>
    <t>There are two roofers standing top of a building roof removing working on old roof removal.</t>
  </si>
  <si>
    <t>They are using roofing shovel to remove the shingles and tarp.</t>
  </si>
  <si>
    <t>One of the roofers is peeling off the tarp from the rooftop as he digs in the shovel underneath the tarp.</t>
  </si>
  <si>
    <t>The other roofer is helping him roll up the tarp as he peels it off.</t>
  </si>
  <si>
    <t>v_1p_HYu0EZAk</t>
  </si>
  <si>
    <t>A camera pans over a sink full of dishes followed by a woman jogging over.</t>
  </si>
  <si>
    <t>She dances with the dishes and looks into the camera while she does them.</t>
  </si>
  <si>
    <t>A timer counts down how many dishes she's washed and she smiles to the camera.</t>
  </si>
  <si>
    <t>v__N9LhaKnZv4</t>
  </si>
  <si>
    <t>A man talks in the woods holding a can and key chain.</t>
  </si>
  <si>
    <t>Then, the man takes the key chain and points the lower part of the can.</t>
  </si>
  <si>
    <t>After, the man pocks the lower part of the can and intermediately opens the can and drinks from the hole of the can.</t>
  </si>
  <si>
    <t>v_a2vaM_aRHv4</t>
  </si>
  <si>
    <t>A list of ingredients is shown written in a list.</t>
  </si>
  <si>
    <t>Glass bowls are set on a counter with various ingredients for a dish.</t>
  </si>
  <si>
    <t>A person measures and cuts parchment paper using a cooking tin as a guide.</t>
  </si>
  <si>
    <t>The person measures ingredients in a glass bowl then adds them to an electric mixer to blend.</t>
  </si>
  <si>
    <t>The person brushes on oil to the parchment paper then sets it into a cooking tin.</t>
  </si>
  <si>
    <t>The tins are added to an oven to cook.</t>
  </si>
  <si>
    <t>The tins are shown fully cooked and then flipped over to empty cake onto table.</t>
  </si>
  <si>
    <t>The parchment paper is peeled off the cake.</t>
  </si>
  <si>
    <t>The cake is sliced into loaves with a serrated knife.</t>
  </si>
  <si>
    <t>The cake is seen on plates for serving.</t>
  </si>
  <si>
    <t>v_6FPoGGaox4g</t>
  </si>
  <si>
    <t>A woman is helping a little boy slide down a slide.</t>
  </si>
  <si>
    <t>A woman is at the top of a slide helping a little boy slide down into the arms of another person in a red vest.</t>
  </si>
  <si>
    <t>A woman is helping the boy down a slide and the same person in the red vest catches them.</t>
  </si>
  <si>
    <t>The person in the red vest then kissed the child.</t>
  </si>
  <si>
    <t>v_KaicDn9WDUo</t>
  </si>
  <si>
    <t>They all come onto the stage and pose at the end.</t>
  </si>
  <si>
    <t>They bow and walk off the stage.</t>
  </si>
  <si>
    <t>v_srXhWAGzd-s</t>
  </si>
  <si>
    <t>A person is shown cleaning off the outside of a car.</t>
  </si>
  <si>
    <t>The car is then driven inside of a shop.</t>
  </si>
  <si>
    <t>Inside a man starts detailing the car once again and cleaning off the outside.</t>
  </si>
  <si>
    <t>He spray paints parts of the car.</t>
  </si>
  <si>
    <t>He sprays cleaner on the inside and outside of the car.</t>
  </si>
  <si>
    <t>He wipes down all surfaces from inside and outside the car.</t>
  </si>
  <si>
    <t>v_wott7JRSkOk</t>
  </si>
  <si>
    <t>Two men plays soccer table moving the players on the rods.</t>
  </si>
  <si>
    <t>A man wearing yellow shirt stroke the rod strong to hit the white ball.</t>
  </si>
  <si>
    <t>A person stands on front the soccer table.</t>
  </si>
  <si>
    <t>v_kO_4QDNExkY</t>
  </si>
  <si>
    <t>A hand is shown flipping a switch.</t>
  </si>
  <si>
    <t>A the hose of a leaf blower is shown.</t>
  </si>
  <si>
    <t>The hose begins forcefully blowing leaves away from the camera.</t>
  </si>
  <si>
    <t>The person holding the leaf blower repeatedly swings the hose left to ring blowing leaves into a pile.</t>
  </si>
  <si>
    <t>v_RTS4mOH3cFY</t>
  </si>
  <si>
    <t>A residential security video is playing and shows an empty yard and road.</t>
  </si>
  <si>
    <t>A man walking two dogs show up walking on the side closer to the camera, and he quickly notices another dog from the other side of the road suddenly coming his way so he tries to tighten up his dogs leash to gain control of them, but the other dog begins running towards them and starts attacking the man's dogs.</t>
  </si>
  <si>
    <t>The man kicks the attack dog away and tries to regain control of his two dogs while the man and the other dog is on the other side of the road.</t>
  </si>
  <si>
    <t>The man picks up one of his dogs and they resume walking.</t>
  </si>
  <si>
    <t>v_n6A8YtBAJX0</t>
  </si>
  <si>
    <t>We see a man and a boy playing by sliding a plastic thing around table.</t>
  </si>
  <si>
    <t>The camera shifts and we see more of the room.</t>
  </si>
  <si>
    <t>The camera angle changes and we see them playing the game from behind.</t>
  </si>
  <si>
    <t>A persons hand on the left enters the screen.</t>
  </si>
  <si>
    <t>The camera angle changes again and we are in front of the players.</t>
  </si>
  <si>
    <t>We see a boy in a sweater moving a chair to sit and join the game.</t>
  </si>
  <si>
    <t>v_V-Yz865cbn4</t>
  </si>
  <si>
    <t>A young child is seen smiling to the camera and then begins dancing around.</t>
  </si>
  <si>
    <t>The boy continues dancing while the camera captures him moving up and down.</t>
  </si>
  <si>
    <t>v_Hlc6FXX5kGs</t>
  </si>
  <si>
    <t>A baby girl is holding a compact, wiping the makeup pad against her cheek.</t>
  </si>
  <si>
    <t>She sits on the floor, continuing to play with the makeup, opening and closing the case, and wiping it onto her face.</t>
  </si>
  <si>
    <t>v_mdwbRGlPn3A</t>
  </si>
  <si>
    <t>Three men are walking with the stilts.</t>
  </si>
  <si>
    <t>One of the men with stilts splits at the center.</t>
  </si>
  <si>
    <t>One of the men jumped so high several time with his stilts.</t>
  </si>
  <si>
    <t>v_xwSeXFkTNlE</t>
  </si>
  <si>
    <t>A gymnast is patiently waiting to start his performance.</t>
  </si>
  <si>
    <t>He jumps on to the board and starts spinning really fast before he jumps off and walks around.</t>
  </si>
  <si>
    <t>He take a breath and the audience claps for him before he jumps back on it and starts spinning again.</t>
  </si>
  <si>
    <t>When he is done he walks down and shakes hands with all the team mates, before he gets on one last time.</t>
  </si>
  <si>
    <t>v_bbDWLOPnWOY</t>
  </si>
  <si>
    <t>A man in a blue shirt moves to take his shot.</t>
  </si>
  <si>
    <t>He then talks to the other men.</t>
  </si>
  <si>
    <t>The man in black moves out of the shot.</t>
  </si>
  <si>
    <t>The man in black and blue throw their hands in the air.</t>
  </si>
  <si>
    <t>All of the men break out and react wildly to the last shot.</t>
  </si>
  <si>
    <t>v_GnbyHdd-BjQ</t>
  </si>
  <si>
    <t>They are sitting down drinking coffee.</t>
  </si>
  <si>
    <t>They are standing next to a body of water.</t>
  </si>
  <si>
    <t>They are snowboarding down a hill again.</t>
  </si>
  <si>
    <t>A girl is laying down sleeping.</t>
  </si>
  <si>
    <t>They are eating dinner around a table.</t>
  </si>
  <si>
    <t>They leave their snowboards and walk into a cabin.</t>
  </si>
  <si>
    <t>v_mcDVNexy6Ps</t>
  </si>
  <si>
    <t>A woman is standing in front of a christmas tree, applying a wreath.</t>
  </si>
  <si>
    <t>She then hangs lights and ornaments.</t>
  </si>
  <si>
    <t>At the end, she adjusts the ornaments and adds a star to the top of the tree.</t>
  </si>
  <si>
    <t>v_FJnCSFPoWVU</t>
  </si>
  <si>
    <t>A man is sitting on the rock, then people are climbing the big rocks without harness.</t>
  </si>
  <si>
    <t>People are walking in a rope attached to two trees.</t>
  </si>
  <si>
    <t>v_MkL-tApJgXc</t>
  </si>
  <si>
    <t>Text appears on the screen with regards to coffee possibly being bad for your health.</t>
  </si>
  <si>
    <t>It is then mention with text on the screen that it can lead to high blood pressure It is then mentioned that it can hurt your hair growth and that it doesn't have any vital nutrients in it.</t>
  </si>
  <si>
    <t>It is then shown that there are benefits and that one should moderate their intake to keep a balance.</t>
  </si>
  <si>
    <t>A website is then shown to get more information on this topic.</t>
  </si>
  <si>
    <t>v_fxqzU9KGOsQ</t>
  </si>
  <si>
    <t>Several young kids are in a gym playing dodge wall with medium sized red balls.</t>
  </si>
  <si>
    <t>As they throw the balls,a little girl tries to join in on the action and begins following them and running from one side of the court to the other to chase the balls.</t>
  </si>
  <si>
    <t>v_0McanL-Gob8</t>
  </si>
  <si>
    <t>A woman is lying down, showing off a tattoo on her side.</t>
  </si>
  <si>
    <t>A man in a surgical mask is preparing her as he continues his work on the tattoo.</t>
  </si>
  <si>
    <t>He cleans and wipes down the tattoo.</t>
  </si>
  <si>
    <t>She is finished, showing off the final product.</t>
  </si>
  <si>
    <t>v_Oyi0X-rwUg8</t>
  </si>
  <si>
    <t>A man is holding another man on his shoulders in a wrestling ring as the crowd cheers and watches.</t>
  </si>
  <si>
    <t>the man throws the man on his shoulder to the ground.</t>
  </si>
  <si>
    <t>Both men lay on the ground int he ring.</t>
  </si>
  <si>
    <t>v_snUWwTH8eQg</t>
  </si>
  <si>
    <t>teams are playing fusal in a small court running side to side of the court.</t>
  </si>
  <si>
    <t>a lot of people are celebrating the vicory and hugging.</t>
  </si>
  <si>
    <t>v_ObOkhXGu7oY</t>
  </si>
  <si>
    <t>A person is seen walking into frame with a bar in her hands.</t>
  </si>
  <si>
    <t>She puts the bar down and begins exercising in a humerus way while speaking to the audience.</t>
  </si>
  <si>
    <t>The audience laughs at her movements while she continues to move and dance around the stage.</t>
  </si>
  <si>
    <t>v_hi07Rdf1r4Y</t>
  </si>
  <si>
    <t>A balded man is seen talking to the camera while another man stands above him and cuts his hair.</t>
  </si>
  <si>
    <t>The man sitting rubs his hand and holds his face into his hands.</t>
  </si>
  <si>
    <t>v_adUapXmi-xA</t>
  </si>
  <si>
    <t>A person is seen sitting behind a table with one holding a piece of paper around him.</t>
  </si>
  <si>
    <t>The man then attempts to solve a rubix cube while a timer catches his score.</t>
  </si>
  <si>
    <t>The man writes down his score and the man attempts to solve the cube several more times while the boy helps.</t>
  </si>
  <si>
    <t>v_dc9m-G9CKmQ</t>
  </si>
  <si>
    <t>A man speaking about how he will be sharpening knives today.</t>
  </si>
  <si>
    <t>He shows the tool that he will be using that is called chefs choice.</t>
  </si>
  <si>
    <t>He shows how to use it and how you can use it with either hand.</t>
  </si>
  <si>
    <t>Then he begins to sharpen one of his knives.</t>
  </si>
  <si>
    <t>After he is done sharpening it he demonstrates with a tomato how helpful it is.</t>
  </si>
  <si>
    <t>v_-ypKYhjrlXw</t>
  </si>
  <si>
    <t>A medical worker is sitting at a table with a woman and talking to the camera.</t>
  </si>
  <si>
    <t>He moves a can and touches two other cans.</t>
  </si>
  <si>
    <t>He picks up a can and sprays it on the woman's arm and rubs it.</t>
  </si>
  <si>
    <t>He picks up another can and talks about it then sprays her arm again and rubs the cream in.</t>
  </si>
  <si>
    <t>He picks up a third container and puts it on her arm and rubs it in as well.</t>
  </si>
  <si>
    <t>He picks up a fourth tube and puts the cream on her hand and rubs it in.</t>
  </si>
  <si>
    <t>He does this again with a fifth cream.</t>
  </si>
  <si>
    <t>He then takes a compact of brown powder, presents it to the camera and puts it back down.</t>
  </si>
  <si>
    <t>v_f-4PjtdFbP4</t>
  </si>
  <si>
    <t>A little girl is blowing leaves in fall outside of a house.</t>
  </si>
  <si>
    <t>She pauses for a moment to get a better grasp of the leaf blower.</t>
  </si>
  <si>
    <t>She walks by a little boy and continues to blow the leaves.</t>
  </si>
  <si>
    <t>v_JN1mex2vCjI</t>
  </si>
  <si>
    <t>A man with a pony tail is seen walking along a rope with another man watching him and smiling in the background.</t>
  </si>
  <si>
    <t>The man turns around, loses his balance, and falls off the rope.</t>
  </si>
  <si>
    <t>The man watches attempts to walk and falls off as well in the end.</t>
  </si>
  <si>
    <t>v_0IFJNGqjsUQ</t>
  </si>
  <si>
    <t>A man talks to the camera while holding a leash type of object with a bag in his hand.</t>
  </si>
  <si>
    <t>The scene transitions to the leash being use on a dog.</t>
  </si>
  <si>
    <t>The scene transitions to a closeup of the man disassembling and reassembling the leash.</t>
  </si>
  <si>
    <t>The scene transitions to the leash being used on a dog again.</t>
  </si>
  <si>
    <t>The man is shown in a closeup interacting with and petting the dog.</t>
  </si>
  <si>
    <t>v_b0LY869JBrE</t>
  </si>
  <si>
    <t>A woman is showing her fingernails.</t>
  </si>
  <si>
    <t>A bottle of acetone is shown.</t>
  </si>
  <si>
    <t>The acetone is being poured into a small glass.</t>
  </si>
  <si>
    <t>A woman is now holding a napkin.</t>
  </si>
  <si>
    <t>A makeup brush is being held.</t>
  </si>
  <si>
    <t>A bottle of nail polish is shown.</t>
  </si>
  <si>
    <t>A person starts painting their fingernails.</t>
  </si>
  <si>
    <t>Another bottle of nail polish is shown.</t>
  </si>
  <si>
    <t>The person continues painting their nails.</t>
  </si>
  <si>
    <t>They use the makeup brush and dip it in the acetone.</t>
  </si>
  <si>
    <t>They rub the brush on their fingernail.</t>
  </si>
  <si>
    <t>They use a wooden stick to clean the side of their nails.</t>
  </si>
  <si>
    <t>A clear bottle of nail polish is shown.</t>
  </si>
  <si>
    <t>She then paints that over her nails.</t>
  </si>
  <si>
    <t>v_6HyNydVIji4</t>
  </si>
  <si>
    <t>We see a lady holding a flute.</t>
  </si>
  <si>
    <t>We see the song title.</t>
  </si>
  <si>
    <t>We see a lady performing a song on a flute.</t>
  </si>
  <si>
    <t>The girl pauses and plays again.</t>
  </si>
  <si>
    <t>The girl finishes playing and smiles at the camera.</t>
  </si>
  <si>
    <t>v_QyTiHhG9qf0</t>
  </si>
  <si>
    <t>Teens drive electric bumper cars in an oval circuit while people watch behind the fence.</t>
  </si>
  <si>
    <t>Two girls in a yellow car get stuck,but then they continue driving.</t>
  </si>
  <si>
    <t>All the cars are stuck on the track, then one car gets out and the others get free to continue driving.</t>
  </si>
  <si>
    <t>Then, all cars stop and the teen get out the cars.</t>
  </si>
  <si>
    <t>v_A_4yI6vh03I</t>
  </si>
  <si>
    <t>Instructions of how to pole vault is presented.</t>
  </si>
  <si>
    <t>A person holds a elongated, hollow stick.</t>
  </si>
  <si>
    <t>A guy runs with a elongated stick and uses it to elevate himself over a heighten hurdle.</t>
  </si>
  <si>
    <t>The top of the hurdle falls apart.</t>
  </si>
  <si>
    <t>A man uses an elongated stick to elevate himself over a heighten hurdle.</t>
  </si>
  <si>
    <t>v_F53s94562zc</t>
  </si>
  <si>
    <t>There are two boys playing rock, paper, scissors.</t>
  </si>
  <si>
    <t>First they play one game and the boy who's shirtless loses and gets slapped.</t>
  </si>
  <si>
    <t>Next they play two more games, one person wins and the shirtless boy loses.</t>
  </si>
  <si>
    <t>Then the boy who's wearing a sweater loses and the other boy slaps him.</t>
  </si>
  <si>
    <t>v_uh-H5Gmt4PI</t>
  </si>
  <si>
    <t>A bald man is standing in an industrial building with a lot of glass on the ceiling.</t>
  </si>
  <si>
    <t>The male's friend then grabs a bar and begins lifting weights and jerking.</t>
  </si>
  <si>
    <t>All of the actions continue but with different people as various people step up to grab the bar.</t>
  </si>
  <si>
    <t>v_Bg-0ibLZrgg</t>
  </si>
  <si>
    <t>People surf in the ocean and a man pass under a huge wave.</t>
  </si>
  <si>
    <t>A man surfs in a small wave along the beach.</t>
  </si>
  <si>
    <t>Then, the man get out the water, after he takes surfboard and return to surf in a high wave.</t>
  </si>
  <si>
    <t>People swim in the beach.</t>
  </si>
  <si>
    <t>v_nlkmPF8TBdQ</t>
  </si>
  <si>
    <t>People gather in a restaurant, then a cooker shows pasta and ingredients while talking.</t>
  </si>
  <si>
    <t>The cooker cuts and fries squid in a pot, then he adds salt and vinegar.</t>
  </si>
  <si>
    <t>Then, the cooker cut tomatoes and add to the squid, also adds garlic, pepper and green vegetables.</t>
  </si>
  <si>
    <t>After, the cooker adds water and covers the pot with aluminum paper.</t>
  </si>
  <si>
    <t>Next, the cooker add the pasta to the squid and mix, then he and serves in a dish while talking.</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</si>
</sst>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1.0"/>
      <color theme="1"/>
      <name val="Calibri"/>
    </font>
    <font>
      <sz val="11.0"/>
      <color theme="1"/>
      <name val="Calibri"/>
    </font>
    <font>
      <color theme="1"/>
      <name val="Arial"/>
      <scheme val="minor"/>
    </font>
  </fonts>
  <fills count="2">
    <fill>
      <patternFill patternType="none"/>
    </fill>
    <fill>
      <patternFill patternType="lightGray"/>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2" fillId="0" fontId="1" numFmtId="0" xfId="0" applyAlignment="1" applyBorder="1" applyFont="1">
      <alignment horizontal="center" readingOrder="0" vertical="top"/>
    </xf>
    <xf borderId="0" fillId="0" fontId="2" numFmtId="0" xfId="0" applyAlignment="1" applyFont="1">
      <alignment vertical="bottom"/>
    </xf>
    <xf borderId="0" fillId="0" fontId="3" numFmtId="0" xfId="0" applyFont="1"/>
    <xf borderId="0" fillId="0" fontId="2"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70.5"/>
    <col customWidth="1" min="3" max="3" width="69.88"/>
  </cols>
  <sheetData>
    <row r="1">
      <c r="A1" s="1" t="s">
        <v>0</v>
      </c>
      <c r="B1" s="2" t="s">
        <v>1</v>
      </c>
      <c r="C1" s="3" t="s">
        <v>2</v>
      </c>
    </row>
    <row r="2">
      <c r="A2" s="4" t="s">
        <v>3</v>
      </c>
      <c r="B2" s="4" t="s">
        <v>4</v>
      </c>
      <c r="C2" s="5" t="str">
        <f>IFERROR(__xludf.DUMMYFUNCTION("GOOGLETRANSLATE(B2,""en"",""zh-CN"")"),"看到一个年轻女子站在一个房间里，进入她的舞蹈。")</f>
        <v>看到一个年轻女子站在一个房间里，进入她的舞蹈。</v>
      </c>
    </row>
    <row r="3">
      <c r="A3" s="4" t="s">
        <v>3</v>
      </c>
      <c r="B3" s="4" t="s">
        <v>5</v>
      </c>
      <c r="C3" s="5" t="str">
        <f>IFERROR(__xludf.DUMMYFUNCTION("GOOGLETRANSLATE(B3,""en"",""zh-CN"")"),"当相机捕捉她的动作时，女孩在房间里跳舞。")</f>
        <v>当相机捕捉她的动作时，女孩在房间里跳舞。</v>
      </c>
    </row>
    <row r="4">
      <c r="A4" s="4" t="s">
        <v>3</v>
      </c>
      <c r="B4" s="4" t="s">
        <v>6</v>
      </c>
      <c r="C4" s="5" t="str">
        <f>IFERROR(__xludf.DUMMYFUNCTION("GOOGLETRANSLATE(B4,""en"",""zh-CN"")"),"她继续在房间里跳舞，并躺在地板上结束。")</f>
        <v>她继续在房间里跳舞，并躺在地板上结束。</v>
      </c>
    </row>
    <row r="5">
      <c r="A5" s="4" t="s">
        <v>7</v>
      </c>
      <c r="B5" s="4" t="s">
        <v>8</v>
      </c>
      <c r="C5" s="5" t="str">
        <f>IFERROR(__xludf.DUMMYFUNCTION("GOOGLETRANSLATE(B5,""en"",""zh-CN"")"),"该视频以标题徽标序列开始。")</f>
        <v>该视频以标题徽标序列开始。</v>
      </c>
    </row>
    <row r="6">
      <c r="A6" s="4" t="s">
        <v>7</v>
      </c>
      <c r="B6" s="4" t="s">
        <v>9</v>
      </c>
      <c r="C6" s="5" t="str">
        <f>IFERROR(__xludf.DUMMYFUNCTION("GOOGLETRANSLATE(B6,""en"",""zh-CN"")"),"一个男人和女人在客厅里展示锻炼。")</f>
        <v>一个男人和女人在客厅里展示锻炼。</v>
      </c>
    </row>
    <row r="7">
      <c r="A7" s="4" t="s">
        <v>7</v>
      </c>
      <c r="B7" s="4" t="s">
        <v>10</v>
      </c>
      <c r="C7" s="5" t="str">
        <f>IFERROR(__xludf.DUMMYFUNCTION("GOOGLETRANSLATE(B7,""en"",""zh-CN"")"),"女人躺在地上。")</f>
        <v>女人躺在地上。</v>
      </c>
    </row>
    <row r="8">
      <c r="A8" s="4" t="s">
        <v>7</v>
      </c>
      <c r="B8" s="4" t="s">
        <v>11</v>
      </c>
      <c r="C8" s="5" t="str">
        <f>IFERROR(__xludf.DUMMYFUNCTION("GOOGLETRANSLATE(B8,""en"",""zh-CN"")"),"男人在运动时开始指向女人身体的不同区域。")</f>
        <v>男人在运动时开始指向女人身体的不同区域。</v>
      </c>
    </row>
    <row r="9">
      <c r="A9" s="4" t="s">
        <v>7</v>
      </c>
      <c r="B9" s="4" t="s">
        <v>12</v>
      </c>
      <c r="C9" s="5" t="str">
        <f>IFERROR(__xludf.DUMMYFUNCTION("GOOGLETRANSLATE(B9,""en"",""zh-CN"")"),"那个女人开始做小坐着。")</f>
        <v>那个女人开始做小坐着。</v>
      </c>
    </row>
    <row r="10">
      <c r="A10" s="4" t="s">
        <v>7</v>
      </c>
      <c r="B10" s="4" t="s">
        <v>13</v>
      </c>
      <c r="C10" s="5" t="str">
        <f>IFERROR(__xludf.DUMMYFUNCTION("GOOGLETRANSLATE(B10,""en"",""zh-CN"")"),"女人以最终标题徽标序列结尾。")</f>
        <v>女人以最终标题徽标序列结尾。</v>
      </c>
    </row>
    <row r="11">
      <c r="A11" s="4" t="s">
        <v>14</v>
      </c>
      <c r="B11" s="4" t="s">
        <v>15</v>
      </c>
      <c r="C11" s="5" t="str">
        <f>IFERROR(__xludf.DUMMYFUNCTION("GOOGLETRANSLATE(B11,""en"",""zh-CN"")"),"看到两个人在厨房周围迅速移动，执行各种任务并坐下。")</f>
        <v>看到两个人在厨房周围迅速移动，执行各种任务并坐下。</v>
      </c>
    </row>
    <row r="12">
      <c r="A12" s="4" t="s">
        <v>14</v>
      </c>
      <c r="B12" s="4" t="s">
        <v>16</v>
      </c>
      <c r="C12" s="5" t="str">
        <f>IFERROR(__xludf.DUMMYFUNCTION("GOOGLETRANSLATE(B12,""en"",""zh-CN"")"),"然后，他们在继续四处走动的同时，在厨房里滑动滑雪。")</f>
        <v>然后，他们在继续四处走动的同时，在厨房里滑动滑雪。</v>
      </c>
    </row>
    <row r="13">
      <c r="A13" s="4" t="s">
        <v>17</v>
      </c>
      <c r="B13" s="4" t="s">
        <v>18</v>
      </c>
      <c r="C13" s="5" t="str">
        <f>IFERROR(__xludf.DUMMYFUNCTION("GOOGLETRANSLATE(B13,""en"",""zh-CN"")"),"我们看到一个带有木地板的走廊。")</f>
        <v>我们看到一个带有木地板的走廊。</v>
      </c>
    </row>
    <row r="14">
      <c r="A14" s="4" t="s">
        <v>17</v>
      </c>
      <c r="B14" s="4" t="s">
        <v>19</v>
      </c>
      <c r="C14" s="5" t="str">
        <f>IFERROR(__xludf.DUMMYFUNCTION("GOOGLETRANSLATE(B14,""en"",""zh-CN"")"),"一位女士拍摄他，一条袜子里的狗慢慢走到地板上。")</f>
        <v>一位女士拍摄他，一条袜子里的狗慢慢走到地板上。</v>
      </c>
    </row>
    <row r="15">
      <c r="A15" s="4" t="s">
        <v>17</v>
      </c>
      <c r="B15" s="4" t="s">
        <v>20</v>
      </c>
      <c r="C15" s="5" t="str">
        <f>IFERROR(__xludf.DUMMYFUNCTION("GOOGLETRANSLATE(B15,""en"",""zh-CN"")"),"狗转过身，回到另一个房间。")</f>
        <v>狗转过身，回到另一个房间。</v>
      </c>
    </row>
    <row r="16">
      <c r="A16" s="4" t="s">
        <v>21</v>
      </c>
      <c r="B16" s="4" t="s">
        <v>22</v>
      </c>
      <c r="C16" s="5" t="str">
        <f>IFERROR(__xludf.DUMMYFUNCTION("GOOGLETRANSLATE(B16,""en"",""zh-CN"")"),"一个女人和一个男人坐在人行道上播放音乐。")</f>
        <v>一个女人和一个男人坐在人行道上播放音乐。</v>
      </c>
    </row>
    <row r="17">
      <c r="A17" s="4" t="s">
        <v>21</v>
      </c>
      <c r="B17" s="4" t="s">
        <v>23</v>
      </c>
      <c r="C17" s="5" t="str">
        <f>IFERROR(__xludf.DUMMYFUNCTION("GOOGLETRANSLATE(B17,""en"",""zh-CN"")"),"人们站在他们旁边看他们的比赛。")</f>
        <v>人们站在他们旁边看他们的比赛。</v>
      </c>
    </row>
    <row r="18">
      <c r="A18" s="4" t="s">
        <v>21</v>
      </c>
      <c r="B18" s="4" t="s">
        <v>24</v>
      </c>
      <c r="C18" s="5" t="str">
        <f>IFERROR(__xludf.DUMMYFUNCTION("GOOGLETRANSLATE(B18,""en"",""zh-CN"")"),"一个拿着黄球的小男孩走过。")</f>
        <v>一个拿着黄球的小男孩走过。</v>
      </c>
    </row>
    <row r="19">
      <c r="A19" s="4" t="s">
        <v>21</v>
      </c>
      <c r="B19" s="4" t="s">
        <v>25</v>
      </c>
      <c r="C19" s="5" t="str">
        <f>IFERROR(__xludf.DUMMYFUNCTION("GOOGLETRANSLATE(B19,""en"",""zh-CN"")"),"一个人在他们面前摆姿势。")</f>
        <v>一个人在他们面前摆姿势。</v>
      </c>
    </row>
    <row r="20">
      <c r="A20" s="4" t="s">
        <v>26</v>
      </c>
      <c r="B20" s="4" t="s">
        <v>27</v>
      </c>
      <c r="C20" s="5" t="str">
        <f>IFERROR(__xludf.DUMMYFUNCTION("GOOGLETRANSLATE(B20,""en"",""zh-CN"")"),"看到一个年轻女孩坐在椅子上，一个人站在她旁边。")</f>
        <v>看到一个年轻女孩坐在椅子上，一个人站在她旁边。</v>
      </c>
    </row>
    <row r="21">
      <c r="A21" s="4" t="s">
        <v>26</v>
      </c>
      <c r="B21" s="4" t="s">
        <v>28</v>
      </c>
      <c r="C21" s="5" t="str">
        <f>IFERROR(__xludf.DUMMYFUNCTION("GOOGLETRANSLATE(B21,""en"",""zh-CN"")"),"她旁边的那个人刺了一只耳朵，紧随其后。")</f>
        <v>她旁边的那个人刺了一只耳朵，紧随其后。</v>
      </c>
    </row>
    <row r="22">
      <c r="A22" s="4" t="s">
        <v>26</v>
      </c>
      <c r="B22" s="4" t="s">
        <v>29</v>
      </c>
      <c r="C22" s="5" t="str">
        <f>IFERROR(__xludf.DUMMYFUNCTION("GOOGLETRANSLATE(B22,""en"",""zh-CN"")"),"此人之后在穿孔上擦洗乳液。")</f>
        <v>此人之后在穿孔上擦洗乳液。</v>
      </c>
    </row>
    <row r="23">
      <c r="A23" s="4" t="s">
        <v>30</v>
      </c>
      <c r="B23" s="4" t="s">
        <v>31</v>
      </c>
      <c r="C23" s="5" t="str">
        <f>IFERROR(__xludf.DUMMYFUNCTION("GOOGLETRANSLATE(B23,""en"",""zh-CN"")"),"一个女人在骑骆驼经过埃及的金字塔上。")</f>
        <v>一个女人在骑骆驼经过埃及的金字塔上。</v>
      </c>
    </row>
    <row r="24">
      <c r="A24" s="4" t="s">
        <v>30</v>
      </c>
      <c r="B24" s="4" t="s">
        <v>32</v>
      </c>
      <c r="C24" s="5" t="str">
        <f>IFERROR(__xludf.DUMMYFUNCTION("GOOGLETRANSLATE(B24,""en"",""zh-CN"")"),"当女人向前倾斜时，骆驼走路。")</f>
        <v>当女人向前倾斜时，骆驼走路。</v>
      </c>
    </row>
    <row r="25">
      <c r="A25" s="4" t="s">
        <v>30</v>
      </c>
      <c r="B25" s="4" t="s">
        <v>33</v>
      </c>
      <c r="C25" s="5" t="str">
        <f>IFERROR(__xludf.DUMMYFUNCTION("GOOGLETRANSLATE(B25,""en"",""zh-CN"")"),"并在显示线束时覆盖镜头。")</f>
        <v>并在显示线束时覆盖镜头。</v>
      </c>
    </row>
    <row r="26">
      <c r="A26" s="4" t="s">
        <v>34</v>
      </c>
      <c r="B26" s="4" t="s">
        <v>35</v>
      </c>
      <c r="C26" s="5" t="str">
        <f>IFERROR(__xludf.DUMMYFUNCTION("GOOGLETRANSLATE(B26,""en"",""zh-CN"")"),"一个孩子在房子里的走廊的地板上擦拭。")</f>
        <v>一个孩子在房子里的走廊的地板上擦拭。</v>
      </c>
    </row>
    <row r="27">
      <c r="A27" s="4" t="s">
        <v>34</v>
      </c>
      <c r="B27" s="4" t="s">
        <v>36</v>
      </c>
      <c r="C27" s="5" t="str">
        <f>IFERROR(__xludf.DUMMYFUNCTION("GOOGLETRANSLATE(B27,""en"",""zh-CN"")"),"孩子放下拖把，与家人一起玩。")</f>
        <v>孩子放下拖把，与家人一起玩。</v>
      </c>
    </row>
    <row r="28">
      <c r="A28" s="4" t="s">
        <v>34</v>
      </c>
      <c r="B28" s="4" t="s">
        <v>37</v>
      </c>
      <c r="C28" s="5" t="str">
        <f>IFERROR(__xludf.DUMMYFUNCTION("GOOGLETRANSLATE(B28,""en"",""zh-CN"")"),"孩子走进卧室区域，继续擦地板。")</f>
        <v>孩子走进卧室区域，继续擦地板。</v>
      </c>
    </row>
    <row r="29">
      <c r="A29" s="4" t="s">
        <v>38</v>
      </c>
      <c r="B29" s="4" t="s">
        <v>39</v>
      </c>
      <c r="C29" s="5" t="str">
        <f>IFERROR(__xludf.DUMMYFUNCTION("GOOGLETRANSLATE(B29,""en"",""zh-CN"")"),"看到一个男人跪在地板上对着相机说话。")</f>
        <v>看到一个男人跪在地板上对着相机说话。</v>
      </c>
    </row>
    <row r="30">
      <c r="A30" s="4" t="s">
        <v>38</v>
      </c>
      <c r="B30" s="4" t="s">
        <v>40</v>
      </c>
      <c r="C30" s="5" t="str">
        <f>IFERROR(__xludf.DUMMYFUNCTION("GOOGLETRANSLATE(B30,""en"",""zh-CN"")"),"该男子混合了各种成分，并开始在地板上铺设石膏。")</f>
        <v>该男子混合了各种成分，并开始在地板上铺设石膏。</v>
      </c>
    </row>
    <row r="31">
      <c r="A31" s="4" t="s">
        <v>38</v>
      </c>
      <c r="B31" s="4" t="s">
        <v>41</v>
      </c>
      <c r="C31" s="5" t="str">
        <f>IFERROR(__xludf.DUMMYFUNCTION("GOOGLETRANSLATE(B31,""en"",""zh-CN"")"),"他测量地板和瓷砖，并切出一块瓷砖将其放在地板上。")</f>
        <v>他测量地板和瓷砖，并切出一块瓷砖将其放在地板上。</v>
      </c>
    </row>
    <row r="32">
      <c r="A32" s="4" t="s">
        <v>38</v>
      </c>
      <c r="B32" s="4" t="s">
        <v>42</v>
      </c>
      <c r="C32" s="5" t="str">
        <f>IFERROR(__xludf.DUMMYFUNCTION("GOOGLETRANSLATE(B32,""en"",""zh-CN"")"),"他继续在地板上铺设瓷砖，同时回头与相机说话。")</f>
        <v>他继续在地板上铺设瓷砖，同时回头与相机说话。</v>
      </c>
    </row>
    <row r="33">
      <c r="A33" s="4" t="s">
        <v>43</v>
      </c>
      <c r="B33" s="4" t="s">
        <v>44</v>
      </c>
      <c r="C33" s="5" t="str">
        <f>IFERROR(__xludf.DUMMYFUNCTION("GOOGLETRANSLATE(B33,""en"",""zh-CN"")"),"两排年轻人在一条道路上并排行走。")</f>
        <v>两排年轻人在一条道路上并排行走。</v>
      </c>
    </row>
    <row r="34">
      <c r="A34" s="4" t="s">
        <v>43</v>
      </c>
      <c r="B34" s="4" t="s">
        <v>45</v>
      </c>
      <c r="C34" s="5" t="str">
        <f>IFERROR(__xludf.DUMMYFUNCTION("GOOGLETRANSLATE(B34,""en"",""zh-CN"")"),"然后，一个人站在一个拿着木制物体的田野里，开始扭曲它。")</f>
        <v>然后，一个人站在一个拿着木制物体的田野里，开始扭曲它。</v>
      </c>
    </row>
    <row r="35">
      <c r="A35" s="4" t="s">
        <v>43</v>
      </c>
      <c r="B35" s="4" t="s">
        <v>46</v>
      </c>
      <c r="C35" s="5" t="str">
        <f>IFERROR(__xludf.DUMMYFUNCTION("GOOGLETRANSLATE(B35,""en"",""zh-CN"")"),"然后，他弯腰抓住球。")</f>
        <v>然后，他弯腰抓住球。</v>
      </c>
    </row>
    <row r="36">
      <c r="A36" s="4" t="s">
        <v>43</v>
      </c>
      <c r="B36" s="4" t="s">
        <v>47</v>
      </c>
      <c r="C36" s="5" t="str">
        <f>IFERROR(__xludf.DUMMYFUNCTION("GOOGLETRANSLATE(B36,""en"",""zh-CN"")"),"之后，将球放在地面上，他捡起它并击中它，就好像他在打棒球一样。")</f>
        <v>之后，将球放在地面上，他捡起它并击中它，就好像他在打棒球一样。</v>
      </c>
    </row>
    <row r="37">
      <c r="A37" s="4" t="s">
        <v>43</v>
      </c>
      <c r="B37" s="4" t="s">
        <v>48</v>
      </c>
      <c r="C37" s="5" t="str">
        <f>IFERROR(__xludf.DUMMYFUNCTION("GOOGLETRANSLATE(B37,""en"",""zh-CN"")"),"球被扔回去，他又来了。")</f>
        <v>球被扔回去，他又来了。</v>
      </c>
    </row>
    <row r="38">
      <c r="A38" s="4" t="s">
        <v>43</v>
      </c>
      <c r="B38" s="4" t="s">
        <v>49</v>
      </c>
      <c r="C38" s="5" t="str">
        <f>IFERROR(__xludf.DUMMYFUNCTION("GOOGLETRANSLATE(B38,""en"",""zh-CN"")"),"不久之后，展示了一群人，他们开始互相与彼此进行比赛。")</f>
        <v>不久之后，展示了一群人，他们开始互相与彼此进行比赛。</v>
      </c>
    </row>
    <row r="39">
      <c r="A39" s="4" t="s">
        <v>43</v>
      </c>
      <c r="B39" s="4" t="s">
        <v>50</v>
      </c>
      <c r="C39" s="5" t="str">
        <f>IFERROR(__xludf.DUMMYFUNCTION("GOOGLETRANSLATE(B39,""en"",""zh-CN"")"),"受到罚款，一名球员试图从侧面击球进入球门。")</f>
        <v>受到罚款，一名球员试图从侧面击球进入球门。</v>
      </c>
    </row>
    <row r="40">
      <c r="A40" s="4" t="s">
        <v>43</v>
      </c>
      <c r="B40" s="6" t="s">
        <v>51</v>
      </c>
      <c r="C40" s="5" t="str">
        <f>IFERROR(__xludf.DUMMYFUNCTION("GOOGLETRANSLATE(B40,""en"",""zh-CN"")"),"之后，每个人都被描绘在地上，好像他们已经死了，但是一个人开始坐起来，但被球击中，然后向下击中。")</f>
        <v>之后，每个人都被描绘在地上，好像他们已经死了，但是一个人开始坐起来，但被球击中，然后向下击中。</v>
      </c>
    </row>
    <row r="41">
      <c r="A41" s="4" t="s">
        <v>43</v>
      </c>
      <c r="B41" s="4" t="s">
        <v>52</v>
      </c>
      <c r="C41" s="5" t="str">
        <f>IFERROR(__xludf.DUMMYFUNCTION("GOOGLETRANSLATE(B41,""en"",""zh-CN"")"),"最后，屏幕闪烁到黑屏，并显示了末端的单词。")</f>
        <v>最后，屏幕闪烁到黑屏，并显示了末端的单词。</v>
      </c>
    </row>
    <row r="42">
      <c r="A42" s="4" t="s">
        <v>53</v>
      </c>
      <c r="B42" s="4" t="s">
        <v>54</v>
      </c>
      <c r="C42" s="5" t="str">
        <f>IFERROR(__xludf.DUMMYFUNCTION("GOOGLETRANSLATE(B42,""en"",""zh-CN"")"),"屏幕上显示了准备智利果沙拉菜的标题。")</f>
        <v>屏幕上显示了准备智利果沙拉菜的标题。</v>
      </c>
    </row>
    <row r="43">
      <c r="A43" s="4" t="s">
        <v>53</v>
      </c>
      <c r="B43" s="4" t="s">
        <v>55</v>
      </c>
      <c r="C43" s="5" t="str">
        <f>IFERROR(__xludf.DUMMYFUNCTION("GOOGLETRANSLATE(B43,""en"",""zh-CN"")"),"一个人正在大碗中混合沙拉成分。")</f>
        <v>一个人正在大碗中混合沙拉成分。</v>
      </c>
    </row>
    <row r="44">
      <c r="A44" s="4" t="s">
        <v>53</v>
      </c>
      <c r="B44" s="4" t="s">
        <v>56</v>
      </c>
      <c r="C44" s="5" t="str">
        <f>IFERROR(__xludf.DUMMYFUNCTION("GOOGLETRANSLATE(B44,""en"",""zh-CN"")"),"有有关博士的信息。")</f>
        <v>有有关博士的信息。</v>
      </c>
    </row>
    <row r="45">
      <c r="A45" s="4" t="s">
        <v>53</v>
      </c>
      <c r="B45" s="4" t="s">
        <v>57</v>
      </c>
      <c r="C45" s="5" t="str">
        <f>IFERROR(__xludf.DUMMYFUNCTION("GOOGLETRANSLATE(B45,""en"",""zh-CN"")"),"雷切尔·科林（Rachel Collin）前往智利。")</f>
        <v>雷切尔·科林（Rachel Collin）前往智利。</v>
      </c>
    </row>
    <row r="46">
      <c r="A46" s="4" t="s">
        <v>53</v>
      </c>
      <c r="B46" s="4" t="s">
        <v>58</v>
      </c>
      <c r="C46" s="5" t="str">
        <f>IFERROR(__xludf.DUMMYFUNCTION("GOOGLETRANSLATE(B46,""en"",""zh-CN"")"),"有几个人站在食品市场的树冠下。")</f>
        <v>有几个人站在食品市场的树冠下。</v>
      </c>
    </row>
    <row r="47">
      <c r="A47" s="4" t="s">
        <v>53</v>
      </c>
      <c r="B47" s="4" t="s">
        <v>59</v>
      </c>
      <c r="C47" s="5" t="str">
        <f>IFERROR(__xludf.DUMMYFUNCTION("GOOGLETRANSLATE(B47,""en"",""zh-CN"")"),"两个客户购买并向卖方捐钱，并给摄像头大拇指。")</f>
        <v>两个客户购买并向卖方捐钱，并给摄像头大拇指。</v>
      </c>
    </row>
    <row r="48">
      <c r="A48" s="4" t="s">
        <v>53</v>
      </c>
      <c r="B48" s="4" t="s">
        <v>60</v>
      </c>
      <c r="C48" s="5" t="str">
        <f>IFERROR(__xludf.DUMMYFUNCTION("GOOGLETRANSLATE(B48,""en"",""zh-CN"")"),"厨师们正在展示霍尔特放在厨房柜台上。")</f>
        <v>厨师们正在展示霍尔特放在厨房柜台上。</v>
      </c>
    </row>
    <row r="49">
      <c r="A49" s="4" t="s">
        <v>53</v>
      </c>
      <c r="B49" s="4" t="s">
        <v>61</v>
      </c>
      <c r="C49" s="5" t="str">
        <f>IFERROR(__xludf.DUMMYFUNCTION("GOOGLETRANSLATE(B49,""en"",""zh-CN"")"),"厨师正在用圆形咬合大小的碎片将霍尔特切成薄片。")</f>
        <v>厨师正在用圆形咬合大小的碎片将霍尔特切成薄片。</v>
      </c>
    </row>
    <row r="50">
      <c r="A50" s="4" t="s">
        <v>53</v>
      </c>
      <c r="B50" s="4" t="s">
        <v>62</v>
      </c>
      <c r="C50" s="5" t="str">
        <f>IFERROR(__xludf.DUMMYFUNCTION("GOOGLETRANSLATE(B50,""en"",""zh-CN"")"),"一个女人吃了切碎的hulte碎片。")</f>
        <v>一个女人吃了切碎的hulte碎片。</v>
      </c>
    </row>
    <row r="51">
      <c r="A51" s="4" t="s">
        <v>53</v>
      </c>
      <c r="B51" s="4" t="s">
        <v>63</v>
      </c>
      <c r="C51" s="5" t="str">
        <f>IFERROR(__xludf.DUMMYFUNCTION("GOOGLETRANSLATE(B51,""en"",""zh-CN"")"),"厨师在厨房柜台上砍了一些香菜。")</f>
        <v>厨师在厨房柜台上砍了一些香菜。</v>
      </c>
    </row>
    <row r="52">
      <c r="A52" s="4" t="s">
        <v>53</v>
      </c>
      <c r="B52" s="4" t="s">
        <v>64</v>
      </c>
      <c r="C52" s="5" t="str">
        <f>IFERROR(__xludf.DUMMYFUNCTION("GOOGLETRANSLATE(B52,""en"",""zh-CN"")"),"然后厨师将食材放在沙拉碗中。")</f>
        <v>然后厨师将食材放在沙拉碗中。</v>
      </c>
    </row>
    <row r="53">
      <c r="A53" s="4" t="s">
        <v>53</v>
      </c>
      <c r="B53" s="6" t="s">
        <v>65</v>
      </c>
      <c r="C53" s="5" t="str">
        <f>IFERROR(__xludf.DUMMYFUNCTION("GOOGLETRANSLATE(B53,""en"",""zh-CN"")"),"成品显示在屏幕上，然后是一群坐在一起享受沙拉的人。")</f>
        <v>成品显示在屏幕上，然后是一群坐在一起享受沙拉的人。</v>
      </c>
    </row>
    <row r="54">
      <c r="A54" s="4" t="s">
        <v>53</v>
      </c>
      <c r="B54" s="4" t="s">
        <v>66</v>
      </c>
      <c r="C54" s="5" t="str">
        <f>IFERROR(__xludf.DUMMYFUNCTION("GOOGLETRANSLATE(B54,""en"",""zh-CN"")"),"最终学分显示在屏幕上。")</f>
        <v>最终学分显示在屏幕上。</v>
      </c>
    </row>
    <row r="55">
      <c r="A55" s="4" t="s">
        <v>67</v>
      </c>
      <c r="B55" s="4" t="s">
        <v>68</v>
      </c>
      <c r="C55" s="5" t="str">
        <f>IFERROR(__xludf.DUMMYFUNCTION("GOOGLETRANSLATE(B55,""en"",""zh-CN"")"),"一个穿着西装的男人坐在桌子后面。")</f>
        <v>一个穿着西装的男人坐在桌子后面。</v>
      </c>
    </row>
    <row r="56">
      <c r="A56" s="4" t="s">
        <v>67</v>
      </c>
      <c r="B56" s="4" t="s">
        <v>69</v>
      </c>
      <c r="C56" s="5" t="str">
        <f>IFERROR(__xludf.DUMMYFUNCTION("GOOGLETRANSLATE(B56,""en"",""zh-CN"")"),"人们在草地上玩曲棍球。")</f>
        <v>人们在草地上玩曲棍球。</v>
      </c>
    </row>
    <row r="57">
      <c r="A57" s="4" t="s">
        <v>67</v>
      </c>
      <c r="B57" s="4" t="s">
        <v>70</v>
      </c>
      <c r="C57" s="5" t="str">
        <f>IFERROR(__xludf.DUMMYFUNCTION("GOOGLETRANSLATE(B57,""en"",""zh-CN"")"),"穿着黄色制服的人站在净盖球前。")</f>
        <v>穿着黄色制服的人站在净盖球前。</v>
      </c>
    </row>
    <row r="58">
      <c r="A58" s="4" t="s">
        <v>71</v>
      </c>
      <c r="B58" s="4" t="s">
        <v>72</v>
      </c>
      <c r="C58" s="5" t="str">
        <f>IFERROR(__xludf.DUMMYFUNCTION("GOOGLETRANSLATE(B58,""en"",""zh-CN"")"),"看到一个女孩爬过一套猴子酒吧，然后挥舞着相机。")</f>
        <v>看到一个女孩爬过一套猴子酒吧，然后挥舞着相机。</v>
      </c>
    </row>
    <row r="59">
      <c r="A59" s="4" t="s">
        <v>71</v>
      </c>
      <c r="B59" s="4" t="s">
        <v>73</v>
      </c>
      <c r="C59" s="5" t="str">
        <f>IFERROR(__xludf.DUMMYFUNCTION("GOOGLETRANSLATE(B59,""en"",""zh-CN"")"),"她爬回酒吧，在中途跳下。")</f>
        <v>她爬回酒吧，在中途跳下。</v>
      </c>
    </row>
    <row r="60">
      <c r="A60" s="4" t="s">
        <v>74</v>
      </c>
      <c r="B60" s="6" t="s">
        <v>75</v>
      </c>
      <c r="C60" s="5" t="str">
        <f>IFERROR(__xludf.DUMMYFUNCTION("GOOGLETRANSLATE(B60,""en"",""zh-CN"")"),"一个摄像头在下雪的区域上竖起，并通往一个站在滑雪板上的人，骑着山。")</f>
        <v>一个摄像头在下雪的区域上竖起，并通往一个站在滑雪板上的人，骑着山。</v>
      </c>
    </row>
    <row r="61">
      <c r="A61" s="4" t="s">
        <v>74</v>
      </c>
      <c r="B61" s="4" t="s">
        <v>76</v>
      </c>
      <c r="C61" s="5" t="str">
        <f>IFERROR(__xludf.DUMMYFUNCTION("GOOGLETRANSLATE(B61,""en"",""zh-CN"")"),"该名男子放大了自己，骑着山下，以他关闭相机结束。")</f>
        <v>该名男子放大了自己，骑着山下，以他关闭相机结束。</v>
      </c>
    </row>
    <row r="62">
      <c r="A62" s="4" t="s">
        <v>77</v>
      </c>
      <c r="B62" s="4" t="s">
        <v>78</v>
      </c>
      <c r="C62" s="5" t="str">
        <f>IFERROR(__xludf.DUMMYFUNCTION("GOOGLETRANSLATE(B62,""en"",""zh-CN"")"),"看到一个游戏室随后是一个小男孩滑下滑梯，再次爬回了。")</f>
        <v>看到一个游戏室随后是一个小男孩滑下滑梯，再次爬回了。</v>
      </c>
    </row>
    <row r="63">
      <c r="A63" s="4" t="s">
        <v>77</v>
      </c>
      <c r="B63" s="6" t="s">
        <v>79</v>
      </c>
      <c r="C63" s="5" t="str">
        <f>IFERROR(__xludf.DUMMYFUNCTION("GOOGLETRANSLATE(B63,""en"",""zh-CN"")"),"他再次滑倒，这次降落在他的背上，并继续向下滑动几次。")</f>
        <v>他再次滑倒，这次降落在他的背上，并继续向下滑动几次。</v>
      </c>
    </row>
    <row r="64">
      <c r="A64" s="4" t="s">
        <v>80</v>
      </c>
      <c r="B64" s="6" t="s">
        <v>81</v>
      </c>
      <c r="C64" s="5" t="str">
        <f>IFERROR(__xludf.DUMMYFUNCTION("GOOGLETRANSLATE(B64,""en"",""zh-CN"")"),"一个男人和女人坐在红色的沙发上，墙上挂着运动球衣，在他们后面的墙壁上挂着蓝屏。")</f>
        <v>一个男人和女人坐在红色的沙发上，墙上挂着运动球衣，在他们后面的墙壁上挂着蓝屏。</v>
      </c>
    </row>
    <row r="65">
      <c r="A65" s="4" t="s">
        <v>80</v>
      </c>
      <c r="B65" s="6" t="s">
        <v>82</v>
      </c>
      <c r="C65" s="5" t="str">
        <f>IFERROR(__xludf.DUMMYFUNCTION("GOOGLETRANSLATE(B65,""en"",""zh-CN"")"),"该名女子拿起她旁边的一个剪贴板，并平滑纸上的纸张，在微笑时，越过她的腿并坐了下来。")</f>
        <v>该名女子拿起她旁边的一个剪贴板，并平滑纸上的纸张，在微笑时，越过她的腿并坐了下来。</v>
      </c>
    </row>
    <row r="66">
      <c r="A66" s="4" t="s">
        <v>80</v>
      </c>
      <c r="B66" s="6" t="s">
        <v>83</v>
      </c>
      <c r="C66" s="5" t="str">
        <f>IFERROR(__xludf.DUMMYFUNCTION("GOOGLETRANSLATE(B66,""en"",""zh-CN"")"),"当女人在沙发上感到舒适，女人短暂地说话时，男人一直在说话。")</f>
        <v>当女人在沙发上感到舒适，女人短暂地说话时，男人一直在说话。</v>
      </c>
    </row>
    <row r="67">
      <c r="A67" s="4" t="s">
        <v>80</v>
      </c>
      <c r="B67" s="6" t="s">
        <v>84</v>
      </c>
      <c r="C67" s="5" t="str">
        <f>IFERROR(__xludf.DUMMYFUNCTION("GOOGLETRANSLATE(B67,""en"",""zh-CN"")"),"各种剪辑开始播放，它简要显示了一部分城市的部分，然后大部分是男人在户外，在城市中部的沙子上踢足球，偶尔在游戏中进行某些游戏时会在屏幕上弹出蓝色单词。")</f>
        <v>各种剪辑开始播放，它简要显示了一部分城市的部分，然后大部分是男人在户外，在城市中部的沙子上踢足球，偶尔在游戏中进行某些游戏时会在屏幕上弹出蓝色单词。</v>
      </c>
    </row>
    <row r="68">
      <c r="A68" s="4" t="s">
        <v>80</v>
      </c>
      <c r="B68" s="6" t="s">
        <v>85</v>
      </c>
      <c r="C68" s="5" t="str">
        <f>IFERROR(__xludf.DUMMYFUNCTION("GOOGLETRANSLATE(B68,""en"",""zh-CN"")"),"当剪辑结束时，沙发上的男人和女人开始说话，她将剪贴板放下。")</f>
        <v>当剪辑结束时，沙发上的男人和女人开始说话，她将剪贴板放下。</v>
      </c>
    </row>
    <row r="69">
      <c r="A69" s="4" t="s">
        <v>86</v>
      </c>
      <c r="B69" s="6" t="s">
        <v>87</v>
      </c>
      <c r="C69" s="5" t="str">
        <f>IFERROR(__xludf.DUMMYFUNCTION("GOOGLETRANSLATE(B69,""en"",""zh-CN"")"),"看到这位前总统在一个妇女旁边的大领域中行走，周围有一群人。")</f>
        <v>看到这位前总统在一个妇女旁边的大领域中行走，周围有一群人。</v>
      </c>
    </row>
    <row r="70">
      <c r="A70" s="4" t="s">
        <v>86</v>
      </c>
      <c r="B70" s="4" t="s">
        <v>88</v>
      </c>
      <c r="C70" s="5" t="str">
        <f>IFERROR(__xludf.DUMMYFUNCTION("GOOGLETRANSLATE(B70,""en"",""zh-CN"")"),"当人们欢呼时，这个男人发表演讲，他与他人握手。")</f>
        <v>当人们欢呼时，这个男人发表演讲，他与他人握手。</v>
      </c>
    </row>
    <row r="71">
      <c r="A71" s="4" t="s">
        <v>86</v>
      </c>
      <c r="B71" s="4" t="s">
        <v>89</v>
      </c>
      <c r="C71" s="5" t="str">
        <f>IFERROR(__xludf.DUMMYFUNCTION("GOOGLETRANSLATE(B71,""en"",""zh-CN"")"),"然后，该男子与周围的其他人分享啤酒。")</f>
        <v>然后，该男子与周围的其他人分享啤酒。</v>
      </c>
    </row>
    <row r="72">
      <c r="A72" s="4" t="s">
        <v>90</v>
      </c>
      <c r="B72" s="6" t="s">
        <v>91</v>
      </c>
      <c r="C72" s="5" t="str">
        <f>IFERROR(__xludf.DUMMYFUNCTION("GOOGLETRANSLATE(B72,""en"",""zh-CN"")"),"四个孩子在沙滩上在沙滩上玩耍，左边有两个男孩，右边有两个女孩。")</f>
        <v>四个孩子在沙滩上在沙滩上玩耍，左边有两个男孩，右边有两个女孩。</v>
      </c>
    </row>
    <row r="73">
      <c r="A73" s="4" t="s">
        <v>90</v>
      </c>
      <c r="B73" s="4" t="s">
        <v>92</v>
      </c>
      <c r="C73" s="5" t="str">
        <f>IFERROR(__xludf.DUMMYFUNCTION("GOOGLETRANSLATE(B73,""en"",""zh-CN"")"),"女孩们有大约六个沙堡，周围有一个大圆圈，里面充满了水。")</f>
        <v>女孩们有大约六个沙堡，周围有一个大圆圈，里面充满了水。</v>
      </c>
    </row>
    <row r="74">
      <c r="A74" s="4" t="s">
        <v>90</v>
      </c>
      <c r="B74" s="6" t="s">
        <v>93</v>
      </c>
      <c r="C74" s="5" t="str">
        <f>IFERROR(__xludf.DUMMYFUNCTION("GOOGLETRANSLATE(B74,""en"",""zh-CN"")"),"然后，当男孩来看他们的工作时，他们开始跑到海滩上抓住更多的水。")</f>
        <v>然后，当男孩来看他们的工作时，他们开始跑到海滩上抓住更多的水。</v>
      </c>
    </row>
    <row r="75">
      <c r="A75" s="4" t="s">
        <v>90</v>
      </c>
      <c r="B75" s="6" t="s">
        <v>94</v>
      </c>
      <c r="C75" s="5" t="str">
        <f>IFERROR(__xludf.DUMMYFUNCTION("GOOGLETRANSLATE(B75,""en"",""zh-CN"")"),"一旦完成，两个女孩都会起飞跑到水面上，然后中途停下来回去拿起浮子。")</f>
        <v>一旦完成，两个女孩都会起飞跑到水面上，然后中途停下来回去拿起浮子。</v>
      </c>
    </row>
    <row r="76">
      <c r="A76" s="4" t="s">
        <v>95</v>
      </c>
      <c r="B76" s="4" t="s">
        <v>96</v>
      </c>
      <c r="C76" s="5" t="str">
        <f>IFERROR(__xludf.DUMMYFUNCTION("GOOGLETRANSLATE(B76,""en"",""zh-CN"")"),"看到一大堆叶子被吹来，上面显示了鼓风机的镜头。")</f>
        <v>看到一大堆叶子被吹来，上面显示了鼓风机的镜头。</v>
      </c>
    </row>
    <row r="77">
      <c r="A77" s="4" t="s">
        <v>95</v>
      </c>
      <c r="B77" s="4" t="s">
        <v>97</v>
      </c>
      <c r="C77" s="5" t="str">
        <f>IFERROR(__xludf.DUMMYFUNCTION("GOOGLETRANSLATE(B77,""en"",""zh-CN"")"),"叶子继续吹来吹来，以及一台机器坐在远处。")</f>
        <v>叶子继续吹来吹来，以及一台机器坐在远处。</v>
      </c>
    </row>
    <row r="78">
      <c r="A78" s="4" t="s">
        <v>98</v>
      </c>
      <c r="B78" s="6" t="s">
        <v>99</v>
      </c>
      <c r="C78" s="5" t="str">
        <f>IFERROR(__xludf.DUMMYFUNCTION("GOOGLETRANSLATE(B78,""en"",""zh-CN"")"),"看到一名篮球运动员在相机的各种镜头中滴球，并一遍又一遍地进入篮子。")</f>
        <v>看到一名篮球运动员在相机的各种镜头中滴球，并一遍又一遍地进入篮子。</v>
      </c>
    </row>
    <row r="79">
      <c r="A79" s="4" t="s">
        <v>98</v>
      </c>
      <c r="B79" s="6" t="s">
        <v>100</v>
      </c>
      <c r="C79" s="5" t="str">
        <f>IFERROR(__xludf.DUMMYFUNCTION("GOOGLETRANSLATE(B79,""en"",""zh-CN"")"),"然后看到这个男人在相机上说话，并过渡到他身上，得分几个篮子。")</f>
        <v>然后看到这个男人在相机上说话，并过渡到他身上，得分几个篮子。</v>
      </c>
    </row>
    <row r="80">
      <c r="A80" s="4" t="s">
        <v>101</v>
      </c>
      <c r="B80" s="4" t="s">
        <v>102</v>
      </c>
      <c r="C80" s="5" t="str">
        <f>IFERROR(__xludf.DUMMYFUNCTION("GOOGLETRANSLATE(B80,""en"",""zh-CN"")"),"人们正站在一个锻炼的房间里。")</f>
        <v>人们正站在一个锻炼的房间里。</v>
      </c>
    </row>
    <row r="81">
      <c r="A81" s="4" t="s">
        <v>101</v>
      </c>
      <c r="B81" s="4" t="s">
        <v>103</v>
      </c>
      <c r="C81" s="5" t="str">
        <f>IFERROR(__xludf.DUMMYFUNCTION("GOOGLETRANSLATE(B81,""en"",""zh-CN"")"),"他们在小脚步凳上上下走动。")</f>
        <v>他们在小脚步凳上上下走动。</v>
      </c>
    </row>
    <row r="82">
      <c r="A82" s="4" t="s">
        <v>101</v>
      </c>
      <c r="B82" s="4" t="s">
        <v>104</v>
      </c>
      <c r="C82" s="5" t="str">
        <f>IFERROR(__xludf.DUMMYFUNCTION("GOOGLETRANSLATE(B82,""en"",""zh-CN"")"),"他们继续在房间里锻炼。")</f>
        <v>他们继续在房间里锻炼。</v>
      </c>
    </row>
    <row r="83">
      <c r="A83" s="4" t="s">
        <v>105</v>
      </c>
      <c r="B83" s="4" t="s">
        <v>106</v>
      </c>
      <c r="C83" s="5" t="str">
        <f>IFERROR(__xludf.DUMMYFUNCTION("GOOGLETRANSLATE(B83,""en"",""zh-CN"")"),"正在播放一个黑白视频，其中有人在田野上玩曲棍球。")</f>
        <v>正在播放一个黑白视频，其中有人在田野上玩曲棍球。</v>
      </c>
    </row>
    <row r="84">
      <c r="A84" s="4" t="s">
        <v>105</v>
      </c>
      <c r="B84" s="4" t="s">
        <v>107</v>
      </c>
      <c r="C84" s="5" t="str">
        <f>IFERROR(__xludf.DUMMYFUNCTION("GOOGLETRANSLATE(B84,""en"",""zh-CN"")"),"然后，它转回颜色，并分成多个帧和速度。")</f>
        <v>然后，它转回颜色，并分成多个帧和速度。</v>
      </c>
    </row>
    <row r="85">
      <c r="A85" s="4" t="s">
        <v>105</v>
      </c>
      <c r="B85" s="6" t="s">
        <v>108</v>
      </c>
      <c r="C85" s="5" t="str">
        <f>IFERROR(__xludf.DUMMYFUNCTION("GOOGLETRANSLATE(B85,""en"",""zh-CN"")"),"该视频包括曲棍球比赛中的许多玩家片段，击中了对立的进球。")</f>
        <v>该视频包括曲棍球比赛中的许多玩家片段，击中了对立的进球。</v>
      </c>
    </row>
    <row r="86">
      <c r="A86" s="4" t="s">
        <v>109</v>
      </c>
      <c r="B86" s="4" t="s">
        <v>110</v>
      </c>
      <c r="C86" s="5" t="str">
        <f>IFERROR(__xludf.DUMMYFUNCTION("GOOGLETRANSLATE(B86,""en"",""zh-CN"")"),"一个男人在人们面前玩风笛。")</f>
        <v>一个男人在人们面前玩风笛。</v>
      </c>
    </row>
    <row r="87">
      <c r="A87" s="4" t="s">
        <v>109</v>
      </c>
      <c r="B87" s="4" t="s">
        <v>111</v>
      </c>
      <c r="C87" s="5" t="str">
        <f>IFERROR(__xludf.DUMMYFUNCTION("GOOGLETRANSLATE(B87,""en"",""zh-CN"")"),"他面前沙发上的人们开始笑。")</f>
        <v>他面前沙发上的人们开始笑。</v>
      </c>
    </row>
    <row r="88">
      <c r="A88" s="4" t="s">
        <v>112</v>
      </c>
      <c r="B88" s="6" t="s">
        <v>113</v>
      </c>
      <c r="C88" s="5" t="str">
        <f>IFERROR(__xludf.DUMMYFUNCTION("GOOGLETRANSLATE(B88,""en"",""zh-CN"")"),"看到一个男人沿着水填充独木舟，而相机则从几个角度捕获他。")</f>
        <v>看到一个男人沿着水填充独木舟，而相机则从几个角度捕获他。</v>
      </c>
    </row>
    <row r="89">
      <c r="A89" s="4" t="s">
        <v>112</v>
      </c>
      <c r="B89" s="4" t="s">
        <v>114</v>
      </c>
      <c r="C89" s="5" t="str">
        <f>IFERROR(__xludf.DUMMYFUNCTION("GOOGLETRANSLATE(B89,""en"",""zh-CN"")"),"该男子继续骑行，然后执行几种方式将独木舟转身。")</f>
        <v>该男子继续骑行，然后执行几种方式将独木舟转身。</v>
      </c>
    </row>
    <row r="90">
      <c r="A90" s="4" t="s">
        <v>115</v>
      </c>
      <c r="B90" s="4" t="s">
        <v>116</v>
      </c>
      <c r="C90" s="5" t="str">
        <f>IFERROR(__xludf.DUMMYFUNCTION("GOOGLETRANSLATE(B90,""en"",""zh-CN"")"),"一个男人站在冰上，杆子直立在他旁边。")</f>
        <v>一个男人站在冰上，杆子直立在他旁边。</v>
      </c>
    </row>
    <row r="91">
      <c r="A91" s="4" t="s">
        <v>115</v>
      </c>
      <c r="B91" s="4" t="s">
        <v>117</v>
      </c>
      <c r="C91" s="5" t="str">
        <f>IFERROR(__xludf.DUMMYFUNCTION("GOOGLETRANSLATE(B91,""en"",""zh-CN"")"),"该男子抓住钓鱼杆，开始在冰上的洞中钓鱼。")</f>
        <v>该男子抓住钓鱼杆，开始在冰上的洞中钓鱼。</v>
      </c>
    </row>
    <row r="92">
      <c r="A92" s="4" t="s">
        <v>115</v>
      </c>
      <c r="B92" s="4" t="s">
        <v>118</v>
      </c>
      <c r="C92" s="5" t="str">
        <f>IFERROR(__xludf.DUMMYFUNCTION("GOOGLETRANSLATE(B92,""en"",""zh-CN"")"),"该男子似乎抓到了一些东西，跪下来手工拉动钓鱼线。")</f>
        <v>该男子似乎抓到了一些东西，跪下来手工拉动钓鱼线。</v>
      </c>
    </row>
    <row r="93">
      <c r="A93" s="4" t="s">
        <v>115</v>
      </c>
      <c r="B93" s="4" t="s">
        <v>119</v>
      </c>
      <c r="C93" s="5" t="str">
        <f>IFERROR(__xludf.DUMMYFUNCTION("GOOGLETRANSLATE(B93,""en"",""zh-CN"")"),"该名男子从水中拉出一条鱼，并用它姿势。")</f>
        <v>该名男子从水中拉出一条鱼，并用它姿势。</v>
      </c>
    </row>
    <row r="94">
      <c r="A94" s="4" t="s">
        <v>115</v>
      </c>
      <c r="B94" s="4" t="s">
        <v>120</v>
      </c>
      <c r="C94" s="5" t="str">
        <f>IFERROR(__xludf.DUMMYFUNCTION("GOOGLETRANSLATE(B94,""en"",""zh-CN"")"),"该男子从鱼的嘴里解开钩子。")</f>
        <v>该男子从鱼的嘴里解开钩子。</v>
      </c>
    </row>
    <row r="95">
      <c r="A95" s="4" t="s">
        <v>115</v>
      </c>
      <c r="B95" s="4" t="s">
        <v>121</v>
      </c>
      <c r="C95" s="5" t="str">
        <f>IFERROR(__xludf.DUMMYFUNCTION("GOOGLETRANSLATE(B95,""en"",""zh-CN"")"),"该男子亲吻鱼并将其释放回洞。")</f>
        <v>该男子亲吻鱼并将其释放回洞。</v>
      </c>
    </row>
    <row r="96">
      <c r="A96" s="4" t="s">
        <v>122</v>
      </c>
      <c r="B96" s="4" t="s">
        <v>123</v>
      </c>
      <c r="C96" s="5" t="str">
        <f>IFERROR(__xludf.DUMMYFUNCTION("GOOGLETRANSLATE(B96,""en"",""zh-CN"")"),"一个男人坐在一个房间里。")</f>
        <v>一个男人坐在一个房间里。</v>
      </c>
    </row>
    <row r="97">
      <c r="A97" s="4" t="s">
        <v>122</v>
      </c>
      <c r="B97" s="4" t="s">
        <v>124</v>
      </c>
      <c r="C97" s="5" t="str">
        <f>IFERROR(__xludf.DUMMYFUNCTION("GOOGLETRANSLATE(B97,""en"",""zh-CN"")"),"他拿着一碗面条和肉汤。")</f>
        <v>他拿着一碗面条和肉汤。</v>
      </c>
    </row>
    <row r="98">
      <c r="A98" s="4" t="s">
        <v>122</v>
      </c>
      <c r="B98" s="4" t="s">
        <v>125</v>
      </c>
      <c r="C98" s="5" t="str">
        <f>IFERROR(__xludf.DUMMYFUNCTION("GOOGLETRANSLATE(B98,""en"",""zh-CN"")"),"他正在从碗里喝汤。")</f>
        <v>他正在从碗里喝汤。</v>
      </c>
    </row>
    <row r="99">
      <c r="A99" s="4" t="s">
        <v>126</v>
      </c>
      <c r="B99" s="4" t="s">
        <v>127</v>
      </c>
      <c r="C99" s="5" t="str">
        <f>IFERROR(__xludf.DUMMYFUNCTION("GOOGLETRANSLATE(B99,""en"",""zh-CN"")"),"一个小男孩躺在运动球上。")</f>
        <v>一个小男孩躺在运动球上。</v>
      </c>
    </row>
    <row r="100">
      <c r="A100" s="4" t="s">
        <v>126</v>
      </c>
      <c r="B100" s="4" t="s">
        <v>128</v>
      </c>
      <c r="C100" s="5" t="str">
        <f>IFERROR(__xludf.DUMMYFUNCTION("GOOGLETRANSLATE(B100,""en"",""zh-CN"")"),"这个男孩跌倒了，然后重新摔倒，然后再倒下。")</f>
        <v>这个男孩跌倒了，然后重新摔倒，然后再倒下。</v>
      </c>
    </row>
    <row r="101">
      <c r="A101" s="4" t="s">
        <v>126</v>
      </c>
      <c r="B101" s="4" t="s">
        <v>129</v>
      </c>
      <c r="C101" s="5" t="str">
        <f>IFERROR(__xludf.DUMMYFUNCTION("GOOGLETRANSLATE(B101,""en"",""zh-CN"")"),"他试图坐在球上，但球滚开。")</f>
        <v>他试图坐在球上，但球滚开。</v>
      </c>
    </row>
    <row r="102">
      <c r="A102" s="4" t="s">
        <v>126</v>
      </c>
      <c r="B102" s="4" t="s">
        <v>130</v>
      </c>
      <c r="C102" s="5" t="str">
        <f>IFERROR(__xludf.DUMMYFUNCTION("GOOGLETRANSLATE(B102,""en"",""zh-CN"")"),"他取回它，继续坐在球上并掉下球。")</f>
        <v>他取回它，继续坐在球上并掉下球。</v>
      </c>
    </row>
    <row r="103">
      <c r="A103" s="4" t="s">
        <v>131</v>
      </c>
      <c r="B103" s="4" t="s">
        <v>132</v>
      </c>
      <c r="C103" s="5" t="str">
        <f>IFERROR(__xludf.DUMMYFUNCTION("GOOGLETRANSLATE(B103,""en"",""zh-CN"")"),"一个女人坐在办公室椅子上时穿一双鞋子。")</f>
        <v>一个女人坐在办公室椅子上时穿一双鞋子。</v>
      </c>
    </row>
    <row r="104">
      <c r="A104" s="4" t="s">
        <v>131</v>
      </c>
      <c r="B104" s="4" t="s">
        <v>133</v>
      </c>
      <c r="C104" s="5" t="str">
        <f>IFERROR(__xludf.DUMMYFUNCTION("GOOGLETRANSLATE(B104,""en"",""zh-CN"")"),"那个女人扣她的鞋子。")</f>
        <v>那个女人扣她的鞋子。</v>
      </c>
    </row>
    <row r="105">
      <c r="A105" s="4" t="s">
        <v>134</v>
      </c>
      <c r="B105" s="4" t="s">
        <v>135</v>
      </c>
      <c r="C105" s="5" t="str">
        <f>IFERROR(__xludf.DUMMYFUNCTION("GOOGLETRANSLATE(B105,""en"",""zh-CN"")"),"可以看到自行车轮的特写，可导致人的手推到轮胎上。")</f>
        <v>可以看到自行车轮的特写，可导致人的手推到轮胎上。</v>
      </c>
    </row>
    <row r="106">
      <c r="A106" s="4" t="s">
        <v>134</v>
      </c>
      <c r="B106" s="4" t="s">
        <v>136</v>
      </c>
      <c r="C106" s="5" t="str">
        <f>IFERROR(__xludf.DUMMYFUNCTION("GOOGLETRANSLATE(B106,""en"",""zh-CN"")"),"该人使用沿着轮胎的工具来帮助移动。")</f>
        <v>该人使用沿着轮胎的工具来帮助移动。</v>
      </c>
    </row>
    <row r="107">
      <c r="A107" s="4" t="s">
        <v>134</v>
      </c>
      <c r="B107" s="4" t="s">
        <v>137</v>
      </c>
      <c r="C107" s="5" t="str">
        <f>IFERROR(__xludf.DUMMYFUNCTION("GOOGLETRANSLATE(B107,""en"",""zh-CN"")"),"该人终于将轮胎推到侧面。")</f>
        <v>该人终于将轮胎推到侧面。</v>
      </c>
    </row>
    <row r="108">
      <c r="A108" s="4" t="s">
        <v>138</v>
      </c>
      <c r="B108" s="4" t="s">
        <v>139</v>
      </c>
      <c r="C108" s="5" t="str">
        <f>IFERROR(__xludf.DUMMYFUNCTION("GOOGLETRANSLATE(B108,""en"",""zh-CN"")"),"看到一名妇女跪在地板上，拉到一块运动器材上。")</f>
        <v>看到一名妇女跪在地板上，拉到一块运动器材上。</v>
      </c>
    </row>
    <row r="109">
      <c r="A109" s="4" t="s">
        <v>138</v>
      </c>
      <c r="B109" s="4" t="s">
        <v>140</v>
      </c>
      <c r="C109" s="5" t="str">
        <f>IFERROR(__xludf.DUMMYFUNCTION("GOOGLETRANSLATE(B109,""en"",""zh-CN"")"),"女人在与镜头说话时开始用设备转动她的身体。")</f>
        <v>女人在与镜头说话时开始用设备转动她的身体。</v>
      </c>
    </row>
    <row r="110">
      <c r="A110" s="4" t="s">
        <v>138</v>
      </c>
      <c r="B110" s="4" t="s">
        <v>141</v>
      </c>
      <c r="C110" s="5" t="str">
        <f>IFERROR(__xludf.DUMMYFUNCTION("GOOGLETRANSLATE(B110,""en"",""zh-CN"")"),"她继续回头看相机时继续拉到杠杆上。")</f>
        <v>她继续回头看相机时继续拉到杠杆上。</v>
      </c>
    </row>
    <row r="111">
      <c r="A111" s="4" t="s">
        <v>142</v>
      </c>
      <c r="B111" s="4" t="s">
        <v>143</v>
      </c>
      <c r="C111" s="5" t="str">
        <f>IFERROR(__xludf.DUMMYFUNCTION("GOOGLETRANSLATE(B111,""en"",""zh-CN"")"),"三个人站在建筑物的拐角处。")</f>
        <v>三个人站在建筑物的拐角处。</v>
      </c>
    </row>
    <row r="112">
      <c r="A112" s="4" t="s">
        <v>142</v>
      </c>
      <c r="B112" s="4" t="s">
        <v>144</v>
      </c>
      <c r="C112" s="5" t="str">
        <f>IFERROR(__xludf.DUMMYFUNCTION("GOOGLETRANSLATE(B112,""en"",""zh-CN"")"),"其中一个人，一个小男孩，鞠躬。")</f>
        <v>其中一个人，一个小男孩，鞠躬。</v>
      </c>
    </row>
    <row r="113">
      <c r="A113" s="4" t="s">
        <v>142</v>
      </c>
      <c r="B113" s="4" t="s">
        <v>145</v>
      </c>
      <c r="C113" s="5" t="str">
        <f>IFERROR(__xludf.DUMMYFUNCTION("GOOGLETRANSLATE(B113,""en"",""zh-CN"")"),"一群人看着他。")</f>
        <v>一群人看着他。</v>
      </c>
    </row>
    <row r="114">
      <c r="A114" s="4" t="s">
        <v>142</v>
      </c>
      <c r="B114" s="4" t="s">
        <v>146</v>
      </c>
      <c r="C114" s="5" t="str">
        <f>IFERROR(__xludf.DUMMYFUNCTION("GOOGLETRANSLATE(B114,""en"",""zh-CN"")"),"他继续进行各种空手道动作，例如鞠躬，车轮和翻转。")</f>
        <v>他继续进行各种空手道动作，例如鞠躬，车轮和翻转。</v>
      </c>
    </row>
    <row r="115">
      <c r="A115" s="4" t="s">
        <v>147</v>
      </c>
      <c r="B115" s="4" t="s">
        <v>148</v>
      </c>
      <c r="C115" s="5" t="str">
        <f>IFERROR(__xludf.DUMMYFUNCTION("GOOGLETRANSLATE(B115,""en"",""zh-CN"")"),"一个人拿着长笛。")</f>
        <v>一个人拿着长笛。</v>
      </c>
    </row>
    <row r="116">
      <c r="A116" s="4" t="s">
        <v>147</v>
      </c>
      <c r="B116" s="4" t="s">
        <v>149</v>
      </c>
      <c r="C116" s="5" t="str">
        <f>IFERROR(__xludf.DUMMYFUNCTION("GOOGLETRANSLATE(B116,""en"",""zh-CN"")"),"该人向纸币的第二个八度音示显示了指法。")</f>
        <v>该人向纸币的第二个八度音示显示了指法。</v>
      </c>
    </row>
    <row r="117">
      <c r="A117" s="4" t="s">
        <v>147</v>
      </c>
      <c r="B117" s="4" t="s">
        <v>150</v>
      </c>
      <c r="C117" s="5" t="str">
        <f>IFERROR(__xludf.DUMMYFUNCTION("GOOGLETRANSLATE(B117,""en"",""zh-CN"")"),"该人在第三个八度音阶上展示了指法。")</f>
        <v>该人在第三个八度音阶上展示了指法。</v>
      </c>
    </row>
    <row r="118">
      <c r="A118" s="4" t="s">
        <v>147</v>
      </c>
      <c r="B118" s="4" t="s">
        <v>151</v>
      </c>
      <c r="C118" s="5" t="str">
        <f>IFERROR(__xludf.DUMMYFUNCTION("GOOGLETRANSLATE(B118,""en"",""zh-CN"")"),"女人直接与相机交谈。")</f>
        <v>女人直接与相机交谈。</v>
      </c>
    </row>
    <row r="119">
      <c r="A119" s="4" t="s">
        <v>152</v>
      </c>
      <c r="B119" s="6" t="s">
        <v>153</v>
      </c>
      <c r="C119" s="5" t="str">
        <f>IFERROR(__xludf.DUMMYFUNCTION("GOOGLETRANSLATE(B119,""en"",""zh-CN"")"),"简介将网球运动员和领导者的几张照片带入了玩家玩比赛的录像带。")</f>
        <v>简介将网球运动员和领导者的几张照片带入了玩家玩比赛的录像带。</v>
      </c>
    </row>
    <row r="120">
      <c r="A120" s="4" t="s">
        <v>152</v>
      </c>
      <c r="B120" s="6" t="s">
        <v>154</v>
      </c>
      <c r="C120" s="5" t="str">
        <f>IFERROR(__xludf.DUMMYFUNCTION("GOOGLETRANSLATE(B120,""en"",""zh-CN"")"),"这位网球运动员在几场比赛中显示出令人难以置信的特技表演，并紧握拳头以庆祝。")</f>
        <v>这位网球运动员在几场比赛中显示出令人难以置信的特技表演，并紧握拳头以庆祝。</v>
      </c>
    </row>
    <row r="121">
      <c r="A121" s="4" t="s">
        <v>155</v>
      </c>
      <c r="B121" s="4" t="s">
        <v>156</v>
      </c>
      <c r="C121" s="5" t="str">
        <f>IFERROR(__xludf.DUMMYFUNCTION("GOOGLETRANSLATE(B121,""en"",""zh-CN"")"),"嘻哈舞者在人群面前表演。")</f>
        <v>嘻哈舞者在人群面前表演。</v>
      </c>
    </row>
    <row r="122">
      <c r="A122" s="4" t="s">
        <v>155</v>
      </c>
      <c r="B122" s="4" t="s">
        <v>157</v>
      </c>
      <c r="C122" s="5" t="str">
        <f>IFERROR(__xludf.DUMMYFUNCTION("GOOGLETRANSLATE(B122,""en"",""zh-CN"")"),"他们都在做同样的基本舞蹈，并为它们拍照。")</f>
        <v>他们都在做同样的基本舞蹈，并为它们拍照。</v>
      </c>
    </row>
    <row r="123">
      <c r="A123" s="4" t="s">
        <v>158</v>
      </c>
      <c r="B123" s="4" t="s">
        <v>159</v>
      </c>
      <c r="C123" s="5" t="str">
        <f>IFERROR(__xludf.DUMMYFUNCTION("GOOGLETRANSLATE(B123,""en"",""zh-CN"")"),"一排树木旁边显示了一条黑暗的河。")</f>
        <v>一排树木旁边显示了一条黑暗的河。</v>
      </c>
    </row>
    <row r="124">
      <c r="A124" s="4" t="s">
        <v>158</v>
      </c>
      <c r="B124" s="4" t="s">
        <v>160</v>
      </c>
      <c r="C124" s="5" t="str">
        <f>IFERROR(__xludf.DUMMYFUNCTION("GOOGLETRANSLATE(B124,""en"",""zh-CN"")"),"一群人交织的人缓慢地走了。")</f>
        <v>一群人交织的人缓慢地走了。</v>
      </c>
    </row>
    <row r="125">
      <c r="A125" s="4" t="s">
        <v>158</v>
      </c>
      <c r="B125" s="4" t="s">
        <v>161</v>
      </c>
      <c r="C125" s="5" t="str">
        <f>IFERROR(__xludf.DUMMYFUNCTION("GOOGLETRANSLATE(B125,""en"",""zh-CN"")"),"然后，当块茎越过小瀑布时，我们看到了迅速的水。")</f>
        <v>然后，当块茎越过小瀑布时，我们看到了迅速的水。</v>
      </c>
    </row>
    <row r="126">
      <c r="A126" s="4" t="s">
        <v>162</v>
      </c>
      <c r="B126" s="4" t="s">
        <v>163</v>
      </c>
      <c r="C126" s="5" t="str">
        <f>IFERROR(__xludf.DUMMYFUNCTION("GOOGLETRANSLATE(B126,""en"",""zh-CN"")"),"三个女孩在海滩上说话。")</f>
        <v>三个女孩在海滩上说话。</v>
      </c>
    </row>
    <row r="127">
      <c r="A127" s="4" t="s">
        <v>162</v>
      </c>
      <c r="B127" s="4" t="s">
        <v>164</v>
      </c>
      <c r="C127" s="5" t="str">
        <f>IFERROR(__xludf.DUMMYFUNCTION("GOOGLETRANSLATE(B127,""en"",""zh-CN"")"),"他们在海滩上进行了几次翻转。")</f>
        <v>他们在海滩上进行了几次翻转。</v>
      </c>
    </row>
    <row r="128">
      <c r="A128" s="4" t="s">
        <v>162</v>
      </c>
      <c r="B128" s="4" t="s">
        <v>165</v>
      </c>
      <c r="C128" s="5" t="str">
        <f>IFERROR(__xludf.DUMMYFUNCTION("GOOGLETRANSLATE(B128,""en"",""zh-CN"")"),"他们抬起一个女孩来特技。")</f>
        <v>他们抬起一个女孩来特技。</v>
      </c>
    </row>
    <row r="129">
      <c r="A129" s="4" t="s">
        <v>166</v>
      </c>
      <c r="B129" s="4" t="s">
        <v>167</v>
      </c>
      <c r="C129" s="5" t="str">
        <f>IFERROR(__xludf.DUMMYFUNCTION("GOOGLETRANSLATE(B129,""en"",""zh-CN"")"),"相机在看起来像山脉的茂密和绿色地形上方。")</f>
        <v>相机在看起来像山脉的茂密和绿色地形上方。</v>
      </c>
    </row>
    <row r="130">
      <c r="A130" s="4" t="s">
        <v>166</v>
      </c>
      <c r="B130" s="6" t="s">
        <v>168</v>
      </c>
      <c r="C130" s="5" t="str">
        <f>IFERROR(__xludf.DUMMYFUNCTION("GOOGLETRANSLATE(B130,""en"",""zh-CN"")"),"一个男人被汗水覆盖，然后跳过各种山丘上的特技自行车。")</f>
        <v>一个男人被汗水覆盖，然后跳过各种山丘上的特技自行车。</v>
      </c>
    </row>
    <row r="131">
      <c r="A131" s="4" t="s">
        <v>166</v>
      </c>
      <c r="B131" s="4" t="s">
        <v>169</v>
      </c>
      <c r="C131" s="5" t="str">
        <f>IFERROR(__xludf.DUMMYFUNCTION("GOOGLETRANSLATE(B131,""en"",""zh-CN"")"),"他旋转，翻转并执行各种杂技。")</f>
        <v>他旋转，翻转并执行各种杂技。</v>
      </c>
    </row>
    <row r="132">
      <c r="A132" s="4" t="s">
        <v>166</v>
      </c>
      <c r="B132" s="4" t="s">
        <v>170</v>
      </c>
      <c r="C132" s="5" t="str">
        <f>IFERROR(__xludf.DUMMYFUNCTION("GOOGLETRANSLATE(B132,""en"",""zh-CN"")"),"他技术熟练，跳过一切。")</f>
        <v>他技术熟练，跳过一切。</v>
      </c>
    </row>
    <row r="133">
      <c r="A133" s="4" t="s">
        <v>166</v>
      </c>
      <c r="B133" s="6" t="s">
        <v>171</v>
      </c>
      <c r="C133" s="5" t="str">
        <f>IFERROR(__xludf.DUMMYFUNCTION("GOOGLETRANSLATE(B133,""en"",""zh-CN"")"),"然后，该视频显示了多个骑着泥土自行车的男人在不同的地方跳跃，并从各种角度显示了动作。")</f>
        <v>然后，该视频显示了多个骑着泥土自行车的男人在不同的地方跳跃，并从各种角度显示了动作。</v>
      </c>
    </row>
    <row r="134">
      <c r="A134" s="4" t="s">
        <v>166</v>
      </c>
      <c r="B134" s="4" t="s">
        <v>172</v>
      </c>
      <c r="C134" s="5" t="str">
        <f>IFERROR(__xludf.DUMMYFUNCTION("GOOGLETRANSLATE(B134,""en"",""zh-CN"")"),"这些人继续在其他各种景观中表现出昏迷。")</f>
        <v>这些人继续在其他各种景观中表现出昏迷。</v>
      </c>
    </row>
    <row r="135">
      <c r="A135" s="4" t="s">
        <v>173</v>
      </c>
      <c r="B135" s="4" t="s">
        <v>174</v>
      </c>
      <c r="C135" s="5" t="str">
        <f>IFERROR(__xludf.DUMMYFUNCTION("GOOGLETRANSLATE(B135,""en"",""zh-CN"")"),"一个女人沿着赛道行走。")</f>
        <v>一个女人沿着赛道行走。</v>
      </c>
    </row>
    <row r="136">
      <c r="A136" s="4" t="s">
        <v>173</v>
      </c>
      <c r="B136" s="4" t="s">
        <v>175</v>
      </c>
      <c r="C136" s="5" t="str">
        <f>IFERROR(__xludf.DUMMYFUNCTION("GOOGLETRANSLATE(B136,""en"",""zh-CN"")"),"她快速起飞。")</f>
        <v>她快速起飞。</v>
      </c>
    </row>
    <row r="137">
      <c r="A137" s="4" t="s">
        <v>173</v>
      </c>
      <c r="B137" s="4" t="s">
        <v>176</v>
      </c>
      <c r="C137" s="5" t="str">
        <f>IFERROR(__xludf.DUMMYFUNCTION("GOOGLETRANSLATE(B137,""en"",""zh-CN"")"),"她跳过酒吧，登上垫子。")</f>
        <v>她跳过酒吧，登上垫子。</v>
      </c>
    </row>
    <row r="138">
      <c r="A138" s="4" t="s">
        <v>177</v>
      </c>
      <c r="B138" s="4" t="s">
        <v>178</v>
      </c>
      <c r="C138" s="5" t="str">
        <f>IFERROR(__xludf.DUMMYFUNCTION("GOOGLETRANSLATE(B138,""en"",""zh-CN"")"),"一个人在板上切酸橙。")</f>
        <v>一个人在板上切酸橙。</v>
      </c>
    </row>
    <row r="139">
      <c r="A139" s="4" t="s">
        <v>177</v>
      </c>
      <c r="B139" s="4" t="s">
        <v>179</v>
      </c>
      <c r="C139" s="5" t="str">
        <f>IFERROR(__xludf.DUMMYFUNCTION("GOOGLETRANSLATE(B139,""en"",""zh-CN"")"),"他们将酸橙和糖放入搅拌机中。")</f>
        <v>他们将酸橙和糖放入搅拌机中。</v>
      </c>
    </row>
    <row r="140">
      <c r="A140" s="4" t="s">
        <v>177</v>
      </c>
      <c r="B140" s="4" t="s">
        <v>180</v>
      </c>
      <c r="C140" s="5" t="str">
        <f>IFERROR(__xludf.DUMMYFUNCTION("GOOGLETRANSLATE(B140,""en"",""zh-CN"")"),"他们过滤果汁，然后将其倒入罐子中。")</f>
        <v>他们过滤果汁，然后将其倒入罐子中。</v>
      </c>
    </row>
    <row r="141">
      <c r="A141" s="4" t="s">
        <v>177</v>
      </c>
      <c r="B141" s="4" t="s">
        <v>181</v>
      </c>
      <c r="C141" s="5" t="str">
        <f>IFERROR(__xludf.DUMMYFUNCTION("GOOGLETRANSLATE(B141,""en"",""zh-CN"")"),"他们在玻璃的边缘上放了一个吸管和一个石灰楔。")</f>
        <v>他们在玻璃的边缘上放了一个吸管和一个石灰楔。</v>
      </c>
    </row>
    <row r="142">
      <c r="A142" s="4" t="s">
        <v>182</v>
      </c>
      <c r="B142" s="4" t="s">
        <v>183</v>
      </c>
      <c r="C142" s="5" t="str">
        <f>IFERROR(__xludf.DUMMYFUNCTION("GOOGLETRANSLATE(B142,""en"",""zh-CN"")"),"一个孩子用刷子擦洗厨房水槽。")</f>
        <v>一个孩子用刷子擦洗厨房水槽。</v>
      </c>
    </row>
    <row r="143">
      <c r="A143" s="4" t="s">
        <v>182</v>
      </c>
      <c r="B143" s="4" t="s">
        <v>184</v>
      </c>
      <c r="C143" s="5" t="str">
        <f>IFERROR(__xludf.DUMMYFUNCTION("GOOGLETRANSLATE(B143,""en"",""zh-CN"")"),"男孩打开水槽水龙头。")</f>
        <v>男孩打开水槽水龙头。</v>
      </c>
    </row>
    <row r="144">
      <c r="A144" s="4" t="s">
        <v>182</v>
      </c>
      <c r="B144" s="4" t="s">
        <v>185</v>
      </c>
      <c r="C144" s="5" t="str">
        <f>IFERROR(__xludf.DUMMYFUNCTION("GOOGLETRANSLATE(B144,""en"",""zh-CN"")"),"孩子使用水龙头喷嘴冲洗水槽。")</f>
        <v>孩子使用水龙头喷嘴冲洗水槽。</v>
      </c>
    </row>
    <row r="145">
      <c r="A145" s="4" t="s">
        <v>182</v>
      </c>
      <c r="B145" s="4" t="s">
        <v>186</v>
      </c>
      <c r="C145" s="5" t="str">
        <f>IFERROR(__xludf.DUMMYFUNCTION("GOOGLETRANSLATE(B145,""en"",""zh-CN"")"),"男孩将水槽喷嘴返回到水龙头，然后关闭水。")</f>
        <v>男孩将水槽喷嘴返回到水龙头，然后关闭水。</v>
      </c>
    </row>
    <row r="146">
      <c r="A146" s="4" t="s">
        <v>187</v>
      </c>
      <c r="B146" s="4" t="s">
        <v>188</v>
      </c>
      <c r="C146" s="5" t="str">
        <f>IFERROR(__xludf.DUMMYFUNCTION("GOOGLETRANSLATE(B146,""en"",""zh-CN"")"),"一个裸露的工作室中的一个人展示了一系列武术在镜头前移动。")</f>
        <v>一个裸露的工作室中的一个人展示了一系列武术在镜头前移动。</v>
      </c>
    </row>
    <row r="147">
      <c r="A147" s="4" t="s">
        <v>187</v>
      </c>
      <c r="B147" s="6" t="s">
        <v>189</v>
      </c>
      <c r="C147" s="5" t="str">
        <f>IFERROR(__xludf.DUMMYFUNCTION("GOOGLETRANSLATE(B147,""en"",""zh-CN"")"),"一个男人穿着白色T恤和黑色裤子出现，赤脚开始展示武术动作。")</f>
        <v>一个男人穿着白色T恤和黑色裤子出现，赤脚开始展示武术动作。</v>
      </c>
    </row>
    <row r="148">
      <c r="A148" s="4" t="s">
        <v>187</v>
      </c>
      <c r="B148" s="4" t="s">
        <v>190</v>
      </c>
      <c r="C148" s="5" t="str">
        <f>IFERROR(__xludf.DUMMYFUNCTION("GOOGLETRANSLATE(B148,""en"",""zh-CN"")"),"该男子开始使用表现出地板工作的动作，而轻度滚动和前端。")</f>
        <v>该男子开始使用表现出地板工作的动作，而轻度滚动和前端。</v>
      </c>
    </row>
    <row r="149">
      <c r="A149" s="4" t="s">
        <v>187</v>
      </c>
      <c r="B149" s="4" t="s">
        <v>191</v>
      </c>
      <c r="C149" s="5" t="str">
        <f>IFERROR(__xludf.DUMMYFUNCTION("GOOGLETRANSLATE(B149,""en"",""zh-CN"")"),"该男子与高踢一起进入受控的翻筋斗和侧面工作。")</f>
        <v>该男子与高踢一起进入受控的翻筋斗和侧面工作。</v>
      </c>
    </row>
    <row r="150">
      <c r="A150" s="4" t="s">
        <v>192</v>
      </c>
      <c r="B150" s="4" t="s">
        <v>193</v>
      </c>
      <c r="C150" s="5" t="str">
        <f>IFERROR(__xludf.DUMMYFUNCTION("GOOGLETRANSLATE(B150,""en"",""zh-CN"")"),"显示了一个经销商，在桌子上铺设卡片，而其他人的手则显示在侧面。")</f>
        <v>显示了一个经销商，在桌子上铺设卡片，而其他人的手则显示在侧面。</v>
      </c>
    </row>
    <row r="151">
      <c r="A151" s="4" t="s">
        <v>192</v>
      </c>
      <c r="B151" s="4" t="s">
        <v>194</v>
      </c>
      <c r="C151" s="5" t="str">
        <f>IFERROR(__xludf.DUMMYFUNCTION("GOOGLETRANSLATE(B151,""en"",""zh-CN"")"),"然后，该人放置卡，而另一个人则放置芯片。")</f>
        <v>然后，该人放置卡，而另一个人则放置芯片。</v>
      </c>
    </row>
    <row r="152">
      <c r="A152" s="4" t="s">
        <v>195</v>
      </c>
      <c r="B152" s="6" t="s">
        <v>196</v>
      </c>
      <c r="C152" s="5" t="str">
        <f>IFERROR(__xludf.DUMMYFUNCTION("GOOGLETRANSLATE(B152,""en"",""zh-CN"")"),"有几个人在外面有跑步的设备和数字固定在他们的速度缓慢的速度上，因为这是马拉松或5k的接缝。")</f>
        <v>有几个人在外面有跑步的设备和数字固定在他们的速度缓慢的速度上，因为这是马拉松或5k的接缝。</v>
      </c>
    </row>
    <row r="153">
      <c r="A153" s="4" t="s">
        <v>195</v>
      </c>
      <c r="B153" s="6" t="s">
        <v>197</v>
      </c>
      <c r="C153" s="5" t="str">
        <f>IFERROR(__xludf.DUMMYFUNCTION("GOOGLETRANSLATE(B153,""en"",""zh-CN"")"),"然而，一位穿着黑色的女士似乎是整个视频中的焦点，她一直以非常缓慢的步伐行走。")</f>
        <v>然而，一位穿着黑色的女士似乎是整个视频中的焦点，她一直以非常缓慢的步伐行走。</v>
      </c>
    </row>
    <row r="154">
      <c r="A154" s="4" t="s">
        <v>195</v>
      </c>
      <c r="B154" s="6" t="s">
        <v>198</v>
      </c>
      <c r="C154" s="5" t="str">
        <f>IFERROR(__xludf.DUMMYFUNCTION("GOOGLETRANSLATE(B154,""en"",""zh-CN"")"),"在展示人群并看到更多的人奔跑之后，甚至在旁边的人加油时都参加了轮椅。")</f>
        <v>在展示人群并看到更多的人奔跑之后，甚至在旁边的人加油时都参加了轮椅。</v>
      </c>
    </row>
    <row r="155">
      <c r="A155" s="4" t="s">
        <v>199</v>
      </c>
      <c r="B155" s="6" t="s">
        <v>200</v>
      </c>
      <c r="C155" s="5" t="str">
        <f>IFERROR(__xludf.DUMMYFUNCTION("GOOGLETRANSLATE(B155,""en"",""zh-CN"")"),"一个男人站在蓝色背景前，显示出许多口琴，他开始扮演。")</f>
        <v>一个男人站在蓝色背景前，显示出许多口琴，他开始扮演。</v>
      </c>
    </row>
    <row r="156">
      <c r="A156" s="4" t="s">
        <v>199</v>
      </c>
      <c r="B156" s="6" t="s">
        <v>201</v>
      </c>
      <c r="C156" s="5" t="str">
        <f>IFERROR(__xludf.DUMMYFUNCTION("GOOGLETRANSLATE(B156,""en"",""zh-CN"")"),"然后，向他展示了在相机中讲话，并就产品功能进行详细介绍。")</f>
        <v>然后，向他展示了在相机中讲话，并就产品功能进行详细介绍。</v>
      </c>
    </row>
    <row r="157">
      <c r="A157" s="4" t="s">
        <v>199</v>
      </c>
      <c r="B157" s="4" t="s">
        <v>202</v>
      </c>
      <c r="C157" s="5" t="str">
        <f>IFERROR(__xludf.DUMMYFUNCTION("GOOGLETRANSLATE(B157,""en"",""zh-CN"")"),"他展示了他的外套有多少，并继续说话。")</f>
        <v>他展示了他的外套有多少，并继续说话。</v>
      </c>
    </row>
    <row r="158">
      <c r="A158" s="4" t="s">
        <v>199</v>
      </c>
      <c r="B158" s="4" t="s">
        <v>203</v>
      </c>
      <c r="C158" s="5" t="str">
        <f>IFERROR(__xludf.DUMMYFUNCTION("GOOGLETRANSLATE(B158,""en"",""zh-CN"")"),"然后，他向他展示了另一个口琴，因为他对此进行了指导。")</f>
        <v>然后，他向他展示了另一个口琴，因为他对此进行了指导。</v>
      </c>
    </row>
    <row r="159">
      <c r="A159" s="4" t="s">
        <v>199</v>
      </c>
      <c r="B159" s="6" t="s">
        <v>204</v>
      </c>
      <c r="C159" s="5" t="str">
        <f>IFERROR(__xludf.DUMMYFUNCTION("GOOGLETRANSLATE(B159,""en"",""zh-CN"")"),"当视频进入末端标题屏幕时，他会说更多的话，并再次显示了他的口琴，该屏幕上读了Howcast Original”。")</f>
        <v>当视频进入末端标题屏幕时，他会说更多的话，并再次显示了他的口琴，该屏幕上读了Howcast Original”。</v>
      </c>
    </row>
    <row r="160">
      <c r="A160" s="4" t="s">
        <v>205</v>
      </c>
      <c r="B160" s="4" t="s">
        <v>206</v>
      </c>
      <c r="C160" s="5" t="str">
        <f>IFERROR(__xludf.DUMMYFUNCTION("GOOGLETRANSLATE(B160,""en"",""zh-CN"")"),"一个穿着白色短裤的男孩站在房间里。")</f>
        <v>一个穿着白色短裤的男孩站在房间里。</v>
      </c>
    </row>
    <row r="161">
      <c r="A161" s="4" t="s">
        <v>205</v>
      </c>
      <c r="B161" s="4" t="s">
        <v>207</v>
      </c>
      <c r="C161" s="5" t="str">
        <f>IFERROR(__xludf.DUMMYFUNCTION("GOOGLETRANSLATE(B161,""en"",""zh-CN"")"),"他把东西放在嘴里。")</f>
        <v>他把东西放在嘴里。</v>
      </c>
    </row>
    <row r="162">
      <c r="A162" s="4" t="s">
        <v>205</v>
      </c>
      <c r="B162" s="4" t="s">
        <v>208</v>
      </c>
      <c r="C162" s="5" t="str">
        <f>IFERROR(__xludf.DUMMYFUNCTION("GOOGLETRANSLATE(B162,""en"",""zh-CN"")"),"他将双腿踢到一边。")</f>
        <v>他将双腿踢到一边。</v>
      </c>
    </row>
    <row r="163">
      <c r="A163" s="4" t="s">
        <v>205</v>
      </c>
      <c r="B163" s="4" t="s">
        <v>209</v>
      </c>
      <c r="C163" s="5" t="str">
        <f>IFERROR(__xludf.DUMMYFUNCTION("GOOGLETRANSLATE(B163,""en"",""zh-CN"")"),"跪在地上。")</f>
        <v>跪在地上。</v>
      </c>
    </row>
    <row r="164">
      <c r="A164" s="4" t="s">
        <v>210</v>
      </c>
      <c r="B164" s="4" t="s">
        <v>211</v>
      </c>
      <c r="C164" s="5" t="str">
        <f>IFERROR(__xludf.DUMMYFUNCTION("GOOGLETRANSLATE(B164,""en"",""zh-CN"")"),"看到一小群人坐在侧面，陷入了两个人一起跳舞。")</f>
        <v>看到一小群人坐在侧面，陷入了两个人一起跳舞。</v>
      </c>
    </row>
    <row r="165">
      <c r="A165" s="4" t="s">
        <v>210</v>
      </c>
      <c r="B165" s="4" t="s">
        <v>212</v>
      </c>
      <c r="C165" s="5" t="str">
        <f>IFERROR(__xludf.DUMMYFUNCTION("GOOGLETRANSLATE(B165,""en"",""zh-CN"")"),"人们继续沿着地板跳舞，并通过乐队拍手来结束。")</f>
        <v>人们继续沿着地板跳舞，并通过乐队拍手来结束。</v>
      </c>
    </row>
    <row r="166">
      <c r="A166" s="4" t="s">
        <v>213</v>
      </c>
      <c r="B166" s="4" t="s">
        <v>214</v>
      </c>
      <c r="C166" s="5" t="str">
        <f>IFERROR(__xludf.DUMMYFUNCTION("GOOGLETRANSLATE(B166,""en"",""zh-CN"")"),"跑步者在长距离跑步中测试假肢。")</f>
        <v>跑步者在长距离跑步中测试假肢。</v>
      </c>
    </row>
    <row r="167">
      <c r="A167" s="4" t="s">
        <v>213</v>
      </c>
      <c r="B167" s="4" t="s">
        <v>215</v>
      </c>
      <c r="C167" s="5" t="str">
        <f>IFERROR(__xludf.DUMMYFUNCTION("GOOGLETRANSLATE(B167,""en"",""zh-CN"")"),"他在里面跑，然后跑到外面。")</f>
        <v>他在里面跑，然后跑到外面。</v>
      </c>
    </row>
    <row r="168">
      <c r="A168" s="4" t="s">
        <v>216</v>
      </c>
      <c r="B168" s="4" t="s">
        <v>217</v>
      </c>
      <c r="C168" s="5" t="str">
        <f>IFERROR(__xludf.DUMMYFUNCTION("GOOGLETRANSLATE(B168,""en"",""zh-CN"")"),"看到一小群人在网球场周围徘徊，在网上击球。")</f>
        <v>看到一小群人在网球场周围徘徊，在网上击球。</v>
      </c>
    </row>
    <row r="169">
      <c r="A169" s="4" t="s">
        <v>216</v>
      </c>
      <c r="B169" s="4" t="s">
        <v>218</v>
      </c>
      <c r="C169" s="5" t="str">
        <f>IFERROR(__xludf.DUMMYFUNCTION("GOOGLETRANSLATE(B169,""en"",""zh-CN"")"),"人们向后击球，而其他人则在侧面看。")</f>
        <v>人们向后击球，而其他人则在侧面看。</v>
      </c>
    </row>
    <row r="170">
      <c r="A170" s="4" t="s">
        <v>216</v>
      </c>
      <c r="B170" s="4" t="s">
        <v>219</v>
      </c>
      <c r="C170" s="5" t="str">
        <f>IFERROR(__xludf.DUMMYFUNCTION("GOOGLETRANSLATE(B170,""en"",""zh-CN"")"),"他们继续玩游戏和其他游戏。")</f>
        <v>他们继续玩游戏和其他游戏。</v>
      </c>
    </row>
    <row r="171">
      <c r="A171" s="4" t="s">
        <v>220</v>
      </c>
      <c r="B171" s="6" t="s">
        <v>221</v>
      </c>
      <c r="C171" s="5" t="str">
        <f>IFERROR(__xludf.DUMMYFUNCTION("GOOGLETRANSLATE(B171,""en"",""zh-CN"")"),"一个穿着白衬衫和头盔和黑色裤子的年轻人在走路时手里拿着滑板。")</f>
        <v>一个穿着白衬衫和头盔和黑色裤子的年轻人在走路时手里拿着滑板。</v>
      </c>
    </row>
    <row r="172">
      <c r="A172" s="4" t="s">
        <v>220</v>
      </c>
      <c r="B172" s="4" t="s">
        <v>222</v>
      </c>
      <c r="C172" s="5" t="str">
        <f>IFERROR(__xludf.DUMMYFUNCTION("GOOGLETRANSLATE(B172,""en"",""zh-CN"")"),"他放下滑板，开始在沥青路上滑冰。")</f>
        <v>他放下滑板，开始在沥青路上滑冰。</v>
      </c>
    </row>
    <row r="173">
      <c r="A173" s="4" t="s">
        <v>220</v>
      </c>
      <c r="B173" s="4" t="s">
        <v>223</v>
      </c>
      <c r="C173" s="5" t="str">
        <f>IFERROR(__xludf.DUMMYFUNCTION("GOOGLETRANSLATE(B173,""en"",""zh-CN"")"),"他几次翻转滑板，然后盘旋。")</f>
        <v>他几次翻转滑板，然后盘旋。</v>
      </c>
    </row>
    <row r="174">
      <c r="A174" s="4" t="s">
        <v>220</v>
      </c>
      <c r="B174" s="4" t="s">
        <v>224</v>
      </c>
      <c r="C174" s="5" t="str">
        <f>IFERROR(__xludf.DUMMYFUNCTION("GOOGLETRANSLATE(B174,""en"",""zh-CN"")"),"当他继续滑板时，两个人走过他。")</f>
        <v>当他继续滑板时，两个人走过他。</v>
      </c>
    </row>
    <row r="175">
      <c r="A175" s="4" t="s">
        <v>220</v>
      </c>
      <c r="B175" s="4" t="s">
        <v>225</v>
      </c>
      <c r="C175" s="5" t="str">
        <f>IFERROR(__xludf.DUMMYFUNCTION("GOOGLETRANSLATE(B175,""en"",""zh-CN"")"),"当他走下路时，该男子开始在滑板上加快加速。")</f>
        <v>当他走下路时，该男子开始在滑板上加快加速。</v>
      </c>
    </row>
    <row r="176">
      <c r="A176" s="4" t="s">
        <v>220</v>
      </c>
      <c r="B176" s="4" t="s">
        <v>226</v>
      </c>
      <c r="C176" s="5" t="str">
        <f>IFERROR(__xludf.DUMMYFUNCTION("GOOGLETRANSLATE(B176,""en"",""zh-CN"")"),"他还在漫长而曲折的道路上滑冰。")</f>
        <v>他还在漫长而曲折的道路上滑冰。</v>
      </c>
    </row>
    <row r="177">
      <c r="A177" s="4" t="s">
        <v>220</v>
      </c>
      <c r="B177" s="4" t="s">
        <v>227</v>
      </c>
      <c r="C177" s="5" t="str">
        <f>IFERROR(__xludf.DUMMYFUNCTION("GOOGLETRANSLATE(B177,""en"",""zh-CN"")"),"他滑过一个充满绿化的田野和山脉。")</f>
        <v>他滑过一个充满绿化的田野和山脉。</v>
      </c>
    </row>
    <row r="178">
      <c r="A178" s="4" t="s">
        <v>220</v>
      </c>
      <c r="B178" s="4" t="s">
        <v>228</v>
      </c>
      <c r="C178" s="5" t="str">
        <f>IFERROR(__xludf.DUMMYFUNCTION("GOOGLETRANSLATE(B178,""en"",""zh-CN"")"),"他在滑板上尝试了各种特技和技巧。")</f>
        <v>他在滑板上尝试了各种特技和技巧。</v>
      </c>
    </row>
    <row r="179">
      <c r="A179" s="4" t="s">
        <v>220</v>
      </c>
      <c r="B179" s="4" t="s">
        <v>229</v>
      </c>
      <c r="C179" s="5" t="str">
        <f>IFERROR(__xludf.DUMMYFUNCTION("GOOGLETRANSLATE(B179,""en"",""zh-CN"")"),"他继续在道路上滑板。")</f>
        <v>他继续在道路上滑板。</v>
      </c>
    </row>
    <row r="180">
      <c r="A180" s="4" t="s">
        <v>220</v>
      </c>
      <c r="B180" s="4" t="s">
        <v>230</v>
      </c>
      <c r="C180" s="5" t="str">
        <f>IFERROR(__xludf.DUMMYFUNCTION("GOOGLETRANSLATE(B180,""en"",""zh-CN"")"),"他从路边的滑板上摔下来，但立即回到它上面并滑行。")</f>
        <v>他从路边的滑板上摔下来，但立即回到它上面并滑行。</v>
      </c>
    </row>
    <row r="181">
      <c r="A181" s="4" t="s">
        <v>231</v>
      </c>
      <c r="B181" s="4" t="s">
        <v>232</v>
      </c>
      <c r="C181" s="5" t="str">
        <f>IFERROR(__xludf.DUMMYFUNCTION("GOOGLETRANSLATE(B181,""en"",""zh-CN"")"),"运动员在比赛中投掷标枪。")</f>
        <v>运动员在比赛中投掷标枪。</v>
      </c>
    </row>
    <row r="182">
      <c r="A182" s="4" t="s">
        <v>231</v>
      </c>
      <c r="B182" s="4" t="s">
        <v>233</v>
      </c>
      <c r="C182" s="5" t="str">
        <f>IFERROR(__xludf.DUMMYFUNCTION("GOOGLETRANSLATE(B182,""en"",""zh-CN"")"),"一个男人练习他的投掷立场行走，并没有标枪进行半掷。")</f>
        <v>一个男人练习他的投掷立场行走，并没有标枪进行半掷。</v>
      </c>
    </row>
    <row r="183">
      <c r="A183" s="4" t="s">
        <v>231</v>
      </c>
      <c r="B183" s="4" t="s">
        <v>234</v>
      </c>
      <c r="C183" s="5" t="str">
        <f>IFERROR(__xludf.DUMMYFUNCTION("GOOGLETRANSLATE(B183,""en"",""zh-CN"")"),"一个男人练习他的投掷立场行走，并拿着标枪扔半掷。")</f>
        <v>一个男人练习他的投掷立场行走，并拿着标枪扔半掷。</v>
      </c>
    </row>
    <row r="184">
      <c r="A184" s="4" t="s">
        <v>231</v>
      </c>
      <c r="B184" s="4" t="s">
        <v>235</v>
      </c>
      <c r="C184" s="5" t="str">
        <f>IFERROR(__xludf.DUMMYFUNCTION("GOOGLETRANSLATE(B184,""en"",""zh-CN"")"),"该男子挥舞着锤子。")</f>
        <v>该男子挥舞着锤子。</v>
      </c>
    </row>
    <row r="185">
      <c r="A185" s="4" t="s">
        <v>231</v>
      </c>
      <c r="B185" s="4" t="s">
        <v>236</v>
      </c>
      <c r="C185" s="5" t="str">
        <f>IFERROR(__xludf.DUMMYFUNCTION("GOOGLETRANSLATE(B185,""en"",""zh-CN"")"),"该男子扔了一个加权球。")</f>
        <v>该男子扔了一个加权球。</v>
      </c>
    </row>
    <row r="186">
      <c r="A186" s="4" t="s">
        <v>231</v>
      </c>
      <c r="B186" s="4" t="s">
        <v>237</v>
      </c>
      <c r="C186" s="5" t="str">
        <f>IFERROR(__xludf.DUMMYFUNCTION("GOOGLETRANSLATE(B186,""en"",""zh-CN"")"),"运动员在体育馆里训练在加权电缆机上投掷动作。")</f>
        <v>运动员在体育馆里训练在加权电缆机上投掷动作。</v>
      </c>
    </row>
    <row r="187">
      <c r="A187" s="4" t="s">
        <v>238</v>
      </c>
      <c r="B187" s="4" t="s">
        <v>239</v>
      </c>
      <c r="C187" s="5" t="str">
        <f>IFERROR(__xludf.DUMMYFUNCTION("GOOGLETRANSLATE(B187,""en"",""zh-CN"")"),"我们看到一个人在砂光盘上磨刀。")</f>
        <v>我们看到一个人在砂光盘上磨刀。</v>
      </c>
    </row>
    <row r="188">
      <c r="A188" s="4" t="s">
        <v>238</v>
      </c>
      <c r="B188" s="4" t="s">
        <v>240</v>
      </c>
      <c r="C188" s="5" t="str">
        <f>IFERROR(__xludf.DUMMYFUNCTION("GOOGLETRANSLATE(B188,""en"",""zh-CN"")"),"该人触摸它并将其关闭。")</f>
        <v>该人触摸它并将其关闭。</v>
      </c>
    </row>
    <row r="189">
      <c r="A189" s="4" t="s">
        <v>238</v>
      </c>
      <c r="B189" s="4" t="s">
        <v>241</v>
      </c>
      <c r="C189" s="5" t="str">
        <f>IFERROR(__xludf.DUMMYFUNCTION("GOOGLETRANSLATE(B189,""en"",""zh-CN"")"),"该人打开它，然后关闭。")</f>
        <v>该人打开它，然后关闭。</v>
      </c>
    </row>
    <row r="190">
      <c r="A190" s="4" t="s">
        <v>238</v>
      </c>
      <c r="B190" s="4" t="s">
        <v>242</v>
      </c>
      <c r="C190" s="5" t="str">
        <f>IFERROR(__xludf.DUMMYFUNCTION("GOOGLETRANSLATE(B190,""en"",""zh-CN"")"),"我们看到男人在和镜头说话。")</f>
        <v>我们看到男人在和镜头说话。</v>
      </c>
    </row>
    <row r="191">
      <c r="A191" s="4" t="s">
        <v>243</v>
      </c>
      <c r="B191" s="4" t="s">
        <v>244</v>
      </c>
      <c r="C191" s="5" t="str">
        <f>IFERROR(__xludf.DUMMYFUNCTION("GOOGLETRANSLATE(B191,""en"",""zh-CN"")"),"从有关适当洗手的疾病控制中心显示文本。")</f>
        <v>从有关适当洗手的疾病控制中心显示文本。</v>
      </c>
    </row>
    <row r="192">
      <c r="A192" s="4" t="s">
        <v>243</v>
      </c>
      <c r="B192" s="4" t="s">
        <v>245</v>
      </c>
      <c r="C192" s="5" t="str">
        <f>IFERROR(__xludf.DUMMYFUNCTION("GOOGLETRANSLATE(B192,""en"",""zh-CN"")"),"当水在水槽里奔跑时，一个女人被肥皂肥皂。")</f>
        <v>当水在水槽里奔跑时，一个女人被肥皂肥皂。</v>
      </c>
    </row>
    <row r="193">
      <c r="A193" s="4" t="s">
        <v>243</v>
      </c>
      <c r="B193" s="4" t="s">
        <v>246</v>
      </c>
      <c r="C193" s="5" t="str">
        <f>IFERROR(__xludf.DUMMYFUNCTION("GOOGLETRANSLATE(B193,""en"",""zh-CN"")"),"她伸手去拿毛巾，然后用一只手转动水龙头。")</f>
        <v>她伸手去拿毛巾，然后用一只手转动水龙头。</v>
      </c>
    </row>
    <row r="194">
      <c r="A194" s="4" t="s">
        <v>243</v>
      </c>
      <c r="B194" s="6" t="s">
        <v>247</v>
      </c>
      <c r="C194" s="5" t="str">
        <f>IFERROR(__xludf.DUMMYFUNCTION("GOOGLETRANSLATE(B194,""en"",""zh-CN"")"),"她肥皂肥皂，然后用水冲洗，然后抓住另一个毛巾关掉水龙头，然后丢弃毛巾。")</f>
        <v>她肥皂肥皂，然后用水冲洗，然后抓住另一个毛巾关掉水龙头，然后丢弃毛巾。</v>
      </c>
    </row>
    <row r="195">
      <c r="A195" s="4" t="s">
        <v>248</v>
      </c>
      <c r="B195" s="4" t="s">
        <v>249</v>
      </c>
      <c r="C195" s="5" t="str">
        <f>IFERROR(__xludf.DUMMYFUNCTION("GOOGLETRANSLATE(B195,""en"",""zh-CN"")"),"人们在健身机上锻炼身体，而人们坐在前面看。")</f>
        <v>人们在健身机上锻炼身体，而人们坐在前面看。</v>
      </c>
    </row>
    <row r="196">
      <c r="A196" s="4" t="s">
        <v>248</v>
      </c>
      <c r="B196" s="4" t="s">
        <v>250</v>
      </c>
      <c r="C196" s="5" t="str">
        <f>IFERROR(__xludf.DUMMYFUNCTION("GOOGLETRANSLATE(B196,""en"",""zh-CN"")"),"一个男人在前面拿着夹克，站在下面的电视上。")</f>
        <v>一个男人在前面拿着夹克，站在下面的电视上。</v>
      </c>
    </row>
    <row r="197">
      <c r="A197" s="4" t="s">
        <v>248</v>
      </c>
      <c r="B197" s="4" t="s">
        <v>251</v>
      </c>
      <c r="C197" s="5" t="str">
        <f>IFERROR(__xludf.DUMMYFUNCTION("GOOGLETRANSLATE(B197,""en"",""zh-CN"")"),"一群女人在前面的人锻炼前行走。")</f>
        <v>一群女人在前面的人锻炼前行走。</v>
      </c>
    </row>
    <row r="198">
      <c r="A198" s="4" t="s">
        <v>252</v>
      </c>
      <c r="B198" s="6" t="s">
        <v>253</v>
      </c>
      <c r="C198" s="5" t="str">
        <f>IFERROR(__xludf.DUMMYFUNCTION("GOOGLETRANSLATE(B198,""en"",""zh-CN"")"),"一个男人在房子起居室的楼梯底部播放风笛，戴着纽扣，穿着裤子，以及袜子。")</f>
        <v>一个男人在房子起居室的楼梯底部播放风笛，戴着纽扣，穿着裤子，以及袜子。</v>
      </c>
    </row>
    <row r="199">
      <c r="A199" s="4" t="s">
        <v>252</v>
      </c>
      <c r="B199" s="6" t="s">
        <v>254</v>
      </c>
      <c r="C199" s="5" t="str">
        <f>IFERROR(__xludf.DUMMYFUNCTION("GOOGLETRANSLATE(B199,""en"",""zh-CN"")"),"他开始用曲调拍打脚，他开始用右脚来回摆动左脚。")</f>
        <v>他开始用曲调拍打脚，他开始用右脚来回摆动左脚。</v>
      </c>
    </row>
    <row r="200">
      <c r="A200" s="4" t="s">
        <v>252</v>
      </c>
      <c r="B200" s="4" t="s">
        <v>255</v>
      </c>
      <c r="C200" s="5" t="str">
        <f>IFERROR(__xludf.DUMMYFUNCTION("GOOGLETRANSLATE(B200,""en"",""zh-CN"")"),"他结束了，对镜头微笑。")</f>
        <v>他结束了，对镜头微笑。</v>
      </c>
    </row>
    <row r="201">
      <c r="A201" s="4" t="s">
        <v>256</v>
      </c>
      <c r="B201" s="4" t="s">
        <v>257</v>
      </c>
      <c r="C201" s="5" t="str">
        <f>IFERROR(__xludf.DUMMYFUNCTION("GOOGLETRANSLATE(B201,""en"",""zh-CN"")"),"人们正在一家自行车商店工作，修理自行车。")</f>
        <v>人们正在一家自行车商店工作，修理自行车。</v>
      </c>
    </row>
    <row r="202">
      <c r="A202" s="4" t="s">
        <v>256</v>
      </c>
      <c r="B202" s="4" t="s">
        <v>258</v>
      </c>
      <c r="C202" s="5" t="str">
        <f>IFERROR(__xludf.DUMMYFUNCTION("GOOGLETRANSLATE(B202,""en"",""zh-CN"")"),"他们将车轮放回自行车上。")</f>
        <v>他们将车轮放回自行车上。</v>
      </c>
    </row>
    <row r="203">
      <c r="A203" s="4" t="s">
        <v>256</v>
      </c>
      <c r="B203" s="4" t="s">
        <v>259</v>
      </c>
      <c r="C203" s="5" t="str">
        <f>IFERROR(__xludf.DUMMYFUNCTION("GOOGLETRANSLATE(B203,""en"",""zh-CN"")"),"将座位放在自行车上。")</f>
        <v>将座位放在自行车上。</v>
      </c>
    </row>
    <row r="204">
      <c r="A204" s="4" t="s">
        <v>256</v>
      </c>
      <c r="B204" s="4" t="s">
        <v>260</v>
      </c>
      <c r="C204" s="5" t="str">
        <f>IFERROR(__xludf.DUMMYFUNCTION("GOOGLETRANSLATE(B204,""en"",""zh-CN"")"),"自行车放在地板上。")</f>
        <v>自行车放在地板上。</v>
      </c>
    </row>
    <row r="205">
      <c r="A205" s="4" t="s">
        <v>261</v>
      </c>
      <c r="B205" s="6" t="s">
        <v>262</v>
      </c>
      <c r="C205" s="5" t="str">
        <f>IFERROR(__xludf.DUMMYFUNCTION("GOOGLETRANSLATE(B205,""en"",""zh-CN"")"),"一个男人正在就户外活动提供建议，特别是蘑菇和特写，该男子谈论了这一点。")</f>
        <v>一个男人正在就户外活动提供建议，特别是蘑菇和特写，该男子谈论了这一点。</v>
      </c>
    </row>
    <row r="206">
      <c r="A206" s="4" t="s">
        <v>261</v>
      </c>
      <c r="B206" s="4" t="s">
        <v>263</v>
      </c>
      <c r="C206" s="5" t="str">
        <f>IFERROR(__xludf.DUMMYFUNCTION("GOOGLETRANSLATE(B206,""en"",""zh-CN"")"),"该男子切开一个，然后将其切成两半。")</f>
        <v>该男子切开一个，然后将其切成两半。</v>
      </c>
    </row>
    <row r="207">
      <c r="A207" s="4" t="s">
        <v>261</v>
      </c>
      <c r="B207" s="4" t="s">
        <v>264</v>
      </c>
      <c r="C207" s="5" t="str">
        <f>IFERROR(__xludf.DUMMYFUNCTION("GOOGLETRANSLATE(B207,""en"",""zh-CN"")"),"另一个男人谈论经历。")</f>
        <v>另一个男人谈论经历。</v>
      </c>
    </row>
    <row r="208">
      <c r="A208" s="4" t="s">
        <v>265</v>
      </c>
      <c r="B208" s="4" t="s">
        <v>266</v>
      </c>
      <c r="C208" s="5" t="str">
        <f>IFERROR(__xludf.DUMMYFUNCTION("GOOGLETRANSLATE(B208,""en"",""zh-CN"")"),"看到一个戴着帽子的年轻人在相机上说话并拿着图表。")</f>
        <v>看到一个戴着帽子的年轻人在相机上说话并拿着图表。</v>
      </c>
    </row>
    <row r="209">
      <c r="A209" s="4" t="s">
        <v>265</v>
      </c>
      <c r="B209" s="4" t="s">
        <v>267</v>
      </c>
      <c r="C209" s="5" t="str">
        <f>IFERROR(__xludf.DUMMYFUNCTION("GOOGLETRANSLATE(B209,""en"",""zh-CN"")"),"他继续讲话并开始演奏口琴。")</f>
        <v>他继续讲话并开始演奏口琴。</v>
      </c>
    </row>
    <row r="210">
      <c r="A210" s="4" t="s">
        <v>265</v>
      </c>
      <c r="B210" s="4" t="s">
        <v>268</v>
      </c>
      <c r="C210" s="5" t="str">
        <f>IFERROR(__xludf.DUMMYFUNCTION("GOOGLETRANSLATE(B210,""en"",""zh-CN"")"),"他在继续玩耍并与镜头交谈的同时，更多地举起了标志。")</f>
        <v>他在继续玩耍并与镜头交谈的同时，更多地举起了标志。</v>
      </c>
    </row>
    <row r="211">
      <c r="A211" s="4" t="s">
        <v>269</v>
      </c>
      <c r="B211" s="6" t="s">
        <v>270</v>
      </c>
      <c r="C211" s="5" t="str">
        <f>IFERROR(__xludf.DUMMYFUNCTION("GOOGLETRANSLATE(B211,""en"",""zh-CN"")"),"一个人在攀岩设备的屋顶上行走，然后沿着墙壁走到地板上，向前走。")</f>
        <v>一个人在攀岩设备的屋顶上行走，然后沿着墙壁走到地板上，向前走。</v>
      </c>
    </row>
    <row r="212">
      <c r="A212" s="4" t="s">
        <v>269</v>
      </c>
      <c r="B212" s="6" t="s">
        <v>271</v>
      </c>
      <c r="C212" s="5" t="str">
        <f>IFERROR(__xludf.DUMMYFUNCTION("GOOGLETRANSLATE(B212,""en"",""zh-CN"")"),"该男子用手站在设备上的边界上，并用手向下走下去，然后他的手走在手上。")</f>
        <v>该男子用手站在设备上的边界上，并用手向下走下去，然后他的手走在手上。</v>
      </c>
    </row>
    <row r="213">
      <c r="A213" s="4" t="s">
        <v>272</v>
      </c>
      <c r="B213" s="4" t="s">
        <v>273</v>
      </c>
      <c r="C213" s="5" t="str">
        <f>IFERROR(__xludf.DUMMYFUNCTION("GOOGLETRANSLATE(B213,""en"",""zh-CN"")"),"看到一个女人把两只狗抱在皮带上，然后继续解开，然后放开。")</f>
        <v>看到一个女人把两只狗抱在皮带上，然后继续解开，然后放开。</v>
      </c>
    </row>
    <row r="214">
      <c r="A214" s="4" t="s">
        <v>272</v>
      </c>
      <c r="B214" s="4" t="s">
        <v>274</v>
      </c>
      <c r="C214" s="5" t="str">
        <f>IFERROR(__xludf.DUMMYFUNCTION("GOOGLETRANSLATE(B214,""en"",""zh-CN"")"),"然后，一个人将他的生意弄成一袋与他绑在一起的袋子，然后跑到自行车后面。")</f>
        <v>然后，一个人将他的生意弄成一袋与他绑在一起的袋子，然后跑到自行车后面。</v>
      </c>
    </row>
    <row r="215">
      <c r="A215" s="4" t="s">
        <v>275</v>
      </c>
      <c r="B215" s="4" t="s">
        <v>276</v>
      </c>
      <c r="C215" s="5" t="str">
        <f>IFERROR(__xludf.DUMMYFUNCTION("GOOGLETRANSLATE(B215,""en"",""zh-CN"")"),"一个年轻的女孩正用跳绳站在法庭上。")</f>
        <v>一个年轻的女孩正用跳绳站在法庭上。</v>
      </c>
    </row>
    <row r="216">
      <c r="A216" s="4" t="s">
        <v>275</v>
      </c>
      <c r="B216" s="4" t="s">
        <v>277</v>
      </c>
      <c r="C216" s="5" t="str">
        <f>IFERROR(__xludf.DUMMYFUNCTION("GOOGLETRANSLATE(B216,""en"",""zh-CN"")"),"她开始跳到法官桌前。")</f>
        <v>她开始跳到法官桌前。</v>
      </c>
    </row>
    <row r="217">
      <c r="A217" s="4" t="s">
        <v>275</v>
      </c>
      <c r="B217" s="4" t="s">
        <v>278</v>
      </c>
      <c r="C217" s="5" t="str">
        <f>IFERROR(__xludf.DUMMYFUNCTION("GOOGLETRANSLATE(B217,""en"",""zh-CN"")"),"她跳过绳子，旋转和翻转。")</f>
        <v>她跳过绳子，旋转和翻转。</v>
      </c>
    </row>
    <row r="218">
      <c r="A218" s="4" t="s">
        <v>279</v>
      </c>
      <c r="B218" s="6" t="s">
        <v>280</v>
      </c>
      <c r="C218" s="5" t="str">
        <f>IFERROR(__xludf.DUMMYFUNCTION("GOOGLETRANSLATE(B218,""en"",""zh-CN"")"),"两名穿着锻炼衣服的人站在墙上，他们开始谈论锻炼。")</f>
        <v>两名穿着锻炼衣服的人站在墙上，他们开始谈论锻炼。</v>
      </c>
    </row>
    <row r="219">
      <c r="A219" s="4" t="s">
        <v>279</v>
      </c>
      <c r="B219" s="6" t="s">
        <v>281</v>
      </c>
      <c r="C219" s="5" t="str">
        <f>IFERROR(__xludf.DUMMYFUNCTION("GOOGLETRANSLATE(B219,""en"",""zh-CN"")"),"然后显示一个人，他弯下腰，并显示出适当的方法来抬起杠铃。")</f>
        <v>然后显示一个人，他弯下腰，并显示出适当的方法来抬起杠铃。</v>
      </c>
    </row>
    <row r="220">
      <c r="A220" s="4" t="s">
        <v>279</v>
      </c>
      <c r="B220" s="6" t="s">
        <v>282</v>
      </c>
      <c r="C220" s="5" t="str">
        <f>IFERROR(__xludf.DUMMYFUNCTION("GOOGLETRANSLATE(B220,""en"",""zh-CN"")"),"然后显示一个重播，男孩从膝盖上弯曲，然后翻转手腕，并在他跌入蹲下的位置时将其带到肩膀上。")</f>
        <v>然后显示一个重播，男孩从膝盖上弯曲，然后翻转手腕，并在他跌入蹲下的位置时将其带到肩膀上。</v>
      </c>
    </row>
    <row r="221">
      <c r="A221" s="4" t="s">
        <v>283</v>
      </c>
      <c r="B221" s="4" t="s">
        <v>284</v>
      </c>
      <c r="C221" s="5" t="str">
        <f>IFERROR(__xludf.DUMMYFUNCTION("GOOGLETRANSLATE(B221,""en"",""zh-CN"")"),"看到一个男人跪在健身房。")</f>
        <v>看到一个男人跪在健身房。</v>
      </c>
    </row>
    <row r="222">
      <c r="A222" s="4" t="s">
        <v>283</v>
      </c>
      <c r="B222" s="4" t="s">
        <v>285</v>
      </c>
      <c r="C222" s="5" t="str">
        <f>IFERROR(__xludf.DUMMYFUNCTION("GOOGLETRANSLATE(B222,""en"",""zh-CN"")"),"他向前几次。")</f>
        <v>他向前几次。</v>
      </c>
    </row>
    <row r="223">
      <c r="A223" s="4" t="s">
        <v>283</v>
      </c>
      <c r="B223" s="4" t="s">
        <v>286</v>
      </c>
      <c r="C223" s="5" t="str">
        <f>IFERROR(__xludf.DUMMYFUNCTION("GOOGLETRANSLATE(B223,""en"",""zh-CN"")"),"他正在执行缓慢的拉伸动作。")</f>
        <v>他正在执行缓慢的拉伸动作。</v>
      </c>
    </row>
    <row r="224">
      <c r="A224" s="4" t="s">
        <v>287</v>
      </c>
      <c r="B224" s="4" t="s">
        <v>288</v>
      </c>
      <c r="C224" s="5" t="str">
        <f>IFERROR(__xludf.DUMMYFUNCTION("GOOGLETRANSLATE(B224,""en"",""zh-CN"")"),"一个人正在使用叶子鼓风机将叶子吹成一堆。")</f>
        <v>一个人正在使用叶子鼓风机将叶子吹成一堆。</v>
      </c>
    </row>
    <row r="225">
      <c r="A225" s="4" t="s">
        <v>287</v>
      </c>
      <c r="B225" s="4" t="s">
        <v>289</v>
      </c>
      <c r="C225" s="5" t="str">
        <f>IFERROR(__xludf.DUMMYFUNCTION("GOOGLETRANSLATE(B225,""en"",""zh-CN"")"),"叶子吹到树篱上。")</f>
        <v>叶子吹到树篱上。</v>
      </c>
    </row>
    <row r="226">
      <c r="A226" s="4" t="s">
        <v>287</v>
      </c>
      <c r="B226" s="4" t="s">
        <v>290</v>
      </c>
      <c r="C226" s="5" t="str">
        <f>IFERROR(__xludf.DUMMYFUNCTION("GOOGLETRANSLATE(B226,""en"",""zh-CN"")"),"他们走在树前。")</f>
        <v>他们走在树前。</v>
      </c>
    </row>
    <row r="227">
      <c r="A227" s="4" t="s">
        <v>291</v>
      </c>
      <c r="B227" s="4" t="s">
        <v>292</v>
      </c>
      <c r="C227" s="5" t="str">
        <f>IFERROR(__xludf.DUMMYFUNCTION("GOOGLETRANSLATE(B227,""en"",""zh-CN"")"),"一群人坐在管子上滑雪的顶部。")</f>
        <v>一群人坐在管子上滑雪的顶部。</v>
      </c>
    </row>
    <row r="228">
      <c r="A228" s="4" t="s">
        <v>291</v>
      </c>
      <c r="B228" s="4" t="s">
        <v>293</v>
      </c>
      <c r="C228" s="5" t="str">
        <f>IFERROR(__xludf.DUMMYFUNCTION("GOOGLETRANSLATE(B228,""en"",""zh-CN"")"),"拿着相机的人开始了自己的旅程，他下雪了。")</f>
        <v>拿着相机的人开始了自己的旅程，他下雪了。</v>
      </c>
    </row>
    <row r="229">
      <c r="A229" s="4" t="s">
        <v>291</v>
      </c>
      <c r="B229" s="4" t="s">
        <v>294</v>
      </c>
      <c r="C229" s="5" t="str">
        <f>IFERROR(__xludf.DUMMYFUNCTION("GOOGLETRANSLATE(B229,""en"",""zh-CN"")"),"当他到达底部时，将几个黑色垫子放在他的前面，以帮助他放慢脚步。")</f>
        <v>当他到达底部时，将几个黑色垫子放在他的前面，以帮助他放慢脚步。</v>
      </c>
    </row>
    <row r="230">
      <c r="A230" s="4" t="s">
        <v>295</v>
      </c>
      <c r="B230" s="4" t="s">
        <v>296</v>
      </c>
      <c r="C230" s="5" t="str">
        <f>IFERROR(__xludf.DUMMYFUNCTION("GOOGLETRANSLATE(B230,""en"",""zh-CN"")"),"展示了一个城市的各种镜头，紧随其后的是一个玩小提琴的女孩和许多其他观看。")</f>
        <v>展示了一个城市的各种镜头，紧随其后的是一个玩小提琴的女孩和许多其他观看。</v>
      </c>
    </row>
    <row r="231">
      <c r="A231" s="4" t="s">
        <v>295</v>
      </c>
      <c r="B231" s="4" t="s">
        <v>297</v>
      </c>
      <c r="C231" s="5" t="str">
        <f>IFERROR(__xludf.DUMMYFUNCTION("GOOGLETRANSLATE(B231,""en"",""zh-CN"")"),"另一个女孩介入并通过唱歌加入她，其他几个也加入了唱歌。")</f>
        <v>另一个女孩介入并通过唱歌加入她，其他几个也加入了唱歌。</v>
      </c>
    </row>
    <row r="232">
      <c r="A232" s="4" t="s">
        <v>295</v>
      </c>
      <c r="B232" s="6" t="s">
        <v>298</v>
      </c>
      <c r="C232" s="5" t="str">
        <f>IFERROR(__xludf.DUMMYFUNCTION("GOOGLETRANSLATE(B232,""en"",""zh-CN"")"),"哑剧带着烟花走进来，而小组仍然唱歌，周围有许多人笑着微笑。")</f>
        <v>哑剧带着烟花走进来，而小组仍然唱歌，周围有许多人笑着微笑。</v>
      </c>
    </row>
    <row r="233">
      <c r="A233" s="4" t="s">
        <v>299</v>
      </c>
      <c r="B233" s="6" t="s">
        <v>300</v>
      </c>
      <c r="C233" s="5" t="str">
        <f>IFERROR(__xludf.DUMMYFUNCTION("GOOGLETRANSLATE(B233,""en"",""zh-CN"")"),"两个男人在健身房内运动，然后一个男人跳起绳子交叉双臂，也将绳索移到前面。")</f>
        <v>两个男人在健身房内运动，然后一个男人跳起绳子交叉双臂，也将绳索移到前面。</v>
      </c>
    </row>
    <row r="234">
      <c r="A234" s="4" t="s">
        <v>299</v>
      </c>
      <c r="B234" s="4" t="s">
        <v>301</v>
      </c>
      <c r="C234" s="5" t="str">
        <f>IFERROR(__xludf.DUMMYFUNCTION("GOOGLETRANSLATE(B234,""en"",""zh-CN"")"),"该男子用右手移动绳索，然后在跳过时双手移动。")</f>
        <v>该男子用右手移动绳索，然后在跳过时双手移动。</v>
      </c>
    </row>
    <row r="235">
      <c r="A235" s="4" t="s">
        <v>299</v>
      </c>
      <c r="B235" s="4" t="s">
        <v>302</v>
      </c>
      <c r="C235" s="5" t="str">
        <f>IFERROR(__xludf.DUMMYFUNCTION("GOOGLETRANSLATE(B235,""en"",""zh-CN"")"),"然后，该男子长时间地跳了正常后跳过手臂。")</f>
        <v>然后，该男子长时间地跳了正常后跳过手臂。</v>
      </c>
    </row>
    <row r="236">
      <c r="A236" s="4" t="s">
        <v>299</v>
      </c>
      <c r="B236" s="4" t="s">
        <v>303</v>
      </c>
      <c r="C236" s="5" t="str">
        <f>IFERROR(__xludf.DUMMYFUNCTION("GOOGLETRANSLATE(B236,""en"",""zh-CN"")"),"接下来，一个年轻人跳高绳子高高地抬起脚，然后他越过双臂跳跃。")</f>
        <v>接下来，一个年轻人跳高绳子高高地抬起脚，然后他越过双臂跳跃。</v>
      </c>
    </row>
    <row r="237">
      <c r="A237" s="4" t="s">
        <v>299</v>
      </c>
      <c r="B237" s="6" t="s">
        <v>304</v>
      </c>
      <c r="C237" s="5" t="str">
        <f>IFERROR(__xludf.DUMMYFUNCTION("GOOGLETRANSLATE(B237,""en"",""zh-CN"")"),"之后，年轻人用右手移动绳索，然后用双手移动它，还将绳子移到前面。")</f>
        <v>之后，年轻人用右手移动绳索，然后用双手移动它，还将绳子移到前面。</v>
      </c>
    </row>
    <row r="238">
      <c r="A238" s="4" t="s">
        <v>299</v>
      </c>
      <c r="B238" s="4" t="s">
        <v>305</v>
      </c>
      <c r="C238" s="5" t="str">
        <f>IFERROR(__xludf.DUMMYFUNCTION("GOOGLETRANSLATE(B238,""en"",""zh-CN"")"),"之后，年轻人跳过双臂交替跳，跳过并在前面移动绳索。")</f>
        <v>之后，年轻人跳过双臂交替跳，跳过并在前面移动绳索。</v>
      </c>
    </row>
    <row r="239">
      <c r="A239" s="4" t="s">
        <v>306</v>
      </c>
      <c r="B239" s="4" t="s">
        <v>307</v>
      </c>
      <c r="C239" s="5" t="str">
        <f>IFERROR(__xludf.DUMMYFUNCTION("GOOGLETRANSLATE(B239,""en"",""zh-CN"")"),"一个男人坐在马上。")</f>
        <v>一个男人坐在马上。</v>
      </c>
    </row>
    <row r="240">
      <c r="A240" s="4" t="s">
        <v>306</v>
      </c>
      <c r="B240" s="4" t="s">
        <v>308</v>
      </c>
      <c r="C240" s="5" t="str">
        <f>IFERROR(__xludf.DUMMYFUNCTION("GOOGLETRANSLATE(B240,""en"",""zh-CN"")"),"他开始被一个推动独轮车的男人追赶在舞台上。")</f>
        <v>他开始被一个推动独轮车的男人追赶在舞台上。</v>
      </c>
    </row>
    <row r="241">
      <c r="A241" s="4" t="s">
        <v>306</v>
      </c>
      <c r="B241" s="4" t="s">
        <v>309</v>
      </c>
      <c r="C241" s="5" t="str">
        <f>IFERROR(__xludf.DUMMYFUNCTION("GOOGLETRANSLATE(B241,""en"",""zh-CN"")"),"这匹马从笔中的公牛奔跑。")</f>
        <v>这匹马从笔中的公牛奔跑。</v>
      </c>
    </row>
    <row r="242">
      <c r="A242" s="4" t="s">
        <v>310</v>
      </c>
      <c r="B242" s="4" t="s">
        <v>311</v>
      </c>
      <c r="C242" s="5" t="str">
        <f>IFERROR(__xludf.DUMMYFUNCTION("GOOGLETRANSLATE(B242,""en"",""zh-CN"")"),"在我们看到一个男人跑着冲浪板奔跑之前，在海滩上显示了一座灯塔。")</f>
        <v>在我们看到一个男人跑着冲浪板奔跑之前，在海滩上显示了一座灯塔。</v>
      </c>
    </row>
    <row r="243">
      <c r="A243" s="4" t="s">
        <v>310</v>
      </c>
      <c r="B243" s="4" t="s">
        <v>312</v>
      </c>
      <c r="C243" s="5" t="str">
        <f>IFERROR(__xludf.DUMMYFUNCTION("GOOGLETRANSLATE(B243,""en"",""zh-CN"")"),"该男子骑着波浪，然后穿过它。")</f>
        <v>该男子骑着波浪，然后穿过它。</v>
      </c>
    </row>
    <row r="244">
      <c r="A244" s="4" t="s">
        <v>310</v>
      </c>
      <c r="B244" s="4" t="s">
        <v>313</v>
      </c>
      <c r="C244" s="5" t="str">
        <f>IFERROR(__xludf.DUMMYFUNCTION("GOOGLETRANSLATE(B244,""en"",""zh-CN"")"),"他完成了几个特技表演，然后带着木板在他的手臂下走到海滩。")</f>
        <v>他完成了几个特技表演，然后带着木板在他的手臂下走到海滩。</v>
      </c>
    </row>
    <row r="245">
      <c r="A245" s="4" t="s">
        <v>314</v>
      </c>
      <c r="B245" s="4" t="s">
        <v>315</v>
      </c>
      <c r="C245" s="5" t="str">
        <f>IFERROR(__xludf.DUMMYFUNCTION("GOOGLETRANSLATE(B245,""en"",""zh-CN"")"),"一个男人在手中翻转小提琴，在他的小提琴上播放一首受欢迎的歌曲。")</f>
        <v>一个男人在手中翻转小提琴，在他的小提琴上播放一首受欢迎的歌曲。</v>
      </c>
    </row>
    <row r="246">
      <c r="A246" s="4" t="s">
        <v>314</v>
      </c>
      <c r="B246" s="6" t="s">
        <v>316</v>
      </c>
      <c r="C246" s="5" t="str">
        <f>IFERROR(__xludf.DUMMYFUNCTION("GOOGLETRANSLATE(B246,""en"",""zh-CN"")"),"相机从各个角度展示了小提琴家，播放流行歌曲，而不是打破集中精力。")</f>
        <v>相机从各个角度展示了小提琴家，播放流行歌曲，而不是打破集中精力。</v>
      </c>
    </row>
    <row r="247">
      <c r="A247" s="4" t="s">
        <v>314</v>
      </c>
      <c r="B247" s="4" t="s">
        <v>317</v>
      </c>
      <c r="C247" s="5" t="str">
        <f>IFERROR(__xludf.DUMMYFUNCTION("GOOGLETRANSLATE(B247,""en"",""zh-CN"")"),"摄像头到整个播放器周围，并向他展示播放完整的歌曲。")</f>
        <v>摄像头到整个播放器周围，并向他展示播放完整的歌曲。</v>
      </c>
    </row>
    <row r="248">
      <c r="A248" s="4" t="s">
        <v>318</v>
      </c>
      <c r="B248" s="4" t="s">
        <v>319</v>
      </c>
      <c r="C248" s="5" t="str">
        <f>IFERROR(__xludf.DUMMYFUNCTION("GOOGLETRANSLATE(B248,""en"",""zh-CN"")"),"相机放大了一个骑着管子的人。")</f>
        <v>相机放大了一个骑着管子的人。</v>
      </c>
    </row>
    <row r="249">
      <c r="A249" s="4" t="s">
        <v>318</v>
      </c>
      <c r="B249" s="4" t="s">
        <v>320</v>
      </c>
      <c r="C249" s="5" t="str">
        <f>IFERROR(__xludf.DUMMYFUNCTION("GOOGLETRANSLATE(B249,""en"",""zh-CN"")"),"看到更多的人骑在男人后面的管子里。")</f>
        <v>看到更多的人骑在男人后面的管子里。</v>
      </c>
    </row>
    <row r="250">
      <c r="A250" s="4" t="s">
        <v>318</v>
      </c>
      <c r="B250" s="4" t="s">
        <v>321</v>
      </c>
      <c r="C250" s="5" t="str">
        <f>IFERROR(__xludf.DUMMYFUNCTION("GOOGLETRANSLATE(B250,""en"",""zh-CN"")"),"人们继续在河边的该地区骑行。")</f>
        <v>人们继续在河边的该地区骑行。</v>
      </c>
    </row>
    <row r="251">
      <c r="A251" s="4" t="s">
        <v>322</v>
      </c>
      <c r="B251" s="4" t="s">
        <v>323</v>
      </c>
      <c r="C251" s="5" t="str">
        <f>IFERROR(__xludf.DUMMYFUNCTION("GOOGLETRANSLATE(B251,""en"",""zh-CN"")"),"一个男人训练男孩踢脚箱，而两个男人看着坐在房间里。")</f>
        <v>一个男人训练男孩踢脚箱，而两个男人看着坐在房间里。</v>
      </c>
    </row>
    <row r="252">
      <c r="A252" s="4" t="s">
        <v>322</v>
      </c>
      <c r="B252" s="4" t="s">
        <v>324</v>
      </c>
      <c r="C252" s="5" t="str">
        <f>IFERROR(__xludf.DUMMYFUNCTION("GOOGLETRANSLATE(B252,""en"",""zh-CN"")"),"然后，那个男人站着踢那个踢回去的男孩。")</f>
        <v>然后，那个男人站着踢那个踢回去的男孩。</v>
      </c>
    </row>
    <row r="253">
      <c r="A253" s="4" t="s">
        <v>322</v>
      </c>
      <c r="B253" s="4" t="s">
        <v>325</v>
      </c>
      <c r="C253" s="5" t="str">
        <f>IFERROR(__xludf.DUMMYFUNCTION("GOOGLETRANSLATE(B253,""en"",""zh-CN"")"),"之后，该男子在展示动作的同时训练另一个孩子。")</f>
        <v>之后，该男子在展示动作的同时训练另一个孩子。</v>
      </c>
    </row>
    <row r="254">
      <c r="A254" s="4" t="s">
        <v>322</v>
      </c>
      <c r="B254" s="6" t="s">
        <v>326</v>
      </c>
      <c r="C254" s="5" t="str">
        <f>IFERROR(__xludf.DUMMYFUNCTION("GOOGLETRANSLATE(B254,""en"",""zh-CN"")"),"之后，该男子站着练习踢，然后那个人溜走了，拥抱继续练习踢箱的孩子。")</f>
        <v>之后，该男子站着练习踢，然后那个人溜走了，拥抱继续练习踢箱的孩子。</v>
      </c>
    </row>
    <row r="255">
      <c r="A255" s="4" t="s">
        <v>327</v>
      </c>
      <c r="B255" s="4" t="s">
        <v>328</v>
      </c>
      <c r="C255" s="5" t="str">
        <f>IFERROR(__xludf.DUMMYFUNCTION("GOOGLETRANSLATE(B255,""en"",""zh-CN"")"),"人们沿着海滩行走。")</f>
        <v>人们沿着海滩行走。</v>
      </c>
    </row>
    <row r="256">
      <c r="A256" s="4" t="s">
        <v>327</v>
      </c>
      <c r="B256" s="4" t="s">
        <v>329</v>
      </c>
      <c r="C256" s="5" t="str">
        <f>IFERROR(__xludf.DUMMYFUNCTION("GOOGLETRANSLATE(B256,""en"",""zh-CN"")"),"彩弹装备的几个人正在障碍赛道。")</f>
        <v>彩弹装备的几个人正在障碍赛道。</v>
      </c>
    </row>
    <row r="257">
      <c r="A257" s="4" t="s">
        <v>327</v>
      </c>
      <c r="B257" s="4" t="s">
        <v>330</v>
      </c>
      <c r="C257" s="5" t="str">
        <f>IFERROR(__xludf.DUMMYFUNCTION("GOOGLETRANSLATE(B257,""en"",""zh-CN"")"),"人们互相射击，躲在障碍物后面。")</f>
        <v>人们互相射击，躲在障碍物后面。</v>
      </c>
    </row>
    <row r="258">
      <c r="A258" s="4" t="s">
        <v>327</v>
      </c>
      <c r="B258" s="4" t="s">
        <v>331</v>
      </c>
      <c r="C258" s="5" t="str">
        <f>IFERROR(__xludf.DUMMYFUNCTION("GOOGLETRANSLATE(B258,""en"",""zh-CN"")"),"获胜者跳舞并在整个场地上奔跑。")</f>
        <v>获胜者跳舞并在整个场地上奔跑。</v>
      </c>
    </row>
    <row r="259">
      <c r="A259" s="4" t="s">
        <v>332</v>
      </c>
      <c r="B259" s="4" t="s">
        <v>333</v>
      </c>
      <c r="C259" s="5" t="str">
        <f>IFERROR(__xludf.DUMMYFUNCTION("GOOGLETRANSLATE(B259,""en"",""zh-CN"")"),"看到一个小孩坐在鼓盘后面演奏鼓。")</f>
        <v>看到一个小孩坐在鼓盘后面演奏鼓。</v>
      </c>
    </row>
    <row r="260">
      <c r="A260" s="4" t="s">
        <v>332</v>
      </c>
      <c r="B260" s="4" t="s">
        <v>334</v>
      </c>
      <c r="C260" s="5" t="str">
        <f>IFERROR(__xludf.DUMMYFUNCTION("GOOGLETRANSLATE(B260,""en"",""zh-CN"")"),"当相机放大他演奏时，男孩继续演奏乐器。")</f>
        <v>当相机放大他演奏时，男孩继续演奏乐器。</v>
      </c>
    </row>
    <row r="261">
      <c r="A261" s="4" t="s">
        <v>335</v>
      </c>
      <c r="B261" s="6" t="s">
        <v>336</v>
      </c>
      <c r="C261" s="5" t="str">
        <f>IFERROR(__xludf.DUMMYFUNCTION("GOOGLETRANSLATE(B261,""en"",""zh-CN"")"),"一个家庭有野餐，在雨天，在狭窄的水周围环绕的狭窄水域中的充气筏上进行管道。")</f>
        <v>一个家庭有野餐，在雨天，在狭窄的水周围环绕的狭窄水域中的充气筏上进行管道。</v>
      </c>
    </row>
    <row r="262">
      <c r="A262" s="4" t="s">
        <v>335</v>
      </c>
      <c r="B262" s="4" t="s">
        <v>337</v>
      </c>
      <c r="C262" s="5" t="str">
        <f>IFERROR(__xludf.DUMMYFUNCTION("GOOGLETRANSLATE(B262,""en"",""zh-CN"")"),"一个人坐在室外木制野餐桌上，吃饭，放弃镜头。")</f>
        <v>一个人坐在室外木制野餐桌上，吃饭，放弃镜头。</v>
      </c>
    </row>
    <row r="263">
      <c r="A263" s="4" t="s">
        <v>335</v>
      </c>
      <c r="B263" s="6" t="s">
        <v>338</v>
      </c>
      <c r="C263" s="5" t="str">
        <f>IFERROR(__xludf.DUMMYFUNCTION("GOOGLETRANSLATE(B263,""en"",""zh-CN"")"),"一家人开始下雨时在户外观看天气，一个小女孩跑到雨中，跳舞。")</f>
        <v>一家人开始下雨时在户外观看天气，一个小女孩跑到雨中，跳舞。</v>
      </c>
    </row>
    <row r="264">
      <c r="A264" s="4" t="s">
        <v>335</v>
      </c>
      <c r="B264" s="6" t="s">
        <v>339</v>
      </c>
      <c r="C264" s="5" t="str">
        <f>IFERROR(__xludf.DUMMYFUNCTION("GOOGLETRANSLATE(B264,""en"",""zh-CN"")"),"然后，一家人出现，在狭窄的水体上浮动，聊天，说话和微笑。")</f>
        <v>然后，一家人出现，在狭窄的水体上浮动，聊天，说话和微笑。</v>
      </c>
    </row>
    <row r="265">
      <c r="A265" s="4" t="s">
        <v>335</v>
      </c>
      <c r="B265" s="4" t="s">
        <v>340</v>
      </c>
      <c r="C265" s="5" t="str">
        <f>IFERROR(__xludf.DUMMYFUNCTION("GOOGLETRANSLATE(B265,""en"",""zh-CN"")"),"活动结束了，一家人离开了一个被木栅栏接壤的区域。")</f>
        <v>活动结束了，一家人离开了一个被木栅栏接壤的区域。</v>
      </c>
    </row>
    <row r="266">
      <c r="A266" s="4" t="s">
        <v>341</v>
      </c>
      <c r="B266" s="4" t="s">
        <v>342</v>
      </c>
      <c r="C266" s="5" t="str">
        <f>IFERROR(__xludf.DUMMYFUNCTION("GOOGLETRANSLATE(B266,""en"",""zh-CN"")"),"一个人同时弹吉他和口琴。")</f>
        <v>一个人同时弹吉他和口琴。</v>
      </c>
    </row>
    <row r="267">
      <c r="A267" s="4" t="s">
        <v>341</v>
      </c>
      <c r="B267" s="4" t="s">
        <v>343</v>
      </c>
      <c r="C267" s="5" t="str">
        <f>IFERROR(__xludf.DUMMYFUNCTION("GOOGLETRANSLATE(B267,""en"",""zh-CN"")"),"然后，男人在弹吉他时唱歌。")</f>
        <v>然后，男人在弹吉他时唱歌。</v>
      </c>
    </row>
    <row r="268">
      <c r="A268" s="4" t="s">
        <v>341</v>
      </c>
      <c r="B268" s="4" t="s">
        <v>344</v>
      </c>
      <c r="C268" s="5" t="str">
        <f>IFERROR(__xludf.DUMMYFUNCTION("GOOGLETRANSLATE(B268,""en"",""zh-CN"")"),"之后，该男子继续弹吉他和口琴，然后唱歌。")</f>
        <v>之后，该男子继续弹吉他和口琴，然后唱歌。</v>
      </c>
    </row>
    <row r="269">
      <c r="A269" s="4" t="s">
        <v>341</v>
      </c>
      <c r="B269" s="4" t="s">
        <v>345</v>
      </c>
      <c r="C269" s="5" t="str">
        <f>IFERROR(__xludf.DUMMYFUNCTION("GOOGLETRANSLATE(B269,""en"",""zh-CN"")"),"接下来，该男子一起弹口琴和吉他。")</f>
        <v>接下来，该男子一起弹口琴和吉他。</v>
      </c>
    </row>
    <row r="270">
      <c r="A270" s="4" t="s">
        <v>346</v>
      </c>
      <c r="B270" s="4" t="s">
        <v>347</v>
      </c>
      <c r="C270" s="5" t="str">
        <f>IFERROR(__xludf.DUMMYFUNCTION("GOOGLETRANSLATE(B270,""en"",""zh-CN"")"),"该视频是关于Wallwik和墙纸去除系统的。")</f>
        <v>该视频是关于Wallwik和墙纸去除系统的。</v>
      </c>
    </row>
    <row r="271">
      <c r="A271" s="4" t="s">
        <v>346</v>
      </c>
      <c r="B271" s="4" t="s">
        <v>348</v>
      </c>
      <c r="C271" s="5" t="str">
        <f>IFERROR(__xludf.DUMMYFUNCTION("GOOGLETRANSLATE(B271,""en"",""zh-CN"")"),"它显示一个女人以方便而轻松的方式将墙纸从墙上取出。")</f>
        <v>它显示一个女人以方便而轻松的方式将墙纸从墙上取出。</v>
      </c>
    </row>
    <row r="272">
      <c r="A272" s="4" t="s">
        <v>346</v>
      </c>
      <c r="B272" s="4" t="s">
        <v>349</v>
      </c>
      <c r="C272" s="5" t="str">
        <f>IFERROR(__xludf.DUMMYFUNCTION("GOOGLETRANSLATE(B272,""en"",""zh-CN"")"),"她正在使用一种搜寻工具从墙壁上刮掉墙纸。")</f>
        <v>她正在使用一种搜寻工具从墙壁上刮掉墙纸。</v>
      </c>
    </row>
    <row r="273">
      <c r="A273" s="4" t="s">
        <v>346</v>
      </c>
      <c r="B273" s="4" t="s">
        <v>350</v>
      </c>
      <c r="C273" s="5" t="str">
        <f>IFERROR(__xludf.DUMMYFUNCTION("GOOGLETRANSLATE(B273,""en"",""zh-CN"")"),"然后，她使用肥皂溶液并将纸张浸入溶液中。")</f>
        <v>然后，她使用肥皂溶液并将纸张浸入溶液中。</v>
      </c>
    </row>
    <row r="274">
      <c r="A274" s="4" t="s">
        <v>346</v>
      </c>
      <c r="B274" s="4" t="s">
        <v>351</v>
      </c>
      <c r="C274" s="5" t="str">
        <f>IFERROR(__xludf.DUMMYFUNCTION("GOOGLETRANSLATE(B274,""en"",""zh-CN"")"),"有一个男人挂在墙上。")</f>
        <v>有一个男人挂在墙上。</v>
      </c>
    </row>
    <row r="275">
      <c r="A275" s="4" t="s">
        <v>346</v>
      </c>
      <c r="B275" s="4" t="s">
        <v>352</v>
      </c>
      <c r="C275" s="5" t="str">
        <f>IFERROR(__xludf.DUMMYFUNCTION("GOOGLETRANSLATE(B275,""en"",""zh-CN"")"),"女人在潮湿的床单上使用喷雾器并将其喷洒。")</f>
        <v>女人在潮湿的床单上使用喷雾器并将其喷洒。</v>
      </c>
    </row>
    <row r="276">
      <c r="A276" s="4" t="s">
        <v>346</v>
      </c>
      <c r="B276" s="4" t="s">
        <v>353</v>
      </c>
      <c r="C276" s="5" t="str">
        <f>IFERROR(__xludf.DUMMYFUNCTION("GOOGLETRANSLATE(B276,""en"",""zh-CN"")"),"然后，一个男人和女人开始从墙壁上剥离旧墙纸。")</f>
        <v>然后，一个男人和女人开始从墙壁上剥离旧墙纸。</v>
      </c>
    </row>
    <row r="277">
      <c r="A277" s="4" t="s">
        <v>346</v>
      </c>
      <c r="B277" s="4" t="s">
        <v>354</v>
      </c>
      <c r="C277" s="5" t="str">
        <f>IFERROR(__xludf.DUMMYFUNCTION("GOOGLETRANSLATE(B277,""en"",""zh-CN"")"),"该视频显示了有关如何使用Wallwik产品的说明。")</f>
        <v>该视频显示了有关如何使用Wallwik产品的说明。</v>
      </c>
    </row>
    <row r="278">
      <c r="A278" s="4" t="s">
        <v>355</v>
      </c>
      <c r="B278" s="4" t="s">
        <v>356</v>
      </c>
      <c r="C278" s="5" t="str">
        <f>IFERROR(__xludf.DUMMYFUNCTION("GOOGLETRANSLATE(B278,""en"",""zh-CN"")"),"该视频以标题序列开头。")</f>
        <v>该视频以标题序列开头。</v>
      </c>
    </row>
    <row r="279">
      <c r="A279" s="4" t="s">
        <v>355</v>
      </c>
      <c r="B279" s="6" t="s">
        <v>357</v>
      </c>
      <c r="C279" s="5" t="str">
        <f>IFERROR(__xludf.DUMMYFUNCTION("GOOGLETRANSLATE(B279,""en"",""zh-CN"")"),"当音乐在背景中播放时，一个年轻人在健身房中表演，带有跳绳的技巧。")</f>
        <v>当音乐在背景中播放时，一个年轻人在健身房中表演，带有跳绳的技巧。</v>
      </c>
    </row>
    <row r="280">
      <c r="A280" s="4" t="s">
        <v>355</v>
      </c>
      <c r="B280" s="4" t="s">
        <v>358</v>
      </c>
      <c r="C280" s="5" t="str">
        <f>IFERROR(__xludf.DUMMYFUNCTION("GOOGLETRANSLATE(B280,""en"",""zh-CN"")"),"然后，他躺下，开始在地板上做技巧。")</f>
        <v>然后，他躺下，开始在地板上做技巧。</v>
      </c>
    </row>
    <row r="281">
      <c r="A281" s="4" t="s">
        <v>355</v>
      </c>
      <c r="B281" s="4" t="s">
        <v>359</v>
      </c>
      <c r="C281" s="5" t="str">
        <f>IFERROR(__xludf.DUMMYFUNCTION("GOOGLETRANSLATE(B281,""en"",""zh-CN"")"),"这个年轻人再次站起来，站着时做更多的技巧。")</f>
        <v>这个年轻人再次站起来，站着时做更多的技巧。</v>
      </c>
    </row>
    <row r="282">
      <c r="A282" s="4" t="s">
        <v>355</v>
      </c>
      <c r="B282" s="4" t="s">
        <v>360</v>
      </c>
      <c r="C282" s="5" t="str">
        <f>IFERROR(__xludf.DUMMYFUNCTION("GOOGLETRANSLATE(B282,""en"",""zh-CN"")"),"有一次，他的朋友协助跳绳窍门。")</f>
        <v>有一次，他的朋友协助跳绳窍门。</v>
      </c>
    </row>
    <row r="283">
      <c r="A283" s="4" t="s">
        <v>355</v>
      </c>
      <c r="B283" s="6" t="s">
        <v>361</v>
      </c>
      <c r="C283" s="5" t="str">
        <f>IFERROR(__xludf.DUMMYFUNCTION("GOOGLETRANSLATE(B283,""en"",""zh-CN"")"),"视频以片段结尾，显示了年轻人的名字，以及协助他的人的名字。")</f>
        <v>视频以片段结尾，显示了年轻人的名字，以及协助他的人的名字。</v>
      </c>
    </row>
    <row r="284">
      <c r="A284" s="4" t="s">
        <v>362</v>
      </c>
      <c r="B284" s="4" t="s">
        <v>363</v>
      </c>
      <c r="C284" s="5" t="str">
        <f>IFERROR(__xludf.DUMMYFUNCTION("GOOGLETRANSLATE(B284,""en"",""zh-CN"")"),"看到一位女士穿上蜡鞋。")</f>
        <v>看到一位女士穿上蜡鞋。</v>
      </c>
    </row>
    <row r="285">
      <c r="A285" s="4" t="s">
        <v>362</v>
      </c>
      <c r="B285" s="4" t="s">
        <v>364</v>
      </c>
      <c r="C285" s="5" t="str">
        <f>IFERROR(__xludf.DUMMYFUNCTION("GOOGLETRANSLATE(B285,""en"",""zh-CN"")"),"我们看到布挂在墙上。")</f>
        <v>我们看到布挂在墙上。</v>
      </c>
    </row>
    <row r="286">
      <c r="A286" s="4" t="s">
        <v>362</v>
      </c>
      <c r="B286" s="4" t="s">
        <v>365</v>
      </c>
      <c r="C286" s="5" t="str">
        <f>IFERROR(__xludf.DUMMYFUNCTION("GOOGLETRANSLATE(B286,""en"",""zh-CN"")"),"我们在平台上看到了足迹。")</f>
        <v>我们在平台上看到了足迹。</v>
      </c>
    </row>
    <row r="287">
      <c r="A287" s="4" t="s">
        <v>362</v>
      </c>
      <c r="B287" s="4" t="s">
        <v>366</v>
      </c>
      <c r="C287" s="5" t="str">
        <f>IFERROR(__xludf.DUMMYFUNCTION("GOOGLETRANSLATE(B287,""en"",""zh-CN"")"),"那个女人用布擦去了男人鞋。")</f>
        <v>那个女人用布擦去了男人鞋。</v>
      </c>
    </row>
    <row r="288">
      <c r="A288" s="4" t="s">
        <v>362</v>
      </c>
      <c r="B288" s="4" t="s">
        <v>367</v>
      </c>
      <c r="C288" s="5" t="str">
        <f>IFERROR(__xludf.DUMMYFUNCTION("GOOGLETRANSLATE(B288,""en"",""zh-CN"")"),"我们看到墙上的布，然后看到鞋子附近的布线闪闪发光。")</f>
        <v>我们看到墙上的布，然后看到鞋子附近的布线闪闪发光。</v>
      </c>
    </row>
    <row r="289">
      <c r="A289" s="4" t="s">
        <v>362</v>
      </c>
      <c r="B289" s="4" t="s">
        <v>368</v>
      </c>
      <c r="C289" s="5" t="str">
        <f>IFERROR(__xludf.DUMMYFUNCTION("GOOGLETRANSLATE(B289,""en"",""zh-CN"")"),"一个人站在平台上。")</f>
        <v>一个人站在平台上。</v>
      </c>
    </row>
    <row r="290">
      <c r="A290" s="4" t="s">
        <v>362</v>
      </c>
      <c r="B290" s="4" t="s">
        <v>369</v>
      </c>
      <c r="C290" s="5" t="str">
        <f>IFERROR(__xludf.DUMMYFUNCTION("GOOGLETRANSLATE(B290,""en"",""zh-CN"")"),"我们在墙上看到全息人。")</f>
        <v>我们在墙上看到全息人。</v>
      </c>
    </row>
    <row r="291">
      <c r="A291" s="4" t="s">
        <v>370</v>
      </c>
      <c r="B291" s="4" t="s">
        <v>371</v>
      </c>
      <c r="C291" s="5" t="str">
        <f>IFERROR(__xludf.DUMMYFUNCTION("GOOGLETRANSLATE(B291,""en"",""zh-CN"")"),"显示了一个黑色的两门奥迪A3，然后摄像机放大轮胎。")</f>
        <v>显示了一个黑色的两门奥迪A3，然后摄像机放大轮胎。</v>
      </c>
    </row>
    <row r="292">
      <c r="A292" s="4" t="s">
        <v>370</v>
      </c>
      <c r="B292" s="4" t="s">
        <v>372</v>
      </c>
      <c r="C292" s="5" t="str">
        <f>IFERROR(__xludf.DUMMYFUNCTION("GOOGLETRANSLATE(B292,""en"",""zh-CN"")"),"然后，手指触摸紧急灯，汽车上的灯开始闪烁。")</f>
        <v>然后，手指触摸紧急灯，汽车上的灯开始闪烁。</v>
      </c>
    </row>
    <row r="293">
      <c r="A293" s="4" t="s">
        <v>370</v>
      </c>
      <c r="B293" s="4" t="s">
        <v>373</v>
      </c>
      <c r="C293" s="5" t="str">
        <f>IFERROR(__xludf.DUMMYFUNCTION("GOOGLETRANSLATE(B293,""en"",""zh-CN"")"),"接下来，打开卡车，该人拆除了备用轮胎和千斤顶。")</f>
        <v>接下来，打开卡车，该人拆除了备用轮胎和千斤顶。</v>
      </c>
    </row>
    <row r="294">
      <c r="A294" s="4" t="s">
        <v>370</v>
      </c>
      <c r="B294" s="4" t="s">
        <v>374</v>
      </c>
      <c r="C294" s="5" t="str">
        <f>IFERROR(__xludf.DUMMYFUNCTION("GOOGLETRANSLATE(B294,""en"",""zh-CN"")"),"然后，他抬起汽车，继续松开汽车车轮上的螺栓。")</f>
        <v>然后，他抬起汽车，继续松开汽车车轮上的螺栓。</v>
      </c>
    </row>
    <row r="295">
      <c r="A295" s="4" t="s">
        <v>370</v>
      </c>
      <c r="B295" s="6" t="s">
        <v>375</v>
      </c>
      <c r="C295" s="5" t="str">
        <f>IFERROR(__xludf.DUMMYFUNCTION("GOOGLETRANSLATE(B295,""en"",""zh-CN"")"),"一旦松开，将车轮卸下并置于备用方面，并反向执行相同的操作。")</f>
        <v>一旦松开，将车轮卸下并置于备用方面，并反向执行相同的操作。</v>
      </c>
    </row>
    <row r="296">
      <c r="A296" s="4" t="s">
        <v>376</v>
      </c>
      <c r="B296" s="4" t="s">
        <v>377</v>
      </c>
      <c r="C296" s="5" t="str">
        <f>IFERROR(__xludf.DUMMYFUNCTION("GOOGLETRANSLATE(B296,""en"",""zh-CN"")"),"女人将物品混合在一起。")</f>
        <v>女人将物品混合在一起。</v>
      </c>
    </row>
    <row r="297">
      <c r="A297" s="4" t="s">
        <v>376</v>
      </c>
      <c r="B297" s="4" t="s">
        <v>378</v>
      </c>
      <c r="C297" s="5" t="str">
        <f>IFERROR(__xludf.DUMMYFUNCTION("GOOGLETRANSLATE(B297,""en"",""zh-CN"")"),"她将其擦到木桌上。")</f>
        <v>她将其擦到木桌上。</v>
      </c>
    </row>
    <row r="298">
      <c r="A298" s="4" t="s">
        <v>376</v>
      </c>
      <c r="B298" s="4" t="s">
        <v>379</v>
      </c>
      <c r="C298" s="5" t="str">
        <f>IFERROR(__xludf.DUMMYFUNCTION("GOOGLETRANSLATE(B298,""en"",""zh-CN"")"),"她笑着把手放在空中。")</f>
        <v>她笑着把手放在空中。</v>
      </c>
    </row>
    <row r="299">
      <c r="A299" s="4" t="s">
        <v>380</v>
      </c>
      <c r="B299" s="4" t="s">
        <v>381</v>
      </c>
      <c r="C299" s="5" t="str">
        <f>IFERROR(__xludf.DUMMYFUNCTION("GOOGLETRANSLATE(B299,""en"",""zh-CN"")"),"两个女孩站在头发沙龙凳子里的一个女孩之间，开始刷她并分开头发。")</f>
        <v>两个女孩站在头发沙龙凳子里的一个女孩之间，开始刷她并分开头发。</v>
      </c>
    </row>
    <row r="300">
      <c r="A300" s="4" t="s">
        <v>380</v>
      </c>
      <c r="B300" s="4" t="s">
        <v>382</v>
      </c>
      <c r="C300" s="5" t="str">
        <f>IFERROR(__xludf.DUMMYFUNCTION("GOOGLETRANSLATE(B300,""en"",""zh-CN"")"),"一位女人辫子不断地辫子，最终制造出法国辫子。")</f>
        <v>一位女人辫子不断地辫子，最终制造出法国辫子。</v>
      </c>
    </row>
    <row r="301">
      <c r="A301" s="4" t="s">
        <v>380</v>
      </c>
      <c r="B301" s="4" t="s">
        <v>383</v>
      </c>
      <c r="C301" s="5" t="str">
        <f>IFERROR(__xludf.DUMMYFUNCTION("GOOGLETRANSLATE(B301,""en"",""zh-CN"")"),"两位女人都在呈现刚制作的辫子时与镜头说话。")</f>
        <v>两位女人都在呈现刚制作的辫子时与镜头说话。</v>
      </c>
    </row>
    <row r="302">
      <c r="A302" s="4" t="s">
        <v>384</v>
      </c>
      <c r="B302" s="4" t="s">
        <v>385</v>
      </c>
      <c r="C302" s="5" t="str">
        <f>IFERROR(__xludf.DUMMYFUNCTION("GOOGLETRANSLATE(B302,""en"",""zh-CN"")"),"我们看到了一个丰富多彩的开幕场景。")</f>
        <v>我们看到了一个丰富多彩的开幕场景。</v>
      </c>
    </row>
    <row r="303">
      <c r="A303" s="4" t="s">
        <v>384</v>
      </c>
      <c r="B303" s="4" t="s">
        <v>386</v>
      </c>
      <c r="C303" s="5" t="str">
        <f>IFERROR(__xludf.DUMMYFUNCTION("GOOGLETRANSLATE(B303,""en"",""zh-CN"")"),"穿着色彩缤纷的衣服的孩子们在舞台上行走并到位。")</f>
        <v>穿着色彩缤纷的衣服的孩子们在舞台上行走并到位。</v>
      </c>
    </row>
    <row r="304">
      <c r="A304" s="4" t="s">
        <v>384</v>
      </c>
      <c r="B304" s="4" t="s">
        <v>387</v>
      </c>
      <c r="C304" s="5" t="str">
        <f>IFERROR(__xludf.DUMMYFUNCTION("GOOGLETRANSLATE(B304,""en"",""zh-CN"")"),"孩子们在舞台上表演Zumba。")</f>
        <v>孩子们在舞台上表演Zumba。</v>
      </c>
    </row>
    <row r="305">
      <c r="A305" s="4" t="s">
        <v>384</v>
      </c>
      <c r="B305" s="4" t="s">
        <v>388</v>
      </c>
      <c r="C305" s="5" t="str">
        <f>IFERROR(__xludf.DUMMYFUNCTION("GOOGLETRANSLATE(B305,""en"",""zh-CN"")"),"左第二个女孩的方向错误，几乎遇到了另一个女孩。")</f>
        <v>左第二个女孩的方向错误，几乎遇到了另一个女孩。</v>
      </c>
    </row>
    <row r="306">
      <c r="A306" s="4" t="s">
        <v>384</v>
      </c>
      <c r="B306" s="4" t="s">
        <v>389</v>
      </c>
      <c r="C306" s="5" t="str">
        <f>IFERROR(__xludf.DUMMYFUNCTION("GOOGLETRANSLATE(B306,""en"",""zh-CN"")"),"我们看到一个结尾屏幕。")</f>
        <v>我们看到一个结尾屏幕。</v>
      </c>
    </row>
    <row r="307">
      <c r="A307" s="4" t="s">
        <v>390</v>
      </c>
      <c r="B307" s="4" t="s">
        <v>391</v>
      </c>
      <c r="C307" s="5" t="str">
        <f>IFERROR(__xludf.DUMMYFUNCTION("GOOGLETRANSLATE(B307,""en"",""zh-CN"")"),"一个男人穿着条纹衬衫在街头节上穿着棕色上衣的女孩跳舞。")</f>
        <v>一个男人穿着条纹衬衫在街头节上穿着棕色上衣的女孩跳舞。</v>
      </c>
    </row>
    <row r="308">
      <c r="A308" s="4" t="s">
        <v>390</v>
      </c>
      <c r="B308" s="4" t="s">
        <v>392</v>
      </c>
      <c r="C308" s="5" t="str">
        <f>IFERROR(__xludf.DUMMYFUNCTION("GOOGLETRANSLATE(B308,""en"",""zh-CN"")"),"当表演者在舞台上演出时，其他夫妇参加了街头音乐节和跳舞。")</f>
        <v>当表演者在舞台上演出时，其他夫妇参加了街头音乐节和跳舞。</v>
      </c>
    </row>
    <row r="309">
      <c r="A309" s="4" t="s">
        <v>390</v>
      </c>
      <c r="B309" s="4" t="s">
        <v>393</v>
      </c>
      <c r="C309" s="5" t="str">
        <f>IFERROR(__xludf.DUMMYFUNCTION("GOOGLETRANSLATE(B309,""en"",""zh-CN"")"),"围观者经过，当时小组继续跳舞。")</f>
        <v>围观者经过，当时小组继续跳舞。</v>
      </c>
    </row>
    <row r="310">
      <c r="A310" s="4" t="s">
        <v>394</v>
      </c>
      <c r="B310" s="4" t="s">
        <v>395</v>
      </c>
      <c r="C310" s="5" t="str">
        <f>IFERROR(__xludf.DUMMYFUNCTION("GOOGLETRANSLATE(B310,""en"",""zh-CN"")"),"这个男人正在弹一个鼓。")</f>
        <v>这个男人正在弹一个鼓。</v>
      </c>
    </row>
    <row r="311">
      <c r="A311" s="4" t="s">
        <v>394</v>
      </c>
      <c r="B311" s="4" t="s">
        <v>396</v>
      </c>
      <c r="C311" s="5" t="str">
        <f>IFERROR(__xludf.DUMMYFUNCTION("GOOGLETRANSLATE(B311,""en"",""zh-CN"")"),"那个男人在移动腿的同时，另一个鼓声。")</f>
        <v>那个男人在移动腿的同时，另一个鼓声。</v>
      </c>
    </row>
    <row r="312">
      <c r="A312" s="4" t="s">
        <v>394</v>
      </c>
      <c r="B312" s="4" t="s">
        <v>397</v>
      </c>
      <c r="C312" s="5" t="str">
        <f>IFERROR(__xludf.DUMMYFUNCTION("GOOGLETRANSLATE(B312,""en"",""zh-CN"")"),"该男子同时演奏两个鼓。")</f>
        <v>该男子同时演奏两个鼓。</v>
      </c>
    </row>
    <row r="313">
      <c r="A313" s="4" t="s">
        <v>398</v>
      </c>
      <c r="B313" s="4" t="s">
        <v>399</v>
      </c>
      <c r="C313" s="5" t="str">
        <f>IFERROR(__xludf.DUMMYFUNCTION("GOOGLETRANSLATE(B313,""en"",""zh-CN"")"),"那个女人坐在壁炉旁，拿着小提琴。")</f>
        <v>那个女人坐在壁炉旁，拿着小提琴。</v>
      </c>
    </row>
    <row r="314">
      <c r="A314" s="4" t="s">
        <v>398</v>
      </c>
      <c r="B314" s="6" t="s">
        <v>400</v>
      </c>
      <c r="C314" s="5" t="str">
        <f>IFERROR(__xludf.DUMMYFUNCTION("GOOGLETRANSLATE(B314,""en"",""zh-CN"")"),"该名女子将小提琴放在脖子和肩膀之间，开始用棍子弹奏小提琴。")</f>
        <v>该名女子将小提琴放在脖子和肩膀之间，开始用棍子弹奏小提琴。</v>
      </c>
    </row>
    <row r="315">
      <c r="A315" s="4" t="s">
        <v>398</v>
      </c>
      <c r="B315" s="4" t="s">
        <v>401</v>
      </c>
      <c r="C315" s="5" t="str">
        <f>IFERROR(__xludf.DUMMYFUNCTION("GOOGLETRANSLATE(B315,""en"",""zh-CN"")"),"这位女士把小提琴放在她的腿上说话。")</f>
        <v>这位女士把小提琴放在她的腿上说话。</v>
      </c>
    </row>
    <row r="316">
      <c r="A316" s="4" t="s">
        <v>402</v>
      </c>
      <c r="B316" s="4" t="s">
        <v>403</v>
      </c>
      <c r="C316" s="5" t="str">
        <f>IFERROR(__xludf.DUMMYFUNCTION("GOOGLETRANSLATE(B316,""en"",""zh-CN"")"),"一个男人剪头发时坐在椅子上。")</f>
        <v>一个男人剪头发时坐在椅子上。</v>
      </c>
    </row>
    <row r="317">
      <c r="A317" s="4" t="s">
        <v>402</v>
      </c>
      <c r="B317" s="4" t="s">
        <v>404</v>
      </c>
      <c r="C317" s="5" t="str">
        <f>IFERROR(__xludf.DUMMYFUNCTION("GOOGLETRANSLATE(B317,""en"",""zh-CN"")"),"一件黑色衬衫的男人周围移动一盏灯。")</f>
        <v>一件黑色衬衫的男人周围移动一盏灯。</v>
      </c>
    </row>
    <row r="318">
      <c r="A318" s="4" t="s">
        <v>402</v>
      </c>
      <c r="B318" s="4" t="s">
        <v>405</v>
      </c>
      <c r="C318" s="5" t="str">
        <f>IFERROR(__xludf.DUMMYFUNCTION("GOOGLETRANSLATE(B318,""en"",""zh-CN"")"),"人们在发型师后面争夺。")</f>
        <v>人们在发型师后面争夺。</v>
      </c>
    </row>
    <row r="319">
      <c r="A319" s="4" t="s">
        <v>402</v>
      </c>
      <c r="B319" s="4" t="s">
        <v>406</v>
      </c>
      <c r="C319" s="5" t="str">
        <f>IFERROR(__xludf.DUMMYFUNCTION("GOOGLETRANSLATE(B319,""en"",""zh-CN"")"),"发型师不断梳理并剪掉男人的头发。")</f>
        <v>发型师不断梳理并剪掉男人的头发。</v>
      </c>
    </row>
    <row r="320">
      <c r="A320" s="4" t="s">
        <v>402</v>
      </c>
      <c r="B320" s="4" t="s">
        <v>407</v>
      </c>
      <c r="C320" s="5" t="str">
        <f>IFERROR(__xludf.DUMMYFUNCTION("GOOGLETRANSLATE(B320,""en"",""zh-CN"")"),"发型师在男人的头发上摩擦了一些薄荷。")</f>
        <v>发型师在男人的头发上摩擦了一些薄荷。</v>
      </c>
    </row>
    <row r="321">
      <c r="A321" s="4" t="s">
        <v>402</v>
      </c>
      <c r="B321" s="4" t="s">
        <v>408</v>
      </c>
      <c r="C321" s="5" t="str">
        <f>IFERROR(__xludf.DUMMYFUNCTION("GOOGLETRANSLATE(B321,""en"",""zh-CN"")"),"看到这个男人摆姿势。")</f>
        <v>看到这个男人摆姿势。</v>
      </c>
    </row>
    <row r="322">
      <c r="A322" s="4" t="s">
        <v>409</v>
      </c>
      <c r="B322" s="4" t="s">
        <v>410</v>
      </c>
      <c r="C322" s="5" t="str">
        <f>IFERROR(__xludf.DUMMYFUNCTION("GOOGLETRANSLATE(B322,""en"",""zh-CN"")"),"一个十几岁的女欢呼领导小队在垫子上四处走动，并进行编队。")</f>
        <v>一个十几岁的女欢呼领导小队在垫子上四处走动，并进行编队。</v>
      </c>
    </row>
    <row r="323">
      <c r="A323" s="4" t="s">
        <v>409</v>
      </c>
      <c r="B323" s="4" t="s">
        <v>411</v>
      </c>
      <c r="C323" s="5" t="str">
        <f>IFERROR(__xludf.DUMMYFUNCTION("GOOGLETRANSLATE(B323,""en"",""zh-CN"")"),"例行程序始于Manikin挑战，他们都开始翻转。")</f>
        <v>例行程序始于Manikin挑战，他们都开始翻转。</v>
      </c>
    </row>
    <row r="324">
      <c r="A324" s="4" t="s">
        <v>409</v>
      </c>
      <c r="B324" s="4" t="s">
        <v>412</v>
      </c>
      <c r="C324" s="5" t="str">
        <f>IFERROR(__xludf.DUMMYFUNCTION("GOOGLETRANSLATE(B324,""en"",""zh-CN"")"),"之后，他们进行了几次跨越的跳跃，开始扔在看台上。")</f>
        <v>之后，他们进行了几次跨越的跳跃，开始扔在看台上。</v>
      </c>
    </row>
    <row r="325">
      <c r="A325" s="4" t="s">
        <v>409</v>
      </c>
      <c r="B325" s="6" t="s">
        <v>413</v>
      </c>
      <c r="C325" s="5" t="str">
        <f>IFERROR(__xludf.DUMMYFUNCTION("GOOGLETRANSLATE(B325,""en"",""zh-CN"")"),"特技表演完成后，一半的团队开始做车轮，他们都在中间相遇，在空中进行特技表演。")</f>
        <v>特技表演完成后，一半的团队开始做车轮，他们都在中间相遇，在空中进行特技表演。</v>
      </c>
    </row>
    <row r="326">
      <c r="A326" s="4" t="s">
        <v>409</v>
      </c>
      <c r="B326" s="6" t="s">
        <v>414</v>
      </c>
      <c r="C326" s="5" t="str">
        <f>IFERROR(__xludf.DUMMYFUNCTION("GOOGLETRANSLATE(B326,""en"",""zh-CN"")"),"做了更多的特技，女孩们通过分裂而结束，然后她们站起来并在垫子中间互相拥抱。")</f>
        <v>做了更多的特技，女孩们通过分裂而结束，然后她们站起来并在垫子中间互相拥抱。</v>
      </c>
    </row>
    <row r="327">
      <c r="A327" s="4" t="s">
        <v>415</v>
      </c>
      <c r="B327" s="4" t="s">
        <v>416</v>
      </c>
      <c r="C327" s="5" t="str">
        <f>IFERROR(__xludf.DUMMYFUNCTION("GOOGLETRANSLATE(B327,""en"",""zh-CN"")"),"一个戴着引擎盖和眼镜的女人在说话。")</f>
        <v>一个戴着引擎盖和眼镜的女人在说话。</v>
      </c>
    </row>
    <row r="328">
      <c r="A328" s="4" t="s">
        <v>415</v>
      </c>
      <c r="B328" s="4" t="s">
        <v>417</v>
      </c>
      <c r="C328" s="5" t="str">
        <f>IFERROR(__xludf.DUMMYFUNCTION("GOOGLETRANSLATE(B328,""en"",""zh-CN"")"),"她拿着警棍并旋转了手。")</f>
        <v>她拿着警棍并旋转了手。</v>
      </c>
    </row>
    <row r="329">
      <c r="A329" s="4" t="s">
        <v>418</v>
      </c>
      <c r="B329" s="4" t="s">
        <v>419</v>
      </c>
      <c r="C329" s="5" t="str">
        <f>IFERROR(__xludf.DUMMYFUNCTION("GOOGLETRANSLATE(B329,""en"",""zh-CN"")"),"看到一个女人站在水槽后面，在与镜头说话时洗碗。")</f>
        <v>看到一个女人站在水槽后面，在与镜头说话时洗碗。</v>
      </c>
    </row>
    <row r="330">
      <c r="A330" s="4" t="s">
        <v>418</v>
      </c>
      <c r="B330" s="4" t="s">
        <v>420</v>
      </c>
      <c r="C330" s="5" t="str">
        <f>IFERROR(__xludf.DUMMYFUNCTION("GOOGLETRANSLATE(B330,""en"",""zh-CN"")"),"该名女子在看着相机并微笑的同时继续洗银。")</f>
        <v>该名女子在看着相机并微笑的同时继续洗银。</v>
      </c>
    </row>
    <row r="331">
      <c r="A331" s="4" t="s">
        <v>421</v>
      </c>
      <c r="B331" s="4" t="s">
        <v>422</v>
      </c>
      <c r="C331" s="5" t="str">
        <f>IFERROR(__xludf.DUMMYFUNCTION("GOOGLETRANSLATE(B331,""en"",""zh-CN"")"),"一个戴着黑色帽子的男人正在用俱乐部击中一球。")</f>
        <v>一个戴着黑色帽子的男人正在用俱乐部击中一球。</v>
      </c>
    </row>
    <row r="332">
      <c r="A332" s="4" t="s">
        <v>421</v>
      </c>
      <c r="B332" s="4" t="s">
        <v>423</v>
      </c>
      <c r="C332" s="5" t="str">
        <f>IFERROR(__xludf.DUMMYFUNCTION("GOOGLETRANSLATE(B332,""en"",""zh-CN"")"),"他继续与镜头交谈。")</f>
        <v>他继续与镜头交谈。</v>
      </c>
    </row>
    <row r="333">
      <c r="A333" s="4" t="s">
        <v>421</v>
      </c>
      <c r="B333" s="4" t="s">
        <v>424</v>
      </c>
      <c r="C333" s="5" t="str">
        <f>IFERROR(__xludf.DUMMYFUNCTION("GOOGLETRANSLATE(B333,""en"",""zh-CN"")"),"他举起一个小奖杯。")</f>
        <v>他举起一个小奖杯。</v>
      </c>
    </row>
    <row r="334">
      <c r="A334" s="4" t="s">
        <v>425</v>
      </c>
      <c r="B334" s="4" t="s">
        <v>426</v>
      </c>
      <c r="C334" s="5" t="str">
        <f>IFERROR(__xludf.DUMMYFUNCTION("GOOGLETRANSLATE(B334,""en"",""zh-CN"")"),"一群人在一个领域。")</f>
        <v>一群人在一个领域。</v>
      </c>
    </row>
    <row r="335">
      <c r="A335" s="4" t="s">
        <v>425</v>
      </c>
      <c r="B335" s="4" t="s">
        <v>427</v>
      </c>
      <c r="C335" s="5" t="str">
        <f>IFERROR(__xludf.DUMMYFUNCTION("GOOGLETRANSLATE(B335,""en"",""zh-CN"")"),"他们将相机连接到玩家的头部之一。")</f>
        <v>他们将相机连接到玩家的头部之一。</v>
      </c>
    </row>
    <row r="336">
      <c r="A336" s="4" t="s">
        <v>425</v>
      </c>
      <c r="B336" s="6" t="s">
        <v>428</v>
      </c>
      <c r="C336" s="5" t="str">
        <f>IFERROR(__xludf.DUMMYFUNCTION("GOOGLETRANSLATE(B336,""en"",""zh-CN"")"),"他们在啦啦队的特技表演中互相抬起头，可以从相机的视野中看到。")</f>
        <v>他们在啦啦队的特技表演中互相抬起头，可以从相机的视野中看到。</v>
      </c>
    </row>
    <row r="337">
      <c r="A337" s="4" t="s">
        <v>425</v>
      </c>
      <c r="B337" s="4" t="s">
        <v>429</v>
      </c>
      <c r="C337" s="5" t="str">
        <f>IFERROR(__xludf.DUMMYFUNCTION("GOOGLETRANSLATE(B337,""en"",""zh-CN"")"),"当他们继续表演特技时，他们微笑着笑。")</f>
        <v>当他们继续表演特技时，他们微笑着笑。</v>
      </c>
    </row>
    <row r="338">
      <c r="A338" s="4" t="s">
        <v>430</v>
      </c>
      <c r="B338" s="6" t="s">
        <v>431</v>
      </c>
      <c r="C338" s="5" t="str">
        <f>IFERROR(__xludf.DUMMYFUNCTION("GOOGLETRANSLATE(B338,""en"",""zh-CN"")"),"当一个人试图跳过酒吧时，看到一大批人站在周围。")</f>
        <v>当一个人试图跳过酒吧时，看到一大批人站在周围。</v>
      </c>
    </row>
    <row r="339">
      <c r="A339" s="4" t="s">
        <v>430</v>
      </c>
      <c r="B339" s="4" t="s">
        <v>432</v>
      </c>
      <c r="C339" s="5" t="str">
        <f>IFERROR(__xludf.DUMMYFUNCTION("GOOGLETRANSLATE(B339,""en"",""zh-CN"")"),"该男子在几次尝试后完成了跳跃，并以慢动作再次显示。")</f>
        <v>该男子在几次尝试后完成了跳跃，并以慢动作再次显示。</v>
      </c>
    </row>
    <row r="340">
      <c r="A340" s="4" t="s">
        <v>430</v>
      </c>
      <c r="B340" s="6" t="s">
        <v>433</v>
      </c>
      <c r="C340" s="5" t="str">
        <f>IFERROR(__xludf.DUMMYFUNCTION("GOOGLETRANSLATE(B340,""en"",""zh-CN"")"),"该男子试图再跳高几次，每次都会击倒标准。")</f>
        <v>该男子试图再跳高几次，每次都会击倒标准。</v>
      </c>
    </row>
    <row r="341">
      <c r="A341" s="4" t="s">
        <v>434</v>
      </c>
      <c r="B341" s="4" t="s">
        <v>435</v>
      </c>
      <c r="C341" s="5" t="str">
        <f>IFERROR(__xludf.DUMMYFUNCTION("GOOGLETRANSLATE(B341,""en"",""zh-CN"")"),"一个女人在健身房里跳绳时笑着。")</f>
        <v>一个女人在健身房里跳绳时笑着。</v>
      </c>
    </row>
    <row r="342">
      <c r="A342" s="4" t="s">
        <v>434</v>
      </c>
      <c r="B342" s="6" t="s">
        <v>436</v>
      </c>
      <c r="C342" s="5" t="str">
        <f>IFERROR(__xludf.DUMMYFUNCTION("GOOGLETRANSLATE(B342,""en"",""zh-CN"")"),"她继续跳很长一段时间，加速加速并随着摄像头记录她的位置而改变位置。")</f>
        <v>她继续跳很长一段时间，加速加速并随着摄像头记录她的位置而改变位置。</v>
      </c>
    </row>
    <row r="343">
      <c r="A343" s="4" t="s">
        <v>437</v>
      </c>
      <c r="B343" s="6" t="s">
        <v>438</v>
      </c>
      <c r="C343" s="5" t="str">
        <f>IFERROR(__xludf.DUMMYFUNCTION("GOOGLETRANSLATE(B343,""en"",""zh-CN"")"),"一个穿着豹纹衬衫和牛仔夹克的女人正在做一个关于假指甲以及如何使用它们的教程。")</f>
        <v>一个穿着豹纹衬衫和牛仔夹克的女人正在做一个关于假指甲以及如何使用它们的教程。</v>
      </c>
    </row>
    <row r="344">
      <c r="A344" s="4" t="s">
        <v>437</v>
      </c>
      <c r="B344" s="4" t="s">
        <v>439</v>
      </c>
      <c r="C344" s="5" t="str">
        <f>IFERROR(__xludf.DUMMYFUNCTION("GOOGLETRANSLATE(B344,""en"",""zh-CN"")"),"当她解释过程时，她手里拿着一包假指甲。")</f>
        <v>当她解释过程时，她手里拿着一包假指甲。</v>
      </c>
    </row>
    <row r="345">
      <c r="A345" s="4" t="s">
        <v>437</v>
      </c>
      <c r="B345" s="4" t="s">
        <v>440</v>
      </c>
      <c r="C345" s="5" t="str">
        <f>IFERROR(__xludf.DUMMYFUNCTION("GOOGLETRANSLATE(B345,""en"",""zh-CN"")"),"然后她演示了如何将假指甲放在指甲上。")</f>
        <v>然后她演示了如何将假指甲放在指甲上。</v>
      </c>
    </row>
    <row r="346">
      <c r="A346" s="4" t="s">
        <v>437</v>
      </c>
      <c r="B346" s="4" t="s">
        <v>441</v>
      </c>
      <c r="C346" s="5" t="str">
        <f>IFERROR(__xludf.DUMMYFUNCTION("GOOGLETRANSLATE(B346,""en"",""zh-CN"")"),"然后，她取指甲文件并将指甲的末端归档以使其平滑。")</f>
        <v>然后，她取指甲文件并将指甲的末端归档以使其平滑。</v>
      </c>
    </row>
    <row r="347">
      <c r="A347" s="4" t="s">
        <v>437</v>
      </c>
      <c r="B347" s="4" t="s">
        <v>442</v>
      </c>
      <c r="C347" s="5" t="str">
        <f>IFERROR(__xludf.DUMMYFUNCTION("GOOGLETRANSLATE(B347,""en"",""zh-CN"")"),"然后，她用一些胶将指甲粘在指甲上。")</f>
        <v>然后，她用一些胶将指甲粘在指甲上。</v>
      </c>
    </row>
    <row r="348">
      <c r="A348" s="4" t="s">
        <v>437</v>
      </c>
      <c r="B348" s="4" t="s">
        <v>443</v>
      </c>
      <c r="C348" s="5" t="str">
        <f>IFERROR(__xludf.DUMMYFUNCTION("GOOGLETRANSLATE(B348,""en"",""zh-CN"")"),"然后，她将多余的剪辑剪裁以缩短指甲，然后提交指甲。")</f>
        <v>然后，她将多余的剪辑剪裁以缩短指甲，然后提交指甲。</v>
      </c>
    </row>
    <row r="349">
      <c r="A349" s="4" t="s">
        <v>437</v>
      </c>
      <c r="B349" s="6" t="s">
        <v>444</v>
      </c>
      <c r="C349" s="5" t="str">
        <f>IFERROR(__xludf.DUMMYFUNCTION("GOOGLETRANSLATE(B349,""en"",""zh-CN"")"),"她还使用了一些石灰绿色指甲油，并绘制指甲以完成该过程并使其发亮。")</f>
        <v>她还使用了一些石灰绿色指甲油，并绘制指甲以完成该过程并使其发亮。</v>
      </c>
    </row>
    <row r="350">
      <c r="A350" s="4" t="s">
        <v>445</v>
      </c>
      <c r="B350" s="4" t="s">
        <v>446</v>
      </c>
      <c r="C350" s="5" t="str">
        <f>IFERROR(__xludf.DUMMYFUNCTION("GOOGLETRANSLATE(B350,""en"",""zh-CN"")"),"厨师站在大炉子的前面。")</f>
        <v>厨师站在大炉子的前面。</v>
      </c>
    </row>
    <row r="351">
      <c r="A351" s="4" t="s">
        <v>445</v>
      </c>
      <c r="B351" s="4" t="s">
        <v>447</v>
      </c>
      <c r="C351" s="5" t="str">
        <f>IFERROR(__xludf.DUMMYFUNCTION("GOOGLETRANSLATE(B351,""en"",""zh-CN"")"),"它被燃烧器上的成分和平底锅覆盖。")</f>
        <v>它被燃烧器上的成分和平底锅覆盖。</v>
      </c>
    </row>
    <row r="352">
      <c r="A352" s="4" t="s">
        <v>445</v>
      </c>
      <c r="B352" s="4" t="s">
        <v>448</v>
      </c>
      <c r="C352" s="5" t="str">
        <f>IFERROR(__xludf.DUMMYFUNCTION("GOOGLETRANSLATE(B352,""en"",""zh-CN"")"),"该男子创造了一个巨大的煎蛋卷，最后将其翻转到盘子上，然后将其交给顾客。")</f>
        <v>该男子创造了一个巨大的煎蛋卷，最后将其翻转到盘子上，然后将其交给顾客。</v>
      </c>
    </row>
    <row r="353">
      <c r="A353" s="4" t="s">
        <v>449</v>
      </c>
      <c r="B353" s="6" t="s">
        <v>450</v>
      </c>
      <c r="C353" s="5" t="str">
        <f>IFERROR(__xludf.DUMMYFUNCTION("GOOGLETRANSLATE(B353,""en"",""zh-CN"")"),"一个老人的头发，穿着红色衬衫和黑色的裤子在室内球场上滴球，他并排在双腿之间将球并排运球。")</f>
        <v>一个老人的头发，穿着红色衬衫和黑色的裤子在室内球场上滴球，他并排在双腿之间将球并排运球。</v>
      </c>
    </row>
    <row r="354">
      <c r="A354" s="4" t="s">
        <v>449</v>
      </c>
      <c r="B354" s="6" t="s">
        <v>451</v>
      </c>
      <c r="C354" s="5" t="str">
        <f>IFERROR(__xludf.DUMMYFUNCTION("GOOGLETRANSLATE(B354,""en"",""zh-CN"")"),"他将球射入戒指中，然后开始再次运球到一边到一侧和两腿之间，然后将球射入戒指。")</f>
        <v>他将球射入戒指中，然后开始再次运球到一边到一侧和两腿之间，然后将球射入戒指。</v>
      </c>
    </row>
    <row r="355">
      <c r="A355" s="4" t="s">
        <v>452</v>
      </c>
      <c r="B355" s="6" t="s">
        <v>453</v>
      </c>
      <c r="C355" s="5" t="str">
        <f>IFERROR(__xludf.DUMMYFUNCTION("GOOGLETRANSLATE(B355,""en"",""zh-CN"")"),"一群啦啦队从侧舞台上来，开始微笑着向人群挥舞，然后才陷入阵型。")</f>
        <v>一群啦啦队从侧舞台上来，开始微笑着向人群挥舞，然后才陷入阵型。</v>
      </c>
    </row>
    <row r="356">
      <c r="A356" s="4" t="s">
        <v>452</v>
      </c>
      <c r="B356" s="6" t="s">
        <v>454</v>
      </c>
      <c r="C356" s="5" t="str">
        <f>IFERROR(__xludf.DUMMYFUNCTION("GOOGLETRANSLATE(B356,""en"",""zh-CN"")"),"例行程序开始，他们开始刺痛，互相扔在空中并互相举起。")</f>
        <v>例行程序开始，他们开始刺痛，互相扔在空中并互相举起。</v>
      </c>
    </row>
    <row r="357">
      <c r="A357" s="4" t="s">
        <v>452</v>
      </c>
      <c r="B357" s="6" t="s">
        <v>455</v>
      </c>
      <c r="C357" s="5" t="str">
        <f>IFERROR(__xludf.DUMMYFUNCTION("GOOGLETRANSLATE(B357,""en"",""zh-CN"")"),"做例程的中间，一半的女孩坐在啦啦队长的后面，因为他们做了一部分例行。")</f>
        <v>做例程的中间，一半的女孩坐在啦啦队长的后面，因为他们做了一部分例行。</v>
      </c>
    </row>
    <row r="358">
      <c r="A358" s="4" t="s">
        <v>452</v>
      </c>
      <c r="B358" s="4" t="s">
        <v>456</v>
      </c>
      <c r="C358" s="5" t="str">
        <f>IFERROR(__xludf.DUMMYFUNCTION("GOOGLETRANSLATE(B358,""en"",""zh-CN"")"),"例行结束，它们都用精神手指在舞台上奔跑，然后离开舞台。")</f>
        <v>例行结束，它们都用精神手指在舞台上奔跑，然后离开舞台。</v>
      </c>
    </row>
    <row r="359">
      <c r="A359" s="4" t="s">
        <v>457</v>
      </c>
      <c r="B359" s="4" t="s">
        <v>458</v>
      </c>
      <c r="C359" s="5" t="str">
        <f>IFERROR(__xludf.DUMMYFUNCTION("GOOGLETRANSLATE(B359,""en"",""zh-CN"")"),"当冲浪者骑着海浪时，音乐播放。")</f>
        <v>当冲浪者骑着海浪时，音乐播放。</v>
      </c>
    </row>
    <row r="360">
      <c r="A360" s="4" t="s">
        <v>457</v>
      </c>
      <c r="B360" s="4" t="s">
        <v>459</v>
      </c>
      <c r="C360" s="5" t="str">
        <f>IFERROR(__xludf.DUMMYFUNCTION("GOOGLETRANSLATE(B360,""en"",""zh-CN"")"),"显示了一些男人准备冲浪，准备木板并穿好衣服。")</f>
        <v>显示了一些男人准备冲浪，准备木板并穿好衣服。</v>
      </c>
    </row>
    <row r="361">
      <c r="A361" s="4" t="s">
        <v>457</v>
      </c>
      <c r="B361" s="4" t="s">
        <v>460</v>
      </c>
      <c r="C361" s="5" t="str">
        <f>IFERROR(__xludf.DUMMYFUNCTION("GOOGLETRANSLATE(B361,""en"",""zh-CN"")"),"一架直升机骑着冲浪者骑行的海岸线。")</f>
        <v>一架直升机骑着冲浪者骑行的海岸线。</v>
      </c>
    </row>
    <row r="362">
      <c r="A362" s="4" t="s">
        <v>457</v>
      </c>
      <c r="B362" s="4" t="s">
        <v>461</v>
      </c>
      <c r="C362" s="5" t="str">
        <f>IFERROR(__xludf.DUMMYFUNCTION("GOOGLETRANSLATE(B362,""en"",""zh-CN"")"),"一对夫妇在海滩上笑着在一个帐篷里等待更多冲浪。")</f>
        <v>一对夫妇在海滩上笑着在一个帐篷里等待更多冲浪。</v>
      </c>
    </row>
    <row r="363">
      <c r="A363" s="4" t="s">
        <v>457</v>
      </c>
      <c r="B363" s="4" t="s">
        <v>462</v>
      </c>
      <c r="C363" s="5" t="str">
        <f>IFERROR(__xludf.DUMMYFUNCTION("GOOGLETRANSLATE(B363,""en"",""zh-CN"")"),"然后，向一个男人展示了用冲浪蜡准备木板的准备。")</f>
        <v>然后，向一个男人展示了用冲浪蜡准备木板的准备。</v>
      </c>
    </row>
    <row r="364">
      <c r="A364" s="4" t="s">
        <v>457</v>
      </c>
      <c r="B364" s="4" t="s">
        <v>463</v>
      </c>
      <c r="C364" s="5" t="str">
        <f>IFERROR(__xludf.DUMMYFUNCTION("GOOGLETRANSLATE(B364,""en"",""zh-CN"")"),"人群看着其他人骑着海浪。")</f>
        <v>人群看着其他人骑着海浪。</v>
      </c>
    </row>
    <row r="365">
      <c r="A365" s="4" t="s">
        <v>457</v>
      </c>
      <c r="B365" s="4" t="s">
        <v>464</v>
      </c>
      <c r="C365" s="5" t="str">
        <f>IFERROR(__xludf.DUMMYFUNCTION("GOOGLETRANSLATE(B365,""en"",""zh-CN"")"),"人群欢呼越来越多。")</f>
        <v>人群欢呼越来越多。</v>
      </c>
    </row>
    <row r="366">
      <c r="A366" s="4" t="s">
        <v>457</v>
      </c>
      <c r="B366" s="4" t="s">
        <v>465</v>
      </c>
      <c r="C366" s="5" t="str">
        <f>IFERROR(__xludf.DUMMYFUNCTION("GOOGLETRANSLATE(B366,""en"",""zh-CN"")"),"凯利·斯莱特（Kelly Slater）在成功的奔跑中被推出，随后有更多的剪辑骑着海浪。")</f>
        <v>凯利·斯莱特（Kelly Slater）在成功的奔跑中被推出，随后有更多的剪辑骑着海浪。</v>
      </c>
    </row>
    <row r="367">
      <c r="A367" s="4" t="s">
        <v>457</v>
      </c>
      <c r="B367" s="4" t="s">
        <v>466</v>
      </c>
      <c r="C367" s="5" t="str">
        <f>IFERROR(__xludf.DUMMYFUNCTION("GOOGLETRANSLATE(B367,""en"",""zh-CN"")"),"凯利·斯莱特（Kelly Slater）被暂停，以结束故事情节。")</f>
        <v>凯利·斯莱特（Kelly Slater）被暂停，以结束故事情节。</v>
      </c>
    </row>
    <row r="368">
      <c r="A368" s="4" t="s">
        <v>457</v>
      </c>
      <c r="B368" s="4" t="s">
        <v>467</v>
      </c>
      <c r="C368" s="5" t="str">
        <f>IFERROR(__xludf.DUMMYFUNCTION("GOOGLETRANSLATE(B368,""en"",""zh-CN"")"),"然后显示音乐和制作人的积分。")</f>
        <v>然后显示音乐和制作人的积分。</v>
      </c>
    </row>
    <row r="369">
      <c r="A369" s="4" t="s">
        <v>468</v>
      </c>
      <c r="B369" s="4" t="s">
        <v>469</v>
      </c>
      <c r="C369" s="5" t="str">
        <f>IFERROR(__xludf.DUMMYFUNCTION("GOOGLETRANSLATE(B369,""en"",""zh-CN"")"),"我们在黑屏上看到了一个金牌。")</f>
        <v>我们在黑屏上看到了一个金牌。</v>
      </c>
    </row>
    <row r="370">
      <c r="A370" s="4" t="s">
        <v>468</v>
      </c>
      <c r="B370" s="4" t="s">
        <v>470</v>
      </c>
      <c r="C370" s="5" t="str">
        <f>IFERROR(__xludf.DUMMYFUNCTION("GOOGLETRANSLATE(B370,""en"",""zh-CN"")"),"当箭头指向他上方的数字时，一个人正在演奏口琴。")</f>
        <v>当箭头指向他上方的数字时，一个人正在演奏口琴。</v>
      </c>
    </row>
    <row r="371">
      <c r="A371" s="4" t="s">
        <v>468</v>
      </c>
      <c r="B371" s="4" t="s">
        <v>471</v>
      </c>
      <c r="C371" s="5" t="str">
        <f>IFERROR(__xludf.DUMMYFUNCTION("GOOGLETRANSLATE(B371,""en"",""zh-CN"")"),"我们在数字上看到了另一个标题屏幕和更多箭头。")</f>
        <v>我们在数字上看到了另一个标题屏幕和更多箭头。</v>
      </c>
    </row>
    <row r="372">
      <c r="A372" s="4" t="s">
        <v>468</v>
      </c>
      <c r="B372" s="4" t="s">
        <v>472</v>
      </c>
      <c r="C372" s="5" t="str">
        <f>IFERROR(__xludf.DUMMYFUNCTION("GOOGLETRANSLATE(B372,""en"",""zh-CN"")"),"标题屏幕返回，该男子再次与箭头一起演奏。")</f>
        <v>标题屏幕返回，该男子再次与箭头一起演奏。</v>
      </c>
    </row>
    <row r="373">
      <c r="A373" s="4" t="s">
        <v>468</v>
      </c>
      <c r="B373" s="4" t="s">
        <v>473</v>
      </c>
      <c r="C373" s="5" t="str">
        <f>IFERROR(__xludf.DUMMYFUNCTION("GOOGLETRANSLATE(B373,""en"",""zh-CN"")"),"第四个标题屏幕和男人扮演上面的箭头。")</f>
        <v>第四个标题屏幕和男人扮演上面的箭头。</v>
      </c>
    </row>
    <row r="374">
      <c r="A374" s="4" t="s">
        <v>468</v>
      </c>
      <c r="B374" s="4" t="s">
        <v>474</v>
      </c>
      <c r="C374" s="5" t="str">
        <f>IFERROR(__xludf.DUMMYFUNCTION("GOOGLETRANSLATE(B374,""en"",""zh-CN"")"),"名字显示为视频结束。")</f>
        <v>名字显示为视频结束。</v>
      </c>
    </row>
    <row r="375">
      <c r="A375" s="4" t="s">
        <v>475</v>
      </c>
      <c r="B375" s="4" t="s">
        <v>476</v>
      </c>
      <c r="C375" s="5" t="str">
        <f>IFERROR(__xludf.DUMMYFUNCTION("GOOGLETRANSLATE(B375,""en"",""zh-CN"")"),"一个男人戴上带有相机的头盔。")</f>
        <v>一个男人戴上带有相机的头盔。</v>
      </c>
    </row>
    <row r="376">
      <c r="A376" s="4" t="s">
        <v>475</v>
      </c>
      <c r="B376" s="4" t="s">
        <v>477</v>
      </c>
      <c r="C376" s="5" t="str">
        <f>IFERROR(__xludf.DUMMYFUNCTION("GOOGLETRANSLATE(B376,""en"",""zh-CN"")"),"该男子参加了第一人称视角的曲棍球比赛。")</f>
        <v>该男子参加了第一人称视角的曲棍球比赛。</v>
      </c>
    </row>
    <row r="377">
      <c r="A377" s="4" t="s">
        <v>475</v>
      </c>
      <c r="B377" s="4" t="s">
        <v>478</v>
      </c>
      <c r="C377" s="5" t="str">
        <f>IFERROR(__xludf.DUMMYFUNCTION("GOOGLETRANSLATE(B377,""en"",""zh-CN"")"),"该男子成功地进球，高击球队成为队友。")</f>
        <v>该男子成功地进球，高击球队成为队友。</v>
      </c>
    </row>
    <row r="378">
      <c r="A378" s="4" t="s">
        <v>475</v>
      </c>
      <c r="B378" s="4" t="s">
        <v>479</v>
      </c>
      <c r="C378" s="5" t="str">
        <f>IFERROR(__xludf.DUMMYFUNCTION("GOOGLETRANSLATE(B378,""en"",""zh-CN"")"),"比赛结束后两支球队握手。")</f>
        <v>比赛结束后两支球队握手。</v>
      </c>
    </row>
    <row r="379">
      <c r="A379" s="4" t="s">
        <v>475</v>
      </c>
      <c r="B379" s="4" t="s">
        <v>480</v>
      </c>
      <c r="C379" s="5" t="str">
        <f>IFERROR(__xludf.DUMMYFUNCTION("GOOGLETRANSLATE(B379,""en"",""zh-CN"")"),"该男子走向一群穿着黑色的人。")</f>
        <v>该男子走向一群穿着黑色的人。</v>
      </c>
    </row>
    <row r="380">
      <c r="A380" s="4" t="s">
        <v>481</v>
      </c>
      <c r="B380" s="4" t="s">
        <v>482</v>
      </c>
      <c r="C380" s="5" t="str">
        <f>IFERROR(__xludf.DUMMYFUNCTION("GOOGLETRANSLATE(B380,""en"",""zh-CN"")"),"看到一个小孩在骆驼和他面前的女人身上爬。")</f>
        <v>看到一个小孩在骆驼和他面前的女人身上爬。</v>
      </c>
    </row>
    <row r="381">
      <c r="A381" s="4" t="s">
        <v>481</v>
      </c>
      <c r="B381" s="4" t="s">
        <v>483</v>
      </c>
      <c r="C381" s="5" t="str">
        <f>IFERROR(__xludf.DUMMYFUNCTION("GOOGLETRANSLATE(B381,""en"",""zh-CN"")"),"一个人站在腿上的骆驼，在该地区漫步。")</f>
        <v>一个人站在腿上的骆驼，在该地区漫步。</v>
      </c>
    </row>
    <row r="382">
      <c r="A382" s="4" t="s">
        <v>481</v>
      </c>
      <c r="B382" s="4" t="s">
        <v>484</v>
      </c>
      <c r="C382" s="5" t="str">
        <f>IFERROR(__xludf.DUMMYFUNCTION("GOOGLETRANSLATE(B382,""en"",""zh-CN"")"),"该男子继续与骆驼一起走来走去，而相机朝他们的动作进行动作。")</f>
        <v>该男子继续与骆驼一起走来走去，而相机朝他们的动作进行动作。</v>
      </c>
    </row>
    <row r="383">
      <c r="A383" s="4" t="s">
        <v>485</v>
      </c>
      <c r="B383" s="4" t="s">
        <v>486</v>
      </c>
      <c r="C383" s="5" t="str">
        <f>IFERROR(__xludf.DUMMYFUNCTION("GOOGLETRANSLATE(B383,""en"",""zh-CN"")"),"一个简介导致一个男人坐在游泳池旁边说话的女人。")</f>
        <v>一个简介导致一个男人坐在游泳池旁边说话的女人。</v>
      </c>
    </row>
    <row r="384">
      <c r="A384" s="4" t="s">
        <v>485</v>
      </c>
      <c r="B384" s="6" t="s">
        <v>487</v>
      </c>
      <c r="C384" s="5" t="str">
        <f>IFERROR(__xludf.DUMMYFUNCTION("GOOGLETRANSLATE(B384,""en"",""zh-CN"")"),"然后，人们在水下戴着水肺齿轮并互相教导，当男人对表面上方的摄像机说话时。")</f>
        <v>然后，人们在水下戴着水肺齿轮并互相教导，当男人对表面上方的摄像机说话时。</v>
      </c>
    </row>
    <row r="385">
      <c r="A385" s="4" t="s">
        <v>488</v>
      </c>
      <c r="B385" s="4" t="s">
        <v>489</v>
      </c>
      <c r="C385" s="5" t="str">
        <f>IFERROR(__xludf.DUMMYFUNCTION("GOOGLETRANSLATE(B385,""en"",""zh-CN"")"),"一个人在骑独木舟中骑着各种镜头看到一个人，然后微笑着远处。")</f>
        <v>一个人在骑独木舟中骑着各种镜头看到一个人，然后微笑着远处。</v>
      </c>
    </row>
    <row r="386">
      <c r="A386" s="4" t="s">
        <v>488</v>
      </c>
      <c r="B386" s="4" t="s">
        <v>490</v>
      </c>
      <c r="C386" s="5" t="str">
        <f>IFERROR(__xludf.DUMMYFUNCTION("GOOGLETRANSLATE(B386,""en"",""zh-CN"")"),"看到另一个人坐在独木舟中，并演示了如何正确转身。")</f>
        <v>看到另一个人坐在独木舟中，并演示了如何正确转身。</v>
      </c>
    </row>
    <row r="387">
      <c r="A387" s="4" t="s">
        <v>488</v>
      </c>
      <c r="B387" s="6" t="s">
        <v>491</v>
      </c>
      <c r="C387" s="5" t="str">
        <f>IFERROR(__xludf.DUMMYFUNCTION("GOOGLETRANSLATE(B387,""en"",""zh-CN"")"),"当相机捕捉他的动作时，该男子继续沿着水移动。")</f>
        <v>当相机捕捉他的动作时，该男子继续沿着水移动。</v>
      </c>
    </row>
    <row r="388">
      <c r="A388" s="4" t="s">
        <v>492</v>
      </c>
      <c r="B388" s="4" t="s">
        <v>493</v>
      </c>
      <c r="C388" s="5" t="str">
        <f>IFERROR(__xludf.DUMMYFUNCTION("GOOGLETRANSLATE(B388,""en"",""zh-CN"")"),"一群人骑着马骑着马，携带大棍子并将其握在空中。")</f>
        <v>一群人骑着马骑着马，携带大棍子并将其握在空中。</v>
      </c>
    </row>
    <row r="389">
      <c r="A389" s="4" t="s">
        <v>492</v>
      </c>
      <c r="B389" s="4" t="s">
        <v>494</v>
      </c>
      <c r="C389" s="5" t="str">
        <f>IFERROR(__xludf.DUMMYFUNCTION("GOOGLETRANSLATE(B389,""en"",""zh-CN"")"),"一个人靠近摄影师和人群附近。")</f>
        <v>一个人靠近摄影师和人群附近。</v>
      </c>
    </row>
    <row r="390">
      <c r="A390" s="4" t="s">
        <v>492</v>
      </c>
      <c r="B390" s="6" t="s">
        <v>495</v>
      </c>
      <c r="C390" s="5" t="str">
        <f>IFERROR(__xludf.DUMMYFUNCTION("GOOGLETRANSLATE(B390,""en"",""zh-CN"")"),"骑马的那个人回到马stable里等待他们的回归，最终回到了戒指。")</f>
        <v>骑马的那个人回到马stable里等待他们的回归，最终回到了戒指。</v>
      </c>
    </row>
    <row r="391">
      <c r="A391" s="4" t="s">
        <v>496</v>
      </c>
      <c r="B391" s="4" t="s">
        <v>497</v>
      </c>
      <c r="C391" s="5" t="str">
        <f>IFERROR(__xludf.DUMMYFUNCTION("GOOGLETRANSLATE(B391,""en"",""zh-CN"")"),"一个男人在草坪上走到一边，开始移动他的胳膊和腿。")</f>
        <v>一个男人在草坪上走到一边，开始移动他的胳膊和腿。</v>
      </c>
    </row>
    <row r="392">
      <c r="A392" s="4" t="s">
        <v>496</v>
      </c>
      <c r="B392" s="4" t="s">
        <v>498</v>
      </c>
      <c r="C392" s="5" t="str">
        <f>IFERROR(__xludf.DUMMYFUNCTION("GOOGLETRANSLATE(B392,""en"",""zh-CN"")"),"他慢慢地以各种动作移动手臂，同时从一侧到另一侧。")</f>
        <v>他慢慢地以各种动作移动手臂，同时从一侧到另一侧。</v>
      </c>
    </row>
    <row r="393">
      <c r="A393" s="4" t="s">
        <v>496</v>
      </c>
      <c r="B393" s="4" t="s">
        <v>499</v>
      </c>
      <c r="C393" s="5" t="str">
        <f>IFERROR(__xludf.DUMMYFUNCTION("GOOGLETRANSLATE(B393,""en"",""zh-CN"")"),"他向上移动双腿，手臂不断跟随，直到完成表演为止。")</f>
        <v>他向上移动双腿，手臂不断跟随，直到完成表演为止。</v>
      </c>
    </row>
    <row r="394">
      <c r="A394" s="4" t="s">
        <v>500</v>
      </c>
      <c r="B394" s="4" t="s">
        <v>501</v>
      </c>
      <c r="C394" s="5" t="str">
        <f>IFERROR(__xludf.DUMMYFUNCTION("GOOGLETRANSLATE(B394,""en"",""zh-CN"")"),"穿着黑色衬衫的人正在打鼓。")</f>
        <v>穿着黑色衬衫的人正在打鼓。</v>
      </c>
    </row>
    <row r="395">
      <c r="A395" s="4" t="s">
        <v>500</v>
      </c>
      <c r="B395" s="4" t="s">
        <v>502</v>
      </c>
      <c r="C395" s="5" t="str">
        <f>IFERROR(__xludf.DUMMYFUNCTION("GOOGLETRANSLATE(B395,""en"",""zh-CN"")"),"当人继续演奏时，相机放大了鼓。")</f>
        <v>当人继续演奏时，相机放大了鼓。</v>
      </c>
    </row>
    <row r="396">
      <c r="A396" s="4" t="s">
        <v>500</v>
      </c>
      <c r="B396" s="4" t="s">
        <v>503</v>
      </c>
      <c r="C396" s="5" t="str">
        <f>IFERROR(__xludf.DUMMYFUNCTION("GOOGLETRANSLATE(B396,""en"",""zh-CN"")"),"相机转向俯视鼓的视图。")</f>
        <v>相机转向俯视鼓的视图。</v>
      </c>
    </row>
    <row r="397">
      <c r="A397" s="4" t="s">
        <v>504</v>
      </c>
      <c r="B397" s="6" t="s">
        <v>505</v>
      </c>
      <c r="C397" s="5" t="str">
        <f>IFERROR(__xludf.DUMMYFUNCTION("GOOGLETRANSLATE(B397,""en"",""zh-CN"")"),"一个人用棍子扔圆盘，光盘到达两个人站立的地板上的三角形。")</f>
        <v>一个人用棍子扔圆盘，光盘到达两个人站立的地板上的三角形。</v>
      </c>
    </row>
    <row r="398">
      <c r="A398" s="4" t="s">
        <v>504</v>
      </c>
      <c r="B398" s="4" t="s">
        <v>506</v>
      </c>
      <c r="C398" s="5" t="str">
        <f>IFERROR(__xludf.DUMMYFUNCTION("GOOGLETRANSLATE(B398,""en"",""zh-CN"")"),"然后，另一个磁盘在地板上滑动以停在三角形内。")</f>
        <v>然后，另一个磁盘在地板上滑动以停在三角形内。</v>
      </c>
    </row>
    <row r="399">
      <c r="A399" s="4" t="s">
        <v>504</v>
      </c>
      <c r="B399" s="4" t="s">
        <v>507</v>
      </c>
      <c r="C399" s="5" t="str">
        <f>IFERROR(__xludf.DUMMYFUNCTION("GOOGLETRANSLATE(B399,""en"",""zh-CN"")"),"之后，该人将另一个停在三角形内的光盘。")</f>
        <v>之后，该人将另一个停在三角形内的光盘。</v>
      </c>
    </row>
    <row r="400">
      <c r="A400" s="4" t="s">
        <v>504</v>
      </c>
      <c r="B400" s="4" t="s">
        <v>508</v>
      </c>
      <c r="C400" s="5" t="str">
        <f>IFERROR(__xludf.DUMMYFUNCTION("GOOGLETRANSLATE(B400,""en"",""zh-CN"")"),"规则OH Shuffleboard游戏显示在板上。")</f>
        <v>规则OH Shuffleboard游戏显示在板上。</v>
      </c>
    </row>
    <row r="401">
      <c r="A401" s="4" t="s">
        <v>509</v>
      </c>
      <c r="B401" s="4" t="s">
        <v>510</v>
      </c>
      <c r="C401" s="5" t="str">
        <f>IFERROR(__xludf.DUMMYFUNCTION("GOOGLETRANSLATE(B401,""en"",""zh-CN"")"),"彩弹射击在帐篷前的男人飞。")</f>
        <v>彩弹射击在帐篷前的男人飞。</v>
      </c>
    </row>
    <row r="402">
      <c r="A402" s="4" t="s">
        <v>509</v>
      </c>
      <c r="B402" s="4" t="s">
        <v>511</v>
      </c>
      <c r="C402" s="5" t="str">
        <f>IFERROR(__xludf.DUMMYFUNCTION("GOOGLETRANSLATE(B402,""en"",""zh-CN"")"),"男人回到帐篷里。")</f>
        <v>男人回到帐篷里。</v>
      </c>
    </row>
    <row r="403">
      <c r="A403" s="4" t="s">
        <v>509</v>
      </c>
      <c r="B403" s="4" t="s">
        <v>512</v>
      </c>
      <c r="C403" s="5" t="str">
        <f>IFERROR(__xludf.DUMMYFUNCTION("GOOGLETRANSLATE(B403,""en"",""zh-CN"")"),"人们正在为彩弹比赛做好准备。")</f>
        <v>人们正在为彩弹比赛做好准备。</v>
      </c>
    </row>
    <row r="404">
      <c r="A404" s="4" t="s">
        <v>509</v>
      </c>
      <c r="B404" s="4" t="s">
        <v>513</v>
      </c>
      <c r="C404" s="5" t="str">
        <f>IFERROR(__xludf.DUMMYFUNCTION("GOOGLETRANSLATE(B404,""en"",""zh-CN"")"),"彩弹从男人的嘴里出来。")</f>
        <v>彩弹从男人的嘴里出来。</v>
      </c>
    </row>
    <row r="405">
      <c r="A405" s="4" t="s">
        <v>509</v>
      </c>
      <c r="B405" s="4" t="s">
        <v>514</v>
      </c>
      <c r="C405" s="5" t="str">
        <f>IFERROR(__xludf.DUMMYFUNCTION("GOOGLETRANSLATE(B405,""en"",""zh-CN"")"),"太阳正在落山。")</f>
        <v>太阳正在落山。</v>
      </c>
    </row>
    <row r="406">
      <c r="A406" s="4" t="s">
        <v>515</v>
      </c>
      <c r="B406" s="6" t="s">
        <v>516</v>
      </c>
      <c r="C406" s="5" t="str">
        <f>IFERROR(__xludf.DUMMYFUNCTION("GOOGLETRANSLATE(B406,""en"",""zh-CN"")"),"介绍会导致一个人的剪辑，这些剪辑抬起肩膀以及各个手臂。")</f>
        <v>介绍会导致一个人的剪辑，这些剪辑抬起肩膀以及各个手臂。</v>
      </c>
    </row>
    <row r="407">
      <c r="A407" s="4" t="s">
        <v>515</v>
      </c>
      <c r="B407" s="6" t="s">
        <v>517</v>
      </c>
      <c r="C407" s="5" t="str">
        <f>IFERROR(__xludf.DUMMYFUNCTION("GOOGLETRANSLATE(B407,""en"",""zh-CN"")"),"更多的镜头表明，运动员在远距离观察距离时表现出令人印象深刻的特技表演。")</f>
        <v>更多的镜头表明，运动员在远距离观察距离时表现出令人印象深刻的特技表演。</v>
      </c>
    </row>
    <row r="408">
      <c r="A408" s="4" t="s">
        <v>518</v>
      </c>
      <c r="B408" s="4" t="s">
        <v>519</v>
      </c>
      <c r="C408" s="5" t="str">
        <f>IFERROR(__xludf.DUMMYFUNCTION("GOOGLETRANSLATE(B408,""en"",""zh-CN"")"),"一个男人在舞台上明亮的灯光下打cy。")</f>
        <v>一个男人在舞台上明亮的灯光下打cy。</v>
      </c>
    </row>
    <row r="409">
      <c r="A409" s="4" t="s">
        <v>518</v>
      </c>
      <c r="B409" s="4" t="s">
        <v>520</v>
      </c>
      <c r="C409" s="5" t="str">
        <f>IFERROR(__xludf.DUMMYFUNCTION("GOOGLETRANSLATE(B409,""en"",""zh-CN"")"),"一个女人在低音鼓上加入了他的行列。")</f>
        <v>一个女人在低音鼓上加入了他的行列。</v>
      </c>
    </row>
    <row r="410">
      <c r="A410" s="4" t="s">
        <v>518</v>
      </c>
      <c r="B410" s="4" t="s">
        <v>521</v>
      </c>
      <c r="C410" s="5" t="str">
        <f>IFERROR(__xludf.DUMMYFUNCTION("GOOGLETRANSLATE(B410,""en"",""zh-CN"")"),"然后，其他鼓手加入了他们的行列，一个人在背景中的一个人加入。")</f>
        <v>然后，其他鼓手加入了他们的行列，一个人在背景中的一个人加入。</v>
      </c>
    </row>
    <row r="411">
      <c r="A411" s="4" t="s">
        <v>518</v>
      </c>
      <c r="B411" s="4" t="s">
        <v>522</v>
      </c>
      <c r="C411" s="5" t="str">
        <f>IFERROR(__xludf.DUMMYFUNCTION("GOOGLETRANSLATE(B411,""en"",""zh-CN"")"),"灯光一致表演时灯光闪烁。")</f>
        <v>灯光一致表演时灯光闪烁。</v>
      </c>
    </row>
    <row r="412">
      <c r="A412" s="4" t="s">
        <v>523</v>
      </c>
      <c r="B412" s="4" t="s">
        <v>524</v>
      </c>
      <c r="C412" s="5" t="str">
        <f>IFERROR(__xludf.DUMMYFUNCTION("GOOGLETRANSLATE(B412,""en"",""zh-CN"")"),"正在显示斗牛的蒙太奇。")</f>
        <v>正在显示斗牛的蒙太奇。</v>
      </c>
    </row>
    <row r="413">
      <c r="A413" s="4" t="s">
        <v>523</v>
      </c>
      <c r="B413" s="4" t="s">
        <v>525</v>
      </c>
      <c r="C413" s="5" t="str">
        <f>IFERROR(__xludf.DUMMYFUNCTION("GOOGLETRANSLATE(B413,""en"",""zh-CN"")"),"斗牛士被公牛击中，而其他斗牛士则试图分散公牛的注意力。")</f>
        <v>斗牛士被公牛击中，而其他斗牛士则试图分散公牛的注意力。</v>
      </c>
    </row>
    <row r="414">
      <c r="A414" s="4" t="s">
        <v>526</v>
      </c>
      <c r="B414" s="4" t="s">
        <v>527</v>
      </c>
      <c r="C414" s="5" t="str">
        <f>IFERROR(__xludf.DUMMYFUNCTION("GOOGLETRANSLATE(B414,""en"",""zh-CN"")"),"一名妇女在院子里蒙住眼睛，摇摆着一只木叶的人四处移动。")</f>
        <v>一名妇女在院子里蒙住眼睛，摇摆着一只木叶的人四处移动。</v>
      </c>
    </row>
    <row r="415">
      <c r="A415" s="4" t="s">
        <v>526</v>
      </c>
      <c r="B415" s="4" t="s">
        <v>528</v>
      </c>
      <c r="C415" s="5" t="str">
        <f>IFERROR(__xludf.DUMMYFUNCTION("GOOGLETRANSLATE(B415,""en"",""zh-CN"")"),"她周围的几个人是手表，不禁笑了。")</f>
        <v>她周围的几个人是手表，不禁笑了。</v>
      </c>
    </row>
    <row r="416">
      <c r="A416" s="4" t="s">
        <v>526</v>
      </c>
      <c r="B416" s="4" t="s">
        <v>529</v>
      </c>
      <c r="C416" s="5" t="str">
        <f>IFERROR(__xludf.DUMMYFUNCTION("GOOGLETRANSLATE(B416,""en"",""zh-CN"")"),"该名女子也在笑，最后击中了皮纳塔，供孩子们抓住。")</f>
        <v>该名女子也在笑，最后击中了皮纳塔，供孩子们抓住。</v>
      </c>
    </row>
    <row r="417">
      <c r="A417" s="4" t="s">
        <v>530</v>
      </c>
      <c r="B417" s="4" t="s">
        <v>531</v>
      </c>
      <c r="C417" s="5" t="str">
        <f>IFERROR(__xludf.DUMMYFUNCTION("GOOGLETRANSLATE(B417,""en"",""zh-CN"")"),"一个男人正在停车场与镜头交谈。")</f>
        <v>一个男人正在停车场与镜头交谈。</v>
      </c>
    </row>
    <row r="418">
      <c r="A418" s="4" t="s">
        <v>530</v>
      </c>
      <c r="B418" s="4" t="s">
        <v>532</v>
      </c>
      <c r="C418" s="5" t="str">
        <f>IFERROR(__xludf.DUMMYFUNCTION("GOOGLETRANSLATE(B418,""en"",""zh-CN"")"),"他继续讲话时跑到街上。")</f>
        <v>他继续讲话时跑到街上。</v>
      </c>
    </row>
    <row r="419">
      <c r="A419" s="4" t="s">
        <v>530</v>
      </c>
      <c r="B419" s="4" t="s">
        <v>533</v>
      </c>
      <c r="C419" s="5" t="str">
        <f>IFERROR(__xludf.DUMMYFUNCTION("GOOGLETRANSLATE(B419,""en"",""zh-CN"")"),"他跑到几条城市街道上，没有停下来。")</f>
        <v>他跑到几条城市街道上，没有停下来。</v>
      </c>
    </row>
    <row r="420">
      <c r="A420" s="4" t="s">
        <v>534</v>
      </c>
      <c r="B420" s="4" t="s">
        <v>535</v>
      </c>
      <c r="C420" s="5" t="str">
        <f>IFERROR(__xludf.DUMMYFUNCTION("GOOGLETRANSLATE(B420,""en"",""zh-CN"")"),"一个男人站在外面的人行道上，削减了一组树篱。")</f>
        <v>一个男人站在外面的人行道上，削减了一组树篱。</v>
      </c>
    </row>
    <row r="421">
      <c r="A421" s="4" t="s">
        <v>534</v>
      </c>
      <c r="B421" s="4" t="s">
        <v>536</v>
      </c>
      <c r="C421" s="5" t="str">
        <f>IFERROR(__xludf.DUMMYFUNCTION("GOOGLETRANSLATE(B421,""en"",""zh-CN"")"),"当他完成侧面时，他移至植物的前面，并继续将植物砍倒。")</f>
        <v>当他完成侧面时，他移至植物的前面，并继续将植物砍倒。</v>
      </c>
    </row>
    <row r="422">
      <c r="A422" s="4" t="s">
        <v>534</v>
      </c>
      <c r="B422" s="4" t="s">
        <v>537</v>
      </c>
      <c r="C422" s="5" t="str">
        <f>IFERROR(__xludf.DUMMYFUNCTION("GOOGLETRANSLATE(B422,""en"",""zh-CN"")"),"一旦显示了一小部分，他就看着植物，然后切断手中的物品。")</f>
        <v>一旦显示了一小部分，他就看着植物，然后切断手中的物品。</v>
      </c>
    </row>
    <row r="423">
      <c r="A423" s="4" t="s">
        <v>538</v>
      </c>
      <c r="B423" s="4" t="s">
        <v>539</v>
      </c>
      <c r="C423" s="5" t="str">
        <f>IFERROR(__xludf.DUMMYFUNCTION("GOOGLETRANSLATE(B423,""en"",""zh-CN"")"),"一个男人正在和镜头说话。")</f>
        <v>一个男人正在和镜头说话。</v>
      </c>
    </row>
    <row r="424">
      <c r="A424" s="4" t="s">
        <v>538</v>
      </c>
      <c r="B424" s="4" t="s">
        <v>540</v>
      </c>
      <c r="C424" s="5" t="str">
        <f>IFERROR(__xludf.DUMMYFUNCTION("GOOGLETRANSLATE(B424,""en"",""zh-CN"")"),"展示了一个奥林匹克领域，许多人周围走来走去。")</f>
        <v>展示了一个奥林匹克领域，许多人周围走来走去。</v>
      </c>
    </row>
    <row r="425">
      <c r="A425" s="4" t="s">
        <v>538</v>
      </c>
      <c r="B425" s="4" t="s">
        <v>541</v>
      </c>
      <c r="C425" s="5" t="str">
        <f>IFERROR(__xludf.DUMMYFUNCTION("GOOGLETRANSLATE(B425,""en"",""zh-CN"")"),"该男子沿着一条轨道跑，跳入一堆沙子。")</f>
        <v>该男子沿着一条轨道跑，跳入一堆沙子。</v>
      </c>
    </row>
    <row r="426">
      <c r="A426" s="4" t="s">
        <v>538</v>
      </c>
      <c r="B426" s="4" t="s">
        <v>542</v>
      </c>
      <c r="C426" s="5" t="str">
        <f>IFERROR(__xludf.DUMMYFUNCTION("GOOGLETRANSLATE(B426,""en"",""zh-CN"")"),"他周围有一个旗帜，向观众挥手。")</f>
        <v>他周围有一个旗帜，向观众挥手。</v>
      </c>
    </row>
    <row r="427">
      <c r="A427" s="4" t="s">
        <v>543</v>
      </c>
      <c r="B427" s="4" t="s">
        <v>544</v>
      </c>
      <c r="C427" s="5" t="str">
        <f>IFERROR(__xludf.DUMMYFUNCTION("GOOGLETRANSLATE(B427,""en"",""zh-CN"")"),"人们在游泳池里玩水马球。")</f>
        <v>人们在游泳池里玩水马球。</v>
      </c>
    </row>
    <row r="428">
      <c r="A428" s="4" t="s">
        <v>543</v>
      </c>
      <c r="B428" s="4" t="s">
        <v>545</v>
      </c>
      <c r="C428" s="5" t="str">
        <f>IFERROR(__xludf.DUMMYFUNCTION("GOOGLETRANSLATE(B428,""en"",""zh-CN"")"),"一个穿着白衬衫的男人沿着游泳池散步。")</f>
        <v>一个穿着白衬衫的男人沿着游泳池散步。</v>
      </c>
    </row>
    <row r="429">
      <c r="A429" s="4" t="s">
        <v>543</v>
      </c>
      <c r="B429" s="4" t="s">
        <v>546</v>
      </c>
      <c r="C429" s="5" t="str">
        <f>IFERROR(__xludf.DUMMYFUNCTION("GOOGLETRANSLATE(B429,""en"",""zh-CN"")"),"一个抱着狗的女人站在码头上。")</f>
        <v>一个抱着狗的女人站在码头上。</v>
      </c>
    </row>
    <row r="430">
      <c r="A430" s="4" t="s">
        <v>547</v>
      </c>
      <c r="B430" s="6" t="s">
        <v>548</v>
      </c>
      <c r="C430" s="5" t="str">
        <f>IFERROR(__xludf.DUMMYFUNCTION("GOOGLETRANSLATE(B430,""en"",""zh-CN"")"),"看到一个女孩用手在臀部上与镜头说话，并伸入她的各种成分。")</f>
        <v>看到一个女孩用手在臀部上与镜头说话，并伸入她的各种成分。</v>
      </c>
    </row>
    <row r="431">
      <c r="A431" s="4" t="s">
        <v>547</v>
      </c>
      <c r="B431" s="6" t="s">
        <v>549</v>
      </c>
      <c r="C431" s="5" t="str">
        <f>IFERROR(__xludf.DUMMYFUNCTION("GOOGLETRANSLATE(B431,""en"",""zh-CN"")"),"然后，她将成分混合在一片面包上，并在将薯片倒在侧面时产生三明治。")</f>
        <v>然后，她将成分混合在一片面包上，并在将薯片倒在侧面时产生三明治。</v>
      </c>
    </row>
    <row r="432">
      <c r="A432" s="4" t="s">
        <v>547</v>
      </c>
      <c r="B432" s="4" t="s">
        <v>550</v>
      </c>
      <c r="C432" s="5" t="str">
        <f>IFERROR(__xludf.DUMMYFUNCTION("GOOGLETRANSLATE(B432,""en"",""zh-CN"")"),"然后，她在与相机说话并举起各种液体时展示了盘子。")</f>
        <v>然后，她在与相机说话并举起各种液体时展示了盘子。</v>
      </c>
    </row>
    <row r="433">
      <c r="A433" s="4" t="s">
        <v>551</v>
      </c>
      <c r="B433" s="4" t="s">
        <v>552</v>
      </c>
      <c r="C433" s="5" t="str">
        <f>IFERROR(__xludf.DUMMYFUNCTION("GOOGLETRANSLATE(B433,""en"",""zh-CN"")"),"我们看到两个男人走路并跳下跳跃。")</f>
        <v>我们看到两个男人走路并跳下跳跃。</v>
      </c>
    </row>
    <row r="434">
      <c r="A434" s="4" t="s">
        <v>551</v>
      </c>
      <c r="B434" s="4" t="s">
        <v>553</v>
      </c>
      <c r="C434" s="5" t="str">
        <f>IFERROR(__xludf.DUMMYFUNCTION("GOOGLETRANSLATE(B434,""en"",""zh-CN"")"),"一个人跳下路，另一个人当一个人拍摄他们的照片。")</f>
        <v>一个人跳下路，另一个人当一个人拍摄他们的照片。</v>
      </c>
    </row>
    <row r="435">
      <c r="A435" s="4" t="s">
        <v>551</v>
      </c>
      <c r="B435" s="4" t="s">
        <v>554</v>
      </c>
      <c r="C435" s="5" t="str">
        <f>IFERROR(__xludf.DUMMYFUNCTION("GOOGLETRANSLATE(B435,""en"",""zh-CN"")"),"一个骑自行车的男人骑着男人。")</f>
        <v>一个骑自行车的男人骑着男人。</v>
      </c>
    </row>
    <row r="436">
      <c r="A436" s="4" t="s">
        <v>551</v>
      </c>
      <c r="B436" s="4" t="s">
        <v>555</v>
      </c>
      <c r="C436" s="5" t="str">
        <f>IFERROR(__xludf.DUMMYFUNCTION("GOOGLETRANSLATE(B436,""en"",""zh-CN"")"),"四辆自行车越过男子。")</f>
        <v>四辆自行车越过男子。</v>
      </c>
    </row>
    <row r="437">
      <c r="A437" s="4" t="s">
        <v>556</v>
      </c>
      <c r="B437" s="4" t="s">
        <v>557</v>
      </c>
      <c r="C437" s="5" t="str">
        <f>IFERROR(__xludf.DUMMYFUNCTION("GOOGLETRANSLATE(B437,""en"",""zh-CN"")"),"一个男孩跳上蹦床，一边在空中抓住毛绒玩偶。")</f>
        <v>一个男孩跳上蹦床，一边在空中抓住毛绒玩偶。</v>
      </c>
    </row>
    <row r="438">
      <c r="A438" s="4" t="s">
        <v>556</v>
      </c>
      <c r="B438" s="4" t="s">
        <v>558</v>
      </c>
      <c r="C438" s="5" t="str">
        <f>IFERROR(__xludf.DUMMYFUNCTION("GOOGLETRANSLATE(B438,""en"",""zh-CN"")"),"这个男孩跌倒了，降落在蹦床上。")</f>
        <v>这个男孩跌倒了，降落在蹦床上。</v>
      </c>
    </row>
    <row r="439">
      <c r="A439" s="4" t="s">
        <v>556</v>
      </c>
      <c r="B439" s="4" t="s">
        <v>559</v>
      </c>
      <c r="C439" s="5" t="str">
        <f>IFERROR(__xludf.DUMMYFUNCTION("GOOGLETRANSLATE(B439,""en"",""zh-CN"")"),"这个男孩跳了起来，抓住洋娃娃，然后在蹦床上猛撞他的双腿之间。")</f>
        <v>这个男孩跳了起来，抓住洋娃娃，然后在蹦床上猛撞他的双腿之间。</v>
      </c>
    </row>
    <row r="440">
      <c r="A440" s="4" t="s">
        <v>556</v>
      </c>
      <c r="B440" s="4" t="s">
        <v>560</v>
      </c>
      <c r="C440" s="5" t="str">
        <f>IFERROR(__xludf.DUMMYFUNCTION("GOOGLETRANSLATE(B440,""en"",""zh-CN"")"),"这个男孩错过了试图捉住娃娃并落在蹦床上的男孩。")</f>
        <v>这个男孩错过了试图捉住娃娃并落在蹦床上的男孩。</v>
      </c>
    </row>
    <row r="441">
      <c r="A441" s="4" t="s">
        <v>561</v>
      </c>
      <c r="B441" s="6" t="s">
        <v>562</v>
      </c>
      <c r="C441" s="5" t="str">
        <f>IFERROR(__xludf.DUMMYFUNCTION("GOOGLETRANSLATE(B441,""en"",""zh-CN"")"),"看到两个人站在码头上，并与镜头说话。")</f>
        <v>看到两个人站在码头上，并与镜头说话。</v>
      </c>
    </row>
    <row r="442">
      <c r="A442" s="4" t="s">
        <v>561</v>
      </c>
      <c r="B442" s="6" t="s">
        <v>563</v>
      </c>
      <c r="C442" s="5" t="str">
        <f>IFERROR(__xludf.DUMMYFUNCTION("GOOGLETRANSLATE(B442,""en"",""zh-CN"")"),"人们在周围享受自己的愉悦，是通过剪头发，吃食物以及准备船的男人。")</f>
        <v>人们在周围享受自己的愉悦，是通过剪头发，吃食物以及准备船的男人。</v>
      </c>
    </row>
    <row r="443">
      <c r="A443" s="4" t="s">
        <v>561</v>
      </c>
      <c r="B443" s="6" t="s">
        <v>564</v>
      </c>
      <c r="C443" s="5" t="str">
        <f>IFERROR(__xludf.DUMMYFUNCTION("GOOGLETRANSLATE(B443,""en"",""zh-CN"")"),"显示了几张厨房以及骑着船上的人，仍然继续与镜头说话。")</f>
        <v>显示了几张厨房以及骑着船上的人，仍然继续与镜头说话。</v>
      </c>
    </row>
    <row r="444">
      <c r="A444" s="4" t="s">
        <v>565</v>
      </c>
      <c r="B444" s="4" t="s">
        <v>566</v>
      </c>
      <c r="C444" s="5" t="str">
        <f>IFERROR(__xludf.DUMMYFUNCTION("GOOGLETRANSLATE(B444,""en"",""zh-CN"")"),"显示业务的名称。")</f>
        <v>显示业务的名称。</v>
      </c>
    </row>
    <row r="445">
      <c r="A445" s="4" t="s">
        <v>565</v>
      </c>
      <c r="B445" s="4" t="s">
        <v>567</v>
      </c>
      <c r="C445" s="5" t="str">
        <f>IFERROR(__xludf.DUMMYFUNCTION("GOOGLETRANSLATE(B445,""en"",""zh-CN"")"),"一个人正在编织客户的头发。")</f>
        <v>一个人正在编织客户的头发。</v>
      </c>
    </row>
    <row r="446">
      <c r="A446" s="4" t="s">
        <v>565</v>
      </c>
      <c r="B446" s="4" t="s">
        <v>568</v>
      </c>
      <c r="C446" s="5" t="str">
        <f>IFERROR(__xludf.DUMMYFUNCTION("GOOGLETRANSLATE(B446,""en"",""zh-CN"")"),"一个人通过辫子运行剪刀。")</f>
        <v>一个人通过辫子运行剪刀。</v>
      </c>
    </row>
    <row r="447">
      <c r="A447" s="4" t="s">
        <v>565</v>
      </c>
      <c r="B447" s="4" t="s">
        <v>569</v>
      </c>
      <c r="C447" s="5" t="str">
        <f>IFERROR(__xludf.DUMMYFUNCTION("GOOGLETRANSLATE(B447,""en"",""zh-CN"")"),"一个人正在将杆涂在辫子上。")</f>
        <v>一个人正在将杆涂在辫子上。</v>
      </c>
    </row>
    <row r="448">
      <c r="A448" s="4" t="s">
        <v>565</v>
      </c>
      <c r="B448" s="4" t="s">
        <v>570</v>
      </c>
      <c r="C448" s="5" t="str">
        <f>IFERROR(__xludf.DUMMYFUNCTION("GOOGLETRANSLATE(B448,""en"",""zh-CN"")"),"一个人将辫子和杆放入水中。")</f>
        <v>一个人将辫子和杆放入水中。</v>
      </c>
    </row>
    <row r="449">
      <c r="A449" s="4" t="s">
        <v>565</v>
      </c>
      <c r="B449" s="4" t="s">
        <v>571</v>
      </c>
      <c r="C449" s="5" t="str">
        <f>IFERROR(__xludf.DUMMYFUNCTION("GOOGLETRANSLATE(B449,""en"",""zh-CN"")"),"戴着眼镜的客户正在谈论。")</f>
        <v>戴着眼镜的客户正在谈论。</v>
      </c>
    </row>
    <row r="450">
      <c r="A450" s="4" t="s">
        <v>565</v>
      </c>
      <c r="B450" s="4" t="s">
        <v>572</v>
      </c>
      <c r="C450" s="5" t="str">
        <f>IFERROR(__xludf.DUMMYFUNCTION("GOOGLETRANSLATE(B450,""en"",""zh-CN"")"),"辫子完成后，客户将离开。")</f>
        <v>辫子完成后，客户将离开。</v>
      </c>
    </row>
    <row r="451">
      <c r="A451" s="4" t="s">
        <v>565</v>
      </c>
      <c r="B451" s="4" t="s">
        <v>573</v>
      </c>
      <c r="C451" s="5" t="str">
        <f>IFERROR(__xludf.DUMMYFUNCTION("GOOGLETRANSLATE(B451,""en"",""zh-CN"")"),"显示了视频的积分。")</f>
        <v>显示了视频的积分。</v>
      </c>
    </row>
    <row r="452">
      <c r="A452" s="4" t="s">
        <v>574</v>
      </c>
      <c r="B452" s="4" t="s">
        <v>575</v>
      </c>
      <c r="C452" s="5" t="str">
        <f>IFERROR(__xludf.DUMMYFUNCTION("GOOGLETRANSLATE(B452,""en"",""zh-CN"")"),"一个女人站在覆盖着森林院子的草丛中的运动外套。")</f>
        <v>一个女人站在覆盖着森林院子的草丛中的运动外套。</v>
      </c>
    </row>
    <row r="453">
      <c r="A453" s="4" t="s">
        <v>574</v>
      </c>
      <c r="B453" s="4" t="s">
        <v>576</v>
      </c>
      <c r="C453" s="5" t="str">
        <f>IFERROR(__xludf.DUMMYFUNCTION("GOOGLETRANSLATE(B453,""en"",""zh-CN"")"),"该名女子进入一个开放的车间区域。")</f>
        <v>该名女子进入一个开放的车间区域。</v>
      </c>
    </row>
    <row r="454">
      <c r="A454" s="4" t="s">
        <v>574</v>
      </c>
      <c r="B454" s="4" t="s">
        <v>577</v>
      </c>
      <c r="C454" s="5" t="str">
        <f>IFERROR(__xludf.DUMMYFUNCTION("GOOGLETRANSLATE(B454,""en"",""zh-CN"")"),"原木直立在斩波块上。")</f>
        <v>原木直立在斩波块上。</v>
      </c>
    </row>
    <row r="455">
      <c r="A455" s="4" t="s">
        <v>574</v>
      </c>
      <c r="B455" s="4" t="s">
        <v>578</v>
      </c>
      <c r="C455" s="5" t="str">
        <f>IFERROR(__xludf.DUMMYFUNCTION("GOOGLETRANSLATE(B455,""en"",""zh-CN"")"),"女人用斧头将原木分成两半。")</f>
        <v>女人用斧头将原木分成两半。</v>
      </c>
    </row>
    <row r="456">
      <c r="A456" s="4" t="s">
        <v>579</v>
      </c>
      <c r="B456" s="4" t="s">
        <v>580</v>
      </c>
      <c r="C456" s="5" t="str">
        <f>IFERROR(__xludf.DUMMYFUNCTION("GOOGLETRANSLATE(B456,""en"",""zh-CN"")"),"汽车很快就沿着高速公路行驶。")</f>
        <v>汽车很快就沿着高速公路行驶。</v>
      </c>
    </row>
    <row r="457">
      <c r="A457" s="4" t="s">
        <v>579</v>
      </c>
      <c r="B457" s="4" t="s">
        <v>581</v>
      </c>
      <c r="C457" s="5" t="str">
        <f>IFERROR(__xludf.DUMMYFUNCTION("GOOGLETRANSLATE(B457,""en"",""zh-CN"")"),"他们停下来，一个男人离开，帮助两个女人离开。")</f>
        <v>他们停下来，一个男人离开，帮助两个女人离开。</v>
      </c>
    </row>
    <row r="458">
      <c r="A458" s="4" t="s">
        <v>579</v>
      </c>
      <c r="B458" s="4" t="s">
        <v>582</v>
      </c>
      <c r="C458" s="5" t="str">
        <f>IFERROR(__xludf.DUMMYFUNCTION("GOOGLETRANSLATE(B458,""en"",""zh-CN"")"),"他们进入酒吧，将球扔进女孩，喝一场啤酒乒乓球。")</f>
        <v>他们进入酒吧，将球扔进女孩，喝一场啤酒乒乓球。</v>
      </c>
    </row>
    <row r="459">
      <c r="A459" s="4" t="s">
        <v>579</v>
      </c>
      <c r="B459" s="4" t="s">
        <v>583</v>
      </c>
      <c r="C459" s="5" t="str">
        <f>IFERROR(__xludf.DUMMYFUNCTION("GOOGLETRANSLATE(B459,""en"",""zh-CN"")"),"他在宿舍里醒来，然后单击iPad开始啤酒冠军。")</f>
        <v>他在宿舍里醒来，然后单击iPad开始啤酒冠军。</v>
      </c>
    </row>
    <row r="460">
      <c r="A460" s="4" t="s">
        <v>584</v>
      </c>
      <c r="B460" s="4" t="s">
        <v>585</v>
      </c>
      <c r="C460" s="5" t="str">
        <f>IFERROR(__xludf.DUMMYFUNCTION("GOOGLETRANSLATE(B460,""en"",""zh-CN"")"),"一位身穿灰色外套的年轻女士站在一个水槽前，她的手为。")</f>
        <v>一位身穿灰色外套的年轻女士站在一个水槽前，她的手为。</v>
      </c>
    </row>
    <row r="461">
      <c r="A461" s="4" t="s">
        <v>584</v>
      </c>
      <c r="B461" s="6" t="s">
        <v>586</v>
      </c>
      <c r="C461" s="5" t="str">
        <f>IFERROR(__xludf.DUMMYFUNCTION("GOOGLETRANSLATE(B461,""en"",""zh-CN"")"),"然后，她打开水，开始冲洗双手并弯曲手指，以确保所有肥皂都关闭。")</f>
        <v>然后，她打开水，开始冲洗双手并弯曲手指，以确保所有肥皂都关闭。</v>
      </c>
    </row>
    <row r="462">
      <c r="A462" s="4" t="s">
        <v>584</v>
      </c>
      <c r="B462" s="4" t="s">
        <v>587</v>
      </c>
      <c r="C462" s="5" t="str">
        <f>IFERROR(__xludf.DUMMYFUNCTION("GOOGLETRANSLATE(B462,""en"",""zh-CN"")"),"完成此操作之后，她抓住了一条白色的毛巾，干了双手，擦了擦嘴。")</f>
        <v>完成此操作之后，她抓住了一条白色的毛巾，干了双手，擦了擦嘴。</v>
      </c>
    </row>
    <row r="463">
      <c r="A463" s="4" t="s">
        <v>588</v>
      </c>
      <c r="B463" s="4" t="s">
        <v>589</v>
      </c>
      <c r="C463" s="5" t="str">
        <f>IFERROR(__xludf.DUMMYFUNCTION("GOOGLETRANSLATE(B463,""en"",""zh-CN"")"),"几位打击乐者站在一个领域。")</f>
        <v>几位打击乐者站在一个领域。</v>
      </c>
    </row>
    <row r="464">
      <c r="A464" s="4" t="s">
        <v>588</v>
      </c>
      <c r="B464" s="4" t="s">
        <v>590</v>
      </c>
      <c r="C464" s="5" t="str">
        <f>IFERROR(__xludf.DUMMYFUNCTION("GOOGLETRANSLATE(B464,""en"",""zh-CN"")"),"他们在场上进军。")</f>
        <v>他们在场上进军。</v>
      </c>
    </row>
    <row r="465">
      <c r="A465" s="4" t="s">
        <v>588</v>
      </c>
      <c r="B465" s="4" t="s">
        <v>591</v>
      </c>
      <c r="C465" s="5" t="str">
        <f>IFERROR(__xludf.DUMMYFUNCTION("GOOGLETRANSLATE(B465,""en"",""zh-CN"")"),"他们正在同步。")</f>
        <v>他们正在同步。</v>
      </c>
    </row>
    <row r="466">
      <c r="A466" s="4" t="s">
        <v>588</v>
      </c>
      <c r="B466" s="4" t="s">
        <v>592</v>
      </c>
      <c r="C466" s="5" t="str">
        <f>IFERROR(__xludf.DUMMYFUNCTION("GOOGLETRANSLATE(B466,""en"",""zh-CN"")"),"一个女人用摄像机走过。")</f>
        <v>一个女人用摄像机走过。</v>
      </c>
    </row>
    <row r="467">
      <c r="A467" s="4" t="s">
        <v>593</v>
      </c>
      <c r="B467" s="6" t="s">
        <v>594</v>
      </c>
      <c r="C467" s="5" t="str">
        <f>IFERROR(__xludf.DUMMYFUNCTION("GOOGLETRANSLATE(B467,""en"",""zh-CN"")"),"一个带有几个面部刺穿的女孩，他看到的脸上擦了乳液，给她的脸颊和脸上撒了粉。")</f>
        <v>一个带有几个面部刺穿的女孩，他看到的脸上擦了乳液，给她的脸颊和脸上撒了粉。</v>
      </c>
    </row>
    <row r="468">
      <c r="A468" s="4" t="s">
        <v>593</v>
      </c>
      <c r="B468" s="4" t="s">
        <v>595</v>
      </c>
      <c r="C468" s="5" t="str">
        <f>IFERROR(__xludf.DUMMYFUNCTION("GOOGLETRANSLATE(B468,""en"",""zh-CN"")"),"然后，她戴上眼线笔，然后是睫毛膏和唇线笔。")</f>
        <v>然后，她戴上眼线笔，然后是睫毛膏和唇线笔。</v>
      </c>
    </row>
    <row r="469">
      <c r="A469" s="4" t="s">
        <v>593</v>
      </c>
      <c r="B469" s="6" t="s">
        <v>596</v>
      </c>
      <c r="C469" s="5" t="str">
        <f>IFERROR(__xludf.DUMMYFUNCTION("GOOGLETRANSLATE(B469,""en"",""zh-CN"")"),"她眉毛着色，戴着假的眼睛睫毛，然后擦一些黑色，并涂上更多的睫毛膏。")</f>
        <v>她眉毛着色，戴着假的眼睛睫毛，然后擦一些黑色，并涂上更多的睫毛膏。</v>
      </c>
    </row>
    <row r="470">
      <c r="A470" s="4" t="s">
        <v>593</v>
      </c>
      <c r="B470" s="4" t="s">
        <v>597</v>
      </c>
      <c r="C470" s="5" t="str">
        <f>IFERROR(__xludf.DUMMYFUNCTION("GOOGLETRANSLATE(B470,""en"",""zh-CN"")"),"她在脸颊上放了一点脸红，然后微笑着挥舞着相机。")</f>
        <v>她在脸颊上放了一点脸红，然后微笑着挥舞着相机。</v>
      </c>
    </row>
    <row r="471">
      <c r="A471" s="4" t="s">
        <v>598</v>
      </c>
      <c r="B471" s="4" t="s">
        <v>599</v>
      </c>
      <c r="C471" s="5" t="str">
        <f>IFERROR(__xludf.DUMMYFUNCTION("GOOGLETRANSLATE(B471,""en"",""zh-CN"")"),"该男子看着相机，然后回到其他地方说话。")</f>
        <v>该男子看着相机，然后回到其他地方说话。</v>
      </c>
    </row>
    <row r="472">
      <c r="A472" s="4" t="s">
        <v>598</v>
      </c>
      <c r="B472" s="6" t="s">
        <v>600</v>
      </c>
      <c r="C472" s="5" t="str">
        <f>IFERROR(__xludf.DUMMYFUNCTION("GOOGLETRANSLATE(B472,""en"",""zh-CN"")"),"然后，他们都握着的杯子，然后放入嘴里，然后将其漱口，直到他们的嘴里形成了很多气泡。")</f>
        <v>然后，他们都握着的杯子，然后放入嘴里，然后将其漱口，直到他们的嘴里形成了很多气泡。</v>
      </c>
    </row>
    <row r="473">
      <c r="A473" s="4" t="s">
        <v>601</v>
      </c>
      <c r="B473" s="4" t="s">
        <v>602</v>
      </c>
      <c r="C473" s="5" t="str">
        <f>IFERROR(__xludf.DUMMYFUNCTION("GOOGLETRANSLATE(B473,""en"",""zh-CN"")"),"人们在弯曲并伸出手臂的同时，在道路比赛中滑板。")</f>
        <v>人们在弯曲并伸出手臂的同时，在道路比赛中滑板。</v>
      </c>
    </row>
    <row r="474">
      <c r="A474" s="4" t="s">
        <v>601</v>
      </c>
      <c r="B474" s="4" t="s">
        <v>603</v>
      </c>
      <c r="C474" s="5" t="str">
        <f>IFERROR(__xludf.DUMMYFUNCTION("GOOGLETRANSLATE(B474,""en"",""zh-CN"")"),"然后，滑板手张开他的手臂，并发出信号前进。")</f>
        <v>然后，滑板手张开他的手臂，并发出信号前进。</v>
      </c>
    </row>
    <row r="475">
      <c r="A475" s="4" t="s">
        <v>601</v>
      </c>
      <c r="B475" s="4" t="s">
        <v>604</v>
      </c>
      <c r="C475" s="5" t="str">
        <f>IFERROR(__xludf.DUMMYFUNCTION("GOOGLETRANSLATE(B475,""en"",""zh-CN"")"),"然后，滑板手在前观众的前观众中通过路边看着路。")</f>
        <v>然后，滑板手在前观众的前观众中通过路边看着路。</v>
      </c>
    </row>
    <row r="476">
      <c r="A476" s="4" t="s">
        <v>601</v>
      </c>
      <c r="B476" s="4" t="s">
        <v>605</v>
      </c>
      <c r="C476" s="5" t="str">
        <f>IFERROR(__xludf.DUMMYFUNCTION("GOOGLETRANSLATE(B476,""en"",""zh-CN"")"),"人们为滑板手拍照。")</f>
        <v>人们为滑板手拍照。</v>
      </c>
    </row>
    <row r="477">
      <c r="A477" s="4" t="s">
        <v>601</v>
      </c>
      <c r="B477" s="4" t="s">
        <v>606</v>
      </c>
      <c r="C477" s="5" t="str">
        <f>IFERROR(__xludf.DUMMYFUNCTION("GOOGLETRANSLATE(B477,""en"",""zh-CN"")"),"一名滑板手在路上摔倒。")</f>
        <v>一名滑板手在路上摔倒。</v>
      </c>
    </row>
    <row r="478">
      <c r="A478" s="4" t="s">
        <v>601</v>
      </c>
      <c r="B478" s="4" t="s">
        <v>607</v>
      </c>
      <c r="C478" s="5" t="str">
        <f>IFERROR(__xludf.DUMMYFUNCTION("GOOGLETRANSLATE(B478,""en"",""zh-CN"")"),"人们继续在路上滑板。")</f>
        <v>人们继续在路上滑板。</v>
      </c>
    </row>
    <row r="479">
      <c r="A479" s="4" t="s">
        <v>608</v>
      </c>
      <c r="B479" s="4" t="s">
        <v>609</v>
      </c>
      <c r="C479" s="5" t="str">
        <f>IFERROR(__xludf.DUMMYFUNCTION("GOOGLETRANSLATE(B479,""en"",""zh-CN"")"),"一群人骑马在场上玩马球比赛。")</f>
        <v>一群人骑马在场上玩马球比赛。</v>
      </c>
    </row>
    <row r="480">
      <c r="A480" s="4" t="s">
        <v>608</v>
      </c>
      <c r="B480" s="4" t="s">
        <v>610</v>
      </c>
      <c r="C480" s="5" t="str">
        <f>IFERROR(__xludf.DUMMYFUNCTION("GOOGLETRANSLATE(B480,""en"",""zh-CN"")"),"小组争夺球，并紧密地骑行。")</f>
        <v>小组争夺球，并紧密地骑行。</v>
      </c>
    </row>
    <row r="481">
      <c r="A481" s="4" t="s">
        <v>608</v>
      </c>
      <c r="B481" s="4" t="s">
        <v>611</v>
      </c>
      <c r="C481" s="5" t="str">
        <f>IFERROR(__xludf.DUMMYFUNCTION("GOOGLETRANSLATE(B481,""en"",""zh-CN"")"),"团队中的一名成员闯入，朝他的马迈出进球。")</f>
        <v>团队中的一名成员闯入，朝他的马迈出进球。</v>
      </c>
    </row>
    <row r="482">
      <c r="A482" s="4" t="s">
        <v>612</v>
      </c>
      <c r="B482" s="4" t="s">
        <v>613</v>
      </c>
      <c r="C482" s="5" t="str">
        <f>IFERROR(__xludf.DUMMYFUNCTION("GOOGLETRANSLATE(B482,""en"",""zh-CN"")"),"一个年轻人在悬崖的侧面贴上。")</f>
        <v>一个年轻人在悬崖的侧面贴上。</v>
      </c>
    </row>
    <row r="483">
      <c r="A483" s="4" t="s">
        <v>612</v>
      </c>
      <c r="B483" s="4" t="s">
        <v>614</v>
      </c>
      <c r="C483" s="5" t="str">
        <f>IFERROR(__xludf.DUMMYFUNCTION("GOOGLETRANSLATE(B483,""en"",""zh-CN"")"),"另一个男人观看并从下面有帮助。")</f>
        <v>另一个男人观看并从下面有帮助。</v>
      </c>
    </row>
    <row r="484">
      <c r="A484" s="4" t="s">
        <v>612</v>
      </c>
      <c r="B484" s="4" t="s">
        <v>615</v>
      </c>
      <c r="C484" s="5" t="str">
        <f>IFERROR(__xludf.DUMMYFUNCTION("GOOGLETRANSLATE(B484,""en"",""zh-CN"")"),"该男子继续攀登，直到他到达顶部。")</f>
        <v>该男子继续攀登，直到他到达顶部。</v>
      </c>
    </row>
    <row r="485">
      <c r="A485" s="4" t="s">
        <v>616</v>
      </c>
      <c r="B485" s="4" t="s">
        <v>617</v>
      </c>
      <c r="C485" s="5" t="str">
        <f>IFERROR(__xludf.DUMMYFUNCTION("GOOGLETRANSLATE(B485,""en"",""zh-CN"")"),"人们在外面玩板球。")</f>
        <v>人们在外面玩板球。</v>
      </c>
    </row>
    <row r="486">
      <c r="A486" s="4" t="s">
        <v>616</v>
      </c>
      <c r="B486" s="4" t="s">
        <v>618</v>
      </c>
      <c r="C486" s="5" t="str">
        <f>IFERROR(__xludf.DUMMYFUNCTION("GOOGLETRANSLATE(B486,""en"",""zh-CN"")"),"一群人举起奖杯。")</f>
        <v>一群人举起奖杯。</v>
      </c>
    </row>
    <row r="487">
      <c r="A487" s="4" t="s">
        <v>616</v>
      </c>
      <c r="B487" s="4" t="s">
        <v>619</v>
      </c>
      <c r="C487" s="5" t="str">
        <f>IFERROR(__xludf.DUMMYFUNCTION("GOOGLETRANSLATE(B487,""en"",""zh-CN"")"),"人们在外面玩板球。")</f>
        <v>人们在外面玩板球。</v>
      </c>
    </row>
    <row r="488">
      <c r="A488" s="4" t="s">
        <v>620</v>
      </c>
      <c r="B488" s="4" t="s">
        <v>621</v>
      </c>
      <c r="C488" s="5" t="str">
        <f>IFERROR(__xludf.DUMMYFUNCTION("GOOGLETRANSLATE(B488,""en"",""zh-CN"")"),"一个女人站在比基尼的厕所里。")</f>
        <v>一个女人站在比基尼的厕所里。</v>
      </c>
    </row>
    <row r="489">
      <c r="A489" s="4" t="s">
        <v>620</v>
      </c>
      <c r="B489" s="4" t="s">
        <v>622</v>
      </c>
      <c r="C489" s="5" t="str">
        <f>IFERROR(__xludf.DUMMYFUNCTION("GOOGLETRANSLATE(B489,""en"",""zh-CN"")"),"一个男人正在将防晒霜摩擦在她的腿上。")</f>
        <v>一个男人正在将防晒霜摩擦在她的腿上。</v>
      </c>
    </row>
    <row r="490">
      <c r="A490" s="4" t="s">
        <v>620</v>
      </c>
      <c r="B490" s="4" t="s">
        <v>623</v>
      </c>
      <c r="C490" s="5" t="str">
        <f>IFERROR(__xludf.DUMMYFUNCTION("GOOGLETRANSLATE(B490,""en"",""zh-CN"")"),"她开始擦腿。")</f>
        <v>她开始擦腿。</v>
      </c>
    </row>
    <row r="491">
      <c r="A491" s="4" t="s">
        <v>624</v>
      </c>
      <c r="B491" s="4" t="s">
        <v>625</v>
      </c>
      <c r="C491" s="5" t="str">
        <f>IFERROR(__xludf.DUMMYFUNCTION("GOOGLETRANSLATE(B491,""en"",""zh-CN"")"),"看到一个女人在拿着各种物体的同时向相机说话。")</f>
        <v>看到一个女人在拿着各种物体的同时向相机说话。</v>
      </c>
    </row>
    <row r="492">
      <c r="A492" s="4" t="s">
        <v>624</v>
      </c>
      <c r="B492" s="4" t="s">
        <v>626</v>
      </c>
      <c r="C492" s="5" t="str">
        <f>IFERROR(__xludf.DUMMYFUNCTION("GOOGLETRANSLATE(B492,""en"",""zh-CN"")"),"将胶带放在他的眼睛上，开始将眼线笔放在她的眼睛上。")</f>
        <v>将胶带放在他的眼睛上，开始将眼线笔放在她的眼睛上。</v>
      </c>
    </row>
    <row r="493">
      <c r="A493" s="4" t="s">
        <v>624</v>
      </c>
      <c r="B493" s="6" t="s">
        <v>627</v>
      </c>
      <c r="C493" s="5" t="str">
        <f>IFERROR(__xludf.DUMMYFUNCTION("GOOGLETRANSLATE(B493,""en"",""zh-CN"")"),"她在与镜头说话时继续化妆，最后摘下胶带。")</f>
        <v>她在与镜头说话时继续化妆，最后摘下胶带。</v>
      </c>
    </row>
    <row r="494">
      <c r="A494" s="4" t="s">
        <v>628</v>
      </c>
      <c r="B494" s="4" t="s">
        <v>629</v>
      </c>
      <c r="C494" s="5" t="str">
        <f>IFERROR(__xludf.DUMMYFUNCTION("GOOGLETRANSLATE(B494,""en"",""zh-CN"")"),"穿着紫色衬衫的人拿着燃气管。")</f>
        <v>穿着紫色衬衫的人拿着燃气管。</v>
      </c>
    </row>
    <row r="495">
      <c r="A495" s="4" t="s">
        <v>628</v>
      </c>
      <c r="B495" s="4" t="s">
        <v>630</v>
      </c>
      <c r="C495" s="5" t="str">
        <f>IFERROR(__xludf.DUMMYFUNCTION("GOOGLETRANSLATE(B495,""en"",""zh-CN"")"),"该男子正在用管道照亮木火。")</f>
        <v>该男子正在用管道照亮木火。</v>
      </c>
    </row>
    <row r="496">
      <c r="A496" s="4" t="s">
        <v>628</v>
      </c>
      <c r="B496" s="4" t="s">
        <v>631</v>
      </c>
      <c r="C496" s="5" t="str">
        <f>IFERROR(__xludf.DUMMYFUNCTION("GOOGLETRANSLATE(B496,""en"",""zh-CN"")"),"男人正站在房子外面，照亮柴火。")</f>
        <v>男人正站在房子外面，照亮柴火。</v>
      </c>
    </row>
    <row r="497">
      <c r="A497" s="4" t="s">
        <v>632</v>
      </c>
      <c r="B497" s="4" t="s">
        <v>633</v>
      </c>
      <c r="C497" s="5" t="str">
        <f>IFERROR(__xludf.DUMMYFUNCTION("GOOGLETRANSLATE(B497,""en"",""zh-CN"")"),"看到一个男人在拿着玩具时与狗站在田野里。")</f>
        <v>看到一个男人在拿着玩具时与狗站在田野里。</v>
      </c>
    </row>
    <row r="498">
      <c r="A498" s="4" t="s">
        <v>632</v>
      </c>
      <c r="B498" s="4" t="s">
        <v>634</v>
      </c>
      <c r="C498" s="5" t="str">
        <f>IFERROR(__xludf.DUMMYFUNCTION("GOOGLETRANSLATE(B498,""en"",""zh-CN"")"),"然后，当狗追逐他们时，该男子开始扔玩具。")</f>
        <v>然后，当狗追逐他们时，该男子开始扔玩具。</v>
      </c>
    </row>
    <row r="499">
      <c r="A499" s="4" t="s">
        <v>632</v>
      </c>
      <c r="B499" s="4" t="s">
        <v>635</v>
      </c>
      <c r="C499" s="5" t="str">
        <f>IFERROR(__xludf.DUMMYFUNCTION("GOOGLETRANSLATE(B499,""en"",""zh-CN"")"),"这些人继续用狗做技巧，并以图片结尾。")</f>
        <v>这些人继续用狗做技巧，并以图片结尾。</v>
      </c>
    </row>
    <row r="500">
      <c r="A500" s="4" t="s">
        <v>636</v>
      </c>
      <c r="B500" s="4" t="s">
        <v>637</v>
      </c>
      <c r="C500" s="5" t="str">
        <f>IFERROR(__xludf.DUMMYFUNCTION("GOOGLETRANSLATE(B500,""en"",""zh-CN"")"),"一个年长的金发女郎正在阅读一个故事。")</f>
        <v>一个年长的金发女郎正在阅读一个故事。</v>
      </c>
    </row>
    <row r="501">
      <c r="A501" s="4" t="s">
        <v>636</v>
      </c>
      <c r="B501" s="4" t="s">
        <v>638</v>
      </c>
      <c r="C501" s="5" t="str">
        <f>IFERROR(__xludf.DUMMYFUNCTION("GOOGLETRANSLATE(B501,""en"",""zh-CN"")"),"各种照片显示了沙芬板历史记录。")</f>
        <v>各种照片显示了沙芬板历史记录。</v>
      </c>
    </row>
    <row r="502">
      <c r="A502" s="4" t="s">
        <v>636</v>
      </c>
      <c r="B502" s="4" t="s">
        <v>639</v>
      </c>
      <c r="C502" s="5" t="str">
        <f>IFERROR(__xludf.DUMMYFUNCTION("GOOGLETRANSLATE(B502,""en"",""zh-CN"")"),"一个老人接受了相机的采访。")</f>
        <v>一个老人接受了相机的采访。</v>
      </c>
    </row>
    <row r="503">
      <c r="A503" s="4" t="s">
        <v>636</v>
      </c>
      <c r="B503" s="4" t="s">
        <v>640</v>
      </c>
      <c r="C503" s="5" t="str">
        <f>IFERROR(__xludf.DUMMYFUNCTION("GOOGLETRANSLATE(B503,""en"",""zh-CN"")"),"显示了各种播放洗牌板的人。")</f>
        <v>显示了各种播放洗牌板的人。</v>
      </c>
    </row>
    <row r="504">
      <c r="A504" s="4" t="s">
        <v>636</v>
      </c>
      <c r="B504" s="4" t="s">
        <v>641</v>
      </c>
      <c r="C504" s="5" t="str">
        <f>IFERROR(__xludf.DUMMYFUNCTION("GOOGLETRANSLATE(B504,""en"",""zh-CN"")"),"较旧的金发记者结束了新闻故事。")</f>
        <v>较旧的金发记者结束了新闻故事。</v>
      </c>
    </row>
    <row r="505">
      <c r="A505" s="4" t="s">
        <v>642</v>
      </c>
      <c r="B505" s="4" t="s">
        <v>643</v>
      </c>
      <c r="C505" s="5" t="str">
        <f>IFERROR(__xludf.DUMMYFUNCTION("GOOGLETRANSLATE(B505,""en"",""zh-CN"")"),"显示了几张摔跤手的镜头。")</f>
        <v>显示了几张摔跤手的镜头。</v>
      </c>
    </row>
    <row r="506">
      <c r="A506" s="4" t="s">
        <v>642</v>
      </c>
      <c r="B506" s="4" t="s">
        <v>644</v>
      </c>
      <c r="C506" s="5" t="str">
        <f>IFERROR(__xludf.DUMMYFUNCTION("GOOGLETRANSLATE(B506,""en"",""zh-CN"")"),"他们都在拐角处翻转。")</f>
        <v>他们都在拐角处翻转。</v>
      </c>
    </row>
    <row r="507">
      <c r="A507" s="4" t="s">
        <v>642</v>
      </c>
      <c r="B507" s="4" t="s">
        <v>645</v>
      </c>
      <c r="C507" s="5" t="str">
        <f>IFERROR(__xludf.DUMMYFUNCTION("GOOGLETRANSLATE(B507,""en"",""zh-CN"")"),"对手的土地。")</f>
        <v>对手的土地。</v>
      </c>
    </row>
    <row r="508">
      <c r="A508" s="4" t="s">
        <v>642</v>
      </c>
      <c r="B508" s="4" t="s">
        <v>646</v>
      </c>
      <c r="C508" s="5" t="str">
        <f>IFERROR(__xludf.DUMMYFUNCTION("GOOGLETRANSLATE(B508,""en"",""zh-CN"")"),"他们把他们撞到地板上。")</f>
        <v>他们把他们撞到地板上。</v>
      </c>
    </row>
    <row r="509">
      <c r="A509" s="4" t="s">
        <v>647</v>
      </c>
      <c r="B509" s="6" t="s">
        <v>648</v>
      </c>
      <c r="C509" s="5" t="str">
        <f>IFERROR(__xludf.DUMMYFUNCTION("GOOGLETRANSLATE(B509,""en"",""zh-CN"")"),"一个看不见的人演示了如何使用特殊工具在轮胎上卸下和安装轮胎阀。")</f>
        <v>一个看不见的人演示了如何使用特殊工具在轮胎上卸下和安装轮胎阀。</v>
      </c>
    </row>
    <row r="510">
      <c r="A510" s="4" t="s">
        <v>647</v>
      </c>
      <c r="B510" s="4" t="s">
        <v>649</v>
      </c>
      <c r="C510" s="5" t="str">
        <f>IFERROR(__xludf.DUMMYFUNCTION("GOOGLETRANSLATE(B510,""en"",""zh-CN"")"),"看到一对手在平坦表面上的黄色壁轮胎上产生金属工具。")</f>
        <v>看到一对手在平坦表面上的黄色壁轮胎上产生金属工具。</v>
      </c>
    </row>
    <row r="511">
      <c r="A511" s="4" t="s">
        <v>647</v>
      </c>
      <c r="B511" s="4" t="s">
        <v>650</v>
      </c>
      <c r="C511" s="5" t="str">
        <f>IFERROR(__xludf.DUMMYFUNCTION("GOOGLETRANSLATE(B511,""en"",""zh-CN"")"),"手使用金属弯曲工具将旧轮胎阀从其孔中拔出。")</f>
        <v>手使用金属弯曲工具将旧轮胎阀从其孔中拔出。</v>
      </c>
    </row>
    <row r="512">
      <c r="A512" s="4" t="s">
        <v>647</v>
      </c>
      <c r="B512" s="4" t="s">
        <v>651</v>
      </c>
      <c r="C512" s="5" t="str">
        <f>IFERROR(__xludf.DUMMYFUNCTION("GOOGLETRANSLATE(B512,""en"",""zh-CN"")"),"然后，手使用金属，黑色工具将新阀插入轮胎中。")</f>
        <v>然后，手使用金属，黑色工具将新阀插入轮胎中。</v>
      </c>
    </row>
    <row r="513">
      <c r="A513" s="4" t="s">
        <v>652</v>
      </c>
      <c r="B513" s="6" t="s">
        <v>653</v>
      </c>
      <c r="C513" s="5" t="str">
        <f>IFERROR(__xludf.DUMMYFUNCTION("GOOGLETRANSLATE(B513,""en"",""zh-CN"")"),"看到一个人的手在猫周围移动，并修剪了爪子，而猫静止不动，环顾四周。")</f>
        <v>看到一个人的手在猫周围移动，并修剪了爪子，而猫静止不动，环顾四周。</v>
      </c>
    </row>
    <row r="514">
      <c r="A514" s="4" t="s">
        <v>652</v>
      </c>
      <c r="B514" s="4" t="s">
        <v>654</v>
      </c>
      <c r="C514" s="5" t="str">
        <f>IFERROR(__xludf.DUMMYFUNCTION("GOOGLETRANSLATE(B514,""en"",""zh-CN"")"),"然后，该人最终将猫的指甲提交猫的指甲，并放大猫的腹部。")</f>
        <v>然后，该人最终将猫的指甲提交猫的指甲，并放大猫的腹部。</v>
      </c>
    </row>
    <row r="515">
      <c r="A515" s="4" t="s">
        <v>655</v>
      </c>
      <c r="B515" s="4" t="s">
        <v>656</v>
      </c>
      <c r="C515" s="5" t="str">
        <f>IFERROR(__xludf.DUMMYFUNCTION("GOOGLETRANSLATE(B515,""en"",""zh-CN"")"),"一个男人坐在健身房的黑色垫子上。")</f>
        <v>一个男人坐在健身房的黑色垫子上。</v>
      </c>
    </row>
    <row r="516">
      <c r="A516" s="4" t="s">
        <v>655</v>
      </c>
      <c r="B516" s="4" t="s">
        <v>657</v>
      </c>
      <c r="C516" s="5" t="str">
        <f>IFERROR(__xludf.DUMMYFUNCTION("GOOGLETRANSLATE(B516,""en"",""zh-CN"")"),"他躺着，在垫子上仰卧起来。")</f>
        <v>他躺着，在垫子上仰卧起来。</v>
      </c>
    </row>
    <row r="517">
      <c r="A517" s="4" t="s">
        <v>655</v>
      </c>
      <c r="B517" s="4" t="s">
        <v>658</v>
      </c>
      <c r="C517" s="5" t="str">
        <f>IFERROR(__xludf.DUMMYFUNCTION("GOOGLETRANSLATE(B517,""en"",""zh-CN"")"),"他坐起来继续说话。")</f>
        <v>他坐起来继续说话。</v>
      </c>
    </row>
    <row r="518">
      <c r="A518" s="4" t="s">
        <v>659</v>
      </c>
      <c r="B518" s="6" t="s">
        <v>660</v>
      </c>
      <c r="C518" s="5" t="str">
        <f>IFERROR(__xludf.DUMMYFUNCTION("GOOGLETRANSLATE(B518,""en"",""zh-CN"")"),"一个摄像机围绕一个赤膊男子坐在雪地里，然后是人滑雪，男人骑着山上。")</f>
        <v>一个摄像机围绕一个赤膊男子坐在雪地里，然后是人滑雪，男人骑着山上。</v>
      </c>
    </row>
    <row r="519">
      <c r="A519" s="4" t="s">
        <v>659</v>
      </c>
      <c r="B519" s="6" t="s">
        <v>661</v>
      </c>
      <c r="C519" s="5" t="str">
        <f>IFERROR(__xludf.DUMMYFUNCTION("GOOGLETRANSLATE(B519,""en"",""zh-CN"")"),"几张照片显示了人们沿着白雪皑皑的山丘上骑在镜头前的技巧。")</f>
        <v>几张照片显示了人们沿着白雪皑皑的山丘上骑在镜头前的技巧。</v>
      </c>
    </row>
    <row r="520">
      <c r="A520" s="4" t="s">
        <v>662</v>
      </c>
      <c r="B520" s="4" t="s">
        <v>663</v>
      </c>
      <c r="C520" s="5" t="str">
        <f>IFERROR(__xludf.DUMMYFUNCTION("GOOGLETRANSLATE(B520,""en"",""zh-CN"")"),"看到一个穴居人走一块紫色的岩石。")</f>
        <v>看到一个穴居人走一块紫色的岩石。</v>
      </c>
    </row>
    <row r="521">
      <c r="A521" s="4" t="s">
        <v>662</v>
      </c>
      <c r="B521" s="4" t="s">
        <v>664</v>
      </c>
      <c r="C521" s="5" t="str">
        <f>IFERROR(__xludf.DUMMYFUNCTION("GOOGLETRANSLATE(B521,""en"",""zh-CN"")"),"他遇到了一只大狗，那只狗吃了穴居人。")</f>
        <v>他遇到了一只大狗，那只狗吃了穴居人。</v>
      </c>
    </row>
    <row r="522">
      <c r="A522" s="4" t="s">
        <v>662</v>
      </c>
      <c r="B522" s="4" t="s">
        <v>665</v>
      </c>
      <c r="C522" s="5" t="str">
        <f>IFERROR(__xludf.DUMMYFUNCTION("GOOGLETRANSLATE(B522,""en"",""zh-CN"")"),"上帝走了一只贵宾犬。")</f>
        <v>上帝走了一只贵宾犬。</v>
      </c>
    </row>
    <row r="523">
      <c r="A523" s="4" t="s">
        <v>662</v>
      </c>
      <c r="B523" s="4" t="s">
        <v>666</v>
      </c>
      <c r="C523" s="5" t="str">
        <f>IFERROR(__xludf.DUMMYFUNCTION("GOOGLETRANSLATE(B523,""en"",""zh-CN"")"),"牛仔散步他的狗，在轿车外被枪杀。")</f>
        <v>牛仔散步他的狗，在轿车外被枪杀。</v>
      </c>
    </row>
    <row r="524">
      <c r="A524" s="4" t="s">
        <v>662</v>
      </c>
      <c r="B524" s="4" t="s">
        <v>667</v>
      </c>
      <c r="C524" s="5" t="str">
        <f>IFERROR(__xludf.DUMMYFUNCTION("GOOGLETRANSLATE(B524,""en"",""zh-CN"")"),"看到卓别林walking狗。")</f>
        <v>看到卓别林walking狗。</v>
      </c>
    </row>
    <row r="525">
      <c r="A525" s="4" t="s">
        <v>662</v>
      </c>
      <c r="B525" s="4" t="s">
        <v>668</v>
      </c>
      <c r="C525" s="5" t="str">
        <f>IFERROR(__xludf.DUMMYFUNCTION("GOOGLETRANSLATE(B525,""en"",""zh-CN"")"),"一只嬉皮狗躺在地板上，似乎正在幻觉。")</f>
        <v>一只嬉皮狗躺在地板上，似乎正在幻觉。</v>
      </c>
    </row>
    <row r="526">
      <c r="A526" s="4" t="s">
        <v>662</v>
      </c>
      <c r="B526" s="4" t="s">
        <v>669</v>
      </c>
      <c r="C526" s="5" t="str">
        <f>IFERROR(__xludf.DUMMYFUNCTION("GOOGLETRANSLATE(B526,""en"",""zh-CN"")"),"可以看到狗和航天器探索空间。")</f>
        <v>可以看到狗和航天器探索空间。</v>
      </c>
    </row>
    <row r="527">
      <c r="A527" s="4" t="s">
        <v>670</v>
      </c>
      <c r="B527" s="4" t="s">
        <v>671</v>
      </c>
      <c r="C527" s="5" t="str">
        <f>IFERROR(__xludf.DUMMYFUNCTION("GOOGLETRANSLATE(B527,""en"",""zh-CN"")"),"一个穿着黑色衣服的男人正在用石头上磨刀。")</f>
        <v>一个穿着黑色衣服的男人正在用石头上磨刀。</v>
      </c>
    </row>
    <row r="528">
      <c r="A528" s="4" t="s">
        <v>670</v>
      </c>
      <c r="B528" s="4" t="s">
        <v>672</v>
      </c>
      <c r="C528" s="5" t="str">
        <f>IFERROR(__xludf.DUMMYFUNCTION("GOOGLETRANSLATE(B528,""en"",""zh-CN"")"),"蓝色长袖旁边的那个人用手指在桌子上画了一些东西。")</f>
        <v>蓝色长袖旁边的那个人用手指在桌子上画了一些东西。</v>
      </c>
    </row>
    <row r="529">
      <c r="A529" s="4" t="s">
        <v>670</v>
      </c>
      <c r="B529" s="4" t="s">
        <v>673</v>
      </c>
      <c r="C529" s="5" t="str">
        <f>IFERROR(__xludf.DUMMYFUNCTION("GOOGLETRANSLATE(B529,""en"",""zh-CN"")"),"该男子转动刀以锐化另一侧，然后用纸巾擦拭。")</f>
        <v>该男子转动刀以锐化另一侧，然后用纸巾擦拭。</v>
      </c>
    </row>
    <row r="530">
      <c r="A530" s="4" t="s">
        <v>670</v>
      </c>
      <c r="B530" s="6" t="s">
        <v>674</v>
      </c>
      <c r="C530" s="5" t="str">
        <f>IFERROR(__xludf.DUMMYFUNCTION("GOOGLETRANSLATE(B530,""en"",""zh-CN"")"),"海军蓝色衬衫的那个人指着刀子，而那个男人锐利的刀则试图一只手锐利。")</f>
        <v>海军蓝色衬衫的那个人指着刀子，而那个男人锐利的刀则试图一只手锐利。</v>
      </c>
    </row>
    <row r="531">
      <c r="A531" s="4" t="s">
        <v>670</v>
      </c>
      <c r="B531" s="6" t="s">
        <v>675</v>
      </c>
      <c r="C531" s="5" t="str">
        <f>IFERROR(__xludf.DUMMYFUNCTION("GOOGLETRANSLATE(B531,""en"",""zh-CN"")"),"他继续锐化刀，再次转动它以进一步锐化对方，然后用纸巾再次擦拭。")</f>
        <v>他继续锐化刀，再次转动它以进一步锐化对方，然后用纸巾再次擦拭。</v>
      </c>
    </row>
    <row r="532">
      <c r="A532" s="4" t="s">
        <v>670</v>
      </c>
      <c r="B532" s="4" t="s">
        <v>676</v>
      </c>
      <c r="C532" s="5" t="str">
        <f>IFERROR(__xludf.DUMMYFUNCTION("GOOGLETRANSLATE(B532,""en"",""zh-CN"")"),"扔掉旧且肮脏的纸巾，到达纸巾卷，然后清洁刀。")</f>
        <v>扔掉旧且肮脏的纸巾，到达纸巾卷，然后清洁刀。</v>
      </c>
    </row>
    <row r="533">
      <c r="A533" s="4" t="s">
        <v>677</v>
      </c>
      <c r="B533" s="4" t="s">
        <v>678</v>
      </c>
      <c r="C533" s="5" t="str">
        <f>IFERROR(__xludf.DUMMYFUNCTION("GOOGLETRANSLATE(B533,""en"",""zh-CN"")"),"一个摄像机在下雪的区域周围竖起，并在山上的管子上过渡到几个人。")</f>
        <v>一个摄像机在下雪的区域周围竖起，并在山上的管子上过渡到几个人。</v>
      </c>
    </row>
    <row r="534">
      <c r="A534" s="4" t="s">
        <v>677</v>
      </c>
      <c r="B534" s="6" t="s">
        <v>679</v>
      </c>
      <c r="C534" s="5" t="str">
        <f>IFERROR(__xludf.DUMMYFUNCTION("GOOGLETRANSLATE(B534,""en"",""zh-CN"")"),"当一个人掉下来时，人们在山上骑行时笑着，相机在人民周围摇晃。")</f>
        <v>当一个人掉下来时，人们在山上骑行时笑着，相机在人民周围摇晃。</v>
      </c>
    </row>
    <row r="535">
      <c r="A535" s="4" t="s">
        <v>677</v>
      </c>
      <c r="B535" s="4" t="s">
        <v>680</v>
      </c>
      <c r="C535" s="5" t="str">
        <f>IFERROR(__xludf.DUMMYFUNCTION("GOOGLETRANSLATE(B535,""en"",""zh-CN"")"),"相机显示了另一枪，所有人都一起骑着长山。")</f>
        <v>相机显示了另一枪，所有人都一起骑着长山。</v>
      </c>
    </row>
    <row r="536">
      <c r="A536" s="4" t="s">
        <v>681</v>
      </c>
      <c r="B536" s="4" t="s">
        <v>682</v>
      </c>
      <c r="C536" s="5" t="str">
        <f>IFERROR(__xludf.DUMMYFUNCTION("GOOGLETRANSLATE(B536,""en"",""zh-CN"")"),"一个男人坐在冷冻的湖上，钓鱼，被一个洞钓鱼，被钓鱼齿轮包围。")</f>
        <v>一个男人坐在冷冻的湖上，钓鱼，被一个洞钓鱼，被钓鱼齿轮包围。</v>
      </c>
    </row>
    <row r="537">
      <c r="A537" s="4" t="s">
        <v>681</v>
      </c>
      <c r="B537" s="4" t="s">
        <v>683</v>
      </c>
      <c r="C537" s="5" t="str">
        <f>IFERROR(__xludf.DUMMYFUNCTION("GOOGLETRANSLATE(B537,""en"",""zh-CN"")"),"他离开了他的东西，一条鱼将杆子拉入水中，随之消失。")</f>
        <v>他离开了他的东西，一条鱼将杆子拉入水中，随之消失。</v>
      </c>
    </row>
    <row r="538">
      <c r="A538" s="4" t="s">
        <v>681</v>
      </c>
      <c r="B538" s="4" t="s">
        <v>684</v>
      </c>
      <c r="C538" s="5" t="str">
        <f>IFERROR(__xludf.DUMMYFUNCTION("GOOGLETRANSLATE(B538,""en"",""zh-CN"")"),"他用手愤怒地站在臀部上，然后再拿起另一个杆子，试图将其取回。")</f>
        <v>他用手愤怒地站在臀部上，然后再拿起另一个杆子，试图将其取回。</v>
      </c>
    </row>
    <row r="539">
      <c r="A539" s="4" t="s">
        <v>685</v>
      </c>
      <c r="B539" s="4" t="s">
        <v>686</v>
      </c>
      <c r="C539" s="5" t="str">
        <f>IFERROR(__xludf.DUMMYFUNCTION("GOOGLETRANSLATE(B539,""en"",""zh-CN"")"),"一个人站在舞台上，执行不同的动作。")</f>
        <v>一个人站在舞台上，执行不同的动作。</v>
      </c>
    </row>
    <row r="540">
      <c r="A540" s="4" t="s">
        <v>685</v>
      </c>
      <c r="B540" s="4" t="s">
        <v>687</v>
      </c>
      <c r="C540" s="5" t="str">
        <f>IFERROR(__xludf.DUMMYFUNCTION("GOOGLETRANSLATE(B540,""en"",""zh-CN"")"),"他走出舞台，其他人走上舞台。")</f>
        <v>他走出舞台，其他人走上舞台。</v>
      </c>
    </row>
    <row r="541">
      <c r="A541" s="4" t="s">
        <v>688</v>
      </c>
      <c r="B541" s="4" t="s">
        <v>689</v>
      </c>
      <c r="C541" s="5" t="str">
        <f>IFERROR(__xludf.DUMMYFUNCTION("GOOGLETRANSLATE(B541,""en"",""zh-CN"")"),"这个女人正在向观众展示如何制作Chambord Royale。")</f>
        <v>这个女人正在向观众展示如何制作Chambord Royale。</v>
      </c>
    </row>
    <row r="542">
      <c r="A542" s="4" t="s">
        <v>688</v>
      </c>
      <c r="B542" s="6" t="s">
        <v>690</v>
      </c>
      <c r="C542" s="5" t="str">
        <f>IFERROR(__xludf.DUMMYFUNCTION("GOOGLETRANSLATE(B542,""en"",""zh-CN"")"),"首先，她用冰填充了摇床，然后添加了伏特加酒和chambord，然后将两者都放一盎司，然后添加了一点菠萝汁和蔓越莓汁。")</f>
        <v>首先，她用冰填充了摇床，然后添加了伏特加酒和chambord，然后将两者都放一盎司，然后添加了一点菠萝汁和蔓越莓汁。</v>
      </c>
    </row>
    <row r="543">
      <c r="A543" s="4" t="s">
        <v>688</v>
      </c>
      <c r="B543" s="4" t="s">
        <v>691</v>
      </c>
      <c r="C543" s="5" t="str">
        <f>IFERROR(__xludf.DUMMYFUNCTION("GOOGLETRANSLATE(B543,""en"",""zh-CN"")"),"接下来，她将所有东西摇动，将饮料加入鸡尾酒杯中。")</f>
        <v>接下来，她将所有东西摇动，将饮料加入鸡尾酒杯中。</v>
      </c>
    </row>
    <row r="544">
      <c r="A544" s="4" t="s">
        <v>692</v>
      </c>
      <c r="B544" s="4" t="s">
        <v>693</v>
      </c>
      <c r="C544" s="5" t="str">
        <f>IFERROR(__xludf.DUMMYFUNCTION("GOOGLETRANSLATE(B544,""en"",""zh-CN"")"),"显示了这个perosn制作的三明治，其中包括午餐肉，瑞士奶酪和蛋黄酱。")</f>
        <v>显示了这个perosn制作的三明治，其中包括午餐肉，瑞士奶酪和蛋黄酱。</v>
      </c>
    </row>
    <row r="545">
      <c r="A545" s="4" t="s">
        <v>692</v>
      </c>
      <c r="B545" s="4" t="s">
        <v>694</v>
      </c>
      <c r="C545" s="5" t="str">
        <f>IFERROR(__xludf.DUMMYFUNCTION("GOOGLETRANSLATE(B545,""en"",""zh-CN"")"),"然后，他将鸡蛋和牛奶混合在一起，将三明治放入混合物中。")</f>
        <v>然后，他将鸡蛋和牛奶混合在一起，将三明治放入混合物中。</v>
      </c>
    </row>
    <row r="546">
      <c r="A546" s="4" t="s">
        <v>692</v>
      </c>
      <c r="B546" s="6" t="s">
        <v>695</v>
      </c>
      <c r="C546" s="5" t="str">
        <f>IFERROR(__xludf.DUMMYFUNCTION("GOOGLETRANSLATE(B546,""en"",""zh-CN"")"),"他将三明治放在炉子上的煎锅中，然后将三明治放在白色正方形的盘子上，我猜他吃了。")</f>
        <v>他将三明治放在炉子上的煎锅中，然后将三明治放在白色正方形的盘子上，我猜他吃了。</v>
      </c>
    </row>
    <row r="547">
      <c r="A547" s="4" t="s">
        <v>696</v>
      </c>
      <c r="B547" s="6" t="s">
        <v>697</v>
      </c>
      <c r="C547" s="5" t="str">
        <f>IFERROR(__xludf.DUMMYFUNCTION("GOOGLETRANSLATE(B547,""en"",""zh-CN"")"),"当钢琴音乐在背景中播放时，一个非常大的，肌肉发达的人在体育馆里显示出重量棒。")</f>
        <v>当钢琴音乐在背景中播放时，一个非常大的，肌肉发达的人在体育馆里显示出重量棒。</v>
      </c>
    </row>
    <row r="548">
      <c r="A548" s="4" t="s">
        <v>696</v>
      </c>
      <c r="B548" s="4" t="s">
        <v>698</v>
      </c>
      <c r="C548" s="5" t="str">
        <f>IFERROR(__xludf.DUMMYFUNCTION("GOOGLETRANSLATE(B548,""en"",""zh-CN"")"),"视频始于地板上的重量，那个男人准备举起它。")</f>
        <v>视频始于地板上的重量，那个男人准备举起它。</v>
      </c>
    </row>
    <row r="549">
      <c r="A549" s="4" t="s">
        <v>696</v>
      </c>
      <c r="B549" s="4" t="s">
        <v>699</v>
      </c>
      <c r="C549" s="5" t="str">
        <f>IFERROR(__xludf.DUMMYFUNCTION("GOOGLETRANSLATE(B549,""en"",""zh-CN"")"),"他举起重量，首先将其与肩膀平行。")</f>
        <v>他举起重量，首先将其与肩膀平行。</v>
      </c>
    </row>
    <row r="550">
      <c r="A550" s="4" t="s">
        <v>696</v>
      </c>
      <c r="B550" s="4" t="s">
        <v>700</v>
      </c>
      <c r="C550" s="5" t="str">
        <f>IFERROR(__xludf.DUMMYFUNCTION("GOOGLETRANSLATE(B550,""en"",""zh-CN"")"),"然后，他伸出手臂将其完全抬起头上。")</f>
        <v>然后，他伸出手臂将其完全抬起头上。</v>
      </c>
    </row>
    <row r="551">
      <c r="A551" s="4" t="s">
        <v>696</v>
      </c>
      <c r="B551" s="4" t="s">
        <v>701</v>
      </c>
      <c r="C551" s="5" t="str">
        <f>IFERROR(__xludf.DUMMYFUNCTION("GOOGLETRANSLATE(B551,""en"",""zh-CN"")"),"将手臂抬起几秒钟后，他让重量掉到了地上。")</f>
        <v>将手臂抬起几秒钟后，他让重量掉到了地上。</v>
      </c>
    </row>
    <row r="552">
      <c r="A552" s="4" t="s">
        <v>702</v>
      </c>
      <c r="B552" s="4" t="s">
        <v>703</v>
      </c>
      <c r="C552" s="5" t="str">
        <f>IFERROR(__xludf.DUMMYFUNCTION("GOOGLETRANSLATE(B552,""en"",""zh-CN"")"),"一个简介导致一个女人掏出一个水桶，将拖把拼凑在一起。")</f>
        <v>一个简介导致一个女人掏出一个水桶，将拖把拼凑在一起。</v>
      </c>
    </row>
    <row r="553">
      <c r="A553" s="4" t="s">
        <v>702</v>
      </c>
      <c r="B553" s="6" t="s">
        <v>704</v>
      </c>
      <c r="C553" s="5" t="str">
        <f>IFERROR(__xludf.DUMMYFUNCTION("GOOGLETRANSLATE(B553,""en"",""zh-CN"")"),"摄像头在铲斗周围锅，女人继续使用铲斗内部的拖把并在物体周围移动。")</f>
        <v>摄像头在铲斗周围锅，女人继续使用铲斗内部的拖把并在物体周围移动。</v>
      </c>
    </row>
    <row r="554">
      <c r="A554" s="4" t="s">
        <v>705</v>
      </c>
      <c r="B554" s="4" t="s">
        <v>706</v>
      </c>
      <c r="C554" s="5" t="str">
        <f>IFERROR(__xludf.DUMMYFUNCTION("GOOGLETRANSLATE(B554,""en"",""zh-CN"")"),"一个穿着红色衬衫的男人坐在锻炼自行车上。")</f>
        <v>一个穿着红色衬衫的男人坐在锻炼自行车上。</v>
      </c>
    </row>
    <row r="555">
      <c r="A555" s="4" t="s">
        <v>705</v>
      </c>
      <c r="B555" s="4" t="s">
        <v>707</v>
      </c>
      <c r="C555" s="5" t="str">
        <f>IFERROR(__xludf.DUMMYFUNCTION("GOOGLETRANSLATE(B555,""en"",""zh-CN"")"),"他正在踏板上移动双腿。")</f>
        <v>他正在踏板上移动双腿。</v>
      </c>
    </row>
    <row r="556">
      <c r="A556" s="4" t="s">
        <v>705</v>
      </c>
      <c r="B556" s="4" t="s">
        <v>708</v>
      </c>
      <c r="C556" s="5" t="str">
        <f>IFERROR(__xludf.DUMMYFUNCTION("GOOGLETRANSLATE(B556,""en"",""zh-CN"")"),"他旁边还有其他自行车。")</f>
        <v>他旁边还有其他自行车。</v>
      </c>
    </row>
    <row r="557">
      <c r="A557" s="4" t="s">
        <v>709</v>
      </c>
      <c r="B557" s="4" t="s">
        <v>710</v>
      </c>
      <c r="C557" s="5" t="str">
        <f>IFERROR(__xludf.DUMMYFUNCTION("GOOGLETRANSLATE(B557,""en"",""zh-CN"")"),"看到一个男人跪在地板上，双臂向后摇摆。")</f>
        <v>看到一个男人跪在地板上，双臂向后摇摆。</v>
      </c>
    </row>
    <row r="558">
      <c r="A558" s="4" t="s">
        <v>709</v>
      </c>
      <c r="B558" s="4" t="s">
        <v>711</v>
      </c>
      <c r="C558" s="5" t="str">
        <f>IFERROR(__xludf.DUMMYFUNCTION("GOOGLETRANSLATE(B558,""en"",""zh-CN"")"),"当他挥动手臂时，文字在他的脸上移动。")</f>
        <v>当他挥动手臂时，文字在他的脸上移动。</v>
      </c>
    </row>
    <row r="559">
      <c r="A559" s="4" t="s">
        <v>709</v>
      </c>
      <c r="B559" s="4" t="s">
        <v>712</v>
      </c>
      <c r="C559" s="5" t="str">
        <f>IFERROR(__xludf.DUMMYFUNCTION("GOOGLETRANSLATE(B559,""en"",""zh-CN"")"),"该男子继续摆动自己的手臂，并以荣誉滚滚而结束。")</f>
        <v>该男子继续摆动自己的手臂，并以荣誉滚滚而结束。</v>
      </c>
    </row>
    <row r="560">
      <c r="A560" s="4" t="s">
        <v>713</v>
      </c>
      <c r="B560" s="4" t="s">
        <v>714</v>
      </c>
      <c r="C560" s="5" t="str">
        <f>IFERROR(__xludf.DUMMYFUNCTION("GOOGLETRANSLATE(B560,""en"",""zh-CN"")"),"看到木板长凳的特写，然后是一个将成分混合在一起的人。")</f>
        <v>看到木板长凳的特写，然后是一个将成分混合在一起的人。</v>
      </c>
    </row>
    <row r="561">
      <c r="A561" s="4" t="s">
        <v>713</v>
      </c>
      <c r="B561" s="4" t="s">
        <v>715</v>
      </c>
      <c r="C561" s="5" t="str">
        <f>IFERROR(__xludf.DUMMYFUNCTION("GOOGLETRANSLATE(B561,""en"",""zh-CN"")"),"然后看到一个人握着抹布，擦拭板凳。")</f>
        <v>然后看到一个人握着抹布，擦拭板凳。</v>
      </c>
    </row>
    <row r="562">
      <c r="A562" s="4" t="s">
        <v>713</v>
      </c>
      <c r="B562" s="4" t="s">
        <v>716</v>
      </c>
      <c r="C562" s="5" t="str">
        <f>IFERROR(__xludf.DUMMYFUNCTION("GOOGLETRANSLATE(B562,""en"",""zh-CN"")"),"之后将更多的成分混合在一起，从而导致更多的抹布擦拭。")</f>
        <v>之后将更多的成分混合在一起，从而导致更多的抹布擦拭。</v>
      </c>
    </row>
    <row r="563">
      <c r="A563" s="4" t="s">
        <v>717</v>
      </c>
      <c r="B563" s="4" t="s">
        <v>718</v>
      </c>
      <c r="C563" s="5" t="str">
        <f>IFERROR(__xludf.DUMMYFUNCTION("GOOGLETRANSLATE(B563,""en"",""zh-CN"")"),"一个女孩正在将两个小男孩推到后院秋千上。")</f>
        <v>一个女孩正在将两个小男孩推到后院秋千上。</v>
      </c>
    </row>
    <row r="564">
      <c r="A564" s="4" t="s">
        <v>717</v>
      </c>
      <c r="B564" s="4" t="s">
        <v>719</v>
      </c>
      <c r="C564" s="5" t="str">
        <f>IFERROR(__xludf.DUMMYFUNCTION("GOOGLETRANSLATE(B564,""en"",""zh-CN"")"),"当她来回推动男孩时，她对镜头微笑。")</f>
        <v>当她来回推动男孩时，她对镜头微笑。</v>
      </c>
    </row>
    <row r="565">
      <c r="A565" s="4" t="s">
        <v>720</v>
      </c>
      <c r="B565" s="6" t="s">
        <v>721</v>
      </c>
      <c r="C565" s="5" t="str">
        <f>IFERROR(__xludf.DUMMYFUNCTION("GOOGLETRANSLATE(B565,""en"",""zh-CN"")"),"看到一支乐队坐在舞台上，一个男人演奏鼓，一个女人正在采访他。")</f>
        <v>看到一支乐队坐在舞台上，一个男人演奏鼓，一个女人正在采访他。</v>
      </c>
    </row>
    <row r="566">
      <c r="A566" s="4" t="s">
        <v>720</v>
      </c>
      <c r="B566" s="4" t="s">
        <v>722</v>
      </c>
      <c r="C566" s="5" t="str">
        <f>IFERROR(__xludf.DUMMYFUNCTION("GOOGLETRANSLATE(B566,""en"",""zh-CN"")"),"当女人在人群演奏时唱歌时，男人继续演奏。")</f>
        <v>当女人在人群演奏时唱歌时，男人继续演奏。</v>
      </c>
    </row>
    <row r="567">
      <c r="A567" s="4" t="s">
        <v>723</v>
      </c>
      <c r="B567" s="4" t="s">
        <v>724</v>
      </c>
      <c r="C567" s="5" t="str">
        <f>IFERROR(__xludf.DUMMYFUNCTION("GOOGLETRANSLATE(B567,""en"",""zh-CN"")"),"各种各样的镜头显示了马鞍和各种骑马的骑马的人。")</f>
        <v>各种各样的镜头显示了马鞍和各种骑马的骑马的人。</v>
      </c>
    </row>
    <row r="568">
      <c r="A568" s="4" t="s">
        <v>723</v>
      </c>
      <c r="B568" s="4" t="s">
        <v>725</v>
      </c>
      <c r="C568" s="5" t="str">
        <f>IFERROR(__xludf.DUMMYFUNCTION("GOOGLETRANSLATE(B568,""en"",""zh-CN"")"),"一个女孩将绳子缠绕在她的马鞍上，而其他人则练习放了马鞍。")</f>
        <v>一个女孩将绳子缠绕在她的马鞍上，而其他人则练习放了马鞍。</v>
      </c>
    </row>
    <row r="569">
      <c r="A569" s="4" t="s">
        <v>723</v>
      </c>
      <c r="B569" s="4" t="s">
        <v>726</v>
      </c>
      <c r="C569" s="5" t="str">
        <f>IFERROR(__xludf.DUMMYFUNCTION("GOOGLETRANSLATE(B569,""en"",""zh-CN"")"),"人们在马鞍上骑行，展示各种球童以及如何骑它们。")</f>
        <v>人们在马鞍上骑行，展示各种球童以及如何骑它们。</v>
      </c>
    </row>
    <row r="570">
      <c r="A570" s="4" t="s">
        <v>723</v>
      </c>
      <c r="B570" s="6" t="s">
        <v>727</v>
      </c>
      <c r="C570" s="5" t="str">
        <f>IFERROR(__xludf.DUMMYFUNCTION("GOOGLETRANSLATE(B570,""en"",""zh-CN"")"),"一个游客正在接受骑行经验的采访，但她看着其他骑行并感到自信。")</f>
        <v>一个游客正在接受骑行经验的采访，但她看着其他骑行并感到自信。</v>
      </c>
    </row>
    <row r="571">
      <c r="A571" s="4" t="s">
        <v>723</v>
      </c>
      <c r="B571" s="4" t="s">
        <v>728</v>
      </c>
      <c r="C571" s="5" t="str">
        <f>IFERROR(__xludf.DUMMYFUNCTION("GOOGLETRANSLATE(B571,""en"",""zh-CN"")"),"展示了一个人的经历以及马匹和野生动植物的各种镜头。")</f>
        <v>展示了一个人的经历以及马匹和野生动植物的各种镜头。</v>
      </c>
    </row>
    <row r="572">
      <c r="A572" s="4" t="s">
        <v>729</v>
      </c>
      <c r="B572" s="4" t="s">
        <v>730</v>
      </c>
      <c r="C572" s="5" t="str">
        <f>IFERROR(__xludf.DUMMYFUNCTION("GOOGLETRANSLATE(B572,""en"",""zh-CN"")"),"一个男人在空中挥动腿部摇摆，我们看到一个开头的屏幕。")</f>
        <v>一个男人在空中挥动腿部摇摆，我们看到一个开头的屏幕。</v>
      </c>
    </row>
    <row r="573">
      <c r="A573" s="4" t="s">
        <v>729</v>
      </c>
      <c r="B573" s="4" t="s">
        <v>731</v>
      </c>
      <c r="C573" s="5" t="str">
        <f>IFERROR(__xludf.DUMMYFUNCTION("GOOGLETRANSLATE(B573,""en"",""zh-CN"")"),"两个人在两个不同的房间里表演Capoeira动作。")</f>
        <v>两个人在两个不同的房间里表演Capoeira动作。</v>
      </c>
    </row>
    <row r="574">
      <c r="A574" s="4" t="s">
        <v>729</v>
      </c>
      <c r="B574" s="4" t="s">
        <v>732</v>
      </c>
      <c r="C574" s="5" t="str">
        <f>IFERROR(__xludf.DUMMYFUNCTION("GOOGLETRANSLATE(B574,""en"",""zh-CN"")"),"一个男人倒立的动作。")</f>
        <v>一个男人倒立的动作。</v>
      </c>
    </row>
    <row r="575">
      <c r="A575" s="4" t="s">
        <v>729</v>
      </c>
      <c r="B575" s="4" t="s">
        <v>733</v>
      </c>
      <c r="C575" s="5" t="str">
        <f>IFERROR(__xludf.DUMMYFUNCTION("GOOGLETRANSLATE(B575,""en"",""zh-CN"")"),"该男子倒立并停下来。")</f>
        <v>该男子倒立并停下来。</v>
      </c>
    </row>
    <row r="576">
      <c r="A576" s="4" t="s">
        <v>729</v>
      </c>
      <c r="B576" s="4" t="s">
        <v>734</v>
      </c>
      <c r="C576" s="5" t="str">
        <f>IFERROR(__xludf.DUMMYFUNCTION("GOOGLETRANSLATE(B576,""en"",""zh-CN"")"),"我们在黑屏上看到网站。")</f>
        <v>我们在黑屏上看到网站。</v>
      </c>
    </row>
    <row r="577">
      <c r="A577" s="4" t="s">
        <v>729</v>
      </c>
      <c r="B577" s="4" t="s">
        <v>735</v>
      </c>
      <c r="C577" s="5" t="str">
        <f>IFERROR(__xludf.DUMMYFUNCTION("GOOGLETRANSLATE(B577,""en"",""zh-CN"")"),"我们看到了四个屏幕，上面有男人在做Capoeira的图像。")</f>
        <v>我们看到了四个屏幕，上面有男人在做Capoeira的图像。</v>
      </c>
    </row>
    <row r="578">
      <c r="A578" s="4" t="s">
        <v>736</v>
      </c>
      <c r="B578" s="4" t="s">
        <v>737</v>
      </c>
      <c r="C578" s="5" t="str">
        <f>IFERROR(__xludf.DUMMYFUNCTION("GOOGLETRANSLATE(B578,""en"",""zh-CN"")"),"有人用电动牙刷刷牙。")</f>
        <v>有人用电动牙刷刷牙。</v>
      </c>
    </row>
    <row r="579">
      <c r="A579" s="4" t="s">
        <v>736</v>
      </c>
      <c r="B579" s="4" t="s">
        <v>738</v>
      </c>
      <c r="C579" s="5" t="str">
        <f>IFERROR(__xludf.DUMMYFUNCTION("GOOGLETRANSLATE(B579,""en"",""zh-CN"")"),"他们戴牙套，因此确保擦洗良好。")</f>
        <v>他们戴牙套，因此确保擦洗良好。</v>
      </c>
    </row>
    <row r="580">
      <c r="A580" s="4" t="s">
        <v>736</v>
      </c>
      <c r="B580" s="4" t="s">
        <v>739</v>
      </c>
      <c r="C580" s="5" t="str">
        <f>IFERROR(__xludf.DUMMYFUNCTION("GOOGLETRANSLATE(B580,""en"",""zh-CN"")"),"您可以看到舌头在嘴里从来没有真正舒适。")</f>
        <v>您可以看到舌头在嘴里从来没有真正舒适。</v>
      </c>
    </row>
    <row r="581">
      <c r="A581" s="4" t="s">
        <v>736</v>
      </c>
      <c r="B581" s="4" t="s">
        <v>740</v>
      </c>
      <c r="C581" s="5" t="str">
        <f>IFERROR(__xludf.DUMMYFUNCTION("GOOGLETRANSLATE(B581,""en"",""zh-CN"")"),"该男子继续刷牙，牙膏散发出嘴唇。")</f>
        <v>该男子继续刷牙，牙膏散发出嘴唇。</v>
      </c>
    </row>
    <row r="582">
      <c r="A582" s="4" t="s">
        <v>741</v>
      </c>
      <c r="B582" s="4" t="s">
        <v>742</v>
      </c>
      <c r="C582" s="5" t="str">
        <f>IFERROR(__xludf.DUMMYFUNCTION("GOOGLETRANSLATE(B582,""en"",""zh-CN"")"),"一个人喷洒水槽并用毛巾擦拭。")</f>
        <v>一个人喷洒水槽并用毛巾擦拭。</v>
      </c>
    </row>
    <row r="583">
      <c r="A583" s="4" t="s">
        <v>741</v>
      </c>
      <c r="B583" s="4" t="s">
        <v>743</v>
      </c>
      <c r="C583" s="5" t="str">
        <f>IFERROR(__xludf.DUMMYFUNCTION("GOOGLETRANSLATE(B583,""en"",""zh-CN"")"),"他们喷洒浴缸，然后用毛巾擦拭。")</f>
        <v>他们喷洒浴缸，然后用毛巾擦拭。</v>
      </c>
    </row>
    <row r="584">
      <c r="A584" s="4" t="s">
        <v>741</v>
      </c>
      <c r="B584" s="4" t="s">
        <v>744</v>
      </c>
      <c r="C584" s="5" t="str">
        <f>IFERROR(__xludf.DUMMYFUNCTION("GOOGLETRANSLATE(B584,""en"",""zh-CN"")"),"他们喷洒厕所，然后用厕所擦拭。")</f>
        <v>他们喷洒厕所，然后用厕所擦拭。</v>
      </c>
    </row>
    <row r="585">
      <c r="A585" s="4" t="s">
        <v>745</v>
      </c>
      <c r="B585" s="4" t="s">
        <v>746</v>
      </c>
      <c r="C585" s="5" t="str">
        <f>IFERROR(__xludf.DUMMYFUNCTION("GOOGLETRANSLATE(B585,""en"",""zh-CN"")"),"有几个人聚集在带滑板的滑板公园里。")</f>
        <v>有几个人聚集在带滑板的滑板公园里。</v>
      </c>
    </row>
    <row r="586">
      <c r="A586" s="4" t="s">
        <v>745</v>
      </c>
      <c r="B586" s="6" t="s">
        <v>747</v>
      </c>
      <c r="C586" s="5" t="str">
        <f>IFERROR(__xludf.DUMMYFUNCTION("GOOGLETRANSLATE(B586,""en"",""zh-CN"")"),"有一个年轻人戴着红帽，谈论在红牛滑板街机上谈论滑板比赛。")</f>
        <v>有一个年轻人戴着红帽，谈论在红牛滑板街机上谈论滑板比赛。</v>
      </c>
    </row>
    <row r="587">
      <c r="A587" s="4" t="s">
        <v>745</v>
      </c>
      <c r="B587" s="4" t="s">
        <v>748</v>
      </c>
      <c r="C587" s="5" t="str">
        <f>IFERROR(__xludf.DUMMYFUNCTION("GOOGLETRANSLATE(B587,""en"",""zh-CN"")"),"几名观众与一组法官一起聚集在街机中。")</f>
        <v>几名观众与一组法官一起聚集在街机中。</v>
      </c>
    </row>
    <row r="588">
      <c r="A588" s="4" t="s">
        <v>745</v>
      </c>
      <c r="B588" s="4" t="s">
        <v>749</v>
      </c>
      <c r="C588" s="5" t="str">
        <f>IFERROR(__xludf.DUMMYFUNCTION("GOOGLETRANSLATE(B588,""en"",""zh-CN"")"),"一些参与者通过向自己溅水来击败热量。")</f>
        <v>一些参与者通过向自己溅水来击败热量。</v>
      </c>
    </row>
    <row r="589">
      <c r="A589" s="4" t="s">
        <v>745</v>
      </c>
      <c r="B589" s="4" t="s">
        <v>750</v>
      </c>
      <c r="C589" s="5" t="str">
        <f>IFERROR(__xludf.DUMMYFUNCTION("GOOGLETRANSLATE(B589,""en"",""zh-CN"")"),"参与者在滑板上越过坡道和陡峭的斜坡时开始特技。")</f>
        <v>参与者在滑板上越过坡道和陡峭的斜坡时开始特技。</v>
      </c>
    </row>
    <row r="590">
      <c r="A590" s="4" t="s">
        <v>745</v>
      </c>
      <c r="B590" s="4" t="s">
        <v>751</v>
      </c>
      <c r="C590" s="5" t="str">
        <f>IFERROR(__xludf.DUMMYFUNCTION("GOOGLETRANSLATE(B590,""en"",""zh-CN"")"),"几位参与者正在炫耀自己的特技表演，因为观众为他们欢呼和鼓掌。")</f>
        <v>几位参与者正在炫耀自己的特技表演，因为观众为他们欢呼和鼓掌。</v>
      </c>
    </row>
    <row r="591">
      <c r="A591" s="4" t="s">
        <v>745</v>
      </c>
      <c r="B591" s="6" t="s">
        <v>752</v>
      </c>
      <c r="C591" s="5" t="str">
        <f>IFERROR(__xludf.DUMMYFUNCTION("GOOGLETRANSLATE(B591,""en"",""zh-CN"")"),"当爬上墙壁和陡峭的坡道时，他们炫耀了他们可怕但令人印象深刻的特技。")</f>
        <v>当爬上墙壁和陡峭的坡道时，他们炫耀了他们可怕但令人印象深刻的特技。</v>
      </c>
    </row>
    <row r="592">
      <c r="A592" s="4" t="s">
        <v>745</v>
      </c>
      <c r="B592" s="4" t="s">
        <v>753</v>
      </c>
      <c r="C592" s="5" t="str">
        <f>IFERROR(__xludf.DUMMYFUNCTION("GOOGLETRANSLATE(B592,""en"",""zh-CN"")"),"人群为他们欢呼并为他们鼓掌。")</f>
        <v>人群为他们欢呼并为他们鼓掌。</v>
      </c>
    </row>
    <row r="593">
      <c r="A593" s="4" t="s">
        <v>745</v>
      </c>
      <c r="B593" s="4" t="s">
        <v>754</v>
      </c>
      <c r="C593" s="5" t="str">
        <f>IFERROR(__xludf.DUMMYFUNCTION("GOOGLETRANSLATE(B593,""en"",""zh-CN"")"),"获奖者获得赢得证书和奖品。")</f>
        <v>获奖者获得赢得证书和奖品。</v>
      </c>
    </row>
    <row r="594">
      <c r="A594" s="4" t="s">
        <v>755</v>
      </c>
      <c r="B594" s="4" t="s">
        <v>756</v>
      </c>
      <c r="C594" s="5" t="str">
        <f>IFERROR(__xludf.DUMMYFUNCTION("GOOGLETRANSLATE(B594,""en"",""zh-CN"")"),"一个人为她的狗扔飞盘，让狗在体育场上的活动中取回。")</f>
        <v>一个人为她的狗扔飞盘，让狗在体育场上的活动中取回。</v>
      </c>
    </row>
    <row r="595">
      <c r="A595" s="4" t="s">
        <v>755</v>
      </c>
      <c r="B595" s="4" t="s">
        <v>757</v>
      </c>
      <c r="C595" s="5" t="str">
        <f>IFERROR(__xludf.DUMMYFUNCTION("GOOGLETRANSLATE(B595,""en"",""zh-CN"")"),"狗抓住飞盘并将其带回教练。")</f>
        <v>狗抓住飞盘并将其带回教练。</v>
      </c>
    </row>
    <row r="596">
      <c r="A596" s="4" t="s">
        <v>758</v>
      </c>
      <c r="B596" s="4" t="s">
        <v>759</v>
      </c>
      <c r="C596" s="5" t="str">
        <f>IFERROR(__xludf.DUMMYFUNCTION("GOOGLETRANSLATE(B596,""en"",""zh-CN"")"),"有一个代表牙买加参加长远比赛的女人。")</f>
        <v>有一个代表牙买加参加长远比赛的女人。</v>
      </c>
    </row>
    <row r="597">
      <c r="A597" s="4" t="s">
        <v>758</v>
      </c>
      <c r="B597" s="4" t="s">
        <v>760</v>
      </c>
      <c r="C597" s="5" t="str">
        <f>IFERROR(__xludf.DUMMYFUNCTION("GOOGLETRANSLATE(B597,""en"",""zh-CN"")"),"还有另一个女人从另一个国家跳远。")</f>
        <v>还有另一个女人从另一个国家跳远。</v>
      </c>
    </row>
    <row r="598">
      <c r="A598" s="4" t="s">
        <v>758</v>
      </c>
      <c r="B598" s="4" t="s">
        <v>761</v>
      </c>
      <c r="C598" s="5" t="str">
        <f>IFERROR(__xludf.DUMMYFUNCTION("GOOGLETRANSLATE(B598,""en"",""zh-CN"")"),"其他几名参赛者也参加了同样的跳远比赛。")</f>
        <v>其他几名参赛者也参加了同样的跳远比赛。</v>
      </c>
    </row>
    <row r="599">
      <c r="A599" s="4" t="s">
        <v>758</v>
      </c>
      <c r="B599" s="4" t="s">
        <v>762</v>
      </c>
      <c r="C599" s="5" t="str">
        <f>IFERROR(__xludf.DUMMYFUNCTION("GOOGLETRANSLATE(B599,""en"",""zh-CN"")"),"当他们相互竞争时，有观众看着他们。")</f>
        <v>当他们相互竞争时，有观众看着他们。</v>
      </c>
    </row>
    <row r="600">
      <c r="A600" s="4" t="s">
        <v>758</v>
      </c>
      <c r="B600" s="4" t="s">
        <v>763</v>
      </c>
      <c r="C600" s="5" t="str">
        <f>IFERROR(__xludf.DUMMYFUNCTION("GOOGLETRANSLATE(B600,""en"",""zh-CN"")"),"来自伊斯坦布尔的参赛者在沙坑里跳远。")</f>
        <v>来自伊斯坦布尔的参赛者在沙坑里跳远。</v>
      </c>
    </row>
    <row r="601">
      <c r="A601" s="4" t="s">
        <v>758</v>
      </c>
      <c r="B601" s="4" t="s">
        <v>764</v>
      </c>
      <c r="C601" s="5" t="str">
        <f>IFERROR(__xludf.DUMMYFUNCTION("GOOGLETRANSLATE(B601,""en"",""zh-CN"")"),"参赛者继续参加体育比赛。")</f>
        <v>参赛者继续参加体育比赛。</v>
      </c>
    </row>
    <row r="602">
      <c r="A602" s="4" t="s">
        <v>765</v>
      </c>
      <c r="B602" s="4" t="s">
        <v>766</v>
      </c>
      <c r="C602" s="5" t="str">
        <f>IFERROR(__xludf.DUMMYFUNCTION("GOOGLETRANSLATE(B602,""en"",""zh-CN"")"),"看到一个男人坐在一块运动器材上，一个教练站在他面前。")</f>
        <v>看到一个男人坐在一块运动器材上，一个教练站在他面前。</v>
      </c>
    </row>
    <row r="603">
      <c r="A603" s="4" t="s">
        <v>765</v>
      </c>
      <c r="B603" s="4" t="s">
        <v>767</v>
      </c>
      <c r="C603" s="5" t="str">
        <f>IFERROR(__xludf.DUMMYFUNCTION("GOOGLETRANSLATE(B603,""en"",""zh-CN"")"),"然后，该男子在机器上向后移动，而另一个男人会帮助。")</f>
        <v>然后，该男子在机器上向后移动，而另一个男人会帮助。</v>
      </c>
    </row>
    <row r="604">
      <c r="A604" s="4" t="s">
        <v>765</v>
      </c>
      <c r="B604" s="4" t="s">
        <v>768</v>
      </c>
      <c r="C604" s="5" t="str">
        <f>IFERROR(__xludf.DUMMYFUNCTION("GOOGLETRANSLATE(B604,""en"",""zh-CN"")"),"在另一个剪辑中，他再次显示他，教练帮助。")</f>
        <v>在另一个剪辑中，他再次显示他，教练帮助。</v>
      </c>
    </row>
    <row r="605">
      <c r="A605" s="4" t="s">
        <v>769</v>
      </c>
      <c r="B605" s="4" t="s">
        <v>770</v>
      </c>
      <c r="C605" s="5" t="str">
        <f>IFERROR(__xludf.DUMMYFUNCTION("GOOGLETRANSLATE(B605,""en"",""zh-CN"")"),"我们看到标题和介绍屏幕。")</f>
        <v>我们看到标题和介绍屏幕。</v>
      </c>
    </row>
    <row r="606">
      <c r="A606" s="4" t="s">
        <v>769</v>
      </c>
      <c r="B606" s="4" t="s">
        <v>771</v>
      </c>
      <c r="C606" s="5" t="str">
        <f>IFERROR(__xludf.DUMMYFUNCTION("GOOGLETRANSLATE(B606,""en"",""zh-CN"")"),"我们看到一条有一个男人的船。")</f>
        <v>我们看到一条有一个男人的船。</v>
      </c>
    </row>
    <row r="607">
      <c r="A607" s="4" t="s">
        <v>769</v>
      </c>
      <c r="B607" s="4" t="s">
        <v>772</v>
      </c>
      <c r="C607" s="5" t="str">
        <f>IFERROR(__xludf.DUMMYFUNCTION("GOOGLETRANSLATE(B607,""en"",""zh-CN"")"),"我们看到人和船的内部。")</f>
        <v>我们看到人和船的内部。</v>
      </c>
    </row>
    <row r="608">
      <c r="A608" s="4" t="s">
        <v>769</v>
      </c>
      <c r="B608" s="4" t="s">
        <v>773</v>
      </c>
      <c r="C608" s="5" t="str">
        <f>IFERROR(__xludf.DUMMYFUNCTION("GOOGLETRANSLATE(B608,""en"",""zh-CN"")"),"那个湖泊在湖上的唤醒板。")</f>
        <v>那个湖泊在湖上的唤醒板。</v>
      </c>
    </row>
    <row r="609">
      <c r="A609" s="4" t="s">
        <v>769</v>
      </c>
      <c r="B609" s="4" t="s">
        <v>774</v>
      </c>
      <c r="C609" s="5" t="str">
        <f>IFERROR(__xludf.DUMMYFUNCTION("GOOGLETRANSLATE(B609,""en"",""zh-CN"")"),"我们看到有人的船。")</f>
        <v>我们看到有人的船。</v>
      </c>
    </row>
    <row r="610">
      <c r="A610" s="4" t="s">
        <v>769</v>
      </c>
      <c r="B610" s="6" t="s">
        <v>775</v>
      </c>
      <c r="C610" s="5" t="str">
        <f>IFERROR(__xludf.DUMMYFUNCTION("GOOGLETRANSLATE(B610,""en"",""zh-CN"")"),"该男子掏出梯子，爬上船上，然后我们看到一条船起飞，然后在展示厅里。")</f>
        <v>该男子掏出梯子，爬上船上，然后我们看到一条船起飞，然后在展示厅里。</v>
      </c>
    </row>
    <row r="611">
      <c r="A611" s="4" t="s">
        <v>769</v>
      </c>
      <c r="B611" s="4" t="s">
        <v>776</v>
      </c>
      <c r="C611" s="5" t="str">
        <f>IFERROR(__xludf.DUMMYFUNCTION("GOOGLETRANSLATE(B611,""en"",""zh-CN"")"),"该男子从滑水板上摔下了2次。")</f>
        <v>该男子从滑水板上摔下了2次。</v>
      </c>
    </row>
    <row r="612">
      <c r="A612" s="4" t="s">
        <v>769</v>
      </c>
      <c r="B612" s="4" t="s">
        <v>777</v>
      </c>
      <c r="C612" s="5" t="str">
        <f>IFERROR(__xludf.DUMMYFUNCTION("GOOGLETRANSLATE(B612,""en"",""zh-CN"")"),"我们看到结尾标题屏幕。")</f>
        <v>我们看到结尾标题屏幕。</v>
      </c>
    </row>
    <row r="613">
      <c r="A613" s="4" t="s">
        <v>778</v>
      </c>
      <c r="B613" s="4" t="s">
        <v>779</v>
      </c>
      <c r="C613" s="5" t="str">
        <f>IFERROR(__xludf.DUMMYFUNCTION("GOOGLETRANSLATE(B613,""en"",""zh-CN"")"),"一开始，这个人被欺骗了公牛。")</f>
        <v>一开始，这个人被欺骗了公牛。</v>
      </c>
    </row>
    <row r="614">
      <c r="A614" s="4" t="s">
        <v>778</v>
      </c>
      <c r="B614" s="4" t="s">
        <v>780</v>
      </c>
      <c r="C614" s="5" t="str">
        <f>IFERROR(__xludf.DUMMYFUNCTION("GOOGLETRANSLATE(B614,""en"",""zh-CN"")"),"许多其他男人在大批人群面前被欺骗了公牛。")</f>
        <v>许多其他男人在大批人群面前被欺骗了公牛。</v>
      </c>
    </row>
    <row r="615">
      <c r="A615" s="4" t="s">
        <v>781</v>
      </c>
      <c r="B615" s="4" t="s">
        <v>782</v>
      </c>
      <c r="C615" s="5" t="str">
        <f>IFERROR(__xludf.DUMMYFUNCTION("GOOGLETRANSLATE(B615,""en"",""zh-CN"")"),"一名年轻的男性体操运动员是一个竞技场，站在垫子上，准备做他的日常活动。")</f>
        <v>一名年轻的男性体操运动员是一个竞技场，站在垫子上，准备做他的日常活动。</v>
      </c>
    </row>
    <row r="616">
      <c r="A616" s="4" t="s">
        <v>781</v>
      </c>
      <c r="B616" s="4" t="s">
        <v>783</v>
      </c>
      <c r="C616" s="5" t="str">
        <f>IFERROR(__xludf.DUMMYFUNCTION("GOOGLETRANSLATE(B616,""en"",""zh-CN"")"),"然后，男孩走近酒吧，进行了一系列的挥杆，并在空中站立。")</f>
        <v>然后，男孩走近酒吧，进行了一系列的挥杆，并在空中站立。</v>
      </c>
    </row>
    <row r="617">
      <c r="A617" s="4" t="s">
        <v>781</v>
      </c>
      <c r="B617" s="6" t="s">
        <v>784</v>
      </c>
      <c r="C617" s="5" t="str">
        <f>IFERROR(__xludf.DUMMYFUNCTION("GOOGLETRANSLATE(B617,""en"",""zh-CN"")"),"在表演时，他在表演中添加了几次翻转和滚动，然后才终于跳下酒吧。")</f>
        <v>在表演时，他在表演中添加了几次翻转和滚动，然后才终于跳下酒吧。</v>
      </c>
    </row>
    <row r="618">
      <c r="A618" s="4" t="s">
        <v>785</v>
      </c>
      <c r="B618" s="4" t="s">
        <v>786</v>
      </c>
      <c r="C618" s="5" t="str">
        <f>IFERROR(__xludf.DUMMYFUNCTION("GOOGLETRANSLATE(B618,""en"",""zh-CN"")"),"男人在沙滩上玩羽毛球。")</f>
        <v>男人在沙滩上玩羽毛球。</v>
      </c>
    </row>
    <row r="619">
      <c r="A619" s="4" t="s">
        <v>785</v>
      </c>
      <c r="B619" s="4" t="s">
        <v>787</v>
      </c>
      <c r="C619" s="5" t="str">
        <f>IFERROR(__xludf.DUMMYFUNCTION("GOOGLETRANSLATE(B619,""en"",""zh-CN"")"),"左边的一个男人为右边的小鸟服务。")</f>
        <v>左边的一个男人为右边的小鸟服务。</v>
      </c>
    </row>
    <row r="620">
      <c r="A620" s="4" t="s">
        <v>785</v>
      </c>
      <c r="B620" s="4" t="s">
        <v>788</v>
      </c>
      <c r="C620" s="5" t="str">
        <f>IFERROR(__xludf.DUMMYFUNCTION("GOOGLETRANSLATE(B620,""en"",""zh-CN"")"),"右边的人服务，左边的人击中了它，但击中了网。")</f>
        <v>右边的人服务，左边的人击中了它，但击中了网。</v>
      </c>
    </row>
    <row r="621">
      <c r="A621" s="4" t="s">
        <v>785</v>
      </c>
      <c r="B621" s="4" t="s">
        <v>789</v>
      </c>
      <c r="C621" s="5" t="str">
        <f>IFERROR(__xludf.DUMMYFUNCTION("GOOGLETRANSLATE(B621,""en"",""zh-CN"")"),"一个男人站在左边看着。")</f>
        <v>一个男人站在左边看着。</v>
      </c>
    </row>
    <row r="622">
      <c r="A622" s="4" t="s">
        <v>790</v>
      </c>
      <c r="B622" s="4" t="s">
        <v>791</v>
      </c>
      <c r="C622" s="5" t="str">
        <f>IFERROR(__xludf.DUMMYFUNCTION("GOOGLETRANSLATE(B622,""en"",""zh-CN"")"),"一个男人把石膏放在底座上。")</f>
        <v>一个男人把石膏放在底座上。</v>
      </c>
    </row>
    <row r="623">
      <c r="A623" s="4" t="s">
        <v>790</v>
      </c>
      <c r="B623" s="4" t="s">
        <v>792</v>
      </c>
      <c r="C623" s="5" t="str">
        <f>IFERROR(__xludf.DUMMYFUNCTION("GOOGLETRANSLATE(B623,""en"",""zh-CN"")"),"该男子走过去并在天花板上擦。")</f>
        <v>该男子走过去并在天花板上擦。</v>
      </c>
    </row>
    <row r="624">
      <c r="A624" s="4" t="s">
        <v>790</v>
      </c>
      <c r="B624" s="4" t="s">
        <v>793</v>
      </c>
      <c r="C624" s="5" t="str">
        <f>IFERROR(__xludf.DUMMYFUNCTION("GOOGLETRANSLATE(B624,""en"",""zh-CN"")"),"我们看到男人正在行走的高跷。")</f>
        <v>我们看到男人正在行走的高跷。</v>
      </c>
    </row>
    <row r="625">
      <c r="A625" s="4" t="s">
        <v>790</v>
      </c>
      <c r="B625" s="4" t="s">
        <v>794</v>
      </c>
      <c r="C625" s="5" t="str">
        <f>IFERROR(__xludf.DUMMYFUNCTION("GOOGLETRANSLATE(B625,""en"",""zh-CN"")"),"相机变得摇摆不定。")</f>
        <v>相机变得摇摆不定。</v>
      </c>
    </row>
    <row r="626">
      <c r="A626" s="4" t="s">
        <v>790</v>
      </c>
      <c r="B626" s="4" t="s">
        <v>795</v>
      </c>
      <c r="C626" s="5" t="str">
        <f>IFERROR(__xludf.DUMMYFUNCTION("GOOGLETRANSLATE(B626,""en"",""zh-CN"")"),"该男子弯腰抓住更多的石膏。")</f>
        <v>该男子弯腰抓住更多的石膏。</v>
      </c>
    </row>
    <row r="627">
      <c r="A627" s="4" t="s">
        <v>790</v>
      </c>
      <c r="B627" s="4" t="s">
        <v>796</v>
      </c>
      <c r="C627" s="5" t="str">
        <f>IFERROR(__xludf.DUMMYFUNCTION("GOOGLETRANSLATE(B627,""en"",""zh-CN"")"),"男人微笑着，视频结束了。")</f>
        <v>男人微笑着，视频结束了。</v>
      </c>
    </row>
    <row r="628">
      <c r="A628" s="4" t="s">
        <v>797</v>
      </c>
      <c r="B628" s="4" t="s">
        <v>798</v>
      </c>
      <c r="C628" s="5" t="str">
        <f>IFERROR(__xludf.DUMMYFUNCTION("GOOGLETRANSLATE(B628,""en"",""zh-CN"")"),"第一帧有一个男人点头。")</f>
        <v>第一帧有一个男人点头。</v>
      </c>
    </row>
    <row r="629">
      <c r="A629" s="4" t="s">
        <v>797</v>
      </c>
      <c r="B629" s="6" t="s">
        <v>799</v>
      </c>
      <c r="C629" s="5" t="str">
        <f>IFERROR(__xludf.DUMMYFUNCTION("GOOGLETRANSLATE(B629,""en"",""zh-CN"")"),"那个男人的视频电影首先测量了墙纸，将图案排成一排并将其放在墙上。")</f>
        <v>那个男人的视频电影首先测量了墙纸，将图案排成一排并将其放在墙上。</v>
      </c>
    </row>
    <row r="630">
      <c r="A630" s="4" t="s">
        <v>797</v>
      </c>
      <c r="B630" s="6" t="s">
        <v>800</v>
      </c>
      <c r="C630" s="5" t="str">
        <f>IFERROR(__xludf.DUMMYFUNCTION("GOOGLETRANSLATE(B630,""en"",""zh-CN"")"),"然后，他拧开一个电灯开关，然后将其拉出一点，在织物或纸上制成一些缝隙，然后将光开关放回新的墙纸上。")</f>
        <v>然后，他拧开一个电灯开关，然后将其拉出一点，在织物或纸上制成一些缝隙，然后将光开关放回新的墙纸上。</v>
      </c>
    </row>
    <row r="631">
      <c r="A631" s="4" t="s">
        <v>797</v>
      </c>
      <c r="B631" s="6" t="s">
        <v>801</v>
      </c>
      <c r="C631" s="5" t="str">
        <f>IFERROR(__xludf.DUMMYFUNCTION("GOOGLETRANSLATE(B631,""en"",""zh-CN"")"),"相机在成品房间里展示墙纸，越过带有不同墙纸的不同房间。")</f>
        <v>相机在成品房间里展示墙纸，越过带有不同墙纸的不同房间。</v>
      </c>
    </row>
    <row r="632">
      <c r="A632" s="4" t="s">
        <v>797</v>
      </c>
      <c r="B632" s="6" t="s">
        <v>802</v>
      </c>
      <c r="C632" s="5" t="str">
        <f>IFERROR(__xludf.DUMMYFUNCTION("GOOGLETRANSLATE(B632,""en"",""zh-CN"")"),"后来看到该男子测量和标记墙壁，将更多的墙纸推出并将其放在墙上。")</f>
        <v>后来看到该男子测量和标记墙壁，将更多的墙纸推出并将其放在墙上。</v>
      </c>
    </row>
    <row r="633">
      <c r="A633" s="4" t="s">
        <v>797</v>
      </c>
      <c r="B633" s="4" t="s">
        <v>803</v>
      </c>
      <c r="C633" s="5" t="str">
        <f>IFERROR(__xludf.DUMMYFUNCTION("GOOGLETRANSLATE(B633,""en"",""zh-CN"")"),"然后，它显示了两张桌子，看起来像它们也被墙面纸。")</f>
        <v>然后，它显示了两张桌子，看起来像它们也被墙面纸。</v>
      </c>
    </row>
    <row r="634">
      <c r="A634" s="4" t="s">
        <v>804</v>
      </c>
      <c r="B634" s="4" t="s">
        <v>805</v>
      </c>
      <c r="C634" s="5" t="str">
        <f>IFERROR(__xludf.DUMMYFUNCTION("GOOGLETRANSLATE(B634,""en"",""zh-CN"")"),"文字介绍会导致一只狗的图片和沿院子奔跑的同一只狗。")</f>
        <v>文字介绍会导致一只狗的图片和沿院子奔跑的同一只狗。</v>
      </c>
    </row>
    <row r="635">
      <c r="A635" s="4" t="s">
        <v>804</v>
      </c>
      <c r="B635" s="4" t="s">
        <v>806</v>
      </c>
      <c r="C635" s="5" t="str">
        <f>IFERROR(__xludf.DUMMYFUNCTION("GOOGLETRANSLATE(B635,""en"",""zh-CN"")"),"在飞盘的几个剪辑中看到了这只狗。")</f>
        <v>在飞盘的几个剪辑中看到了这只狗。</v>
      </c>
    </row>
    <row r="636">
      <c r="A636" s="4" t="s">
        <v>804</v>
      </c>
      <c r="B636" s="4" t="s">
        <v>807</v>
      </c>
      <c r="C636" s="5" t="str">
        <f>IFERROR(__xludf.DUMMYFUNCTION("GOOGLETRANSLATE(B636,""en"",""zh-CN"")"),"一个人把飞盘扔给院子里的狗，他继续追逐他。")</f>
        <v>一个人把飞盘扔给院子里的狗，他继续追逐他。</v>
      </c>
    </row>
    <row r="637">
      <c r="A637" s="4" t="s">
        <v>808</v>
      </c>
      <c r="B637" s="4" t="s">
        <v>809</v>
      </c>
      <c r="C637" s="5" t="str">
        <f>IFERROR(__xludf.DUMMYFUNCTION("GOOGLETRANSLATE(B637,""en"",""zh-CN"")"),"个人用细长的棍子奔跑，并用它将身体抬高到高障碍上。")</f>
        <v>个人用细长的棍子奔跑，并用它将身体抬高到高障碍上。</v>
      </c>
    </row>
    <row r="638">
      <c r="A638" s="4" t="s">
        <v>808</v>
      </c>
      <c r="B638" s="4" t="s">
        <v>810</v>
      </c>
      <c r="C638" s="5" t="str">
        <f>IFERROR(__xludf.DUMMYFUNCTION("GOOGLETRANSLATE(B638,""en"",""zh-CN"")"),"一个人抬起身体时，他触摸了个人的后背。")</f>
        <v>一个人抬起身体时，他触摸了个人的后背。</v>
      </c>
    </row>
    <row r="639">
      <c r="A639" s="4" t="s">
        <v>808</v>
      </c>
      <c r="B639" s="4" t="s">
        <v>811</v>
      </c>
      <c r="C639" s="5" t="str">
        <f>IFERROR(__xludf.DUMMYFUNCTION("GOOGLETRANSLATE(B639,""en"",""zh-CN"")"),"这个家伙似乎在试图抬起身体的同时倒下，因为夹子被逆转。")</f>
        <v>这个家伙似乎在试图抬起身体的同时倒下，因为夹子被逆转。</v>
      </c>
    </row>
    <row r="640">
      <c r="A640" s="4" t="s">
        <v>808</v>
      </c>
      <c r="B640" s="4" t="s">
        <v>573</v>
      </c>
      <c r="C640" s="5" t="str">
        <f>IFERROR(__xludf.DUMMYFUNCTION("GOOGLETRANSLATE(B640,""en"",""zh-CN"")"),"显示了视频的积分。")</f>
        <v>显示了视频的积分。</v>
      </c>
    </row>
    <row r="641">
      <c r="A641" s="4" t="s">
        <v>812</v>
      </c>
      <c r="B641" s="4" t="s">
        <v>813</v>
      </c>
      <c r="C641" s="5" t="str">
        <f>IFERROR(__xludf.DUMMYFUNCTION("GOOGLETRANSLATE(B641,""en"",""zh-CN"")"),"摄像机朝上铺在厨房里的人，然后在地板上跳舞。")</f>
        <v>摄像机朝上铺在厨房里的人，然后在地板上跳舞。</v>
      </c>
    </row>
    <row r="642">
      <c r="A642" s="4" t="s">
        <v>812</v>
      </c>
      <c r="B642" s="4" t="s">
        <v>814</v>
      </c>
      <c r="C642" s="5" t="str">
        <f>IFERROR(__xludf.DUMMYFUNCTION("GOOGLETRANSLATE(B642,""en"",""zh-CN"")"),"该男子在看着相机和唱歌时继续跳舞。")</f>
        <v>该男子在看着相机和唱歌时继续跳舞。</v>
      </c>
    </row>
    <row r="643">
      <c r="A643" s="4" t="s">
        <v>815</v>
      </c>
      <c r="B643" s="6" t="s">
        <v>816</v>
      </c>
      <c r="C643" s="5" t="str">
        <f>IFERROR(__xludf.DUMMYFUNCTION("GOOGLETRANSLATE(B643,""en"",""zh-CN"")"),"看到一大批啦啦队遇到竞技场欢呼，并开始互相表演。")</f>
        <v>看到一大批啦啦队遇到竞技场欢呼，并开始互相表演。</v>
      </c>
    </row>
    <row r="644">
      <c r="A644" s="4" t="s">
        <v>815</v>
      </c>
      <c r="B644" s="6" t="s">
        <v>817</v>
      </c>
      <c r="C644" s="5" t="str">
        <f>IFERROR(__xludf.DUMMYFUNCTION("GOOGLETRANSLATE(B644,""en"",""zh-CN"")"),"女孩们继续在舞台上欢呼，同时互相举起，并最终向观众表演技巧和锅。")</f>
        <v>女孩们继续在舞台上欢呼，同时互相举起，并最终向观众表演技巧和锅。</v>
      </c>
    </row>
    <row r="645">
      <c r="A645" s="4" t="s">
        <v>818</v>
      </c>
      <c r="B645" s="4" t="s">
        <v>819</v>
      </c>
      <c r="C645" s="5" t="str">
        <f>IFERROR(__xludf.DUMMYFUNCTION("GOOGLETRANSLATE(B645,""en"",""zh-CN"")"),"一个女人坐在饭厅里的椅子上。")</f>
        <v>一个女人坐在饭厅里的椅子上。</v>
      </c>
    </row>
    <row r="646">
      <c r="A646" s="4" t="s">
        <v>818</v>
      </c>
      <c r="B646" s="4" t="s">
        <v>820</v>
      </c>
      <c r="C646" s="5" t="str">
        <f>IFERROR(__xludf.DUMMYFUNCTION("GOOGLETRANSLATE(B646,""en"",""zh-CN"")"),"她露出赤脚和形状。")</f>
        <v>她露出赤脚和形状。</v>
      </c>
    </row>
    <row r="647">
      <c r="A647" s="4" t="s">
        <v>818</v>
      </c>
      <c r="B647" s="4" t="s">
        <v>821</v>
      </c>
      <c r="C647" s="5" t="str">
        <f>IFERROR(__xludf.DUMMYFUNCTION("GOOGLETRANSLATE(B647,""en"",""zh-CN"")"),"然后，她穿着，试图将鞋子带到肿胀的脚上。")</f>
        <v>然后，她穿着，试图将鞋子带到肿胀的脚上。</v>
      </c>
    </row>
    <row r="648">
      <c r="A648" s="4" t="s">
        <v>822</v>
      </c>
      <c r="B648" s="4" t="s">
        <v>823</v>
      </c>
      <c r="C648" s="5" t="str">
        <f>IFERROR(__xludf.DUMMYFUNCTION("GOOGLETRANSLATE(B648,""en"",""zh-CN"")"),"两个孩子正在攀登岩石墙。")</f>
        <v>两个孩子正在攀登岩石墙。</v>
      </c>
    </row>
    <row r="649">
      <c r="A649" s="4" t="s">
        <v>822</v>
      </c>
      <c r="B649" s="4" t="s">
        <v>824</v>
      </c>
      <c r="C649" s="5" t="str">
        <f>IFERROR(__xludf.DUMMYFUNCTION("GOOGLETRANSLATE(B649,""en"",""zh-CN"")"),"成年人正在指导线条。")</f>
        <v>成年人正在指导线条。</v>
      </c>
    </row>
    <row r="650">
      <c r="A650" s="4" t="s">
        <v>822</v>
      </c>
      <c r="B650" s="4" t="s">
        <v>825</v>
      </c>
      <c r="C650" s="5" t="str">
        <f>IFERROR(__xludf.DUMMYFUNCTION("GOOGLETRANSLATE(B650,""en"",""zh-CN"")"),"孩子们继续攀登。")</f>
        <v>孩子们继续攀登。</v>
      </c>
    </row>
    <row r="651">
      <c r="A651" s="4" t="s">
        <v>822</v>
      </c>
      <c r="B651" s="4" t="s">
        <v>826</v>
      </c>
      <c r="C651" s="5" t="str">
        <f>IFERROR(__xludf.DUMMYFUNCTION("GOOGLETRANSLATE(B651,""en"",""zh-CN"")"),"右边的那个将首先成为顶部。")</f>
        <v>右边的那个将首先成为顶部。</v>
      </c>
    </row>
    <row r="652">
      <c r="A652" s="4" t="s">
        <v>822</v>
      </c>
      <c r="B652" s="4" t="s">
        <v>827</v>
      </c>
      <c r="C652" s="5" t="str">
        <f>IFERROR(__xludf.DUMMYFUNCTION("GOOGLETRANSLATE(B652,""en"",""zh-CN"")"),"左边的那个没有进入顶部，都跳回墙壁。")</f>
        <v>左边的那个没有进入顶部，都跳回墙壁。</v>
      </c>
    </row>
    <row r="653">
      <c r="A653" s="4" t="s">
        <v>828</v>
      </c>
      <c r="B653" s="4" t="s">
        <v>829</v>
      </c>
      <c r="C653" s="5" t="str">
        <f>IFERROR(__xludf.DUMMYFUNCTION("GOOGLETRANSLATE(B653,""en"",""zh-CN"")"),"一个女人和男人坐在有氧运动机上。")</f>
        <v>一个女人和男人坐在有氧运动机上。</v>
      </c>
    </row>
    <row r="654">
      <c r="A654" s="4" t="s">
        <v>828</v>
      </c>
      <c r="B654" s="4" t="s">
        <v>830</v>
      </c>
      <c r="C654" s="5" t="str">
        <f>IFERROR(__xludf.DUMMYFUNCTION("GOOGLETRANSLATE(B654,""en"",""zh-CN"")"),"一个女人坐在有氧运动机上锻炼。")</f>
        <v>一个女人坐在有氧运动机上锻炼。</v>
      </c>
    </row>
    <row r="655">
      <c r="A655" s="4" t="s">
        <v>828</v>
      </c>
      <c r="B655" s="4" t="s">
        <v>831</v>
      </c>
      <c r="C655" s="5" t="str">
        <f>IFERROR(__xludf.DUMMYFUNCTION("GOOGLETRANSLATE(B655,""en"",""zh-CN"")"),"一个男人接下来是一个女人进行有氧运动的女人。")</f>
        <v>一个男人接下来是一个女人进行有氧运动的女人。</v>
      </c>
    </row>
    <row r="656">
      <c r="A656" s="4" t="s">
        <v>832</v>
      </c>
      <c r="B656" s="4" t="s">
        <v>833</v>
      </c>
      <c r="C656" s="5" t="str">
        <f>IFERROR(__xludf.DUMMYFUNCTION("GOOGLETRANSLATE(B656,""en"",""zh-CN"")"),"一个女孩在人行道上玩霍普斯。")</f>
        <v>一个女孩在人行道上玩霍普斯。</v>
      </c>
    </row>
    <row r="657">
      <c r="A657" s="4" t="s">
        <v>832</v>
      </c>
      <c r="B657" s="4" t="s">
        <v>834</v>
      </c>
      <c r="C657" s="5" t="str">
        <f>IFERROR(__xludf.DUMMYFUNCTION("GOOGLETRANSLATE(B657,""en"",""zh-CN"")"),"她走到最后，转身回去。")</f>
        <v>她走到最后，转身回去。</v>
      </c>
    </row>
    <row r="658">
      <c r="A658" s="4" t="s">
        <v>832</v>
      </c>
      <c r="B658" s="4" t="s">
        <v>835</v>
      </c>
      <c r="C658" s="5" t="str">
        <f>IFERROR(__xludf.DUMMYFUNCTION("GOOGLETRANSLATE(B658,""en"",""zh-CN"")"),"另一个女孩把冰球扔到人行道上，开始玩霍普斯。")</f>
        <v>另一个女孩把冰球扔到人行道上，开始玩霍普斯。</v>
      </c>
    </row>
    <row r="659">
      <c r="A659" s="4" t="s">
        <v>836</v>
      </c>
      <c r="B659" s="4" t="s">
        <v>837</v>
      </c>
      <c r="C659" s="5" t="str">
        <f>IFERROR(__xludf.DUMMYFUNCTION("GOOGLETRANSLATE(B659,""en"",""zh-CN"")"),"一个人解决了一个立方体拼图，将碎片翻转。")</f>
        <v>一个人解决了一个立方体拼图，将碎片翻转。</v>
      </c>
    </row>
    <row r="660">
      <c r="A660" s="4" t="s">
        <v>836</v>
      </c>
      <c r="B660" s="4" t="s">
        <v>838</v>
      </c>
      <c r="C660" s="5" t="str">
        <f>IFERROR(__xludf.DUMMYFUNCTION("GOOGLETRANSLATE(B660,""en"",""zh-CN"")"),"该人解决了难题并显示了一个计时台。")</f>
        <v>该人解决了难题并显示了一个计时台。</v>
      </c>
    </row>
    <row r="661">
      <c r="A661" s="4" t="s">
        <v>839</v>
      </c>
      <c r="B661" s="6" t="s">
        <v>840</v>
      </c>
      <c r="C661" s="5" t="str">
        <f>IFERROR(__xludf.DUMMYFUNCTION("GOOGLETRANSLATE(B661,""en"",""zh-CN"")"),"看到两个年幼的孩子骑着骆驼，经过一群人，一个男人带领他们。")</f>
        <v>看到两个年幼的孩子骑着骆驼，经过一群人，一个男人带领他们。</v>
      </c>
    </row>
    <row r="662">
      <c r="A662" s="4" t="s">
        <v>839</v>
      </c>
      <c r="B662" s="6" t="s">
        <v>841</v>
      </c>
      <c r="C662" s="5" t="str">
        <f>IFERROR(__xludf.DUMMYFUNCTION("GOOGLETRANSLATE(B662,""en"",""zh-CN"")"),"该名男子继续带领骆驼在上面，结束时，他们爬下，其他人走上来。")</f>
        <v>该名男子继续带领骆驼在上面，结束时，他们爬下，其他人走上来。</v>
      </c>
    </row>
    <row r="663">
      <c r="A663" s="4" t="s">
        <v>842</v>
      </c>
      <c r="B663" s="6" t="s">
        <v>843</v>
      </c>
      <c r="C663" s="5" t="str">
        <f>IFERROR(__xludf.DUMMYFUNCTION("GOOGLETRANSLATE(B663,""en"",""zh-CN"")"),"看到幼儿跳到垫子上，第四次跳到垫子上，而两个年长的妇女则在旁边看着她们。")</f>
        <v>看到幼儿跳到垫子上，第四次跳到垫子上，而两个年长的妇女则在旁边看着她们。</v>
      </c>
    </row>
    <row r="664">
      <c r="A664" s="4" t="s">
        <v>842</v>
      </c>
      <c r="B664" s="4" t="s">
        <v>844</v>
      </c>
      <c r="C664" s="5" t="str">
        <f>IFERROR(__xludf.DUMMYFUNCTION("GOOGLETRANSLATE(B664,""en"",""zh-CN"")"),"然后，男孩大步飞跃，女孩站在他面前。")</f>
        <v>然后，男孩大步飞跃，女孩站在他面前。</v>
      </c>
    </row>
    <row r="665">
      <c r="A665" s="4" t="s">
        <v>845</v>
      </c>
      <c r="B665" s="4" t="s">
        <v>846</v>
      </c>
      <c r="C665" s="5" t="str">
        <f>IFERROR(__xludf.DUMMYFUNCTION("GOOGLETRANSLATE(B665,""en"",""zh-CN"")"),"一个男人走到雪地上。")</f>
        <v>一个男人走到雪地上。</v>
      </c>
    </row>
    <row r="666">
      <c r="A666" s="4" t="s">
        <v>845</v>
      </c>
      <c r="B666" s="4" t="s">
        <v>847</v>
      </c>
      <c r="C666" s="5" t="str">
        <f>IFERROR(__xludf.DUMMYFUNCTION("GOOGLETRANSLATE(B666,""en"",""zh-CN"")"),"当摄影师交谈时，该男子将雪地塞在屋顶上。")</f>
        <v>当摄影师交谈时，该男子将雪地塞在屋顶上。</v>
      </c>
    </row>
    <row r="667">
      <c r="A667" s="4" t="s">
        <v>845</v>
      </c>
      <c r="B667" s="4" t="s">
        <v>848</v>
      </c>
      <c r="C667" s="5" t="str">
        <f>IFERROR(__xludf.DUMMYFUNCTION("GOOGLETRANSLATE(B667,""en"",""zh-CN"")"),"那个男人停止sc起雪。")</f>
        <v>那个男人停止sc起雪。</v>
      </c>
    </row>
    <row r="668">
      <c r="A668" s="4" t="s">
        <v>849</v>
      </c>
      <c r="B668" s="6" t="s">
        <v>850</v>
      </c>
      <c r="C668" s="5" t="str">
        <f>IFERROR(__xludf.DUMMYFUNCTION("GOOGLETRANSLATE(B668,""en"",""zh-CN"")"),"一个坐在叶子鼓风机中的男人启动机器，将一大堆叶子吹入附近的刷子中。")</f>
        <v>一个坐在叶子鼓风机中的男人启动机器，将一大堆叶子吹入附近的刷子中。</v>
      </c>
    </row>
    <row r="669">
      <c r="A669" s="4" t="s">
        <v>849</v>
      </c>
      <c r="B669" s="4" t="s">
        <v>851</v>
      </c>
      <c r="C669" s="5" t="str">
        <f>IFERROR(__xludf.DUMMYFUNCTION("GOOGLETRANSLATE(B669,""en"",""zh-CN"")"),"我们看到车辆后退，然后来回吹叶子。")</f>
        <v>我们看到车辆后退，然后来回吹叶子。</v>
      </c>
    </row>
    <row r="670">
      <c r="A670" s="4" t="s">
        <v>849</v>
      </c>
      <c r="B670" s="4" t="s">
        <v>852</v>
      </c>
      <c r="C670" s="5" t="str">
        <f>IFERROR(__xludf.DUMMYFUNCTION("GOOGLETRANSLATE(B670,""en"",""zh-CN"")"),"摄影师停止了车辆并下车。")</f>
        <v>摄影师停止了车辆并下车。</v>
      </c>
    </row>
    <row r="671">
      <c r="A671" s="4" t="s">
        <v>849</v>
      </c>
      <c r="B671" s="4" t="s">
        <v>853</v>
      </c>
      <c r="C671" s="5" t="str">
        <f>IFERROR(__xludf.DUMMYFUNCTION("GOOGLETRANSLATE(B671,""en"",""zh-CN"")"),"我们从正面看到完整的车辆，看到了田野。")</f>
        <v>我们从正面看到完整的车辆，看到了田野。</v>
      </c>
    </row>
    <row r="672">
      <c r="A672" s="4" t="s">
        <v>854</v>
      </c>
      <c r="B672" s="4" t="s">
        <v>855</v>
      </c>
      <c r="C672" s="5" t="str">
        <f>IFERROR(__xludf.DUMMYFUNCTION("GOOGLETRANSLATE(B672,""en"",""zh-CN"")"),"我们看到一个男人举起他的手臂，准备骑鞍马。")</f>
        <v>我们看到一个男人举起他的手臂，准备骑鞍马。</v>
      </c>
    </row>
    <row r="673">
      <c r="A673" s="4" t="s">
        <v>854</v>
      </c>
      <c r="B673" s="4" t="s">
        <v>856</v>
      </c>
      <c r="C673" s="5" t="str">
        <f>IFERROR(__xludf.DUMMYFUNCTION("GOOGLETRANSLATE(B673,""en"",""zh-CN"")"),"该男子骑着鞍马。")</f>
        <v>该男子骑着鞍马。</v>
      </c>
    </row>
    <row r="674">
      <c r="A674" s="4" t="s">
        <v>854</v>
      </c>
      <c r="B674" s="4" t="s">
        <v>857</v>
      </c>
      <c r="C674" s="5" t="str">
        <f>IFERROR(__xludf.DUMMYFUNCTION("GOOGLETRANSLATE(B674,""en"",""zh-CN"")"),"该男子倒立，将他的双腿扔在鞍上。")</f>
        <v>该男子倒立，将他的双腿扔在鞍上。</v>
      </c>
    </row>
    <row r="675">
      <c r="A675" s="4" t="s">
        <v>854</v>
      </c>
      <c r="B675" s="4" t="s">
        <v>858</v>
      </c>
      <c r="C675" s="5" t="str">
        <f>IFERROR(__xludf.DUMMYFUNCTION("GOOGLETRANSLATE(B675,""en"",""zh-CN"")"),"该男子在鞍马上旋转。")</f>
        <v>该男子在鞍马上旋转。</v>
      </c>
    </row>
    <row r="676">
      <c r="A676" s="4" t="s">
        <v>854</v>
      </c>
      <c r="B676" s="4" t="s">
        <v>859</v>
      </c>
      <c r="C676" s="5" t="str">
        <f>IFERROR(__xludf.DUMMYFUNCTION("GOOGLETRANSLATE(B676,""en"",""zh-CN"")"),"该男子倒立并卸下。")</f>
        <v>该男子倒立并卸下。</v>
      </c>
    </row>
    <row r="677">
      <c r="A677" s="4" t="s">
        <v>854</v>
      </c>
      <c r="B677" s="4" t="s">
        <v>860</v>
      </c>
      <c r="C677" s="5" t="str">
        <f>IFERROR(__xludf.DUMMYFUNCTION("GOOGLETRANSLATE(B677,""en"",""zh-CN"")"),"该男子举起手臂走开。")</f>
        <v>该男子举起手臂走开。</v>
      </c>
    </row>
    <row r="678">
      <c r="A678" s="4" t="s">
        <v>854</v>
      </c>
      <c r="B678" s="4" t="s">
        <v>861</v>
      </c>
      <c r="C678" s="5" t="str">
        <f>IFERROR(__xludf.DUMMYFUNCTION("GOOGLETRANSLATE(B678,""en"",""zh-CN"")"),"该男子握住另一个男人的手。")</f>
        <v>该男子握住另一个男人的手。</v>
      </c>
    </row>
    <row r="679">
      <c r="A679" s="4" t="s">
        <v>862</v>
      </c>
      <c r="B679" s="4" t="s">
        <v>863</v>
      </c>
      <c r="C679" s="5" t="str">
        <f>IFERROR(__xludf.DUMMYFUNCTION("GOOGLETRANSLATE(B679,""en"",""zh-CN"")"),"几个人在公共游泳池里玩。")</f>
        <v>几个人在公共游泳池里玩。</v>
      </c>
    </row>
    <row r="680">
      <c r="A680" s="4" t="s">
        <v>862</v>
      </c>
      <c r="B680" s="4" t="s">
        <v>864</v>
      </c>
      <c r="C680" s="5" t="str">
        <f>IFERROR(__xludf.DUMMYFUNCTION("GOOGLETRANSLATE(B680,""en"",""zh-CN"")"),"他们在水里游泳，玩球的比赛。")</f>
        <v>他们在水里游泳，玩球的比赛。</v>
      </c>
    </row>
    <row r="681">
      <c r="A681" s="4" t="s">
        <v>862</v>
      </c>
      <c r="B681" s="4" t="s">
        <v>865</v>
      </c>
      <c r="C681" s="5" t="str">
        <f>IFERROR(__xludf.DUMMYFUNCTION("GOOGLETRANSLATE(B681,""en"",""zh-CN"")"),"他们来回击球，试图彼此保持。")</f>
        <v>他们来回击球，试图彼此保持。</v>
      </c>
    </row>
    <row r="682">
      <c r="A682" s="4" t="s">
        <v>866</v>
      </c>
      <c r="B682" s="4" t="s">
        <v>867</v>
      </c>
      <c r="C682" s="5" t="str">
        <f>IFERROR(__xludf.DUMMYFUNCTION("GOOGLETRANSLATE(B682,""en"",""zh-CN"")"),"看到一个女人与相机交谈，并向相机展示各种液体。")</f>
        <v>看到一个女人与相机交谈，并向相机展示各种液体。</v>
      </c>
    </row>
    <row r="683">
      <c r="A683" s="4" t="s">
        <v>866</v>
      </c>
      <c r="B683" s="4" t="s">
        <v>868</v>
      </c>
      <c r="C683" s="5" t="str">
        <f>IFERROR(__xludf.DUMMYFUNCTION("GOOGLETRANSLATE(B683,""en"",""zh-CN"")"),"她准备好是玻璃杯的尖端，将玻璃杯浸入盘子上的糖中。")</f>
        <v>她准备好是玻璃杯的尖端，将玻璃杯浸入盘子上的糖中。</v>
      </c>
    </row>
    <row r="684">
      <c r="A684" s="4" t="s">
        <v>866</v>
      </c>
      <c r="B684" s="4" t="s">
        <v>869</v>
      </c>
      <c r="C684" s="5" t="str">
        <f>IFERROR(__xludf.DUMMYFUNCTION("GOOGLETRANSLATE(B684,""en"",""zh-CN"")"),"她将各种液体倒入搅拌机中，并将混合物全部摇动。")</f>
        <v>她将各种液体倒入搅拌机中，并将混合物全部摇动。</v>
      </c>
    </row>
    <row r="685">
      <c r="A685" s="4" t="s">
        <v>866</v>
      </c>
      <c r="B685" s="4" t="s">
        <v>870</v>
      </c>
      <c r="C685" s="5" t="str">
        <f>IFERROR(__xludf.DUMMYFUNCTION("GOOGLETRANSLATE(B685,""en"",""zh-CN"")"),"她仍将饮料倒在玻璃杯中，同时仍在与相机说话。")</f>
        <v>她仍将饮料倒在玻璃杯中，同时仍在与相机说话。</v>
      </c>
    </row>
    <row r="686">
      <c r="A686" s="4" t="s">
        <v>871</v>
      </c>
      <c r="B686" s="4" t="s">
        <v>872</v>
      </c>
      <c r="C686" s="5" t="str">
        <f>IFERROR(__xludf.DUMMYFUNCTION("GOOGLETRANSLATE(B686,""en"",""zh-CN"")"),"看到一群人站在一个沙地上，一个人将足球扔给另一个人。")</f>
        <v>看到一群人站在一个沙地上，一个人将足球扔给另一个人。</v>
      </c>
    </row>
    <row r="687">
      <c r="A687" s="4" t="s">
        <v>871</v>
      </c>
      <c r="B687" s="4" t="s">
        <v>873</v>
      </c>
      <c r="C687" s="5" t="str">
        <f>IFERROR(__xludf.DUMMYFUNCTION("GOOGLETRANSLATE(B687,""en"",""zh-CN"")"),"另一个人得分一个进球，其他球员跳上他并祝贺他。")</f>
        <v>另一个人得分一个进球，其他球员跳上他并祝贺他。</v>
      </c>
    </row>
    <row r="688">
      <c r="A688" s="4" t="s">
        <v>871</v>
      </c>
      <c r="B688" s="4" t="s">
        <v>874</v>
      </c>
      <c r="C688" s="5" t="str">
        <f>IFERROR(__xludf.DUMMYFUNCTION("GOOGLETRANSLATE(B688,""en"",""zh-CN"")"),"从不同角度出现了几次相同的目标。")</f>
        <v>从不同角度出现了几次相同的目标。</v>
      </c>
    </row>
    <row r="689">
      <c r="A689" s="4" t="s">
        <v>875</v>
      </c>
      <c r="B689" s="4" t="s">
        <v>876</v>
      </c>
      <c r="C689" s="5" t="str">
        <f>IFERROR(__xludf.DUMMYFUNCTION("GOOGLETRANSLATE(B689,""en"",""zh-CN"")"),"男子站在摩托车前，将厕所盖在黑色的利特座椅上。")</f>
        <v>男子站在摩托车前，将厕所盖在黑色的利特座椅上。</v>
      </c>
    </row>
    <row r="690">
      <c r="A690" s="4" t="s">
        <v>875</v>
      </c>
      <c r="B690" s="4" t="s">
        <v>877</v>
      </c>
      <c r="C690" s="5" t="str">
        <f>IFERROR(__xludf.DUMMYFUNCTION("GOOGLETRANSLATE(B690,""en"",""zh-CN"")"),"该男子正在驾驶摩托车索格（Thorugh）街上，一只狗在他旁边奔跑。")</f>
        <v>该男子正在驾驶摩托车索格（Thorugh）街上，一只狗在他旁边奔跑。</v>
      </c>
    </row>
    <row r="691">
      <c r="A691" s="4" t="s">
        <v>875</v>
      </c>
      <c r="B691" s="4" t="s">
        <v>878</v>
      </c>
      <c r="C691" s="5" t="str">
        <f>IFERROR(__xludf.DUMMYFUNCTION("GOOGLETRANSLATE(B691,""en"",""zh-CN"")"),"该男子打开摩托车后备箱并将其关闭。")</f>
        <v>该男子打开摩托车后备箱并将其关闭。</v>
      </c>
    </row>
    <row r="692">
      <c r="A692" s="4" t="s">
        <v>879</v>
      </c>
      <c r="B692" s="4" t="s">
        <v>880</v>
      </c>
      <c r="C692" s="5" t="str">
        <f>IFERROR(__xludf.DUMMYFUNCTION("GOOGLETRANSLATE(B692,""en"",""zh-CN"")"),"一群人在游泳池周围游泳，而教练在旁边大喊。")</f>
        <v>一群人在游泳池周围游泳，而教练在旁边大喊。</v>
      </c>
    </row>
    <row r="693">
      <c r="A693" s="4" t="s">
        <v>879</v>
      </c>
      <c r="B693" s="4" t="s">
        <v>881</v>
      </c>
      <c r="C693" s="5" t="str">
        <f>IFERROR(__xludf.DUMMYFUNCTION("GOOGLETRANSLATE(B693,""en"",""zh-CN"")"),"当一个人击中另一个人时，会显示出比赛的镜头。")</f>
        <v>当一个人击中另一个人时，会显示出比赛的镜头。</v>
      </c>
    </row>
    <row r="694">
      <c r="A694" s="4" t="s">
        <v>879</v>
      </c>
      <c r="B694" s="4" t="s">
        <v>882</v>
      </c>
      <c r="C694" s="5" t="str">
        <f>IFERROR(__xludf.DUMMYFUNCTION("GOOGLETRANSLATE(B694,""en"",""zh-CN"")"),"教练互相大喊大叫，而人们仍然在玩游戏。")</f>
        <v>教练互相大喊大叫，而人们仍然在玩游戏。</v>
      </c>
    </row>
    <row r="695">
      <c r="A695" s="4" t="s">
        <v>883</v>
      </c>
      <c r="B695" s="4" t="s">
        <v>884</v>
      </c>
      <c r="C695" s="5" t="str">
        <f>IFERROR(__xludf.DUMMYFUNCTION("GOOGLETRANSLATE(B695,""en"",""zh-CN"")"),"一个小男孩站着吃冰淇淋。")</f>
        <v>一个小男孩站着吃冰淇淋。</v>
      </c>
    </row>
    <row r="696">
      <c r="A696" s="4" t="s">
        <v>883</v>
      </c>
      <c r="B696" s="4" t="s">
        <v>885</v>
      </c>
      <c r="C696" s="5" t="str">
        <f>IFERROR(__xludf.DUMMYFUNCTION("GOOGLETRANSLATE(B696,""en"",""zh-CN"")"),"他身后的地板上有一只狗。")</f>
        <v>他身后的地板上有一只狗。</v>
      </c>
    </row>
    <row r="697">
      <c r="A697" s="4" t="s">
        <v>883</v>
      </c>
      <c r="B697" s="4" t="s">
        <v>886</v>
      </c>
      <c r="C697" s="5" t="str">
        <f>IFERROR(__xludf.DUMMYFUNCTION("GOOGLETRANSLATE(B697,""en"",""zh-CN"")"),"他笑着转身。")</f>
        <v>他笑着转身。</v>
      </c>
    </row>
    <row r="698">
      <c r="A698" s="4" t="s">
        <v>887</v>
      </c>
      <c r="B698" s="4" t="s">
        <v>888</v>
      </c>
      <c r="C698" s="5" t="str">
        <f>IFERROR(__xludf.DUMMYFUNCTION("GOOGLETRANSLATE(B698,""en"",""zh-CN"")"),"一个女孩坐在一把大椅子上，她旁边有两个女孩，一个男人刺她的脚。")</f>
        <v>一个女孩坐在一把大椅子上，她旁边有两个女孩，一个男人刺她的脚。</v>
      </c>
    </row>
    <row r="699">
      <c r="A699" s="4" t="s">
        <v>887</v>
      </c>
      <c r="B699" s="4" t="s">
        <v>889</v>
      </c>
      <c r="C699" s="5" t="str">
        <f>IFERROR(__xludf.DUMMYFUNCTION("GOOGLETRANSLATE(B699,""en"",""zh-CN"")"),"另一个男人走进框架，女孩们在艺术家时继续互相交谈。")</f>
        <v>另一个男人走进框架，女孩们在艺术家时继续互相交谈。</v>
      </c>
    </row>
    <row r="700">
      <c r="A700" s="4" t="s">
        <v>890</v>
      </c>
      <c r="B700" s="4" t="s">
        <v>891</v>
      </c>
      <c r="C700" s="5" t="str">
        <f>IFERROR(__xludf.DUMMYFUNCTION("GOOGLETRANSLATE(B700,""en"",""zh-CN"")"),"酒吧后面的女人正在展示如何制作混合饮料。")</f>
        <v>酒吧后面的女人正在展示如何制作混合饮料。</v>
      </c>
    </row>
    <row r="701">
      <c r="A701" s="4" t="s">
        <v>890</v>
      </c>
      <c r="B701" s="6" t="s">
        <v>892</v>
      </c>
      <c r="C701" s="5" t="str">
        <f>IFERROR(__xludf.DUMMYFUNCTION("GOOGLETRANSLATE(B701,""en"",""zh-CN"")"),"一系列的镜头出现，一个人将酒精倒入马提尼酒玻璃杯中，然后屏幕逐渐消失到视频标题屏幕上，显示网站名称，他们正在制作的饮料名称以及将制作它的人。")</f>
        <v>一系列的镜头出现，一个人将酒精倒入马提尼酒玻璃杯中，然后屏幕逐渐消失到视频标题屏幕上，显示网站名称，他们正在制作的饮料名称以及将制作它的人。</v>
      </c>
    </row>
    <row r="702">
      <c r="A702" s="4" t="s">
        <v>890</v>
      </c>
      <c r="B702" s="4" t="s">
        <v>893</v>
      </c>
      <c r="C702" s="5" t="str">
        <f>IFERROR(__xludf.DUMMYFUNCTION("GOOGLETRANSLATE(B702,""en"",""zh-CN"")"),"网站地址显示在屏幕底部。")</f>
        <v>网站地址显示在屏幕底部。</v>
      </c>
    </row>
    <row r="703">
      <c r="A703" s="4" t="s">
        <v>890</v>
      </c>
      <c r="B703" s="6" t="s">
        <v>894</v>
      </c>
      <c r="C703" s="5" t="str">
        <f>IFERROR(__xludf.DUMMYFUNCTION("GOOGLETRANSLATE(B703,""en"",""zh-CN"")"),"一个站在酒吧后面的女孩解释了她用于饮料的成分，所使用的量，并将它们全部混合在玻璃杯中，并呈现饮料。")</f>
        <v>一个站在酒吧后面的女孩解释了她用于饮料的成分，所使用的量，并将它们全部混合在玻璃杯中，并呈现饮料。</v>
      </c>
    </row>
    <row r="704">
      <c r="A704" s="4" t="s">
        <v>890</v>
      </c>
      <c r="B704" s="4" t="s">
        <v>895</v>
      </c>
      <c r="C704" s="5" t="str">
        <f>IFERROR(__xludf.DUMMYFUNCTION("GOOGLETRANSLATE(B704,""en"",""zh-CN"")"),"相机放大了饮料并淡入黑色以结束视频。")</f>
        <v>相机放大了饮料并淡入黑色以结束视频。</v>
      </c>
    </row>
    <row r="705">
      <c r="A705" s="4" t="s">
        <v>896</v>
      </c>
      <c r="B705" s="4" t="s">
        <v>897</v>
      </c>
      <c r="C705" s="5" t="str">
        <f>IFERROR(__xludf.DUMMYFUNCTION("GOOGLETRANSLATE(B705,""en"",""zh-CN"")"),"一个站在网球场附近的妇女谈论事情。")</f>
        <v>一个站在网球场附近的妇女谈论事情。</v>
      </c>
    </row>
    <row r="706">
      <c r="A706" s="4" t="s">
        <v>896</v>
      </c>
      <c r="B706" s="4" t="s">
        <v>898</v>
      </c>
      <c r="C706" s="5" t="str">
        <f>IFERROR(__xludf.DUMMYFUNCTION("GOOGLETRANSLATE(B706,""en"",""zh-CN"")"),"一个黑色的女孩，有一个警棍，在工作室里练习她的动作和跳舞。")</f>
        <v>一个黑色的女孩，有一个警棍，在工作室里练习她的动作和跳舞。</v>
      </c>
    </row>
    <row r="707">
      <c r="A707" s="4" t="s">
        <v>896</v>
      </c>
      <c r="B707" s="4" t="s">
        <v>899</v>
      </c>
      <c r="C707" s="5" t="str">
        <f>IFERROR(__xludf.DUMMYFUNCTION("GOOGLETRANSLATE(B707,""en"",""zh-CN"")"),"她的教练坐在一起时进行了面试。")</f>
        <v>她的教练坐在一起时进行了面试。</v>
      </c>
    </row>
    <row r="708">
      <c r="A708" s="4" t="s">
        <v>896</v>
      </c>
      <c r="B708" s="4" t="s">
        <v>900</v>
      </c>
      <c r="C708" s="5" t="str">
        <f>IFERROR(__xludf.DUMMYFUNCTION("GOOGLETRANSLATE(B708,""en"",""zh-CN"")"),"这个女孩继续在工作室里独自练习。")</f>
        <v>这个女孩继续在工作室里独自练习。</v>
      </c>
    </row>
    <row r="709">
      <c r="A709" s="4" t="s">
        <v>901</v>
      </c>
      <c r="B709" s="4" t="s">
        <v>902</v>
      </c>
      <c r="C709" s="5" t="str">
        <f>IFERROR(__xludf.DUMMYFUNCTION("GOOGLETRANSLATE(B709,""en"",""zh-CN"")"),"一个年轻的女孩介绍了视频，并解释了她将为木头做什么。")</f>
        <v>一个年轻的女孩介绍了视频，并解释了她将为木头做什么。</v>
      </c>
    </row>
    <row r="710">
      <c r="A710" s="4" t="s">
        <v>901</v>
      </c>
      <c r="B710" s="4" t="s">
        <v>903</v>
      </c>
      <c r="C710" s="5" t="str">
        <f>IFERROR(__xludf.DUMMYFUNCTION("GOOGLETRANSLATE(B710,""en"",""zh-CN"")"),"她放置了一块泡泡包，并确保它覆盖约一半的木头。")</f>
        <v>她放置了一块泡泡包，并确保它覆盖约一半的木头。</v>
      </c>
    </row>
    <row r="711">
      <c r="A711" s="4" t="s">
        <v>901</v>
      </c>
      <c r="B711" s="4" t="s">
        <v>904</v>
      </c>
      <c r="C711" s="5" t="str">
        <f>IFERROR(__xludf.DUMMYFUNCTION("GOOGLETRANSLATE(B711,""en"",""zh-CN"")"),"然后，她覆盖其余的木头，然后像木板一样走过它。")</f>
        <v>然后，她覆盖其余的木头，然后像木板一样走过它。</v>
      </c>
    </row>
    <row r="712">
      <c r="A712" s="4" t="s">
        <v>905</v>
      </c>
      <c r="B712" s="4" t="s">
        <v>906</v>
      </c>
      <c r="C712" s="5" t="str">
        <f>IFERROR(__xludf.DUMMYFUNCTION("GOOGLETRANSLATE(B712,""en"",""zh-CN"")"),"人们在观众面前表演体操特技。")</f>
        <v>人们在观众面前表演体操特技。</v>
      </c>
    </row>
    <row r="713">
      <c r="A713" s="4" t="s">
        <v>905</v>
      </c>
      <c r="B713" s="4" t="s">
        <v>907</v>
      </c>
      <c r="C713" s="5" t="str">
        <f>IFERROR(__xludf.DUMMYFUNCTION("GOOGLETRANSLATE(B713,""en"",""zh-CN"")"),"一个人将手臂锁在头顶上方的酒吧上。")</f>
        <v>一个人将手臂锁在头顶上方的酒吧上。</v>
      </c>
    </row>
    <row r="714">
      <c r="A714" s="4" t="s">
        <v>905</v>
      </c>
      <c r="B714" s="4" t="s">
        <v>908</v>
      </c>
      <c r="C714" s="5" t="str">
        <f>IFERROR(__xludf.DUMMYFUNCTION("GOOGLETRANSLATE(B714,""en"",""zh-CN"")"),"那个家伙握住酒吧时摇摆自己的身体。")</f>
        <v>那个家伙握住酒吧时摇摆自己的身体。</v>
      </c>
    </row>
    <row r="715">
      <c r="A715" s="4" t="s">
        <v>905</v>
      </c>
      <c r="B715" s="4" t="s">
        <v>909</v>
      </c>
      <c r="C715" s="5" t="str">
        <f>IFERROR(__xludf.DUMMYFUNCTION("GOOGLETRANSLATE(B715,""en"",""zh-CN"")"),"那个家伙从酒吧里翻转，登上脚步，鼓掌，开始离开。")</f>
        <v>那个家伙从酒吧里翻转，登上脚步，鼓掌，开始离开。</v>
      </c>
    </row>
    <row r="716">
      <c r="A716" s="4" t="s">
        <v>905</v>
      </c>
      <c r="B716" s="4" t="s">
        <v>910</v>
      </c>
      <c r="C716" s="5" t="str">
        <f>IFERROR(__xludf.DUMMYFUNCTION("GOOGLETRANSLATE(B716,""en"",""zh-CN"")"),"一个人接近那个家伙的拍手。")</f>
        <v>一个人接近那个家伙的拍手。</v>
      </c>
    </row>
    <row r="717">
      <c r="A717" s="4" t="s">
        <v>911</v>
      </c>
      <c r="B717" s="4" t="s">
        <v>912</v>
      </c>
      <c r="C717" s="5" t="str">
        <f>IFERROR(__xludf.DUMMYFUNCTION("GOOGLETRANSLATE(B717,""en"",""zh-CN"")"),"两名体育馆在人群面前表演。")</f>
        <v>两名体育馆在人群面前表演。</v>
      </c>
    </row>
    <row r="718">
      <c r="A718" s="4" t="s">
        <v>911</v>
      </c>
      <c r="B718" s="4" t="s">
        <v>913</v>
      </c>
      <c r="C718" s="5" t="str">
        <f>IFERROR(__xludf.DUMMYFUNCTION("GOOGLETRANSLATE(B718,""en"",""zh-CN"")"),"一个人在梁上不断旋转。")</f>
        <v>一个人在梁上不断旋转。</v>
      </c>
    </row>
    <row r="719">
      <c r="A719" s="4" t="s">
        <v>911</v>
      </c>
      <c r="B719" s="4" t="s">
        <v>914</v>
      </c>
      <c r="C719" s="5" t="str">
        <f>IFERROR(__xludf.DUMMYFUNCTION("GOOGLETRANSLATE(B719,""en"",""zh-CN"")"),"那个穿着红色坐骑的人开始旋转，执行了几个技巧。")</f>
        <v>那个穿着红色坐骑的人开始旋转，执行了几个技巧。</v>
      </c>
    </row>
    <row r="720">
      <c r="A720" s="4" t="s">
        <v>911</v>
      </c>
      <c r="B720" s="4" t="s">
        <v>915</v>
      </c>
      <c r="C720" s="5" t="str">
        <f>IFERROR(__xludf.DUMMYFUNCTION("GOOGLETRANSLATE(B720,""en"",""zh-CN"")"),"该男子卸下，并将一只胜利的手臂抬起空中。")</f>
        <v>该男子卸下，并将一只胜利的手臂抬起空中。</v>
      </c>
    </row>
    <row r="721">
      <c r="A721" s="4" t="s">
        <v>916</v>
      </c>
      <c r="B721" s="4" t="s">
        <v>917</v>
      </c>
      <c r="C721" s="5" t="str">
        <f>IFERROR(__xludf.DUMMYFUNCTION("GOOGLETRANSLATE(B721,""en"",""zh-CN"")"),"说话时，一个男孩在说话时拉一根家庭健身机。")</f>
        <v>说话时，一个男孩在说话时拉一根家庭健身机。</v>
      </c>
    </row>
    <row r="722">
      <c r="A722" s="4" t="s">
        <v>916</v>
      </c>
      <c r="B722" s="4" t="s">
        <v>918</v>
      </c>
      <c r="C722" s="5" t="str">
        <f>IFERROR(__xludf.DUMMYFUNCTION("GOOGLETRANSLATE(B722,""en"",""zh-CN"")"),"然后，男孩跌落在地板上。")</f>
        <v>然后，男孩跌落在地板上。</v>
      </c>
    </row>
    <row r="723">
      <c r="A723" s="4" t="s">
        <v>919</v>
      </c>
      <c r="B723" s="4" t="s">
        <v>920</v>
      </c>
      <c r="C723" s="5" t="str">
        <f>IFERROR(__xludf.DUMMYFUNCTION("GOOGLETRANSLATE(B723,""en"",""zh-CN"")"),"有一大批参与者准备进行水管活动。")</f>
        <v>有一大批参与者准备进行水管活动。</v>
      </c>
    </row>
    <row r="724">
      <c r="A724" s="4" t="s">
        <v>919</v>
      </c>
      <c r="B724" s="4" t="s">
        <v>921</v>
      </c>
      <c r="C724" s="5" t="str">
        <f>IFERROR(__xludf.DUMMYFUNCTION("GOOGLETRANSLATE(B724,""en"",""zh-CN"")"),"他们沿着丘陵地形走到河。")</f>
        <v>他们沿着丘陵地形走到河。</v>
      </c>
    </row>
    <row r="725">
      <c r="A725" s="4" t="s">
        <v>919</v>
      </c>
      <c r="B725" s="4" t="s">
        <v>922</v>
      </c>
      <c r="C725" s="5" t="str">
        <f>IFERROR(__xludf.DUMMYFUNCTION("GOOGLETRANSLATE(B725,""en"",""zh-CN"")"),"他们进入管子，开始沿着急流往下走。")</f>
        <v>他们进入管子，开始沿着急流往下走。</v>
      </c>
    </row>
    <row r="726">
      <c r="A726" s="4" t="s">
        <v>919</v>
      </c>
      <c r="B726" s="4" t="s">
        <v>923</v>
      </c>
      <c r="C726" s="5" t="str">
        <f>IFERROR(__xludf.DUMMYFUNCTION("GOOGLETRANSLATE(B726,""en"",""zh-CN"")"),"当他们向相机挥手时，参与者看起来非常镇定和快乐。")</f>
        <v>当他们向相机挥手时，参与者看起来非常镇定和快乐。</v>
      </c>
    </row>
    <row r="727">
      <c r="A727" s="4" t="s">
        <v>919</v>
      </c>
      <c r="B727" s="4" t="s">
        <v>924</v>
      </c>
      <c r="C727" s="5" t="str">
        <f>IFERROR(__xludf.DUMMYFUNCTION("GOOGLETRANSLATE(B727,""en"",""zh-CN"")"),"随着水开始变得越来越动荡，他们都开始沿着急流的旅程。")</f>
        <v>随着水开始变得越来越动荡，他们都开始沿着急流的旅程。</v>
      </c>
    </row>
    <row r="728">
      <c r="A728" s="4" t="s">
        <v>919</v>
      </c>
      <c r="B728" s="4" t="s">
        <v>925</v>
      </c>
      <c r="C728" s="5" t="str">
        <f>IFERROR(__xludf.DUMMYFUNCTION("GOOGLETRANSLATE(B728,""en"",""zh-CN"")"),"当他们稳步流过水时，他们继续沿着水流沿着水流沿着水流沿着水流沿着水流。")</f>
        <v>当他们稳步流过水时，他们继续沿着水流沿着水流沿着水流沿着水流沿着水流。</v>
      </c>
    </row>
    <row r="729">
      <c r="A729" s="4" t="s">
        <v>919</v>
      </c>
      <c r="B729" s="4" t="s">
        <v>926</v>
      </c>
      <c r="C729" s="5" t="str">
        <f>IFERROR(__xludf.DUMMYFUNCTION("GOOGLETRANSLATE(B729,""en"",""zh-CN"")"),"然后他们都到达河岸，水很平静，稳定。")</f>
        <v>然后他们都到达河岸，水很平静，稳定。</v>
      </c>
    </row>
    <row r="730">
      <c r="A730" s="4" t="s">
        <v>927</v>
      </c>
      <c r="B730" s="6" t="s">
        <v>928</v>
      </c>
      <c r="C730" s="5" t="str">
        <f>IFERROR(__xludf.DUMMYFUNCTION("GOOGLETRANSLATE(B730,""en"",""zh-CN"")"),"该视频由North Face and Cliff Bar代表，他们在优胜美地国家公园（Yosemite National Park）展示登山者。")</f>
        <v>该视频由North Face and Cliff Bar代表，他们在优胜美地国家公园（Yosemite National Park）展示登山者。</v>
      </c>
    </row>
    <row r="731">
      <c r="A731" s="4" t="s">
        <v>927</v>
      </c>
      <c r="B731" s="4" t="s">
        <v>929</v>
      </c>
      <c r="C731" s="5" t="str">
        <f>IFERROR(__xludf.DUMMYFUNCTION("GOOGLETRANSLATE(B731,""en"",""zh-CN"")"),"有几个人在谈论攀登的迷恋。")</f>
        <v>有几个人在谈论攀登的迷恋。</v>
      </c>
    </row>
    <row r="732">
      <c r="A732" s="4" t="s">
        <v>927</v>
      </c>
      <c r="B732" s="4" t="s">
        <v>930</v>
      </c>
      <c r="C732" s="5" t="str">
        <f>IFERROR(__xludf.DUMMYFUNCTION("GOOGLETRANSLATE(B732,""en"",""zh-CN"")"),"有一些人戴着头巾坐在山顶上的人。")</f>
        <v>有一些人戴着头巾坐在山顶上的人。</v>
      </c>
    </row>
    <row r="733">
      <c r="A733" s="4" t="s">
        <v>927</v>
      </c>
      <c r="B733" s="4" t="s">
        <v>931</v>
      </c>
      <c r="C733" s="5" t="str">
        <f>IFERROR(__xludf.DUMMYFUNCTION("GOOGLETRANSLATE(B733,""en"",""zh-CN"")"),"有一个男人在陡峭的山坡上爬山。")</f>
        <v>有一个男人在陡峭的山坡上爬山。</v>
      </c>
    </row>
    <row r="734">
      <c r="A734" s="4" t="s">
        <v>927</v>
      </c>
      <c r="B734" s="6" t="s">
        <v>932</v>
      </c>
      <c r="C734" s="5" t="str">
        <f>IFERROR(__xludf.DUMMYFUNCTION("GOOGLETRANSLATE(B734,""en"",""zh-CN"")"),"另一个人从山顶飞跃，试图从那个高度跳跃。")</f>
        <v>另一个人从山顶飞跃，试图从那个高度跳跃。</v>
      </c>
    </row>
    <row r="735">
      <c r="A735" s="4" t="s">
        <v>933</v>
      </c>
      <c r="B735" s="4" t="s">
        <v>934</v>
      </c>
      <c r="C735" s="5" t="str">
        <f>IFERROR(__xludf.DUMMYFUNCTION("GOOGLETRANSLATE(B735,""en"",""zh-CN"")"),"一群小男孩在篮球场内。")</f>
        <v>一群小男孩在篮球场内。</v>
      </c>
    </row>
    <row r="736">
      <c r="A736" s="4" t="s">
        <v>933</v>
      </c>
      <c r="B736" s="4" t="s">
        <v>935</v>
      </c>
      <c r="C736" s="5" t="str">
        <f>IFERROR(__xludf.DUMMYFUNCTION("GOOGLETRANSLATE(B736,""en"",""zh-CN"")"),"他们在教练欢呼并指导他们的同时玩游戏。")</f>
        <v>他们在教练欢呼并指导他们的同时玩游戏。</v>
      </c>
    </row>
    <row r="737">
      <c r="A737" s="4" t="s">
        <v>933</v>
      </c>
      <c r="B737" s="4" t="s">
        <v>936</v>
      </c>
      <c r="C737" s="5" t="str">
        <f>IFERROR(__xludf.DUMMYFUNCTION("GOOGLETRANSLATE(B737,""en"",""zh-CN"")"),"一些男孩从场边看，等待轮到他们。")</f>
        <v>一些男孩从场边看，等待轮到他们。</v>
      </c>
    </row>
    <row r="738">
      <c r="A738" s="4" t="s">
        <v>937</v>
      </c>
      <c r="B738" s="4" t="s">
        <v>938</v>
      </c>
      <c r="C738" s="5" t="str">
        <f>IFERROR(__xludf.DUMMYFUNCTION("GOOGLETRANSLATE(B738,""en"",""zh-CN"")"),"显示了带有车辆和大雪的冬季场景。")</f>
        <v>显示了带有车辆和大雪的冬季场景。</v>
      </c>
    </row>
    <row r="739">
      <c r="A739" s="4" t="s">
        <v>937</v>
      </c>
      <c r="B739" s="4" t="s">
        <v>939</v>
      </c>
      <c r="C739" s="5" t="str">
        <f>IFERROR(__xludf.DUMMYFUNCTION("GOOGLETRANSLATE(B739,""en"",""zh-CN"")"),"显示了机场内部的场景，人们四处走动或等待。")</f>
        <v>显示了机场内部的场景，人们四处走动或等待。</v>
      </c>
    </row>
    <row r="740">
      <c r="A740" s="4" t="s">
        <v>937</v>
      </c>
      <c r="B740" s="4" t="s">
        <v>940</v>
      </c>
      <c r="C740" s="5" t="str">
        <f>IFERROR(__xludf.DUMMYFUNCTION("GOOGLETRANSLATE(B740,""en"",""zh-CN"")"),"一个女人和相机说话。")</f>
        <v>一个女人和相机说话。</v>
      </c>
    </row>
    <row r="741">
      <c r="A741" s="4" t="s">
        <v>937</v>
      </c>
      <c r="B741" s="4" t="s">
        <v>941</v>
      </c>
      <c r="C741" s="5" t="str">
        <f>IFERROR(__xludf.DUMMYFUNCTION("GOOGLETRANSLATE(B741,""en"",""zh-CN"")"),"一个男人从汽车上清理雪。")</f>
        <v>一个男人从汽车上清理雪。</v>
      </c>
    </row>
    <row r="742">
      <c r="A742" s="4" t="s">
        <v>937</v>
      </c>
      <c r="B742" s="4" t="s">
        <v>942</v>
      </c>
      <c r="C742" s="5" t="str">
        <f>IFERROR(__xludf.DUMMYFUNCTION("GOOGLETRANSLATE(B742,""en"",""zh-CN"")"),"显示了冬季风暴的更多场景。")</f>
        <v>显示了冬季风暴的更多场景。</v>
      </c>
    </row>
    <row r="743">
      <c r="A743" s="4" t="s">
        <v>937</v>
      </c>
      <c r="B743" s="4" t="s">
        <v>943</v>
      </c>
      <c r="C743" s="5" t="str">
        <f>IFERROR(__xludf.DUMMYFUNCTION("GOOGLETRANSLATE(B743,""en"",""zh-CN"")"),"显示了人们从车辆上清理雪的场景。")</f>
        <v>显示了人们从车辆上清理雪的场景。</v>
      </c>
    </row>
    <row r="744">
      <c r="A744" s="4" t="s">
        <v>937</v>
      </c>
      <c r="B744" s="4" t="s">
        <v>944</v>
      </c>
      <c r="C744" s="5" t="str">
        <f>IFERROR(__xludf.DUMMYFUNCTION("GOOGLETRANSLATE(B744,""en"",""zh-CN"")"),"另一个女人和相机说话。")</f>
        <v>另一个女人和相机说话。</v>
      </c>
    </row>
    <row r="745">
      <c r="A745" s="4" t="s">
        <v>937</v>
      </c>
      <c r="B745" s="4" t="s">
        <v>945</v>
      </c>
      <c r="C745" s="5" t="str">
        <f>IFERROR(__xludf.DUMMYFUNCTION("GOOGLETRANSLATE(B745,""en"",""zh-CN"")"),"一辆汽车从相机上开车。")</f>
        <v>一辆汽车从相机上开车。</v>
      </c>
    </row>
    <row r="746">
      <c r="A746" s="4" t="s">
        <v>937</v>
      </c>
      <c r="B746" s="4" t="s">
        <v>946</v>
      </c>
      <c r="C746" s="5" t="str">
        <f>IFERROR(__xludf.DUMMYFUNCTION("GOOGLETRANSLATE(B746,""en"",""zh-CN"")"),"两个人和相机交谈。")</f>
        <v>两个人和相机交谈。</v>
      </c>
    </row>
    <row r="747">
      <c r="A747" s="4" t="s">
        <v>937</v>
      </c>
      <c r="B747" s="4" t="s">
        <v>947</v>
      </c>
      <c r="C747" s="5" t="str">
        <f>IFERROR(__xludf.DUMMYFUNCTION("GOOGLETRANSLATE(B747,""en"",""zh-CN"")"),"一辆卡车从相机上驶出。")</f>
        <v>一辆卡车从相机上驶出。</v>
      </c>
    </row>
    <row r="748">
      <c r="A748" s="4" t="s">
        <v>948</v>
      </c>
      <c r="B748" s="4" t="s">
        <v>949</v>
      </c>
      <c r="C748" s="5" t="str">
        <f>IFERROR(__xludf.DUMMYFUNCTION("GOOGLETRANSLATE(B748,""en"",""zh-CN"")"),"一个女人的画笔和一块画布显示出来。")</f>
        <v>一个女人的画笔和一块画布显示出来。</v>
      </c>
    </row>
    <row r="749">
      <c r="A749" s="4" t="s">
        <v>948</v>
      </c>
      <c r="B749" s="4" t="s">
        <v>950</v>
      </c>
      <c r="C749" s="5" t="str">
        <f>IFERROR(__xludf.DUMMYFUNCTION("GOOGLETRANSLATE(B749,""en"",""zh-CN"")"),"她使用绿色油漆来填充植物的图纸。")</f>
        <v>她使用绿色油漆来填充植物的图纸。</v>
      </c>
    </row>
    <row r="750">
      <c r="A750" s="4" t="s">
        <v>948</v>
      </c>
      <c r="B750" s="4" t="s">
        <v>951</v>
      </c>
      <c r="C750" s="5" t="str">
        <f>IFERROR(__xludf.DUMMYFUNCTION("GOOGLETRANSLATE(B750,""en"",""zh-CN"")"),"她四处走动，绘画图像。")</f>
        <v>她四处走动，绘画图像。</v>
      </c>
    </row>
    <row r="751">
      <c r="A751" s="4" t="s">
        <v>952</v>
      </c>
      <c r="B751" s="6" t="s">
        <v>953</v>
      </c>
      <c r="C751" s="5" t="str">
        <f>IFERROR(__xludf.DUMMYFUNCTION("GOOGLETRANSLATE(B751,""en"",""zh-CN"")"),"一名白人男性穿着苏格兰的统一制服，站在墓地中间。")</f>
        <v>一名白人男性穿着苏格兰的统一制服，站在墓地中间。</v>
      </c>
    </row>
    <row r="752">
      <c r="A752" s="4" t="s">
        <v>952</v>
      </c>
      <c r="B752" s="4" t="s">
        <v>954</v>
      </c>
      <c r="C752" s="5" t="str">
        <f>IFERROR(__xludf.DUMMYFUNCTION("GOOGLETRANSLATE(B752,""en"",""zh-CN"")"),"当他站着时，他弹袋管道，美国国旗从他们身上悬挂下来。")</f>
        <v>当他站着时，他弹袋管道，美国国旗从他们身上悬挂下来。</v>
      </c>
    </row>
    <row r="753">
      <c r="A753" s="4" t="s">
        <v>952</v>
      </c>
      <c r="B753" s="6" t="s">
        <v>955</v>
      </c>
      <c r="C753" s="5" t="str">
        <f>IFERROR(__xludf.DUMMYFUNCTION("GOOGLETRANSLATE(B753,""en"",""zh-CN"")"),"完成后，他开始向右看，摇了摇头，呼吸并继续玩耍。")</f>
        <v>完成后，他开始向右看，摇了摇头，呼吸并继续玩耍。</v>
      </c>
    </row>
    <row r="754">
      <c r="A754" s="4" t="s">
        <v>956</v>
      </c>
      <c r="B754" s="4" t="s">
        <v>957</v>
      </c>
      <c r="C754" s="5" t="str">
        <f>IFERROR(__xludf.DUMMYFUNCTION("GOOGLETRANSLATE(B754,""en"",""zh-CN"")"),"看到一个标志的特写，接着是一对年轻的夫妇，看着相机。")</f>
        <v>看到一个标志的特写，接着是一对年轻的夫妇，看着相机。</v>
      </c>
    </row>
    <row r="755">
      <c r="A755" s="4" t="s">
        <v>956</v>
      </c>
      <c r="B755" s="4" t="s">
        <v>958</v>
      </c>
      <c r="C755" s="5" t="str">
        <f>IFERROR(__xludf.DUMMYFUNCTION("GOOGLETRANSLATE(B755,""en"",""zh-CN"")"),"看到其他人站在一边看另外两个人。")</f>
        <v>看到其他人站在一边看另外两个人。</v>
      </c>
    </row>
    <row r="756">
      <c r="A756" s="4" t="s">
        <v>956</v>
      </c>
      <c r="B756" s="4" t="s">
        <v>959</v>
      </c>
      <c r="C756" s="5" t="str">
        <f>IFERROR(__xludf.DUMMYFUNCTION("GOOGLETRANSLATE(B756,""en"",""zh-CN"")"),"双门轿跑车固定，然后跳下侧面，而其他人则站着观看。")</f>
        <v>双门轿跑车固定，然后跳下侧面，而其他人则站着观看。</v>
      </c>
    </row>
    <row r="757">
      <c r="A757" s="4" t="s">
        <v>960</v>
      </c>
      <c r="B757" s="6" t="s">
        <v>961</v>
      </c>
      <c r="C757" s="5" t="str">
        <f>IFERROR(__xludf.DUMMYFUNCTION("GOOGLETRANSLATE(B757,""en"",""zh-CN"")"),"看到一个人在观众面前进行各种翻转和窍门，并导致一个站在中间的小男孩。")</f>
        <v>看到一个人在观众面前进行各种翻转和窍门，并导致一个站在中间的小男孩。</v>
      </c>
    </row>
    <row r="758">
      <c r="A758" s="4" t="s">
        <v>960</v>
      </c>
      <c r="B758" s="6" t="s">
        <v>962</v>
      </c>
      <c r="C758" s="5" t="str">
        <f>IFERROR(__xludf.DUMMYFUNCTION("GOOGLETRANSLATE(B758,""en"",""zh-CN"")"),"然后，男孩和男人互相作战，做了几个技巧，最后以握住男孩的手臂结束。")</f>
        <v>然后，男孩和男人互相作战，做了几个技巧，最后以握住男孩的手臂结束。</v>
      </c>
    </row>
    <row r="759">
      <c r="A759" s="4" t="s">
        <v>960</v>
      </c>
      <c r="B759" s="4" t="s">
        <v>963</v>
      </c>
      <c r="C759" s="5" t="str">
        <f>IFERROR(__xludf.DUMMYFUNCTION("GOOGLETRANSLATE(B759,""en"",""zh-CN"")"),"然后，他向男孩和侧面的几个人鼓掌。")</f>
        <v>然后，他向男孩和侧面的几个人鼓掌。</v>
      </c>
    </row>
    <row r="760">
      <c r="A760" s="4" t="s">
        <v>964</v>
      </c>
      <c r="B760" s="4" t="s">
        <v>965</v>
      </c>
      <c r="C760" s="5" t="str">
        <f>IFERROR(__xludf.DUMMYFUNCTION("GOOGLETRANSLATE(B760,""en"",""zh-CN"")"),"一个做空手道的小男孩正在大喊命令。")</f>
        <v>一个做空手道的小男孩正在大喊命令。</v>
      </c>
    </row>
    <row r="761">
      <c r="A761" s="4" t="s">
        <v>964</v>
      </c>
      <c r="B761" s="4" t="s">
        <v>966</v>
      </c>
      <c r="C761" s="5" t="str">
        <f>IFERROR(__xludf.DUMMYFUNCTION("GOOGLETRANSLATE(B761,""en"",""zh-CN"")"),"他开始采取一些空手道动作，在球场周围移动。")</f>
        <v>他开始采取一些空手道动作，在球场周围移动。</v>
      </c>
    </row>
    <row r="762">
      <c r="A762" s="4" t="s">
        <v>964</v>
      </c>
      <c r="B762" s="4" t="s">
        <v>967</v>
      </c>
      <c r="C762" s="5" t="str">
        <f>IFERROR(__xludf.DUMMYFUNCTION("GOOGLETRANSLATE(B762,""en"",""zh-CN"")"),"他是一条因其技能而被评判的蓝带。")</f>
        <v>他是一条因其技能而被评判的蓝带。</v>
      </c>
    </row>
    <row r="763">
      <c r="A763" s="4" t="s">
        <v>964</v>
      </c>
      <c r="B763" s="4" t="s">
        <v>968</v>
      </c>
      <c r="C763" s="5" t="str">
        <f>IFERROR(__xludf.DUMMYFUNCTION("GOOGLETRANSLATE(B763,""en"",""zh-CN"")"),"他优雅地鞠躬，然后走出去，法官扔了他们的旗帜。")</f>
        <v>他优雅地鞠躬，然后走出去，法官扔了他们的旗帜。</v>
      </c>
    </row>
    <row r="764">
      <c r="A764" s="4" t="s">
        <v>969</v>
      </c>
      <c r="B764" s="6" t="s">
        <v>970</v>
      </c>
      <c r="C764" s="5" t="str">
        <f>IFERROR(__xludf.DUMMYFUNCTION("GOOGLETRANSLATE(B764,""en"",""zh-CN"")"),"一群人站在潜水板上，他们以潜水委员会的身份脱颖而出。")</f>
        <v>一群人站在潜水板上，他们以潜水委员会的身份脱颖而出。</v>
      </c>
    </row>
    <row r="765">
      <c r="A765" s="4" t="s">
        <v>969</v>
      </c>
      <c r="B765" s="4" t="s">
        <v>971</v>
      </c>
      <c r="C765" s="5" t="str">
        <f>IFERROR(__xludf.DUMMYFUNCTION("GOOGLETRANSLATE(B765,""en"",""zh-CN"")"),"当最后一个人跳下董事会时，一群男人在游泳池上行走。")</f>
        <v>当最后一个人跳下董事会时，一群男人在游泳池上行走。</v>
      </c>
    </row>
    <row r="766">
      <c r="A766" s="4" t="s">
        <v>972</v>
      </c>
      <c r="B766" s="4" t="s">
        <v>973</v>
      </c>
      <c r="C766" s="5" t="str">
        <f>IFERROR(__xludf.DUMMYFUNCTION("GOOGLETRANSLATE(B766,""en"",""zh-CN"")"),"一个金发，紫色夹克和黑色手套的女人站在一个稳定的聊天室附近。")</f>
        <v>一个金发，紫色夹克和黑色手套的女人站在一个稳定的聊天室附近。</v>
      </c>
    </row>
    <row r="767">
      <c r="A767" s="4" t="s">
        <v>972</v>
      </c>
      <c r="B767" s="4" t="s">
        <v>974</v>
      </c>
      <c r="C767" s="5" t="str">
        <f>IFERROR(__xludf.DUMMYFUNCTION("GOOGLETRANSLATE(B767,""en"",""zh-CN"")"),"当她继续讲话时，她的马鞍被展示了，她开始谈论它的细节。")</f>
        <v>当她继续讲话时，她的马鞍被展示了，她开始谈论它的细节。</v>
      </c>
    </row>
    <row r="768">
      <c r="A768" s="4" t="s">
        <v>972</v>
      </c>
      <c r="B768" s="4" t="s">
        <v>975</v>
      </c>
      <c r="C768" s="5" t="str">
        <f>IFERROR(__xludf.DUMMYFUNCTION("GOOGLETRANSLATE(B768,""en"",""zh-CN"")"),"然后，女士将其放在马上，开始摩擦它的某些部位，以确保它安全。")</f>
        <v>然后，女士将其放在马上，开始摩擦它的某些部位，以确保它安全。</v>
      </c>
    </row>
    <row r="769">
      <c r="A769" s="4" t="s">
        <v>976</v>
      </c>
      <c r="B769" s="4" t="s">
        <v>977</v>
      </c>
      <c r="C769" s="5" t="str">
        <f>IFERROR(__xludf.DUMMYFUNCTION("GOOGLETRANSLATE(B769,""en"",""zh-CN"")"),"显示了一个地球仪的特写，一个人指着水烟。")</f>
        <v>显示了一个地球仪的特写，一个人指着水烟。</v>
      </c>
    </row>
    <row r="770">
      <c r="A770" s="4" t="s">
        <v>976</v>
      </c>
      <c r="B770" s="4" t="s">
        <v>978</v>
      </c>
      <c r="C770" s="5" t="str">
        <f>IFERROR(__xludf.DUMMYFUNCTION("GOOGLETRANSLATE(B770,""en"",""zh-CN"")"),"然后看到这个男人近距离看着相机。")</f>
        <v>然后看到这个男人近距离看着相机。</v>
      </c>
    </row>
    <row r="771">
      <c r="A771" s="4" t="s">
        <v>976</v>
      </c>
      <c r="B771" s="4" t="s">
        <v>979</v>
      </c>
      <c r="C771" s="5" t="str">
        <f>IFERROR(__xludf.DUMMYFUNCTION("GOOGLETRANSLATE(B771,""en"",""zh-CN"")"),"他终于将烟环从嘴里吹出。")</f>
        <v>他终于将烟环从嘴里吹出。</v>
      </c>
    </row>
    <row r="772">
      <c r="A772" s="4" t="s">
        <v>980</v>
      </c>
      <c r="B772" s="4" t="s">
        <v>981</v>
      </c>
      <c r="C772" s="5" t="str">
        <f>IFERROR(__xludf.DUMMYFUNCTION("GOOGLETRANSLATE(B772,""en"",""zh-CN"")"),"冰壶一词多次出现在屏幕上。")</f>
        <v>冰壶一词多次出现在屏幕上。</v>
      </c>
    </row>
    <row r="773">
      <c r="A773" s="4" t="s">
        <v>980</v>
      </c>
      <c r="B773" s="4" t="s">
        <v>982</v>
      </c>
      <c r="C773" s="5" t="str">
        <f>IFERROR(__xludf.DUMMYFUNCTION("GOOGLETRANSLATE(B773,""en"",""zh-CN"")"),"一个女人的头发被专家干燥，刷和卷曲。")</f>
        <v>一个女人的头发被专家干燥，刷和卷曲。</v>
      </c>
    </row>
    <row r="774">
      <c r="A774" s="4" t="s">
        <v>980</v>
      </c>
      <c r="B774" s="4" t="s">
        <v>983</v>
      </c>
      <c r="C774" s="5" t="str">
        <f>IFERROR(__xludf.DUMMYFUNCTION("GOOGLETRANSLATE(B774,""en"",""zh-CN"")"),"他将她的头发放在滚筒上，然后将它们放下并造成样式。")</f>
        <v>他将她的头发放在滚筒上，然后将它们放下并造成样式。</v>
      </c>
    </row>
    <row r="775">
      <c r="A775" s="4" t="s">
        <v>980</v>
      </c>
      <c r="B775" s="4" t="s">
        <v>984</v>
      </c>
      <c r="C775" s="5" t="str">
        <f>IFERROR(__xludf.DUMMYFUNCTION("GOOGLETRANSLATE(B775,""en"",""zh-CN"")"),"然后她摆姿势新发型。")</f>
        <v>然后她摆姿势新发型。</v>
      </c>
    </row>
    <row r="776">
      <c r="A776" s="4" t="s">
        <v>985</v>
      </c>
      <c r="B776" s="4" t="s">
        <v>986</v>
      </c>
      <c r="C776" s="5" t="str">
        <f>IFERROR(__xludf.DUMMYFUNCTION("GOOGLETRANSLATE(B776,""en"",""zh-CN"")"),"显示了建筑物的几镜，以及被树木包围的湖泊。")</f>
        <v>显示了建筑物的几镜，以及被树木包围的湖泊。</v>
      </c>
    </row>
    <row r="777">
      <c r="A777" s="4" t="s">
        <v>985</v>
      </c>
      <c r="B777" s="4" t="s">
        <v>987</v>
      </c>
      <c r="C777" s="5" t="str">
        <f>IFERROR(__xludf.DUMMYFUNCTION("GOOGLETRANSLATE(B777,""en"",""zh-CN"")"),"看到许多人骑独木舟，并且显示了一个人的脚和腿。")</f>
        <v>看到许多人骑独木舟，并且显示了一个人的脚和腿。</v>
      </c>
    </row>
    <row r="778">
      <c r="A778" s="4" t="s">
        <v>985</v>
      </c>
      <c r="B778" s="4" t="s">
        <v>988</v>
      </c>
      <c r="C778" s="5" t="str">
        <f>IFERROR(__xludf.DUMMYFUNCTION("GOOGLETRANSLATE(B778,""en"",""zh-CN"")"),"人们沿着河里骑行，而相机则在更多的景观和树木中铺成。")</f>
        <v>人们沿着河里骑行，而相机则在更多的景观和树木中铺成。</v>
      </c>
    </row>
    <row r="779">
      <c r="A779" s="4" t="s">
        <v>989</v>
      </c>
      <c r="B779" s="4" t="s">
        <v>990</v>
      </c>
      <c r="C779" s="5" t="str">
        <f>IFERROR(__xludf.DUMMYFUNCTION("GOOGLETRANSLATE(B779,""en"",""zh-CN"")"),"我们看到一个男孩蹲在泥土中。")</f>
        <v>我们看到一个男孩蹲在泥土中。</v>
      </c>
    </row>
    <row r="780">
      <c r="A780" s="4" t="s">
        <v>989</v>
      </c>
      <c r="B780" s="4" t="s">
        <v>991</v>
      </c>
      <c r="C780" s="5" t="str">
        <f>IFERROR(__xludf.DUMMYFUNCTION("GOOGLETRANSLATE(B780,""en"",""zh-CN"")"),"然后，我们看到标题屏幕。")</f>
        <v>然后，我们看到标题屏幕。</v>
      </c>
    </row>
    <row r="781">
      <c r="A781" s="4" t="s">
        <v>989</v>
      </c>
      <c r="B781" s="4" t="s">
        <v>992</v>
      </c>
      <c r="C781" s="5" t="str">
        <f>IFERROR(__xludf.DUMMYFUNCTION("GOOGLETRANSLATE(B781,""en"",""zh-CN"")"),"这个小男孩试图用火石做篝火。")</f>
        <v>这个小男孩试图用火石做篝火。</v>
      </c>
    </row>
    <row r="782">
      <c r="A782" s="4" t="s">
        <v>989</v>
      </c>
      <c r="B782" s="4" t="s">
        <v>993</v>
      </c>
      <c r="C782" s="5" t="str">
        <f>IFERROR(__xludf.DUMMYFUNCTION("GOOGLETRANSLATE(B782,""en"",""zh-CN"")"),"小火开始和生长。")</f>
        <v>小火开始和生长。</v>
      </c>
    </row>
    <row r="783">
      <c r="A783" s="4" t="s">
        <v>989</v>
      </c>
      <c r="B783" s="4" t="s">
        <v>994</v>
      </c>
      <c r="C783" s="5" t="str">
        <f>IFERROR(__xludf.DUMMYFUNCTION("GOOGLETRANSLATE(B783,""en"",""zh-CN"")"),"这个男孩站在他的火旁边。")</f>
        <v>这个男孩站在他的火旁边。</v>
      </c>
    </row>
    <row r="784">
      <c r="A784" s="4" t="s">
        <v>989</v>
      </c>
      <c r="B784" s="6" t="s">
        <v>995</v>
      </c>
      <c r="C784" s="5" t="str">
        <f>IFERROR(__xludf.DUMMYFUNCTION("GOOGLETRANSLATE(B784,""en"",""zh-CN"")"),"我们看到了2张有关生存起火的标题卡，并且该网站在末端屏幕前已显示。")</f>
        <v>我们看到了2张有关生存起火的标题卡，并且该网站在末端屏幕前已显示。</v>
      </c>
    </row>
    <row r="785">
      <c r="A785" s="4" t="s">
        <v>996</v>
      </c>
      <c r="B785" s="4" t="s">
        <v>997</v>
      </c>
      <c r="C785" s="5" t="str">
        <f>IFERROR(__xludf.DUMMYFUNCTION("GOOGLETRANSLATE(B785,""en"",""zh-CN"")"),"一群人站在停车场。")</f>
        <v>一群人站在停车场。</v>
      </c>
    </row>
    <row r="786">
      <c r="A786" s="4" t="s">
        <v>996</v>
      </c>
      <c r="B786" s="4" t="s">
        <v>998</v>
      </c>
      <c r="C786" s="5" t="str">
        <f>IFERROR(__xludf.DUMMYFUNCTION("GOOGLETRANSLATE(B786,""en"",""zh-CN"")"),"人们采用了几种武术技术。")</f>
        <v>人们采用了几种武术技术。</v>
      </c>
    </row>
    <row r="787">
      <c r="A787" s="4" t="s">
        <v>996</v>
      </c>
      <c r="B787" s="4" t="s">
        <v>999</v>
      </c>
      <c r="C787" s="5" t="str">
        <f>IFERROR(__xludf.DUMMYFUNCTION("GOOGLETRANSLATE(B787,""en"",""zh-CN"")"),"他们来回踢拳。")</f>
        <v>他们来回踢拳。</v>
      </c>
    </row>
    <row r="788">
      <c r="A788" s="4" t="s">
        <v>1000</v>
      </c>
      <c r="B788" s="4" t="s">
        <v>1001</v>
      </c>
      <c r="C788" s="5" t="str">
        <f>IFERROR(__xludf.DUMMYFUNCTION("GOOGLETRANSLATE(B788,""en"",""zh-CN"")"),"我们看到汽车上的轮胎。")</f>
        <v>我们看到汽车上的轮胎。</v>
      </c>
    </row>
    <row r="789">
      <c r="A789" s="4" t="s">
        <v>1000</v>
      </c>
      <c r="B789" s="4" t="s">
        <v>1002</v>
      </c>
      <c r="C789" s="5" t="str">
        <f>IFERROR(__xludf.DUMMYFUNCTION("GOOGLETRANSLATE(B789,""en"",""zh-CN"")"),"所有者拿出备用轮胎和工具。")</f>
        <v>所有者拿出备用轮胎和工具。</v>
      </c>
    </row>
    <row r="790">
      <c r="A790" s="4" t="s">
        <v>1000</v>
      </c>
      <c r="B790" s="4" t="s">
        <v>1003</v>
      </c>
      <c r="C790" s="5" t="str">
        <f>IFERROR(__xludf.DUMMYFUNCTION("GOOGLETRANSLATE(B790,""en"",""zh-CN"")"),"这个人抬起车。")</f>
        <v>这个人抬起车。</v>
      </c>
    </row>
    <row r="791">
      <c r="A791" s="4" t="s">
        <v>1000</v>
      </c>
      <c r="B791" s="4" t="s">
        <v>1004</v>
      </c>
      <c r="C791" s="5" t="str">
        <f>IFERROR(__xludf.DUMMYFUNCTION("GOOGLETRANSLATE(B791,""en"",""zh-CN"")"),"该人将手放在高架轮胎下。")</f>
        <v>该人将手放在高架轮胎下。</v>
      </c>
    </row>
    <row r="792">
      <c r="A792" s="4" t="s">
        <v>1000</v>
      </c>
      <c r="B792" s="4" t="s">
        <v>1005</v>
      </c>
      <c r="C792" s="5" t="str">
        <f>IFERROR(__xludf.DUMMYFUNCTION("GOOGLETRANSLATE(B792,""en"",""zh-CN"")"),"这个男人脱下了不良轮胎。")</f>
        <v>这个男人脱下了不良轮胎。</v>
      </c>
    </row>
    <row r="793">
      <c r="A793" s="4" t="s">
        <v>1000</v>
      </c>
      <c r="B793" s="4" t="s">
        <v>1006</v>
      </c>
      <c r="C793" s="5" t="str">
        <f>IFERROR(__xludf.DUMMYFUNCTION("GOOGLETRANSLATE(B793,""en"",""zh-CN"")"),"该男子在轮胎中伸出螺丝。")</f>
        <v>该男子在轮胎中伸出螺丝。</v>
      </c>
    </row>
    <row r="794">
      <c r="A794" s="4" t="s">
        <v>1000</v>
      </c>
      <c r="B794" s="4" t="s">
        <v>1007</v>
      </c>
      <c r="C794" s="5" t="str">
        <f>IFERROR(__xludf.DUMMYFUNCTION("GOOGLETRANSLATE(B794,""en"",""zh-CN"")"),"该男子穿上备用轮胎。")</f>
        <v>该男子穿上备用轮胎。</v>
      </c>
    </row>
    <row r="795">
      <c r="A795" s="4" t="s">
        <v>1000</v>
      </c>
      <c r="B795" s="4" t="s">
        <v>1008</v>
      </c>
      <c r="C795" s="5" t="str">
        <f>IFERROR(__xludf.DUMMYFUNCTION("GOOGLETRANSLATE(B795,""en"",""zh-CN"")"),"该男子降低了备用汽车。")</f>
        <v>该男子降低了备用汽车。</v>
      </c>
    </row>
    <row r="796">
      <c r="A796" s="4" t="s">
        <v>1009</v>
      </c>
      <c r="B796" s="6" t="s">
        <v>1010</v>
      </c>
      <c r="C796" s="5" t="str">
        <f>IFERROR(__xludf.DUMMYFUNCTION("GOOGLETRANSLATE(B796,""en"",""zh-CN"")"),"一个在独木舟上的人讲话和桨在湖泊中，周围是大岩石，树木，叶子，流浪皮划艇和独木舟中的其他人。")</f>
        <v>一个在独木舟上的人讲话和桨在湖泊中，周围是大岩石，树木，叶子，流浪皮划艇和独木舟中的其他人。</v>
      </c>
    </row>
    <row r="797">
      <c r="A797" s="4" t="s">
        <v>1009</v>
      </c>
      <c r="B797" s="6" t="s">
        <v>1011</v>
      </c>
      <c r="C797" s="5" t="str">
        <f>IFERROR(__xludf.DUMMYFUNCTION("GOOGLETRANSLATE(B797,""en"",""zh-CN"")"),"该男子从坐在独木舟中时，拿着桨，与偶尔指向带有桨的附近海岸的相机交谈时，从一个配置文件视图开始。")</f>
        <v>该男子从坐在独木舟中时，拿着桨，与偶尔指向带有桨的附近海岸的相机交谈时，从一个配置文件视图开始。</v>
      </c>
    </row>
    <row r="798">
      <c r="A798" s="4" t="s">
        <v>1009</v>
      </c>
      <c r="B798" s="4" t="s">
        <v>1012</v>
      </c>
      <c r="C798" s="5" t="str">
        <f>IFERROR(__xludf.DUMMYFUNCTION("GOOGLETRANSLATE(B798,""en"",""zh-CN"")"),"然后，该男子用水中的桨将独木舟从更深的水中推入水中。")</f>
        <v>然后，该男子用水中的桨将独木舟从更深的水中推入水中。</v>
      </c>
    </row>
    <row r="799">
      <c r="A799" s="4" t="s">
        <v>1009</v>
      </c>
      <c r="B799" s="6" t="s">
        <v>1013</v>
      </c>
      <c r="C799" s="5" t="str">
        <f>IFERROR(__xludf.DUMMYFUNCTION("GOOGLETRANSLATE(B799,""en"",""zh-CN"")"),"该男子开始在水中自由划桨，沿着途中经过，一群人在独木舟上，几个流浪的独木舟和皮划艇在水中，然后再次面对相机并在特写镜头聊天。")</f>
        <v>该男子开始在水中自由划桨，沿着途中经过，一群人在独木舟上，几个流浪的独木舟和皮划艇在水中，然后再次面对相机并在特写镜头聊天。</v>
      </c>
    </row>
    <row r="800">
      <c r="A800" s="4" t="s">
        <v>1014</v>
      </c>
      <c r="B800" s="6" t="s">
        <v>1015</v>
      </c>
      <c r="C800" s="5" t="str">
        <f>IFERROR(__xludf.DUMMYFUNCTION("GOOGLETRANSLATE(B800,""en"",""zh-CN"")"),"白色的单词出现在屏幕上，说“美国梦”，一个戴着头盔的男人跳到泥泞的山丘上，继续走下去，抓住滑板，开始在一个非常风景优美的山丘末端滑冰区域。")</f>
        <v>白色的单词出现在屏幕上，说“美国梦”，一个戴着头盔的男人跳到泥泞的山丘上，继续走下去，抓住滑板，开始在一个非常风景优美的山丘末端滑冰区域。</v>
      </c>
    </row>
    <row r="801">
      <c r="A801" s="4" t="s">
        <v>1014</v>
      </c>
      <c r="B801" s="6" t="s">
        <v>1016</v>
      </c>
      <c r="C801" s="5" t="str">
        <f>IFERROR(__xludf.DUMMYFUNCTION("GOOGLETRANSLATE(B801,""en"",""zh-CN"")"),"该男子现在在住宅区的一条道路上滑冰，在那里他经过许多房屋，车上停在道路上。")</f>
        <v>该男子现在在住宅区的一条道路上滑冰，在那里他经过许多房屋，车上停在道路上。</v>
      </c>
    </row>
    <row r="802">
      <c r="A802" s="4" t="s">
        <v>1014</v>
      </c>
      <c r="B802" s="6" t="s">
        <v>1017</v>
      </c>
      <c r="C802" s="5" t="str">
        <f>IFERROR(__xludf.DUMMYFUNCTION("GOOGLETRANSLATE(B802,""en"",""zh-CN"")"),"该男子继续滑过居住区，沿公园，港口，城市等的水边缘。")</f>
        <v>该男子继续滑过居住区，沿公园，港口，城市等的水边缘。</v>
      </c>
    </row>
    <row r="803">
      <c r="A803" s="4" t="s">
        <v>1014</v>
      </c>
      <c r="B803" s="4" t="s">
        <v>1018</v>
      </c>
      <c r="C803" s="5" t="str">
        <f>IFERROR(__xludf.DUMMYFUNCTION("GOOGLETRANSLATE(B803,""en"",""zh-CN"")"),"该男子以沿着岩石海滩散步，将滑板板放在右肩上。")</f>
        <v>该男子以沿着岩石海滩散步，将滑板板放在右肩上。</v>
      </c>
    </row>
    <row r="804">
      <c r="A804" s="4" t="s">
        <v>1019</v>
      </c>
      <c r="B804" s="4" t="s">
        <v>1020</v>
      </c>
      <c r="C804" s="5" t="str">
        <f>IFERROR(__xludf.DUMMYFUNCTION("GOOGLETRANSLATE(B804,""en"",""zh-CN"")"),"一个女人在房间外面拿着一个麦克风。")</f>
        <v>一个女人在房间外面拿着一个麦克风。</v>
      </c>
    </row>
    <row r="805">
      <c r="A805" s="4" t="s">
        <v>1019</v>
      </c>
      <c r="B805" s="4" t="s">
        <v>1021</v>
      </c>
      <c r="C805" s="5" t="str">
        <f>IFERROR(__xludf.DUMMYFUNCTION("GOOGLETRANSLATE(B805,""en"",""zh-CN"")"),"人们在房间里打墙球。")</f>
        <v>人们在房间里打墙球。</v>
      </c>
    </row>
    <row r="806">
      <c r="A806" s="4" t="s">
        <v>1019</v>
      </c>
      <c r="B806" s="4" t="s">
        <v>1022</v>
      </c>
      <c r="C806" s="5" t="str">
        <f>IFERROR(__xludf.DUMMYFUNCTION("GOOGLETRANSLATE(B806,""en"",""zh-CN"")"),"那个女人拿着一张纸。")</f>
        <v>那个女人拿着一张纸。</v>
      </c>
    </row>
    <row r="807">
      <c r="A807" s="4" t="s">
        <v>1023</v>
      </c>
      <c r="B807" s="4" t="s">
        <v>1024</v>
      </c>
      <c r="C807" s="5" t="str">
        <f>IFERROR(__xludf.DUMMYFUNCTION("GOOGLETRANSLATE(B807,""en"",""zh-CN"")"),"屏幕上出现“ Llumar”徽标。")</f>
        <v>屏幕上出现“ Llumar”徽标。</v>
      </c>
    </row>
    <row r="808">
      <c r="A808" s="4" t="s">
        <v>1023</v>
      </c>
      <c r="B808" s="4" t="s">
        <v>1025</v>
      </c>
      <c r="C808" s="5" t="str">
        <f>IFERROR(__xludf.DUMMYFUNCTION("GOOGLETRANSLATE(B808,""en"",""zh-CN"")"),"一个带有泳池提示的年轻女孩走到台球桌上，相机专注于她的低剪顶。")</f>
        <v>一个带有泳池提示的年轻女孩走到台球桌上，相机专注于她的低剪顶。</v>
      </c>
    </row>
    <row r="809">
      <c r="A809" s="4" t="s">
        <v>1023</v>
      </c>
      <c r="B809" s="4" t="s">
        <v>1026</v>
      </c>
      <c r="C809" s="5" t="str">
        <f>IFERROR(__xludf.DUMMYFUNCTION("GOOGLETRANSLATE(B809,""en"",""zh-CN"")"),"几个妇女在桌子上露出衣服。")</f>
        <v>几个妇女在桌子上露出衣服。</v>
      </c>
    </row>
    <row r="810">
      <c r="A810" s="4" t="s">
        <v>1023</v>
      </c>
      <c r="B810" s="4" t="s">
        <v>1027</v>
      </c>
      <c r="C810" s="5" t="str">
        <f>IFERROR(__xludf.DUMMYFUNCTION("GOOGLETRANSLATE(B810,""en"",""zh-CN"")"),"屏幕上的“ llumar”徽标重新出现。")</f>
        <v>屏幕上的“ llumar”徽标重新出现。</v>
      </c>
    </row>
    <row r="811">
      <c r="A811" s="4" t="s">
        <v>1028</v>
      </c>
      <c r="B811" s="4" t="s">
        <v>1029</v>
      </c>
      <c r="C811" s="5" t="str">
        <f>IFERROR(__xludf.DUMMYFUNCTION("GOOGLETRANSLATE(B811,""en"",""zh-CN"")"),"看到一个年轻女孩站在一个球拍上的网球场上。")</f>
        <v>看到一个年轻女孩站在一个球拍上的网球场上。</v>
      </c>
    </row>
    <row r="812">
      <c r="A812" s="4" t="s">
        <v>1028</v>
      </c>
      <c r="B812" s="4" t="s">
        <v>1030</v>
      </c>
      <c r="C812" s="5" t="str">
        <f>IFERROR(__xludf.DUMMYFUNCTION("GOOGLETRANSLATE(B812,""en"",""zh-CN"")"),"那个女人开始摇摆球拍，而另一个男孩站在她旁边。")</f>
        <v>那个女人开始摇摆球拍，而另一个男孩站在她旁边。</v>
      </c>
    </row>
    <row r="813">
      <c r="A813" s="4" t="s">
        <v>1028</v>
      </c>
      <c r="B813" s="4" t="s">
        <v>1031</v>
      </c>
      <c r="C813" s="5" t="str">
        <f>IFERROR(__xludf.DUMMYFUNCTION("GOOGLETRANSLATE(B813,""en"",""zh-CN"")"),"女人继续摇摆，回到男孩。")</f>
        <v>女人继续摇摆，回到男孩。</v>
      </c>
    </row>
    <row r="814">
      <c r="A814" s="4" t="s">
        <v>1032</v>
      </c>
      <c r="B814" s="4" t="s">
        <v>1033</v>
      </c>
      <c r="C814" s="5" t="str">
        <f>IFERROR(__xludf.DUMMYFUNCTION("GOOGLETRANSLATE(B814,""en"",""zh-CN"")"),"几个男人在健身房踢足球。")</f>
        <v>几个男人在健身房踢足球。</v>
      </c>
    </row>
    <row r="815">
      <c r="A815" s="4" t="s">
        <v>1032</v>
      </c>
      <c r="B815" s="4" t="s">
        <v>1034</v>
      </c>
      <c r="C815" s="5" t="str">
        <f>IFERROR(__xludf.DUMMYFUNCTION("GOOGLETRANSLATE(B815,""en"",""zh-CN"")"),"背景中有一些观众。")</f>
        <v>背景中有一些观众。</v>
      </c>
    </row>
    <row r="816">
      <c r="A816" s="4" t="s">
        <v>1032</v>
      </c>
      <c r="B816" s="4" t="s">
        <v>1035</v>
      </c>
      <c r="C816" s="5" t="str">
        <f>IFERROR(__xludf.DUMMYFUNCTION("GOOGLETRANSLATE(B816,""en"",""zh-CN"")"),"另一组男子正在踢足球。")</f>
        <v>另一组男子正在踢足球。</v>
      </c>
    </row>
    <row r="817">
      <c r="A817" s="4" t="s">
        <v>1032</v>
      </c>
      <c r="B817" s="4" t="s">
        <v>1036</v>
      </c>
      <c r="C817" s="5" t="str">
        <f>IFERROR(__xludf.DUMMYFUNCTION("GOOGLETRANSLATE(B817,""en"",""zh-CN"")"),"背景中有观众。")</f>
        <v>背景中有观众。</v>
      </c>
    </row>
    <row r="818">
      <c r="A818" s="4" t="s">
        <v>1032</v>
      </c>
      <c r="B818" s="4" t="s">
        <v>1037</v>
      </c>
      <c r="C818" s="5" t="str">
        <f>IFERROR(__xludf.DUMMYFUNCTION("GOOGLETRANSLATE(B818,""en"",""zh-CN"")"),"观众显示了各种足球比赛场景。")</f>
        <v>观众显示了各种足球比赛场景。</v>
      </c>
    </row>
    <row r="819">
      <c r="A819" s="4" t="s">
        <v>1038</v>
      </c>
      <c r="B819" s="4" t="s">
        <v>1039</v>
      </c>
      <c r="C819" s="5" t="str">
        <f>IFERROR(__xludf.DUMMYFUNCTION("GOOGLETRANSLATE(B819,""en"",""zh-CN"")"),"看到几个女孩在公园中间骑着很长的滑梯。")</f>
        <v>看到几个女孩在公园中间骑着很长的滑梯。</v>
      </c>
    </row>
    <row r="820">
      <c r="A820" s="4" t="s">
        <v>1038</v>
      </c>
      <c r="B820" s="4" t="s">
        <v>1040</v>
      </c>
      <c r="C820" s="5" t="str">
        <f>IFERROR(__xludf.DUMMYFUNCTION("GOOGLETRANSLATE(B820,""en"",""zh-CN"")"),"越来越多的孩子沿着幻灯片骑行，而母亲则帮助孩子在顶部。")</f>
        <v>越来越多的孩子沿着幻灯片骑行，而母亲则帮助孩子在顶部。</v>
      </c>
    </row>
    <row r="821">
      <c r="A821" s="4" t="s">
        <v>1041</v>
      </c>
      <c r="B821" s="4" t="s">
        <v>1042</v>
      </c>
      <c r="C821" s="5" t="str">
        <f>IFERROR(__xludf.DUMMYFUNCTION("GOOGLETRANSLATE(B821,""en"",""zh-CN"")"),"看到一个女人坐在看着相机时坐下冰淇淋。")</f>
        <v>看到一个女人坐在看着相机时坐下冰淇淋。</v>
      </c>
    </row>
    <row r="822">
      <c r="A822" s="4" t="s">
        <v>1041</v>
      </c>
      <c r="B822" s="4" t="s">
        <v>1043</v>
      </c>
      <c r="C822" s="5" t="str">
        <f>IFERROR(__xludf.DUMMYFUNCTION("GOOGLETRANSLATE(B822,""en"",""zh-CN"")"),"当摄像头摇在她周围并看着她的吃饭时，她继续吃冰淇淋。")</f>
        <v>当摄像头摇在她周围并看着她的吃饭时，她继续吃冰淇淋。</v>
      </c>
    </row>
    <row r="823">
      <c r="A823" s="4" t="s">
        <v>1044</v>
      </c>
      <c r="B823" s="4" t="s">
        <v>1045</v>
      </c>
      <c r="C823" s="5" t="str">
        <f>IFERROR(__xludf.DUMMYFUNCTION("GOOGLETRANSLATE(B823,""en"",""zh-CN"")"),"看到一个男人在玩一套风笛，而后面的人则围着自行车推。")</f>
        <v>看到一个男人在玩一套风笛，而后面的人则围着自行车推。</v>
      </c>
    </row>
    <row r="824">
      <c r="A824" s="4" t="s">
        <v>1044</v>
      </c>
      <c r="B824" s="4" t="s">
        <v>1046</v>
      </c>
      <c r="C824" s="5" t="str">
        <f>IFERROR(__xludf.DUMMYFUNCTION("GOOGLETRANSLATE(B824,""en"",""zh-CN"")"),"看到他再次玩耍，而更多的人与孩子和狗一起走进和走出框架。")</f>
        <v>看到他再次玩耍，而更多的人与孩子和狗一起走进和走出框架。</v>
      </c>
    </row>
    <row r="825">
      <c r="A825" s="4" t="s">
        <v>1044</v>
      </c>
      <c r="B825" s="4" t="s">
        <v>1047</v>
      </c>
      <c r="C825" s="5" t="str">
        <f>IFERROR(__xludf.DUMMYFUNCTION("GOOGLETRANSLATE(B825,""en"",""zh-CN"")"),"有些人停下来听他玩耍，他停下来看着镜头。")</f>
        <v>有些人停下来听他玩耍，他停下来看着镜头。</v>
      </c>
    </row>
    <row r="826">
      <c r="A826" s="4" t="s">
        <v>1048</v>
      </c>
      <c r="B826" s="4" t="s">
        <v>1049</v>
      </c>
      <c r="C826" s="5" t="str">
        <f>IFERROR(__xludf.DUMMYFUNCTION("GOOGLETRANSLATE(B826,""en"",""zh-CN"")"),"一位穿着红色和黑色的肚皮舞者正在演示如何召唤圆圈和颤抖。")</f>
        <v>一位穿着红色和黑色的肚皮舞者正在演示如何召唤圆圈和颤抖。</v>
      </c>
    </row>
    <row r="827">
      <c r="A827" s="4" t="s">
        <v>1048</v>
      </c>
      <c r="B827" s="4" t="s">
        <v>1050</v>
      </c>
      <c r="C827" s="5" t="str">
        <f>IFERROR(__xludf.DUMMYFUNCTION("GOOGLETRANSLATE(B827,""en"",""zh-CN"")"),"她站在脚部的臀部宽度上。")</f>
        <v>她站在脚部的臀部宽度上。</v>
      </c>
    </row>
    <row r="828">
      <c r="A828" s="4" t="s">
        <v>1048</v>
      </c>
      <c r="B828" s="4" t="s">
        <v>1051</v>
      </c>
      <c r="C828" s="5" t="str">
        <f>IFERROR(__xludf.DUMMYFUNCTION("GOOGLETRANSLATE(B828,""en"",""zh-CN"")"),"然后，当她将臀部移动到圈子时，她展示了如何进行脚部工作。")</f>
        <v>然后，当她将臀部移动到圈子时，她展示了如何进行脚部工作。</v>
      </c>
    </row>
    <row r="829">
      <c r="A829" s="4" t="s">
        <v>1048</v>
      </c>
      <c r="B829" s="4" t="s">
        <v>1052</v>
      </c>
      <c r="C829" s="5" t="str">
        <f>IFERROR(__xludf.DUMMYFUNCTION("GOOGLETRANSLATE(B829,""en"",""zh-CN"")"),"她同时移动臀部并侧身移动。")</f>
        <v>她同时移动臀部并侧身移动。</v>
      </c>
    </row>
    <row r="830">
      <c r="A830" s="4" t="s">
        <v>1048</v>
      </c>
      <c r="B830" s="4" t="s">
        <v>1053</v>
      </c>
      <c r="C830" s="5" t="str">
        <f>IFERROR(__xludf.DUMMYFUNCTION("GOOGLETRANSLATE(B830,""en"",""zh-CN"")"),"然后，当她继续向侧面移动时，她伸出双手并在一侧。")</f>
        <v>然后，当她继续向侧面移动时，她伸出双手并在一侧。</v>
      </c>
    </row>
    <row r="831">
      <c r="A831" s="4" t="s">
        <v>1048</v>
      </c>
      <c r="B831" s="4" t="s">
        <v>1054</v>
      </c>
      <c r="C831" s="5" t="str">
        <f>IFERROR(__xludf.DUMMYFUNCTION("GOOGLETRANSLATE(B831,""en"",""zh-CN"")"),"当她旋转臀部时，她重复了前进的步骤。")</f>
        <v>当她旋转臀部时，她重复了前进的步骤。</v>
      </c>
    </row>
    <row r="832">
      <c r="A832" s="4" t="s">
        <v>1055</v>
      </c>
      <c r="B832" s="4" t="s">
        <v>1056</v>
      </c>
      <c r="C832" s="5" t="str">
        <f>IFERROR(__xludf.DUMMYFUNCTION("GOOGLETRANSLATE(B832,""en"",""zh-CN"")"),"一个女人的健身制造商慢慢将一大堆杠铃抬起空中。")</f>
        <v>一个女人的健身制造商慢慢将一大堆杠铃抬起空中。</v>
      </c>
    </row>
    <row r="833">
      <c r="A833" s="4" t="s">
        <v>1055</v>
      </c>
      <c r="B833" s="4" t="s">
        <v>1057</v>
      </c>
      <c r="C833" s="5" t="str">
        <f>IFERROR(__xludf.DUMMYFUNCTION("GOOGLETRANSLATE(B833,""en"",""zh-CN"")"),"她将其抬到胸前，然后越过头，然后冷冻到位。")</f>
        <v>她将其抬到胸前，然后越过头，然后冷冻到位。</v>
      </c>
    </row>
    <row r="834">
      <c r="A834" s="4" t="s">
        <v>1058</v>
      </c>
      <c r="B834" s="4" t="s">
        <v>1059</v>
      </c>
      <c r="C834" s="5" t="str">
        <f>IFERROR(__xludf.DUMMYFUNCTION("GOOGLETRANSLATE(B834,""en"",""zh-CN"")"),"一支啦啦队在蓝色垫子上表演。")</f>
        <v>一支啦啦队在蓝色垫子上表演。</v>
      </c>
    </row>
    <row r="835">
      <c r="A835" s="4" t="s">
        <v>1058</v>
      </c>
      <c r="B835" s="4" t="s">
        <v>1060</v>
      </c>
      <c r="C835" s="5" t="str">
        <f>IFERROR(__xludf.DUMMYFUNCTION("GOOGLETRANSLATE(B835,""en"",""zh-CN"")"),"他们在日常活动中跳舞和滚滚。")</f>
        <v>他们在日常活动中跳舞和滚滚。</v>
      </c>
    </row>
    <row r="836">
      <c r="A836" s="4" t="s">
        <v>1061</v>
      </c>
      <c r="B836" s="6" t="s">
        <v>1062</v>
      </c>
      <c r="C836" s="5" t="str">
        <f>IFERROR(__xludf.DUMMYFUNCTION("GOOGLETRANSLATE(B836,""en"",""zh-CN"")"),"蛋糕化学解释了如何在家中进行实验，它们提供了所需的所有成分，并开始解释他们将要做什么。")</f>
        <v>蛋糕化学解释了如何在家中进行实验，它们提供了所需的所有成分，并开始解释他们将要做什么。</v>
      </c>
    </row>
    <row r="837">
      <c r="A837" s="4" t="s">
        <v>1061</v>
      </c>
      <c r="B837" s="4" t="s">
        <v>1063</v>
      </c>
      <c r="C837" s="5" t="str">
        <f>IFERROR(__xludf.DUMMYFUNCTION("GOOGLETRANSLATE(B837,""en"",""zh-CN"")"),"开始逐步说明如何将成分混合在一起。")</f>
        <v>开始逐步说明如何将成分混合在一起。</v>
      </c>
    </row>
    <row r="838">
      <c r="A838" s="4" t="s">
        <v>1061</v>
      </c>
      <c r="B838" s="4" t="s">
        <v>1064</v>
      </c>
      <c r="C838" s="5" t="str">
        <f>IFERROR(__xludf.DUMMYFUNCTION("GOOGLETRANSLATE(B838,""en"",""zh-CN"")"),"他们提供了有关将它们放入烤箱之前该怎么做的非常详细的信息。")</f>
        <v>他们提供了有关将它们放入烤箱之前该怎么做的非常详细的信息。</v>
      </c>
    </row>
    <row r="839">
      <c r="A839" s="4" t="s">
        <v>1061</v>
      </c>
      <c r="B839" s="6" t="s">
        <v>1065</v>
      </c>
      <c r="C839" s="5" t="str">
        <f>IFERROR(__xludf.DUMMYFUNCTION("GOOGLETRANSLATE(B839,""en"",""zh-CN"")"),"一旦他们从烤箱中出来，他们就会解释所有蛋糕与他们没有放入的不同成分之间的区别，以了解结果为什么不同。")</f>
        <v>一旦他们从烤箱中出来，他们就会解释所有蛋糕与他们没有放入的不同成分之间的区别，以了解结果为什么不同。</v>
      </c>
    </row>
    <row r="840">
      <c r="A840" s="4" t="s">
        <v>1066</v>
      </c>
      <c r="B840" s="4" t="s">
        <v>1067</v>
      </c>
      <c r="C840" s="5" t="str">
        <f>IFERROR(__xludf.DUMMYFUNCTION("GOOGLETRANSLATE(B840,""en"",""zh-CN"")"),"一个男人开车割草机切开后院的草。")</f>
        <v>一个男人开车割草机切开后院的草。</v>
      </c>
    </row>
    <row r="841">
      <c r="A841" s="4" t="s">
        <v>1066</v>
      </c>
      <c r="B841" s="4" t="s">
        <v>1068</v>
      </c>
      <c r="C841" s="5" t="str">
        <f>IFERROR(__xludf.DUMMYFUNCTION("GOOGLETRANSLATE(B841,""en"",""zh-CN"")"),"该男子在房屋的前面经过，继续割草院子的其他部分。")</f>
        <v>该男子在房屋的前面经过，继续割草院子的其他部分。</v>
      </c>
    </row>
    <row r="842">
      <c r="A842" s="4" t="s">
        <v>1069</v>
      </c>
      <c r="B842" s="6" t="s">
        <v>1070</v>
      </c>
      <c r="C842" s="5" t="str">
        <f>IFERROR(__xludf.DUMMYFUNCTION("GOOGLETRANSLATE(B842,""en"",""zh-CN"")"),"看到两个人彼此表演各种武术，而一大群人则在侧面观看。")</f>
        <v>看到两个人彼此表演各种武术，而一大群人则在侧面观看。</v>
      </c>
    </row>
    <row r="843">
      <c r="A843" s="4" t="s">
        <v>1069</v>
      </c>
      <c r="B843" s="6" t="s">
        <v>1071</v>
      </c>
      <c r="C843" s="5" t="str">
        <f>IFERROR(__xludf.DUMMYFUNCTION("GOOGLETRANSLATE(B843,""en"",""zh-CN"")"),"越来越多的人站在中间，彼此表演，以人们四处走动并互相抓住。")</f>
        <v>越来越多的人站在中间，彼此表演，以人们四处走动并互相抓住。</v>
      </c>
    </row>
    <row r="844">
      <c r="A844" s="4" t="s">
        <v>1072</v>
      </c>
      <c r="B844" s="4" t="s">
        <v>1073</v>
      </c>
      <c r="C844" s="5" t="str">
        <f>IFERROR(__xludf.DUMMYFUNCTION("GOOGLETRANSLATE(B844,""en"",""zh-CN"")"),"两个年轻人站在室内，与镜头交谈。")</f>
        <v>两个年轻人站在室内，与镜头交谈。</v>
      </c>
    </row>
    <row r="845">
      <c r="A845" s="4" t="s">
        <v>1072</v>
      </c>
      <c r="B845" s="4" t="s">
        <v>1074</v>
      </c>
      <c r="C845" s="5" t="str">
        <f>IFERROR(__xludf.DUMMYFUNCTION("GOOGLETRANSLATE(B845,""en"",""zh-CN"")"),"他们演示了他们如何在赛道上跑步，并跳进沙子。")</f>
        <v>他们演示了他们如何在赛道上跑步，并跳进沙子。</v>
      </c>
    </row>
    <row r="846">
      <c r="A846" s="4" t="s">
        <v>1075</v>
      </c>
      <c r="B846" s="4" t="s">
        <v>1076</v>
      </c>
      <c r="C846" s="5" t="str">
        <f>IFERROR(__xludf.DUMMYFUNCTION("GOOGLETRANSLATE(B846,""en"",""zh-CN"")"),"显示了房屋前面的篱笆。")</f>
        <v>显示了房屋前面的篱笆。</v>
      </c>
    </row>
    <row r="847">
      <c r="A847" s="4" t="s">
        <v>1075</v>
      </c>
      <c r="B847" s="4" t="s">
        <v>1077</v>
      </c>
      <c r="C847" s="5" t="str">
        <f>IFERROR(__xludf.DUMMYFUNCTION("GOOGLETRANSLATE(B847,""en"",""zh-CN"")"),"一个穿着白色的男人开始画篱笆。")</f>
        <v>一个穿着白色的男人开始画篱笆。</v>
      </c>
    </row>
    <row r="848">
      <c r="A848" s="4" t="s">
        <v>1078</v>
      </c>
      <c r="B848" s="4" t="s">
        <v>1079</v>
      </c>
      <c r="C848" s="5" t="str">
        <f>IFERROR(__xludf.DUMMYFUNCTION("GOOGLETRANSLATE(B848,""en"",""zh-CN"")"),"一个穿着蓝色裤子的人正在从地面上倾斜一些叶子。")</f>
        <v>一个穿着蓝色裤子的人正在从地面上倾斜一些叶子。</v>
      </c>
    </row>
    <row r="849">
      <c r="A849" s="4" t="s">
        <v>1078</v>
      </c>
      <c r="B849" s="4" t="s">
        <v>1080</v>
      </c>
      <c r="C849" s="5" t="str">
        <f>IFERROR(__xludf.DUMMYFUNCTION("GOOGLETRANSLATE(B849,""en"",""zh-CN"")"),"有一只黑狗和一只白狗在耙树叶的人周围跳跃。")</f>
        <v>有一只黑狗和一只白狗在耙树叶的人周围跳跃。</v>
      </c>
    </row>
    <row r="850">
      <c r="A850" s="4" t="s">
        <v>1078</v>
      </c>
      <c r="B850" s="4" t="s">
        <v>1081</v>
      </c>
      <c r="C850" s="5" t="str">
        <f>IFERROR(__xludf.DUMMYFUNCTION("GOOGLETRANSLATE(B850,""en"",""zh-CN"")"),"白狗正试图咬耙子。")</f>
        <v>白狗正试图咬耙子。</v>
      </c>
    </row>
    <row r="851">
      <c r="A851" s="4" t="s">
        <v>1078</v>
      </c>
      <c r="B851" s="4" t="s">
        <v>1082</v>
      </c>
      <c r="C851" s="5" t="str">
        <f>IFERROR(__xludf.DUMMYFUNCTION("GOOGLETRANSLATE(B851,""en"",""zh-CN"")"),"两只狗都在围绕着耙树叶的男人玩耍，试图咬住耙子。")</f>
        <v>两只狗都在围绕着耙树叶的男人玩耍，试图咬住耙子。</v>
      </c>
    </row>
    <row r="852">
      <c r="A852" s="4" t="s">
        <v>1078</v>
      </c>
      <c r="B852" s="4" t="s">
        <v>1083</v>
      </c>
      <c r="C852" s="5" t="str">
        <f>IFERROR(__xludf.DUMMYFUNCTION("GOOGLETRANSLATE(B852,""en"",""zh-CN"")"),"当狗在他周围跳来跳去时，该人正在将耙子移到圆圈中。")</f>
        <v>当狗在他周围跳来跳去时，该人正在将耙子移到圆圈中。</v>
      </c>
    </row>
    <row r="853">
      <c r="A853" s="4" t="s">
        <v>1084</v>
      </c>
      <c r="B853" s="4" t="s">
        <v>1085</v>
      </c>
      <c r="C853" s="5" t="str">
        <f>IFERROR(__xludf.DUMMYFUNCTION("GOOGLETRANSLATE(B853,""en"",""zh-CN"")"),"一只蝴蝶在屏幕上飞翔，幻灯片上有单词。")</f>
        <v>一只蝴蝶在屏幕上飞翔，幻灯片上有单词。</v>
      </c>
    </row>
    <row r="854">
      <c r="A854" s="4" t="s">
        <v>1084</v>
      </c>
      <c r="B854" s="4" t="s">
        <v>1086</v>
      </c>
      <c r="C854" s="5" t="str">
        <f>IFERROR(__xludf.DUMMYFUNCTION("GOOGLETRANSLATE(B854,""en"",""zh-CN"")"),"一个人在碗中混合食材。")</f>
        <v>一个人在碗中混合食材。</v>
      </c>
    </row>
    <row r="855">
      <c r="A855" s="4" t="s">
        <v>1084</v>
      </c>
      <c r="B855" s="4" t="s">
        <v>1087</v>
      </c>
      <c r="C855" s="5" t="str">
        <f>IFERROR(__xludf.DUMMYFUNCTION("GOOGLETRANSLATE(B855,""en"",""zh-CN"")"),"他们将面团倒在饼干纸上。")</f>
        <v>他们将面团倒在饼干纸上。</v>
      </c>
    </row>
    <row r="856">
      <c r="A856" s="4" t="s">
        <v>1084</v>
      </c>
      <c r="B856" s="4" t="s">
        <v>1088</v>
      </c>
      <c r="C856" s="5" t="str">
        <f>IFERROR(__xludf.DUMMYFUNCTION("GOOGLETRANSLATE(B856,""en"",""zh-CN"")"),"烘焙饼干显示在盘子上。")</f>
        <v>烘焙饼干显示在盘子上。</v>
      </c>
    </row>
    <row r="857">
      <c r="A857" s="4" t="s">
        <v>1089</v>
      </c>
      <c r="B857" s="4" t="s">
        <v>1090</v>
      </c>
      <c r="C857" s="5" t="str">
        <f>IFERROR(__xludf.DUMMYFUNCTION("GOOGLETRANSLATE(B857,""en"",""zh-CN"")"),"看到一个人坐在椅子上，用刀伸入她的土豆。")</f>
        <v>看到一个人坐在椅子上，用刀伸入她的土豆。</v>
      </c>
    </row>
    <row r="858">
      <c r="A858" s="4" t="s">
        <v>1089</v>
      </c>
      <c r="B858" s="4" t="s">
        <v>1091</v>
      </c>
      <c r="C858" s="5" t="str">
        <f>IFERROR(__xludf.DUMMYFUNCTION("GOOGLETRANSLATE(B858,""en"",""zh-CN"")"),"然后，该人完成了剥离土豆并将其放下的人。")</f>
        <v>然后，该人完成了剥离土豆并将其放下的人。</v>
      </c>
    </row>
    <row r="859">
      <c r="A859" s="4" t="s">
        <v>1092</v>
      </c>
      <c r="B859" s="4" t="s">
        <v>1093</v>
      </c>
      <c r="C859" s="5" t="str">
        <f>IFERROR(__xludf.DUMMYFUNCTION("GOOGLETRANSLATE(B859,""en"",""zh-CN"")"),"看到一个人切断了各种水果，同时也看到了在相机上说话。")</f>
        <v>看到一个人切断了各种水果，同时也看到了在相机上说话。</v>
      </c>
    </row>
    <row r="860">
      <c r="A860" s="4" t="s">
        <v>1092</v>
      </c>
      <c r="B860" s="4" t="s">
        <v>1094</v>
      </c>
      <c r="C860" s="5" t="str">
        <f>IFERROR(__xludf.DUMMYFUNCTION("GOOGLETRANSLATE(B860,""en"",""zh-CN"")"),"该人将各种成分混合到一个容器中。")</f>
        <v>该人将各种成分混合到一个容器中。</v>
      </c>
    </row>
    <row r="861">
      <c r="A861" s="4" t="s">
        <v>1092</v>
      </c>
      <c r="B861" s="4" t="s">
        <v>1095</v>
      </c>
      <c r="C861" s="5" t="str">
        <f>IFERROR(__xludf.DUMMYFUNCTION("GOOGLETRANSLATE(B861,""en"",""zh-CN"")"),"该人最终在容器周围旋转。")</f>
        <v>该人最终在容器周围旋转。</v>
      </c>
    </row>
    <row r="862">
      <c r="A862" s="4" t="s">
        <v>1096</v>
      </c>
      <c r="B862" s="4" t="s">
        <v>1097</v>
      </c>
      <c r="C862" s="5" t="str">
        <f>IFERROR(__xludf.DUMMYFUNCTION("GOOGLETRANSLATE(B862,""en"",""zh-CN"")"),"一个人的手工用白色的水洗净一只灰猫。")</f>
        <v>一个人的手工用白色的水洗净一只灰猫。</v>
      </c>
    </row>
    <row r="863">
      <c r="A863" s="4" t="s">
        <v>1096</v>
      </c>
      <c r="B863" s="4" t="s">
        <v>1098</v>
      </c>
      <c r="C863" s="5" t="str">
        <f>IFERROR(__xludf.DUMMYFUNCTION("GOOGLETRANSLATE(B863,""en"",""zh-CN"")"),"一只灰色的猫坐在白色的透明水浴缸里，用水浸透。")</f>
        <v>一只灰色的猫坐在白色的透明水浴缸里，用水浸透。</v>
      </c>
    </row>
    <row r="864">
      <c r="A864" s="4" t="s">
        <v>1096</v>
      </c>
      <c r="B864" s="4" t="s">
        <v>1099</v>
      </c>
      <c r="C864" s="5" t="str">
        <f>IFERROR(__xludf.DUMMYFUNCTION("GOOGLETRANSLATE(B864,""en"",""zh-CN"")"),"带有纹身的手出现，并用红布擦拭猫的背部。")</f>
        <v>带有纹身的手出现，并用红布擦拭猫的背部。</v>
      </c>
    </row>
    <row r="865">
      <c r="A865" s="4" t="s">
        <v>1096</v>
      </c>
      <c r="B865" s="4" t="s">
        <v>1100</v>
      </c>
      <c r="C865" s="5" t="str">
        <f>IFERROR(__xludf.DUMMYFUNCTION("GOOGLETRANSLATE(B865,""en"",""zh-CN"")"),"然后，手用红布擦拭猫的脖子和头部。")</f>
        <v>然后，手用红布擦拭猫的脖子和头部。</v>
      </c>
    </row>
    <row r="866">
      <c r="A866" s="4" t="s">
        <v>1096</v>
      </c>
      <c r="B866" s="4" t="s">
        <v>1101</v>
      </c>
      <c r="C866" s="5" t="str">
        <f>IFERROR(__xludf.DUMMYFUNCTION("GOOGLETRANSLATE(B866,""en"",""zh-CN"")"),"最后，手使红布掉入水中，因为手将自己握在猫的鼻子上。")</f>
        <v>最后，手使红布掉入水中，因为手将自己握在猫的鼻子上。</v>
      </c>
    </row>
    <row r="867">
      <c r="A867" s="4" t="s">
        <v>1102</v>
      </c>
      <c r="B867" s="4" t="s">
        <v>1103</v>
      </c>
      <c r="C867" s="5" t="str">
        <f>IFERROR(__xludf.DUMMYFUNCTION("GOOGLETRANSLATE(B867,""en"",""zh-CN"")"),"一个女孩站在她的背上，在法庭上转身。")</f>
        <v>一个女孩站在她的背上，在法庭上转身。</v>
      </c>
    </row>
    <row r="868">
      <c r="A868" s="4" t="s">
        <v>1102</v>
      </c>
      <c r="B868" s="4" t="s">
        <v>1104</v>
      </c>
      <c r="C868" s="5" t="str">
        <f>IFERROR(__xludf.DUMMYFUNCTION("GOOGLETRANSLATE(B868,""en"",""zh-CN"")"),"她转身，不小心掉了绳子。")</f>
        <v>她转身，不小心掉了绳子。</v>
      </c>
    </row>
    <row r="869">
      <c r="A869" s="4" t="s">
        <v>1102</v>
      </c>
      <c r="B869" s="4" t="s">
        <v>1105</v>
      </c>
      <c r="C869" s="5" t="str">
        <f>IFERROR(__xludf.DUMMYFUNCTION("GOOGLETRANSLATE(B869,""en"",""zh-CN"")"),"然后，她表演，旋转并与绳子跳跃。")</f>
        <v>然后，她表演，旋转并与绳子跳跃。</v>
      </c>
    </row>
    <row r="870">
      <c r="A870" s="4" t="s">
        <v>1106</v>
      </c>
      <c r="B870" s="4" t="s">
        <v>1107</v>
      </c>
      <c r="C870" s="5" t="str">
        <f>IFERROR(__xludf.DUMMYFUNCTION("GOOGLETRANSLATE(B870,""en"",""zh-CN"")"),"看到一个人的头上放着摄像机铲一些雪。")</f>
        <v>看到一个人的头上放着摄像机铲一些雪。</v>
      </c>
    </row>
    <row r="871">
      <c r="A871" s="4" t="s">
        <v>1106</v>
      </c>
      <c r="B871" s="6" t="s">
        <v>1108</v>
      </c>
      <c r="C871" s="5" t="str">
        <f>IFERROR(__xludf.DUMMYFUNCTION("GOOGLETRANSLATE(B871,""en"",""zh-CN"")"),"他展示了他的几枪，铲雪，脸上有一个近距离的雪，在该地区周围铺好。")</f>
        <v>他展示了他的几枪，铲雪，脸上有一个近距离的雪，在该地区周围铺好。</v>
      </c>
    </row>
    <row r="872">
      <c r="A872" s="4" t="s">
        <v>1109</v>
      </c>
      <c r="B872" s="4" t="s">
        <v>1110</v>
      </c>
      <c r="C872" s="5" t="str">
        <f>IFERROR(__xludf.DUMMYFUNCTION("GOOGLETRANSLATE(B872,""en"",""zh-CN"")"),"厨师展示了所有要做意大利面的成分。")</f>
        <v>厨师展示了所有要做意大利面的成分。</v>
      </c>
    </row>
    <row r="873">
      <c r="A873" s="4" t="s">
        <v>1109</v>
      </c>
      <c r="B873" s="4" t="s">
        <v>1111</v>
      </c>
      <c r="C873" s="5" t="str">
        <f>IFERROR(__xludf.DUMMYFUNCTION("GOOGLETRANSLATE(B873,""en"",""zh-CN"")"),"然后，厨师将意大利面放在热水中，然后将油倒入锅中。")</f>
        <v>然后，厨师将意大利面放在热水中，然后将油倒入锅中。</v>
      </c>
    </row>
    <row r="874">
      <c r="A874" s="4" t="s">
        <v>1109</v>
      </c>
      <c r="B874" s="6" t="s">
        <v>1112</v>
      </c>
      <c r="C874" s="5" t="str">
        <f>IFERROR(__xludf.DUMMYFUNCTION("GOOGLETRANSLATE(B874,""en"",""zh-CN"")"),"接下来，厨师将大蒜，西红柿，罗勒，盐，胡椒粉和煮熟的意大利面加入锅中。")</f>
        <v>接下来，厨师将大蒜，西红柿，罗勒，盐，胡椒粉和煮熟的意大利面加入锅中。</v>
      </c>
    </row>
    <row r="875">
      <c r="A875" s="4" t="s">
        <v>1109</v>
      </c>
      <c r="B875" s="4" t="s">
        <v>1113</v>
      </c>
      <c r="C875" s="5" t="str">
        <f>IFERROR(__xludf.DUMMYFUNCTION("GOOGLETRANSLATE(B875,""en"",""zh-CN"")"),"之后，厨师将帕尔玛奶酪添加到面食顶部，并在菜肴中食用。")</f>
        <v>之后，厨师将帕尔玛奶酪添加到面食顶部，并在菜肴中食用。</v>
      </c>
    </row>
    <row r="876">
      <c r="A876" s="4" t="s">
        <v>1109</v>
      </c>
      <c r="B876" s="4" t="s">
        <v>1114</v>
      </c>
      <c r="C876" s="5" t="str">
        <f>IFERROR(__xludf.DUMMYFUNCTION("GOOGLETRANSLATE(B876,""en"",""zh-CN"")"),"厨师将奶酪和两个绿色叶子放在菜的面食上。")</f>
        <v>厨师将奶酪和两个绿色叶子放在菜的面食上。</v>
      </c>
    </row>
    <row r="877">
      <c r="A877" s="4" t="s">
        <v>1115</v>
      </c>
      <c r="B877" s="4" t="s">
        <v>1116</v>
      </c>
      <c r="C877" s="5" t="str">
        <f>IFERROR(__xludf.DUMMYFUNCTION("GOOGLETRANSLATE(B877,""en"",""zh-CN"")"),"一个人使用机器安装地毯。")</f>
        <v>一个人使用机器安装地毯。</v>
      </c>
    </row>
    <row r="878">
      <c r="A878" s="4" t="s">
        <v>1115</v>
      </c>
      <c r="B878" s="4" t="s">
        <v>1117</v>
      </c>
      <c r="C878" s="5" t="str">
        <f>IFERROR(__xludf.DUMMYFUNCTION("GOOGLETRANSLATE(B878,""en"",""zh-CN"")"),"该人剪了一块彩色地毯。")</f>
        <v>该人剪了一块彩色地毯。</v>
      </c>
    </row>
    <row r="879">
      <c r="A879" s="4" t="s">
        <v>1115</v>
      </c>
      <c r="B879" s="4" t="s">
        <v>1118</v>
      </c>
      <c r="C879" s="5" t="str">
        <f>IFERROR(__xludf.DUMMYFUNCTION("GOOGLETRANSLATE(B879,""en"",""zh-CN"")"),"然后，该人用新作品和灌木丛代替。")</f>
        <v>然后，该人用新作品和灌木丛代替。</v>
      </c>
    </row>
    <row r="880">
      <c r="A880" s="4" t="s">
        <v>1119</v>
      </c>
      <c r="B880" s="6" t="s">
        <v>1120</v>
      </c>
      <c r="C880" s="5" t="str">
        <f>IFERROR(__xludf.DUMMYFUNCTION("GOOGLETRANSLATE(B880,""en"",""zh-CN"")"),"人在赛道上跑步，跳远，而坐在看台的人看着他的拍手。")</f>
        <v>人在赛道上跑步，跳远，而坐在看台的人看着他的拍手。</v>
      </c>
    </row>
    <row r="881">
      <c r="A881" s="4" t="s">
        <v>1119</v>
      </c>
      <c r="B881" s="4" t="s">
        <v>1121</v>
      </c>
      <c r="C881" s="5" t="str">
        <f>IFERROR(__xludf.DUMMYFUNCTION("GOOGLETRANSLATE(B881,""en"",""zh-CN"")"),"赛道侧面的人们坐在一边。")</f>
        <v>赛道侧面的人们坐在一边。</v>
      </c>
    </row>
    <row r="882">
      <c r="A882" s="4" t="s">
        <v>1122</v>
      </c>
      <c r="B882" s="6" t="s">
        <v>1123</v>
      </c>
      <c r="C882" s="5" t="str">
        <f>IFERROR(__xludf.DUMMYFUNCTION("GOOGLETRANSLATE(B882,""en"",""zh-CN"")"),"看到一个女人坐在一组邦戈鼓后面，在与镜头讲话时一起演奏。")</f>
        <v>看到一个女人坐在一组邦戈鼓后面，在与镜头讲话时一起演奏。</v>
      </c>
    </row>
    <row r="883">
      <c r="A883" s="4" t="s">
        <v>1122</v>
      </c>
      <c r="B883" s="4" t="s">
        <v>1124</v>
      </c>
      <c r="C883" s="5" t="str">
        <f>IFERROR(__xludf.DUMMYFUNCTION("GOOGLETRANSLATE(B883,""en"",""zh-CN"")"),"女人在与镜头说话并唱歌时继续打鼓。")</f>
        <v>女人在与镜头说话并唱歌时继续打鼓。</v>
      </c>
    </row>
    <row r="884">
      <c r="A884" s="4" t="s">
        <v>1125</v>
      </c>
      <c r="B884" s="4" t="s">
        <v>1126</v>
      </c>
      <c r="C884" s="5" t="str">
        <f>IFERROR(__xludf.DUMMYFUNCTION("GOOGLETRANSLATE(B884,""en"",""zh-CN"")"),"一个女人躺在床上，头发张开。")</f>
        <v>一个女人躺在床上，头发张开。</v>
      </c>
    </row>
    <row r="885">
      <c r="A885" s="4" t="s">
        <v>1125</v>
      </c>
      <c r="B885" s="4" t="s">
        <v>1127</v>
      </c>
      <c r="C885" s="5" t="str">
        <f>IFERROR(__xludf.DUMMYFUNCTION("GOOGLETRANSLATE(B885,""en"",""zh-CN"")"),"她从后面有几张图像，长发很长。")</f>
        <v>她从后面有几张图像，长发很长。</v>
      </c>
    </row>
    <row r="886">
      <c r="A886" s="4" t="s">
        <v>1125</v>
      </c>
      <c r="B886" s="4" t="s">
        <v>1128</v>
      </c>
      <c r="C886" s="5" t="str">
        <f>IFERROR(__xludf.DUMMYFUNCTION("GOOGLETRANSLATE(B886,""en"",""zh-CN"")"),"然后，我们看到了她的许多图像，她的头发切成肩长。")</f>
        <v>然后，我们看到了她的许多图像，她的头发切成肩长。</v>
      </c>
    </row>
    <row r="887">
      <c r="A887" s="4" t="s">
        <v>1129</v>
      </c>
      <c r="B887" s="4" t="s">
        <v>1130</v>
      </c>
      <c r="C887" s="5" t="str">
        <f>IFERROR(__xludf.DUMMYFUNCTION("GOOGLETRANSLATE(B887,""en"",""zh-CN"")"),"穿着红色外套的男人在滑雪板上。")</f>
        <v>穿着红色外套的男人在滑雪板上。</v>
      </c>
    </row>
    <row r="888">
      <c r="A888" s="4" t="s">
        <v>1129</v>
      </c>
      <c r="B888" s="4" t="s">
        <v>1131</v>
      </c>
      <c r="C888" s="5" t="str">
        <f>IFERROR(__xludf.DUMMYFUNCTION("GOOGLETRANSLATE(B888,""en"",""zh-CN"")"),"他开始沿着一门课程，在移动时做一些非常酷的技巧。")</f>
        <v>他开始沿着一门课程，在移动时做一些非常酷的技巧。</v>
      </c>
    </row>
    <row r="889">
      <c r="A889" s="4" t="s">
        <v>1129</v>
      </c>
      <c r="B889" s="6" t="s">
        <v>1132</v>
      </c>
      <c r="C889" s="5" t="str">
        <f>IFERROR(__xludf.DUMMYFUNCTION("GOOGLETRANSLATE(B889,""en"",""zh-CN"")"),"有些人在擦木板，另一个人进入场上，开始在空气中进行一些翻转和东西。")</f>
        <v>有些人在擦木板，另一个人进入场上，开始在空气中进行一些翻转和东西。</v>
      </c>
    </row>
    <row r="890">
      <c r="A890" s="4" t="s">
        <v>1129</v>
      </c>
      <c r="B890" s="6" t="s">
        <v>1133</v>
      </c>
      <c r="C890" s="5" t="str">
        <f>IFERROR(__xludf.DUMMYFUNCTION("GOOGLETRANSLATE(B890,""en"",""zh-CN"")"),"这些都是董事会上经验丰富的人，他们甚至在水上登机并度过美好的时光。")</f>
        <v>这些都是董事会上经验丰富的人，他们甚至在水上登机并度过美好的时光。</v>
      </c>
    </row>
    <row r="891">
      <c r="A891" s="4" t="s">
        <v>1134</v>
      </c>
      <c r="B891" s="6" t="s">
        <v>1135</v>
      </c>
      <c r="C891" s="5" t="str">
        <f>IFERROR(__xludf.DUMMYFUNCTION("GOOGLETRANSLATE(B891,""en"",""zh-CN"")"),"女人正与拿着麦克风并采访Voleyball玩家的摄像机交谈。")</f>
        <v>女人正与拿着麦克风并采访Voleyball玩家的摄像机交谈。</v>
      </c>
    </row>
    <row r="892">
      <c r="A892" s="4" t="s">
        <v>1134</v>
      </c>
      <c r="B892" s="4" t="s">
        <v>1136</v>
      </c>
      <c r="C892" s="5" t="str">
        <f>IFERROR(__xludf.DUMMYFUNCTION("GOOGLETRANSLATE(B892,""en"",""zh-CN"")"),"人们站在接受采访的沙质领域。")</f>
        <v>人们站在接受采访的沙质领域。</v>
      </c>
    </row>
    <row r="893">
      <c r="A893" s="4" t="s">
        <v>1134</v>
      </c>
      <c r="B893" s="4" t="s">
        <v>1137</v>
      </c>
      <c r="C893" s="5" t="str">
        <f>IFERROR(__xludf.DUMMYFUNCTION("GOOGLETRANSLATE(B893,""en"",""zh-CN"")"),"男人在桑迪田地，展示他的女孩如何踢沙滩足球。")</f>
        <v>男人在桑迪田地，展示他的女孩如何踢沙滩足球。</v>
      </c>
    </row>
    <row r="894">
      <c r="A894" s="4" t="s">
        <v>1134</v>
      </c>
      <c r="B894" s="4" t="s">
        <v>1138</v>
      </c>
      <c r="C894" s="5" t="str">
        <f>IFERROR(__xludf.DUMMYFUNCTION("GOOGLETRANSLATE(B894,""en"",""zh-CN"")"),"女人是网的罪恶前面与镜头交谈。")</f>
        <v>女人是网的罪恶前面与镜头交谈。</v>
      </c>
    </row>
    <row r="895">
      <c r="A895" s="4" t="s">
        <v>1139</v>
      </c>
      <c r="B895" s="4" t="s">
        <v>1140</v>
      </c>
      <c r="C895" s="5" t="str">
        <f>IFERROR(__xludf.DUMMYFUNCTION("GOOGLETRANSLATE(B895,""en"",""zh-CN"")"),"一个男人被抽去跳远，然后做。")</f>
        <v>一个男人被抽去跳远，然后做。</v>
      </c>
    </row>
    <row r="896">
      <c r="A896" s="4" t="s">
        <v>1139</v>
      </c>
      <c r="B896" s="4" t="s">
        <v>1141</v>
      </c>
      <c r="C896" s="5" t="str">
        <f>IFERROR(__xludf.DUMMYFUNCTION("GOOGLETRANSLATE(B896,""en"",""zh-CN"")"),"其他人接下来，试图让人群吸引各自的跳远。")</f>
        <v>其他人接下来，试图让人群吸引各自的跳远。</v>
      </c>
    </row>
    <row r="897">
      <c r="A897" s="4" t="s">
        <v>1142</v>
      </c>
      <c r="B897" s="4" t="s">
        <v>1143</v>
      </c>
      <c r="C897" s="5" t="str">
        <f>IFERROR(__xludf.DUMMYFUNCTION("GOOGLETRANSLATE(B897,""en"",""zh-CN"")"),"一位黑人女性正在用长长的金发卷发和黑色毛衣在屏幕上交谈。")</f>
        <v>一位黑人女性正在用长长的金发卷发和黑色毛衣在屏幕上交谈。</v>
      </c>
    </row>
    <row r="898">
      <c r="A898" s="4" t="s">
        <v>1142</v>
      </c>
      <c r="B898" s="4" t="s">
        <v>1144</v>
      </c>
      <c r="C898" s="5" t="str">
        <f>IFERROR(__xludf.DUMMYFUNCTION("GOOGLETRANSLATE(B898,""en"",""zh-CN"")"),"显示了一个吹干机，然后女士开始干燥女孩的头发。")</f>
        <v>显示了一个吹干机，然后女士开始干燥女孩的头发。</v>
      </c>
    </row>
    <row r="899">
      <c r="A899" s="4" t="s">
        <v>1142</v>
      </c>
      <c r="B899" s="4" t="s">
        <v>1145</v>
      </c>
      <c r="C899" s="5" t="str">
        <f>IFERROR(__xludf.DUMMYFUNCTION("GOOGLETRANSLATE(B899,""en"",""zh-CN"")"),"然后，女孩的头发非常卷曲，这位小姐很难干燥她的头发。")</f>
        <v>然后，女孩的头发非常卷曲，这位小姐很难干燥她的头发。</v>
      </c>
    </row>
    <row r="900">
      <c r="A900" s="4" t="s">
        <v>1142</v>
      </c>
      <c r="B900" s="4" t="s">
        <v>1146</v>
      </c>
      <c r="C900" s="5" t="str">
        <f>IFERROR(__xludf.DUMMYFUNCTION("GOOGLETRANSLATE(B900,""en"",""zh-CN"")"),"再次显示了Kiss Blow烘干机的红色，女士继续晾干这位年轻女士的头发。")</f>
        <v>再次显示了Kiss Blow烘干机的红色，女士继续晾干这位年轻女士的头发。</v>
      </c>
    </row>
    <row r="901">
      <c r="A901" s="4" t="s">
        <v>1147</v>
      </c>
      <c r="B901" s="4" t="s">
        <v>1148</v>
      </c>
      <c r="C901" s="5" t="str">
        <f>IFERROR(__xludf.DUMMYFUNCTION("GOOGLETRANSLATE(B901,""en"",""zh-CN"")"),"人正在将电梯放在杆上。")</f>
        <v>人正在将电梯放在杆上。</v>
      </c>
    </row>
    <row r="902">
      <c r="A902" s="4" t="s">
        <v>1147</v>
      </c>
      <c r="B902" s="4" t="s">
        <v>1149</v>
      </c>
      <c r="C902" s="5" t="str">
        <f>IFERROR(__xludf.DUMMYFUNCTION("GOOGLETRANSLATE(B902,""en"",""zh-CN"")"),"男人正站在健身房的房间中间，举重。")</f>
        <v>男人正站在健身房的房间中间，举重。</v>
      </c>
    </row>
    <row r="903">
      <c r="A903" s="4" t="s">
        <v>1147</v>
      </c>
      <c r="B903" s="4" t="s">
        <v>1150</v>
      </c>
      <c r="C903" s="5" t="str">
        <f>IFERROR(__xludf.DUMMYFUNCTION("GOOGLETRANSLATE(B903,""en"",""zh-CN"")"),"在健身房中堆叠了许多不同的升降机。")</f>
        <v>在健身房中堆叠了许多不同的升降机。</v>
      </c>
    </row>
    <row r="904">
      <c r="A904" s="4" t="s">
        <v>1151</v>
      </c>
      <c r="B904" s="4" t="s">
        <v>1152</v>
      </c>
      <c r="C904" s="5" t="str">
        <f>IFERROR(__xludf.DUMMYFUNCTION("GOOGLETRANSLATE(B904,""en"",""zh-CN"")"),"看到一个人沿着道路奔跑，穿着设备并与相机说话。")</f>
        <v>看到一个人沿着道路奔跑，穿着设备并与相机说话。</v>
      </c>
    </row>
    <row r="905">
      <c r="A905" s="4" t="s">
        <v>1151</v>
      </c>
      <c r="B905" s="4" t="s">
        <v>1153</v>
      </c>
      <c r="C905" s="5" t="str">
        <f>IFERROR(__xludf.DUMMYFUNCTION("GOOGLETRANSLATE(B905,""en"",""zh-CN"")"),"该男子使用弦以及与相机交谈的人四处奔跑。")</f>
        <v>该男子使用弦以及与相机交谈的人四处奔跑。</v>
      </c>
    </row>
    <row r="906">
      <c r="A906" s="4" t="s">
        <v>1151</v>
      </c>
      <c r="B906" s="4" t="s">
        <v>1154</v>
      </c>
      <c r="C906" s="5" t="str">
        <f>IFERROR(__xludf.DUMMYFUNCTION("GOOGLETRANSLATE(B906,""en"",""zh-CN"")"),"该男子继续说话，而更多地显示他奔跑的镜头。")</f>
        <v>该男子继续说话，而更多地显示他奔跑的镜头。</v>
      </c>
    </row>
    <row r="907">
      <c r="A907" s="4" t="s">
        <v>1155</v>
      </c>
      <c r="B907" s="4" t="s">
        <v>1156</v>
      </c>
      <c r="C907" s="5" t="str">
        <f>IFERROR(__xludf.DUMMYFUNCTION("GOOGLETRANSLATE(B907,""en"",""zh-CN"")"),"人们坐在看着人的看台上。")</f>
        <v>人们坐在看着人的看台上。</v>
      </c>
    </row>
    <row r="908">
      <c r="A908" s="4" t="s">
        <v>1155</v>
      </c>
      <c r="B908" s="4" t="s">
        <v>1157</v>
      </c>
      <c r="C908" s="5" t="str">
        <f>IFERROR(__xludf.DUMMYFUNCTION("GOOGLETRANSLATE(B908,""en"",""zh-CN"")"),"人们穿着长袍。")</f>
        <v>人们穿着长袍。</v>
      </c>
    </row>
    <row r="909">
      <c r="A909" s="4" t="s">
        <v>1155</v>
      </c>
      <c r="B909" s="4" t="s">
        <v>1158</v>
      </c>
      <c r="C909" s="5" t="str">
        <f>IFERROR(__xludf.DUMMYFUNCTION("GOOGLETRANSLATE(B909,""en"",""zh-CN"")"),"他们正在地板上进行空手道动作。")</f>
        <v>他们正在地板上进行空手道动作。</v>
      </c>
    </row>
    <row r="910">
      <c r="A910" s="4" t="s">
        <v>1159</v>
      </c>
      <c r="B910" s="4" t="s">
        <v>1160</v>
      </c>
      <c r="C910" s="5" t="str">
        <f>IFERROR(__xludf.DUMMYFUNCTION("GOOGLETRANSLATE(B910,""en"",""zh-CN"")"),"一个男人谈论他在空旷的田野前使用的弓。")</f>
        <v>一个男人谈论他在空旷的田野前使用的弓。</v>
      </c>
    </row>
    <row r="911">
      <c r="A911" s="4" t="s">
        <v>1159</v>
      </c>
      <c r="B911" s="4" t="s">
        <v>1161</v>
      </c>
      <c r="C911" s="5" t="str">
        <f>IFERROR(__xludf.DUMMYFUNCTION("GOOGLETRANSLATE(B911,""en"",""zh-CN"")"),"该男子通过在田野中击中目标来展示如何使用弓。")</f>
        <v>该男子通过在田野中击中目标来展示如何使用弓。</v>
      </c>
    </row>
    <row r="912">
      <c r="A912" s="4" t="s">
        <v>1159</v>
      </c>
      <c r="B912" s="4" t="s">
        <v>1162</v>
      </c>
      <c r="C912" s="5" t="str">
        <f>IFERROR(__xludf.DUMMYFUNCTION("GOOGLETRANSLATE(B912,""en"",""zh-CN"")"),"几辆车辆沿着田野后面的道路行驶。")</f>
        <v>几辆车辆沿着田野后面的道路行驶。</v>
      </c>
    </row>
    <row r="913">
      <c r="A913" s="4" t="s">
        <v>1159</v>
      </c>
      <c r="B913" s="4" t="s">
        <v>1163</v>
      </c>
      <c r="C913" s="5" t="str">
        <f>IFERROR(__xludf.DUMMYFUNCTION("GOOGLETRANSLATE(B913,""en"",""zh-CN"")"),"牛在道路后面放牧。")</f>
        <v>牛在道路后面放牧。</v>
      </c>
    </row>
    <row r="914">
      <c r="A914" s="4" t="s">
        <v>1159</v>
      </c>
      <c r="B914" s="4" t="s">
        <v>1164</v>
      </c>
      <c r="C914" s="5" t="str">
        <f>IFERROR(__xludf.DUMMYFUNCTION("GOOGLETRANSLATE(B914,""en"",""zh-CN"")"),"该男子击中了他的最后一个目标，走开了。")</f>
        <v>该男子击中了他的最后一个目标，走开了。</v>
      </c>
    </row>
    <row r="915">
      <c r="A915" s="4" t="s">
        <v>1165</v>
      </c>
      <c r="B915" s="4" t="s">
        <v>1166</v>
      </c>
      <c r="C915" s="5" t="str">
        <f>IFERROR(__xludf.DUMMYFUNCTION("GOOGLETRANSLATE(B915,""en"",""zh-CN"")"),"一个男性酒保站在酒吧后面的酒吧和混合杯子前。")</f>
        <v>一个男性酒保站在酒吧后面的酒吧和混合杯子前。</v>
      </c>
    </row>
    <row r="916">
      <c r="A916" s="4" t="s">
        <v>1165</v>
      </c>
      <c r="B916" s="4" t="s">
        <v>1167</v>
      </c>
      <c r="C916" s="5" t="str">
        <f>IFERROR(__xludf.DUMMYFUNCTION("GOOGLETRANSLATE(B916,""en"",""zh-CN"")"),"该男子捡起钢铁，将冰块倒入他对方握着的玻璃杯中。")</f>
        <v>该男子捡起钢铁，将冰块倒入他对方握着的玻璃杯中。</v>
      </c>
    </row>
    <row r="917">
      <c r="A917" s="4" t="s">
        <v>1165</v>
      </c>
      <c r="B917" s="4" t="s">
        <v>1168</v>
      </c>
      <c r="C917" s="5" t="str">
        <f>IFERROR(__xludf.DUMMYFUNCTION("GOOGLETRANSLATE(B917,""en"",""zh-CN"")"),"然后，该男子拿起一个小的钢制射击玻璃，并用液体填充。")</f>
        <v>然后，该男子拿起一个小的钢制射击玻璃，并用液体填充。</v>
      </c>
    </row>
    <row r="918">
      <c r="A918" s="4" t="s">
        <v>1165</v>
      </c>
      <c r="B918" s="4" t="s">
        <v>1169</v>
      </c>
      <c r="C918" s="5" t="str">
        <f>IFERROR(__xludf.DUMMYFUNCTION("GOOGLETRANSLATE(B918,""en"",""zh-CN"")"),"然后，该男子将液体从射击玻璃杯中倒入冰杯中。")</f>
        <v>然后，该男子将液体从射击玻璃杯中倒入冰杯中。</v>
      </c>
    </row>
    <row r="919">
      <c r="A919" s="4" t="s">
        <v>1165</v>
      </c>
      <c r="B919" s="6" t="s">
        <v>1170</v>
      </c>
      <c r="C919" s="5" t="str">
        <f>IFERROR(__xludf.DUMMYFUNCTION("GOOGLETRANSLATE(B919,""en"",""zh-CN"")"),"该男子在里面捡起另一个带有红汁的玻璃杯，然后用冰倒入玻璃杯中，然后再放下。")</f>
        <v>该男子在里面捡起另一个带有红汁的玻璃杯，然后用冰倒入玻璃杯中，然后再放下。</v>
      </c>
    </row>
    <row r="920">
      <c r="A920" s="4" t="s">
        <v>1165</v>
      </c>
      <c r="B920" s="6" t="s">
        <v>1171</v>
      </c>
      <c r="C920" s="5" t="str">
        <f>IFERROR(__xludf.DUMMYFUNCTION("GOOGLETRANSLATE(B920,""en"",""zh-CN"")"),"该男子将所有液体用所有液体倒入混合杯中，然后将其盖住并摇动搅拌机。")</f>
        <v>该男子将所有液体用所有液体倒入混合杯中，然后将其盖住并摇动搅拌机。</v>
      </c>
    </row>
    <row r="921">
      <c r="A921" s="4" t="s">
        <v>1165</v>
      </c>
      <c r="B921" s="4" t="s">
        <v>1172</v>
      </c>
      <c r="C921" s="5" t="str">
        <f>IFERROR(__xludf.DUMMYFUNCTION("GOOGLETRANSLATE(B921,""en"",""zh-CN"")"),"该男子停止摇晃，将两个杯子隔开，将它们放回柜台。")</f>
        <v>该男子停止摇晃，将两个杯子隔开，将它们放回柜台。</v>
      </c>
    </row>
    <row r="922">
      <c r="A922" s="4" t="s">
        <v>1165</v>
      </c>
      <c r="B922" s="4" t="s">
        <v>1173</v>
      </c>
      <c r="C922" s="5" t="str">
        <f>IFERROR(__xludf.DUMMYFUNCTION("GOOGLETRANSLATE(B922,""en"",""zh-CN"")"),"该男子抓住了第三个空玻璃，将其移至柜台的另一侧。")</f>
        <v>该男子抓住了第三个空玻璃，将其移至柜台的另一侧。</v>
      </c>
    </row>
    <row r="923">
      <c r="A923" s="4" t="s">
        <v>1165</v>
      </c>
      <c r="B923" s="6" t="s">
        <v>1174</v>
      </c>
      <c r="C923" s="5" t="str">
        <f>IFERROR(__xludf.DUMMYFUNCTION("GOOGLETRANSLATE(B923,""en"",""zh-CN"")"),"该男子捡起混合器，然后将其内容物倒入空玻璃杯中，然后再将其放回原处。")</f>
        <v>该男子捡起混合器，然后将其内容物倒入空玻璃杯中，然后再将其放回原处。</v>
      </c>
    </row>
    <row r="924">
      <c r="A924" s="4" t="s">
        <v>1165</v>
      </c>
      <c r="B924" s="6" t="s">
        <v>1175</v>
      </c>
      <c r="C924" s="5" t="str">
        <f>IFERROR(__xludf.DUMMYFUNCTION("GOOGLETRANSLATE(B924,""en"",""zh-CN"")"),"然后，该名男子在举起玻璃杯之前将一只野蛮的雨伞和微型雨伞添加到饮料中进行装饰。")</f>
        <v>然后，该名男子在举起玻璃杯之前将一只野蛮的雨伞和微型雨伞添加到饮料中进行装饰。</v>
      </c>
    </row>
    <row r="925">
      <c r="A925" s="4" t="s">
        <v>1176</v>
      </c>
      <c r="B925" s="4" t="s">
        <v>1177</v>
      </c>
      <c r="C925" s="5" t="str">
        <f>IFERROR(__xludf.DUMMYFUNCTION("GOOGLETRANSLATE(B925,""en"",""zh-CN"")"),"一个女人从桌子上抬起一只猫，坐在她的腿上。")</f>
        <v>一个女人从桌子上抬起一只猫，坐在她的腿上。</v>
      </c>
    </row>
    <row r="926">
      <c r="A926" s="4" t="s">
        <v>1176</v>
      </c>
      <c r="B926" s="4" t="s">
        <v>1178</v>
      </c>
      <c r="C926" s="5" t="str">
        <f>IFERROR(__xludf.DUMMYFUNCTION("GOOGLETRANSLATE(B926,""en"",""zh-CN"")"),"该名女子使用修剪剪刀剪掉猫爪。")</f>
        <v>该名女子使用修剪剪刀剪掉猫爪。</v>
      </c>
    </row>
    <row r="927">
      <c r="A927" s="4" t="s">
        <v>1179</v>
      </c>
      <c r="B927" s="4" t="s">
        <v>1180</v>
      </c>
      <c r="C927" s="5" t="str">
        <f>IFERROR(__xludf.DUMMYFUNCTION("GOOGLETRANSLATE(B927,""en"",""zh-CN"")"),"一个看不见的人在运动设备上浏览了几个亚马逊点com页。")</f>
        <v>一个看不见的人在运动设备上浏览了几个亚马逊点com页。</v>
      </c>
    </row>
    <row r="928">
      <c r="A928" s="4" t="s">
        <v>1179</v>
      </c>
      <c r="B928" s="6" t="s">
        <v>1181</v>
      </c>
      <c r="C928" s="5" t="str">
        <f>IFERROR(__xludf.DUMMYFUNCTION("GOOGLETRANSLATE(B928,""en"",""zh-CN"")"),"仅显示一个仅显示运动机的亚马逊页面，其次是亚马逊页面的另一张图像，显示了使用锻炼机的女人以及价格和有关设备的信息。")</f>
        <v>仅显示一个仅显示运动机的亚马逊页面，其次是亚马逊页面的另一张图像，显示了使用锻炼机的女人以及价格和有关设备的信息。</v>
      </c>
    </row>
    <row r="929">
      <c r="A929" s="4" t="s">
        <v>1179</v>
      </c>
      <c r="B929" s="6" t="s">
        <v>1182</v>
      </c>
      <c r="C929" s="5" t="str">
        <f>IFERROR(__xludf.DUMMYFUNCTION("GOOGLETRANSLATE(B929,""en"",""zh-CN"")"),"显示了另一个显示Eliptical Trainer的页面，其中有活动的计算机鼠标正在浏览该项目的评论，此时显示了另一个页面上的另一个模型椭圆教练。")</f>
        <v>显示了另一个显示Eliptical Trainer的页面，其中有活动的计算机鼠标正在浏览该项目的评论，此时显示了另一个页面上的另一个模型椭圆教练。</v>
      </c>
    </row>
    <row r="930">
      <c r="A930" s="4" t="s">
        <v>1183</v>
      </c>
      <c r="B930" s="4" t="s">
        <v>1184</v>
      </c>
      <c r="C930" s="5" t="str">
        <f>IFERROR(__xludf.DUMMYFUNCTION("GOOGLETRANSLATE(B930,""en"",""zh-CN"")"),"一个女人在另一个女人的腿上散布剃须霜。")</f>
        <v>一个女人在另一个女人的腿上散布剃须霜。</v>
      </c>
    </row>
    <row r="931">
      <c r="A931" s="4" t="s">
        <v>1183</v>
      </c>
      <c r="B931" s="4" t="s">
        <v>1185</v>
      </c>
      <c r="C931" s="5" t="str">
        <f>IFERROR(__xludf.DUMMYFUNCTION("GOOGLETRANSLATE(B931,""en"",""zh-CN"")"),"她把手放在水下，开始为她剃光女人的腿。")</f>
        <v>她把手放在水下，开始为她剃光女人的腿。</v>
      </c>
    </row>
    <row r="932">
      <c r="A932" s="4" t="s">
        <v>1183</v>
      </c>
      <c r="B932" s="4" t="s">
        <v>1186</v>
      </c>
      <c r="C932" s="5" t="str">
        <f>IFERROR(__xludf.DUMMYFUNCTION("GOOGLETRANSLATE(B932,""en"",""zh-CN"")"),"她从腿部的底部到顶部开始，并继续进行运动。")</f>
        <v>她从腿部的底部到顶部开始，并继续进行运动。</v>
      </c>
    </row>
    <row r="933">
      <c r="A933" s="4" t="s">
        <v>1183</v>
      </c>
      <c r="B933" s="4" t="s">
        <v>1187</v>
      </c>
      <c r="C933" s="5" t="str">
        <f>IFERROR(__xludf.DUMMYFUNCTION("GOOGLETRANSLATE(B933,""en"",""zh-CN"")"),"该视频非常不稳定，但是那个女人继续剃光她的朋友腿。")</f>
        <v>该视频非常不稳定，但是那个女人继续剃光她的朋友腿。</v>
      </c>
    </row>
    <row r="934">
      <c r="A934" s="4" t="s">
        <v>1188</v>
      </c>
      <c r="B934" s="4" t="s">
        <v>1189</v>
      </c>
      <c r="C934" s="5" t="str">
        <f>IFERROR(__xludf.DUMMYFUNCTION("GOOGLETRANSLATE(B934,""en"",""zh-CN"")"),"一群女孩站在它的前面，皮纳塔悬挂在树上。")</f>
        <v>一群女孩站在它的前面，皮纳塔悬挂在树上。</v>
      </c>
    </row>
    <row r="935">
      <c r="A935" s="4" t="s">
        <v>1188</v>
      </c>
      <c r="B935" s="4" t="s">
        <v>1190</v>
      </c>
      <c r="C935" s="5" t="str">
        <f>IFERROR(__xludf.DUMMYFUNCTION("GOOGLETRANSLATE(B935,""en"",""zh-CN"")"),"一个有棍子，被蒙住眼睛。")</f>
        <v>一个有棍子，被蒙住眼睛。</v>
      </c>
    </row>
    <row r="936">
      <c r="A936" s="4" t="s">
        <v>1188</v>
      </c>
      <c r="B936" s="4" t="s">
        <v>1191</v>
      </c>
      <c r="C936" s="5" t="str">
        <f>IFERROR(__xludf.DUMMYFUNCTION("GOOGLETRANSLATE(B936,""en"",""zh-CN"")"),"她击中了皮纳塔，然后走开。")</f>
        <v>她击中了皮纳塔，然后走开。</v>
      </c>
    </row>
    <row r="937">
      <c r="A937" s="4" t="s">
        <v>1192</v>
      </c>
      <c r="B937" s="4" t="s">
        <v>1193</v>
      </c>
      <c r="C937" s="5" t="str">
        <f>IFERROR(__xludf.DUMMYFUNCTION("GOOGLETRANSLATE(B937,""en"",""zh-CN"")"),"穿着粉红色衬衫的女人正在骑自行车。")</f>
        <v>穿着粉红色衬衫的女人正在骑自行车。</v>
      </c>
    </row>
    <row r="938">
      <c r="A938" s="4" t="s">
        <v>1192</v>
      </c>
      <c r="B938" s="4" t="s">
        <v>1194</v>
      </c>
      <c r="C938" s="5" t="str">
        <f>IFERROR(__xludf.DUMMYFUNCTION("GOOGLETRANSLATE(B938,""en"",""zh-CN"")"),"然后，她在地面上进行俯卧撑。")</f>
        <v>然后，她在地面上进行俯卧撑。</v>
      </c>
    </row>
    <row r="939">
      <c r="A939" s="4" t="s">
        <v>1192</v>
      </c>
      <c r="B939" s="4" t="s">
        <v>1195</v>
      </c>
      <c r="C939" s="5" t="str">
        <f>IFERROR(__xludf.DUMMYFUNCTION("GOOGLETRANSLATE(B939,""en"",""zh-CN"")"),"她确实坐在地面上。")</f>
        <v>她确实坐在地面上。</v>
      </c>
    </row>
    <row r="940">
      <c r="A940" s="4" t="s">
        <v>1196</v>
      </c>
      <c r="B940" s="4" t="s">
        <v>1197</v>
      </c>
      <c r="C940" s="5" t="str">
        <f>IFERROR(__xludf.DUMMYFUNCTION("GOOGLETRANSLATE(B940,""en"",""zh-CN"")"),"一个男人坐下，与脱口秀主持人交谈。")</f>
        <v>一个男人坐下，与脱口秀主持人交谈。</v>
      </c>
    </row>
    <row r="941">
      <c r="A941" s="4" t="s">
        <v>1196</v>
      </c>
      <c r="B941" s="4" t="s">
        <v>1198</v>
      </c>
      <c r="C941" s="5" t="str">
        <f>IFERROR(__xludf.DUMMYFUNCTION("GOOGLETRANSLATE(B941,""en"",""zh-CN"")"),"他们互相讲话时很生气。")</f>
        <v>他们互相讲话时很生气。</v>
      </c>
    </row>
    <row r="942">
      <c r="A942" s="4" t="s">
        <v>1196</v>
      </c>
      <c r="B942" s="4" t="s">
        <v>1199</v>
      </c>
      <c r="C942" s="5" t="str">
        <f>IFERROR(__xludf.DUMMYFUNCTION("GOOGLETRANSLATE(B942,""en"",""zh-CN"")"),"他们继续说话，然后主持人向男人赠送礼物。")</f>
        <v>他们继续说话，然后主持人向男人赠送礼物。</v>
      </c>
    </row>
    <row r="943">
      <c r="A943" s="4" t="s">
        <v>1200</v>
      </c>
      <c r="B943" s="4" t="s">
        <v>1201</v>
      </c>
      <c r="C943" s="5" t="str">
        <f>IFERROR(__xludf.DUMMYFUNCTION("GOOGLETRANSLATE(B943,""en"",""zh-CN"")"),"一个男人坐在椅子上，从烟斗上吸入椅子上，看起来像是双簧管。")</f>
        <v>一个男人坐在椅子上，从烟斗上吸入椅子上，看起来像是双簧管。</v>
      </c>
    </row>
    <row r="944">
      <c r="A944" s="4" t="s">
        <v>1200</v>
      </c>
      <c r="B944" s="4" t="s">
        <v>1202</v>
      </c>
      <c r="C944" s="5" t="str">
        <f>IFERROR(__xludf.DUMMYFUNCTION("GOOGLETRANSLATE(B944,""en"",""zh-CN"")"),"他将软管从嘴里拿出来，开始在空中呼气。")</f>
        <v>他将软管从嘴里拿出来，开始在空中呼气。</v>
      </c>
    </row>
    <row r="945">
      <c r="A945" s="4" t="s">
        <v>1200</v>
      </c>
      <c r="B945" s="6" t="s">
        <v>1203</v>
      </c>
      <c r="C945" s="5" t="str">
        <f>IFERROR(__xludf.DUMMYFUNCTION("GOOGLETRANSLATE(B945,""en"",""zh-CN"")"),"他开始在容器中吹烟，使一些非常酷的圆圈我从未见过类似的东西。")</f>
        <v>他开始在容器中吹烟，使一些非常酷的圆圈我从未见过类似的东西。</v>
      </c>
    </row>
    <row r="946">
      <c r="A946" s="4" t="s">
        <v>1200</v>
      </c>
      <c r="B946" s="4" t="s">
        <v>1204</v>
      </c>
      <c r="C946" s="5" t="str">
        <f>IFERROR(__xludf.DUMMYFUNCTION("GOOGLETRANSLATE(B946,""en"",""zh-CN"")"),"他如何形成O，只是放松并享受简单的乐趣，真是太酷了。")</f>
        <v>他如何形成O，只是放松并享受简单的乐趣，真是太酷了。</v>
      </c>
    </row>
    <row r="947">
      <c r="A947" s="4" t="s">
        <v>1205</v>
      </c>
      <c r="B947" s="4" t="s">
        <v>1206</v>
      </c>
      <c r="C947" s="5" t="str">
        <f>IFERROR(__xludf.DUMMYFUNCTION("GOOGLETRANSLATE(B947,""en"",""zh-CN"")"),"一个人站在他的小型货车的前面，展示了它。")</f>
        <v>一个人站在他的小型货车的前面，展示了它。</v>
      </c>
    </row>
    <row r="948">
      <c r="A948" s="4" t="s">
        <v>1205</v>
      </c>
      <c r="B948" s="4" t="s">
        <v>1207</v>
      </c>
      <c r="C948" s="5" t="str">
        <f>IFERROR(__xludf.DUMMYFUNCTION("GOOGLETRANSLATE(B948,""en"",""zh-CN"")"),"该男子靠在货车的后挡板上，并在里面显示储物货物功能。")</f>
        <v>该男子靠在货车的后挡板上，并在里面显示储物货物功能。</v>
      </c>
    </row>
    <row r="949">
      <c r="A949" s="4" t="s">
        <v>1205</v>
      </c>
      <c r="B949" s="4" t="s">
        <v>1208</v>
      </c>
      <c r="C949" s="5" t="str">
        <f>IFERROR(__xludf.DUMMYFUNCTION("GOOGLETRANSLATE(B949,""en"",""zh-CN"")"),"该人聚集在一起。")</f>
        <v>该人聚集在一起。</v>
      </c>
    </row>
    <row r="950">
      <c r="A950" s="4" t="s">
        <v>1205</v>
      </c>
      <c r="B950" s="6" t="s">
        <v>1209</v>
      </c>
      <c r="C950" s="5" t="str">
        <f>IFERROR(__xludf.DUMMYFUNCTION("GOOGLETRANSLATE(B950,""en"",""zh-CN"")"),"该男子坐在面包车的驾驶员座位上，将杆架放在插座上，然后扭动它。")</f>
        <v>该男子坐在面包车的驾驶员座位上，将杆架放在插座上，然后扭动它。</v>
      </c>
    </row>
    <row r="951">
      <c r="A951" s="4" t="s">
        <v>1205</v>
      </c>
      <c r="B951" s="4" t="s">
        <v>1210</v>
      </c>
      <c r="C951" s="5" t="str">
        <f>IFERROR(__xludf.DUMMYFUNCTION("GOOGLETRANSLATE(B951,""en"",""zh-CN"")"),"该男子调节杆，并在面包车下面拆除备用轮胎。")</f>
        <v>该男子调节杆，并在面包车下面拆除备用轮胎。</v>
      </c>
    </row>
    <row r="952">
      <c r="A952" s="4" t="s">
        <v>1205</v>
      </c>
      <c r="B952" s="4" t="s">
        <v>1211</v>
      </c>
      <c r="C952" s="5" t="str">
        <f>IFERROR(__xludf.DUMMYFUNCTION("GOOGLETRANSLATE(B952,""en"",""zh-CN"")"),"该男子从围栏中卸下备用轮胎。")</f>
        <v>该男子从围栏中卸下备用轮胎。</v>
      </c>
    </row>
    <row r="953">
      <c r="A953" s="4" t="s">
        <v>1205</v>
      </c>
      <c r="B953" s="4" t="s">
        <v>1212</v>
      </c>
      <c r="C953" s="5" t="str">
        <f>IFERROR(__xludf.DUMMYFUNCTION("GOOGLETRANSLATE(B953,""en"",""zh-CN"")"),"该男子致力于安装新轮胎。")</f>
        <v>该男子致力于安装新轮胎。</v>
      </c>
    </row>
    <row r="954">
      <c r="A954" s="4" t="s">
        <v>1213</v>
      </c>
      <c r="B954" s="4" t="s">
        <v>1214</v>
      </c>
      <c r="C954" s="5" t="str">
        <f>IFERROR(__xludf.DUMMYFUNCTION("GOOGLETRANSLATE(B954,""en"",""zh-CN"")"),"看到一个年轻女子坐在皮划艇上，看着相机。")</f>
        <v>看到一个年轻女子坐在皮划艇上，看着相机。</v>
      </c>
    </row>
    <row r="955">
      <c r="A955" s="4" t="s">
        <v>1213</v>
      </c>
      <c r="B955" s="4" t="s">
        <v>1215</v>
      </c>
      <c r="C955" s="5" t="str">
        <f>IFERROR(__xludf.DUMMYFUNCTION("GOOGLETRANSLATE(B955,""en"",""zh-CN"")"),"然后，女孩开始将桨移回第四。")</f>
        <v>然后，女孩开始将桨移回第四。</v>
      </c>
    </row>
    <row r="956">
      <c r="A956" s="4" t="s">
        <v>1213</v>
      </c>
      <c r="B956" s="4" t="s">
        <v>1216</v>
      </c>
      <c r="C956" s="5" t="str">
        <f>IFERROR(__xludf.DUMMYFUNCTION("GOOGLETRANSLATE(B956,""en"",""zh-CN"")"),"她停下来划桨，笑到远处。")</f>
        <v>她停下来划桨，笑到远处。</v>
      </c>
    </row>
    <row r="957">
      <c r="A957" s="4" t="s">
        <v>1217</v>
      </c>
      <c r="B957" s="4" t="s">
        <v>1218</v>
      </c>
      <c r="C957" s="5" t="str">
        <f>IFERROR(__xludf.DUMMYFUNCTION("GOOGLETRANSLATE(B957,""en"",""zh-CN"")"),"有两个十几岁的男孩在玩和解决红宝石的立方体。")</f>
        <v>有两个十几岁的男孩在玩和解决红宝石的立方体。</v>
      </c>
    </row>
    <row r="958">
      <c r="A958" s="4" t="s">
        <v>1217</v>
      </c>
      <c r="B958" s="4" t="s">
        <v>1219</v>
      </c>
      <c r="C958" s="5" t="str">
        <f>IFERROR(__xludf.DUMMYFUNCTION("GOOGLETRANSLATE(B958,""en"",""zh-CN"")"),"另一个小男孩来到那里，看看相机。")</f>
        <v>另一个小男孩来到那里，看看相机。</v>
      </c>
    </row>
    <row r="959">
      <c r="A959" s="4" t="s">
        <v>1217</v>
      </c>
      <c r="B959" s="4" t="s">
        <v>1220</v>
      </c>
      <c r="C959" s="5" t="str">
        <f>IFERROR(__xludf.DUMMYFUNCTION("GOOGLETRANSLATE(B959,""en"",""zh-CN"")"),"青少年正在互相竞争以解决立方体。")</f>
        <v>青少年正在互相竞争以解决立方体。</v>
      </c>
    </row>
    <row r="960">
      <c r="A960" s="4" t="s">
        <v>1217</v>
      </c>
      <c r="B960" s="4" t="s">
        <v>1221</v>
      </c>
      <c r="C960" s="5" t="str">
        <f>IFERROR(__xludf.DUMMYFUNCTION("GOOGLETRANSLATE(B960,""en"",""zh-CN"")"),"他们都几乎同时完成并解决了Rubic的立方体。")</f>
        <v>他们都几乎同时完成并解决了Rubic的立方体。</v>
      </c>
    </row>
    <row r="961">
      <c r="A961" s="4" t="s">
        <v>1217</v>
      </c>
      <c r="B961" s="4" t="s">
        <v>1222</v>
      </c>
      <c r="C961" s="5" t="str">
        <f>IFERROR(__xludf.DUMMYFUNCTION("GOOGLETRANSLATE(B961,""en"",""zh-CN"")"),"他们自豪地在相机中炫耀自己的技能。")</f>
        <v>他们自豪地在相机中炫耀自己的技能。</v>
      </c>
    </row>
    <row r="962">
      <c r="A962" s="4" t="s">
        <v>1223</v>
      </c>
      <c r="B962" s="6" t="s">
        <v>1224</v>
      </c>
      <c r="C962" s="5" t="str">
        <f>IFERROR(__xludf.DUMMYFUNCTION("GOOGLETRANSLATE(B962,""en"",""zh-CN"")"),"男运动员站在两根杆子旁，举起手臂，然后用双臂跳到两极，而他在他的下面，一个男人拉出一条红色的光束。")</f>
        <v>男运动员站在两根杆子旁，举起手臂，然后用双臂跳到两极，而他在他的下面，一个男人拉出一条红色的光束。</v>
      </c>
    </row>
    <row r="963">
      <c r="A963" s="4" t="s">
        <v>1223</v>
      </c>
      <c r="B963" s="6" t="s">
        <v>1225</v>
      </c>
      <c r="C963" s="5" t="str">
        <f>IFERROR(__xludf.DUMMYFUNCTION("GOOGLETRANSLATE(B963,""en"",""zh-CN"")"),"运动员在杆子上表演展览，他站在手臂上，脚和腿在空中伸直，转身，旋转，跳跃并扭动，然后跳到垫子上，直立。")</f>
        <v>运动员在杆子上表演展览，他站在手臂上，脚和腿在空中伸直，转身，旋转，跳跃并扭动，然后跳到垫子上，直立。</v>
      </c>
    </row>
    <row r="964">
      <c r="A964" s="4" t="s">
        <v>1226</v>
      </c>
      <c r="B964" s="4" t="s">
        <v>1227</v>
      </c>
      <c r="C964" s="5" t="str">
        <f>IFERROR(__xludf.DUMMYFUNCTION("GOOGLETRANSLATE(B964,""en"",""zh-CN"")"),"玛丽亚（Maria）正在演示如何制作Nyquil鸡尾酒饮料。")</f>
        <v>玛丽亚（Maria）正在演示如何制作Nyquil鸡尾酒饮料。</v>
      </c>
    </row>
    <row r="965">
      <c r="A965" s="4" t="s">
        <v>1226</v>
      </c>
      <c r="B965" s="4" t="s">
        <v>1228</v>
      </c>
      <c r="C965" s="5" t="str">
        <f>IFERROR(__xludf.DUMMYFUNCTION("GOOGLETRANSLATE(B965,""en"",""zh-CN"")"),"她展示了饮料所需的成分。")</f>
        <v>她展示了饮料所需的成分。</v>
      </c>
    </row>
    <row r="966">
      <c r="A966" s="4" t="s">
        <v>1226</v>
      </c>
      <c r="B966" s="4" t="s">
        <v>1229</v>
      </c>
      <c r="C966" s="5" t="str">
        <f>IFERROR(__xludf.DUMMYFUNCTION("GOOGLETRANSLATE(B966,""en"",""zh-CN"")"),"她指着伏特加酒，jagermeister和食用色素。")</f>
        <v>她指着伏特加酒，jagermeister和食用色素。</v>
      </c>
    </row>
    <row r="967">
      <c r="A967" s="4" t="s">
        <v>1226</v>
      </c>
      <c r="B967" s="4" t="s">
        <v>1230</v>
      </c>
      <c r="C967" s="5" t="str">
        <f>IFERROR(__xludf.DUMMYFUNCTION("GOOGLETRANSLATE(B967,""en"",""zh-CN"")"),"然后，她拿起摇床，倒入伏特加酒和jagermeister。")</f>
        <v>然后，她拿起摇床，倒入伏特加酒和jagermeister。</v>
      </c>
    </row>
    <row r="968">
      <c r="A968" s="4" t="s">
        <v>1226</v>
      </c>
      <c r="B968" s="4" t="s">
        <v>1231</v>
      </c>
      <c r="C968" s="5" t="str">
        <f>IFERROR(__xludf.DUMMYFUNCTION("GOOGLETRANSLATE(B968,""en"",""zh-CN"")"),"然后在其中添加一些冰，然后摇动它。")</f>
        <v>然后在其中添加一些冰，然后摇动它。</v>
      </c>
    </row>
    <row r="969">
      <c r="A969" s="4" t="s">
        <v>1226</v>
      </c>
      <c r="B969" s="4" t="s">
        <v>1232</v>
      </c>
      <c r="C969" s="5" t="str">
        <f>IFERROR(__xludf.DUMMYFUNCTION("GOOGLETRANSLATE(B969,""en"",""zh-CN"")"),"她使用过滤器将饮料过滤到鸡尾酒玻璃中，然后将玻璃杯放在桌子上。")</f>
        <v>她使用过滤器将饮料过滤到鸡尾酒玻璃中，然后将玻璃杯放在桌子上。</v>
      </c>
    </row>
    <row r="970">
      <c r="A970" s="4" t="s">
        <v>1233</v>
      </c>
      <c r="B970" s="4" t="s">
        <v>1234</v>
      </c>
      <c r="C970" s="5" t="str">
        <f>IFERROR(__xludf.DUMMYFUNCTION("GOOGLETRANSLATE(B970,""en"",""zh-CN"")"),"有些男人用吉列剃刮凝胶剃光。")</f>
        <v>有些男人用吉列剃刮凝胶剃光。</v>
      </c>
    </row>
    <row r="971">
      <c r="A971" s="4" t="s">
        <v>1233</v>
      </c>
      <c r="B971" s="6" t="s">
        <v>1235</v>
      </c>
      <c r="C971" s="5" t="str">
        <f>IFERROR(__xludf.DUMMYFUNCTION("GOOGLETRANSLATE(B971,""en"",""zh-CN"")"),"有一个模型，其脸部完全被剃光的凝胶起泡，他正在用蓝色剃须刀剃光脸。")</f>
        <v>有一个模型，其脸部完全被剃光的凝胶起泡，他正在用蓝色剃须刀剃光脸。</v>
      </c>
    </row>
    <row r="972">
      <c r="A972" s="4" t="s">
        <v>1233</v>
      </c>
      <c r="B972" s="4" t="s">
        <v>1236</v>
      </c>
      <c r="C972" s="5" t="str">
        <f>IFERROR(__xludf.DUMMYFUNCTION("GOOGLETRANSLATE(B972,""en"",""zh-CN"")"),"另一个男性模特还使他的整个脸都饰有剃须凝胶。")</f>
        <v>另一个男性模特还使他的整个脸都饰有剃须凝胶。</v>
      </c>
    </row>
    <row r="973">
      <c r="A973" s="4" t="s">
        <v>1233</v>
      </c>
      <c r="B973" s="4" t="s">
        <v>1237</v>
      </c>
      <c r="C973" s="5" t="str">
        <f>IFERROR(__xludf.DUMMYFUNCTION("GOOGLETRANSLATE(B973,""en"",""zh-CN"")"),"他还用蓝色剃刀剃光脸。")</f>
        <v>他还用蓝色剃刀剃光脸。</v>
      </c>
    </row>
    <row r="974">
      <c r="A974" s="4" t="s">
        <v>1233</v>
      </c>
      <c r="B974" s="4" t="s">
        <v>1238</v>
      </c>
      <c r="C974" s="5" t="str">
        <f>IFERROR(__xludf.DUMMYFUNCTION("GOOGLETRANSLATE(B974,""en"",""zh-CN"")"),"他剃了脸颊和胡须区。")</f>
        <v>他剃了脸颊和胡须区。</v>
      </c>
    </row>
    <row r="975">
      <c r="A975" s="4" t="s">
        <v>1233</v>
      </c>
      <c r="B975" s="4" t="s">
        <v>1239</v>
      </c>
      <c r="C975" s="5" t="str">
        <f>IFERROR(__xludf.DUMMYFUNCTION("GOOGLETRANSLATE(B975,""en"",""zh-CN"")"),"他在手上抽出少量凝胶。")</f>
        <v>他在手上抽出少量凝胶。</v>
      </c>
    </row>
    <row r="976">
      <c r="A976" s="4" t="s">
        <v>1233</v>
      </c>
      <c r="B976" s="6" t="s">
        <v>1240</v>
      </c>
      <c r="C976" s="5" t="str">
        <f>IFERROR(__xludf.DUMMYFUNCTION("GOOGLETRANSLATE(B976,""en"",""zh-CN"")"),"然后显示常规泡沫霜和凝胶奶油之间的区别，并继续有。")</f>
        <v>然后显示常规泡沫霜和凝胶奶油之间的区别，并继续有。</v>
      </c>
    </row>
    <row r="977">
      <c r="A977" s="4" t="s">
        <v>1233</v>
      </c>
      <c r="B977" s="4" t="s">
        <v>1241</v>
      </c>
      <c r="C977" s="5" t="str">
        <f>IFERROR(__xludf.DUMMYFUNCTION("GOOGLETRANSLATE(B977,""en"",""zh-CN"")"),"然后，他与一个女士模特一起摆姿势，她触摸自己的脸，以感觉到他的皮肤光滑。")</f>
        <v>然后，他与一个女士模特一起摆姿势，她触摸自己的脸，以感觉到他的皮肤光滑。</v>
      </c>
    </row>
    <row r="978">
      <c r="A978" s="4" t="s">
        <v>1233</v>
      </c>
      <c r="B978" s="4" t="s">
        <v>1242</v>
      </c>
      <c r="C978" s="5" t="str">
        <f>IFERROR(__xludf.DUMMYFUNCTION("GOOGLETRANSLATE(B978,""en"",""zh-CN"")"),"显示了整个吉列剃须组。")</f>
        <v>显示了整个吉列剃须组。</v>
      </c>
    </row>
    <row r="979">
      <c r="A979" s="4" t="s">
        <v>1243</v>
      </c>
      <c r="B979" s="4" t="s">
        <v>1244</v>
      </c>
      <c r="C979" s="5" t="str">
        <f>IFERROR(__xludf.DUMMYFUNCTION("GOOGLETRANSLATE(B979,""en"",""zh-CN"")"),"屏幕上出现了独木舟体育品牌的介绍。")</f>
        <v>屏幕上出现了独木舟体育品牌的介绍。</v>
      </c>
    </row>
    <row r="980">
      <c r="A980" s="4" t="s">
        <v>1243</v>
      </c>
      <c r="B980" s="4" t="s">
        <v>1245</v>
      </c>
      <c r="C980" s="5" t="str">
        <f>IFERROR(__xludf.DUMMYFUNCTION("GOOGLETRANSLATE(B980,""en"",""zh-CN"")"),"显示几个人准备在下雪的一天将其独木舟进入水中。")</f>
        <v>显示几个人准备在下雪的一天将其独木舟进入水中。</v>
      </c>
    </row>
    <row r="981">
      <c r="A981" s="4" t="s">
        <v>1243</v>
      </c>
      <c r="B981" s="4" t="s">
        <v>1246</v>
      </c>
      <c r="C981" s="5" t="str">
        <f>IFERROR(__xludf.DUMMYFUNCTION("GOOGLETRANSLATE(B981,""en"",""zh-CN"")"),"其他几个人下车，朝水前往水。")</f>
        <v>其他几个人下车，朝水前往水。</v>
      </c>
    </row>
    <row r="982">
      <c r="A982" s="4" t="s">
        <v>1243</v>
      </c>
      <c r="B982" s="4" t="s">
        <v>1247</v>
      </c>
      <c r="C982" s="5" t="str">
        <f>IFERROR(__xludf.DUMMYFUNCTION("GOOGLETRANSLATE(B982,""en"",""zh-CN"")"),"然后，向人们展示了几个独木舟的滑雪训练练习。")</f>
        <v>然后，向人们展示了几个独木舟的滑雪训练练习。</v>
      </c>
    </row>
    <row r="983">
      <c r="A983" s="4" t="s">
        <v>1243</v>
      </c>
      <c r="B983" s="4" t="s">
        <v>1248</v>
      </c>
      <c r="C983" s="5" t="str">
        <f>IFERROR(__xludf.DUMMYFUNCTION("GOOGLETRANSLATE(B983,""en"",""zh-CN"")"),"然后，在水中，人们展示了划独木舟并玩得开心的人。")</f>
        <v>然后，在水中，人们展示了划独木舟并玩得开心的人。</v>
      </c>
    </row>
    <row r="984">
      <c r="A984" s="4" t="s">
        <v>1243</v>
      </c>
      <c r="B984" s="4" t="s">
        <v>1249</v>
      </c>
      <c r="C984" s="5" t="str">
        <f>IFERROR(__xludf.DUMMYFUNCTION("GOOGLETRANSLATE(B984,""en"",""zh-CN"")"),"该视频以显示的Canoesport网站结束。")</f>
        <v>该视频以显示的Canoesport网站结束。</v>
      </c>
    </row>
    <row r="985">
      <c r="A985" s="4" t="s">
        <v>1250</v>
      </c>
      <c r="B985" s="4" t="s">
        <v>1251</v>
      </c>
      <c r="C985" s="5" t="str">
        <f>IFERROR(__xludf.DUMMYFUNCTION("GOOGLETRANSLATE(B985,""en"",""zh-CN"")"),"显示了剪辑的信用。")</f>
        <v>显示了剪辑的信用。</v>
      </c>
    </row>
    <row r="986">
      <c r="A986" s="4" t="s">
        <v>1250</v>
      </c>
      <c r="B986" s="4" t="s">
        <v>1252</v>
      </c>
      <c r="C986" s="5" t="str">
        <f>IFERROR(__xludf.DUMMYFUNCTION("GOOGLETRANSLATE(B986,""en"",""zh-CN"")"),"一个人将手放在鼓的顶部。")</f>
        <v>一个人将手放在鼓的顶部。</v>
      </c>
    </row>
    <row r="987">
      <c r="A987" s="4" t="s">
        <v>1250</v>
      </c>
      <c r="B987" s="4" t="s">
        <v>1253</v>
      </c>
      <c r="C987" s="5" t="str">
        <f>IFERROR(__xludf.DUMMYFUNCTION("GOOGLETRANSLATE(B987,""en"",""zh-CN"")"),"这个人在打鼓。")</f>
        <v>这个人在打鼓。</v>
      </c>
    </row>
    <row r="988">
      <c r="A988" s="4" t="s">
        <v>1250</v>
      </c>
      <c r="B988" s="4" t="s">
        <v>1254</v>
      </c>
      <c r="C988" s="5" t="str">
        <f>IFERROR(__xludf.DUMMYFUNCTION("GOOGLETRANSLATE(B988,""en"",""zh-CN"")"),"这个人鼓掌。")</f>
        <v>这个人鼓掌。</v>
      </c>
    </row>
    <row r="989">
      <c r="A989" s="4" t="s">
        <v>1250</v>
      </c>
      <c r="B989" s="4" t="s">
        <v>1255</v>
      </c>
      <c r="C989" s="5" t="str">
        <f>IFERROR(__xludf.DUMMYFUNCTION("GOOGLETRANSLATE(B989,""en"",""zh-CN"")"),"这个人把手指放在一起。")</f>
        <v>这个人把手指放在一起。</v>
      </c>
    </row>
    <row r="990">
      <c r="A990" s="4" t="s">
        <v>1250</v>
      </c>
      <c r="B990" s="4" t="s">
        <v>1251</v>
      </c>
      <c r="C990" s="5" t="str">
        <f>IFERROR(__xludf.DUMMYFUNCTION("GOOGLETRANSLATE(B990,""en"",""zh-CN"")"),"显示了剪辑的信用。")</f>
        <v>显示了剪辑的信用。</v>
      </c>
    </row>
    <row r="991">
      <c r="A991" s="4" t="s">
        <v>1256</v>
      </c>
      <c r="B991" s="4" t="s">
        <v>1257</v>
      </c>
      <c r="C991" s="5" t="str">
        <f>IFERROR(__xludf.DUMMYFUNCTION("GOOGLETRANSLATE(B991,""en"",""zh-CN"")"),"一个女人在脖子后面握着一个黄色的球。")</f>
        <v>一个女人在脖子后面握着一个黄色的球。</v>
      </c>
    </row>
    <row r="992">
      <c r="A992" s="4" t="s">
        <v>1256</v>
      </c>
      <c r="B992" s="4" t="s">
        <v>1258</v>
      </c>
      <c r="C992" s="5" t="str">
        <f>IFERROR(__xludf.DUMMYFUNCTION("GOOGLETRANSLATE(B992,""en"",""zh-CN"")"),"她转过身，将球发射到一个田野上。")</f>
        <v>她转过身，将球发射到一个田野上。</v>
      </c>
    </row>
    <row r="993">
      <c r="A993" s="4" t="s">
        <v>1256</v>
      </c>
      <c r="B993" s="4" t="s">
        <v>1259</v>
      </c>
      <c r="C993" s="5" t="str">
        <f>IFERROR(__xludf.DUMMYFUNCTION("GOOGLETRANSLATE(B993,""en"",""zh-CN"")"),"人们跑步来测量距离。")</f>
        <v>人们跑步来测量距离。</v>
      </c>
    </row>
    <row r="994">
      <c r="A994" s="4" t="s">
        <v>1256</v>
      </c>
      <c r="B994" s="4" t="s">
        <v>1260</v>
      </c>
      <c r="C994" s="5" t="str">
        <f>IFERROR(__xludf.DUMMYFUNCTION("GOOGLETRANSLATE(B994,""en"",""zh-CN"")"),"一个穿着红色衬衫的男人握住脖子后面的球。")</f>
        <v>一个穿着红色衬衫的男人握住脖子后面的球。</v>
      </c>
    </row>
    <row r="995">
      <c r="A995" s="4" t="s">
        <v>1256</v>
      </c>
      <c r="B995" s="4" t="s">
        <v>1261</v>
      </c>
      <c r="C995" s="5" t="str">
        <f>IFERROR(__xludf.DUMMYFUNCTION("GOOGLETRANSLATE(B995,""en"",""zh-CN"")"),"他转过身来，将球在场上发射。")</f>
        <v>他转过身来，将球在场上发射。</v>
      </c>
    </row>
    <row r="996">
      <c r="A996" s="4" t="s">
        <v>1256</v>
      </c>
      <c r="B996" s="4" t="s">
        <v>1262</v>
      </c>
      <c r="C996" s="5" t="str">
        <f>IFERROR(__xludf.DUMMYFUNCTION("GOOGLETRANSLATE(B996,""en"",""zh-CN"")"),"人们跑步来测量它的距离。")</f>
        <v>人们跑步来测量它的距离。</v>
      </c>
    </row>
    <row r="997">
      <c r="A997" s="4" t="s">
        <v>1256</v>
      </c>
      <c r="B997" s="4" t="s">
        <v>1263</v>
      </c>
      <c r="C997" s="5" t="str">
        <f>IFERROR(__xludf.DUMMYFUNCTION("GOOGLETRANSLATE(B997,""en"",""zh-CN"")"),"另一个女人把球握在她的脖子后面。")</f>
        <v>另一个女人把球握在她的脖子后面。</v>
      </c>
    </row>
    <row r="998">
      <c r="A998" s="4" t="s">
        <v>1256</v>
      </c>
      <c r="B998" s="4" t="s">
        <v>1264</v>
      </c>
      <c r="C998" s="5" t="str">
        <f>IFERROR(__xludf.DUMMYFUNCTION("GOOGLETRANSLATE(B998,""en"",""zh-CN"")"),"她还转过身，将球发射到场上。")</f>
        <v>她还转过身，将球发射到场上。</v>
      </c>
    </row>
    <row r="999">
      <c r="A999" s="4" t="s">
        <v>1256</v>
      </c>
      <c r="B999" s="4" t="s">
        <v>1265</v>
      </c>
      <c r="C999" s="5" t="str">
        <f>IFERROR(__xludf.DUMMYFUNCTION("GOOGLETRANSLATE(B999,""en"",""zh-CN"")"),"然后，人们跑步以测量距离。")</f>
        <v>然后，人们跑步以测量距离。</v>
      </c>
    </row>
    <row r="1000">
      <c r="A1000" s="4" t="s">
        <v>1256</v>
      </c>
      <c r="B1000" s="4" t="s">
        <v>1266</v>
      </c>
      <c r="C1000" s="5" t="str">
        <f>IFERROR(__xludf.DUMMYFUNCTION("GOOGLETRANSLATE(B1000,""en"",""zh-CN"")"),"她向人群挥手。")</f>
        <v>她向人群挥手。</v>
      </c>
    </row>
    <row r="1001">
      <c r="A1001" s="4" t="s">
        <v>1256</v>
      </c>
      <c r="B1001" s="4" t="s">
        <v>1267</v>
      </c>
      <c r="C1001" s="5" t="str">
        <f>IFERROR(__xludf.DUMMYFUNCTION("GOOGLETRANSLATE(B1001,""en"",""zh-CN"")"),"然后，她再次扔球。")</f>
        <v>然后，她再次扔球。</v>
      </c>
    </row>
    <row r="1002">
      <c r="A1002" s="4" t="s">
        <v>1256</v>
      </c>
      <c r="B1002" s="4" t="s">
        <v>1268</v>
      </c>
      <c r="C1002" s="5" t="str">
        <f>IFERROR(__xludf.DUMMYFUNCTION("GOOGLETRANSLATE(B1002,""en"",""zh-CN"")"),"结果然后在屏幕上闪烁。")</f>
        <v>结果然后在屏幕上闪烁。</v>
      </c>
    </row>
    <row r="1003">
      <c r="A1003" s="4" t="s">
        <v>1269</v>
      </c>
      <c r="B1003" s="4" t="s">
        <v>1270</v>
      </c>
      <c r="C1003" s="5" t="str">
        <f>IFERROR(__xludf.DUMMYFUNCTION("GOOGLETRANSLATE(B1003,""en"",""zh-CN"")"),"简介开始并开始向一群人展示。")</f>
        <v>简介开始并开始向一群人展示。</v>
      </c>
    </row>
    <row r="1004">
      <c r="A1004" s="4" t="s">
        <v>1269</v>
      </c>
      <c r="B1004" s="4" t="s">
        <v>1271</v>
      </c>
      <c r="C1004" s="5" t="str">
        <f>IFERROR(__xludf.DUMMYFUNCTION("GOOGLETRANSLATE(B1004,""en"",""zh-CN"")"),"各种各样的人与一位表演正面和中心的教练一起表演舞蹈。")</f>
        <v>各种各样的人与一位表演正面和中心的教练一起表演舞蹈。</v>
      </c>
    </row>
    <row r="1005">
      <c r="A1005" s="4" t="s">
        <v>1269</v>
      </c>
      <c r="B1005" s="6" t="s">
        <v>1272</v>
      </c>
      <c r="C1005" s="5" t="str">
        <f>IFERROR(__xludf.DUMMYFUNCTION("GOOGLETRANSLATE(B1005,""en"",""zh-CN"")"),"例行程序仍在继续，人员和讲师的胳膊和腿四处走动，以进行音乐。")</f>
        <v>例行程序仍在继续，人员和讲师的胳膊和腿四处走动，以进行音乐。</v>
      </c>
    </row>
    <row r="1006">
      <c r="A1006" s="4" t="s">
        <v>1273</v>
      </c>
      <c r="B1006" s="4" t="s">
        <v>1274</v>
      </c>
      <c r="C1006" s="5" t="str">
        <f>IFERROR(__xludf.DUMMYFUNCTION("GOOGLETRANSLATE(B1006,""en"",""zh-CN"")"),"一个男孩和一个女孩坐在桌子后面。")</f>
        <v>一个男孩和一个女孩坐在桌子后面。</v>
      </c>
    </row>
    <row r="1007">
      <c r="A1007" s="4" t="s">
        <v>1273</v>
      </c>
      <c r="B1007" s="4" t="s">
        <v>1275</v>
      </c>
      <c r="C1007" s="5" t="str">
        <f>IFERROR(__xludf.DUMMYFUNCTION("GOOGLETRANSLATE(B1007,""en"",""zh-CN"")"),"他们开始在桌子上搏斗。")</f>
        <v>他们开始在桌子上搏斗。</v>
      </c>
    </row>
    <row r="1008">
      <c r="A1008" s="4" t="s">
        <v>1273</v>
      </c>
      <c r="B1008" s="4" t="s">
        <v>1276</v>
      </c>
      <c r="C1008" s="5" t="str">
        <f>IFERROR(__xludf.DUMMYFUNCTION("GOOGLETRANSLATE(B1008,""en"",""zh-CN"")"),"这个男人赢得了笑容。")</f>
        <v>这个男人赢得了笑容。</v>
      </c>
    </row>
    <row r="1009">
      <c r="A1009" s="4" t="s">
        <v>1277</v>
      </c>
      <c r="B1009" s="4" t="s">
        <v>1278</v>
      </c>
      <c r="C1009" s="5" t="str">
        <f>IFERROR(__xludf.DUMMYFUNCTION("GOOGLETRANSLATE(B1009,""en"",""zh-CN"")"),"我们看到了几个开放标题屏幕。")</f>
        <v>我们看到了几个开放标题屏幕。</v>
      </c>
    </row>
    <row r="1010">
      <c r="A1010" s="4" t="s">
        <v>1277</v>
      </c>
      <c r="B1010" s="4" t="s">
        <v>1279</v>
      </c>
      <c r="C1010" s="5" t="str">
        <f>IFERROR(__xludf.DUMMYFUNCTION("GOOGLETRANSLATE(B1010,""en"",""zh-CN"")"),"一个男人用直剃须刀剃光。")</f>
        <v>一个男人用直剃须刀剃光。</v>
      </c>
    </row>
    <row r="1011">
      <c r="A1011" s="4" t="s">
        <v>1277</v>
      </c>
      <c r="B1011" s="4" t="s">
        <v>1280</v>
      </c>
      <c r="C1011" s="5" t="str">
        <f>IFERROR(__xludf.DUMMYFUNCTION("GOOGLETRANSLATE(B1011,""en"",""zh-CN"")"),"我们看到他身后的人，男人拥抱和说话。")</f>
        <v>我们看到他身后的人，男人拥抱和说话。</v>
      </c>
    </row>
    <row r="1012">
      <c r="A1012" s="4" t="s">
        <v>1277</v>
      </c>
      <c r="B1012" s="4" t="s">
        <v>1281</v>
      </c>
      <c r="C1012" s="5" t="str">
        <f>IFERROR(__xludf.DUMMYFUNCTION("GOOGLETRANSLATE(B1012,""en"",""zh-CN"")"),"该男子回到剃光脸上。")</f>
        <v>该男子回到剃光脸上。</v>
      </c>
    </row>
    <row r="1013">
      <c r="A1013" s="4" t="s">
        <v>1277</v>
      </c>
      <c r="B1013" s="4" t="s">
        <v>1282</v>
      </c>
      <c r="C1013" s="5" t="str">
        <f>IFERROR(__xludf.DUMMYFUNCTION("GOOGLETRANSLATE(B1013,""en"",""zh-CN"")"),"我们再次看到后方的男人。")</f>
        <v>我们再次看到后方的男人。</v>
      </c>
    </row>
    <row r="1014">
      <c r="A1014" s="4" t="s">
        <v>1277</v>
      </c>
      <c r="B1014" s="4" t="s">
        <v>1283</v>
      </c>
      <c r="C1014" s="5" t="str">
        <f>IFERROR(__xludf.DUMMYFUNCTION("GOOGLETRANSLATE(B1014,""en"",""zh-CN"")"),"剃光的人说话，我们看到了结局的标题屏幕。")</f>
        <v>剃光的人说话，我们看到了结局的标题屏幕。</v>
      </c>
    </row>
    <row r="1015">
      <c r="A1015" s="4" t="s">
        <v>1284</v>
      </c>
      <c r="B1015" s="4" t="s">
        <v>1285</v>
      </c>
      <c r="C1015" s="5" t="str">
        <f>IFERROR(__xludf.DUMMYFUNCTION("GOOGLETRANSLATE(B1015,""en"",""zh-CN"")"),"显示了近距离的产品，后面是一个女人在镜子前打开包裹。")</f>
        <v>显示了近距离的产品，后面是一个女人在镜子前打开包裹。</v>
      </c>
    </row>
    <row r="1016">
      <c r="A1016" s="4" t="s">
        <v>1284</v>
      </c>
      <c r="B1016" s="4" t="s">
        <v>1286</v>
      </c>
      <c r="C1016" s="5" t="str">
        <f>IFERROR(__xludf.DUMMYFUNCTION("GOOGLETRANSLATE(B1016,""en"",""zh-CN"")"),"那个女人把包裹放在她的嘴里，旋转到周围，然后吐出来。")</f>
        <v>那个女人把包裹放在她的嘴里，旋转到周围，然后吐出来。</v>
      </c>
    </row>
    <row r="1017">
      <c r="A1017" s="4" t="s">
        <v>1287</v>
      </c>
      <c r="B1017" s="4" t="s">
        <v>1288</v>
      </c>
      <c r="C1017" s="5" t="str">
        <f>IFERROR(__xludf.DUMMYFUNCTION("GOOGLETRANSLATE(B1017,""en"",""zh-CN"")"),"看到一个男人站在舞台上拿着乐器。")</f>
        <v>看到一个男人站在舞台上拿着乐器。</v>
      </c>
    </row>
    <row r="1018">
      <c r="A1018" s="4" t="s">
        <v>1287</v>
      </c>
      <c r="B1018" s="4" t="s">
        <v>1289</v>
      </c>
      <c r="C1018" s="5" t="str">
        <f>IFERROR(__xludf.DUMMYFUNCTION("GOOGLETRANSLATE(B1018,""en"",""zh-CN"")"),"然后，他拿起乐器，开始在舞台上演奏。")</f>
        <v>然后，他拿起乐器，开始在舞台上演奏。</v>
      </c>
    </row>
    <row r="1019">
      <c r="A1019" s="4" t="s">
        <v>1287</v>
      </c>
      <c r="B1019" s="4" t="s">
        <v>1290</v>
      </c>
      <c r="C1019" s="5" t="str">
        <f>IFERROR(__xludf.DUMMYFUNCTION("GOOGLETRANSLATE(B1019,""en"",""zh-CN"")"),"该男子继续玩耍并结束时移开视线。")</f>
        <v>该男子继续玩耍并结束时移开视线。</v>
      </c>
    </row>
    <row r="1020">
      <c r="A1020" s="4" t="s">
        <v>1291</v>
      </c>
      <c r="B1020" s="6" t="s">
        <v>1292</v>
      </c>
      <c r="C1020" s="5" t="str">
        <f>IFERROR(__xludf.DUMMYFUNCTION("GOOGLETRANSLATE(B1020,""en"",""zh-CN"")"),"该视频从下雪区的背景开始，并在视频中介绍了人们的名字，这是“ 2014年WISP滑雪旅行”。")</f>
        <v>该视频从下雪区的背景开始，并在视频中介绍了人们的名字，这是“ 2014年WISP滑雪旅行”。</v>
      </c>
    </row>
    <row r="1021">
      <c r="A1021" s="4" t="s">
        <v>1291</v>
      </c>
      <c r="B1021" s="6" t="s">
        <v>1293</v>
      </c>
      <c r="C1021" s="5" t="str">
        <f>IFERROR(__xludf.DUMMYFUNCTION("GOOGLETRANSLATE(B1021,""en"",""zh-CN"")"),"然后，该视频进入了许多不同的不同人滑雪的各种不同部分，同时在白天或夜间和各种不同的地方进行技巧。")</f>
        <v>然后，该视频进入了许多不同的不同人滑雪的各种不同部分，同时在白天或夜间和各种不同的地方进行技巧。</v>
      </c>
    </row>
    <row r="1022">
      <c r="A1022" s="4" t="s">
        <v>1291</v>
      </c>
      <c r="B1022" s="4" t="s">
        <v>1294</v>
      </c>
      <c r="C1022" s="5" t="str">
        <f>IFERROR(__xludf.DUMMYFUNCTION("GOOGLETRANSLATE(B1022,""en"",""zh-CN"")"),"遥控器变成灰色，然后淡入黑色。")</f>
        <v>遥控器变成灰色，然后淡入黑色。</v>
      </c>
    </row>
    <row r="1023">
      <c r="A1023" s="4" t="s">
        <v>1295</v>
      </c>
      <c r="B1023" s="4" t="s">
        <v>1296</v>
      </c>
      <c r="C1023" s="5" t="str">
        <f>IFERROR(__xludf.DUMMYFUNCTION("GOOGLETRANSLATE(B1023,""en"",""zh-CN"")"),"屏幕上显示了一个大型Intertube。")</f>
        <v>屏幕上显示了一个大型Intertube。</v>
      </c>
    </row>
    <row r="1024">
      <c r="A1024" s="4" t="s">
        <v>1295</v>
      </c>
      <c r="B1024" s="4" t="s">
        <v>1297</v>
      </c>
      <c r="C1024" s="5" t="str">
        <f>IFERROR(__xludf.DUMMYFUNCTION("GOOGLETRANSLATE(B1024,""en"",""zh-CN"")"),"一堆雪橇在管子上。")</f>
        <v>一堆雪橇在管子上。</v>
      </c>
    </row>
    <row r="1025">
      <c r="A1025" s="4" t="s">
        <v>1295</v>
      </c>
      <c r="B1025" s="4" t="s">
        <v>1298</v>
      </c>
      <c r="C1025" s="5" t="str">
        <f>IFERROR(__xludf.DUMMYFUNCTION("GOOGLETRANSLATE(B1025,""en"",""zh-CN"")"),"他们一起沿着陡峭的山丘骑行。")</f>
        <v>他们一起沿着陡峭的山丘骑行。</v>
      </c>
    </row>
    <row r="1026">
      <c r="A1026" s="4" t="s">
        <v>1299</v>
      </c>
      <c r="B1026" s="4" t="s">
        <v>1300</v>
      </c>
      <c r="C1026" s="5" t="str">
        <f>IFERROR(__xludf.DUMMYFUNCTION("GOOGLETRANSLATE(B1026,""en"",""zh-CN"")"),"女性新闻主播介绍了一个故事。")</f>
        <v>女性新闻主播介绍了一个故事。</v>
      </c>
    </row>
    <row r="1027">
      <c r="A1027" s="4" t="s">
        <v>1299</v>
      </c>
      <c r="B1027" s="6" t="s">
        <v>1301</v>
      </c>
      <c r="C1027" s="5" t="str">
        <f>IFERROR(__xludf.DUMMYFUNCTION("GOOGLETRANSLATE(B1027,""en"",""zh-CN"")"),"一位女新闻记者与健身房内的健身教练讲话，骑自行车的人骑着健身自行车。")</f>
        <v>一位女新闻记者与健身房内的健身教练讲话，骑自行车的人骑着健身自行车。</v>
      </c>
    </row>
    <row r="1028">
      <c r="A1028" s="4" t="s">
        <v>1299</v>
      </c>
      <c r="B1028" s="4" t="s">
        <v>1302</v>
      </c>
      <c r="C1028" s="5" t="str">
        <f>IFERROR(__xludf.DUMMYFUNCTION("GOOGLETRANSLATE(B1028,""en"",""zh-CN"")"),"体育馆里的锻炼诸如瑜伽和骑自行车之类的练习。")</f>
        <v>体育馆里的锻炼诸如瑜伽和骑自行车之类的练习。</v>
      </c>
    </row>
    <row r="1029">
      <c r="A1029" s="4" t="s">
        <v>1299</v>
      </c>
      <c r="B1029" s="4" t="s">
        <v>1303</v>
      </c>
      <c r="C1029" s="5" t="str">
        <f>IFERROR(__xludf.DUMMYFUNCTION("GOOGLETRANSLATE(B1029,""en"",""zh-CN"")"),"女新闻记者继续与健身教练交谈。")</f>
        <v>女新闻记者继续与健身教练交谈。</v>
      </c>
    </row>
    <row r="1030">
      <c r="A1030" s="4" t="s">
        <v>1299</v>
      </c>
      <c r="B1030" s="4" t="s">
        <v>1304</v>
      </c>
      <c r="C1030" s="5" t="str">
        <f>IFERROR(__xludf.DUMMYFUNCTION("GOOGLETRANSLATE(B1030,""en"",""zh-CN"")"),"她在工作室里与锚点说话。")</f>
        <v>她在工作室里与锚点说话。</v>
      </c>
    </row>
    <row r="1031">
      <c r="A1031" s="4" t="s">
        <v>1305</v>
      </c>
      <c r="B1031" s="4" t="s">
        <v>1306</v>
      </c>
      <c r="C1031" s="5" t="str">
        <f>IFERROR(__xludf.DUMMYFUNCTION("GOOGLETRANSLATE(B1031,""en"",""zh-CN"")"),"一辆自行车站在一条颠簸的未铺砌道路上。")</f>
        <v>一辆自行车站在一条颠簸的未铺砌道路上。</v>
      </c>
    </row>
    <row r="1032">
      <c r="A1032" s="4" t="s">
        <v>1305</v>
      </c>
      <c r="B1032" s="6" t="s">
        <v>1307</v>
      </c>
      <c r="C1032" s="5" t="str">
        <f>IFERROR(__xludf.DUMMYFUNCTION("GOOGLETRANSLATE(B1032,""en"",""zh-CN"")"),"人们在道路上骑自行车非常快，并在路过这条路的颠簸部分时跳高。")</f>
        <v>人们在道路上骑自行车非常快，并在路过这条路的颠簸部分时跳高。</v>
      </c>
    </row>
    <row r="1033">
      <c r="A1033" s="4" t="s">
        <v>1305</v>
      </c>
      <c r="B1033" s="4" t="s">
        <v>1308</v>
      </c>
      <c r="C1033" s="5" t="str">
        <f>IFERROR(__xludf.DUMMYFUNCTION("GOOGLETRANSLATE(B1033,""en"",""zh-CN"")"),"骑自行车的人的阴影在颠簸的道路上铸造。")</f>
        <v>骑自行车的人的阴影在颠簸的道路上铸造。</v>
      </c>
    </row>
    <row r="1034">
      <c r="A1034" s="4" t="s">
        <v>1309</v>
      </c>
      <c r="B1034" s="4" t="s">
        <v>1310</v>
      </c>
      <c r="C1034" s="5" t="str">
        <f>IFERROR(__xludf.DUMMYFUNCTION("GOOGLETRANSLATE(B1034,""en"",""zh-CN"")"),"当孩子跑来跑去时，看到一个孩子交给一组猴子酒吧。")</f>
        <v>当孩子跑来跑去时，看到一个孩子交给一组猴子酒吧。</v>
      </c>
    </row>
    <row r="1035">
      <c r="A1035" s="4" t="s">
        <v>1309</v>
      </c>
      <c r="B1035" s="4" t="s">
        <v>1311</v>
      </c>
      <c r="C1035" s="5" t="str">
        <f>IFERROR(__xludf.DUMMYFUNCTION("GOOGLETRANSLATE(B1035,""en"",""zh-CN"")"),"然后，女孩开始爬过猴子酒吧。")</f>
        <v>然后，女孩开始爬过猴子酒吧。</v>
      </c>
    </row>
    <row r="1036">
      <c r="A1036" s="4" t="s">
        <v>1309</v>
      </c>
      <c r="B1036" s="4" t="s">
        <v>1312</v>
      </c>
      <c r="C1036" s="5" t="str">
        <f>IFERROR(__xludf.DUMMYFUNCTION("GOOGLETRANSLATE(B1036,""en"",""zh-CN"")"),"她一直爬到尽头，跳下来。")</f>
        <v>她一直爬到尽头，跳下来。</v>
      </c>
    </row>
    <row r="1037">
      <c r="A1037" s="4" t="s">
        <v>1313</v>
      </c>
      <c r="B1037" s="4" t="s">
        <v>1314</v>
      </c>
      <c r="C1037" s="5" t="str">
        <f>IFERROR(__xludf.DUMMYFUNCTION("GOOGLETRANSLATE(B1037,""en"",""zh-CN"")"),"有人打开树干并拉出轮胎，可以看到齿轮轴的特写。")</f>
        <v>有人打开树干并拉出轮胎，可以看到齿轮轴的特写。</v>
      </c>
    </row>
    <row r="1038">
      <c r="A1038" s="4" t="s">
        <v>1313</v>
      </c>
      <c r="B1038" s="4" t="s">
        <v>1315</v>
      </c>
      <c r="C1038" s="5" t="str">
        <f>IFERROR(__xludf.DUMMYFUNCTION("GOOGLETRANSLATE(B1038,""en"",""zh-CN"")"),"该人将千斤顶放在汽车下，开始拧开轮胎并脱掉。")</f>
        <v>该人将千斤顶放在汽车下，开始拧开轮胎并脱掉。</v>
      </c>
    </row>
    <row r="1039">
      <c r="A1039" s="4" t="s">
        <v>1313</v>
      </c>
      <c r="B1039" s="6" t="s">
        <v>1316</v>
      </c>
      <c r="C1039" s="5" t="str">
        <f>IFERROR(__xludf.DUMMYFUNCTION("GOOGLETRANSLATE(B1039,""en"",""zh-CN"")"),"该人在脱下千斤顶并重新放上插孔的同时将新轮胎拧紧并拧到适当的位置。")</f>
        <v>该人在脱下千斤顶并重新放上插孔的同时将新轮胎拧紧并拧到适当的位置。</v>
      </c>
    </row>
    <row r="1040">
      <c r="A1040" s="4" t="s">
        <v>1317</v>
      </c>
      <c r="B1040" s="4" t="s">
        <v>1318</v>
      </c>
      <c r="C1040" s="5" t="str">
        <f>IFERROR(__xludf.DUMMYFUNCTION("GOOGLETRANSLATE(B1040,""en"",""zh-CN"")"),"展示了有关保龄球的视频的开幕片。")</f>
        <v>展示了有关保龄球的视频的开幕片。</v>
      </c>
    </row>
    <row r="1041">
      <c r="A1041" s="4" t="s">
        <v>1317</v>
      </c>
      <c r="B1041" s="4" t="s">
        <v>1319</v>
      </c>
      <c r="C1041" s="5" t="str">
        <f>IFERROR(__xludf.DUMMYFUNCTION("GOOGLETRANSLATE(B1041,""en"",""zh-CN"")"),"然后，该视频显示了几个保龄球赛在保龄球馆进行保龄球赛。")</f>
        <v>然后，该视频显示了几个保龄球赛在保龄球馆进行保龄球赛。</v>
      </c>
    </row>
    <row r="1042">
      <c r="A1042" s="4" t="s">
        <v>1317</v>
      </c>
      <c r="B1042" s="4" t="s">
        <v>1320</v>
      </c>
      <c r="C1042" s="5" t="str">
        <f>IFERROR(__xludf.DUMMYFUNCTION("GOOGLETRANSLATE(B1042,""en"",""zh-CN"")"),"屏幕上介绍了毕业结局技巧。")</f>
        <v>屏幕上介绍了毕业结局技巧。</v>
      </c>
    </row>
    <row r="1043">
      <c r="A1043" s="4" t="s">
        <v>1317</v>
      </c>
      <c r="B1043" s="4" t="s">
        <v>1321</v>
      </c>
      <c r="C1043" s="5" t="str">
        <f>IFERROR(__xludf.DUMMYFUNCTION("GOOGLETRANSLATE(B1043,""en"",""zh-CN"")"),"一个男人扔球，同时也将自己扔下小巷。")</f>
        <v>一个男人扔球，同时也将自己扔下小巷。</v>
      </c>
    </row>
    <row r="1044">
      <c r="A1044" s="4" t="s">
        <v>1317</v>
      </c>
      <c r="B1044" s="4" t="s">
        <v>1322</v>
      </c>
      <c r="C1044" s="5" t="str">
        <f>IFERROR(__xludf.DUMMYFUNCTION("GOOGLETRANSLATE(B1044,""en"",""zh-CN"")"),"然后，闭幕信用量com登录到屏幕以结束视频。")</f>
        <v>然后，闭幕信用量com登录到屏幕以结束视频。</v>
      </c>
    </row>
    <row r="1045">
      <c r="A1045" s="4" t="s">
        <v>1323</v>
      </c>
      <c r="B1045" s="4" t="s">
        <v>1324</v>
      </c>
      <c r="C1045" s="5" t="str">
        <f>IFERROR(__xludf.DUMMYFUNCTION("GOOGLETRANSLATE(B1045,""en"",""zh-CN"")"),"一个小孩画另一个人的指甲。")</f>
        <v>一个小孩画另一个人的指甲。</v>
      </c>
    </row>
    <row r="1046">
      <c r="A1046" s="4" t="s">
        <v>1323</v>
      </c>
      <c r="B1046" s="4" t="s">
        <v>1325</v>
      </c>
      <c r="C1046" s="5" t="str">
        <f>IFERROR(__xludf.DUMMYFUNCTION("GOOGLETRANSLATE(B1046,""en"",""zh-CN"")"),"另一个人检查指甲。")</f>
        <v>另一个人检查指甲。</v>
      </c>
    </row>
    <row r="1047">
      <c r="A1047" s="4" t="s">
        <v>1326</v>
      </c>
      <c r="B1047" s="4" t="s">
        <v>1327</v>
      </c>
      <c r="C1047" s="5" t="str">
        <f>IFERROR(__xludf.DUMMYFUNCTION("GOOGLETRANSLATE(B1047,""en"",""zh-CN"")"),"一个男人在人群前面安装横梁。")</f>
        <v>一个男人在人群前面安装横梁。</v>
      </c>
    </row>
    <row r="1048">
      <c r="A1048" s="4" t="s">
        <v>1326</v>
      </c>
      <c r="B1048" s="4" t="s">
        <v>1328</v>
      </c>
      <c r="C1048" s="5" t="str">
        <f>IFERROR(__xludf.DUMMYFUNCTION("GOOGLETRANSLATE(B1048,""en"",""zh-CN"")"),"体操运动员开始在远光灯上落下，举起，握住和旋转，为人群旋转。")</f>
        <v>体操运动员开始在远光灯上落下，举起，握住和旋转，为人群旋转。</v>
      </c>
    </row>
    <row r="1049">
      <c r="A1049" s="4" t="s">
        <v>1326</v>
      </c>
      <c r="B1049" s="4" t="s">
        <v>1329</v>
      </c>
      <c r="C1049" s="5" t="str">
        <f>IFERROR(__xludf.DUMMYFUNCTION("GOOGLETRANSLATE(B1049,""en"",""zh-CN"")"),"他优雅地卸下了，在走开之前向人群举起双臂。")</f>
        <v>他优雅地卸下了，在走开之前向人群举起双臂。</v>
      </c>
    </row>
    <row r="1050">
      <c r="A1050" s="4" t="s">
        <v>1330</v>
      </c>
      <c r="B1050" s="6" t="s">
        <v>1331</v>
      </c>
      <c r="C1050" s="5" t="str">
        <f>IFERROR(__xludf.DUMMYFUNCTION("GOOGLETRANSLATE(B1050,""en"",""zh-CN"")"),"几个年轻人，站在一张桌子覆盖着啤酒罐和蓝色塑料杯子的桌子周围时说话和笑。")</f>
        <v>几个年轻人，站在一张桌子覆盖着啤酒罐和蓝色塑料杯子的桌子周围时说话和笑。</v>
      </c>
    </row>
    <row r="1051">
      <c r="A1051" s="4" t="s">
        <v>1330</v>
      </c>
      <c r="B1051" s="6" t="s">
        <v>1332</v>
      </c>
      <c r="C1051" s="5" t="str">
        <f>IFERROR(__xludf.DUMMYFUNCTION("GOOGLETRANSLATE(B1051,""en"",""zh-CN"")"),"一个年轻的男人站在一个房间里的桌子旁，与两个两个女人和更多男人说话，偶尔笑着微笑。")</f>
        <v>一个年轻的男人站在一个房间里的桌子旁，与两个两个女人和更多男人说话，偶尔笑着微笑。</v>
      </c>
    </row>
    <row r="1052">
      <c r="A1052" s="4" t="s">
        <v>1330</v>
      </c>
      <c r="B1052" s="6" t="s">
        <v>1333</v>
      </c>
      <c r="C1052" s="5" t="str">
        <f>IFERROR(__xludf.DUMMYFUNCTION("GOOGLETRANSLATE(B1052,""en"",""zh-CN"")"),"当人们试图从桌子对面的蓝色杯子里扔球时，桌子上扔了一个小的白球。")</f>
        <v>当人们试图从桌子对面的蓝色杯子里扔球时，桌子上扔了一个小的白球。</v>
      </c>
    </row>
    <row r="1053">
      <c r="A1053" s="4" t="s">
        <v>1330</v>
      </c>
      <c r="B1053" s="6" t="s">
        <v>1334</v>
      </c>
      <c r="C1053" s="5" t="str">
        <f>IFERROR(__xludf.DUMMYFUNCTION("GOOGLETRANSLATE(B1053,""en"",""zh-CN"")"),"在剪辑的最后时刻，A球飞过桌子，人们以胜利的方式做出反应，将手臂伸向空中以庆祝。")</f>
        <v>在剪辑的最后时刻，A球飞过桌子，人们以胜利的方式做出反应，将手臂伸向空中以庆祝。</v>
      </c>
    </row>
    <row r="1054">
      <c r="A1054" s="4" t="s">
        <v>1335</v>
      </c>
      <c r="B1054" s="4" t="s">
        <v>1336</v>
      </c>
      <c r="C1054" s="5" t="str">
        <f>IFERROR(__xludf.DUMMYFUNCTION("GOOGLETRANSLATE(B1054,""en"",""zh-CN"")"),"一群年轻人在装满红色杯子的桌子前摆姿势和愚蠢。")</f>
        <v>一群年轻人在装满红色杯子的桌子前摆姿势和愚蠢。</v>
      </c>
    </row>
    <row r="1055">
      <c r="A1055" s="4" t="s">
        <v>1335</v>
      </c>
      <c r="B1055" s="4" t="s">
        <v>1337</v>
      </c>
      <c r="C1055" s="5" t="str">
        <f>IFERROR(__xludf.DUMMYFUNCTION("GOOGLETRANSLATE(B1055,""en"",""zh-CN"")"),"一个黑色的年轻人在桌子上放了两个镜头。")</f>
        <v>一个黑色的年轻人在桌子上放了两个镜头。</v>
      </c>
    </row>
    <row r="1056">
      <c r="A1056" s="4" t="s">
        <v>1335</v>
      </c>
      <c r="B1056" s="4" t="s">
        <v>1338</v>
      </c>
      <c r="C1056" s="5" t="str">
        <f>IFERROR(__xludf.DUMMYFUNCTION("GOOGLETRANSLATE(B1056,""en"",""zh-CN"")"),"另一组年轻人坐在外面的椅子上。")</f>
        <v>另一组年轻人坐在外面的椅子上。</v>
      </c>
    </row>
    <row r="1057">
      <c r="A1057" s="4" t="s">
        <v>1335</v>
      </c>
      <c r="B1057" s="6" t="s">
        <v>1339</v>
      </c>
      <c r="C1057" s="5" t="str">
        <f>IFERROR(__xludf.DUMMYFUNCTION("GOOGLETRANSLATE(B1057,""en"",""zh-CN"")"),"一个穿着灰色的年轻人在桌子上弹跳一个球，并在其中一个杯子上弹跳，并与他旁边的年轻人一起庆祝。")</f>
        <v>一个穿着灰色的年轻人在桌子上弹跳一个球，并在其中一个杯子上弹跳，并与他旁边的年轻人一起庆祝。</v>
      </c>
    </row>
    <row r="1058">
      <c r="A1058" s="4" t="s">
        <v>1335</v>
      </c>
      <c r="B1058" s="4" t="s">
        <v>1340</v>
      </c>
      <c r="C1058" s="5" t="str">
        <f>IFERROR(__xludf.DUMMYFUNCTION("GOOGLETRANSLATE(B1058,""en"",""zh-CN"")"),"一个黑色的年轻人向杯子弹跳，但错过了。")</f>
        <v>一个黑色的年轻人向杯子弹跳，但错过了。</v>
      </c>
    </row>
    <row r="1059">
      <c r="A1059" s="4" t="s">
        <v>1335</v>
      </c>
      <c r="B1059" s="4" t="s">
        <v>1341</v>
      </c>
      <c r="C1059" s="5" t="str">
        <f>IFERROR(__xludf.DUMMYFUNCTION("GOOGLETRANSLATE(B1059,""en"",""zh-CN"")"),"另一个男人握住杯子旁边的手。")</f>
        <v>另一个男人握住杯子旁边的手。</v>
      </c>
    </row>
    <row r="1060">
      <c r="A1060" s="4" t="s">
        <v>1335</v>
      </c>
      <c r="B1060" s="6" t="s">
        <v>1342</v>
      </c>
      <c r="C1060" s="5" t="str">
        <f>IFERROR(__xludf.DUMMYFUNCTION("GOOGLETRANSLATE(B1060,""en"",""zh-CN"")"),"两个人在杯子上弹跳球的男人一起碰到了射击眼镜，然后喝了射击。")</f>
        <v>两个人在杯子上弹跳球的男人一起碰到了射击眼镜，然后喝了射击。</v>
      </c>
    </row>
    <row r="1061">
      <c r="A1061" s="4" t="s">
        <v>1335</v>
      </c>
      <c r="B1061" s="4" t="s">
        <v>1343</v>
      </c>
      <c r="C1061" s="5" t="str">
        <f>IFERROR(__xludf.DUMMYFUNCTION("GOOGLETRANSLATE(B1061,""en"",""zh-CN"")"),"一个黑色的年轻人拍打着灰色的年轻人的后背。")</f>
        <v>一个黑色的年轻人拍打着灰色的年轻人的后背。</v>
      </c>
    </row>
    <row r="1062">
      <c r="A1062" s="4" t="s">
        <v>1335</v>
      </c>
      <c r="B1062" s="6" t="s">
        <v>1344</v>
      </c>
      <c r="C1062" s="5" t="str">
        <f>IFERROR(__xludf.DUMMYFUNCTION("GOOGLETRANSLATE(B1062,""en"",""zh-CN"")"),"那个灰色的年轻人从桌子上的一个红色杯子里喝酒，而黑色的年轻人则假装拳打他。")</f>
        <v>那个灰色的年轻人从桌子上的一个红色杯子里喝酒，而黑色的年轻人则假装拳打他。</v>
      </c>
    </row>
    <row r="1063">
      <c r="A1063" s="4" t="s">
        <v>1335</v>
      </c>
      <c r="B1063" s="4" t="s">
        <v>1345</v>
      </c>
      <c r="C1063" s="5" t="str">
        <f>IFERROR(__xludf.DUMMYFUNCTION("GOOGLETRANSLATE(B1063,""en"",""zh-CN"")"),"另一个年轻人重新布置桌子上的剩余杯子。")</f>
        <v>另一个年轻人重新布置桌子上的剩余杯子。</v>
      </c>
    </row>
    <row r="1064">
      <c r="A1064" s="4" t="s">
        <v>1335</v>
      </c>
      <c r="B1064" s="4" t="s">
        <v>1346</v>
      </c>
      <c r="C1064" s="5" t="str">
        <f>IFERROR(__xludf.DUMMYFUNCTION("GOOGLETRANSLATE(B1064,""en"",""zh-CN"")"),"灰色的年轻人和黑色拳头颠簸的年轻人。")</f>
        <v>灰色的年轻人和黑色拳头颠簸的年轻人。</v>
      </c>
    </row>
    <row r="1065">
      <c r="A1065" s="4" t="s">
        <v>1347</v>
      </c>
      <c r="B1065" s="4" t="s">
        <v>1348</v>
      </c>
      <c r="C1065" s="5" t="str">
        <f>IFERROR(__xludf.DUMMYFUNCTION("GOOGLETRANSLATE(B1065,""en"",""zh-CN"")"),"蓝色和黄队之间正在打排球的比赛。")</f>
        <v>蓝色和黄队之间正在打排球的比赛。</v>
      </c>
    </row>
    <row r="1066">
      <c r="A1066" s="4" t="s">
        <v>1347</v>
      </c>
      <c r="B1066" s="6" t="s">
        <v>1349</v>
      </c>
      <c r="C1066" s="5" t="str">
        <f>IFERROR(__xludf.DUMMYFUNCTION("GOOGLETRANSLATE(B1066,""en"",""zh-CN"")"),"黄队为球服务，并不断来回击中，直到黄队得分。")</f>
        <v>黄队为球服务，并不断来回击中，直到黄队得分。</v>
      </c>
    </row>
    <row r="1067">
      <c r="A1067" s="4" t="s">
        <v>1347</v>
      </c>
      <c r="B1067" s="4" t="s">
        <v>1350</v>
      </c>
      <c r="C1067" s="5" t="str">
        <f>IFERROR(__xludf.DUMMYFUNCTION("GOOGLETRANSLATE(B1067,""en"",""zh-CN"")"),"黄色球队的一名球员摔倒了，每支球队的球员都会帮助她。")</f>
        <v>黄色球队的一名球员摔倒了，每支球队的球员都会帮助她。</v>
      </c>
    </row>
    <row r="1068">
      <c r="A1068" s="4" t="s">
        <v>1347</v>
      </c>
      <c r="B1068" s="4" t="s">
        <v>1351</v>
      </c>
      <c r="C1068" s="5" t="str">
        <f>IFERROR(__xludf.DUMMYFUNCTION("GOOGLETRANSLATE(B1068,""en"",""zh-CN"")"),"他们脱下她的鞋子和袜子，按摩她的腿。")</f>
        <v>他们脱下她的鞋子和袜子，按摩她的腿。</v>
      </c>
    </row>
    <row r="1069">
      <c r="A1069" s="4" t="s">
        <v>1347</v>
      </c>
      <c r="B1069" s="6" t="s">
        <v>1352</v>
      </c>
      <c r="C1069" s="5" t="str">
        <f>IFERROR(__xludf.DUMMYFUNCTION("GOOGLETRANSLATE(B1069,""en"",""zh-CN"")"),"两个人在三分之一的帮助下继续接她，然后将她带到球场上，将她放在一边继续照顾。")</f>
        <v>两个人在三分之一的帮助下继续接她，然后将她带到球场上，将她放在一边继续照顾。</v>
      </c>
    </row>
    <row r="1070">
      <c r="A1070" s="4" t="s">
        <v>1353</v>
      </c>
      <c r="B1070" s="4" t="s">
        <v>1354</v>
      </c>
      <c r="C1070" s="5" t="str">
        <f>IFERROR(__xludf.DUMMYFUNCTION("GOOGLETRANSLATE(B1070,""en"",""zh-CN"")"),"穿着红色衬衫的男人正在锻炼一台运动机。")</f>
        <v>穿着红色衬衫的男人正在锻炼一台运动机。</v>
      </c>
    </row>
    <row r="1071">
      <c r="A1071" s="4" t="s">
        <v>1353</v>
      </c>
      <c r="B1071" s="4" t="s">
        <v>1355</v>
      </c>
      <c r="C1071" s="5" t="str">
        <f>IFERROR(__xludf.DUMMYFUNCTION("GOOGLETRANSLATE(B1071,""en"",""zh-CN"")"),"一个穿着紫色衬衫的女人走到他身后。")</f>
        <v>一个穿着紫色衬衫的女人走到他身后。</v>
      </c>
    </row>
    <row r="1072">
      <c r="A1072" s="4" t="s">
        <v>1353</v>
      </c>
      <c r="B1072" s="4" t="s">
        <v>1356</v>
      </c>
      <c r="C1072" s="5" t="str">
        <f>IFERROR(__xludf.DUMMYFUNCTION("GOOGLETRANSLATE(B1072,""en"",""zh-CN"")"),"两个人在他身后互相交谈。")</f>
        <v>两个人在他身后互相交谈。</v>
      </c>
    </row>
    <row r="1073">
      <c r="A1073" s="4" t="s">
        <v>1357</v>
      </c>
      <c r="B1073" s="6" t="s">
        <v>1358</v>
      </c>
      <c r="C1073" s="5" t="str">
        <f>IFERROR(__xludf.DUMMYFUNCTION("GOOGLETRANSLATE(B1073,""en"",""zh-CN"")"),"看到一大批人举起旗帜，绕着圈走路，而其他许多人则在侧面看。")</f>
        <v>看到一大批人举起旗帜，绕着圈走路，而其他许多人则在侧面看。</v>
      </c>
    </row>
    <row r="1074">
      <c r="A1074" s="4" t="s">
        <v>1357</v>
      </c>
      <c r="B1074" s="6" t="s">
        <v>1359</v>
      </c>
      <c r="C1074" s="5" t="str">
        <f>IFERROR(__xludf.DUMMYFUNCTION("GOOGLETRANSLATE(B1074,""en"",""zh-CN"")"),"然后看到两个人走到圈子，进入两者之间的摔跤比赛。")</f>
        <v>然后看到两个人走到圈子，进入两者之间的摔跤比赛。</v>
      </c>
    </row>
    <row r="1075">
      <c r="A1075" s="4" t="s">
        <v>1357</v>
      </c>
      <c r="B1075" s="4" t="s">
        <v>1360</v>
      </c>
      <c r="C1075" s="5" t="str">
        <f>IFERROR(__xludf.DUMMYFUNCTION("GOOGLETRANSLATE(B1075,""en"",""zh-CN"")"),"一个人向另一个人鞠躬，获胜者从舞台上走开。")</f>
        <v>一个人向另一个人鞠躬，获胜者从舞台上走开。</v>
      </c>
    </row>
    <row r="1076">
      <c r="A1076" s="4" t="s">
        <v>1361</v>
      </c>
      <c r="B1076" s="4" t="s">
        <v>1362</v>
      </c>
      <c r="C1076" s="5" t="str">
        <f>IFERROR(__xludf.DUMMYFUNCTION("GOOGLETRANSLATE(B1076,""en"",""zh-CN"")"),"有一个男人坐在一条繁忙的城市街道上，穿着头巾抽烟。")</f>
        <v>有一个男人坐在一条繁忙的城市街道上，穿着头巾抽烟。</v>
      </c>
    </row>
    <row r="1077">
      <c r="A1077" s="4" t="s">
        <v>1361</v>
      </c>
      <c r="B1077" s="4" t="s">
        <v>1363</v>
      </c>
      <c r="C1077" s="5" t="str">
        <f>IFERROR(__xludf.DUMMYFUNCTION("GOOGLETRANSLATE(B1077,""en"",""zh-CN"")"),"有几个人走过他。")</f>
        <v>有几个人走过他。</v>
      </c>
    </row>
    <row r="1078">
      <c r="A1078" s="4" t="s">
        <v>1361</v>
      </c>
      <c r="B1078" s="4" t="s">
        <v>1364</v>
      </c>
      <c r="C1078" s="5" t="str">
        <f>IFERROR(__xludf.DUMMYFUNCTION("GOOGLETRANSLATE(B1078,""en"",""zh-CN"")"),"他吸气并呼出烟雾时继续抽烟。")</f>
        <v>他吸气并呼出烟雾时继续抽烟。</v>
      </c>
    </row>
    <row r="1079">
      <c r="A1079" s="4" t="s">
        <v>1361</v>
      </c>
      <c r="B1079" s="4" t="s">
        <v>1365</v>
      </c>
      <c r="C1079" s="5" t="str">
        <f>IFERROR(__xludf.DUMMYFUNCTION("GOOGLETRANSLATE(B1079,""en"",""zh-CN"")"),"街上有很多交通，许多人在街上行走。")</f>
        <v>街上有很多交通，许多人在街上行走。</v>
      </c>
    </row>
    <row r="1080">
      <c r="A1080" s="4" t="s">
        <v>1366</v>
      </c>
      <c r="B1080" s="4" t="s">
        <v>1367</v>
      </c>
      <c r="C1080" s="5" t="str">
        <f>IFERROR(__xludf.DUMMYFUNCTION("GOOGLETRANSLATE(B1080,""en"",""zh-CN"")"),"显示了两个人在海水上一起旁索索索。")</f>
        <v>显示了两个人在海水上一起旁索索索。</v>
      </c>
    </row>
    <row r="1081">
      <c r="A1081" s="4" t="s">
        <v>1366</v>
      </c>
      <c r="B1081" s="4" t="s">
        <v>1368</v>
      </c>
      <c r="C1081" s="5" t="str">
        <f>IFERROR(__xludf.DUMMYFUNCTION("GOOGLETRANSLATE(B1081,""en"",""zh-CN"")"),"他们随身携带帆。")</f>
        <v>他们随身携带帆。</v>
      </c>
    </row>
    <row r="1082">
      <c r="A1082" s="4" t="s">
        <v>1369</v>
      </c>
      <c r="B1082" s="6" t="s">
        <v>1370</v>
      </c>
      <c r="C1082" s="5" t="str">
        <f>IFERROR(__xludf.DUMMYFUNCTION("GOOGLETRANSLATE(B1082,""en"",""zh-CN"")"),"看到两个人在船后滑雪，一个人在肩膀上生了一个孩子。")</f>
        <v>看到两个人在船后滑雪，一个人在肩膀上生了一个孩子。</v>
      </c>
    </row>
    <row r="1083">
      <c r="A1083" s="4" t="s">
        <v>1369</v>
      </c>
      <c r="B1083" s="6" t="s">
        <v>1371</v>
      </c>
      <c r="C1083" s="5" t="str">
        <f>IFERROR(__xludf.DUMMYFUNCTION("GOOGLETRANSLATE(B1083,""en"",""zh-CN"")"),"当小孩爬上他们的顶部，最终跌倒时，人们都互相挂着。")</f>
        <v>当小孩爬上他们的顶部，最终跌倒时，人们都互相挂着。</v>
      </c>
    </row>
    <row r="1084">
      <c r="A1084" s="4" t="s">
        <v>1372</v>
      </c>
      <c r="B1084" s="4" t="s">
        <v>1373</v>
      </c>
      <c r="C1084" s="5" t="str">
        <f>IFERROR(__xludf.DUMMYFUNCTION("GOOGLETRANSLATE(B1084,""en"",""zh-CN"")"),"我们看到一个开头的屏幕，一个人奔跑，并在十五英尺处跳高。")</f>
        <v>我们看到一个开头的屏幕，一个人奔跑，并在十五英尺处跳高。</v>
      </c>
    </row>
    <row r="1085">
      <c r="A1085" s="4" t="s">
        <v>1372</v>
      </c>
      <c r="B1085" s="4" t="s">
        <v>1374</v>
      </c>
      <c r="C1085" s="5" t="str">
        <f>IFERROR(__xludf.DUMMYFUNCTION("GOOGLETRANSLATE(B1085,""en"",""zh-CN"")"),"我们看到一个男人在各种高度的轨道上跳高跳高，并带有许多切割场景。")</f>
        <v>我们看到一个男人在各种高度的轨道上跳高跳高，并带有许多切割场景。</v>
      </c>
    </row>
    <row r="1086">
      <c r="A1086" s="4" t="s">
        <v>1372</v>
      </c>
      <c r="B1086" s="4" t="s">
        <v>1375</v>
      </c>
      <c r="C1086" s="5" t="str">
        <f>IFERROR(__xludf.DUMMYFUNCTION("GOOGLETRANSLATE(B1086,""en"",""zh-CN"")"),"我们看到了十七岁和一个男人的静物。")</f>
        <v>我们看到了十七岁和一个男人的静物。</v>
      </c>
    </row>
    <row r="1087">
      <c r="A1087" s="4" t="s">
        <v>1372</v>
      </c>
      <c r="B1087" s="4" t="s">
        <v>1376</v>
      </c>
      <c r="C1087" s="5" t="str">
        <f>IFERROR(__xludf.DUMMYFUNCTION("GOOGLETRANSLATE(B1087,""en"",""zh-CN"")"),"我们在屏幕上看到15张卷轴。")</f>
        <v>我们在屏幕上看到15张卷轴。</v>
      </c>
    </row>
    <row r="1088">
      <c r="A1088" s="4" t="s">
        <v>1372</v>
      </c>
      <c r="B1088" s="4" t="s">
        <v>1377</v>
      </c>
      <c r="C1088" s="5" t="str">
        <f>IFERROR(__xludf.DUMMYFUNCTION("GOOGLETRANSLATE(B1088,""en"",""zh-CN"")"),"我们看到了一系列男子和16个六人。")</f>
        <v>我们看到了一系列男子和16个六人。</v>
      </c>
    </row>
    <row r="1089">
      <c r="A1089" s="4" t="s">
        <v>1372</v>
      </c>
      <c r="B1089" s="4" t="s">
        <v>1378</v>
      </c>
      <c r="C1089" s="5" t="str">
        <f>IFERROR(__xludf.DUMMYFUNCTION("GOOGLETRANSLATE(B1089,""en"",""zh-CN"")"),"屏幕上有17张卷轴。")</f>
        <v>屏幕上有17张卷轴。</v>
      </c>
    </row>
    <row r="1090">
      <c r="A1090" s="4" t="s">
        <v>1372</v>
      </c>
      <c r="B1090" s="4" t="s">
        <v>1379</v>
      </c>
      <c r="C1090" s="5" t="str">
        <f>IFERROR(__xludf.DUMMYFUNCTION("GOOGLETRANSLATE(B1090,""en"",""zh-CN"")"),"我们在屏幕上看到17张卷轴。")</f>
        <v>我们在屏幕上看到17张卷轴。</v>
      </c>
    </row>
    <row r="1091">
      <c r="A1091" s="4" t="s">
        <v>1372</v>
      </c>
      <c r="B1091" s="4" t="s">
        <v>1380</v>
      </c>
      <c r="C1091" s="5" t="str">
        <f>IFERROR(__xludf.DUMMYFUNCTION("GOOGLETRANSLATE(B1091,""en"",""zh-CN"")"),"然后，我们看到结局。")</f>
        <v>然后，我们看到结局。</v>
      </c>
    </row>
    <row r="1092">
      <c r="A1092" s="4" t="s">
        <v>1381</v>
      </c>
      <c r="B1092" s="4" t="s">
        <v>1382</v>
      </c>
      <c r="C1092" s="5" t="str">
        <f>IFERROR(__xludf.DUMMYFUNCTION("GOOGLETRANSLATE(B1092,""en"",""zh-CN"")"),"一名男子穿着Toga溜冰鞋在旱冰鞋上的一个男人。")</f>
        <v>一名男子穿着Toga溜冰鞋在旱冰鞋上的一个男人。</v>
      </c>
    </row>
    <row r="1093">
      <c r="A1093" s="4" t="s">
        <v>1381</v>
      </c>
      <c r="B1093" s="4" t="s">
        <v>1383</v>
      </c>
      <c r="C1093" s="5" t="str">
        <f>IFERROR(__xludf.DUMMYFUNCTION("GOOGLETRANSLATE(B1093,""en"",""zh-CN"")"),"一个拿着相机的人站在侧面看着那个男人在滚筒上。")</f>
        <v>一个拿着相机的人站在侧面看着那个男人在滚筒上。</v>
      </c>
    </row>
    <row r="1094">
      <c r="A1094" s="4" t="s">
        <v>1384</v>
      </c>
      <c r="B1094" s="4" t="s">
        <v>1385</v>
      </c>
      <c r="C1094" s="5" t="str">
        <f>IFERROR(__xludf.DUMMYFUNCTION("GOOGLETRANSLATE(B1094,""en"",""zh-CN"")"),"看到一个小孩抬头看着拿着咖啡杯的相机。")</f>
        <v>看到一个小孩抬头看着拿着咖啡杯的相机。</v>
      </c>
    </row>
    <row r="1095">
      <c r="A1095" s="4" t="s">
        <v>1384</v>
      </c>
      <c r="B1095" s="4" t="s">
        <v>1386</v>
      </c>
      <c r="C1095" s="5" t="str">
        <f>IFERROR(__xludf.DUMMYFUNCTION("GOOGLETRANSLATE(B1095,""en"",""zh-CN"")"),"这个女孩从杯子里喝一杯，然后放下。")</f>
        <v>这个女孩从杯子里喝一杯，然后放下。</v>
      </c>
    </row>
    <row r="1096">
      <c r="A1096" s="4" t="s">
        <v>1384</v>
      </c>
      <c r="B1096" s="4" t="s">
        <v>1387</v>
      </c>
      <c r="C1096" s="5" t="str">
        <f>IFERROR(__xludf.DUMMYFUNCTION("GOOGLETRANSLATE(B1096,""en"",""zh-CN"")"),"她继续从容器中喝酒，仰望相机。")</f>
        <v>她继续从容器中喝酒，仰望相机。</v>
      </c>
    </row>
    <row r="1097">
      <c r="A1097" s="4" t="s">
        <v>1388</v>
      </c>
      <c r="B1097" s="4" t="s">
        <v>1389</v>
      </c>
      <c r="C1097" s="5" t="str">
        <f>IFERROR(__xludf.DUMMYFUNCTION("GOOGLETRANSLATE(B1097,""en"",""zh-CN"")"),"看到两名男子站在飞镖比赛前，开始将飞镖投向板上。")</f>
        <v>看到两名男子站在飞镖比赛前，开始将飞镖投向板上。</v>
      </c>
    </row>
    <row r="1098">
      <c r="A1098" s="4" t="s">
        <v>1388</v>
      </c>
      <c r="B1098" s="4" t="s">
        <v>1390</v>
      </c>
      <c r="C1098" s="5" t="str">
        <f>IFERROR(__xludf.DUMMYFUNCTION("GOOGLETRANSLATE(B1098,""en"",""zh-CN"")"),"男人在仍在比赛的同时回头笑着笑着。")</f>
        <v>男人在仍在比赛的同时回头笑着笑着。</v>
      </c>
    </row>
    <row r="1099">
      <c r="A1099" s="4" t="s">
        <v>1388</v>
      </c>
      <c r="B1099" s="4" t="s">
        <v>1391</v>
      </c>
      <c r="C1099" s="5" t="str">
        <f>IFERROR(__xludf.DUMMYFUNCTION("GOOGLETRANSLATE(B1099,""en"",""zh-CN"")"),"继续与周围的其他人一起玩，并与另一个人握手结束。")</f>
        <v>继续与周围的其他人一起玩，并与另一个人握手结束。</v>
      </c>
    </row>
    <row r="1100">
      <c r="A1100" s="4" t="s">
        <v>1392</v>
      </c>
      <c r="B1100" s="4" t="s">
        <v>1393</v>
      </c>
      <c r="C1100" s="5" t="str">
        <f>IFERROR(__xludf.DUMMYFUNCTION("GOOGLETRANSLATE(B1100,""en"",""zh-CN"")"),"穿着黑色制服的女人扔了标枪球。")</f>
        <v>穿着黑色制服的女人扔了标枪球。</v>
      </c>
    </row>
    <row r="1101">
      <c r="A1101" s="4" t="s">
        <v>1392</v>
      </c>
      <c r="B1101" s="4" t="s">
        <v>1394</v>
      </c>
      <c r="C1101" s="5" t="str">
        <f>IFERROR(__xludf.DUMMYFUNCTION("GOOGLETRANSLATE(B1101,""en"",""zh-CN"")"),"带有黄色衬衫和黑色袖子的小女人扔了球。")</f>
        <v>带有黄色衬衫和黑色袖子的小女人扔了球。</v>
      </c>
    </row>
    <row r="1102">
      <c r="A1102" s="4" t="s">
        <v>1392</v>
      </c>
      <c r="B1102" s="4" t="s">
        <v>1395</v>
      </c>
      <c r="C1102" s="5" t="str">
        <f>IFERROR(__xludf.DUMMYFUNCTION("GOOGLETRANSLATE(B1102,""en"",""zh-CN"")"),"穿着白衬衫和黑色裤子的女人伸展了一段时间，然后扔了球。")</f>
        <v>穿着白衬衫和黑色裤子的女人伸展了一段时间，然后扔了球。</v>
      </c>
    </row>
    <row r="1103">
      <c r="A1103" s="4" t="s">
        <v>1392</v>
      </c>
      <c r="B1103" s="6" t="s">
        <v>1396</v>
      </c>
      <c r="C1103" s="5" t="str">
        <f>IFERROR(__xludf.DUMMYFUNCTION("GOOGLETRANSLATE(B1103,""en"",""zh-CN"")"),"运动员一一扔出标枪球，而侧面是衡量掷出多远的人。")</f>
        <v>运动员一一扔出标枪球，而侧面是衡量掷出多远的人。</v>
      </c>
    </row>
    <row r="1104">
      <c r="A1104" s="4" t="s">
        <v>1397</v>
      </c>
      <c r="B1104" s="4" t="s">
        <v>1398</v>
      </c>
      <c r="C1104" s="5" t="str">
        <f>IFERROR(__xludf.DUMMYFUNCTION("GOOGLETRANSLATE(B1104,""en"",""zh-CN"")"),"有一个男人从他的车库里出来，带有电叶吹风机。")</f>
        <v>有一个男人从他的车库里出来，带有电叶吹风机。</v>
      </c>
    </row>
    <row r="1105">
      <c r="A1105" s="4" t="s">
        <v>1397</v>
      </c>
      <c r="B1105" s="4" t="s">
        <v>1399</v>
      </c>
      <c r="C1105" s="5" t="str">
        <f>IFERROR(__xludf.DUMMYFUNCTION("GOOGLETRANSLATE(B1105,""en"",""zh-CN"")"),"他开始将叶子从院子里吹走以进行秋天的清理。")</f>
        <v>他开始将叶子从院子里吹走以进行秋天的清理。</v>
      </c>
    </row>
    <row r="1106">
      <c r="A1106" s="4" t="s">
        <v>1397</v>
      </c>
      <c r="B1106" s="4" t="s">
        <v>1400</v>
      </c>
      <c r="C1106" s="5" t="str">
        <f>IFERROR(__xludf.DUMMYFUNCTION("GOOGLETRANSLATE(B1106,""en"",""zh-CN"")"),"当他清洁叶子时，他用鼓风机在院子里走来走去。")</f>
        <v>当他清洁叶子时，他用鼓风机在院子里走来走去。</v>
      </c>
    </row>
    <row r="1107">
      <c r="A1107" s="4" t="s">
        <v>1401</v>
      </c>
      <c r="B1107" s="4" t="s">
        <v>1402</v>
      </c>
      <c r="C1107" s="5" t="str">
        <f>IFERROR(__xludf.DUMMYFUNCTION("GOOGLETRANSLATE(B1107,""en"",""zh-CN"")"),"水肺潜水员在空中扔一个和平标志时握住一块岩石。")</f>
        <v>水肺潜水员在空中扔一个和平标志时握住一块岩石。</v>
      </c>
    </row>
    <row r="1108">
      <c r="A1108" s="4" t="s">
        <v>1401</v>
      </c>
      <c r="B1108" s="4" t="s">
        <v>1403</v>
      </c>
      <c r="C1108" s="5" t="str">
        <f>IFERROR(__xludf.DUMMYFUNCTION("GOOGLETRANSLATE(B1108,""en"",""zh-CN"")"),"该男子放开岩石，在空中张开两个和平标志。")</f>
        <v>该男子放开岩石，在空中张开两个和平标志。</v>
      </c>
    </row>
    <row r="1109">
      <c r="A1109" s="4" t="s">
        <v>1401</v>
      </c>
      <c r="B1109" s="4" t="s">
        <v>1404</v>
      </c>
      <c r="C1109" s="5" t="str">
        <f>IFERROR(__xludf.DUMMYFUNCTION("GOOGLETRANSLATE(B1109,""en"",""zh-CN"")"),"该男子修理了他的浮潜和护目镜。")</f>
        <v>该男子修理了他的浮潜和护目镜。</v>
      </c>
    </row>
    <row r="1110">
      <c r="A1110" s="4" t="s">
        <v>1405</v>
      </c>
      <c r="B1110" s="4" t="s">
        <v>1406</v>
      </c>
      <c r="C1110" s="5" t="str">
        <f>IFERROR(__xludf.DUMMYFUNCTION("GOOGLETRANSLATE(B1110,""en"",""zh-CN"")"),"蓝色的灯光在舞台上照亮。")</f>
        <v>蓝色的灯光在舞台上照亮。</v>
      </c>
    </row>
    <row r="1111">
      <c r="A1111" s="4" t="s">
        <v>1405</v>
      </c>
      <c r="B1111" s="4" t="s">
        <v>1407</v>
      </c>
      <c r="C1111" s="5" t="str">
        <f>IFERROR(__xludf.DUMMYFUNCTION("GOOGLETRANSLATE(B1111,""en"",""zh-CN"")"),"一个人的轮廓是可见的，我们在蓝光中看到舞台。")</f>
        <v>一个人的轮廓是可见的，我们在蓝光中看到舞台。</v>
      </c>
    </row>
    <row r="1112">
      <c r="A1112" s="4" t="s">
        <v>1405</v>
      </c>
      <c r="B1112" s="4" t="s">
        <v>1408</v>
      </c>
      <c r="C1112" s="5" t="str">
        <f>IFERROR(__xludf.DUMMYFUNCTION("GOOGLETRANSLATE(B1112,""en"",""zh-CN"")"),"舞台上的那个人扮演红灯。")</f>
        <v>舞台上的那个人扮演红灯。</v>
      </c>
    </row>
    <row r="1113">
      <c r="A1113" s="4" t="s">
        <v>1405</v>
      </c>
      <c r="B1113" s="4" t="s">
        <v>1409</v>
      </c>
      <c r="C1113" s="5" t="str">
        <f>IFERROR(__xludf.DUMMYFUNCTION("GOOGLETRANSLATE(B1113,""en"",""zh-CN"")"),"我们看到蓝色的竞技场和红色的萨克斯球员。")</f>
        <v>我们看到蓝色的竞技场和红色的萨克斯球员。</v>
      </c>
    </row>
    <row r="1114">
      <c r="A1114" s="4" t="s">
        <v>1405</v>
      </c>
      <c r="B1114" s="4" t="s">
        <v>1410</v>
      </c>
      <c r="C1114" s="5" t="str">
        <f>IFERROR(__xludf.DUMMYFUNCTION("GOOGLETRANSLATE(B1114,""en"",""zh-CN"")"),"我们看到了乐队的另一个成员。")</f>
        <v>我们看到了乐队的另一个成员。</v>
      </c>
    </row>
    <row r="1115">
      <c r="A1115" s="4" t="s">
        <v>1405</v>
      </c>
      <c r="B1115" s="4" t="s">
        <v>1411</v>
      </c>
      <c r="C1115" s="5" t="str">
        <f>IFERROR(__xludf.DUMMYFUNCTION("GOOGLETRANSLATE(B1115,""en"",""zh-CN"")"),"我们看到萨克斯管上的那个人近距离演奏。")</f>
        <v>我们看到萨克斯管上的那个人近距离演奏。</v>
      </c>
    </row>
    <row r="1116">
      <c r="A1116" s="4" t="s">
        <v>1405</v>
      </c>
      <c r="B1116" s="4" t="s">
        <v>1412</v>
      </c>
      <c r="C1116" s="5" t="str">
        <f>IFERROR(__xludf.DUMMYFUNCTION("GOOGLETRANSLATE(B1116,""en"",""zh-CN"")"),"我们看到了整个竞技场和那个男人的比赛。")</f>
        <v>我们看到了整个竞技场和那个男人的比赛。</v>
      </c>
    </row>
    <row r="1117">
      <c r="A1117" s="4" t="s">
        <v>1405</v>
      </c>
      <c r="B1117" s="4" t="s">
        <v>1413</v>
      </c>
      <c r="C1117" s="5" t="str">
        <f>IFERROR(__xludf.DUMMYFUNCTION("GOOGLETRANSLATE(B1117,""en"",""zh-CN"")"),"我们将男人抛在观众身上。")</f>
        <v>我们将男人抛在观众身上。</v>
      </c>
    </row>
    <row r="1118">
      <c r="A1118" s="4" t="s">
        <v>1414</v>
      </c>
      <c r="B1118" s="4" t="s">
        <v>1415</v>
      </c>
      <c r="C1118" s="5" t="str">
        <f>IFERROR(__xludf.DUMMYFUNCTION("GOOGLETRANSLATE(B1118,""en"",""zh-CN"")"),"看到一个人在游泳池地板的深处游泳。")</f>
        <v>看到一个人在游泳池地板的深处游泳。</v>
      </c>
    </row>
    <row r="1119">
      <c r="A1119" s="4" t="s">
        <v>1414</v>
      </c>
      <c r="B1119" s="4" t="s">
        <v>1416</v>
      </c>
      <c r="C1119" s="5" t="str">
        <f>IFERROR(__xludf.DUMMYFUNCTION("GOOGLETRANSLATE(B1119,""en"",""zh-CN"")"),"这个男人出现在镜头前，他的脸露面。")</f>
        <v>这个男人出现在镜头前，他的脸露面。</v>
      </c>
    </row>
    <row r="1120">
      <c r="A1120" s="4" t="s">
        <v>1414</v>
      </c>
      <c r="B1120" s="4" t="s">
        <v>1417</v>
      </c>
      <c r="C1120" s="5" t="str">
        <f>IFERROR(__xludf.DUMMYFUNCTION("GOOGLETRANSLATE(B1120,""en"",""zh-CN"")"),"然后，他慢慢地朝着表面游动。")</f>
        <v>然后，他慢慢地朝着表面游动。</v>
      </c>
    </row>
    <row r="1121">
      <c r="A1121" s="4" t="s">
        <v>1418</v>
      </c>
      <c r="B1121" s="4" t="s">
        <v>1419</v>
      </c>
      <c r="C1121" s="5" t="str">
        <f>IFERROR(__xludf.DUMMYFUNCTION("GOOGLETRANSLATE(B1121,""en"",""zh-CN"")"),"可以看到一组指令。")</f>
        <v>可以看到一组指令。</v>
      </c>
    </row>
    <row r="1122">
      <c r="A1122" s="4" t="s">
        <v>1418</v>
      </c>
      <c r="B1122" s="4" t="s">
        <v>1420</v>
      </c>
      <c r="C1122" s="5" t="str">
        <f>IFERROR(__xludf.DUMMYFUNCTION("GOOGLETRANSLATE(B1122,""en"",""zh-CN"")"),"一个人使用工具修复自行车链的单个链接。")</f>
        <v>一个人使用工具修复自行车链的单个链接。</v>
      </c>
    </row>
    <row r="1123">
      <c r="A1123" s="4" t="s">
        <v>1418</v>
      </c>
      <c r="B1123" s="4" t="s">
        <v>1421</v>
      </c>
      <c r="C1123" s="5" t="str">
        <f>IFERROR(__xludf.DUMMYFUNCTION("GOOGLETRANSLATE(B1123,""en"",""zh-CN"")"),"使用专业工具将自行车链固定在自行车齿轮上。")</f>
        <v>使用专业工具将自行车链固定在自行车齿轮上。</v>
      </c>
    </row>
    <row r="1124">
      <c r="A1124" s="4" t="s">
        <v>1418</v>
      </c>
      <c r="B1124" s="4" t="s">
        <v>1422</v>
      </c>
      <c r="C1124" s="5" t="str">
        <f>IFERROR(__xludf.DUMMYFUNCTION("GOOGLETRANSLATE(B1124,""en"",""zh-CN"")"),"该人手工检查新替换的链条。")</f>
        <v>该人手工检查新替换的链条。</v>
      </c>
    </row>
    <row r="1125">
      <c r="A1125" s="4" t="s">
        <v>1418</v>
      </c>
      <c r="B1125" s="6" t="s">
        <v>1423</v>
      </c>
      <c r="C1125" s="5" t="str">
        <f>IFERROR(__xludf.DUMMYFUNCTION("GOOGLETRANSLATE(B1125,""en"",""zh-CN"")"),"工作完成后，该人指向自行车齿轮上的不同区域。")</f>
        <v>工作完成后，该人指向自行车齿轮上的不同区域。</v>
      </c>
    </row>
    <row r="1126">
      <c r="A1126" s="4" t="s">
        <v>1424</v>
      </c>
      <c r="B1126" s="4" t="s">
        <v>1425</v>
      </c>
      <c r="C1126" s="5" t="str">
        <f>IFERROR(__xludf.DUMMYFUNCTION("GOOGLETRANSLATE(B1126,""en"",""zh-CN"")"),"看到厨师在拿着刀和锐化器的相机上讲话。")</f>
        <v>看到厨师在拿着刀和锐化器的相机上讲话。</v>
      </c>
    </row>
    <row r="1127">
      <c r="A1127" s="4" t="s">
        <v>1424</v>
      </c>
      <c r="B1127" s="4" t="s">
        <v>1426</v>
      </c>
      <c r="C1127" s="5" t="str">
        <f>IFERROR(__xludf.DUMMYFUNCTION("GOOGLETRANSLATE(B1127,""en"",""zh-CN"")"),"然后，该名男子将刀在桌子上以及磨刀器上的木板上锐化。")</f>
        <v>然后，该名男子将刀在桌子上以及磨刀器上的木板上锐化。</v>
      </c>
    </row>
    <row r="1128">
      <c r="A1128" s="4" t="s">
        <v>1427</v>
      </c>
      <c r="B1128" s="6" t="s">
        <v>1428</v>
      </c>
      <c r="C1128" s="5" t="str">
        <f>IFERROR(__xludf.DUMMYFUNCTION("GOOGLETRANSLATE(B1128,""en"",""zh-CN"")"),"一个蒙住眼睛的年轻女子在生日派对上的绳子上握住头顶上方的piñata时，疯狂地挥舞着一根棍子。")</f>
        <v>一个蒙住眼睛的年轻女子在生日派对上的绳子上握住头顶上方的piñata时，疯狂地挥舞着一根棍子。</v>
      </c>
    </row>
    <row r="1129">
      <c r="A1129" s="4" t="s">
        <v>1427</v>
      </c>
      <c r="B1129" s="6" t="s">
        <v>1429</v>
      </c>
      <c r="C1129" s="5" t="str">
        <f>IFERROR(__xludf.DUMMYFUNCTION("GOOGLETRANSLATE(B1129,""en"",""zh-CN"")"),"然后，当男人带着附着的绳子将piñata带到上下时，女人再摇摆了几次，当她这样做时，她敲了一块piñata，几个孩子聚集在她周围，看看是否有糖果掉下来。")</f>
        <v>然后，当男人带着附着的绳子将piñata带到上下时，女人再摇摆了几次，当她这样做时，她敲了一块piñata，几个孩子聚集在她周围，看看是否有糖果掉下来。</v>
      </c>
    </row>
    <row r="1130">
      <c r="A1130" s="4" t="s">
        <v>1427</v>
      </c>
      <c r="B1130" s="6" t="s">
        <v>1430</v>
      </c>
      <c r="C1130" s="5" t="str">
        <f>IFERROR(__xludf.DUMMYFUNCTION("GOOGLETRANSLATE(B1130,""en"",""zh-CN"")"),"这个女人用棍子几次感觉到Piñata，但由于孩子们继续惊讶地抬头时，并没有挥舞。")</f>
        <v>这个女人用棍子几次感觉到Piñata，但由于孩子们继续惊讶地抬头时，并没有挥舞。</v>
      </c>
    </row>
    <row r="1131">
      <c r="A1131" s="4" t="s">
        <v>1431</v>
      </c>
      <c r="B1131" s="6" t="s">
        <v>1432</v>
      </c>
      <c r="C1131" s="5" t="str">
        <f>IFERROR(__xludf.DUMMYFUNCTION("GOOGLETRANSLATE(B1131,""en"",""zh-CN"")"),"摄影机从几个侧面摇晃时，镜头上撒上乳液在海滩上时显示了各种镜头。")</f>
        <v>摄影机从几个侧面摇晃时，镜头上撒上乳液在海滩上时显示了各种镜头。</v>
      </c>
    </row>
    <row r="1132">
      <c r="A1132" s="4" t="s">
        <v>1431</v>
      </c>
      <c r="B1132" s="6" t="s">
        <v>1433</v>
      </c>
      <c r="C1132" s="5" t="str">
        <f>IFERROR(__xludf.DUMMYFUNCTION("GOOGLETRANSLATE(B1132,""en"",""zh-CN"")"),"在各个角度摩擦乳液的妇女的镜头显示了更多的镜头，并诱人地望向距离。")</f>
        <v>在各个角度摩擦乳液的妇女的镜头显示了更多的镜头，并诱人地望向距离。</v>
      </c>
    </row>
    <row r="1133">
      <c r="A1133" s="4" t="s">
        <v>1434</v>
      </c>
      <c r="B1133" s="4" t="s">
        <v>1435</v>
      </c>
      <c r="C1133" s="5" t="str">
        <f>IFERROR(__xludf.DUMMYFUNCTION("GOOGLETRANSLATE(B1133,""en"",""zh-CN"")"),"当他们的吉祥物在他们身后奔跑时，一支欢呼的领导团队开始宣布海报。")</f>
        <v>当他们的吉祥物在他们身后奔跑时，一支欢呼的领导团队开始宣布海报。</v>
      </c>
    </row>
    <row r="1134">
      <c r="A1134" s="4" t="s">
        <v>1434</v>
      </c>
      <c r="B1134" s="6" t="s">
        <v>1436</v>
      </c>
      <c r="C1134" s="5" t="str">
        <f>IFERROR(__xludf.DUMMYFUNCTION("GOOGLETRANSLATE(B1134,""en"",""zh-CN"")"),"然后，他们开始做一个例行程序，一些女孩用彩带奔跑，因为其余的人将女孩抓住了特技。")</f>
        <v>然后，他们开始做一个例行程序，一些女孩用彩带奔跑，因为其余的人将女孩抓住了特技。</v>
      </c>
    </row>
    <row r="1135">
      <c r="A1135" s="4" t="s">
        <v>1434</v>
      </c>
      <c r="B1135" s="6" t="s">
        <v>1437</v>
      </c>
      <c r="C1135" s="5" t="str">
        <f>IFERROR(__xludf.DUMMYFUNCTION("GOOGLETRANSLATE(B1135,""en"",""zh-CN"")"),"特技表演结束了，撤退回到了原始位置，并开始制作车轮，其他技巧和特技及其吉祥物。")</f>
        <v>特技表演结束了，撤退回到了原始位置，并开始制作车轮，其他技巧和特技及其吉祥物。</v>
      </c>
    </row>
    <row r="1136">
      <c r="A1136" s="4" t="s">
        <v>1434</v>
      </c>
      <c r="B1136" s="6" t="s">
        <v>1438</v>
      </c>
      <c r="C1136" s="5" t="str">
        <f>IFERROR(__xludf.DUMMYFUNCTION("GOOGLETRANSLATE(B1136,""en"",""zh-CN"")"),"随着例程的继续，进行更多的特技表演，老虎吉祥物继续与女孩们欢呼。")</f>
        <v>随着例程的继续，进行更多的特技表演，老虎吉祥物继续与女孩们欢呼。</v>
      </c>
    </row>
    <row r="1137">
      <c r="A1137" s="4" t="s">
        <v>1439</v>
      </c>
      <c r="B1137" s="4" t="s">
        <v>1440</v>
      </c>
      <c r="C1137" s="5" t="str">
        <f>IFERROR(__xludf.DUMMYFUNCTION("GOOGLETRANSLATE(B1137,""en"",""zh-CN"")"),"一个男孩和一个男人轮流玩台球，而人群看着。")</f>
        <v>一个男孩和一个男人轮流玩台球，而人群看着。</v>
      </c>
    </row>
    <row r="1138">
      <c r="A1138" s="4" t="s">
        <v>1439</v>
      </c>
      <c r="B1138" s="4" t="s">
        <v>1441</v>
      </c>
      <c r="C1138" s="5" t="str">
        <f>IFERROR(__xludf.DUMMYFUNCTION("GOOGLETRANSLATE(B1138,""en"",""zh-CN"")"),"该男子用毛巾擦脸。")</f>
        <v>该男子用毛巾擦脸。</v>
      </c>
    </row>
    <row r="1139">
      <c r="A1139" s="4" t="s">
        <v>1439</v>
      </c>
      <c r="B1139" s="4" t="s">
        <v>1442</v>
      </c>
      <c r="C1139" s="5" t="str">
        <f>IFERROR(__xludf.DUMMYFUNCTION("GOOGLETRANSLATE(B1139,""en"",""zh-CN"")"),"男孩获胜，人群欢呼。")</f>
        <v>男孩获胜，人群欢呼。</v>
      </c>
    </row>
    <row r="1140">
      <c r="A1140" s="4" t="s">
        <v>1439</v>
      </c>
      <c r="B1140" s="4" t="s">
        <v>1443</v>
      </c>
      <c r="C1140" s="5" t="str">
        <f>IFERROR(__xludf.DUMMYFUNCTION("GOOGLETRANSLATE(B1140,""en"",""zh-CN"")"),"几个男人庆祝男孩。")</f>
        <v>几个男人庆祝男孩。</v>
      </c>
    </row>
    <row r="1141">
      <c r="A1141" s="4" t="s">
        <v>1439</v>
      </c>
      <c r="B1141" s="4" t="s">
        <v>1444</v>
      </c>
      <c r="C1141" s="5" t="str">
        <f>IFERROR(__xludf.DUMMYFUNCTION("GOOGLETRANSLATE(B1141,""en"",""zh-CN"")"),"获胜的射门以慢动作重播。")</f>
        <v>获胜的射门以慢动作重播。</v>
      </c>
    </row>
    <row r="1142">
      <c r="A1142" s="4" t="s">
        <v>1445</v>
      </c>
      <c r="B1142" s="6" t="s">
        <v>1446</v>
      </c>
      <c r="C1142" s="5" t="str">
        <f>IFERROR(__xludf.DUMMYFUNCTION("GOOGLETRANSLATE(B1142,""en"",""zh-CN"")"),"看到一个女人握着一根绳子的绳子，开始用手编织绳子。")</f>
        <v>看到一个女人握着一根绳子的绳子，开始用手编织绳子。</v>
      </c>
    </row>
    <row r="1143">
      <c r="A1143" s="4" t="s">
        <v>1445</v>
      </c>
      <c r="B1143" s="4" t="s">
        <v>1447</v>
      </c>
      <c r="C1143" s="5" t="str">
        <f>IFERROR(__xludf.DUMMYFUNCTION("GOOGLETRANSLATE(B1143,""en"",""zh-CN"")"),"她继续用双手和结束线来伸出线来展示绳子。")</f>
        <v>她继续用双手和结束线来伸出线来展示绳子。</v>
      </c>
    </row>
    <row r="1144">
      <c r="A1144" s="4" t="s">
        <v>1448</v>
      </c>
      <c r="B1144" s="4" t="s">
        <v>1449</v>
      </c>
      <c r="C1144" s="5" t="str">
        <f>IFERROR(__xludf.DUMMYFUNCTION("GOOGLETRANSLATE(B1144,""en"",""zh-CN"")"),"一个坐在水上的木筏里的男人对镜头说话。")</f>
        <v>一个坐在水上的木筏里的男人对镜头说话。</v>
      </c>
    </row>
    <row r="1145">
      <c r="A1145" s="4" t="s">
        <v>1448</v>
      </c>
      <c r="B1145" s="4" t="s">
        <v>1450</v>
      </c>
      <c r="C1145" s="5" t="str">
        <f>IFERROR(__xludf.DUMMYFUNCTION("GOOGLETRANSLATE(B1145,""en"",""zh-CN"")"),"该男子在与相机交谈时演示了技术。")</f>
        <v>该男子在与相机交谈时演示了技术。</v>
      </c>
    </row>
    <row r="1146">
      <c r="A1146" s="4" t="s">
        <v>1448</v>
      </c>
      <c r="B1146" s="4" t="s">
        <v>1451</v>
      </c>
      <c r="C1146" s="5" t="str">
        <f>IFERROR(__xludf.DUMMYFUNCTION("GOOGLETRANSLATE(B1146,""en"",""zh-CN"")"),"该男子在划船时筏下游。")</f>
        <v>该男子在划船时筏下游。</v>
      </c>
    </row>
    <row r="1147">
      <c r="A1147" s="4" t="s">
        <v>1452</v>
      </c>
      <c r="B1147" s="6" t="s">
        <v>1453</v>
      </c>
      <c r="C1147" s="5" t="str">
        <f>IFERROR(__xludf.DUMMYFUNCTION("GOOGLETRANSLATE(B1147,""en"",""zh-CN"")"),"看到马萨诸塞州的亚历山德拉·赖斯曼（Alexandra Raisman）穿着紫色紧身连衣裤，准备在马酒吧做体操。")</f>
        <v>看到马萨诸塞州的亚历山德拉·赖斯曼（Alexandra Raisman）穿着紫色紧身连衣裤，准备在马酒吧做体操。</v>
      </c>
    </row>
    <row r="1148">
      <c r="A1148" s="4" t="s">
        <v>1452</v>
      </c>
      <c r="B1148" s="4" t="s">
        <v>1454</v>
      </c>
      <c r="C1148" s="5" t="str">
        <f>IFERROR(__xludf.DUMMYFUNCTION("GOOGLETRANSLATE(B1148,""en"",""zh-CN"")"),"她直接跳到马杆上，进行一些前后翻转。")</f>
        <v>她直接跳到马杆上，进行一些前后翻转。</v>
      </c>
    </row>
    <row r="1149">
      <c r="A1149" s="4" t="s">
        <v>1452</v>
      </c>
      <c r="B1149" s="4" t="s">
        <v>1455</v>
      </c>
      <c r="C1149" s="5" t="str">
        <f>IFERROR(__xludf.DUMMYFUNCTION("GOOGLETRANSLATE(B1149,""en"",""zh-CN"")"),"然后她在马杆上做一些后手弹簧。")</f>
        <v>然后她在马杆上做一些后手弹簧。</v>
      </c>
    </row>
    <row r="1150">
      <c r="A1150" s="4" t="s">
        <v>1452</v>
      </c>
      <c r="B1150" s="4" t="s">
        <v>1456</v>
      </c>
      <c r="C1150" s="5" t="str">
        <f>IFERROR(__xludf.DUMMYFUNCTION("GOOGLETRANSLATE(B1150,""en"",""zh-CN"")"),"她迅速跳上马杆，同时保持对身体和平衡的完全控制。")</f>
        <v>她迅速跳上马杆，同时保持对身体和平衡的完全控制。</v>
      </c>
    </row>
    <row r="1151">
      <c r="A1151" s="4" t="s">
        <v>1452</v>
      </c>
      <c r="B1151" s="4" t="s">
        <v>1457</v>
      </c>
      <c r="C1151" s="5" t="str">
        <f>IFERROR(__xludf.DUMMYFUNCTION("GOOGLETRANSLATE(B1151,""en"",""zh-CN"")"),"她做了最后的后退和前翻转，然后从马杆上脱下。")</f>
        <v>她做了最后的后退和前翻转，然后从马杆上脱下。</v>
      </c>
    </row>
    <row r="1152">
      <c r="A1152" s="4" t="s">
        <v>1452</v>
      </c>
      <c r="B1152" s="4" t="s">
        <v>1458</v>
      </c>
      <c r="C1152" s="5" t="str">
        <f>IFERROR(__xludf.DUMMYFUNCTION("GOOGLETRANSLATE(B1152,""en"",""zh-CN"")"),"当她走开时，观众为她欢呼。")</f>
        <v>当她走开时，观众为她欢呼。</v>
      </c>
    </row>
    <row r="1153">
      <c r="A1153" s="4" t="s">
        <v>1459</v>
      </c>
      <c r="B1153" s="4" t="s">
        <v>1460</v>
      </c>
      <c r="C1153" s="5" t="str">
        <f>IFERROR(__xludf.DUMMYFUNCTION("GOOGLETRANSLATE(B1153,""en"",""zh-CN"")"),"看到一个男人在鼓手中间的爆炸上弯曲。")</f>
        <v>看到一个男人在鼓手中间的爆炸上弯曲。</v>
      </c>
    </row>
    <row r="1154">
      <c r="A1154" s="4" t="s">
        <v>1459</v>
      </c>
      <c r="B1154" s="4" t="s">
        <v>1461</v>
      </c>
      <c r="C1154" s="5" t="str">
        <f>IFERROR(__xludf.DUMMYFUNCTION("GOOGLETRANSLATE(B1154,""en"",""zh-CN"")"),"当摄像机竖起时，人们不断打鼓。")</f>
        <v>当摄像机竖起时，人们不断打鼓。</v>
      </c>
    </row>
    <row r="1155">
      <c r="A1155" s="4" t="s">
        <v>1459</v>
      </c>
      <c r="B1155" s="4" t="s">
        <v>1462</v>
      </c>
      <c r="C1155" s="5" t="str">
        <f>IFERROR(__xludf.DUMMYFUNCTION("GOOGLETRANSLATE(B1155,""en"",""zh-CN"")"),"当摄像机在他们周围晃动时，这些人会鼓。")</f>
        <v>当摄像机在他们周围晃动时，这些人会鼓。</v>
      </c>
    </row>
    <row r="1156">
      <c r="A1156" s="4" t="s">
        <v>1463</v>
      </c>
      <c r="B1156" s="4" t="s">
        <v>1464</v>
      </c>
      <c r="C1156" s="5" t="str">
        <f>IFERROR(__xludf.DUMMYFUNCTION("GOOGLETRANSLATE(B1156,""en"",""zh-CN"")"),"一名新闻人在一群人面前讲话。")</f>
        <v>一名新闻人在一群人面前讲话。</v>
      </c>
    </row>
    <row r="1157">
      <c r="A1157" s="4" t="s">
        <v>1463</v>
      </c>
      <c r="B1157" s="4" t="s">
        <v>1465</v>
      </c>
      <c r="C1157" s="5" t="str">
        <f>IFERROR(__xludf.DUMMYFUNCTION("GOOGLETRANSLATE(B1157,""en"",""zh-CN"")"),"一个男人在悬崖顶上的潜水板上显示。")</f>
        <v>一个男人在悬崖顶上的潜水板上显示。</v>
      </c>
    </row>
    <row r="1158">
      <c r="A1158" s="4" t="s">
        <v>1463</v>
      </c>
      <c r="B1158" s="4" t="s">
        <v>1466</v>
      </c>
      <c r="C1158" s="5" t="str">
        <f>IFERROR(__xludf.DUMMYFUNCTION("GOOGLETRANSLATE(B1158,""en"",""zh-CN"")"),"他潜水，跳入下面的浅水。")</f>
        <v>他潜水，跳入下面的浅水。</v>
      </c>
    </row>
    <row r="1159">
      <c r="A1159" s="4" t="s">
        <v>1467</v>
      </c>
      <c r="B1159" s="4" t="s">
        <v>1468</v>
      </c>
      <c r="C1159" s="5" t="str">
        <f>IFERROR(__xludf.DUMMYFUNCTION("GOOGLETRANSLATE(B1159,""en"",""zh-CN"")"),"这个人正在抹灰墙。")</f>
        <v>这个人正在抹灰墙。</v>
      </c>
    </row>
    <row r="1160">
      <c r="A1160" s="4" t="s">
        <v>1467</v>
      </c>
      <c r="B1160" s="4" t="s">
        <v>1469</v>
      </c>
      <c r="C1160" s="5" t="str">
        <f>IFERROR(__xludf.DUMMYFUNCTION("GOOGLETRANSLATE(B1160,""en"",""zh-CN"")"),"该男子弯腰继续抹灰墙。")</f>
        <v>该男子弯腰继续抹灰墙。</v>
      </c>
    </row>
    <row r="1161">
      <c r="A1161" s="4" t="s">
        <v>1467</v>
      </c>
      <c r="B1161" s="4" t="s">
        <v>1470</v>
      </c>
      <c r="C1161" s="5" t="str">
        <f>IFERROR(__xludf.DUMMYFUNCTION("GOOGLETRANSLATE(B1161,""en"",""zh-CN"")"),"该男子用粉红色的石膏遮住墙壁，直到整墙覆盖为止。")</f>
        <v>该男子用粉红色的石膏遮住墙壁，直到整墙覆盖为止。</v>
      </c>
    </row>
    <row r="1162">
      <c r="A1162" s="4" t="s">
        <v>1471</v>
      </c>
      <c r="B1162" s="4" t="s">
        <v>1472</v>
      </c>
      <c r="C1162" s="5" t="str">
        <f>IFERROR(__xludf.DUMMYFUNCTION("GOOGLETRANSLATE(B1162,""en"",""zh-CN"")"),"显示了一件橙色衬衫和蓝色手套的人，有一台火式火炬机。")</f>
        <v>显示了一件橙色衬衫和蓝色手套的人，有一台火式火炬机。</v>
      </c>
    </row>
    <row r="1163">
      <c r="A1163" s="4" t="s">
        <v>1471</v>
      </c>
      <c r="B1163" s="4" t="s">
        <v>1473</v>
      </c>
      <c r="C1163" s="5" t="str">
        <f>IFERROR(__xludf.DUMMYFUNCTION("GOOGLETRANSLATE(B1163,""en"",""zh-CN"")"),"显示了另外两个人，并显示了一个特写。")</f>
        <v>显示了另外两个人，并显示了一个特写。</v>
      </c>
    </row>
    <row r="1164">
      <c r="A1164" s="4" t="s">
        <v>1471</v>
      </c>
      <c r="B1164" s="4" t="s">
        <v>1474</v>
      </c>
      <c r="C1164" s="5" t="str">
        <f>IFERROR(__xludf.DUMMYFUNCTION("GOOGLETRANSLATE(B1164,""en"",""zh-CN"")"),"最后，摄像机摇晃在一个站着在机器上烧毁的男人。")</f>
        <v>最后，摄像机摇晃在一个站着在机器上烧毁的男人。</v>
      </c>
    </row>
    <row r="1165">
      <c r="A1165" s="4" t="s">
        <v>1475</v>
      </c>
      <c r="B1165" s="4" t="s">
        <v>1476</v>
      </c>
      <c r="C1165" s="5" t="str">
        <f>IFERROR(__xludf.DUMMYFUNCTION("GOOGLETRANSLATE(B1165,""en"",""zh-CN"")"),"看到一头手的闭合是戴上手套的男人。")</f>
        <v>看到一头手的闭合是戴上手套的男人。</v>
      </c>
    </row>
    <row r="1166">
      <c r="A1166" s="4" t="s">
        <v>1475</v>
      </c>
      <c r="B1166" s="4" t="s">
        <v>1477</v>
      </c>
      <c r="C1166" s="5" t="str">
        <f>IFERROR(__xludf.DUMMYFUNCTION("GOOGLETRANSLATE(B1166,""en"",""zh-CN"")"),"然后，该男子组装了火炬，开始在他面前燃烧一块金属。")</f>
        <v>然后，该男子组装了火炬，开始在他面前燃烧一块金属。</v>
      </c>
    </row>
    <row r="1167">
      <c r="A1167" s="4" t="s">
        <v>1475</v>
      </c>
      <c r="B1167" s="4" t="s">
        <v>1478</v>
      </c>
      <c r="C1167" s="5" t="str">
        <f>IFERROR(__xludf.DUMMYFUNCTION("GOOGLETRANSLATE(B1167,""en"",""zh-CN"")"),"该男子继续工作并锤击对象，并在侧面打磨。")</f>
        <v>该男子继续工作并锤击对象，并在侧面打磨。</v>
      </c>
    </row>
    <row r="1168">
      <c r="A1168" s="4" t="s">
        <v>1479</v>
      </c>
      <c r="B1168" s="4" t="s">
        <v>1480</v>
      </c>
      <c r="C1168" s="5" t="str">
        <f>IFERROR(__xludf.DUMMYFUNCTION("GOOGLETRANSLATE(B1168,""en"",""zh-CN"")"),"两名男子站在球场上，拿着篮球。")</f>
        <v>两名男子站在球场上，拿着篮球。</v>
      </c>
    </row>
    <row r="1169">
      <c r="A1169" s="4" t="s">
        <v>1479</v>
      </c>
      <c r="B1169" s="6" t="s">
        <v>1481</v>
      </c>
      <c r="C1169" s="5" t="str">
        <f>IFERROR(__xludf.DUMMYFUNCTION("GOOGLETRANSLATE(B1169,""en"",""zh-CN"")"),"这些人正在接受采访，与镜头交谈，而一个人在说话，另一个男人在听，反之亦然。")</f>
        <v>这些人正在接受采访，与镜头交谈，而一个人在说话，另一个男人在听，反之亦然。</v>
      </c>
    </row>
    <row r="1170">
      <c r="A1170" s="4" t="s">
        <v>1479</v>
      </c>
      <c r="B1170" s="4" t="s">
        <v>1482</v>
      </c>
      <c r="C1170" s="5" t="str">
        <f>IFERROR(__xludf.DUMMYFUNCTION("GOOGLETRANSLATE(B1170,""en"",""zh-CN"")"),"该男子上篮球上的球，这些人跑到篮子上并射击了球。")</f>
        <v>该男子上篮球上的球，这些人跑到篮子上并射击了球。</v>
      </c>
    </row>
    <row r="1171">
      <c r="A1171" s="4" t="s">
        <v>1483</v>
      </c>
      <c r="B1171" s="6" t="s">
        <v>1484</v>
      </c>
      <c r="C1171" s="5" t="str">
        <f>IFERROR(__xludf.DUMMYFUNCTION("GOOGLETRANSLATE(B1171,""en"",""zh-CN"")"),"一个穿着灰色衬衫和帽子的男人坐在船汽车旁边，而他身后是一个骑冲浪板的女人，并握着船上的安全带。")</f>
        <v>一个穿着灰色衬衫和帽子的男人坐在船汽车旁边，而他身后是一个骑冲浪板的女人，并握着船上的安全带。</v>
      </c>
    </row>
    <row r="1172">
      <c r="A1172" s="4" t="s">
        <v>1483</v>
      </c>
      <c r="B1172" s="6" t="s">
        <v>1485</v>
      </c>
      <c r="C1172" s="5" t="str">
        <f>IFERROR(__xludf.DUMMYFUNCTION("GOOGLETRANSLATE(B1172,""en"",""zh-CN"")"),"当那个移动海豚的女人开始和她一起游泳时，海豚的鳍在上下游泳时可见。")</f>
        <v>当那个移动海豚的女人开始和她一起游泳时，海豚的鳍在上下游泳时可见。</v>
      </c>
    </row>
    <row r="1173">
      <c r="A1173" s="4" t="s">
        <v>1486</v>
      </c>
      <c r="B1173" s="4" t="s">
        <v>1487</v>
      </c>
      <c r="C1173" s="5" t="str">
        <f>IFERROR(__xludf.DUMMYFUNCTION("GOOGLETRANSLATE(B1173,""en"",""zh-CN"")"),"我们看到一个开放标题屏幕。")</f>
        <v>我们看到一个开放标题屏幕。</v>
      </c>
    </row>
    <row r="1174">
      <c r="A1174" s="4" t="s">
        <v>1486</v>
      </c>
      <c r="B1174" s="4" t="s">
        <v>1488</v>
      </c>
      <c r="C1174" s="5" t="str">
        <f>IFERROR(__xludf.DUMMYFUNCTION("GOOGLETRANSLATE(B1174,""en"",""zh-CN"")"),"我们看到一位女士在浴室和海滩上涂上防晒霜。")</f>
        <v>我们看到一位女士在浴室和海滩上涂上防晒霜。</v>
      </c>
    </row>
    <row r="1175">
      <c r="A1175" s="4" t="s">
        <v>1486</v>
      </c>
      <c r="B1175" s="4" t="s">
        <v>1489</v>
      </c>
      <c r="C1175" s="5" t="str">
        <f>IFERROR(__xludf.DUMMYFUNCTION("GOOGLETRANSLATE(B1175,""en"",""zh-CN"")"),"我们看到一个标题屏幕，看到女士购买了她的防晒霜和另一个标题屏幕。")</f>
        <v>我们看到一个标题屏幕，看到女士购买了她的防晒霜和另一个标题屏幕。</v>
      </c>
    </row>
    <row r="1176">
      <c r="A1176" s="4" t="s">
        <v>1486</v>
      </c>
      <c r="B1176" s="6" t="s">
        <v>1490</v>
      </c>
      <c r="C1176" s="5" t="str">
        <f>IFERROR(__xludf.DUMMYFUNCTION("GOOGLETRANSLATE(B1176,""en"",""zh-CN"")"),"那位女士扔了一瓶瓶子，然后看着手机，然后去洗手间并戴上防晒霜。")</f>
        <v>那位女士扔了一瓶瓶子，然后看着手机，然后去洗手间并戴上防晒霜。</v>
      </c>
    </row>
    <row r="1177">
      <c r="A1177" s="4" t="s">
        <v>1486</v>
      </c>
      <c r="B1177" s="4" t="s">
        <v>1491</v>
      </c>
      <c r="C1177" s="5" t="str">
        <f>IFERROR(__xludf.DUMMYFUNCTION("GOOGLETRANSLATE(B1177,""en"",""zh-CN"")"),"我们看到一个标题屏幕，女士涂了防晒霜，一个朋友将她的背上放在她的背上。")</f>
        <v>我们看到一个标题屏幕，女士涂了防晒霜，一个朋友将她的背上放在她的背上。</v>
      </c>
    </row>
    <row r="1178">
      <c r="A1178" s="4" t="s">
        <v>1486</v>
      </c>
      <c r="B1178" s="4" t="s">
        <v>1492</v>
      </c>
      <c r="C1178" s="5" t="str">
        <f>IFERROR(__xludf.DUMMYFUNCTION("GOOGLETRANSLATE(B1178,""en"",""zh-CN"")"),"这位女士在海滩上戴防晒霜，她的朋友在海滩上跑步。")</f>
        <v>这位女士在海滩上戴防晒霜，她的朋友在海滩上跑步。</v>
      </c>
    </row>
    <row r="1179">
      <c r="A1179" s="4" t="s">
        <v>1486</v>
      </c>
      <c r="B1179" s="4" t="s">
        <v>1493</v>
      </c>
      <c r="C1179" s="5" t="str">
        <f>IFERROR(__xludf.DUMMYFUNCTION("GOOGLETRANSLATE(B1179,""en"",""zh-CN"")"),"我们看到标题屏幕和结尾屏幕。")</f>
        <v>我们看到标题屏幕和结尾屏幕。</v>
      </c>
    </row>
    <row r="1180">
      <c r="A1180" s="4" t="s">
        <v>1494</v>
      </c>
      <c r="B1180" s="4" t="s">
        <v>1495</v>
      </c>
      <c r="C1180" s="5" t="str">
        <f>IFERROR(__xludf.DUMMYFUNCTION("GOOGLETRANSLATE(B1180,""en"",""zh-CN"")"),"一群孩子在建筑物内。")</f>
        <v>一群孩子在建筑物内。</v>
      </c>
    </row>
    <row r="1181">
      <c r="A1181" s="4" t="s">
        <v>1494</v>
      </c>
      <c r="B1181" s="4" t="s">
        <v>1496</v>
      </c>
      <c r="C1181" s="5" t="str">
        <f>IFERROR(__xludf.DUMMYFUNCTION("GOOGLETRANSLATE(B1181,""en"",""zh-CN"")"),"他们都在赛道上骑车车。")</f>
        <v>他们都在赛道上骑车车。</v>
      </c>
    </row>
    <row r="1182">
      <c r="A1182" s="4" t="s">
        <v>1494</v>
      </c>
      <c r="B1182" s="4" t="s">
        <v>1497</v>
      </c>
      <c r="C1182" s="5" t="str">
        <f>IFERROR(__xludf.DUMMYFUNCTION("GOOGLETRANSLATE(B1182,""en"",""zh-CN"")"),"他们撞到彼此。")</f>
        <v>他们撞到彼此。</v>
      </c>
    </row>
    <row r="1183">
      <c r="A1183" s="4" t="s">
        <v>1498</v>
      </c>
      <c r="B1183" s="4" t="s">
        <v>1499</v>
      </c>
      <c r="C1183" s="5" t="str">
        <f>IFERROR(__xludf.DUMMYFUNCTION("GOOGLETRANSLATE(B1183,""en"",""zh-CN"")"),"一个人正在解决一个立方体难题，以旋转碎片以匹配颜色。")</f>
        <v>一个人正在解决一个立方体难题，以旋转碎片以匹配颜色。</v>
      </c>
    </row>
    <row r="1184">
      <c r="A1184" s="4" t="s">
        <v>1498</v>
      </c>
      <c r="B1184" s="4" t="s">
        <v>1500</v>
      </c>
      <c r="C1184" s="5" t="str">
        <f>IFERROR(__xludf.DUMMYFUNCTION("GOOGLETRANSLATE(B1184,""en"",""zh-CN"")"),"当该人匹配所有颜色时，请指向桌子并将立方体拼图放在上面。")</f>
        <v>当该人匹配所有颜色时，请指向桌子并将立方体拼图放在上面。</v>
      </c>
    </row>
    <row r="1185">
      <c r="A1185" s="4" t="s">
        <v>1501</v>
      </c>
      <c r="B1185" s="4" t="s">
        <v>1502</v>
      </c>
      <c r="C1185" s="5" t="str">
        <f>IFERROR(__xludf.DUMMYFUNCTION("GOOGLETRANSLATE(B1185,""en"",""zh-CN"")"),"我们看到一个GOPRO打开屏幕。")</f>
        <v>我们看到一个GOPRO打开屏幕。</v>
      </c>
    </row>
    <row r="1186">
      <c r="A1186" s="4" t="s">
        <v>1501</v>
      </c>
      <c r="B1186" s="4" t="s">
        <v>1503</v>
      </c>
      <c r="C1186" s="5" t="str">
        <f>IFERROR(__xludf.DUMMYFUNCTION("GOOGLETRANSLATE(B1186,""en"",""zh-CN"")"),"我们看到一位女士带着筏子走进河。")</f>
        <v>我们看到一位女士带着筏子走进河。</v>
      </c>
    </row>
    <row r="1187">
      <c r="A1187" s="4" t="s">
        <v>1501</v>
      </c>
      <c r="B1187" s="4" t="s">
        <v>1504</v>
      </c>
      <c r="C1187" s="5" t="str">
        <f>IFERROR(__xludf.DUMMYFUNCTION("GOOGLETRANSLATE(B1187,""en"",""zh-CN"")"),"我们看到人们在河里骑筏。")</f>
        <v>我们看到人们在河里骑筏。</v>
      </c>
    </row>
    <row r="1188">
      <c r="A1188" s="4" t="s">
        <v>1501</v>
      </c>
      <c r="B1188" s="4" t="s">
        <v>1505</v>
      </c>
      <c r="C1188" s="5" t="str">
        <f>IFERROR(__xludf.DUMMYFUNCTION("GOOGLETRANSLATE(B1188,""en"",""zh-CN"")"),"我们看到一个人的腿，那位女士骑过了。")</f>
        <v>我们看到一个人的腿，那位女士骑过了。</v>
      </c>
    </row>
    <row r="1189">
      <c r="A1189" s="4" t="s">
        <v>1501</v>
      </c>
      <c r="B1189" s="4" t="s">
        <v>1506</v>
      </c>
      <c r="C1189" s="5" t="str">
        <f>IFERROR(__xludf.DUMMYFUNCTION("GOOGLETRANSLATE(B1189,""en"",""zh-CN"")"),"我们看到这位女士将罐头饮料交给摄影师。")</f>
        <v>我们看到这位女士将罐头饮料交给摄影师。</v>
      </c>
    </row>
    <row r="1190">
      <c r="A1190" s="4" t="s">
        <v>1501</v>
      </c>
      <c r="B1190" s="4" t="s">
        <v>1507</v>
      </c>
      <c r="C1190" s="5" t="str">
        <f>IFERROR(__xludf.DUMMYFUNCTION("GOOGLETRANSLATE(B1190,""en"",""zh-CN"")"),"摄影师在横跨水的树枝下。")</f>
        <v>摄影师在横跨水的树枝下。</v>
      </c>
    </row>
    <row r="1191">
      <c r="A1191" s="4" t="s">
        <v>1501</v>
      </c>
      <c r="B1191" s="4" t="s">
        <v>1508</v>
      </c>
      <c r="C1191" s="5" t="str">
        <f>IFERROR(__xludf.DUMMYFUNCTION("GOOGLETRANSLATE(B1191,""en"",""zh-CN"")"),"然后，我们看到GoPro结束场景。")</f>
        <v>然后，我们看到GoPro结束场景。</v>
      </c>
    </row>
    <row r="1192">
      <c r="A1192" s="4" t="s">
        <v>1509</v>
      </c>
      <c r="B1192" s="6" t="s">
        <v>1510</v>
      </c>
      <c r="C1192" s="5" t="str">
        <f>IFERROR(__xludf.DUMMYFUNCTION("GOOGLETRANSLATE(B1192,""en"",""zh-CN"")"),"看到几个人在公牛周围奔跑，手里拿着一些棍子。")</f>
        <v>看到几个人在公牛周围奔跑，手里拿着一些棍子。</v>
      </c>
    </row>
    <row r="1193">
      <c r="A1193" s="4" t="s">
        <v>1509</v>
      </c>
      <c r="B1193" s="4" t="s">
        <v>1511</v>
      </c>
      <c r="C1193" s="5" t="str">
        <f>IFERROR(__xludf.DUMMYFUNCTION("GOOGLETRANSLATE(B1193,""en"",""zh-CN"")"),"人们在公牛挥舞着棍子上拥挤，当他生气时跟随公牛。")</f>
        <v>人们在公牛挥舞着棍子上拥挤，当他生气时跟随公牛。</v>
      </c>
    </row>
    <row r="1194">
      <c r="A1194" s="4" t="s">
        <v>1509</v>
      </c>
      <c r="B1194" s="4" t="s">
        <v>1512</v>
      </c>
      <c r="C1194" s="5" t="str">
        <f>IFERROR(__xludf.DUMMYFUNCTION("GOOGLETRANSLATE(B1194,""en"",""zh-CN"")"),"展示了另一位公牛，两人战斗时，人们站着并在侧面加油。")</f>
        <v>展示了另一位公牛，两人战斗时，人们站着并在侧面加油。</v>
      </c>
    </row>
    <row r="1195">
      <c r="A1195" s="4" t="s">
        <v>1513</v>
      </c>
      <c r="B1195" s="4" t="s">
        <v>1514</v>
      </c>
      <c r="C1195" s="5" t="str">
        <f>IFERROR(__xludf.DUMMYFUNCTION("GOOGLETRANSLATE(B1195,""en"",""zh-CN"")"),"人们正坐在水中的划船船上。")</f>
        <v>人们正坐在水中的划船船上。</v>
      </c>
    </row>
    <row r="1196">
      <c r="A1196" s="4" t="s">
        <v>1513</v>
      </c>
      <c r="B1196" s="4" t="s">
        <v>1515</v>
      </c>
      <c r="C1196" s="5" t="str">
        <f>IFERROR(__xludf.DUMMYFUNCTION("GOOGLETRANSLATE(B1196,""en"",""zh-CN"")"),"一个男人站在红排船上。")</f>
        <v>一个男人站在红排船上。</v>
      </c>
    </row>
    <row r="1197">
      <c r="A1197" s="4" t="s">
        <v>1513</v>
      </c>
      <c r="B1197" s="4" t="s">
        <v>1516</v>
      </c>
      <c r="C1197" s="5" t="str">
        <f>IFERROR(__xludf.DUMMYFUNCTION("GOOGLETRANSLATE(B1197,""en"",""zh-CN"")"),"一条船翻转，相机进入水中。")</f>
        <v>一条船翻转，相机进入水中。</v>
      </c>
    </row>
    <row r="1198">
      <c r="A1198" s="4" t="s">
        <v>1513</v>
      </c>
      <c r="B1198" s="4" t="s">
        <v>1517</v>
      </c>
      <c r="C1198" s="5" t="str">
        <f>IFERROR(__xludf.DUMMYFUNCTION("GOOGLETRANSLATE(B1198,""en"",""zh-CN"")"),"两个人站在码头上的人将船从水中抬起。")</f>
        <v>两个人站在码头上的人将船从水中抬起。</v>
      </c>
    </row>
    <row r="1199">
      <c r="A1199" s="4" t="s">
        <v>1518</v>
      </c>
      <c r="B1199" s="4" t="s">
        <v>1519</v>
      </c>
      <c r="C1199" s="5" t="str">
        <f>IFERROR(__xludf.DUMMYFUNCTION("GOOGLETRANSLATE(B1199,""en"",""zh-CN"")"),"画家使用宽平面工具将石膏涂在墙上。")</f>
        <v>画家使用宽平面工具将石膏涂在墙上。</v>
      </c>
    </row>
    <row r="1200">
      <c r="A1200" s="4" t="s">
        <v>1518</v>
      </c>
      <c r="B1200" s="4" t="s">
        <v>1520</v>
      </c>
      <c r="C1200" s="5" t="str">
        <f>IFERROR(__xludf.DUMMYFUNCTION("GOOGLETRANSLATE(B1200,""en"",""zh-CN"")"),"该男子移动电线交给时，以周围的灰泥。")</f>
        <v>该男子移动电线交给时，以周围的灰泥。</v>
      </c>
    </row>
    <row r="1201">
      <c r="A1201" s="4" t="s">
        <v>1518</v>
      </c>
      <c r="B1201" s="4" t="s">
        <v>1521</v>
      </c>
      <c r="C1201" s="5" t="str">
        <f>IFERROR(__xludf.DUMMYFUNCTION("GOOGLETRANSLATE(B1201,""en"",""zh-CN"")"),"房屋的其他房间处于不同的完整阶段。")</f>
        <v>房屋的其他房间处于不同的完整阶段。</v>
      </c>
    </row>
    <row r="1202">
      <c r="A1202" s="4" t="s">
        <v>1522</v>
      </c>
      <c r="B1202" s="6" t="s">
        <v>1523</v>
      </c>
      <c r="C1202" s="5" t="str">
        <f>IFERROR(__xludf.DUMMYFUNCTION("GOOGLETRANSLATE(B1202,""en"",""zh-CN"")"),"当他到达第三线时，一名男子跳过一辆用白线签名的卡车，跳高并降落在沙箱中。")</f>
        <v>当他到达第三线时，一名男子跳过一辆用白线签名的卡车，跳高并降落在沙箱中。</v>
      </c>
    </row>
    <row r="1203">
      <c r="A1203" s="4" t="s">
        <v>1522</v>
      </c>
      <c r="B1203" s="4" t="s">
        <v>1524</v>
      </c>
      <c r="C1203" s="5" t="str">
        <f>IFERROR(__xludf.DUMMYFUNCTION("GOOGLETRANSLATE(B1203,""en"",""zh-CN"")"),"表演跳远的男人的播放是几次。")</f>
        <v>表演跳远的男人的播放是几次。</v>
      </c>
    </row>
    <row r="1204">
      <c r="A1204" s="4" t="s">
        <v>1525</v>
      </c>
      <c r="B1204" s="4" t="s">
        <v>1526</v>
      </c>
      <c r="C1204" s="5" t="str">
        <f>IFERROR(__xludf.DUMMYFUNCTION("GOOGLETRANSLATE(B1204,""en"",""zh-CN"")"),"一个啦啦队女孩站在草地上。")</f>
        <v>一个啦啦队女孩站在草地上。</v>
      </c>
    </row>
    <row r="1205">
      <c r="A1205" s="4" t="s">
        <v>1525</v>
      </c>
      <c r="B1205" s="4" t="s">
        <v>1527</v>
      </c>
      <c r="C1205" s="5" t="str">
        <f>IFERROR(__xludf.DUMMYFUNCTION("GOOGLETRANSLATE(B1205,""en"",""zh-CN"")"),"一个戴着棒球帽的年轻人用馅饼罐子和她开玩笑。")</f>
        <v>一个戴着棒球帽的年轻人用馅饼罐子和她开玩笑。</v>
      </c>
    </row>
    <row r="1206">
      <c r="A1206" s="4" t="s">
        <v>1525</v>
      </c>
      <c r="B1206" s="4" t="s">
        <v>1528</v>
      </c>
      <c r="C1206" s="5" t="str">
        <f>IFERROR(__xludf.DUMMYFUNCTION("GOOGLETRANSLATE(B1206,""en"",""zh-CN"")"),"该男子在女孩的面对面上推了一个馅饼，开玩笑让她非常凌乱。")</f>
        <v>该男子在女孩的面对面上推了一个馅饼，开玩笑让她非常凌乱。</v>
      </c>
    </row>
    <row r="1207">
      <c r="A1207" s="4" t="s">
        <v>1525</v>
      </c>
      <c r="B1207" s="4" t="s">
        <v>1529</v>
      </c>
      <c r="C1207" s="5" t="str">
        <f>IFERROR(__xludf.DUMMYFUNCTION("GOOGLETRANSLATE(B1207,""en"",""zh-CN"")"),"一个体操班的女孩确实将一个红色的垫子摔倒，团队看着。")</f>
        <v>一个体操班的女孩确实将一个红色的垫子摔倒，团队看着。</v>
      </c>
    </row>
    <row r="1208">
      <c r="A1208" s="4" t="s">
        <v>1525</v>
      </c>
      <c r="B1208" s="4" t="s">
        <v>1530</v>
      </c>
      <c r="C1208" s="5" t="str">
        <f>IFERROR(__xludf.DUMMYFUNCTION("GOOGLETRANSLATE(B1208,""en"",""zh-CN"")"),"在足球比赛中，一个女人啦啦队盒带有吉祥物。")</f>
        <v>在足球比赛中，一个女人啦啦队盒带有吉祥物。</v>
      </c>
    </row>
    <row r="1209">
      <c r="A1209" s="4" t="s">
        <v>1525</v>
      </c>
      <c r="B1209" s="4" t="s">
        <v>1531</v>
      </c>
      <c r="C1209" s="5" t="str">
        <f>IFERROR(__xludf.DUMMYFUNCTION("GOOGLETRANSLATE(B1209,""en"",""zh-CN"")"),"吉祥物吞噬了女孩，将她拉到他的制服中。")</f>
        <v>吉祥物吞噬了女孩，将她拉到他的制服中。</v>
      </c>
    </row>
    <row r="1210">
      <c r="A1210" s="4" t="s">
        <v>1525</v>
      </c>
      <c r="B1210" s="6" t="s">
        <v>1532</v>
      </c>
      <c r="C1210" s="5" t="str">
        <f>IFERROR(__xludf.DUMMYFUNCTION("GOOGLETRANSLATE(B1210,""en"",""zh-CN"")"),"当一个人落到地面时，一个欢呼的领导小组齐聚一圈，牵着手和翻转团队成员。")</f>
        <v>当一个人落到地面时，一个欢呼的领导小组齐聚一圈，牵着手和翻转团队成员。</v>
      </c>
    </row>
    <row r="1211">
      <c r="A1211" s="4" t="s">
        <v>1525</v>
      </c>
      <c r="B1211" s="4" t="s">
        <v>1533</v>
      </c>
      <c r="C1211" s="5" t="str">
        <f>IFERROR(__xludf.DUMMYFUNCTION("GOOGLETRANSLATE(B1211,""en"",""zh-CN"")"),"一群黑色的啦啦队在足球场的轨道上翻转。")</f>
        <v>一群黑色的啦啦队在足球场的轨道上翻转。</v>
      </c>
    </row>
    <row r="1212">
      <c r="A1212" s="4" t="s">
        <v>1525</v>
      </c>
      <c r="B1212" s="4" t="s">
        <v>1534</v>
      </c>
      <c r="C1212" s="5" t="str">
        <f>IFERROR(__xludf.DUMMYFUNCTION("GOOGLETRANSLATE(B1212,""en"",""zh-CN"")"),"一群女孩提升[队友做人类金字塔。")</f>
        <v>一群女孩提升[队友做人类金字塔。</v>
      </c>
    </row>
    <row r="1213">
      <c r="A1213" s="4" t="s">
        <v>1525</v>
      </c>
      <c r="B1213" s="4" t="s">
        <v>1535</v>
      </c>
      <c r="C1213" s="5" t="str">
        <f>IFERROR(__xludf.DUMMYFUNCTION("GOOGLETRANSLATE(B1213,""en"",""zh-CN"")"),"队友落在地面上，降落在其他人之上。")</f>
        <v>队友落在地面上，降落在其他人之上。</v>
      </c>
    </row>
    <row r="1214">
      <c r="A1214" s="4" t="s">
        <v>1525</v>
      </c>
      <c r="B1214" s="4" t="s">
        <v>1536</v>
      </c>
      <c r="C1214" s="5" t="str">
        <f>IFERROR(__xludf.DUMMYFUNCTION("GOOGLETRANSLATE(B1214,""en"",""zh-CN"")"),"夏威夷衬衫的一名男子在篮球比赛中设置了蹦床。")</f>
        <v>夏威夷衬衫的一名男子在篮球比赛中设置了蹦床。</v>
      </c>
    </row>
    <row r="1215">
      <c r="A1215" s="4" t="s">
        <v>1525</v>
      </c>
      <c r="B1215" s="4" t="s">
        <v>1537</v>
      </c>
      <c r="C1215" s="5" t="str">
        <f>IFERROR(__xludf.DUMMYFUNCTION("GOOGLETRANSLATE(B1215,""en"",""zh-CN"")"),"一群啦啦队长在蹦床面前将一个女人放在一起。")</f>
        <v>一群啦啦队长在蹦床面前将一个女人放在一起。</v>
      </c>
    </row>
    <row r="1216">
      <c r="A1216" s="4" t="s">
        <v>1525</v>
      </c>
      <c r="B1216" s="6" t="s">
        <v>1538</v>
      </c>
      <c r="C1216" s="5" t="str">
        <f>IFERROR(__xludf.DUMMYFUNCTION("GOOGLETRANSLATE(B1216,""en"",""zh-CN"")"),"该男子回来跑步，跳上蹦床，但在表演特技表演时将女孩撞倒了。")</f>
        <v>该男子回来跑步，跳上蹦床，但在表演特技表演时将女孩撞倒了。</v>
      </c>
    </row>
    <row r="1217">
      <c r="A1217" s="4" t="s">
        <v>1525</v>
      </c>
      <c r="B1217" s="4" t="s">
        <v>1539</v>
      </c>
      <c r="C1217" s="5" t="str">
        <f>IFERROR(__xludf.DUMMYFUNCTION("GOOGLETRANSLATE(B1217,""en"",""zh-CN"")"),"当一个人摔倒时，一群红色的啦啦队在田野上做翻筋斗。")</f>
        <v>当一个人摔倒时，一群红色的啦啦队在田野上做翻筋斗。</v>
      </c>
    </row>
    <row r="1218">
      <c r="A1218" s="4" t="s">
        <v>1525</v>
      </c>
      <c r="B1218" s="4" t="s">
        <v>1540</v>
      </c>
      <c r="C1218" s="5" t="str">
        <f>IFERROR(__xludf.DUMMYFUNCTION("GOOGLETRANSLATE(B1218,""en"",""zh-CN"")"),"一个黑色的啦啦队女孩会弹回，跌落到地面上。")</f>
        <v>一个黑色的啦啦队女孩会弹回，跌落到地面上。</v>
      </c>
    </row>
    <row r="1219">
      <c r="A1219" s="4" t="s">
        <v>1525</v>
      </c>
      <c r="B1219" s="4" t="s">
        <v>1541</v>
      </c>
      <c r="C1219" s="5" t="str">
        <f>IFERROR(__xludf.DUMMYFUNCTION("GOOGLETRANSLATE(B1219,""en"",""zh-CN"")"),"一群啦啦队长与绒球一起跳舞。")</f>
        <v>一群啦啦队长与绒球一起跳舞。</v>
      </c>
    </row>
    <row r="1220">
      <c r="A1220" s="4" t="s">
        <v>1525</v>
      </c>
      <c r="B1220" s="4" t="s">
        <v>1542</v>
      </c>
      <c r="C1220" s="5" t="str">
        <f>IFERROR(__xludf.DUMMYFUNCTION("GOOGLETRANSLATE(B1220,""en"",""zh-CN"")"),"背景中的另一组啦啦队在一个人跌倒时取消队友。")</f>
        <v>背景中的另一组啦啦队在一个人跌倒时取消队友。</v>
      </c>
    </row>
    <row r="1221">
      <c r="A1221" s="4" t="s">
        <v>1525</v>
      </c>
      <c r="B1221" s="4" t="s">
        <v>1543</v>
      </c>
      <c r="C1221" s="5" t="str">
        <f>IFERROR(__xludf.DUMMYFUNCTION("GOOGLETRANSLATE(B1221,""en"",""zh-CN"")"),"当一个人落到地面时，一群蓝色的啦啦队在竞争中抬起队友。")</f>
        <v>当一个人落到地面时，一群蓝色的啦啦队在竞争中抬起队友。</v>
      </c>
    </row>
    <row r="1222">
      <c r="A1222" s="4" t="s">
        <v>1525</v>
      </c>
      <c r="B1222" s="4" t="s">
        <v>1544</v>
      </c>
      <c r="C1222" s="5" t="str">
        <f>IFERROR(__xludf.DUMMYFUNCTION("GOOGLETRANSLATE(B1222,""en"",""zh-CN"")"),"一位穿着白色衬衫的女孩与镜头说话。")</f>
        <v>一位穿着白色衬衫的女孩与镜头说话。</v>
      </c>
    </row>
    <row r="1223">
      <c r="A1223" s="4" t="s">
        <v>1525</v>
      </c>
      <c r="B1223" s="4" t="s">
        <v>1545</v>
      </c>
      <c r="C1223" s="5" t="str">
        <f>IFERROR(__xludf.DUMMYFUNCTION("GOOGLETRANSLATE(B1223,""en"",""zh-CN"")"),"这个女孩做了一个夏天，但落在了地面上。")</f>
        <v>这个女孩做了一个夏天，但落在了地面上。</v>
      </c>
    </row>
    <row r="1224">
      <c r="A1224" s="4" t="s">
        <v>1525</v>
      </c>
      <c r="B1224" s="4" t="s">
        <v>1546</v>
      </c>
      <c r="C1224" s="5" t="str">
        <f>IFERROR(__xludf.DUMMYFUNCTION("GOOGLETRANSLATE(B1224,""en"",""zh-CN"")"),"一位与朋友一起穿着绿色衬衫的女孩在田野上做得很高，但落在了地面上。")</f>
        <v>一位与朋友一起穿着绿色衬衫的女孩在田野上做得很高，但落在了地面上。</v>
      </c>
    </row>
    <row r="1225">
      <c r="A1225" s="4" t="s">
        <v>1525</v>
      </c>
      <c r="B1225" s="4" t="s">
        <v>1547</v>
      </c>
      <c r="C1225" s="5" t="str">
        <f>IFERROR(__xludf.DUMMYFUNCTION("GOOGLETRANSLATE(B1225,""en"",""zh-CN"")"),"啦啦队在与小组跳舞时落在地面上。")</f>
        <v>啦啦队在与小组跳舞时落在地面上。</v>
      </c>
    </row>
    <row r="1226">
      <c r="A1226" s="4" t="s">
        <v>1525</v>
      </c>
      <c r="B1226" s="4" t="s">
        <v>1548</v>
      </c>
      <c r="C1226" s="5" t="str">
        <f>IFERROR(__xludf.DUMMYFUNCTION("GOOGLETRANSLATE(B1226,""en"",""zh-CN"")"),"当啦啦队摔倒在地面时，她将举起团队的手中。")</f>
        <v>当啦啦队摔倒在地面时，她将举起团队的手中。</v>
      </c>
    </row>
    <row r="1227">
      <c r="A1227" s="4" t="s">
        <v>1525</v>
      </c>
      <c r="B1227" s="4" t="s">
        <v>1549</v>
      </c>
      <c r="C1227" s="5" t="str">
        <f>IFERROR(__xludf.DUMMYFUNCTION("GOOGLETRANSLATE(B1227,""en"",""zh-CN"")"),"一群在金字塔中穿着黄色升降机的啦啦队长，但放下了她。")</f>
        <v>一群在金字塔中穿着黄色升降机的啦啦队长，但放下了她。</v>
      </c>
    </row>
    <row r="1228">
      <c r="A1228" s="4" t="s">
        <v>1525</v>
      </c>
      <c r="B1228" s="4" t="s">
        <v>1550</v>
      </c>
      <c r="C1228" s="5" t="str">
        <f>IFERROR(__xludf.DUMMYFUNCTION("GOOGLETRANSLATE(B1228,""en"",""zh-CN"")"),"一群妇女从蹦床上跳下来，在篮球比赛中猛击扣篮。")</f>
        <v>一群妇女从蹦床上跳下来，在篮球比赛中猛击扣篮。</v>
      </c>
    </row>
    <row r="1229">
      <c r="A1229" s="4" t="s">
        <v>1525</v>
      </c>
      <c r="B1229" s="4" t="s">
        <v>1551</v>
      </c>
      <c r="C1229" s="5" t="str">
        <f>IFERROR(__xludf.DUMMYFUNCTION("GOOGLETRANSLATE(B1229,""en"",""zh-CN"")"),"一个女孩错过了蹦床，撞到垫子上。")</f>
        <v>一个女孩错过了蹦床，撞到垫子上。</v>
      </c>
    </row>
    <row r="1230">
      <c r="A1230" s="4" t="s">
        <v>1525</v>
      </c>
      <c r="B1230" s="4" t="s">
        <v>1552</v>
      </c>
      <c r="C1230" s="5" t="str">
        <f>IFERROR(__xludf.DUMMYFUNCTION("GOOGLETRANSLATE(B1230,""en"",""zh-CN"")"),"篮球队的男子急忙检查她。")</f>
        <v>篮球队的男子急忙检查她。</v>
      </c>
    </row>
    <row r="1231">
      <c r="A1231" s="4" t="s">
        <v>1553</v>
      </c>
      <c r="B1231" s="4" t="s">
        <v>1554</v>
      </c>
      <c r="C1231" s="5" t="str">
        <f>IFERROR(__xludf.DUMMYFUNCTION("GOOGLETRANSLATE(B1231,""en"",""zh-CN"")"),"一群戴着口罩的男人围绕目标。")</f>
        <v>一群戴着口罩的男人围绕目标。</v>
      </c>
    </row>
    <row r="1232">
      <c r="A1232" s="4" t="s">
        <v>1553</v>
      </c>
      <c r="B1232" s="4" t="s">
        <v>1555</v>
      </c>
      <c r="C1232" s="5" t="str">
        <f>IFERROR(__xludf.DUMMYFUNCTION("GOOGLETRANSLATE(B1232,""en"",""zh-CN"")"),"他们在横跨场上持有油漆枪。")</f>
        <v>他们在横跨场上持有油漆枪。</v>
      </c>
    </row>
    <row r="1233">
      <c r="A1233" s="4" t="s">
        <v>1553</v>
      </c>
      <c r="B1233" s="4" t="s">
        <v>1556</v>
      </c>
      <c r="C1233" s="5" t="str">
        <f>IFERROR(__xludf.DUMMYFUNCTION("GOOGLETRANSLATE(B1233,""en"",""zh-CN"")"),"他们躲在障碍物后面，互相射击。")</f>
        <v>他们躲在障碍物后面，互相射击。</v>
      </c>
    </row>
    <row r="1234">
      <c r="A1234" s="4" t="s">
        <v>1557</v>
      </c>
      <c r="B1234" s="4" t="s">
        <v>1558</v>
      </c>
      <c r="C1234" s="5" t="str">
        <f>IFERROR(__xludf.DUMMYFUNCTION("GOOGLETRANSLATE(B1234,""en"",""zh-CN"")"),"看到一个男人在街上跑着盒子奔跑，并与另一个人说话。")</f>
        <v>看到一个男人在街上跑着盒子奔跑，并与另一个人说话。</v>
      </c>
    </row>
    <row r="1235">
      <c r="A1235" s="4" t="s">
        <v>1557</v>
      </c>
      <c r="B1235" s="4" t="s">
        <v>1559</v>
      </c>
      <c r="C1235" s="5" t="str">
        <f>IFERROR(__xludf.DUMMYFUNCTION("GOOGLETRANSLATE(B1235,""en"",""zh-CN"")"),"然后，男人和一个小女孩一起玩游戏，每场比赛后鞠躬。")</f>
        <v>然后，男人和一个小女孩一起玩游戏，每场比赛后鞠躬。</v>
      </c>
    </row>
    <row r="1236">
      <c r="A1236" s="4" t="s">
        <v>1557</v>
      </c>
      <c r="B1236" s="6" t="s">
        <v>1560</v>
      </c>
      <c r="C1236" s="5" t="str">
        <f>IFERROR(__xludf.DUMMYFUNCTION("GOOGLETRANSLATE(B1236,""en"",""zh-CN"")"),"两人继续和那个男人笑着笑着，最后给她一个吻。")</f>
        <v>两人继续和那个男人笑着笑着，最后给她一个吻。</v>
      </c>
    </row>
    <row r="1237">
      <c r="A1237" s="4" t="s">
        <v>1561</v>
      </c>
      <c r="B1237" s="4" t="s">
        <v>1562</v>
      </c>
      <c r="C1237" s="5" t="str">
        <f>IFERROR(__xludf.DUMMYFUNCTION("GOOGLETRANSLATE(B1237,""en"",""zh-CN"")"),"一个男人捡起球，把它放在脖子后面，将其扔到田野上。")</f>
        <v>一个男人捡起球，把它放在脖子后面，将其扔到田野上。</v>
      </c>
    </row>
    <row r="1238">
      <c r="A1238" s="4" t="s">
        <v>1561</v>
      </c>
      <c r="B1238" s="4" t="s">
        <v>1563</v>
      </c>
      <c r="C1238" s="5" t="str">
        <f>IFERROR(__xludf.DUMMYFUNCTION("GOOGLETRANSLATE(B1238,""en"",""zh-CN"")"),"另一个穿着蓝色衬衫的男人捡起球，把它放在耳朵后面，将其扔到田野上。")</f>
        <v>另一个穿着蓝色衬衫的男人捡起球，把它放在耳朵后面，将其扔到田野上。</v>
      </c>
    </row>
    <row r="1239">
      <c r="A1239" s="4" t="s">
        <v>1561</v>
      </c>
      <c r="B1239" s="4" t="s">
        <v>1564</v>
      </c>
      <c r="C1239" s="5" t="str">
        <f>IFERROR(__xludf.DUMMYFUNCTION("GOOGLETRANSLATE(B1239,""en"",""zh-CN"")"),"人们测量场上的距离。")</f>
        <v>人们测量场上的距离。</v>
      </c>
    </row>
    <row r="1240">
      <c r="A1240" s="4" t="s">
        <v>1561</v>
      </c>
      <c r="B1240" s="4" t="s">
        <v>1565</v>
      </c>
      <c r="C1240" s="5" t="str">
        <f>IFERROR(__xludf.DUMMYFUNCTION("GOOGLETRANSLATE(B1240,""en"",""zh-CN"")"),"该男子穿上白色T恤，将手臂放在空中。")</f>
        <v>该男子穿上白色T恤，将手臂放在空中。</v>
      </c>
    </row>
    <row r="1241">
      <c r="A1241" s="4" t="s">
        <v>1561</v>
      </c>
      <c r="B1241" s="4" t="s">
        <v>1566</v>
      </c>
      <c r="C1241" s="5" t="str">
        <f>IFERROR(__xludf.DUMMYFUNCTION("GOOGLETRANSLATE(B1241,""en"",""zh-CN"")"),"另一个男子将球发射到场上。")</f>
        <v>另一个男子将球发射到场上。</v>
      </c>
    </row>
    <row r="1242">
      <c r="A1242" s="4" t="s">
        <v>1567</v>
      </c>
      <c r="B1242" s="4" t="s">
        <v>1568</v>
      </c>
      <c r="C1242" s="5" t="str">
        <f>IFERROR(__xludf.DUMMYFUNCTION("GOOGLETRANSLATE(B1242,""en"",""zh-CN"")"),"一个女人准备好造型时，握着女孩的头发的背面。")</f>
        <v>一个女人准备好造型时，握着女孩的头发的背面。</v>
      </c>
    </row>
    <row r="1243">
      <c r="A1243" s="4" t="s">
        <v>1567</v>
      </c>
      <c r="B1243" s="4" t="s">
        <v>1569</v>
      </c>
      <c r="C1243" s="5" t="str">
        <f>IFERROR(__xludf.DUMMYFUNCTION("GOOGLETRANSLATE(B1243,""en"",""zh-CN"")"),"该女士使用单个拾音器梳子将头发分开。")</f>
        <v>该女士使用单个拾音器梳子将头发分开。</v>
      </c>
    </row>
    <row r="1244">
      <c r="A1244" s="4" t="s">
        <v>1567</v>
      </c>
      <c r="B1244" s="4" t="s">
        <v>1570</v>
      </c>
      <c r="C1244" s="5" t="str">
        <f>IFERROR(__xludf.DUMMYFUNCTION("GOOGLETRANSLATE(B1244,""en"",""zh-CN"")"),"女人剪辑了头发的部分。")</f>
        <v>女人剪辑了头发的部分。</v>
      </c>
    </row>
    <row r="1245">
      <c r="A1245" s="4" t="s">
        <v>1567</v>
      </c>
      <c r="B1245" s="4" t="s">
        <v>1571</v>
      </c>
      <c r="C1245" s="5" t="str">
        <f>IFERROR(__xludf.DUMMYFUNCTION("GOOGLETRANSLATE(B1245,""en"",""zh-CN"")"),"那个女人拉了一束头发，使它们伸直。")</f>
        <v>那个女人拉了一束头发，使它们伸直。</v>
      </c>
    </row>
    <row r="1246">
      <c r="A1246" s="4" t="s">
        <v>1567</v>
      </c>
      <c r="B1246" s="4" t="s">
        <v>1572</v>
      </c>
      <c r="C1246" s="5" t="str">
        <f>IFERROR(__xludf.DUMMYFUNCTION("GOOGLETRANSLATE(B1246,""en"",""zh-CN"")"),"女人将他们辫子编织在一起。")</f>
        <v>女人将他们辫子编织在一起。</v>
      </c>
    </row>
    <row r="1247">
      <c r="A1247" s="4" t="s">
        <v>1573</v>
      </c>
      <c r="B1247" s="4" t="s">
        <v>1574</v>
      </c>
      <c r="C1247" s="5" t="str">
        <f>IFERROR(__xludf.DUMMYFUNCTION("GOOGLETRANSLATE(B1247,""en"",""zh-CN"")"),"显示了一个男人摆姿势奖杯并弯曲二头肌的图像。")</f>
        <v>显示了一个男人摆姿势奖杯并弯曲二头肌的图像。</v>
      </c>
    </row>
    <row r="1248">
      <c r="A1248" s="4" t="s">
        <v>1573</v>
      </c>
      <c r="B1248" s="4" t="s">
        <v>1575</v>
      </c>
      <c r="C1248" s="5" t="str">
        <f>IFERROR(__xludf.DUMMYFUNCTION("GOOGLETRANSLATE(B1248,""en"",""zh-CN"")"),"当他赢得多个手臂摔跤比赛和奖杯时，这些图像切成视频。")</f>
        <v>当他赢得多个手臂摔跤比赛和奖杯时，这些图像切成视频。</v>
      </c>
    </row>
    <row r="1249">
      <c r="A1249" s="4" t="s">
        <v>1573</v>
      </c>
      <c r="B1249" s="4" t="s">
        <v>1576</v>
      </c>
      <c r="C1249" s="5" t="str">
        <f>IFERROR(__xludf.DUMMYFUNCTION("GOOGLETRANSLATE(B1249,""en"",""zh-CN"")"),"在最后的场景中，当他们再次看着他赢得胜利时，众多的观众会说话。")</f>
        <v>在最后的场景中，当他们再次看着他赢得胜利时，众多的观众会说话。</v>
      </c>
    </row>
    <row r="1250">
      <c r="A1250" s="4" t="s">
        <v>1577</v>
      </c>
      <c r="B1250" s="4" t="s">
        <v>1578</v>
      </c>
      <c r="C1250" s="5" t="str">
        <f>IFERROR(__xludf.DUMMYFUNCTION("GOOGLETRANSLATE(B1250,""en"",""zh-CN"")"),"男人正站在冰雪冰球上的冰球上。")</f>
        <v>男人正站在冰雪冰球上的冰球上。</v>
      </c>
    </row>
    <row r="1251">
      <c r="A1251" s="4" t="s">
        <v>1577</v>
      </c>
      <c r="B1251" s="4" t="s">
        <v>1579</v>
      </c>
      <c r="C1251" s="5" t="str">
        <f>IFERROR(__xludf.DUMMYFUNCTION("GOOGLETRANSLATE(B1251,""en"",""zh-CN"")"),"人正在穿曲棍球制服。")</f>
        <v>人正在穿曲棍球制服。</v>
      </c>
    </row>
    <row r="1252">
      <c r="A1252" s="4" t="s">
        <v>1580</v>
      </c>
      <c r="B1252" s="4" t="s">
        <v>1581</v>
      </c>
      <c r="C1252" s="5" t="str">
        <f>IFERROR(__xludf.DUMMYFUNCTION("GOOGLETRANSLATE(B1252,""en"",""zh-CN"")"),"有几个人聚集在街上，现场音乐正在播放。")</f>
        <v>有几个人聚集在街上，现场音乐正在播放。</v>
      </c>
    </row>
    <row r="1253">
      <c r="A1253" s="4" t="s">
        <v>1580</v>
      </c>
      <c r="B1253" s="4" t="s">
        <v>1582</v>
      </c>
      <c r="C1253" s="5" t="str">
        <f>IFERROR(__xludf.DUMMYFUNCTION("GOOGLETRANSLATE(B1253,""en"",""zh-CN"")"),"有夫妻一起跳舞与音乐一起演奏莎莎风格的舞蹈风格。")</f>
        <v>有夫妻一起跳舞与音乐一起演奏莎莎风格的舞蹈风格。</v>
      </c>
    </row>
    <row r="1254">
      <c r="A1254" s="4" t="s">
        <v>1580</v>
      </c>
      <c r="B1254" s="6" t="s">
        <v>1583</v>
      </c>
      <c r="C1254" s="5" t="str">
        <f>IFERROR(__xludf.DUMMYFUNCTION("GOOGLETRANSLATE(B1254,""en"",""zh-CN"")"),"那个小镇广场上有许多餐馆和商店，人们聚集在一起观看夫妻舞。")</f>
        <v>那个小镇广场上有许多餐馆和商店，人们聚集在一起观看夫妻舞。</v>
      </c>
    </row>
    <row r="1255">
      <c r="A1255" s="4" t="s">
        <v>1580</v>
      </c>
      <c r="B1255" s="4" t="s">
        <v>1584</v>
      </c>
      <c r="C1255" s="5" t="str">
        <f>IFERROR(__xludf.DUMMYFUNCTION("GOOGLETRANSLATE(B1255,""en"",""zh-CN"")"),"一些旁观者正在录像舞者。")</f>
        <v>一些旁观者正在录像舞者。</v>
      </c>
    </row>
    <row r="1256">
      <c r="A1256" s="4" t="s">
        <v>1580</v>
      </c>
      <c r="B1256" s="4" t="s">
        <v>1585</v>
      </c>
      <c r="C1256" s="5" t="str">
        <f>IFERROR(__xludf.DUMMYFUNCTION("GOOGLETRANSLATE(B1256,""en"",""zh-CN"")"),"夫妻继续跳舞直到音乐结束。")</f>
        <v>夫妻继续跳舞直到音乐结束。</v>
      </c>
    </row>
    <row r="1257">
      <c r="A1257" s="4" t="s">
        <v>1580</v>
      </c>
      <c r="B1257" s="4" t="s">
        <v>1586</v>
      </c>
      <c r="C1257" s="5" t="str">
        <f>IFERROR(__xludf.DUMMYFUNCTION("GOOGLETRANSLATE(B1257,""en"",""zh-CN"")"),"舞蹈结束后，一个人在脸颊上亲吻他的女友。")</f>
        <v>舞蹈结束后，一个人在脸颊上亲吻他的女友。</v>
      </c>
    </row>
    <row r="1258">
      <c r="A1258" s="4" t="s">
        <v>1587</v>
      </c>
      <c r="B1258" s="4" t="s">
        <v>1588</v>
      </c>
      <c r="C1258" s="5" t="str">
        <f>IFERROR(__xludf.DUMMYFUNCTION("GOOGLETRANSLATE(B1258,""en"",""zh-CN"")"),"看到一个男人抬起棍子，并陷入曲棍球的片段。")</f>
        <v>看到一个男人抬起棍子，并陷入曲棍球的片段。</v>
      </c>
    </row>
    <row r="1259">
      <c r="A1259" s="4" t="s">
        <v>1587</v>
      </c>
      <c r="B1259" s="4" t="s">
        <v>1589</v>
      </c>
      <c r="C1259" s="5" t="str">
        <f>IFERROR(__xludf.DUMMYFUNCTION("GOOGLETRANSLATE(B1259,""en"",""zh-CN"")"),"看到男人在一个球追逐球并打进进球的情况下奔跑。")</f>
        <v>看到男人在一个球追逐球并打进进球的情况下奔跑。</v>
      </c>
    </row>
    <row r="1260">
      <c r="A1260" s="4" t="s">
        <v>1587</v>
      </c>
      <c r="B1260" s="4" t="s">
        <v>1590</v>
      </c>
      <c r="C1260" s="5" t="str">
        <f>IFERROR(__xludf.DUMMYFUNCTION("GOOGLETRANSLATE(B1260,""en"",""zh-CN"")"),"有几个剪辑显示了人们在玩这场比赛以及与队友庆祝的片段。")</f>
        <v>有几个剪辑显示了人们在玩这场比赛以及与队友庆祝的片段。</v>
      </c>
    </row>
    <row r="1261">
      <c r="A1261" s="4" t="s">
        <v>1591</v>
      </c>
      <c r="B1261" s="6" t="s">
        <v>1592</v>
      </c>
      <c r="C1261" s="5" t="str">
        <f>IFERROR(__xludf.DUMMYFUNCTION("GOOGLETRANSLATE(B1261,""en"",""zh-CN"")"),"介绍会导致沿着曲棍球比赛的摄像机进入相机，并停下来炫耀玩家的运动。")</f>
        <v>介绍会导致沿着曲棍球比赛的摄像机进入相机，并停下来炫耀玩家的运动。</v>
      </c>
    </row>
    <row r="1262">
      <c r="A1262" s="4" t="s">
        <v>1591</v>
      </c>
      <c r="B1262" s="4" t="s">
        <v>1593</v>
      </c>
      <c r="C1262" s="5" t="str">
        <f>IFERROR(__xludf.DUMMYFUNCTION("GOOGLETRANSLATE(B1262,""en"",""zh-CN"")"),"随着人们的比赛和奔跑，比赛继续进行。")</f>
        <v>随着人们的比赛和奔跑，比赛继续进行。</v>
      </c>
    </row>
    <row r="1263">
      <c r="A1263" s="4" t="s">
        <v>1594</v>
      </c>
      <c r="B1263" s="4" t="s">
        <v>1595</v>
      </c>
      <c r="C1263" s="5" t="str">
        <f>IFERROR(__xludf.DUMMYFUNCTION("GOOGLETRANSLATE(B1263,""en"",""zh-CN"")"),"穿着条纹衬衫的男人跑到狭窄的小路上，跳了起来，跳到沙质地面上。")</f>
        <v>穿着条纹衬衫的男人跑到狭窄的小路上，跳了起来，跳到沙质地面上。</v>
      </c>
    </row>
    <row r="1264">
      <c r="A1264" s="4" t="s">
        <v>1594</v>
      </c>
      <c r="B1264" s="6" t="s">
        <v>1596</v>
      </c>
      <c r="C1264" s="5" t="str">
        <f>IFERROR(__xludf.DUMMYFUNCTION("GOOGLETRANSLATE(B1264,""en"",""zh-CN"")"),"男人在沙质的地面上一个人跳跃，一个男人和女人拿着耙子并使地面平滑。")</f>
        <v>男人在沙质的地面上一个人跳跃，一个男人和女人拿着耙子并使地面平滑。</v>
      </c>
    </row>
    <row r="1265">
      <c r="A1265" s="4" t="s">
        <v>1594</v>
      </c>
      <c r="B1265" s="4" t="s">
        <v>1597</v>
      </c>
      <c r="C1265" s="5" t="str">
        <f>IFERROR(__xludf.DUMMYFUNCTION("GOOGLETRANSLATE(B1265,""en"",""zh-CN"")"),"两个人正在持有磁带措施并测量跳跃。")</f>
        <v>两个人正在持有磁带措施并测量跳跃。</v>
      </c>
    </row>
    <row r="1266">
      <c r="A1266" s="4" t="s">
        <v>1598</v>
      </c>
      <c r="B1266" s="4" t="s">
        <v>1599</v>
      </c>
      <c r="C1266" s="5" t="str">
        <f>IFERROR(__xludf.DUMMYFUNCTION("GOOGLETRANSLATE(B1266,""en"",""zh-CN"")"),"单词显示在屏幕上。")</f>
        <v>单词显示在屏幕上。</v>
      </c>
    </row>
    <row r="1267">
      <c r="A1267" s="4" t="s">
        <v>1598</v>
      </c>
      <c r="B1267" s="4" t="s">
        <v>1600</v>
      </c>
      <c r="C1267" s="5" t="str">
        <f>IFERROR(__xludf.DUMMYFUNCTION("GOOGLETRANSLATE(B1267,""en"",""zh-CN"")"),"一个男人站在山上的外面时说话。")</f>
        <v>一个男人站在山上的外面时说话。</v>
      </c>
    </row>
    <row r="1268">
      <c r="A1268" s="4" t="s">
        <v>1598</v>
      </c>
      <c r="B1268" s="4" t="s">
        <v>1601</v>
      </c>
      <c r="C1268" s="5" t="str">
        <f>IFERROR(__xludf.DUMMYFUNCTION("GOOGLETRANSLATE(B1268,""en"",""zh-CN"")"),"该男子拿着一把铲子站在一棵树的前面。")</f>
        <v>该男子拿着一把铲子站在一棵树的前面。</v>
      </c>
    </row>
    <row r="1269">
      <c r="A1269" s="4" t="s">
        <v>1598</v>
      </c>
      <c r="B1269" s="4" t="s">
        <v>1602</v>
      </c>
      <c r="C1269" s="5" t="str">
        <f>IFERROR(__xludf.DUMMYFUNCTION("GOOGLETRANSLATE(B1269,""en"",""zh-CN"")"),"该男子继续说话，然后铲除一些杂草并在树上污垢。")</f>
        <v>该男子继续说话，然后铲除一些杂草并在树上污垢。</v>
      </c>
    </row>
    <row r="1270">
      <c r="A1270" s="4" t="s">
        <v>1598</v>
      </c>
      <c r="B1270" s="4" t="s">
        <v>1603</v>
      </c>
      <c r="C1270" s="5" t="str">
        <f>IFERROR(__xludf.DUMMYFUNCTION("GOOGLETRANSLATE(B1270,""en"",""zh-CN"")"),"他从树上捡起岩石。")</f>
        <v>他从树上捡起岩石。</v>
      </c>
    </row>
    <row r="1271">
      <c r="A1271" s="4" t="s">
        <v>1598</v>
      </c>
      <c r="B1271" s="4" t="s">
        <v>1604</v>
      </c>
      <c r="C1271" s="5" t="str">
        <f>IFERROR(__xludf.DUMMYFUNCTION("GOOGLETRANSLATE(B1271,""en"",""zh-CN"")"),"他面前有一个白色的树皮，他把树在树上。")</f>
        <v>他面前有一个白色的树皮，他把树在树上。</v>
      </c>
    </row>
    <row r="1272">
      <c r="A1272" s="4" t="s">
        <v>1605</v>
      </c>
      <c r="B1272" s="4" t="s">
        <v>1606</v>
      </c>
      <c r="C1272" s="5" t="str">
        <f>IFERROR(__xludf.DUMMYFUNCTION("GOOGLETRANSLATE(B1272,""en"",""zh-CN"")"),"两个女孩坐在房子的门廊上，同时剃了腿。")</f>
        <v>两个女孩坐在房子的门廊上，同时剃了腿。</v>
      </c>
    </row>
    <row r="1273">
      <c r="A1273" s="4" t="s">
        <v>1605</v>
      </c>
      <c r="B1273" s="4" t="s">
        <v>1607</v>
      </c>
      <c r="C1273" s="5" t="str">
        <f>IFERROR(__xludf.DUMMYFUNCTION("GOOGLETRANSLATE(B1273,""en"",""zh-CN"")"),"一个男孩走了出去看，然后走开。")</f>
        <v>一个男孩走了出去看，然后走开。</v>
      </c>
    </row>
    <row r="1274">
      <c r="A1274" s="4" t="s">
        <v>1605</v>
      </c>
      <c r="B1274" s="4" t="s">
        <v>1608</v>
      </c>
      <c r="C1274" s="5" t="str">
        <f>IFERROR(__xludf.DUMMYFUNCTION("GOOGLETRANSLATE(B1274,""en"",""zh-CN"")"),"女孩们继续肥皂剃须。")</f>
        <v>女孩们继续肥皂剃须。</v>
      </c>
    </row>
    <row r="1275">
      <c r="A1275" s="4" t="s">
        <v>1609</v>
      </c>
      <c r="B1275" s="6" t="s">
        <v>1610</v>
      </c>
      <c r="C1275" s="5" t="str">
        <f>IFERROR(__xludf.DUMMYFUNCTION("GOOGLETRANSLATE(B1275,""en"",""zh-CN"")"),"一个男人用槌将冰碎了，当它在外面下雪，一个人从后面给他录像。")</f>
        <v>一个男人用槌将冰碎了，当它在外面下雪，一个人从后面给他录像。</v>
      </c>
    </row>
    <row r="1276">
      <c r="A1276" s="4" t="s">
        <v>1609</v>
      </c>
      <c r="B1276" s="6" t="s">
        <v>1611</v>
      </c>
      <c r="C1276" s="5" t="str">
        <f>IFERROR(__xludf.DUMMYFUNCTION("GOOGLETRANSLATE(B1276,""en"",""zh-CN"")"),"一个穿着黑色冬季外套和手套的男人用槌从雪地里的冰盖汽车碎冰。")</f>
        <v>一个穿着黑色冬季外套和手套的男人用槌从雪地里的冰盖汽车碎冰。</v>
      </c>
    </row>
    <row r="1277">
      <c r="A1277" s="4" t="s">
        <v>1609</v>
      </c>
      <c r="B1277" s="6" t="s">
        <v>1612</v>
      </c>
      <c r="C1277" s="5" t="str">
        <f>IFERROR(__xludf.DUMMYFUNCTION("GOOGLETRANSLATE(B1277,""en"",""zh-CN"")"),"然后，该男子拿起他的汽车钥匙，试图打开冻结的树干，并需要拉扯打开。")</f>
        <v>然后，该男子拿起他的汽车钥匙，试图打开冻结的树干，并需要拉扯打开。</v>
      </c>
    </row>
    <row r="1278">
      <c r="A1278" s="4" t="s">
        <v>1609</v>
      </c>
      <c r="B1278" s="4" t="s">
        <v>1613</v>
      </c>
      <c r="C1278" s="5" t="str">
        <f>IFERROR(__xludf.DUMMYFUNCTION("GOOGLETRANSLATE(B1278,""en"",""zh-CN"")"),"当冰块碎片碎片时，该男子继续用槌槌砸在汽车上的冰上。")</f>
        <v>当冰块碎片碎片时，该男子继续用槌槌砸在汽车上的冰上。</v>
      </c>
    </row>
    <row r="1279">
      <c r="A1279" s="4" t="s">
        <v>1609</v>
      </c>
      <c r="B1279" s="6" t="s">
        <v>1614</v>
      </c>
      <c r="C1279" s="5" t="str">
        <f>IFERROR(__xludf.DUMMYFUNCTION("GOOGLETRANSLATE(B1279,""en"",""zh-CN"")"),"该男子试图再次打开他的后备箱，这次开口很容易，男人爬上汽车的后备箱到汽车的前部，从内部驾驶员座位上打开驾驶员的门。")</f>
        <v>该男子试图再次打开他的后备箱，这次开口很容易，男人爬上汽车的后备箱到汽车的前部，从内部驾驶员座位上打开驾驶员的门。</v>
      </c>
    </row>
    <row r="1280">
      <c r="A1280" s="4" t="s">
        <v>1615</v>
      </c>
      <c r="B1280" s="4" t="s">
        <v>1616</v>
      </c>
      <c r="C1280" s="5" t="str">
        <f>IFERROR(__xludf.DUMMYFUNCTION("GOOGLETRANSLATE(B1280,""en"",""zh-CN"")"),"看到一个大垫子，顶部有一个酒吧，两个人在侧面看着。")</f>
        <v>看到一个大垫子，顶部有一个酒吧，两个人在侧面看着。</v>
      </c>
    </row>
    <row r="1281">
      <c r="A1281" s="4" t="s">
        <v>1615</v>
      </c>
      <c r="B1281" s="4" t="s">
        <v>1617</v>
      </c>
      <c r="C1281" s="5" t="str">
        <f>IFERROR(__xludf.DUMMYFUNCTION("GOOGLETRANSLATE(B1281,""en"",""zh-CN"")"),"然后看到一个男人从侧面奔跑。")</f>
        <v>然后看到一个男人从侧面奔跑。</v>
      </c>
    </row>
    <row r="1282">
      <c r="A1282" s="4" t="s">
        <v>1615</v>
      </c>
      <c r="B1282" s="4" t="s">
        <v>1618</v>
      </c>
      <c r="C1282" s="5" t="str">
        <f>IFERROR(__xludf.DUMMYFUNCTION("GOOGLETRANSLATE(B1282,""en"",""zh-CN"")"),"该男子跳过光束，站在垫子上。")</f>
        <v>该男子跳过光束，站在垫子上。</v>
      </c>
    </row>
    <row r="1283">
      <c r="A1283" s="4" t="s">
        <v>1619</v>
      </c>
      <c r="B1283" s="4" t="s">
        <v>1620</v>
      </c>
      <c r="C1283" s="5" t="str">
        <f>IFERROR(__xludf.DUMMYFUNCTION("GOOGLETRANSLATE(B1283,""en"",""zh-CN"")"),"一个人被显示在外面，用灯打开汽车的雪。")</f>
        <v>一个人被显示在外面，用灯打开汽车的雪。</v>
      </c>
    </row>
    <row r="1284">
      <c r="A1284" s="4" t="s">
        <v>1619</v>
      </c>
      <c r="B1284" s="4" t="s">
        <v>1621</v>
      </c>
      <c r="C1284" s="5" t="str">
        <f>IFERROR(__xludf.DUMMYFUNCTION("GOOGLETRANSLATE(B1284,""en"",""zh-CN"")"),"该男子在汽车上走来走去，将更多的雪推开，关上门。")</f>
        <v>该男子在汽车上走来走去，将更多的雪推开，关上门。</v>
      </c>
    </row>
    <row r="1285">
      <c r="A1285" s="4" t="s">
        <v>1622</v>
      </c>
      <c r="B1285" s="4" t="s">
        <v>1623</v>
      </c>
      <c r="C1285" s="5" t="str">
        <f>IFERROR(__xludf.DUMMYFUNCTION("GOOGLETRANSLATE(B1285,""en"",""zh-CN"")"),"出现了带有白色标题的黑屏。")</f>
        <v>出现了带有白色标题的黑屏。</v>
      </c>
    </row>
    <row r="1286">
      <c r="A1286" s="4" t="s">
        <v>1622</v>
      </c>
      <c r="B1286" s="6" t="s">
        <v>1624</v>
      </c>
      <c r="C1286" s="5" t="str">
        <f>IFERROR(__xludf.DUMMYFUNCTION("GOOGLETRANSLATE(B1286,""en"",""zh-CN"")"),"厨师在专业炉子的前面，将调味料放入金属锅中，并在燃气点燃的蓝色火焰上加热锅。")</f>
        <v>厨师在专业炉子的前面，将调味料放入金属锅中，并在燃气点燃的蓝色火焰上加热锅。</v>
      </c>
    </row>
    <row r="1287">
      <c r="A1287" s="4" t="s">
        <v>1622</v>
      </c>
      <c r="B1287" s="6" t="s">
        <v>1625</v>
      </c>
      <c r="C1287" s="5" t="str">
        <f>IFERROR(__xludf.DUMMYFUNCTION("GOOGLETRANSLATE(B1287,""en"",""zh-CN"")"),"现在，厨师从一个大金属锅中铲起了很大一部分混合鸡蛋，进入小型金属锅中。")</f>
        <v>现在，厨师从一个大金属锅中铲起了很大一部分混合鸡蛋，进入小型金属锅中。</v>
      </c>
    </row>
    <row r="1288">
      <c r="A1288" s="4" t="s">
        <v>1622</v>
      </c>
      <c r="B1288" s="4" t="s">
        <v>1626</v>
      </c>
      <c r="C1288" s="5" t="str">
        <f>IFERROR(__xludf.DUMMYFUNCTION("GOOGLETRANSLATE(B1288,""en"",""zh-CN"")"),"他开始用两个木棍搅拌鸡蛋混合物，将锅握在燃烧器上。")</f>
        <v>他开始用两个木棍搅拌鸡蛋混合物，将锅握在燃烧器上。</v>
      </c>
    </row>
    <row r="1289">
      <c r="A1289" s="4" t="s">
        <v>1622</v>
      </c>
      <c r="B1289" s="6" t="s">
        <v>1627</v>
      </c>
      <c r="C1289" s="5" t="str">
        <f>IFERROR(__xludf.DUMMYFUNCTION("GOOGLETRANSLATE(B1289,""en"",""zh-CN"")"),"当鸡蛋几乎完全煮熟时，该男子开始用煎蛋卷的木棍在锅中塑造鸡蛋。")</f>
        <v>当鸡蛋几乎完全煮熟时，该男子开始用煎蛋卷的木棍在锅中塑造鸡蛋。</v>
      </c>
    </row>
    <row r="1290">
      <c r="A1290" s="4" t="s">
        <v>1622</v>
      </c>
      <c r="B1290" s="4" t="s">
        <v>1628</v>
      </c>
      <c r="C1290" s="5" t="str">
        <f>IFERROR(__xludf.DUMMYFUNCTION("GOOGLETRANSLATE(B1290,""en"",""zh-CN"")"),"他将煎蛋卷在锅中来回滚动。")</f>
        <v>他将煎蛋卷在锅中来回滚动。</v>
      </c>
    </row>
    <row r="1291">
      <c r="A1291" s="4" t="s">
        <v>1622</v>
      </c>
      <c r="B1291" s="4" t="s">
        <v>1629</v>
      </c>
      <c r="C1291" s="5" t="str">
        <f>IFERROR(__xludf.DUMMYFUNCTION("GOOGLETRANSLATE(B1291,""en"",""zh-CN"")"),"结束黑屏和蓝色单词。")</f>
        <v>结束黑屏和蓝色单词。</v>
      </c>
    </row>
    <row r="1292">
      <c r="A1292" s="4" t="s">
        <v>1630</v>
      </c>
      <c r="B1292" s="6" t="s">
        <v>1631</v>
      </c>
      <c r="C1292" s="5" t="str">
        <f>IFERROR(__xludf.DUMMYFUNCTION("GOOGLETRANSLATE(B1292,""en"",""zh-CN"")"),"芭蕾舞鞋的特写镜头之后是一个女人穿上并在卧室里移动。")</f>
        <v>芭蕾舞鞋的特写镜头之后是一个女人穿上并在卧室里移动。</v>
      </c>
    </row>
    <row r="1293">
      <c r="A1293" s="4" t="s">
        <v>1630</v>
      </c>
      <c r="B1293" s="4" t="s">
        <v>1632</v>
      </c>
      <c r="C1293" s="5" t="str">
        <f>IFERROR(__xludf.DUMMYFUNCTION("GOOGLETRANSLATE(B1293,""en"",""zh-CN"")"),"她在点鞋上移动手臂和脚，并在整个房间里鞭打头发。")</f>
        <v>她在点鞋上移动手臂和脚，并在整个房间里鞭打头发。</v>
      </c>
    </row>
    <row r="1294">
      <c r="A1294" s="4" t="s">
        <v>1633</v>
      </c>
      <c r="B1294" s="6" t="s">
        <v>1634</v>
      </c>
      <c r="C1294" s="5" t="str">
        <f>IFERROR(__xludf.DUMMYFUNCTION("GOOGLETRANSLATE(B1294,""en"",""zh-CN"")"),"看到一个人将各种成分混合到搅拌机中，并将其粗糙地滚成一个球并与相机交谈。")</f>
        <v>看到一个人将各种成分混合到搅拌机中，并将其粗糙地滚成一个球并与相机交谈。</v>
      </c>
    </row>
    <row r="1295">
      <c r="A1295" s="4" t="s">
        <v>1633</v>
      </c>
      <c r="B1295" s="4" t="s">
        <v>1635</v>
      </c>
      <c r="C1295" s="5" t="str">
        <f>IFERROR(__xludf.DUMMYFUNCTION("GOOGLETRANSLATE(B1295,""en"",""zh-CN"")"),"该男子与其他厨师说话，并指示他们如何滚动一球。")</f>
        <v>该男子与其他厨师说话，并指示他们如何滚动一球。</v>
      </c>
    </row>
    <row r="1296">
      <c r="A1296" s="4" t="s">
        <v>1633</v>
      </c>
      <c r="B1296" s="4" t="s">
        <v>1636</v>
      </c>
      <c r="C1296" s="5" t="str">
        <f>IFERROR(__xludf.DUMMYFUNCTION("GOOGLETRANSLATE(B1296,""en"",""zh-CN"")"),"然后，他将面团放在机器中制作意大利面条，然后将它们放在盘子里放置。")</f>
        <v>然后，他将面团放在机器中制作意大利面条，然后将它们放在盘子里放置。</v>
      </c>
    </row>
    <row r="1297">
      <c r="A1297" s="4" t="s">
        <v>1637</v>
      </c>
      <c r="B1297" s="6" t="s">
        <v>1638</v>
      </c>
      <c r="C1297" s="5" t="str">
        <f>IFERROR(__xludf.DUMMYFUNCTION("GOOGLETRANSLATE(B1297,""en"",""zh-CN"")"),"看到一个人向前弯曲在体操束上，同时将手向上移动以保持平衡。")</f>
        <v>看到一个人向前弯曲在体操束上，同时将手向上移动以保持平衡。</v>
      </c>
    </row>
    <row r="1298">
      <c r="A1298" s="4" t="s">
        <v>1637</v>
      </c>
      <c r="B1298" s="6" t="s">
        <v>1639</v>
      </c>
      <c r="C1298" s="5" t="str">
        <f>IFERROR(__xludf.DUMMYFUNCTION("GOOGLETRANSLATE(B1298,""en"",""zh-CN"")"),"然后，该男子尝试翻转，但降落在他的肚子上，掉下来，痛苦地走开，跳动再次以慢动作显示。")</f>
        <v>然后，该男子尝试翻转，但降落在他的肚子上，掉下来，痛苦地走开，跳动再次以慢动作显示。</v>
      </c>
    </row>
    <row r="1299">
      <c r="A1299" s="4" t="s">
        <v>1640</v>
      </c>
      <c r="B1299" s="4" t="s">
        <v>1641</v>
      </c>
      <c r="C1299" s="5" t="str">
        <f>IFERROR(__xludf.DUMMYFUNCTION("GOOGLETRANSLATE(B1299,""en"",""zh-CN"")"),"四个人在桌上足球桌上打桌。")</f>
        <v>四个人在桌上足球桌上打桌。</v>
      </c>
    </row>
    <row r="1300">
      <c r="A1300" s="4" t="s">
        <v>1640</v>
      </c>
      <c r="B1300" s="4" t="s">
        <v>1642</v>
      </c>
      <c r="C1300" s="5" t="str">
        <f>IFERROR(__xludf.DUMMYFUNCTION("GOOGLETRANSLATE(B1300,""en"",""zh-CN"")"),"玩耍的一个女孩拉出一只手臂，桌子上的一臂之力。")</f>
        <v>玩耍的一个女孩拉出一只手臂，桌子上的一臂之力。</v>
      </c>
    </row>
    <row r="1301">
      <c r="A1301" s="4" t="s">
        <v>1640</v>
      </c>
      <c r="B1301" s="4" t="s">
        <v>1643</v>
      </c>
      <c r="C1301" s="5" t="str">
        <f>IFERROR(__xludf.DUMMYFUNCTION("GOOGLETRANSLATE(B1301,""en"",""zh-CN"")"),"同一个女孩伸手在桌子上控制另一侧的手臂。")</f>
        <v>同一个女孩伸手在桌子上控制另一侧的手臂。</v>
      </c>
    </row>
    <row r="1302">
      <c r="A1302" s="4" t="s">
        <v>1640</v>
      </c>
      <c r="B1302" s="4" t="s">
        <v>1644</v>
      </c>
      <c r="C1302" s="5" t="str">
        <f>IFERROR(__xludf.DUMMYFUNCTION("GOOGLETRANSLATE(B1302,""en"",""zh-CN"")"),"另一侧的女孩试图阻止她。")</f>
        <v>另一侧的女孩试图阻止她。</v>
      </c>
    </row>
    <row r="1303">
      <c r="A1303" s="4" t="s">
        <v>1640</v>
      </c>
      <c r="B1303" s="4" t="s">
        <v>1645</v>
      </c>
      <c r="C1303" s="5" t="str">
        <f>IFERROR(__xludf.DUMMYFUNCTION("GOOGLETRANSLATE(B1303,""en"",""zh-CN"")"),"第五人坐在椅子上。")</f>
        <v>第五人坐在椅子上。</v>
      </c>
    </row>
    <row r="1304">
      <c r="A1304" s="4" t="s">
        <v>1646</v>
      </c>
      <c r="B1304" s="4" t="s">
        <v>1647</v>
      </c>
      <c r="C1304" s="5" t="str">
        <f>IFERROR(__xludf.DUMMYFUNCTION("GOOGLETRANSLATE(B1304,""en"",""zh-CN"")"),"一名穿着蓝色紧身连衣裤的男性体操运动员正在马吧做体操。")</f>
        <v>一名穿着蓝色紧身连衣裤的男性体操运动员正在马吧做体操。</v>
      </c>
    </row>
    <row r="1305">
      <c r="A1305" s="4" t="s">
        <v>1646</v>
      </c>
      <c r="B1305" s="4" t="s">
        <v>1648</v>
      </c>
      <c r="C1305" s="5" t="str">
        <f>IFERROR(__xludf.DUMMYFUNCTION("GOOGLETRANSLATE(B1305,""en"",""zh-CN"")"),"他正在一个充满观众的室内体育场表演。")</f>
        <v>他正在一个充满观众的室内体育场表演。</v>
      </c>
    </row>
    <row r="1306">
      <c r="A1306" s="4" t="s">
        <v>1646</v>
      </c>
      <c r="B1306" s="4" t="s">
        <v>1649</v>
      </c>
      <c r="C1306" s="5" t="str">
        <f>IFERROR(__xludf.DUMMYFUNCTION("GOOGLETRANSLATE(B1306,""en"",""zh-CN"")"),"他继续在马杆上稳定地进行动作表现出色。")</f>
        <v>他继续在马杆上稳定地进行动作表现出色。</v>
      </c>
    </row>
    <row r="1307">
      <c r="A1307" s="4" t="s">
        <v>1646</v>
      </c>
      <c r="B1307" s="4" t="s">
        <v>1650</v>
      </c>
      <c r="C1307" s="5" t="str">
        <f>IFERROR(__xludf.DUMMYFUNCTION("GOOGLETRANSLATE(B1307,""en"",""zh-CN"")"),"完成后，他离开了酒吧，其中一位教练拥抱他，因为人群为他欢呼。")</f>
        <v>完成后，他离开了酒吧，其中一位教练拥抱他，因为人群为他欢呼。</v>
      </c>
    </row>
    <row r="1308">
      <c r="A1308" s="4" t="s">
        <v>1651</v>
      </c>
      <c r="B1308" s="4" t="s">
        <v>1652</v>
      </c>
      <c r="C1308" s="5" t="str">
        <f>IFERROR(__xludf.DUMMYFUNCTION("GOOGLETRANSLATE(B1308,""en"",""zh-CN"")"),"芭蕾舞演员在课堂上显示出芭蕾舞演员，使她的脚变暖，走开哭泣。")</f>
        <v>芭蕾舞演员在课堂上显示出芭蕾舞演员，使她的脚变暖，走开哭泣。</v>
      </c>
    </row>
    <row r="1309">
      <c r="A1309" s="4" t="s">
        <v>1651</v>
      </c>
      <c r="B1309" s="4" t="s">
        <v>1653</v>
      </c>
      <c r="C1309" s="5" t="str">
        <f>IFERROR(__xludf.DUMMYFUNCTION("GOOGLETRANSLATE(B1309,""en"",""zh-CN"")"),"各种演员与摄像机谈论拍摄一部有关芭蕾舞的电影以及他们学到的动作。")</f>
        <v>各种演员与摄像机谈论拍摄一部有关芭蕾舞的电影以及他们学到的动作。</v>
      </c>
    </row>
    <row r="1310">
      <c r="A1310" s="4" t="s">
        <v>1651</v>
      </c>
      <c r="B1310" s="4" t="s">
        <v>1654</v>
      </c>
      <c r="C1310" s="5" t="str">
        <f>IFERROR(__xludf.DUMMYFUNCTION("GOOGLETRANSLATE(B1310,""en"",""zh-CN"")"),"相机滚动时，芭蕾舞演员正在围绕场景中移动。")</f>
        <v>相机滚动时，芭蕾舞演员正在围绕场景中移动。</v>
      </c>
    </row>
    <row r="1311">
      <c r="A1311" s="4" t="s">
        <v>1651</v>
      </c>
      <c r="B1311" s="4" t="s">
        <v>1655</v>
      </c>
      <c r="C1311" s="5" t="str">
        <f>IFERROR(__xludf.DUMMYFUNCTION("GOOGLETRANSLATE(B1311,""en"",""zh-CN"")"),"演员继续谈论技巧及其学到的知识。")</f>
        <v>演员继续谈论技巧及其学到的知识。</v>
      </c>
    </row>
    <row r="1312">
      <c r="A1312" s="4" t="s">
        <v>1651</v>
      </c>
      <c r="B1312" s="4" t="s">
        <v>1656</v>
      </c>
      <c r="C1312" s="5" t="str">
        <f>IFERROR(__xludf.DUMMYFUNCTION("GOOGLETRANSLATE(B1312,""en"",""zh-CN"")"),"当最后一幕拍摄时，一个人扮演小提琴，每个人都在跳舞。")</f>
        <v>当最后一幕拍摄时，一个人扮演小提琴，每个人都在跳舞。</v>
      </c>
    </row>
    <row r="1313">
      <c r="A1313" s="4" t="s">
        <v>1657</v>
      </c>
      <c r="B1313" s="6" t="s">
        <v>1658</v>
      </c>
      <c r="C1313" s="5" t="str">
        <f>IFERROR(__xludf.DUMMYFUNCTION("GOOGLETRANSLATE(B1313,""en"",""zh-CN"")"),"各种物品显示在地板上，并导致一名拿着产品的女人和相机交谈。")</f>
        <v>各种物品显示在地板上，并导致一名拿着产品的女人和相机交谈。</v>
      </c>
    </row>
    <row r="1314">
      <c r="A1314" s="4" t="s">
        <v>1657</v>
      </c>
      <c r="B1314" s="4" t="s">
        <v>1659</v>
      </c>
      <c r="C1314" s="5" t="str">
        <f>IFERROR(__xludf.DUMMYFUNCTION("GOOGLETRANSLATE(B1314,""en"",""zh-CN"")"),"她举起鞋子，点燃了抛光剂的比赛。")</f>
        <v>她举起鞋子，点燃了抛光剂的比赛。</v>
      </c>
    </row>
    <row r="1315">
      <c r="A1315" s="4" t="s">
        <v>1657</v>
      </c>
      <c r="B1315" s="4" t="s">
        <v>1660</v>
      </c>
      <c r="C1315" s="5" t="str">
        <f>IFERROR(__xludf.DUMMYFUNCTION("GOOGLETRANSLATE(B1315,""en"",""zh-CN"")"),"然后，她用抹布，用小圆圈用抛光剂在靴子上奔跑。")</f>
        <v>然后，她用抹布，用小圆圈用抛光剂在靴子上奔跑。</v>
      </c>
    </row>
    <row r="1316">
      <c r="A1316" s="4" t="s">
        <v>1661</v>
      </c>
      <c r="B1316" s="4" t="s">
        <v>1662</v>
      </c>
      <c r="C1316" s="5" t="str">
        <f>IFERROR(__xludf.DUMMYFUNCTION("GOOGLETRANSLATE(B1316,""en"",""zh-CN"")"),"显示了个人背部的静止图片。")</f>
        <v>显示了个人背部的静止图片。</v>
      </c>
    </row>
    <row r="1317">
      <c r="A1317" s="4" t="s">
        <v>1661</v>
      </c>
      <c r="B1317" s="4" t="s">
        <v>1663</v>
      </c>
      <c r="C1317" s="5" t="str">
        <f>IFERROR(__xludf.DUMMYFUNCTION("GOOGLETRANSLATE(B1317,""en"",""zh-CN"")"),"特写镜头显示了某种物品。")</f>
        <v>特写镜头显示了某种物品。</v>
      </c>
    </row>
    <row r="1318">
      <c r="A1318" s="4" t="s">
        <v>1661</v>
      </c>
      <c r="B1318" s="4" t="s">
        <v>1664</v>
      </c>
      <c r="C1318" s="5" t="str">
        <f>IFERROR(__xludf.DUMMYFUNCTION("GOOGLETRANSLATE(B1318,""en"",""zh-CN"")"),"一个男人和一个女人在新闻广播的环境中与镜头交谈。")</f>
        <v>一个男人和一个女人在新闻广播的环境中与镜头交谈。</v>
      </c>
    </row>
    <row r="1319">
      <c r="A1319" s="4" t="s">
        <v>1661</v>
      </c>
      <c r="B1319" s="4" t="s">
        <v>1665</v>
      </c>
      <c r="C1319" s="5" t="str">
        <f>IFERROR(__xludf.DUMMYFUNCTION("GOOGLETRANSLATE(B1319,""en"",""zh-CN"")"),"夏季海滩访客的场景在新闻报道环境中显示。")</f>
        <v>夏季海滩访客的场景在新闻报道环境中显示。</v>
      </c>
    </row>
    <row r="1320">
      <c r="A1320" s="4" t="s">
        <v>1661</v>
      </c>
      <c r="B1320" s="4" t="s">
        <v>1666</v>
      </c>
      <c r="C1320" s="5" t="str">
        <f>IFERROR(__xludf.DUMMYFUNCTION("GOOGLETRANSLATE(B1320,""en"",""zh-CN"")"),"一个男人被显示在带狗的船附近行走。")</f>
        <v>一个男人被显示在带狗的船附近行走。</v>
      </c>
    </row>
    <row r="1321">
      <c r="A1321" s="4" t="s">
        <v>1661</v>
      </c>
      <c r="B1321" s="4" t="s">
        <v>1667</v>
      </c>
      <c r="C1321" s="5" t="str">
        <f>IFERROR(__xludf.DUMMYFUNCTION("GOOGLETRANSLATE(B1321,""en"",""zh-CN"")"),"该男子在烤架附近显示。")</f>
        <v>该男子在烤架附近显示。</v>
      </c>
    </row>
    <row r="1322">
      <c r="A1322" s="4" t="s">
        <v>1661</v>
      </c>
      <c r="B1322" s="4" t="s">
        <v>1668</v>
      </c>
      <c r="C1322" s="5" t="str">
        <f>IFERROR(__xludf.DUMMYFUNCTION("GOOGLETRANSLATE(B1322,""en"",""zh-CN"")"),"快速切割以前的项目被近距离显示。")</f>
        <v>快速切割以前的项目被近距离显示。</v>
      </c>
    </row>
    <row r="1323">
      <c r="A1323" s="4" t="s">
        <v>1661</v>
      </c>
      <c r="B1323" s="4" t="s">
        <v>1669</v>
      </c>
      <c r="C1323" s="5" t="str">
        <f>IFERROR(__xludf.DUMMYFUNCTION("GOOGLETRANSLATE(B1323,""en"",""zh-CN"")"),"该男子坐着时接受了采访，他快速切断了他的行走。")</f>
        <v>该男子坐着时接受了采访，他快速切断了他的行走。</v>
      </c>
    </row>
    <row r="1324">
      <c r="A1324" s="4" t="s">
        <v>1661</v>
      </c>
      <c r="B1324" s="4" t="s">
        <v>1670</v>
      </c>
      <c r="C1324" s="5" t="str">
        <f>IFERROR(__xludf.DUMMYFUNCTION("GOOGLETRANSLATE(B1324,""en"",""zh-CN"")"),"该男子脱下衬衫。")</f>
        <v>该男子脱下衬衫。</v>
      </c>
    </row>
    <row r="1325">
      <c r="A1325" s="4" t="s">
        <v>1661</v>
      </c>
      <c r="B1325" s="4" t="s">
        <v>1671</v>
      </c>
      <c r="C1325" s="5" t="str">
        <f>IFERROR(__xludf.DUMMYFUNCTION("GOOGLETRANSLATE(B1325,""en"",""zh-CN"")"),"显示了该项目的更多特写场景。")</f>
        <v>显示了该项目的更多特写场景。</v>
      </c>
    </row>
    <row r="1326">
      <c r="A1326" s="4" t="s">
        <v>1661</v>
      </c>
      <c r="B1326" s="4" t="s">
        <v>1672</v>
      </c>
      <c r="C1326" s="5" t="str">
        <f>IFERROR(__xludf.DUMMYFUNCTION("GOOGLETRANSLATE(B1326,""en"",""zh-CN"")"),"显示了静止的图像和皮肤损伤的视频。")</f>
        <v>显示了静止的图像和皮肤损伤的视频。</v>
      </c>
    </row>
    <row r="1327">
      <c r="A1327" s="4" t="s">
        <v>1661</v>
      </c>
      <c r="B1327" s="4" t="s">
        <v>1673</v>
      </c>
      <c r="C1327" s="5" t="str">
        <f>IFERROR(__xludf.DUMMYFUNCTION("GOOGLETRANSLATE(B1327,""en"",""zh-CN"")"),"该男子在室内环境中进行交谈。")</f>
        <v>该男子在室内环境中进行交谈。</v>
      </c>
    </row>
    <row r="1328">
      <c r="A1328" s="4" t="s">
        <v>1661</v>
      </c>
      <c r="B1328" s="4" t="s">
        <v>1674</v>
      </c>
      <c r="C1328" s="5" t="str">
        <f>IFERROR(__xludf.DUMMYFUNCTION("GOOGLETRANSLATE(B1328,""en"",""zh-CN"")"),"显示了该项目的另一个静止图像。")</f>
        <v>显示了该项目的另一个静止图像。</v>
      </c>
    </row>
    <row r="1329">
      <c r="A1329" s="4" t="s">
        <v>1661</v>
      </c>
      <c r="B1329" s="4" t="s">
        <v>1675</v>
      </c>
      <c r="C1329" s="5" t="str">
        <f>IFERROR(__xludf.DUMMYFUNCTION("GOOGLETRANSLATE(B1329,""en"",""zh-CN"")"),"该男子再次被采访。")</f>
        <v>该男子再次被采访。</v>
      </c>
    </row>
    <row r="1330">
      <c r="A1330" s="4" t="s">
        <v>1661</v>
      </c>
      <c r="B1330" s="4" t="s">
        <v>1676</v>
      </c>
      <c r="C1330" s="5" t="str">
        <f>IFERROR(__xludf.DUMMYFUNCTION("GOOGLETRANSLATE(B1330,""en"",""zh-CN"")"),"显示了静止的文本屏幕。")</f>
        <v>显示了静止的文本屏幕。</v>
      </c>
    </row>
    <row r="1331">
      <c r="A1331" s="4" t="s">
        <v>1661</v>
      </c>
      <c r="B1331" s="4" t="s">
        <v>1677</v>
      </c>
      <c r="C1331" s="5" t="str">
        <f>IFERROR(__xludf.DUMMYFUNCTION("GOOGLETRANSLATE(B1331,""en"",""zh-CN"")"),"另一个男人在他旁边显示徽标时与相机交谈。")</f>
        <v>另一个男人在他旁边显示徽标时与相机交谈。</v>
      </c>
    </row>
    <row r="1332">
      <c r="A1332" s="4" t="s">
        <v>1661</v>
      </c>
      <c r="B1332" s="4" t="s">
        <v>1678</v>
      </c>
      <c r="C1332" s="5" t="str">
        <f>IFERROR(__xludf.DUMMYFUNCTION("GOOGLETRANSLATE(B1332,""en"",""zh-CN"")"),"显示了有关第一个人的网页。")</f>
        <v>显示了有关第一个人的网页。</v>
      </c>
    </row>
    <row r="1333">
      <c r="A1333" s="4" t="s">
        <v>1679</v>
      </c>
      <c r="B1333" s="4" t="s">
        <v>1680</v>
      </c>
      <c r="C1333" s="5" t="str">
        <f>IFERROR(__xludf.DUMMYFUNCTION("GOOGLETRANSLATE(B1333,""en"",""zh-CN"")"),"一个男人在舞台上穿着黄色衬衫跳舞。")</f>
        <v>一个男人在舞台上穿着黄色衬衫跳舞。</v>
      </c>
    </row>
    <row r="1334">
      <c r="A1334" s="4" t="s">
        <v>1679</v>
      </c>
      <c r="B1334" s="4" t="s">
        <v>1681</v>
      </c>
      <c r="C1334" s="5" t="str">
        <f>IFERROR(__xludf.DUMMYFUNCTION("GOOGLETRANSLATE(B1334,""en"",""zh-CN"")"),"观众看着他的人正在和他跳舞。")</f>
        <v>观众看着他的人正在和他跳舞。</v>
      </c>
    </row>
    <row r="1335">
      <c r="A1335" s="4" t="s">
        <v>1679</v>
      </c>
      <c r="B1335" s="4" t="s">
        <v>1682</v>
      </c>
      <c r="C1335" s="5" t="str">
        <f>IFERROR(__xludf.DUMMYFUNCTION("GOOGLETRANSLATE(B1335,""en"",""zh-CN"")"),"一个男人在人群面前行走。")</f>
        <v>一个男人在人群面前行走。</v>
      </c>
    </row>
    <row r="1336">
      <c r="A1336" s="4" t="s">
        <v>1683</v>
      </c>
      <c r="B1336" s="4" t="s">
        <v>1684</v>
      </c>
      <c r="C1336" s="5" t="str">
        <f>IFERROR(__xludf.DUMMYFUNCTION("GOOGLETRANSLATE(B1336,""en"",""zh-CN"")"),"一匹马穿着红色衬衫踢一个男人。")</f>
        <v>一匹马穿着红色衬衫踢一个男人。</v>
      </c>
    </row>
    <row r="1337">
      <c r="A1337" s="4" t="s">
        <v>1683</v>
      </c>
      <c r="B1337" s="4" t="s">
        <v>1685</v>
      </c>
      <c r="C1337" s="5" t="str">
        <f>IFERROR(__xludf.DUMMYFUNCTION("GOOGLETRANSLATE(B1337,""en"",""zh-CN"")"),"穿着灰色衬衫的女孩被扔掉了一匹马。")</f>
        <v>穿着灰色衬衫的女孩被扔掉了一匹马。</v>
      </c>
    </row>
    <row r="1338">
      <c r="A1338" s="4" t="s">
        <v>1683</v>
      </c>
      <c r="B1338" s="4" t="s">
        <v>1686</v>
      </c>
      <c r="C1338" s="5" t="str">
        <f>IFERROR(__xludf.DUMMYFUNCTION("GOOGLETRANSLATE(B1338,""en"",""zh-CN"")"),"一个骑马的男人被屈服了。")</f>
        <v>一个骑马的男人被屈服了。</v>
      </c>
    </row>
    <row r="1339">
      <c r="A1339" s="4" t="s">
        <v>1683</v>
      </c>
      <c r="B1339" s="4" t="s">
        <v>1687</v>
      </c>
      <c r="C1339" s="5" t="str">
        <f>IFERROR(__xludf.DUMMYFUNCTION("GOOGLETRANSLATE(B1339,""en"",""zh-CN"")"),"一匹马与一个人向后尖端。")</f>
        <v>一匹马与一个人向后尖端。</v>
      </c>
    </row>
    <row r="1340">
      <c r="A1340" s="4" t="s">
        <v>1683</v>
      </c>
      <c r="B1340" s="4" t="s">
        <v>1688</v>
      </c>
      <c r="C1340" s="5" t="str">
        <f>IFERROR(__xludf.DUMMYFUNCTION("GOOGLETRANSLATE(B1340,""en"",""zh-CN"")"),"一个男人骑着马骑着马。")</f>
        <v>一个男人骑着马骑着马。</v>
      </c>
    </row>
    <row r="1341">
      <c r="A1341" s="4" t="s">
        <v>1683</v>
      </c>
      <c r="B1341" s="4" t="s">
        <v>1689</v>
      </c>
      <c r="C1341" s="5" t="str">
        <f>IFERROR(__xludf.DUMMYFUNCTION("GOOGLETRANSLATE(B1341,""en"",""zh-CN"")"),"一匹白马错过了跳跃，这个人摔倒了。")</f>
        <v>一匹白马错过了跳跃，这个人摔倒了。</v>
      </c>
    </row>
    <row r="1342">
      <c r="A1342" s="4" t="s">
        <v>1683</v>
      </c>
      <c r="B1342" s="4" t="s">
        <v>1690</v>
      </c>
      <c r="C1342" s="5" t="str">
        <f>IFERROR(__xludf.DUMMYFUNCTION("GOOGLETRANSLATE(B1342,""en"",""zh-CN"")"),"一个男人在追逐小牛时被绳子击中。")</f>
        <v>一个男人在追逐小牛时被绳子击中。</v>
      </c>
    </row>
    <row r="1343">
      <c r="A1343" s="4" t="s">
        <v>1683</v>
      </c>
      <c r="B1343" s="4" t="s">
        <v>1691</v>
      </c>
      <c r="C1343" s="5" t="str">
        <f>IFERROR(__xludf.DUMMYFUNCTION("GOOGLETRANSLATE(B1343,""en"",""zh-CN"")"),"一匹马将头卡在垃圾桶中。")</f>
        <v>一匹马将头卡在垃圾桶中。</v>
      </c>
    </row>
    <row r="1344">
      <c r="A1344" s="4" t="s">
        <v>1692</v>
      </c>
      <c r="B1344" s="4" t="s">
        <v>1693</v>
      </c>
      <c r="C1344" s="5" t="str">
        <f>IFERROR(__xludf.DUMMYFUNCTION("GOOGLETRANSLATE(B1344,""en"",""zh-CN"")"),"黑屏上出现“如何无风风筝”一词。")</f>
        <v>黑屏上出现“如何无风风筝”一词。</v>
      </c>
    </row>
    <row r="1345">
      <c r="A1345" s="4" t="s">
        <v>1692</v>
      </c>
      <c r="B1345" s="4" t="s">
        <v>1694</v>
      </c>
      <c r="C1345" s="5" t="str">
        <f>IFERROR(__xludf.DUMMYFUNCTION("GOOGLETRANSLATE(B1345,""en"",""zh-CN"")"),"穿着黄色T恤的男子出现在一个大型郊区。")</f>
        <v>穿着黄色T恤的男子出现在一个大型郊区。</v>
      </c>
    </row>
    <row r="1346">
      <c r="A1346" s="4" t="s">
        <v>1692</v>
      </c>
      <c r="B1346" s="4" t="s">
        <v>1695</v>
      </c>
      <c r="C1346" s="5" t="str">
        <f>IFERROR(__xludf.DUMMYFUNCTION("GOOGLETRANSLATE(B1346,""en"",""zh-CN"")"),"该男子将彩虹色的风筝和长黄色的尾巴放在一起。")</f>
        <v>该男子将彩虹色的风筝和长黄色的尾巴放在一起。</v>
      </c>
    </row>
    <row r="1347">
      <c r="A1347" s="4" t="s">
        <v>1692</v>
      </c>
      <c r="B1347" s="4" t="s">
        <v>1696</v>
      </c>
      <c r="C1347" s="5" t="str">
        <f>IFERROR(__xludf.DUMMYFUNCTION("GOOGLETRANSLATE(B1347,""en"",""zh-CN"")"),"该男子在拿着风筝的绳子飞行时驾驶着一个小的绿色割草机。")</f>
        <v>该男子在拿着风筝的绳子飞行时驾驶着一个小的绿色割草机。</v>
      </c>
    </row>
    <row r="1348">
      <c r="A1348" s="4" t="s">
        <v>1692</v>
      </c>
      <c r="B1348" s="4" t="s">
        <v>1697</v>
      </c>
      <c r="C1348" s="5" t="str">
        <f>IFERROR(__xludf.DUMMYFUNCTION("GOOGLETRANSLATE(B1348,""en"",""zh-CN"")"),"一位年轻女士在屏幕上说话，然后在拿着飞行风筝的同时驾驶拖拉机。")</f>
        <v>一位年轻女士在屏幕上说话，然后在拿着飞行风筝的同时驾驶拖拉机。</v>
      </c>
    </row>
    <row r="1349">
      <c r="A1349" s="4" t="s">
        <v>1698</v>
      </c>
      <c r="B1349" s="6" t="s">
        <v>1699</v>
      </c>
      <c r="C1349" s="5" t="str">
        <f>IFERROR(__xludf.DUMMYFUNCTION("GOOGLETRANSLATE(B1349,""en"",""zh-CN"")"),"一个小女孩在打乒乓球，在网上来回击球。")</f>
        <v>一个小女孩在打乒乓球，在网上来回击球。</v>
      </c>
    </row>
    <row r="1350">
      <c r="A1350" s="4" t="s">
        <v>1698</v>
      </c>
      <c r="B1350" s="4" t="s">
        <v>1700</v>
      </c>
      <c r="C1350" s="5" t="str">
        <f>IFERROR(__xludf.DUMMYFUNCTION("GOOGLETRANSLATE(B1350,""en"",""zh-CN"")"),"一些球飞过她，但她继续击中新球而不会停下来。")</f>
        <v>一些球飞过她，但她继续击中新球而不会停下来。</v>
      </c>
    </row>
    <row r="1351">
      <c r="A1351" s="4" t="s">
        <v>1701</v>
      </c>
      <c r="B1351" s="4" t="s">
        <v>1702</v>
      </c>
      <c r="C1351" s="5" t="str">
        <f>IFERROR(__xludf.DUMMYFUNCTION("GOOGLETRANSLATE(B1351,""en"",""zh-CN"")"),"一个男人走过去，粉笔。")</f>
        <v>一个男人走过去，粉笔。</v>
      </c>
    </row>
    <row r="1352">
      <c r="A1352" s="4" t="s">
        <v>1701</v>
      </c>
      <c r="B1352" s="4" t="s">
        <v>1703</v>
      </c>
      <c r="C1352" s="5" t="str">
        <f>IFERROR(__xludf.DUMMYFUNCTION("GOOGLETRANSLATE(B1352,""en"",""zh-CN"")"),"该男子在酒吧走路，伸展并站在那儿。")</f>
        <v>该男子在酒吧走路，伸展并站在那儿。</v>
      </c>
    </row>
    <row r="1353">
      <c r="A1353" s="4" t="s">
        <v>1701</v>
      </c>
      <c r="B1353" s="4" t="s">
        <v>1704</v>
      </c>
      <c r="C1353" s="5" t="str">
        <f>IFERROR(__xludf.DUMMYFUNCTION("GOOGLETRANSLATE(B1353,""en"",""zh-CN"")"),"该男子安装了酒吧并开始旋转。")</f>
        <v>该男子安装了酒吧并开始旋转。</v>
      </c>
    </row>
    <row r="1354">
      <c r="A1354" s="4" t="s">
        <v>1701</v>
      </c>
      <c r="B1354" s="4" t="s">
        <v>1705</v>
      </c>
      <c r="C1354" s="5" t="str">
        <f>IFERROR(__xludf.DUMMYFUNCTION("GOOGLETRANSLATE(B1354,""en"",""zh-CN"")"),"该男子翻转和下马。")</f>
        <v>该男子翻转和下马。</v>
      </c>
    </row>
    <row r="1355">
      <c r="A1355" s="4" t="s">
        <v>1701</v>
      </c>
      <c r="B1355" s="4" t="s">
        <v>1706</v>
      </c>
      <c r="C1355" s="5" t="str">
        <f>IFERROR(__xludf.DUMMYFUNCTION("GOOGLETRANSLATE(B1355,""en"",""zh-CN"")"),"该男子离开酒吧。")</f>
        <v>该男子离开酒吧。</v>
      </c>
    </row>
    <row r="1356">
      <c r="A1356" s="4" t="s">
        <v>1707</v>
      </c>
      <c r="B1356" s="4" t="s">
        <v>1708</v>
      </c>
      <c r="C1356" s="5" t="str">
        <f>IFERROR(__xludf.DUMMYFUNCTION("GOOGLETRANSLATE(B1356,""en"",""zh-CN"")"),"一个女人说话，然后她握着真空的管子，并指向喷嘴。")</f>
        <v>一个女人说话，然后她握着真空的管子，并指向喷嘴。</v>
      </c>
    </row>
    <row r="1357">
      <c r="A1357" s="4" t="s">
        <v>1707</v>
      </c>
      <c r="B1357" s="4" t="s">
        <v>1709</v>
      </c>
      <c r="C1357" s="5" t="str">
        <f>IFERROR(__xludf.DUMMYFUNCTION("GOOGLETRANSLATE(B1357,""en"",""zh-CN"")"),"那个女人在地毯上吸尘污垢，然后在解释时延伸了管子。")</f>
        <v>那个女人在地毯上吸尘污垢，然后在解释时延伸了管子。</v>
      </c>
    </row>
    <row r="1358">
      <c r="A1358" s="4" t="s">
        <v>1707</v>
      </c>
      <c r="B1358" s="6" t="s">
        <v>1710</v>
      </c>
      <c r="C1358" s="5" t="str">
        <f>IFERROR(__xludf.DUMMYFUNCTION("GOOGLETRANSLATE(B1358,""en"",""zh-CN"")"),"然后，女人放了一个小喷嘴，真空真空沙发，然后解释了如何去除灰尘容器。")</f>
        <v>然后，女人放了一个小喷嘴，真空真空沙发，然后解释了如何去除灰尘容器。</v>
      </c>
    </row>
    <row r="1359">
      <c r="A1359" s="4" t="s">
        <v>1707</v>
      </c>
      <c r="B1359" s="4" t="s">
        <v>1711</v>
      </c>
      <c r="C1359" s="5" t="str">
        <f>IFERROR(__xludf.DUMMYFUNCTION("GOOGLETRANSLATE(B1359,""en"",""zh-CN"")"),"女人继续在真空旁边解释。")</f>
        <v>女人继续在真空旁边解释。</v>
      </c>
    </row>
    <row r="1360">
      <c r="A1360" s="4" t="s">
        <v>1712</v>
      </c>
      <c r="B1360" s="4" t="s">
        <v>1713</v>
      </c>
      <c r="C1360" s="5" t="str">
        <f>IFERROR(__xludf.DUMMYFUNCTION("GOOGLETRANSLATE(B1360,""en"",""zh-CN"")"),"两名男子在山上的尘土飞扬的田野里骑马。")</f>
        <v>两名男子在山上的尘土飞扬的田野里骑马。</v>
      </c>
    </row>
    <row r="1361">
      <c r="A1361" s="4" t="s">
        <v>1712</v>
      </c>
      <c r="B1361" s="4" t="s">
        <v>1714</v>
      </c>
      <c r="C1361" s="5" t="str">
        <f>IFERROR(__xludf.DUMMYFUNCTION("GOOGLETRANSLATE(B1361,""en"",""zh-CN"")"),"男人和一个戴着kufiyyas头上的女人站在马旁边的甜点上。")</f>
        <v>男人和一个戴着kufiyyas头上的女人站在马旁边的甜点上。</v>
      </c>
    </row>
    <row r="1362">
      <c r="A1362" s="4" t="s">
        <v>1712</v>
      </c>
      <c r="B1362" s="6" t="s">
        <v>1715</v>
      </c>
      <c r="C1362" s="5" t="str">
        <f>IFERROR(__xludf.DUMMYFUNCTION("GOOGLETRANSLATE(B1362,""en"",""zh-CN"")"),"展示了远处有山脉的甜点，男人站在孩子旁边，骑马阿德（Adn）在沙漠中前进。")</f>
        <v>展示了远处有山脉的甜点，男人站在孩子旁边，骑马阿德（Adn）在沙漠中前进。</v>
      </c>
    </row>
    <row r="1363">
      <c r="A1363" s="4" t="s">
        <v>1716</v>
      </c>
      <c r="B1363" s="4" t="s">
        <v>1717</v>
      </c>
      <c r="C1363" s="5" t="str">
        <f>IFERROR(__xludf.DUMMYFUNCTION("GOOGLETRANSLATE(B1363,""en"",""zh-CN"")"),"一个男人和一个女人站在酒吧里。")</f>
        <v>一个男人和一个女人站在酒吧里。</v>
      </c>
    </row>
    <row r="1364">
      <c r="A1364" s="4" t="s">
        <v>1716</v>
      </c>
      <c r="B1364" s="4" t="s">
        <v>1718</v>
      </c>
      <c r="C1364" s="5" t="str">
        <f>IFERROR(__xludf.DUMMYFUNCTION("GOOGLETRANSLATE(B1364,""en"",""zh-CN"")"),"我们看到男人和一个女人宴会厅跳舞。")</f>
        <v>我们看到男人和一个女人宴会厅跳舞。</v>
      </c>
    </row>
    <row r="1365">
      <c r="A1365" s="4" t="s">
        <v>1716</v>
      </c>
      <c r="B1365" s="4" t="s">
        <v>1719</v>
      </c>
      <c r="C1365" s="5" t="str">
        <f>IFERROR(__xludf.DUMMYFUNCTION("GOOGLETRANSLATE(B1365,""en"",""zh-CN"")"),"那位女士将腿踢在她身后和面前。")</f>
        <v>那位女士将腿踢在她身后和面前。</v>
      </c>
    </row>
    <row r="1366">
      <c r="A1366" s="4" t="s">
        <v>1716</v>
      </c>
      <c r="B1366" s="4" t="s">
        <v>1720</v>
      </c>
      <c r="C1366" s="5" t="str">
        <f>IFERROR(__xludf.DUMMYFUNCTION("GOOGLETRANSLATE(B1366,""en"",""zh-CN"")"),"我们放大了舞者的腿。")</f>
        <v>我们放大了舞者的腿。</v>
      </c>
    </row>
    <row r="1367">
      <c r="A1367" s="4" t="s">
        <v>1716</v>
      </c>
      <c r="B1367" s="4" t="s">
        <v>1721</v>
      </c>
      <c r="C1367" s="5" t="str">
        <f>IFERROR(__xludf.DUMMYFUNCTION("GOOGLETRANSLATE(B1367,""en"",""zh-CN"")"),"相机变得模糊，场景结束。")</f>
        <v>相机变得模糊，场景结束。</v>
      </c>
    </row>
    <row r="1368">
      <c r="A1368" s="4" t="s">
        <v>1722</v>
      </c>
      <c r="B1368" s="4" t="s">
        <v>1723</v>
      </c>
      <c r="C1368" s="5" t="str">
        <f>IFERROR(__xludf.DUMMYFUNCTION("GOOGLETRANSLATE(B1368,""en"",""zh-CN"")"),"显示了一群女性在室内游泳池里玩水马球比赛。")</f>
        <v>显示了一群女性在室内游泳池里玩水马球比赛。</v>
      </c>
    </row>
    <row r="1369">
      <c r="A1369" s="4" t="s">
        <v>1722</v>
      </c>
      <c r="B1369" s="4" t="s">
        <v>1724</v>
      </c>
      <c r="C1369" s="5" t="str">
        <f>IFERROR(__xludf.DUMMYFUNCTION("GOOGLETRANSLATE(B1369,""en"",""zh-CN"")"),"这似乎是一场比赛，因为他们具有很高的竞争力并全力以赴。")</f>
        <v>这似乎是一场比赛，因为他们具有很高的竞争力并全力以赴。</v>
      </c>
    </row>
    <row r="1370">
      <c r="A1370" s="4" t="s">
        <v>1722</v>
      </c>
      <c r="B1370" s="4" t="s">
        <v>1725</v>
      </c>
      <c r="C1370" s="5" t="str">
        <f>IFERROR(__xludf.DUMMYFUNCTION("GOOGLETRANSLATE(B1370,""en"",""zh-CN"")"),"动作的各种镜头以正常运动和慢动作显示。")</f>
        <v>动作的各种镜头以正常运动和慢动作显示。</v>
      </c>
    </row>
    <row r="1371">
      <c r="A1371" s="4" t="s">
        <v>1722</v>
      </c>
      <c r="B1371" s="6" t="s">
        <v>1726</v>
      </c>
      <c r="C1371" s="5" t="str">
        <f>IFERROR(__xludf.DUMMYFUNCTION("GOOGLETRANSLATE(B1371,""en"",""zh-CN"")"),"这场比赛似乎变得非常紧张，因为两支球队都在尽力得分，并且两个守门员都提供了出色的防守。")</f>
        <v>这场比赛似乎变得非常紧张，因为两支球队都在尽力得分，并且两个守门员都提供了出色的防守。</v>
      </c>
    </row>
    <row r="1372">
      <c r="A1372" s="4" t="s">
        <v>1722</v>
      </c>
      <c r="B1372" s="4" t="s">
        <v>1727</v>
      </c>
      <c r="C1372" s="5" t="str">
        <f>IFERROR(__xludf.DUMMYFUNCTION("GOOGLETRANSLATE(B1372,""en"",""zh-CN"")"),"然后，一个在比赛中参加比赛的年轻女孩在拍照时与她的整个家庭一起显示。")</f>
        <v>然后，一个在比赛中参加比赛的年轻女孩在拍照时与她的整个家庭一起显示。</v>
      </c>
    </row>
    <row r="1373">
      <c r="A1373" s="4" t="s">
        <v>1728</v>
      </c>
      <c r="B1373" s="4" t="s">
        <v>1729</v>
      </c>
      <c r="C1373" s="5" t="str">
        <f>IFERROR(__xludf.DUMMYFUNCTION("GOOGLETRANSLATE(B1373,""en"",""zh-CN"")"),"一个人接近一个污垢站立的树干。")</f>
        <v>一个人接近一个污垢站立的树干。</v>
      </c>
    </row>
    <row r="1374">
      <c r="A1374" s="4" t="s">
        <v>1728</v>
      </c>
      <c r="B1374" s="4" t="s">
        <v>1730</v>
      </c>
      <c r="C1374" s="5" t="str">
        <f>IFERROR(__xludf.DUMMYFUNCTION("GOOGLETRANSLATE(B1374,""en"",""zh-CN"")"),"他抓住斧头坐在泥土上。")</f>
        <v>他抓住斧头坐在泥土上。</v>
      </c>
    </row>
    <row r="1375">
      <c r="A1375" s="4" t="s">
        <v>1728</v>
      </c>
      <c r="B1375" s="4" t="s">
        <v>1731</v>
      </c>
      <c r="C1375" s="5" t="str">
        <f>IFERROR(__xludf.DUMMYFUNCTION("GOOGLETRANSLATE(B1375,""en"",""zh-CN"")"),"他拿起斧头，将树干切成两半。")</f>
        <v>他拿起斧头，将树干切成两半。</v>
      </c>
    </row>
    <row r="1376">
      <c r="A1376" s="4" t="s">
        <v>1728</v>
      </c>
      <c r="B1376" s="4" t="s">
        <v>1732</v>
      </c>
      <c r="C1376" s="5" t="str">
        <f>IFERROR(__xludf.DUMMYFUNCTION("GOOGLETRANSLATE(B1376,""en"",""zh-CN"")"),"行李箱掉下来，他拿起其中一半。")</f>
        <v>行李箱掉下来，他拿起其中一半。</v>
      </c>
    </row>
    <row r="1377">
      <c r="A1377" s="4" t="s">
        <v>1728</v>
      </c>
      <c r="B1377" s="4" t="s">
        <v>1733</v>
      </c>
      <c r="C1377" s="5" t="str">
        <f>IFERROR(__xludf.DUMMYFUNCTION("GOOGLETRANSLATE(B1377,""en"",""zh-CN"")"),"他将斧头带到后备箱，将其切成两半。")</f>
        <v>他将斧头带到后备箱，将其切成两半。</v>
      </c>
    </row>
    <row r="1378">
      <c r="A1378" s="4" t="s">
        <v>1728</v>
      </c>
      <c r="B1378" s="4" t="s">
        <v>1734</v>
      </c>
      <c r="C1378" s="5" t="str">
        <f>IFERROR(__xludf.DUMMYFUNCTION("GOOGLETRANSLATE(B1378,""en"",""zh-CN"")"),"他站着另一个后备箱，将其切成两半。")</f>
        <v>他站着另一个后备箱，将其切成两半。</v>
      </c>
    </row>
    <row r="1379">
      <c r="A1379" s="4" t="s">
        <v>1735</v>
      </c>
      <c r="B1379" s="4" t="s">
        <v>1736</v>
      </c>
      <c r="C1379" s="5" t="str">
        <f>IFERROR(__xludf.DUMMYFUNCTION("GOOGLETRANSLATE(B1379,""en"",""zh-CN"")"),"有两个男人站在桌子摔跤姿势的桌子上。")</f>
        <v>有两个男人站在桌子摔跤姿势的桌子上。</v>
      </c>
    </row>
    <row r="1380">
      <c r="A1380" s="4" t="s">
        <v>1735</v>
      </c>
      <c r="B1380" s="4" t="s">
        <v>1737</v>
      </c>
      <c r="C1380" s="5" t="str">
        <f>IFERROR(__xludf.DUMMYFUNCTION("GOOGLETRANSLATE(B1380,""en"",""zh-CN"")"),"一个女人牵着手放置男人。")</f>
        <v>一个女人牵着手放置男人。</v>
      </c>
    </row>
    <row r="1381">
      <c r="A1381" s="4" t="s">
        <v>1735</v>
      </c>
      <c r="B1381" s="4" t="s">
        <v>1738</v>
      </c>
      <c r="C1381" s="5" t="str">
        <f>IFERROR(__xludf.DUMMYFUNCTION("GOOGLETRANSLATE(B1381,""en"",""zh-CN"")"),"一个没有眼镜的男人因体重而弯腰。")</f>
        <v>一个没有眼镜的男人因体重而弯腰。</v>
      </c>
    </row>
    <row r="1382">
      <c r="A1382" s="4" t="s">
        <v>1735</v>
      </c>
      <c r="B1382" s="4" t="s">
        <v>1739</v>
      </c>
      <c r="C1382" s="5" t="str">
        <f>IFERROR(__xludf.DUMMYFUNCTION("GOOGLETRANSLATE(B1382,""en"",""zh-CN"")"),"那个戴着玻璃的男人放下了另一个人的手，赢了。")</f>
        <v>那个戴着玻璃的男人放下了另一个人的手，赢了。</v>
      </c>
    </row>
    <row r="1383">
      <c r="A1383" s="4" t="s">
        <v>1740</v>
      </c>
      <c r="B1383" s="4" t="s">
        <v>1741</v>
      </c>
      <c r="C1383" s="5" t="str">
        <f>IFERROR(__xludf.DUMMYFUNCTION("GOOGLETRANSLATE(B1383,""en"",""zh-CN"")"),"女士们站在健身室里。")</f>
        <v>女士们站在健身室里。</v>
      </c>
    </row>
    <row r="1384">
      <c r="A1384" s="4" t="s">
        <v>1740</v>
      </c>
      <c r="B1384" s="4" t="s">
        <v>1742</v>
      </c>
      <c r="C1384" s="5" t="str">
        <f>IFERROR(__xludf.DUMMYFUNCTION("GOOGLETRANSLATE(B1384,""en"",""zh-CN"")"),"女士们是肚皮舞。")</f>
        <v>女士们是肚皮舞。</v>
      </c>
    </row>
    <row r="1385">
      <c r="A1385" s="4" t="s">
        <v>1740</v>
      </c>
      <c r="B1385" s="4" t="s">
        <v>1743</v>
      </c>
      <c r="C1385" s="5" t="str">
        <f>IFERROR(__xludf.DUMMYFUNCTION("GOOGLETRANSLATE(B1385,""en"",""zh-CN"")"),"女士们向下倾斜，向后扔头发。")</f>
        <v>女士们向下倾斜，向后扔头发。</v>
      </c>
    </row>
    <row r="1386">
      <c r="A1386" s="4" t="s">
        <v>1740</v>
      </c>
      <c r="B1386" s="4" t="s">
        <v>1744</v>
      </c>
      <c r="C1386" s="5" t="str">
        <f>IFERROR(__xludf.DUMMYFUNCTION("GOOGLETRANSLATE(B1386,""en"",""zh-CN"")"),"他们摆动倾斜的身体。")</f>
        <v>他们摆动倾斜的身体。</v>
      </c>
    </row>
    <row r="1387">
      <c r="A1387" s="4" t="s">
        <v>1740</v>
      </c>
      <c r="B1387" s="4" t="s">
        <v>1745</v>
      </c>
      <c r="C1387" s="5" t="str">
        <f>IFERROR(__xludf.DUMMYFUNCTION("GOOGLETRANSLATE(B1387,""en"",""zh-CN"")"),"女士向后倾斜并向后弯曲。")</f>
        <v>女士向后倾斜并向后弯曲。</v>
      </c>
    </row>
    <row r="1388">
      <c r="A1388" s="4" t="s">
        <v>1740</v>
      </c>
      <c r="B1388" s="4" t="s">
        <v>1746</v>
      </c>
      <c r="C1388" s="5" t="str">
        <f>IFERROR(__xludf.DUMMYFUNCTION("GOOGLETRANSLATE(B1388,""en"",""zh-CN"")"),"女士们来回扔头发。")</f>
        <v>女士们来回扔头发。</v>
      </c>
    </row>
    <row r="1389">
      <c r="A1389" s="4" t="s">
        <v>1740</v>
      </c>
      <c r="B1389" s="4" t="s">
        <v>1747</v>
      </c>
      <c r="C1389" s="5" t="str">
        <f>IFERROR(__xludf.DUMMYFUNCTION("GOOGLETRANSLATE(B1389,""en"",""zh-CN"")"),"2:43一个人在后面的房间里弯腰。")</f>
        <v>2:43一个人在后面的房间里弯腰。</v>
      </c>
    </row>
    <row r="1390">
      <c r="A1390" s="4" t="s">
        <v>1740</v>
      </c>
      <c r="B1390" s="4" t="s">
        <v>1748</v>
      </c>
      <c r="C1390" s="5" t="str">
        <f>IFERROR(__xludf.DUMMYFUNCTION("GOOGLETRANSLATE(B1390,""en"",""zh-CN"")"),"女士们结束了跳舞并鞠躬。")</f>
        <v>女士们结束了跳舞并鞠躬。</v>
      </c>
    </row>
    <row r="1391">
      <c r="A1391" s="4" t="s">
        <v>1749</v>
      </c>
      <c r="B1391" s="4" t="s">
        <v>1750</v>
      </c>
      <c r="C1391" s="5" t="str">
        <f>IFERROR(__xludf.DUMMYFUNCTION("GOOGLETRANSLATE(B1391,""en"",""zh-CN"")"),"这是一个夜间在马牧场外面的夜间，很多人站着。")</f>
        <v>这是一个夜间在马牧场外面的夜间，很多人站着。</v>
      </c>
    </row>
    <row r="1392">
      <c r="A1392" s="4" t="s">
        <v>1749</v>
      </c>
      <c r="B1392" s="6" t="s">
        <v>1751</v>
      </c>
      <c r="C1392" s="5" t="str">
        <f>IFERROR(__xludf.DUMMYFUNCTION("GOOGLETRANSLATE(B1392,""en"",""zh-CN"")"),"突然，一匹马和一名男子骑在他身上的马很快开始跑步，而在他们面前跑来跑去的那匹马有一只小牛。")</f>
        <v>突然，一匹马和一名男子骑在他身上的马很快开始跑步，而在他们面前跑来跑去的那匹马有一只小牛。</v>
      </c>
    </row>
    <row r="1393">
      <c r="A1393" s="4" t="s">
        <v>1749</v>
      </c>
      <c r="B1393" s="4" t="s">
        <v>1752</v>
      </c>
      <c r="C1393" s="5" t="str">
        <f>IFERROR(__xludf.DUMMYFUNCTION("GOOGLETRANSLATE(B1393,""en"",""zh-CN"")"),"该男子抚摸小牛，跳下马，将小牛扔到侧面，然后迅速将其绑起来。")</f>
        <v>该男子抚摸小牛，跳下马，将小牛扔到侧面，然后迅速将其绑起来。</v>
      </c>
    </row>
    <row r="1394">
      <c r="A1394" s="4" t="s">
        <v>1749</v>
      </c>
      <c r="B1394" s="6" t="s">
        <v>1753</v>
      </c>
      <c r="C1394" s="5" t="str">
        <f>IFERROR(__xludf.DUMMYFUNCTION("GOOGLETRANSLATE(B1394,""en"",""zh-CN"")"),"该男子站起来，回到他的马上，跳回去，马慢慢地开始行走，因为小腿试图站起来。")</f>
        <v>该男子站起来，回到他的马上，跳回去，马慢慢地开始行走，因为小腿试图站起来。</v>
      </c>
    </row>
    <row r="1395">
      <c r="A1395" s="4" t="s">
        <v>1754</v>
      </c>
      <c r="B1395" s="4" t="s">
        <v>1755</v>
      </c>
      <c r="C1395" s="5" t="str">
        <f>IFERROR(__xludf.DUMMYFUNCTION("GOOGLETRANSLATE(B1395,""en"",""zh-CN"")"),"我们看到一个带有月亮的开放屏幕。")</f>
        <v>我们看到一个带有月亮的开放屏幕。</v>
      </c>
    </row>
    <row r="1396">
      <c r="A1396" s="4" t="s">
        <v>1754</v>
      </c>
      <c r="B1396" s="4" t="s">
        <v>1756</v>
      </c>
      <c r="C1396" s="5" t="str">
        <f>IFERROR(__xludf.DUMMYFUNCTION("GOOGLETRANSLATE(B1396,""en"",""zh-CN"")"),"一位女士似乎拿着南瓜。")</f>
        <v>一位女士似乎拿着南瓜。</v>
      </c>
    </row>
    <row r="1397">
      <c r="A1397" s="4" t="s">
        <v>1754</v>
      </c>
      <c r="B1397" s="4" t="s">
        <v>1757</v>
      </c>
      <c r="C1397" s="5" t="str">
        <f>IFERROR(__xludf.DUMMYFUNCTION("GOOGLETRANSLATE(B1397,""en"",""zh-CN"")"),"我们看到屏幕左下方的女士说话。")</f>
        <v>我们看到屏幕左下方的女士说话。</v>
      </c>
    </row>
    <row r="1398">
      <c r="A1398" s="4" t="s">
        <v>1754</v>
      </c>
      <c r="B1398" s="4" t="s">
        <v>1758</v>
      </c>
      <c r="C1398" s="5" t="str">
        <f>IFERROR(__xludf.DUMMYFUNCTION("GOOGLETRANSLATE(B1398,""en"",""zh-CN"")"),"我们看到一个人打开并清洁南瓜。")</f>
        <v>我们看到一个人打开并清洁南瓜。</v>
      </c>
    </row>
    <row r="1399">
      <c r="A1399" s="4" t="s">
        <v>1754</v>
      </c>
      <c r="B1399" s="4" t="s">
        <v>1759</v>
      </c>
      <c r="C1399" s="5" t="str">
        <f>IFERROR(__xludf.DUMMYFUNCTION("GOOGLETRANSLATE(B1399,""en"",""zh-CN"")"),"我们看到该人在南瓜上雕刻图纸。")</f>
        <v>我们看到该人在南瓜上雕刻图纸。</v>
      </c>
    </row>
    <row r="1400">
      <c r="A1400" s="4" t="s">
        <v>1754</v>
      </c>
      <c r="B1400" s="4" t="s">
        <v>1760</v>
      </c>
      <c r="C1400" s="5" t="str">
        <f>IFERROR(__xludf.DUMMYFUNCTION("GOOGLETRANSLATE(B1400,""en"",""zh-CN"")"),"我们看到一个人用黑色标记在南瓜上画画。")</f>
        <v>我们看到一个人用黑色标记在南瓜上画画。</v>
      </c>
    </row>
    <row r="1401">
      <c r="A1401" s="4" t="s">
        <v>1754</v>
      </c>
      <c r="B1401" s="4" t="s">
        <v>1761</v>
      </c>
      <c r="C1401" s="5" t="str">
        <f>IFERROR(__xludf.DUMMYFUNCTION("GOOGLETRANSLATE(B1401,""en"",""zh-CN"")"),"我们看到完成的杰克O灯笼上有一支蜡烛。")</f>
        <v>我们看到完成的杰克O灯笼上有一支蜡烛。</v>
      </c>
    </row>
    <row r="1402">
      <c r="A1402" s="4" t="s">
        <v>1762</v>
      </c>
      <c r="B1402" s="4" t="s">
        <v>1763</v>
      </c>
      <c r="C1402" s="5" t="str">
        <f>IFERROR(__xludf.DUMMYFUNCTION("GOOGLETRANSLATE(B1402,""en"",""zh-CN"")"),"一个体操女孩正在表演平衡束。")</f>
        <v>一个体操女孩正在表演平衡束。</v>
      </c>
    </row>
    <row r="1403">
      <c r="A1403" s="4" t="s">
        <v>1762</v>
      </c>
      <c r="B1403" s="4" t="s">
        <v>1764</v>
      </c>
      <c r="C1403" s="5" t="str">
        <f>IFERROR(__xludf.DUMMYFUNCTION("GOOGLETRANSLATE(B1403,""en"",""zh-CN"")"),"这个女孩正准备从跳板上登上光束。")</f>
        <v>这个女孩正准备从跳板上登上光束。</v>
      </c>
    </row>
    <row r="1404">
      <c r="A1404" s="4" t="s">
        <v>1762</v>
      </c>
      <c r="B1404" s="4" t="s">
        <v>1765</v>
      </c>
      <c r="C1404" s="5" t="str">
        <f>IFERROR(__xludf.DUMMYFUNCTION("GOOGLETRANSLATE(B1404,""en"",""zh-CN"")"),"女孩在光束上完美地表现。")</f>
        <v>女孩在光束上完美地表现。</v>
      </c>
    </row>
    <row r="1405">
      <c r="A1405" s="4" t="s">
        <v>1762</v>
      </c>
      <c r="B1405" s="4" t="s">
        <v>1766</v>
      </c>
      <c r="C1405" s="5" t="str">
        <f>IFERROR(__xludf.DUMMYFUNCTION("GOOGLETRANSLATE(B1405,""en"",""zh-CN"")"),"女孩笑容完美​​地登陆地板。")</f>
        <v>女孩笑容完美​​地登陆地板。</v>
      </c>
    </row>
    <row r="1406">
      <c r="A1406" s="4" t="s">
        <v>1767</v>
      </c>
      <c r="B1406" s="6" t="s">
        <v>1768</v>
      </c>
      <c r="C1406" s="5" t="str">
        <f>IFERROR(__xludf.DUMMYFUNCTION("GOOGLETRANSLATE(B1406,""en"",""zh-CN"")"),"在草坪上下移动时，可以看到一个人在长长的叶子上使用一台机器。")</f>
        <v>在草坪上下移动时，可以看到一个人在长长的叶子上使用一台机器。</v>
      </c>
    </row>
    <row r="1407">
      <c r="A1407" s="4" t="s">
        <v>1767</v>
      </c>
      <c r="B1407" s="4" t="s">
        <v>1769</v>
      </c>
      <c r="C1407" s="5" t="str">
        <f>IFERROR(__xludf.DUMMYFUNCTION("GOOGLETRANSLATE(B1407,""en"",""zh-CN"")"),"他继续将叶子推到该地区周围，并在草坪上上下移动。")</f>
        <v>他继续将叶子推到该地区周围，并在草坪上上下移动。</v>
      </c>
    </row>
    <row r="1408">
      <c r="A1408" s="4" t="s">
        <v>1770</v>
      </c>
      <c r="B1408" s="4" t="s">
        <v>1771</v>
      </c>
      <c r="C1408" s="5" t="str">
        <f>IFERROR(__xludf.DUMMYFUNCTION("GOOGLETRANSLATE(B1408,""en"",""zh-CN"")"),"一个人介绍了视频的主题，这是在羽毛球中进行粉碎镜头的方法。")</f>
        <v>一个人介绍了视频的主题，这是在羽毛球中进行粉碎镜头的方法。</v>
      </c>
    </row>
    <row r="1409">
      <c r="A1409" s="4" t="s">
        <v>1770</v>
      </c>
      <c r="B1409" s="4" t="s">
        <v>1772</v>
      </c>
      <c r="C1409" s="5" t="str">
        <f>IFERROR(__xludf.DUMMYFUNCTION("GOOGLETRANSLATE(B1409,""en"",""zh-CN"")"),"他慢慢展示了镜头的必要方法和形式。")</f>
        <v>他慢慢展示了镜头的必要方法和形式。</v>
      </c>
    </row>
    <row r="1410">
      <c r="A1410" s="4" t="s">
        <v>1770</v>
      </c>
      <c r="B1410" s="4" t="s">
        <v>1773</v>
      </c>
      <c r="C1410" s="5" t="str">
        <f>IFERROR(__xludf.DUMMYFUNCTION("GOOGLETRANSLATE(B1410,""en"",""zh-CN"")"),"然后，当另一个人将他设置时，我们看到玩家多次进行射门。")</f>
        <v>然后，当另一个人将他设置时，我们看到玩家多次进行射门。</v>
      </c>
    </row>
    <row r="1411">
      <c r="A1411" s="4" t="s">
        <v>1774</v>
      </c>
      <c r="B1411" s="4" t="s">
        <v>1775</v>
      </c>
      <c r="C1411" s="5" t="str">
        <f>IFERROR(__xludf.DUMMYFUNCTION("GOOGLETRANSLATE(B1411,""en"",""zh-CN"")"),"一名穿着蓝色服装的男性体操运动员在他的手上涂了粉笔灰尘。")</f>
        <v>一名穿着蓝色服装的男性体操运动员在他的手上涂了粉笔灰尘。</v>
      </c>
    </row>
    <row r="1412">
      <c r="A1412" s="4" t="s">
        <v>1774</v>
      </c>
      <c r="B1412" s="4" t="s">
        <v>1776</v>
      </c>
      <c r="C1412" s="5" t="str">
        <f>IFERROR(__xludf.DUMMYFUNCTION("GOOGLETRANSLATE(B1412,""en"",""zh-CN"")"),"出现了一个信息图，显示他的名字是美国的Danell Leyva。")</f>
        <v>出现了一个信息图，显示他的名字是美国的Danell Leyva。</v>
      </c>
    </row>
    <row r="1413">
      <c r="A1413" s="4" t="s">
        <v>1774</v>
      </c>
      <c r="B1413" s="4" t="s">
        <v>1777</v>
      </c>
      <c r="C1413" s="5" t="str">
        <f>IFERROR(__xludf.DUMMYFUNCTION("GOOGLETRANSLATE(B1413,""en"",""zh-CN"")"),"他走到平行的酒吧和波浪上。")</f>
        <v>他走到平行的酒吧和波浪上。</v>
      </c>
    </row>
    <row r="1414">
      <c r="A1414" s="4" t="s">
        <v>1774</v>
      </c>
      <c r="B1414" s="4" t="s">
        <v>1778</v>
      </c>
      <c r="C1414" s="5" t="str">
        <f>IFERROR(__xludf.DUMMYFUNCTION("GOOGLETRANSLATE(B1414,""en"",""zh-CN"")"),"他执行例行，执行许多翻转和倒立。")</f>
        <v>他执行例行，执行许多翻转和倒立。</v>
      </c>
    </row>
    <row r="1415">
      <c r="A1415" s="4" t="s">
        <v>1774</v>
      </c>
      <c r="B1415" s="4" t="s">
        <v>1779</v>
      </c>
      <c r="C1415" s="5" t="str">
        <f>IFERROR(__xludf.DUMMYFUNCTION("GOOGLETRANSLATE(B1415,""en"",""zh-CN"")"),"他严重下马，跌倒并降落在垫子旁边。")</f>
        <v>他严重下马，跌倒并降落在垫子旁边。</v>
      </c>
    </row>
    <row r="1416">
      <c r="A1416" s="4" t="s">
        <v>1774</v>
      </c>
      <c r="B1416" s="4" t="s">
        <v>1780</v>
      </c>
      <c r="C1416" s="5" t="str">
        <f>IFERROR(__xludf.DUMMYFUNCTION("GOOGLETRANSLATE(B1416,""en"",""zh-CN"")"),"他回到垫子上，短暂举起手臂。")</f>
        <v>他回到垫子上，短暂举起手臂。</v>
      </c>
    </row>
    <row r="1417">
      <c r="A1417" s="4" t="s">
        <v>1781</v>
      </c>
      <c r="B1417" s="4" t="s">
        <v>1782</v>
      </c>
      <c r="C1417" s="5" t="str">
        <f>IFERROR(__xludf.DUMMYFUNCTION("GOOGLETRANSLATE(B1417,""en"",""zh-CN"")"),"曲棍球运动员走到冰上，互相问候。")</f>
        <v>曲棍球运动员走到冰上，互相问候。</v>
      </c>
    </row>
    <row r="1418">
      <c r="A1418" s="4" t="s">
        <v>1781</v>
      </c>
      <c r="B1418" s="4" t="s">
        <v>1783</v>
      </c>
      <c r="C1418" s="5" t="str">
        <f>IFERROR(__xludf.DUMMYFUNCTION("GOOGLETRANSLATE(B1418,""en"",""zh-CN"")"),"他们玩游戏，试图使冰球超越对手进入进球。")</f>
        <v>他们玩游戏，试图使冰球超越对手进入进球。</v>
      </c>
    </row>
    <row r="1419">
      <c r="A1419" s="4" t="s">
        <v>1781</v>
      </c>
      <c r="B1419" s="4" t="s">
        <v>1784</v>
      </c>
      <c r="C1419" s="5" t="str">
        <f>IFERROR(__xludf.DUMMYFUNCTION("GOOGLETRANSLATE(B1419,""en"",""zh-CN"")"),"他们慢慢地在冰上滚去。")</f>
        <v>他们慢慢地在冰上滚去。</v>
      </c>
    </row>
    <row r="1420">
      <c r="A1420" s="4" t="s">
        <v>1785</v>
      </c>
      <c r="B1420" s="4" t="s">
        <v>1786</v>
      </c>
      <c r="C1420" s="5" t="str">
        <f>IFERROR(__xludf.DUMMYFUNCTION("GOOGLETRANSLATE(B1420,""en"",""zh-CN"")"),"一个运动的女人在伸展球，向后和第四个挥舞双腿。")</f>
        <v>一个运动的女人在伸展球，向后和第四个挥舞双腿。</v>
      </c>
    </row>
    <row r="1421">
      <c r="A1421" s="4" t="s">
        <v>1785</v>
      </c>
      <c r="B1421" s="4" t="s">
        <v>1787</v>
      </c>
      <c r="C1421" s="5" t="str">
        <f>IFERROR(__xludf.DUMMYFUNCTION("GOOGLETRANSLATE(B1421,""en"",""zh-CN"")"),"她扔了球，再次为另一局做准备。")</f>
        <v>她扔了球，再次为另一局做准备。</v>
      </c>
    </row>
    <row r="1422">
      <c r="A1422" s="4" t="s">
        <v>1785</v>
      </c>
      <c r="B1422" s="4" t="s">
        <v>1788</v>
      </c>
      <c r="C1422" s="5" t="str">
        <f>IFERROR(__xludf.DUMMYFUNCTION("GOOGLETRANSLATE(B1422,""en"",""zh-CN"")"),"紧随其后的是，她再次旋转着再次扔球。")</f>
        <v>紧随其后的是，她再次旋转着再次扔球。</v>
      </c>
    </row>
    <row r="1423">
      <c r="A1423" s="4" t="s">
        <v>1785</v>
      </c>
      <c r="B1423" s="4" t="s">
        <v>1789</v>
      </c>
      <c r="C1423" s="5" t="str">
        <f>IFERROR(__xludf.DUMMYFUNCTION("GOOGLETRANSLATE(B1423,""en"",""zh-CN"")"),"她表演最后一球，再次旋转。")</f>
        <v>她表演最后一球，再次旋转。</v>
      </c>
    </row>
    <row r="1424">
      <c r="A1424" s="4" t="s">
        <v>1790</v>
      </c>
      <c r="B1424" s="4" t="s">
        <v>1791</v>
      </c>
      <c r="C1424" s="5" t="str">
        <f>IFERROR(__xludf.DUMMYFUNCTION("GOOGLETRANSLATE(B1424,""en"",""zh-CN"")"),"棉球正在着火，并以各种方式扑灭。")</f>
        <v>棉球正在着火，并以各种方式扑灭。</v>
      </c>
    </row>
    <row r="1425">
      <c r="A1425" s="4" t="s">
        <v>1790</v>
      </c>
      <c r="B1425" s="4" t="s">
        <v>1792</v>
      </c>
      <c r="C1425" s="5" t="str">
        <f>IFERROR(__xludf.DUMMYFUNCTION("GOOGLETRANSLATE(B1425,""en"",""zh-CN"")"),"斧头被用来扑灭大火。")</f>
        <v>斧头被用来扑灭大火。</v>
      </c>
    </row>
    <row r="1426">
      <c r="A1426" s="4" t="s">
        <v>1790</v>
      </c>
      <c r="B1426" s="4" t="s">
        <v>1793</v>
      </c>
      <c r="C1426" s="5" t="str">
        <f>IFERROR(__xludf.DUMMYFUNCTION("GOOGLETRANSLATE(B1426,""en"",""zh-CN"")"),"一块木头用于扑灭大火。")</f>
        <v>一块木头用于扑灭大火。</v>
      </c>
    </row>
    <row r="1427">
      <c r="A1427" s="4" t="s">
        <v>1794</v>
      </c>
      <c r="B1427" s="6" t="s">
        <v>1795</v>
      </c>
      <c r="C1427" s="5" t="str">
        <f>IFERROR(__xludf.DUMMYFUNCTION("GOOGLETRANSLATE(B1427,""en"",""zh-CN"")"),"一个女人洗了男人的头，剪了头发，然后那个女人站着下两个男人触摸年轻人的头。")</f>
        <v>一个女人洗了男人的头，剪了头发，然后那个女人站着下两个男人触摸年轻人的头。</v>
      </c>
    </row>
    <row r="1428">
      <c r="A1428" s="4" t="s">
        <v>1794</v>
      </c>
      <c r="B1428" s="4" t="s">
        <v>1796</v>
      </c>
      <c r="C1428" s="5" t="str">
        <f>IFERROR(__xludf.DUMMYFUNCTION("GOOGLETRANSLATE(B1428,""en"",""zh-CN"")"),"女人用第一台机器，然后是梳子和剪刀剪了一个年轻人的头发。")</f>
        <v>女人用第一台机器，然后是梳子和剪刀剪了一个年轻人的头发。</v>
      </c>
    </row>
    <row r="1429">
      <c r="A1429" s="4" t="s">
        <v>1794</v>
      </c>
      <c r="B1429" s="4" t="s">
        <v>1797</v>
      </c>
      <c r="C1429" s="5" t="str">
        <f>IFERROR(__xludf.DUMMYFUNCTION("GOOGLETRANSLATE(B1429,""en"",""zh-CN"")"),"然后，女人用烘干机擦干头发，然后刷头。")</f>
        <v>然后，女人用烘干机擦干头发，然后刷头。</v>
      </c>
    </row>
    <row r="1430">
      <c r="A1430" s="4" t="s">
        <v>1794</v>
      </c>
      <c r="B1430" s="6" t="s">
        <v>1798</v>
      </c>
      <c r="C1430" s="5" t="str">
        <f>IFERROR(__xludf.DUMMYFUNCTION("GOOGLETRANSLATE(B1430,""en"",""zh-CN"")"),"之后，女人手上拿起奶油，用手指梳理男人的头，以使头发形成。")</f>
        <v>之后，女人手上拿起奶油，用手指梳理男人的头，以使头发形成。</v>
      </c>
    </row>
    <row r="1431">
      <c r="A1431" s="4" t="s">
        <v>1794</v>
      </c>
      <c r="B1431" s="4" t="s">
        <v>1799</v>
      </c>
      <c r="C1431" s="5" t="str">
        <f>IFERROR(__xludf.DUMMYFUNCTION("GOOGLETRANSLATE(B1431,""en"",""zh-CN"")"),"接下来，女人解释了发型。")</f>
        <v>接下来，女人解释了发型。</v>
      </c>
    </row>
    <row r="1432">
      <c r="A1432" s="4" t="s">
        <v>1800</v>
      </c>
      <c r="B1432" s="6" t="s">
        <v>1801</v>
      </c>
      <c r="C1432" s="5" t="str">
        <f>IFERROR(__xludf.DUMMYFUNCTION("GOOGLETRANSLATE(B1432,""en"",""zh-CN"")"),"人们在医院的走廊上行走，然后一名医生回顾了一名男子的受伤腿，留在腿和机器上。")</f>
        <v>人们在医院的走廊上行走，然后一名医生回顾了一名男子的受伤腿，留在腿和机器上。</v>
      </c>
    </row>
    <row r="1433">
      <c r="A1433" s="4" t="s">
        <v>1800</v>
      </c>
      <c r="B1433" s="6" t="s">
        <v>1802</v>
      </c>
      <c r="C1433" s="5" t="str">
        <f>IFERROR(__xludf.DUMMYFUNCTION("GOOGLETRANSLATE(B1433,""en"",""zh-CN"")"),"然后，该男子打电话给电话，并在手机上留下绿色闪闪发光，说将其传递给抓住电话的护士的手。")</f>
        <v>然后，该男子打电话给电话，并在手机上留下绿色闪闪发光，说将其传递给抓住电话的护士的手。</v>
      </c>
    </row>
    <row r="1434">
      <c r="A1434" s="4" t="s">
        <v>1800</v>
      </c>
      <c r="B1434" s="6" t="s">
        <v>1803</v>
      </c>
      <c r="C1434" s="5" t="str">
        <f>IFERROR(__xludf.DUMMYFUNCTION("GOOGLETRANSLATE(B1434,""en"",""zh-CN"")"),"护士进入探望一个生病的男人之后，还有两名医生在手上携带绿色闪闪发光的医生。")</f>
        <v>护士进入探望一个生病的男人之后，还有两名医生在手上携带绿色闪闪发光的医生。</v>
      </c>
    </row>
    <row r="1435">
      <c r="A1435" s="4" t="s">
        <v>1800</v>
      </c>
      <c r="B1435" s="4" t="s">
        <v>1804</v>
      </c>
      <c r="C1435" s="5" t="str">
        <f>IFERROR(__xludf.DUMMYFUNCTION("GOOGLETRANSLATE(B1435,""en"",""zh-CN"")"),"一个人洗手，用手消毒并清洁听诊器，以摆脱微生物。")</f>
        <v>一个人洗手，用手消毒并清洁听诊器，以摆脱微生物。</v>
      </c>
    </row>
    <row r="1436">
      <c r="A1436" s="4" t="s">
        <v>1805</v>
      </c>
      <c r="B1436" s="6" t="s">
        <v>1806</v>
      </c>
      <c r="C1436" s="5" t="str">
        <f>IFERROR(__xludf.DUMMYFUNCTION("GOOGLETRANSLATE(B1436,""en"",""zh-CN"")"),"一名运动员准备在一个充满人的体育场里表演跳远，然后一名白人男性奔跑，跳高到沙滩上。")</f>
        <v>一名运动员准备在一个充满人的体育场里表演跳远，然后一名白人男性奔跑，跳高到沙滩上。</v>
      </c>
    </row>
    <row r="1437">
      <c r="A1437" s="4" t="s">
        <v>1805</v>
      </c>
      <c r="B1437" s="4" t="s">
        <v>1807</v>
      </c>
      <c r="C1437" s="5" t="str">
        <f>IFERROR(__xludf.DUMMYFUNCTION("GOOGLETRANSLATE(B1437,""en"",""zh-CN"")"),"此外，三名黑人男性跑得迅速，跳高以进行跳远。")</f>
        <v>此外，三名黑人男性跑得迅速，跳高以进行跳远。</v>
      </c>
    </row>
    <row r="1438">
      <c r="A1438" s="4" t="s">
        <v>1805</v>
      </c>
      <c r="B1438" s="4" t="s">
        <v>1808</v>
      </c>
      <c r="C1438" s="5" t="str">
        <f>IFERROR(__xludf.DUMMYFUNCTION("GOOGLETRANSLATE(B1438,""en"",""zh-CN"")"),"另外，一名白人男性表演跳远，还有两个黑人跳远。")</f>
        <v>另外，一名白人男性表演跳远，还有两个黑人跳远。</v>
      </c>
    </row>
    <row r="1439">
      <c r="A1439" s="4" t="s">
        <v>1805</v>
      </c>
      <c r="B1439" s="4" t="s">
        <v>1809</v>
      </c>
      <c r="C1439" s="5" t="str">
        <f>IFERROR(__xludf.DUMMYFUNCTION("GOOGLETRANSLATE(B1439,""en"",""zh-CN"")"),"分数板显示和得分，而一个人站着走开，脱下他的甜毛衣。")</f>
        <v>分数板显示和得分，而一个人站着走开，脱下他的甜毛衣。</v>
      </c>
    </row>
    <row r="1440">
      <c r="A1440" s="4" t="s">
        <v>1805</v>
      </c>
      <c r="B1440" s="4" t="s">
        <v>1810</v>
      </c>
      <c r="C1440" s="5" t="str">
        <f>IFERROR(__xludf.DUMMYFUNCTION("GOOGLETRANSLATE(B1440,""en"",""zh-CN"")"),"一名黑人男性跳高快乐，庆祝他的胜利。")</f>
        <v>一名黑人男性跳高快乐，庆祝他的胜利。</v>
      </c>
    </row>
    <row r="1441">
      <c r="A1441" s="4" t="s">
        <v>1811</v>
      </c>
      <c r="B1441" s="4" t="s">
        <v>1812</v>
      </c>
      <c r="C1441" s="5" t="str">
        <f>IFERROR(__xludf.DUMMYFUNCTION("GOOGLETRANSLATE(B1441,""en"",""zh-CN"")"),"出现屏幕，并带有指令如何连接脚踏自行车拖车。")</f>
        <v>出现屏幕，并带有指令如何连接脚踏自行车拖车。</v>
      </c>
    </row>
    <row r="1442">
      <c r="A1442" s="4" t="s">
        <v>1811</v>
      </c>
      <c r="B1442" s="4" t="s">
        <v>1813</v>
      </c>
      <c r="C1442" s="5" t="str">
        <f>IFERROR(__xludf.DUMMYFUNCTION("GOOGLETRANSLATE(B1442,""en"",""zh-CN"")"),"一个男人正在展示如何在自行车的后轮上安装脚踏自行车拖车。")</f>
        <v>一个男人正在展示如何在自行车的后轮上安装脚踏自行车拖车。</v>
      </c>
    </row>
    <row r="1443">
      <c r="A1443" s="4" t="s">
        <v>1811</v>
      </c>
      <c r="B1443" s="4" t="s">
        <v>1814</v>
      </c>
      <c r="C1443" s="5" t="str">
        <f>IFERROR(__xludf.DUMMYFUNCTION("GOOGLETRANSLATE(B1443,""en"",""zh-CN"")"),"然后，该男子继续解释餐厅里的过程。")</f>
        <v>然后，该男子继续解释餐厅里的过程。</v>
      </c>
    </row>
    <row r="1444">
      <c r="A1444" s="4" t="s">
        <v>1811</v>
      </c>
      <c r="B1444" s="4" t="s">
        <v>1815</v>
      </c>
      <c r="C1444" s="5" t="str">
        <f>IFERROR(__xludf.DUMMYFUNCTION("GOOGLETRANSLATE(B1444,""en"",""zh-CN"")"),"两名幼儿坐在自行车拖车中，而男人则挂着安全带。")</f>
        <v>两名幼儿坐在自行车拖车中，而男人则挂着安全带。</v>
      </c>
    </row>
    <row r="1445">
      <c r="A1445" s="4" t="s">
        <v>1816</v>
      </c>
      <c r="B1445" s="4" t="s">
        <v>1817</v>
      </c>
      <c r="C1445" s="5" t="str">
        <f>IFERROR(__xludf.DUMMYFUNCTION("GOOGLETRANSLATE(B1445,""en"",""zh-CN"")"),"在室内场上进行的足球比赛上的黑白滤清器。")</f>
        <v>在室内场上进行的足球比赛上的黑白滤清器。</v>
      </c>
    </row>
    <row r="1446">
      <c r="A1446" s="4" t="s">
        <v>1816</v>
      </c>
      <c r="B1446" s="4" t="s">
        <v>1818</v>
      </c>
      <c r="C1446" s="5" t="str">
        <f>IFERROR(__xludf.DUMMYFUNCTION("GOOGLETRANSLATE(B1446,""en"",""zh-CN"")"),"然后显示出越来越多的人踢足球和第四次射击。")</f>
        <v>然后显示出越来越多的人踢足球和第四次射击。</v>
      </c>
    </row>
    <row r="1447">
      <c r="A1447" s="4" t="s">
        <v>1819</v>
      </c>
      <c r="B1447" s="4" t="s">
        <v>1820</v>
      </c>
      <c r="C1447" s="5" t="str">
        <f>IFERROR(__xludf.DUMMYFUNCTION("GOOGLETRANSLATE(B1447,""en"",""zh-CN"")"),"看到一大批人在野外玩曲棍网兜球，而其他人则看着。")</f>
        <v>看到一大批人在野外玩曲棍网兜球，而其他人则看着。</v>
      </c>
    </row>
    <row r="1448">
      <c r="A1448" s="4" t="s">
        <v>1819</v>
      </c>
      <c r="B1448" s="4" t="s">
        <v>1821</v>
      </c>
      <c r="C1448" s="5" t="str">
        <f>IFERROR(__xludf.DUMMYFUNCTION("GOOGLETRANSLATE(B1448,""en"",""zh-CN"")"),"随着人们仍在两者看，游戏仍在继续。")</f>
        <v>随着人们仍在两者看，游戏仍在继续。</v>
      </c>
    </row>
    <row r="1449">
      <c r="A1449" s="4" t="s">
        <v>1819</v>
      </c>
      <c r="B1449" s="4" t="s">
        <v>1822</v>
      </c>
      <c r="C1449" s="5" t="str">
        <f>IFERROR(__xludf.DUMMYFUNCTION("GOOGLETRANSLATE(B1449,""en"",""zh-CN"")"),"他们停下来互相交谈并继续玩游戏。")</f>
        <v>他们停下来互相交谈并继续玩游戏。</v>
      </c>
    </row>
    <row r="1450">
      <c r="A1450" s="4" t="s">
        <v>1823</v>
      </c>
      <c r="B1450" s="4" t="s">
        <v>1824</v>
      </c>
      <c r="C1450" s="5" t="str">
        <f>IFERROR(__xludf.DUMMYFUNCTION("GOOGLETRANSLATE(B1450,""en"",""zh-CN"")"),"看到一个人在水上骑着海浪以及在房子里聚会的人。")</f>
        <v>看到一个人在水上骑着海浪以及在房子里聚会的人。</v>
      </c>
    </row>
    <row r="1451">
      <c r="A1451" s="4" t="s">
        <v>1823</v>
      </c>
      <c r="B1451" s="4" t="s">
        <v>1825</v>
      </c>
      <c r="C1451" s="5" t="str">
        <f>IFERROR(__xludf.DUMMYFUNCTION("GOOGLETRANSLATE(B1451,""en"",""zh-CN"")"),"显示了DJ播放音乐，以及人们在周围跳舞和冲浪者冲浪。")</f>
        <v>显示了DJ播放音乐，以及人们在周围跳舞和冲浪者冲浪。</v>
      </c>
    </row>
    <row r="1452">
      <c r="A1452" s="4" t="s">
        <v>1823</v>
      </c>
      <c r="B1452" s="4" t="s">
        <v>1826</v>
      </c>
      <c r="C1452" s="5" t="str">
        <f>IFERROR(__xludf.DUMMYFUNCTION("GOOGLETRANSLATE(B1452,""en"",""zh-CN"")"),"显示了人们在房子里冲浪和玩得开心的更多镜头。")</f>
        <v>显示了人们在房子里冲浪和玩得开心的更多镜头。</v>
      </c>
    </row>
    <row r="1453">
      <c r="A1453" s="4" t="s">
        <v>1827</v>
      </c>
      <c r="B1453" s="4" t="s">
        <v>1828</v>
      </c>
      <c r="C1453" s="5" t="str">
        <f>IFERROR(__xludf.DUMMYFUNCTION("GOOGLETRANSLATE(B1453,""en"",""zh-CN"")"),"我们在白色上看到一个开头的屏幕。")</f>
        <v>我们在白色上看到一个开头的屏幕。</v>
      </c>
    </row>
    <row r="1454">
      <c r="A1454" s="4" t="s">
        <v>1827</v>
      </c>
      <c r="B1454" s="4" t="s">
        <v>1829</v>
      </c>
      <c r="C1454" s="5" t="str">
        <f>IFERROR(__xludf.DUMMYFUNCTION("GOOGLETRANSLATE(B1454,""en"",""zh-CN"")"),"然后，我们看到管子上的人在河里玩耍。")</f>
        <v>然后，我们看到管子上的人在河里玩耍。</v>
      </c>
    </row>
    <row r="1455">
      <c r="A1455" s="4" t="s">
        <v>1827</v>
      </c>
      <c r="B1455" s="4" t="s">
        <v>1830</v>
      </c>
      <c r="C1455" s="5" t="str">
        <f>IFERROR(__xludf.DUMMYFUNCTION("GOOGLETRANSLATE(B1455,""en"",""zh-CN"")"),"一个戴着太阳镜的男孩漂浮在相机上。")</f>
        <v>一个戴着太阳镜的男孩漂浮在相机上。</v>
      </c>
    </row>
    <row r="1456">
      <c r="A1456" s="4" t="s">
        <v>1827</v>
      </c>
      <c r="B1456" s="4" t="s">
        <v>1831</v>
      </c>
      <c r="C1456" s="5" t="str">
        <f>IFERROR(__xludf.DUMMYFUNCTION("GOOGLETRANSLATE(B1456,""en"",""zh-CN"")"),"一个男孩向相机扔了一个和平标志。")</f>
        <v>一个男孩向相机扔了一个和平标志。</v>
      </c>
    </row>
    <row r="1457">
      <c r="A1457" s="4" t="s">
        <v>1827</v>
      </c>
      <c r="B1457" s="4" t="s">
        <v>1832</v>
      </c>
      <c r="C1457" s="5" t="str">
        <f>IFERROR(__xludf.DUMMYFUNCTION("GOOGLETRANSLATE(B1457,""en"",""zh-CN"")"),"人们越过筏子里的瀑布。")</f>
        <v>人们越过筏子里的瀑布。</v>
      </c>
    </row>
    <row r="1458">
      <c r="A1458" s="4" t="s">
        <v>1827</v>
      </c>
      <c r="B1458" s="4" t="s">
        <v>1833</v>
      </c>
      <c r="C1458" s="5" t="str">
        <f>IFERROR(__xludf.DUMMYFUNCTION("GOOGLETRANSLATE(B1458,""en"",""zh-CN"")"),"我们看到一群人跳入水中。")</f>
        <v>我们看到一群人跳入水中。</v>
      </c>
    </row>
    <row r="1459">
      <c r="A1459" s="4" t="s">
        <v>1834</v>
      </c>
      <c r="B1459" s="4" t="s">
        <v>1835</v>
      </c>
      <c r="C1459" s="5" t="str">
        <f>IFERROR(__xludf.DUMMYFUNCTION("GOOGLETRANSLATE(B1459,""en"",""zh-CN"")"),"一个孩子在家里扮演镀铬长笛。")</f>
        <v>一个孩子在家里扮演镀铬长笛。</v>
      </c>
    </row>
    <row r="1460">
      <c r="A1460" s="4" t="s">
        <v>1834</v>
      </c>
      <c r="B1460" s="4" t="s">
        <v>1836</v>
      </c>
      <c r="C1460" s="5" t="str">
        <f>IFERROR(__xludf.DUMMYFUNCTION("GOOGLETRANSLATE(B1460,""en"",""zh-CN"")"),"女孩完成了这首歌，并降低了长笛。")</f>
        <v>女孩完成了这首歌，并降低了长笛。</v>
      </c>
    </row>
    <row r="1461">
      <c r="A1461" s="4" t="s">
        <v>1837</v>
      </c>
      <c r="B1461" s="4" t="s">
        <v>1838</v>
      </c>
      <c r="C1461" s="5" t="str">
        <f>IFERROR(__xludf.DUMMYFUNCTION("GOOGLETRANSLATE(B1461,""en"",""zh-CN"")"),"两个男人在一个竞技场上打桌，两名裁判员看着名望。")</f>
        <v>两个男人在一个竞技场上打桌，两名裁判员看着名望。</v>
      </c>
    </row>
    <row r="1462">
      <c r="A1462" s="4" t="s">
        <v>1837</v>
      </c>
      <c r="B1462" s="4" t="s">
        <v>1839</v>
      </c>
      <c r="C1462" s="5" t="str">
        <f>IFERROR(__xludf.DUMMYFUNCTION("GOOGLETRANSLATE(B1462,""en"",""zh-CN"")"),"我们看到看护人是观众。")</f>
        <v>我们看到看护人是观众。</v>
      </c>
    </row>
    <row r="1463">
      <c r="A1463" s="4" t="s">
        <v>1837</v>
      </c>
      <c r="B1463" s="4" t="s">
        <v>1840</v>
      </c>
      <c r="C1463" s="5" t="str">
        <f>IFERROR(__xludf.DUMMYFUNCTION("GOOGLETRANSLATE(B1463,""en"",""zh-CN"")"),"得分得分，看到人们鼓掌，重播和标题屏幕。")</f>
        <v>得分得分，看到人们鼓掌，重播和标题屏幕。</v>
      </c>
    </row>
    <row r="1464">
      <c r="A1464" s="4" t="s">
        <v>1837</v>
      </c>
      <c r="B1464" s="4" t="s">
        <v>1841</v>
      </c>
      <c r="C1464" s="5" t="str">
        <f>IFERROR(__xludf.DUMMYFUNCTION("GOOGLETRANSLATE(B1464,""en"",""zh-CN"")"),"灰色的男人靠背，擦拭汗水。")</f>
        <v>灰色的男人靠背，擦拭汗水。</v>
      </c>
    </row>
    <row r="1465">
      <c r="A1465" s="4" t="s">
        <v>1837</v>
      </c>
      <c r="B1465" s="6" t="s">
        <v>1842</v>
      </c>
      <c r="C1465" s="5" t="str">
        <f>IFERROR(__xludf.DUMMYFUNCTION("GOOGLETRANSLATE(B1465,""en"",""zh-CN"")"),"我们看到黑人身穿黑人的男人在男人返回比赛之前与他身后的人交谈。")</f>
        <v>我们看到黑人身穿黑人的男人在男人返回比赛之前与他身后的人交谈。</v>
      </c>
    </row>
    <row r="1466">
      <c r="A1466" s="4" t="s">
        <v>1837</v>
      </c>
      <c r="B1466" s="4" t="s">
        <v>777</v>
      </c>
      <c r="C1466" s="5" t="str">
        <f>IFERROR(__xludf.DUMMYFUNCTION("GOOGLETRANSLATE(B1466,""en"",""zh-CN"")"),"我们看到结尾标题屏幕。")</f>
        <v>我们看到结尾标题屏幕。</v>
      </c>
    </row>
    <row r="1467">
      <c r="A1467" s="4" t="s">
        <v>1843</v>
      </c>
      <c r="B1467" s="6" t="s">
        <v>1844</v>
      </c>
      <c r="C1467" s="5" t="str">
        <f>IFERROR(__xludf.DUMMYFUNCTION("GOOGLETRANSLATE(B1467,""en"",""zh-CN"")"),"两个人在夜间在狭窄的水池前爬上攀岩墙，周围有一群围观者。")</f>
        <v>两个人在夜间在狭窄的水池前爬上攀岩墙，周围有一群围观者。</v>
      </c>
    </row>
    <row r="1468">
      <c r="A1468" s="4" t="s">
        <v>1843</v>
      </c>
      <c r="B1468" s="6" t="s">
        <v>1845</v>
      </c>
      <c r="C1468" s="5" t="str">
        <f>IFERROR(__xludf.DUMMYFUNCTION("GOOGLETRANSLATE(B1468,""en"",""zh-CN"")"),"两人在中途上途慢慢爬上墙壁，左边的人从墙壁掉进了下面的水。")</f>
        <v>两人在中途上途慢慢爬上墙壁，左边的人从墙壁掉进了下面的水。</v>
      </c>
    </row>
    <row r="1469">
      <c r="A1469" s="4" t="s">
        <v>1843</v>
      </c>
      <c r="B1469" s="6" t="s">
        <v>1846</v>
      </c>
      <c r="C1469" s="5" t="str">
        <f>IFERROR(__xludf.DUMMYFUNCTION("GOOGLETRANSLATE(B1469,""en"",""zh-CN"")"),"另一场比赛开始时，右边的人掉下来，左边的人爬到墙壁顶部，然后从墙壁上跳入水中。")</f>
        <v>另一场比赛开始时，右边的人掉下来，左边的人爬到墙壁顶部，然后从墙壁上跳入水中。</v>
      </c>
    </row>
    <row r="1470">
      <c r="A1470" s="4" t="s">
        <v>1843</v>
      </c>
      <c r="B1470" s="6" t="s">
        <v>1847</v>
      </c>
      <c r="C1470" s="5" t="str">
        <f>IFERROR(__xludf.DUMMYFUNCTION("GOOGLETRANSLATE(B1470,""en"",""zh-CN"")"),"在同一环境中，但是现在在白天，一个孤独的人穿着滑雪板在攀岩墙上的空中弹射，并在下面的水中降落。")</f>
        <v>在同一环境中，但是现在在白天，一个孤独的人穿着滑雪板在攀岩墙上的空中弹射，并在下面的水中降落。</v>
      </c>
    </row>
    <row r="1471">
      <c r="A1471" s="4" t="s">
        <v>1848</v>
      </c>
      <c r="B1471" s="4" t="s">
        <v>1849</v>
      </c>
      <c r="C1471" s="5" t="str">
        <f>IFERROR(__xludf.DUMMYFUNCTION("GOOGLETRANSLATE(B1471,""en"",""zh-CN"")"),"观众看着锅子进入大型轨道，运动员跑进坑里。")</f>
        <v>观众看着锅子进入大型轨道，运动员跑进坑里。</v>
      </c>
    </row>
    <row r="1472">
      <c r="A1472" s="4" t="s">
        <v>1848</v>
      </c>
      <c r="B1472" s="6" t="s">
        <v>1850</v>
      </c>
      <c r="C1472" s="5" t="str">
        <f>IFERROR(__xludf.DUMMYFUNCTION("GOOGLETRANSLATE(B1472,""en"",""zh-CN"")"),"在观众拍手和人们对镜头说话时，有几个人在赛道上奔跑。")</f>
        <v>在观众拍手和人们对镜头说话时，有几个人在赛道上奔跑。</v>
      </c>
    </row>
    <row r="1473">
      <c r="A1473" s="4" t="s">
        <v>1851</v>
      </c>
      <c r="B1473" s="4" t="s">
        <v>1852</v>
      </c>
      <c r="C1473" s="5" t="str">
        <f>IFERROR(__xludf.DUMMYFUNCTION("GOOGLETRANSLATE(B1473,""en"",""zh-CN"")"),"一个年轻人将轮子拉出，并展示轮子的正确结构。")</f>
        <v>一个年轻人将轮子拉出，并展示轮子的正确结构。</v>
      </c>
    </row>
    <row r="1474">
      <c r="A1474" s="4" t="s">
        <v>1851</v>
      </c>
      <c r="B1474" s="4" t="s">
        <v>1853</v>
      </c>
      <c r="C1474" s="5" t="str">
        <f>IFERROR(__xludf.DUMMYFUNCTION("GOOGLETRANSLATE(B1474,""en"",""zh-CN"")"),"他检查了轮胎的当前压力，并开始将空气泵入轮胎。")</f>
        <v>他检查了轮胎的当前压力，并开始将空气泵入轮胎。</v>
      </c>
    </row>
    <row r="1475">
      <c r="A1475" s="4" t="s">
        <v>1851</v>
      </c>
      <c r="B1475" s="6" t="s">
        <v>1854</v>
      </c>
      <c r="C1475" s="5" t="str">
        <f>IFERROR(__xludf.DUMMYFUNCTION("GOOGLETRANSLATE(B1475,""en"",""zh-CN"")"),"他显示了好胎面和坏胎面之间的区别，以及何时知道何时更换轮胎。")</f>
        <v>他显示了好胎面和坏胎面之间的区别，以及何时知道何时更换轮胎。</v>
      </c>
    </row>
    <row r="1476">
      <c r="A1476" s="4" t="s">
        <v>1855</v>
      </c>
      <c r="B1476" s="4" t="s">
        <v>1856</v>
      </c>
      <c r="C1476" s="5" t="str">
        <f>IFERROR(__xludf.DUMMYFUNCTION("GOOGLETRANSLATE(B1476,""en"",""zh-CN"")"),"显示了一个水槽的特写，后面是一个人用各个角度擦拭抹布的人。")</f>
        <v>显示了一个水槽的特写，后面是一个人用各个角度擦拭抹布的人。</v>
      </c>
    </row>
    <row r="1477">
      <c r="A1477" s="4" t="s">
        <v>1855</v>
      </c>
      <c r="B1477" s="4" t="s">
        <v>1857</v>
      </c>
      <c r="C1477" s="5" t="str">
        <f>IFERROR(__xludf.DUMMYFUNCTION("GOOGLETRANSLATE(B1477,""en"",""zh-CN"")"),"水槽本身再次显示，然后滴水。")</f>
        <v>水槽本身再次显示，然后滴水。</v>
      </c>
    </row>
    <row r="1478">
      <c r="A1478" s="4" t="s">
        <v>1858</v>
      </c>
      <c r="B1478" s="4" t="s">
        <v>1859</v>
      </c>
      <c r="C1478" s="5" t="str">
        <f>IFERROR(__xludf.DUMMYFUNCTION("GOOGLETRANSLATE(B1478,""en"",""zh-CN"")"),"我们看到一位女士坐在房间里抚摸她的头发。")</f>
        <v>我们看到一位女士坐在房间里抚摸她的头发。</v>
      </c>
    </row>
    <row r="1479">
      <c r="A1479" s="4" t="s">
        <v>1858</v>
      </c>
      <c r="B1479" s="4" t="s">
        <v>1860</v>
      </c>
      <c r="C1479" s="5" t="str">
        <f>IFERROR(__xludf.DUMMYFUNCTION("GOOGLETRANSLATE(B1479,""en"",""zh-CN"")"),"有一个标题屏幕。")</f>
        <v>有一个标题屏幕。</v>
      </c>
    </row>
    <row r="1480">
      <c r="A1480" s="4" t="s">
        <v>1858</v>
      </c>
      <c r="B1480" s="4" t="s">
        <v>1861</v>
      </c>
      <c r="C1480" s="5" t="str">
        <f>IFERROR(__xludf.DUMMYFUNCTION("GOOGLETRANSLATE(B1480,""en"",""zh-CN"")"),"女士向我们展示了她在头发上使用的产品和工具。")</f>
        <v>女士向我们展示了她在头发上使用的产品和工具。</v>
      </c>
    </row>
    <row r="1481">
      <c r="A1481" s="4" t="s">
        <v>1858</v>
      </c>
      <c r="B1481" s="4" t="s">
        <v>1862</v>
      </c>
      <c r="C1481" s="5" t="str">
        <f>IFERROR(__xludf.DUMMYFUNCTION("GOOGLETRANSLATE(B1481,""en"",""zh-CN"")"),"我们看到那位女士在做她的头发。")</f>
        <v>我们看到那位女士在做她的头发。</v>
      </c>
    </row>
    <row r="1482">
      <c r="A1482" s="4" t="s">
        <v>1858</v>
      </c>
      <c r="B1482" s="4" t="s">
        <v>1863</v>
      </c>
      <c r="C1482" s="5" t="str">
        <f>IFERROR(__xludf.DUMMYFUNCTION("GOOGLETRANSLATE(B1482,""en"",""zh-CN"")"),"女士的截面她的头发并添加了产品。")</f>
        <v>女士的截面她的头发并添加了产品。</v>
      </c>
    </row>
    <row r="1483">
      <c r="A1483" s="4" t="s">
        <v>1858</v>
      </c>
      <c r="B1483" s="4" t="s">
        <v>1864</v>
      </c>
      <c r="C1483" s="5" t="str">
        <f>IFERROR(__xludf.DUMMYFUNCTION("GOOGLETRANSLATE(B1483,""en"",""zh-CN"")"),"那位女士扭动着她的头发。")</f>
        <v>那位女士扭动着她的头发。</v>
      </c>
    </row>
    <row r="1484">
      <c r="A1484" s="4" t="s">
        <v>1858</v>
      </c>
      <c r="B1484" s="4" t="s">
        <v>1865</v>
      </c>
      <c r="C1484" s="5" t="str">
        <f>IFERROR(__xludf.DUMMYFUNCTION("GOOGLETRANSLATE(B1484,""en"",""zh-CN"")"),"那位女士开始吹着她的头发。")</f>
        <v>那位女士开始吹着她的头发。</v>
      </c>
    </row>
    <row r="1485">
      <c r="A1485" s="4" t="s">
        <v>1858</v>
      </c>
      <c r="B1485" s="4" t="s">
        <v>1866</v>
      </c>
      <c r="C1485" s="5" t="str">
        <f>IFERROR(__xludf.DUMMYFUNCTION("GOOGLETRANSLATE(B1485,""en"",""zh-CN"")"),"我们看到了女士成品的图像。")</f>
        <v>我们看到了女士成品的图像。</v>
      </c>
    </row>
    <row r="1486">
      <c r="A1486" s="4" t="s">
        <v>1867</v>
      </c>
      <c r="B1486" s="4" t="s">
        <v>1868</v>
      </c>
      <c r="C1486" s="5" t="str">
        <f>IFERROR(__xludf.DUMMYFUNCTION("GOOGLETRANSLATE(B1486,""en"",""zh-CN"")"),"显示了水体。")</f>
        <v>显示了水体。</v>
      </c>
    </row>
    <row r="1487">
      <c r="A1487" s="4" t="s">
        <v>1867</v>
      </c>
      <c r="B1487" s="4" t="s">
        <v>1869</v>
      </c>
      <c r="C1487" s="5" t="str">
        <f>IFERROR(__xludf.DUMMYFUNCTION("GOOGLETRANSLATE(B1487,""en"",""zh-CN"")"),"一个人从锅里盖上盖子。")</f>
        <v>一个人从锅里盖上盖子。</v>
      </c>
    </row>
    <row r="1488">
      <c r="A1488" s="4" t="s">
        <v>1867</v>
      </c>
      <c r="B1488" s="4" t="s">
        <v>1870</v>
      </c>
      <c r="C1488" s="5" t="str">
        <f>IFERROR(__xludf.DUMMYFUNCTION("GOOGLETRANSLATE(B1488,""en"",""zh-CN"")"),"他们展示了一个带帐篷的营地。")</f>
        <v>他们展示了一个带帐篷的营地。</v>
      </c>
    </row>
    <row r="1489">
      <c r="A1489" s="4" t="s">
        <v>1867</v>
      </c>
      <c r="B1489" s="4" t="s">
        <v>1871</v>
      </c>
      <c r="C1489" s="5" t="str">
        <f>IFERROR(__xludf.DUMMYFUNCTION("GOOGLETRANSLATE(B1489,""en"",""zh-CN"")"),"他们把布放在水桶里。")</f>
        <v>他们把布放在水桶里。</v>
      </c>
    </row>
    <row r="1490">
      <c r="A1490" s="4" t="s">
        <v>1872</v>
      </c>
      <c r="B1490" s="4" t="s">
        <v>1873</v>
      </c>
      <c r="C1490" s="5" t="str">
        <f>IFERROR(__xludf.DUMMYFUNCTION("GOOGLETRANSLATE(B1490,""en"",""zh-CN"")"),"有两个人在室内体育场打乒乓球。")</f>
        <v>有两个人在室内体育场打乒乓球。</v>
      </c>
    </row>
    <row r="1491">
      <c r="A1491" s="4" t="s">
        <v>1872</v>
      </c>
      <c r="B1491" s="4" t="s">
        <v>1874</v>
      </c>
      <c r="C1491" s="5" t="str">
        <f>IFERROR(__xludf.DUMMYFUNCTION("GOOGLETRANSLATE(B1491,""en"",""zh-CN"")"),"其中一名球员穿着蓝色，另一个球员穿着红色衬衫。")</f>
        <v>其中一名球员穿着蓝色，另一个球员穿着红色衬衫。</v>
      </c>
    </row>
    <row r="1492">
      <c r="A1492" s="4" t="s">
        <v>1872</v>
      </c>
      <c r="B1492" s="4" t="s">
        <v>1875</v>
      </c>
      <c r="C1492" s="5" t="str">
        <f>IFERROR(__xludf.DUMMYFUNCTION("GOOGLETRANSLATE(B1492,""en"",""zh-CN"")"),"有一个穿着黑色衬衫的人坐在球员附近。")</f>
        <v>有一个穿着黑色衬衫的人坐在球员附近。</v>
      </c>
    </row>
    <row r="1493">
      <c r="A1493" s="4" t="s">
        <v>1872</v>
      </c>
      <c r="B1493" s="4" t="s">
        <v>1876</v>
      </c>
      <c r="C1493" s="5" t="str">
        <f>IFERROR(__xludf.DUMMYFUNCTION("GOOGLETRANSLATE(B1493,""en"",""zh-CN"")"),"体育场里有几个观众。")</f>
        <v>体育场里有几个观众。</v>
      </c>
    </row>
    <row r="1494">
      <c r="A1494" s="4" t="s">
        <v>1872</v>
      </c>
      <c r="B1494" s="4" t="s">
        <v>1877</v>
      </c>
      <c r="C1494" s="5" t="str">
        <f>IFERROR(__xludf.DUMMYFUNCTION("GOOGLETRANSLATE(B1494,""en"",""zh-CN"")"),"他们继续参加集会一段时间。")</f>
        <v>他们继续参加集会一段时间。</v>
      </c>
    </row>
    <row r="1495">
      <c r="A1495" s="4" t="s">
        <v>1872</v>
      </c>
      <c r="B1495" s="4" t="s">
        <v>1878</v>
      </c>
      <c r="C1495" s="5" t="str">
        <f>IFERROR(__xludf.DUMMYFUNCTION("GOOGLETRANSLATE(B1495,""en"",""zh-CN"")"),"红色衬衫的球员错过了球，给对手一个胜利。")</f>
        <v>红色衬衫的球员错过了球，给对手一个胜利。</v>
      </c>
    </row>
    <row r="1496">
      <c r="A1496" s="4" t="s">
        <v>1872</v>
      </c>
      <c r="B1496" s="4" t="s">
        <v>1879</v>
      </c>
      <c r="C1496" s="5" t="str">
        <f>IFERROR(__xludf.DUMMYFUNCTION("GOOGLETRANSLATE(B1496,""en"",""zh-CN"")"),"蓝色的球员在获胜点之后大声欢呼，闯入舞蹈。")</f>
        <v>蓝色的球员在获胜点之后大声欢呼，闯入舞蹈。</v>
      </c>
    </row>
    <row r="1497">
      <c r="A1497" s="4" t="s">
        <v>1872</v>
      </c>
      <c r="B1497" s="4" t="s">
        <v>1880</v>
      </c>
      <c r="C1497" s="5" t="str">
        <f>IFERROR(__xludf.DUMMYFUNCTION("GOOGLETRANSLATE(B1497,""en"",""zh-CN"")"),"他继续跳舞，朝对手嘲笑他。")</f>
        <v>他继续跳舞，朝对手嘲笑他。</v>
      </c>
    </row>
    <row r="1498">
      <c r="A1498" s="4" t="s">
        <v>1872</v>
      </c>
      <c r="B1498" s="4" t="s">
        <v>1881</v>
      </c>
      <c r="C1498" s="5" t="str">
        <f>IFERROR(__xludf.DUMMYFUNCTION("GOOGLETRANSLATE(B1498,""en"",""zh-CN"")"),"然后，他回到乒乓球桌上。")</f>
        <v>然后，他回到乒乓球桌上。</v>
      </c>
    </row>
    <row r="1499">
      <c r="A1499" s="4" t="s">
        <v>1872</v>
      </c>
      <c r="B1499" s="4" t="s">
        <v>1882</v>
      </c>
      <c r="C1499" s="5" t="str">
        <f>IFERROR(__xludf.DUMMYFUNCTION("GOOGLETRANSLATE(B1499,""en"",""zh-CN"")"),"穿着黑色的那个人显示得分。")</f>
        <v>穿着黑色的那个人显示得分。</v>
      </c>
    </row>
    <row r="1500">
      <c r="A1500" s="4" t="s">
        <v>1883</v>
      </c>
      <c r="B1500" s="4" t="s">
        <v>1884</v>
      </c>
      <c r="C1500" s="5" t="str">
        <f>IFERROR(__xludf.DUMMYFUNCTION("GOOGLETRANSLATE(B1500,""en"",""zh-CN"")"),"表现出一头小册子的特写，一个人翻转他们打开并阅读。")</f>
        <v>表现出一头小册子的特写，一个人翻转他们打开并阅读。</v>
      </c>
    </row>
    <row r="1501">
      <c r="A1501" s="4" t="s">
        <v>1883</v>
      </c>
      <c r="B1501" s="4" t="s">
        <v>1885</v>
      </c>
      <c r="C1501" s="5" t="str">
        <f>IFERROR(__xludf.DUMMYFUNCTION("GOOGLETRANSLATE(B1501,""en"",""zh-CN"")"),"该名女士标记了一个名字，然后将其剥落以戴上袜子。")</f>
        <v>该名女士标记了一个名字，然后将其剥落以戴上袜子。</v>
      </c>
    </row>
    <row r="1502">
      <c r="A1502" s="4" t="s">
        <v>1883</v>
      </c>
      <c r="B1502" s="6" t="s">
        <v>1886</v>
      </c>
      <c r="C1502" s="5" t="str">
        <f>IFERROR(__xludf.DUMMYFUNCTION("GOOGLETRANSLATE(B1502,""en"",""zh-CN"")"),"然后，该名女士将铁放在名字上，并从纸上剥落，以展示如何正确标记礼物。")</f>
        <v>然后，该名女士将铁放在名字上，并从纸上剥落，以展示如何正确标记礼物。</v>
      </c>
    </row>
    <row r="1503">
      <c r="A1503" s="4" t="s">
        <v>1887</v>
      </c>
      <c r="B1503" s="4" t="s">
        <v>1888</v>
      </c>
      <c r="C1503" s="5" t="str">
        <f>IFERROR(__xludf.DUMMYFUNCTION("GOOGLETRANSLATE(B1503,""en"",""zh-CN"")"),"女性举重运动员用双腿抬起杠铃。")</f>
        <v>女性举重运动员用双腿抬起杠铃。</v>
      </c>
    </row>
    <row r="1504">
      <c r="A1504" s="4" t="s">
        <v>1887</v>
      </c>
      <c r="B1504" s="4" t="s">
        <v>1889</v>
      </c>
      <c r="C1504" s="5" t="str">
        <f>IFERROR(__xludf.DUMMYFUNCTION("GOOGLETRANSLATE(B1504,""en"",""zh-CN"")"),"她把它放在肚子上，然后拉。")</f>
        <v>她把它放在肚子上，然后拉。</v>
      </c>
    </row>
    <row r="1505">
      <c r="A1505" s="4" t="s">
        <v>1887</v>
      </c>
      <c r="B1505" s="4" t="s">
        <v>1890</v>
      </c>
      <c r="C1505" s="5" t="str">
        <f>IFERROR(__xludf.DUMMYFUNCTION("GOOGLETRANSLATE(B1505,""en"",""zh-CN"")"),"她上下工作，腹部工作。")</f>
        <v>她上下工作，腹部工作。</v>
      </c>
    </row>
    <row r="1506">
      <c r="A1506" s="4" t="s">
        <v>1891</v>
      </c>
      <c r="B1506" s="4" t="s">
        <v>1892</v>
      </c>
      <c r="C1506" s="5" t="str">
        <f>IFERROR(__xludf.DUMMYFUNCTION("GOOGLETRANSLATE(B1506,""en"",""zh-CN"")"),"提供有关二十一点网站IIS的信息。")</f>
        <v>提供有关二十一点网站IIS的信息。</v>
      </c>
    </row>
    <row r="1507">
      <c r="A1507" s="4" t="s">
        <v>1891</v>
      </c>
      <c r="B1507" s="4" t="s">
        <v>1893</v>
      </c>
      <c r="C1507" s="5" t="str">
        <f>IFERROR(__xludf.DUMMYFUNCTION("GOOGLETRANSLATE(B1507,""en"",""zh-CN"")"),"有两个人在赌场里玩耍。")</f>
        <v>有两个人在赌场里玩耍。</v>
      </c>
    </row>
    <row r="1508">
      <c r="A1508" s="4" t="s">
        <v>1891</v>
      </c>
      <c r="B1508" s="4" t="s">
        <v>1894</v>
      </c>
      <c r="C1508" s="5" t="str">
        <f>IFERROR(__xludf.DUMMYFUNCTION("GOOGLETRANSLATE(B1508,""en"",""zh-CN"")"),"二十一点的代表正在展示赌场赌博游戏。")</f>
        <v>二十一点的代表正在展示赌场赌博游戏。</v>
      </c>
    </row>
    <row r="1509">
      <c r="A1509" s="4" t="s">
        <v>1891</v>
      </c>
      <c r="B1509" s="4" t="s">
        <v>1895</v>
      </c>
      <c r="C1509" s="5" t="str">
        <f>IFERROR(__xludf.DUMMYFUNCTION("GOOGLETRANSLATE(B1509,""en"",""zh-CN"")"),"他在桌子上贴在桌子上对阵代币。")</f>
        <v>他在桌子上贴在桌子上对阵代币。</v>
      </c>
    </row>
    <row r="1510">
      <c r="A1510" s="4" t="s">
        <v>1891</v>
      </c>
      <c r="B1510" s="4" t="s">
        <v>1896</v>
      </c>
      <c r="C1510" s="5" t="str">
        <f>IFERROR(__xludf.DUMMYFUNCTION("GOOGLETRANSLATE(B1510,""en"",""zh-CN"")"),"桌子上有几个令牌。")</f>
        <v>桌子上有几个令牌。</v>
      </c>
    </row>
    <row r="1511">
      <c r="A1511" s="4" t="s">
        <v>1891</v>
      </c>
      <c r="B1511" s="4" t="s">
        <v>1897</v>
      </c>
      <c r="C1511" s="5" t="str">
        <f>IFERROR(__xludf.DUMMYFUNCTION("GOOGLETRANSLATE(B1511,""en"",""zh-CN"")"),"他正在解释如何玩赌博游戏以最大程度地利用自己的钱。")</f>
        <v>他正在解释如何玩赌博游戏以最大程度地利用自己的钱。</v>
      </c>
    </row>
    <row r="1512">
      <c r="A1512" s="4" t="s">
        <v>1891</v>
      </c>
      <c r="B1512" s="4" t="s">
        <v>1898</v>
      </c>
      <c r="C1512" s="5" t="str">
        <f>IFERROR(__xludf.DUMMYFUNCTION("GOOGLETRANSLATE(B1512,""en"",""zh-CN"")"),"他在桌子上放了更多的卡片，并牵着一只手来赚取更多的代币。")</f>
        <v>他在桌子上放了更多的卡片，并牵着一只手来赚取更多的代币。</v>
      </c>
    </row>
    <row r="1513">
      <c r="A1513" s="4" t="s">
        <v>1891</v>
      </c>
      <c r="B1513" s="4" t="s">
        <v>1899</v>
      </c>
      <c r="C1513" s="5" t="str">
        <f>IFERROR(__xludf.DUMMYFUNCTION("GOOGLETRANSLATE(B1513,""en"",""zh-CN"")"),"有关如何下载该应用程序的信息已在屏幕上提供。")</f>
        <v>有关如何下载该应用程序的信息已在屏幕上提供。</v>
      </c>
    </row>
    <row r="1514">
      <c r="A1514" s="4" t="s">
        <v>1900</v>
      </c>
      <c r="B1514" s="6" t="s">
        <v>1901</v>
      </c>
      <c r="C1514" s="5" t="str">
        <f>IFERROR(__xludf.DUMMYFUNCTION("GOOGLETRANSLATE(B1514,""en"",""zh-CN"")"),"当相机行走时，它显示了维护良好的树篱，在两个树篱的中心是一条狭窄的路径，通往更宽的田野，被更多的树篱包围。")</f>
        <v>当相机行走时，它显示了维护良好的树篱，在两个树篱的中心是一条狭窄的路径，通往更宽的田野，被更多的树篱包围。</v>
      </c>
    </row>
    <row r="1515">
      <c r="A1515" s="4" t="s">
        <v>1900</v>
      </c>
      <c r="B1515" s="6" t="s">
        <v>1902</v>
      </c>
      <c r="C1515" s="5" t="str">
        <f>IFERROR(__xludf.DUMMYFUNCTION("GOOGLETRANSLATE(B1515,""en"",""zh-CN"")"),"树篱的一侧是穿着黑色衬衫的男人，他站在梯子上，正在修剪树篱。")</f>
        <v>树篱的一侧是穿着黑色衬衫的男人，他站在梯子上，正在修剪树篱。</v>
      </c>
    </row>
    <row r="1516">
      <c r="A1516" s="4" t="s">
        <v>1900</v>
      </c>
      <c r="B1516" s="4" t="s">
        <v>1903</v>
      </c>
      <c r="C1516" s="5" t="str">
        <f>IFERROR(__xludf.DUMMYFUNCTION("GOOGLETRANSLATE(B1516,""en"",""zh-CN"")"),"该男子附近是一个空的长凳，侧面是修剪整齐的树篱。")</f>
        <v>该男子附近是一个空的长凳，侧面是修剪整齐的树篱。</v>
      </c>
    </row>
    <row r="1517">
      <c r="A1517" s="4" t="s">
        <v>1904</v>
      </c>
      <c r="B1517" s="4" t="s">
        <v>1905</v>
      </c>
      <c r="C1517" s="5" t="str">
        <f>IFERROR(__xludf.DUMMYFUNCTION("GOOGLETRANSLATE(B1517,""en"",""zh-CN"")"),"看到一个男人在拿起盒子的同时向相机说话，以展示里面的乐器。")</f>
        <v>看到一个男人在拿起盒子的同时向相机说话，以展示里面的乐器。</v>
      </c>
    </row>
    <row r="1518">
      <c r="A1518" s="4" t="s">
        <v>1904</v>
      </c>
      <c r="B1518" s="4" t="s">
        <v>1906</v>
      </c>
      <c r="C1518" s="5" t="str">
        <f>IFERROR(__xludf.DUMMYFUNCTION("GOOGLETRANSLATE(B1518,""en"",""zh-CN"")"),"该男子掏出口琴，继续向相机展示。")</f>
        <v>该男子掏出口琴，继续向相机展示。</v>
      </c>
    </row>
    <row r="1519">
      <c r="A1519" s="4" t="s">
        <v>1904</v>
      </c>
      <c r="B1519" s="4" t="s">
        <v>1907</v>
      </c>
      <c r="C1519" s="5" t="str">
        <f>IFERROR(__xludf.DUMMYFUNCTION("GOOGLETRANSLATE(B1519,""en"",""zh-CN"")"),"该男子扮演口琴并停下来将其固定在屏幕上以及图片上。")</f>
        <v>该男子扮演口琴并停下来将其固定在屏幕上以及图片上。</v>
      </c>
    </row>
    <row r="1520">
      <c r="A1520" s="4" t="s">
        <v>1908</v>
      </c>
      <c r="B1520" s="4" t="s">
        <v>1909</v>
      </c>
      <c r="C1520" s="5" t="str">
        <f>IFERROR(__xludf.DUMMYFUNCTION("GOOGLETRANSLATE(B1520,""en"",""zh-CN"")"),"有一个女人从浴缸里吃冰淇淋，然后和相机男人聊天。")</f>
        <v>有一个女人从浴缸里吃冰淇淋，然后和相机男人聊天。</v>
      </c>
    </row>
    <row r="1521">
      <c r="A1521" s="4" t="s">
        <v>1908</v>
      </c>
      <c r="B1521" s="4" t="s">
        <v>1910</v>
      </c>
      <c r="C1521" s="5" t="str">
        <f>IFERROR(__xludf.DUMMYFUNCTION("GOOGLETRANSLATE(B1521,""en"",""zh-CN"")"),"他试图看一下浴缸，但她将其拉开。")</f>
        <v>他试图看一下浴缸，但她将其拉开。</v>
      </c>
    </row>
    <row r="1522">
      <c r="A1522" s="4" t="s">
        <v>1908</v>
      </c>
      <c r="B1522" s="4" t="s">
        <v>1911</v>
      </c>
      <c r="C1522" s="5" t="str">
        <f>IFERROR(__xludf.DUMMYFUNCTION("GOOGLETRANSLATE(B1522,""en"",""zh-CN"")"),"相机人坐下来继续与女人交谈。")</f>
        <v>相机人坐下来继续与女人交谈。</v>
      </c>
    </row>
    <row r="1523">
      <c r="A1523" s="4" t="s">
        <v>1908</v>
      </c>
      <c r="B1523" s="4" t="s">
        <v>1912</v>
      </c>
      <c r="C1523" s="5" t="str">
        <f>IFERROR(__xludf.DUMMYFUNCTION("GOOGLETRANSLATE(B1523,""en"",""zh-CN"")"),"她站起来，当她走进厨房时，他跟随她穿过房子。")</f>
        <v>她站起来，当她走进厨房时，他跟随她穿过房子。</v>
      </c>
    </row>
    <row r="1524">
      <c r="A1524" s="4" t="s">
        <v>1908</v>
      </c>
      <c r="B1524" s="4" t="s">
        <v>1913</v>
      </c>
      <c r="C1524" s="5" t="str">
        <f>IFERROR(__xludf.DUMMYFUNCTION("GOOGLETRANSLATE(B1524,""en"",""zh-CN"")"),"她将其余的冰淇淋放在冰箱中，然后冲洗汤匙。")</f>
        <v>她将其余的冰淇淋放在冰箱中，然后冲洗汤匙。</v>
      </c>
    </row>
    <row r="1525">
      <c r="A1525" s="4" t="s">
        <v>1914</v>
      </c>
      <c r="B1525" s="4" t="s">
        <v>1915</v>
      </c>
      <c r="C1525" s="5" t="str">
        <f>IFERROR(__xludf.DUMMYFUNCTION("GOOGLETRANSLATE(B1525,""en"",""zh-CN"")"),"看到一个运动员逐渐绕过一个圈子，将讨论扔到了远处。")</f>
        <v>看到一个运动员逐渐绕过一个圈子，将讨论扔到了远处。</v>
      </c>
    </row>
    <row r="1526">
      <c r="A1526" s="4" t="s">
        <v>1914</v>
      </c>
      <c r="B1526" s="4" t="s">
        <v>1916</v>
      </c>
      <c r="C1526" s="5" t="str">
        <f>IFERROR(__xludf.DUMMYFUNCTION("GOOGLETRANSLATE(B1526,""en"",""zh-CN"")"),"然后，他兴奋地跑步，而相机跟随他，并向其他运动员展示了旋转磁盘。")</f>
        <v>然后，他兴奋地跑步，而相机跟随他，并向其他运动员展示了旋转磁盘。</v>
      </c>
    </row>
    <row r="1527">
      <c r="A1527" s="4" t="s">
        <v>1914</v>
      </c>
      <c r="B1527" s="4" t="s">
        <v>1917</v>
      </c>
      <c r="C1527" s="5" t="str">
        <f>IFERROR(__xludf.DUMMYFUNCTION("GOOGLETRANSLATE(B1527,""en"",""zh-CN"")"),"向人们庆祝，运动员跑进看台。")</f>
        <v>向人们庆祝，运动员跑进看台。</v>
      </c>
    </row>
    <row r="1528">
      <c r="A1528" s="4" t="s">
        <v>1918</v>
      </c>
      <c r="B1528" s="6" t="s">
        <v>1919</v>
      </c>
      <c r="C1528" s="5" t="str">
        <f>IFERROR(__xludf.DUMMYFUNCTION("GOOGLETRANSLATE(B1528,""en"",""zh-CN"")"),"一个女人用水烟坐在桌子旁，而另一个女人则在她身后做愚蠢的脸和手势。")</f>
        <v>一个女人用水烟坐在桌子旁，而另一个女人则在她身后做愚蠢的脸和手势。</v>
      </c>
    </row>
    <row r="1529">
      <c r="A1529" s="4" t="s">
        <v>1918</v>
      </c>
      <c r="B1529" s="4" t="s">
        <v>1920</v>
      </c>
      <c r="C1529" s="5" t="str">
        <f>IFERROR(__xludf.DUMMYFUNCTION("GOOGLETRANSLATE(B1529,""en"",""zh-CN"")"),"他们与镜头后面的人说话。")</f>
        <v>他们与镜头后面的人说话。</v>
      </c>
    </row>
    <row r="1530">
      <c r="A1530" s="4" t="s">
        <v>1918</v>
      </c>
      <c r="B1530" s="4" t="s">
        <v>1921</v>
      </c>
      <c r="C1530" s="5" t="str">
        <f>IFERROR(__xludf.DUMMYFUNCTION("GOOGLETRANSLATE(B1530,""en"",""zh-CN"")"),"它们前面的桌子上有一个特写。")</f>
        <v>它们前面的桌子上有一个特写。</v>
      </c>
    </row>
    <row r="1531">
      <c r="A1531" s="4" t="s">
        <v>1918</v>
      </c>
      <c r="B1531" s="6" t="s">
        <v>1922</v>
      </c>
      <c r="C1531" s="5" t="str">
        <f>IFERROR(__xludf.DUMMYFUNCTION("GOOGLETRANSLATE(B1531,""en"",""zh-CN"")"),"带着相机的女人转过身来面对自己，然后将其瞄准其他女人。")</f>
        <v>带着相机的女人转过身来面对自己，然后将其瞄准其他女人。</v>
      </c>
    </row>
    <row r="1532">
      <c r="A1532" s="4" t="s">
        <v>1918</v>
      </c>
      <c r="B1532" s="4" t="s">
        <v>1923</v>
      </c>
      <c r="C1532" s="5" t="str">
        <f>IFERROR(__xludf.DUMMYFUNCTION("GOOGLETRANSLATE(B1532,""en"",""zh-CN"")"),"其中一名妇女咳嗽为烟雾，击中了她的脸。")</f>
        <v>其中一名妇女咳嗽为烟雾，击中了她的脸。</v>
      </c>
    </row>
    <row r="1533">
      <c r="A1533" s="4" t="s">
        <v>1924</v>
      </c>
      <c r="B1533" s="4" t="s">
        <v>1925</v>
      </c>
      <c r="C1533" s="5" t="str">
        <f>IFERROR(__xludf.DUMMYFUNCTION("GOOGLETRANSLATE(B1533,""en"",""zh-CN"")"),"人在人行道上穿着高跷跳跃。")</f>
        <v>人在人行道上穿着高跷跳跃。</v>
      </c>
    </row>
    <row r="1534">
      <c r="A1534" s="4" t="s">
        <v>1924</v>
      </c>
      <c r="B1534" s="4" t="s">
        <v>1926</v>
      </c>
      <c r="C1534" s="5" t="str">
        <f>IFERROR(__xludf.DUMMYFUNCTION("GOOGLETRANSLATE(B1534,""en"",""zh-CN"")"),"男人的高跷后面是一个平静的绿草田地。")</f>
        <v>男人的高跷后面是一个平静的绿草田地。</v>
      </c>
    </row>
    <row r="1535">
      <c r="A1535" s="4" t="s">
        <v>1924</v>
      </c>
      <c r="B1535" s="4" t="s">
        <v>1927</v>
      </c>
      <c r="C1535" s="5" t="str">
        <f>IFERROR(__xludf.DUMMYFUNCTION("GOOGLETRANSLATE(B1535,""en"",""zh-CN"")"),"男子穿着白色的毛衣和高跷，在绿草公园里。")</f>
        <v>男子穿着白色的毛衣和高跷，在绿草公园里。</v>
      </c>
    </row>
    <row r="1536">
      <c r="A1536" s="4" t="s">
        <v>1928</v>
      </c>
      <c r="B1536" s="6" t="s">
        <v>1929</v>
      </c>
      <c r="C1536" s="5" t="str">
        <f>IFERROR(__xludf.DUMMYFUNCTION("GOOGLETRANSLATE(B1536,""en"",""zh-CN"")"),"看到一个主人在镜头讲话，并导致一名教练与其他人在她身后锻炼的培训师。")</f>
        <v>看到一个主人在镜头讲话，并导致一名教练与其他人在她身后锻炼的培训师。</v>
      </c>
    </row>
    <row r="1537">
      <c r="A1537" s="4" t="s">
        <v>1928</v>
      </c>
      <c r="B1537" s="6" t="s">
        <v>1930</v>
      </c>
      <c r="C1537" s="5" t="str">
        <f>IFERROR(__xludf.DUMMYFUNCTION("GOOGLETRANSLATE(B1537,""en"",""zh-CN"")"),"显示了更多人在自行车上运动的人，并以教练走过和交谈而结束。")</f>
        <v>显示了更多人在自行车上运动的人，并以教练走过和交谈而结束。</v>
      </c>
    </row>
    <row r="1538">
      <c r="A1538" s="4" t="s">
        <v>1931</v>
      </c>
      <c r="B1538" s="4" t="s">
        <v>1932</v>
      </c>
      <c r="C1538" s="5" t="str">
        <f>IFERROR(__xludf.DUMMYFUNCTION("GOOGLETRANSLATE(B1538,""en"",""zh-CN"")"),"一个女人站在网球场上讲话。")</f>
        <v>一个女人站在网球场上讲话。</v>
      </c>
    </row>
    <row r="1539">
      <c r="A1539" s="4" t="s">
        <v>1931</v>
      </c>
      <c r="B1539" s="4" t="s">
        <v>1933</v>
      </c>
      <c r="C1539" s="5" t="str">
        <f>IFERROR(__xludf.DUMMYFUNCTION("GOOGLETRANSLATE(B1539,""en"",""zh-CN"")"),"她开始在球场上打网球。")</f>
        <v>她开始在球场上打网球。</v>
      </c>
    </row>
    <row r="1540">
      <c r="A1540" s="4" t="s">
        <v>1931</v>
      </c>
      <c r="B1540" s="4" t="s">
        <v>1934</v>
      </c>
      <c r="C1540" s="5" t="str">
        <f>IFERROR(__xludf.DUMMYFUNCTION("GOOGLETRANSLATE(B1540,""en"",""zh-CN"")"),"她多次在法庭上打网球。")</f>
        <v>她多次在法庭上打网球。</v>
      </c>
    </row>
    <row r="1541">
      <c r="A1541" s="4" t="s">
        <v>1935</v>
      </c>
      <c r="B1541" s="4" t="s">
        <v>1936</v>
      </c>
      <c r="C1541" s="5" t="str">
        <f>IFERROR(__xludf.DUMMYFUNCTION("GOOGLETRANSLATE(B1541,""en"",""zh-CN"")"),"几个人坐在管子上的滑雪胜地外面。")</f>
        <v>几个人坐在管子上的滑雪胜地外面。</v>
      </c>
    </row>
    <row r="1542">
      <c r="A1542" s="4" t="s">
        <v>1935</v>
      </c>
      <c r="B1542" s="4" t="s">
        <v>1937</v>
      </c>
      <c r="C1542" s="5" t="str">
        <f>IFERROR(__xludf.DUMMYFUNCTION("GOOGLETRANSLATE(B1542,""en"",""zh-CN"")"),"之后，将前面的三个人拉下坡度，他们开始滑下。")</f>
        <v>之后，将前面的三个人拉下坡度，他们开始滑下。</v>
      </c>
    </row>
    <row r="1543">
      <c r="A1543" s="4" t="s">
        <v>1935</v>
      </c>
      <c r="B1543" s="4" t="s">
        <v>1938</v>
      </c>
      <c r="C1543" s="5" t="str">
        <f>IFERROR(__xludf.DUMMYFUNCTION("GOOGLETRANSLATE(B1543,""en"",""zh-CN"")"),"一旦他们离开，推开他的那个人就走开了，越来越多的人开始倒下。")</f>
        <v>一旦他们离开，推开他的那个人就走开了，越来越多的人开始倒下。</v>
      </c>
    </row>
    <row r="1544">
      <c r="A1544" s="4" t="s">
        <v>1939</v>
      </c>
      <c r="B1544" s="6" t="s">
        <v>1940</v>
      </c>
      <c r="C1544" s="5" t="str">
        <f>IFERROR(__xludf.DUMMYFUNCTION("GOOGLETRANSLATE(B1544,""en"",""zh-CN"")"),"当另一个男人走进来并开始绘画墙时，看到一个男人拿着玻璃杯拿着玻璃杯。")</f>
        <v>当另一个男人走进来并开始绘画墙时，看到一个男人拿着玻璃杯拿着玻璃杯。</v>
      </c>
    </row>
    <row r="1545">
      <c r="A1545" s="4" t="s">
        <v>1939</v>
      </c>
      <c r="B1545" s="6" t="s">
        <v>1941</v>
      </c>
      <c r="C1545" s="5" t="str">
        <f>IFERROR(__xludf.DUMMYFUNCTION("GOOGLETRANSLATE(B1545,""en"",""zh-CN"")"),"当相机抓住他，另一个男人走开时，该男子继续上下绘画。")</f>
        <v>当相机抓住他，另一个男人走开时，该男子继续上下绘画。</v>
      </c>
    </row>
    <row r="1546">
      <c r="A1546" s="4" t="s">
        <v>1942</v>
      </c>
      <c r="B1546" s="4" t="s">
        <v>1943</v>
      </c>
      <c r="C1546" s="5" t="str">
        <f>IFERROR(__xludf.DUMMYFUNCTION("GOOGLETRANSLATE(B1546,""en"",""zh-CN"")"),"一个动画，证明了焊接型工具发出热量的电弧长度。")</f>
        <v>一个动画，证明了焊接型工具发出热量的电弧长度。</v>
      </c>
    </row>
    <row r="1547">
      <c r="A1547" s="4" t="s">
        <v>1942</v>
      </c>
      <c r="B1547" s="4" t="s">
        <v>1944</v>
      </c>
      <c r="C1547" s="5" t="str">
        <f>IFERROR(__xludf.DUMMYFUNCTION("GOOGLETRANSLATE(B1547,""en"",""zh-CN"")"),"该工具实时发射热量的演示。")</f>
        <v>该工具实时发射热量的演示。</v>
      </c>
    </row>
    <row r="1548">
      <c r="A1548" s="4" t="s">
        <v>1942</v>
      </c>
      <c r="B1548" s="4" t="s">
        <v>1945</v>
      </c>
      <c r="C1548" s="5" t="str">
        <f>IFERROR(__xludf.DUMMYFUNCTION("GOOGLETRANSLATE(B1548,""en"",""zh-CN"")"),"图表说明了记录电压和安培数的工具的长弧。")</f>
        <v>图表说明了记录电压和安培数的工具的长弧。</v>
      </c>
    </row>
    <row r="1549">
      <c r="A1549" s="4" t="s">
        <v>1942</v>
      </c>
      <c r="B1549" s="4" t="s">
        <v>1946</v>
      </c>
      <c r="C1549" s="5" t="str">
        <f>IFERROR(__xludf.DUMMYFUNCTION("GOOGLETRANSLATE(B1549,""en"",""zh-CN"")"),"该工具以焊接材料的照片为实时发射热量。")</f>
        <v>该工具以焊接材料的照片为实时发射热量。</v>
      </c>
    </row>
    <row r="1550">
      <c r="A1550" s="4" t="s">
        <v>1942</v>
      </c>
      <c r="B1550" s="4" t="s">
        <v>1947</v>
      </c>
      <c r="C1550" s="5" t="str">
        <f>IFERROR(__xludf.DUMMYFUNCTION("GOOGLETRANSLATE(B1550,""en"",""zh-CN"")"),"图显示了带有电压和安培数的短弧。")</f>
        <v>图显示了带有电压和安培数的短弧。</v>
      </c>
    </row>
    <row r="1551">
      <c r="A1551" s="4" t="s">
        <v>1942</v>
      </c>
      <c r="B1551" s="4" t="s">
        <v>1948</v>
      </c>
      <c r="C1551" s="5" t="str">
        <f>IFERROR(__xludf.DUMMYFUNCTION("GOOGLETRANSLATE(B1551,""en"",""zh-CN"")"),"一个穿着蓝色外套和橙色手套的男人使用弧工具。")</f>
        <v>一个穿着蓝色外套和橙色手套的男人使用弧工具。</v>
      </c>
    </row>
    <row r="1552">
      <c r="A1552" s="4" t="s">
        <v>1949</v>
      </c>
      <c r="B1552" s="4" t="s">
        <v>1950</v>
      </c>
      <c r="C1552" s="5" t="str">
        <f>IFERROR(__xludf.DUMMYFUNCTION("GOOGLETRANSLATE(B1552,""en"",""zh-CN"")"),"一个人将瓷砖放在地板上。")</f>
        <v>一个人将瓷砖放在地板上。</v>
      </c>
    </row>
    <row r="1553">
      <c r="A1553" s="4" t="s">
        <v>1949</v>
      </c>
      <c r="B1553" s="4" t="s">
        <v>1951</v>
      </c>
      <c r="C1553" s="5" t="str">
        <f>IFERROR(__xludf.DUMMYFUNCTION("GOOGLETRANSLATE(B1553,""en"",""zh-CN"")"),"一个女人出现了，从盒子里取出瓷砖并谈论它们。")</f>
        <v>一个女人出现了，从盒子里取出瓷砖并谈论它们。</v>
      </c>
    </row>
    <row r="1554">
      <c r="A1554" s="4" t="s">
        <v>1949</v>
      </c>
      <c r="B1554" s="4" t="s">
        <v>1952</v>
      </c>
      <c r="C1554" s="5" t="str">
        <f>IFERROR(__xludf.DUMMYFUNCTION("GOOGLETRANSLATE(B1554,""en"",""zh-CN"")"),"女人跪在地上，切割并涂抹瓷砖。")</f>
        <v>女人跪在地上，切割并涂抹瓷砖。</v>
      </c>
    </row>
    <row r="1555">
      <c r="A1555" s="4" t="s">
        <v>1949</v>
      </c>
      <c r="B1555" s="6" t="s">
        <v>1953</v>
      </c>
      <c r="C1555" s="5" t="str">
        <f>IFERROR(__xludf.DUMMYFUNCTION("GOOGLETRANSLATE(B1555,""en"",""zh-CN"")"),"男人在妇女返回之前将压力辊滚动到成品地板上，谈到成品。")</f>
        <v>男人在妇女返回之前将压力辊滚动到成品地板上，谈到成品。</v>
      </c>
    </row>
    <row r="1556">
      <c r="A1556" s="4" t="s">
        <v>1954</v>
      </c>
      <c r="B1556" s="4" t="s">
        <v>1955</v>
      </c>
      <c r="C1556" s="5" t="str">
        <f>IFERROR(__xludf.DUMMYFUNCTION("GOOGLETRANSLATE(B1556,""en"",""zh-CN"")"),"一个女孩正在给小狗洗澡。")</f>
        <v>一个女孩正在给小狗洗澡。</v>
      </c>
    </row>
    <row r="1557">
      <c r="A1557" s="4" t="s">
        <v>1954</v>
      </c>
      <c r="B1557" s="4" t="s">
        <v>1956</v>
      </c>
      <c r="C1557" s="5" t="str">
        <f>IFERROR(__xludf.DUMMYFUNCTION("GOOGLETRANSLATE(B1557,""en"",""zh-CN"")"),"她的手里有一个橙色的瓶子。")</f>
        <v>她的手里有一个橙色的瓶子。</v>
      </c>
    </row>
    <row r="1558">
      <c r="A1558" s="4" t="s">
        <v>1957</v>
      </c>
      <c r="B1558" s="6" t="s">
        <v>1958</v>
      </c>
      <c r="C1558" s="5" t="str">
        <f>IFERROR(__xludf.DUMMYFUNCTION("GOOGLETRANSLATE(B1558,""en"",""zh-CN"")"),"左侧的红色，白色和黑色艺术漩涡在左侧的红色和黑色单词上出现了白色介绍屏幕，上面是“英格兰南瓜和球拍”，底部为黑色网站。")</f>
        <v>左侧的红色，白色和黑色艺术漩涡在左侧的红色和黑色单词上出现了白色介绍屏幕，上面是“英格兰南瓜和球拍”，底部为黑色网站。</v>
      </c>
    </row>
    <row r="1559">
      <c r="A1559" s="4" t="s">
        <v>1957</v>
      </c>
      <c r="B1559" s="6" t="s">
        <v>1959</v>
      </c>
      <c r="C1559" s="5" t="str">
        <f>IFERROR(__xludf.DUMMYFUNCTION("GOOGLETRANSLATE(B1559,""en"",""zh-CN"")"),"一个男人戴着球拍出现，当他击中球拍时，他正在和镜头说话，然后各种小剪辑之后都打了各种小剪辑，其中包括他击中球拍以及其他各个人在玩。")</f>
        <v>一个男人戴着球拍出现，当他击中球拍时，他正在和镜头说话，然后各种小剪辑之后都打了各种小剪辑，其中包括他击中球拍以及其他各个人在玩。</v>
      </c>
    </row>
    <row r="1560">
      <c r="A1560" s="4" t="s">
        <v>1957</v>
      </c>
      <c r="B1560" s="4" t="s">
        <v>1960</v>
      </c>
      <c r="C1560" s="5" t="str">
        <f>IFERROR(__xludf.DUMMYFUNCTION("GOOGLETRANSLATE(B1560,""en"",""zh-CN"")"),"出现了Outro屏幕，就像白色介绍屏幕一样。")</f>
        <v>出现了Outro屏幕，就像白色介绍屏幕一样。</v>
      </c>
    </row>
    <row r="1561">
      <c r="A1561" s="4" t="s">
        <v>1961</v>
      </c>
      <c r="B1561" s="4" t="s">
        <v>1962</v>
      </c>
      <c r="C1561" s="5" t="str">
        <f>IFERROR(__xludf.DUMMYFUNCTION("GOOGLETRANSLATE(B1561,""en"",""zh-CN"")"),"有人在游泳池里互相扔球。")</f>
        <v>有人在游泳池里互相扔球。</v>
      </c>
    </row>
    <row r="1562">
      <c r="A1562" s="4" t="s">
        <v>1961</v>
      </c>
      <c r="B1562" s="4" t="s">
        <v>1963</v>
      </c>
      <c r="C1562" s="5" t="str">
        <f>IFERROR(__xludf.DUMMYFUNCTION("GOOGLETRANSLATE(B1562,""en"",""zh-CN"")"),"有人在游泳池的另一侧游泳。")</f>
        <v>有人在游泳池的另一侧游泳。</v>
      </c>
    </row>
    <row r="1563">
      <c r="A1563" s="4" t="s">
        <v>1964</v>
      </c>
      <c r="B1563" s="4" t="s">
        <v>1965</v>
      </c>
      <c r="C1563" s="5" t="str">
        <f>IFERROR(__xludf.DUMMYFUNCTION("GOOGLETRANSLATE(B1563,""en"",""zh-CN"")"),"女人穿着比基尼，吃巧克力是下雪的一天。")</f>
        <v>女人穿着比基尼，吃巧克力是下雪的一天。</v>
      </c>
    </row>
    <row r="1564">
      <c r="A1564" s="4" t="s">
        <v>1964</v>
      </c>
      <c r="B1564" s="4" t="s">
        <v>1966</v>
      </c>
      <c r="C1564" s="5" t="str">
        <f>IFERROR(__xludf.DUMMYFUNCTION("GOOGLETRANSLATE(B1564,""en"",""zh-CN"")"),"人们在人行道上看着女孩的散步。")</f>
        <v>人们在人行道上看着女孩的散步。</v>
      </c>
    </row>
    <row r="1565">
      <c r="A1565" s="4" t="s">
        <v>1964</v>
      </c>
      <c r="B1565" s="4" t="s">
        <v>1967</v>
      </c>
      <c r="C1565" s="5" t="str">
        <f>IFERROR(__xludf.DUMMYFUNCTION("GOOGLETRANSLATE(B1565,""en"",""zh-CN"")"),"女人穿着比基尼在一家餐厅里，两个人看着她。")</f>
        <v>女人穿着比基尼在一家餐厅里，两个人看着她。</v>
      </c>
    </row>
    <row r="1566">
      <c r="A1566" s="4" t="s">
        <v>1964</v>
      </c>
      <c r="B1566" s="4" t="s">
        <v>1968</v>
      </c>
      <c r="C1566" s="5" t="str">
        <f>IFERROR(__xludf.DUMMYFUNCTION("GOOGLETRANSLATE(B1566,""en"",""zh-CN"")"),"女人在机场吃餐厅走路。")</f>
        <v>女人在机场吃餐厅走路。</v>
      </c>
    </row>
    <row r="1567">
      <c r="A1567" s="4" t="s">
        <v>1969</v>
      </c>
      <c r="B1567" s="4" t="s">
        <v>1970</v>
      </c>
      <c r="C1567" s="5" t="str">
        <f>IFERROR(__xludf.DUMMYFUNCTION("GOOGLETRANSLATE(B1567,""en"",""zh-CN"")"),"一个小女孩正在化妆。")</f>
        <v>一个小女孩正在化妆。</v>
      </c>
    </row>
    <row r="1568">
      <c r="A1568" s="4" t="s">
        <v>1969</v>
      </c>
      <c r="B1568" s="4" t="s">
        <v>1971</v>
      </c>
      <c r="C1568" s="5" t="str">
        <f>IFERROR(__xludf.DUMMYFUNCTION("GOOGLETRANSLATE(B1568,""en"",""zh-CN"")"),"她把口红放在嘴唇上。")</f>
        <v>她把口红放在嘴唇上。</v>
      </c>
    </row>
    <row r="1569">
      <c r="A1569" s="4" t="s">
        <v>1969</v>
      </c>
      <c r="B1569" s="4" t="s">
        <v>1972</v>
      </c>
      <c r="C1569" s="5" t="str">
        <f>IFERROR(__xludf.DUMMYFUNCTION("GOOGLETRANSLATE(B1569,""en"",""zh-CN"")"),"她把睫毛膏放在睫毛上。")</f>
        <v>她把睫毛膏放在睫毛上。</v>
      </c>
    </row>
    <row r="1570">
      <c r="A1570" s="4" t="s">
        <v>1969</v>
      </c>
      <c r="B1570" s="4" t="s">
        <v>1973</v>
      </c>
      <c r="C1570" s="5" t="str">
        <f>IFERROR(__xludf.DUMMYFUNCTION("GOOGLETRANSLATE(B1570,""en"",""zh-CN"")"),"她在衬衫上喷洒身体喷雾剂。")</f>
        <v>她在衬衫上喷洒身体喷雾剂。</v>
      </c>
    </row>
    <row r="1571">
      <c r="A1571" s="4" t="s">
        <v>1969</v>
      </c>
      <c r="B1571" s="4" t="s">
        <v>1974</v>
      </c>
      <c r="C1571" s="5" t="str">
        <f>IFERROR(__xludf.DUMMYFUNCTION("GOOGLETRANSLATE(B1571,""en"",""zh-CN"")"),"她把眼影放在眼睛上。")</f>
        <v>她把眼影放在眼睛上。</v>
      </c>
    </row>
    <row r="1572">
      <c r="A1572" s="4" t="s">
        <v>1975</v>
      </c>
      <c r="B1572" s="4" t="s">
        <v>1976</v>
      </c>
      <c r="C1572" s="5" t="str">
        <f>IFERROR(__xludf.DUMMYFUNCTION("GOOGLETRANSLATE(B1572,""en"",""zh-CN"")"),"看到一名体操运动员在梁前准备好站立，然后跳下来进行例行。")</f>
        <v>看到一名体操运动员在梁前准备好站立，然后跳下来进行例行。</v>
      </c>
    </row>
    <row r="1573">
      <c r="A1573" s="4" t="s">
        <v>1975</v>
      </c>
      <c r="B1573" s="6" t="s">
        <v>1977</v>
      </c>
      <c r="C1573" s="5" t="str">
        <f>IFERROR(__xludf.DUMMYFUNCTION("GOOGLETRANSLATE(B1573,""en"",""zh-CN"")"),"然后，女孩在光束上进行了几次翻转和窍门，以她的双腿一起跳下侧面，抬起手臂。")</f>
        <v>然后，女孩在光束上进行了几次翻转和窍门，以她的双腿一起跳下侧面，抬起手臂。</v>
      </c>
    </row>
    <row r="1574">
      <c r="A1574" s="4" t="s">
        <v>1978</v>
      </c>
      <c r="B1574" s="4" t="s">
        <v>1979</v>
      </c>
      <c r="C1574" s="5" t="str">
        <f>IFERROR(__xludf.DUMMYFUNCTION("GOOGLETRANSLATE(B1574,""en"",""zh-CN"")"),"一个女孩坐在桌子前，玩一场手风琴。")</f>
        <v>一个女孩坐在桌子前，玩一场手风琴。</v>
      </c>
    </row>
    <row r="1575">
      <c r="A1575" s="4" t="s">
        <v>1978</v>
      </c>
      <c r="B1575" s="4" t="s">
        <v>1980</v>
      </c>
      <c r="C1575" s="5" t="str">
        <f>IFERROR(__xludf.DUMMYFUNCTION("GOOGLETRANSLATE(B1575,""en"",""zh-CN"")"),"当她弹奏键盘并将手风琴带进出时，她凝视着相机。")</f>
        <v>当她弹奏键盘并将手风琴带进出时，她凝视着相机。</v>
      </c>
    </row>
    <row r="1576">
      <c r="A1576" s="4" t="s">
        <v>1981</v>
      </c>
      <c r="B1576" s="4" t="s">
        <v>1982</v>
      </c>
      <c r="C1576" s="5" t="str">
        <f>IFERROR(__xludf.DUMMYFUNCTION("GOOGLETRANSLATE(B1576,""en"",""zh-CN"")"),"一位女士拉并修理了她的衣服。")</f>
        <v>一位女士拉并修理了她的衣服。</v>
      </c>
    </row>
    <row r="1577">
      <c r="A1577" s="4" t="s">
        <v>1981</v>
      </c>
      <c r="B1577" s="4" t="s">
        <v>1983</v>
      </c>
      <c r="C1577" s="5" t="str">
        <f>IFERROR(__xludf.DUMMYFUNCTION("GOOGLETRANSLATE(B1577,""en"",""zh-CN"")"),"那个女士弄乱了她的头发。")</f>
        <v>那个女士弄乱了她的头发。</v>
      </c>
    </row>
    <row r="1578">
      <c r="A1578" s="4" t="s">
        <v>1981</v>
      </c>
      <c r="B1578" s="4" t="s">
        <v>1984</v>
      </c>
      <c r="C1578" s="5" t="str">
        <f>IFERROR(__xludf.DUMMYFUNCTION("GOOGLETRANSLATE(B1578,""en"",""zh-CN"")"),"女士站着和坐着时尝试鞋子。")</f>
        <v>女士站着和坐着时尝试鞋子。</v>
      </c>
    </row>
    <row r="1579">
      <c r="A1579" s="4" t="s">
        <v>1985</v>
      </c>
      <c r="B1579" s="4" t="s">
        <v>1986</v>
      </c>
      <c r="C1579" s="5" t="str">
        <f>IFERROR(__xludf.DUMMYFUNCTION("GOOGLETRANSLATE(B1579,""en"",""zh-CN"")"),"显示了地图和房屋的介绍。")</f>
        <v>显示了地图和房屋的介绍。</v>
      </c>
    </row>
    <row r="1580">
      <c r="A1580" s="4" t="s">
        <v>1985</v>
      </c>
      <c r="B1580" s="4" t="s">
        <v>1987</v>
      </c>
      <c r="C1580" s="5" t="str">
        <f>IFERROR(__xludf.DUMMYFUNCTION("GOOGLETRANSLATE(B1580,""en"",""zh-CN"")"),"之后，显示了屋顶的特写和徽标。")</f>
        <v>之后，显示了屋顶的特写和徽标。</v>
      </c>
    </row>
    <row r="1581">
      <c r="A1581" s="4" t="s">
        <v>1985</v>
      </c>
      <c r="B1581" s="4" t="s">
        <v>1988</v>
      </c>
      <c r="C1581" s="5" t="str">
        <f>IFERROR(__xludf.DUMMYFUNCTION("GOOGLETRANSLATE(B1581,""en"",""zh-CN"")"),"更多图片显示了停放的卡车以及徽标。")</f>
        <v>更多图片显示了停放的卡车以及徽标。</v>
      </c>
    </row>
    <row r="1582">
      <c r="A1582" s="4" t="s">
        <v>1989</v>
      </c>
      <c r="B1582" s="4" t="s">
        <v>1990</v>
      </c>
      <c r="C1582" s="5" t="str">
        <f>IFERROR(__xludf.DUMMYFUNCTION("GOOGLETRANSLATE(B1582,""en"",""zh-CN"")"),"钢管库巨星在屏幕上。")</f>
        <v>钢管库巨星在屏幕上。</v>
      </c>
    </row>
    <row r="1583">
      <c r="A1583" s="4" t="s">
        <v>1989</v>
      </c>
      <c r="B1583" s="4" t="s">
        <v>1991</v>
      </c>
      <c r="C1583" s="5" t="str">
        <f>IFERROR(__xludf.DUMMYFUNCTION("GOOGLETRANSLATE(B1583,""en"",""zh-CN"")"),"有几个场景，男女撑起了。")</f>
        <v>有几个场景，男女撑起了。</v>
      </c>
    </row>
    <row r="1584">
      <c r="A1584" s="4" t="s">
        <v>1992</v>
      </c>
      <c r="B1584" s="4" t="s">
        <v>1487</v>
      </c>
      <c r="C1584" s="5" t="str">
        <f>IFERROR(__xludf.DUMMYFUNCTION("GOOGLETRANSLATE(B1584,""en"",""zh-CN"")"),"我们看到一个开放标题屏幕。")</f>
        <v>我们看到一个开放标题屏幕。</v>
      </c>
    </row>
    <row r="1585">
      <c r="A1585" s="4" t="s">
        <v>1992</v>
      </c>
      <c r="B1585" s="4" t="s">
        <v>1993</v>
      </c>
      <c r="C1585" s="5" t="str">
        <f>IFERROR(__xludf.DUMMYFUNCTION("GOOGLETRANSLATE(B1585,""en"",""zh-CN"")"),"工具坐在桌子上，我们看到一个人打开自行车并组装。")</f>
        <v>工具坐在桌子上，我们看到一个人打开自行车并组装。</v>
      </c>
    </row>
    <row r="1586">
      <c r="A1586" s="4" t="s">
        <v>1992</v>
      </c>
      <c r="B1586" s="4" t="s">
        <v>1994</v>
      </c>
      <c r="C1586" s="5" t="str">
        <f>IFERROR(__xludf.DUMMYFUNCTION("GOOGLETRANSLATE(B1586,""en"",""zh-CN"")"),"我们看到男人在自行车上放了轮胎。")</f>
        <v>我们看到男人在自行车上放了轮胎。</v>
      </c>
    </row>
    <row r="1587">
      <c r="A1587" s="4" t="s">
        <v>1992</v>
      </c>
      <c r="B1587" s="4" t="s">
        <v>1995</v>
      </c>
      <c r="C1587" s="5" t="str">
        <f>IFERROR(__xludf.DUMMYFUNCTION("GOOGLETRANSLATE(B1587,""en"",""zh-CN"")"),"一个人收紧车把上的固定。")</f>
        <v>一个人收紧车把上的固定。</v>
      </c>
    </row>
    <row r="1588">
      <c r="A1588" s="4" t="s">
        <v>1992</v>
      </c>
      <c r="B1588" s="4" t="s">
        <v>1996</v>
      </c>
      <c r="C1588" s="5" t="str">
        <f>IFERROR(__xludf.DUMMYFUNCTION("GOOGLETRANSLATE(B1588,""en"",""zh-CN"")"),"该男子将油脂放在桨上，然后在播出轮胎之前将其安装。")</f>
        <v>该男子将油脂放在桨上，然后在播出轮胎之前将其安装。</v>
      </c>
    </row>
    <row r="1589">
      <c r="A1589" s="4" t="s">
        <v>1992</v>
      </c>
      <c r="B1589" s="4" t="s">
        <v>1997</v>
      </c>
      <c r="C1589" s="5" t="str">
        <f>IFERROR(__xludf.DUMMYFUNCTION("GOOGLETRANSLATE(B1589,""en"",""zh-CN"")"),"然后，我们看到完成的自行车。")</f>
        <v>然后，我们看到完成的自行车。</v>
      </c>
    </row>
    <row r="1590">
      <c r="A1590" s="4" t="s">
        <v>1992</v>
      </c>
      <c r="B1590" s="4" t="s">
        <v>1998</v>
      </c>
      <c r="C1590" s="5" t="str">
        <f>IFERROR(__xludf.DUMMYFUNCTION("GOOGLETRANSLATE(B1590,""en"",""zh-CN"")"),"显示了结尾标题屏幕。")</f>
        <v>显示了结尾标题屏幕。</v>
      </c>
    </row>
    <row r="1591">
      <c r="A1591" s="4" t="s">
        <v>1999</v>
      </c>
      <c r="B1591" s="4" t="s">
        <v>2000</v>
      </c>
      <c r="C1591" s="5" t="str">
        <f>IFERROR(__xludf.DUMMYFUNCTION("GOOGLETRANSLATE(B1591,""en"",""zh-CN"")"),"看到一个男人从窗户上拉出阴影，并拆除了侧面周围的条形。")</f>
        <v>看到一个男人从窗户上拉出阴影，并拆除了侧面周围的条形。</v>
      </c>
    </row>
    <row r="1592">
      <c r="A1592" s="4" t="s">
        <v>1999</v>
      </c>
      <c r="B1592" s="6" t="s">
        <v>2001</v>
      </c>
      <c r="C1592" s="5" t="str">
        <f>IFERROR(__xludf.DUMMYFUNCTION("GOOGLETRANSLATE(B1592,""en"",""zh-CN"")"),"另一个人将较新的酒吧放入窗户以及切割木板以使其合适，从而帮助他。")</f>
        <v>另一个人将较新的酒吧放入窗户以及切割木板以使其合适，从而帮助他。</v>
      </c>
    </row>
    <row r="1593">
      <c r="A1593" s="4" t="s">
        <v>1999</v>
      </c>
      <c r="B1593" s="4" t="s">
        <v>2002</v>
      </c>
      <c r="C1593" s="5" t="str">
        <f>IFERROR(__xludf.DUMMYFUNCTION("GOOGLETRANSLATE(B1593,""en"",""zh-CN"")"),"最后，摄像头在新屋顶周围盘子展示了很棒的结果。")</f>
        <v>最后，摄像头在新屋顶周围盘子展示了很棒的结果。</v>
      </c>
    </row>
    <row r="1594">
      <c r="A1594" s="4" t="s">
        <v>2003</v>
      </c>
      <c r="B1594" s="4" t="s">
        <v>2004</v>
      </c>
      <c r="C1594" s="5" t="str">
        <f>IFERROR(__xludf.DUMMYFUNCTION("GOOGLETRANSLATE(B1594,""en"",""zh-CN"")"),"人们在木头上的一条颠簸的道路上经营越野摩托车。")</f>
        <v>人们在木头上的一条颠簸的道路上经营越野摩托车。</v>
      </c>
    </row>
    <row r="1595">
      <c r="A1595" s="4" t="s">
        <v>2003</v>
      </c>
      <c r="B1595" s="4" t="s">
        <v>2005</v>
      </c>
      <c r="C1595" s="5" t="str">
        <f>IFERROR(__xludf.DUMMYFUNCTION("GOOGLETRANSLATE(B1595,""en"",""zh-CN"")"),"一个人用摩托车爬一次。")</f>
        <v>一个人用摩托车爬一次。</v>
      </c>
    </row>
    <row r="1596">
      <c r="A1596" s="4" t="s">
        <v>2003</v>
      </c>
      <c r="B1596" s="4" t="s">
        <v>2006</v>
      </c>
      <c r="C1596" s="5" t="str">
        <f>IFERROR(__xludf.DUMMYFUNCTION("GOOGLETRANSLATE(B1596,""en"",""zh-CN"")"),"人们也在未铺设的平坦表面上骑摩托车。")</f>
        <v>人们也在未铺设的平坦表面上骑摩托车。</v>
      </c>
    </row>
    <row r="1597">
      <c r="A1597" s="4" t="s">
        <v>2007</v>
      </c>
      <c r="B1597" s="4" t="s">
        <v>2008</v>
      </c>
      <c r="C1597" s="5" t="str">
        <f>IFERROR(__xludf.DUMMYFUNCTION("GOOGLETRANSLATE(B1597,""en"",""zh-CN"")"),"一个小女孩站在潜水板上。")</f>
        <v>一个小女孩站在潜水板上。</v>
      </c>
    </row>
    <row r="1598">
      <c r="A1598" s="4" t="s">
        <v>2007</v>
      </c>
      <c r="B1598" s="4" t="s">
        <v>2009</v>
      </c>
      <c r="C1598" s="5" t="str">
        <f>IFERROR(__xludf.DUMMYFUNCTION("GOOGLETRANSLATE(B1598,""en"",""zh-CN"")"),"然后，小女孩跳，翻转并跳入游泳池。")</f>
        <v>然后，小女孩跳，翻转并跳入游泳池。</v>
      </c>
    </row>
    <row r="1599">
      <c r="A1599" s="4" t="s">
        <v>2007</v>
      </c>
      <c r="B1599" s="4" t="s">
        <v>2010</v>
      </c>
      <c r="C1599" s="5" t="str">
        <f>IFERROR(__xludf.DUMMYFUNCTION("GOOGLETRANSLATE(B1599,""en"",""zh-CN"")"),"人们在游泳池里。")</f>
        <v>人们在游泳池里。</v>
      </c>
    </row>
    <row r="1600">
      <c r="A1600" s="4" t="s">
        <v>2011</v>
      </c>
      <c r="B1600" s="4" t="s">
        <v>2012</v>
      </c>
      <c r="C1600" s="5" t="str">
        <f>IFERROR(__xludf.DUMMYFUNCTION("GOOGLETRANSLATE(B1600,""en"",""zh-CN"")"),"孩子在操场上摇摆。")</f>
        <v>孩子在操场上摇摆。</v>
      </c>
    </row>
    <row r="1601">
      <c r="A1601" s="4" t="s">
        <v>2011</v>
      </c>
      <c r="B1601" s="4" t="s">
        <v>2013</v>
      </c>
      <c r="C1601" s="5" t="str">
        <f>IFERROR(__xludf.DUMMYFUNCTION("GOOGLETRANSLATE(B1601,""en"",""zh-CN"")"),"女人跑到秋千上。")</f>
        <v>女人跑到秋千上。</v>
      </c>
    </row>
    <row r="1602">
      <c r="A1602" s="4" t="s">
        <v>2011</v>
      </c>
      <c r="B1602" s="4" t="s">
        <v>2014</v>
      </c>
      <c r="C1602" s="5" t="str">
        <f>IFERROR(__xludf.DUMMYFUNCTION("GOOGLETRANSLATE(B1602,""en"",""zh-CN"")"),"女人站起来。")</f>
        <v>女人站起来。</v>
      </c>
    </row>
    <row r="1603">
      <c r="A1603" s="4" t="s">
        <v>2015</v>
      </c>
      <c r="B1603" s="4" t="s">
        <v>2016</v>
      </c>
      <c r="C1603" s="5" t="str">
        <f>IFERROR(__xludf.DUMMYFUNCTION("GOOGLETRANSLATE(B1603,""en"",""zh-CN"")"),"一个男人坐在楼梯上扮演口琴。")</f>
        <v>一个男人坐在楼梯上扮演口琴。</v>
      </c>
    </row>
    <row r="1604">
      <c r="A1604" s="4" t="s">
        <v>2015</v>
      </c>
      <c r="B1604" s="4" t="s">
        <v>2017</v>
      </c>
      <c r="C1604" s="5" t="str">
        <f>IFERROR(__xludf.DUMMYFUNCTION("GOOGLETRANSLATE(B1604,""en"",""zh-CN"")"),"他站起来继续扮演。")</f>
        <v>他站起来继续扮演。</v>
      </c>
    </row>
    <row r="1605">
      <c r="A1605" s="4" t="s">
        <v>2015</v>
      </c>
      <c r="B1605" s="4" t="s">
        <v>2018</v>
      </c>
      <c r="C1605" s="5" t="str">
        <f>IFERROR(__xludf.DUMMYFUNCTION("GOOGLETRANSLATE(B1605,""en"",""zh-CN"")"),"屏幕上出现单词。")</f>
        <v>屏幕上出现单词。</v>
      </c>
    </row>
    <row r="1606">
      <c r="A1606" s="4" t="s">
        <v>2019</v>
      </c>
      <c r="B1606" s="4" t="s">
        <v>2020</v>
      </c>
      <c r="C1606" s="5" t="str">
        <f>IFERROR(__xludf.DUMMYFUNCTION("GOOGLETRANSLATE(B1606,""en"",""zh-CN"")"),"显示了一袋水泥混合物的特写。")</f>
        <v>显示了一袋水泥混合物的特写。</v>
      </c>
    </row>
    <row r="1607">
      <c r="A1607" s="4" t="s">
        <v>2019</v>
      </c>
      <c r="B1607" s="4" t="s">
        <v>2021</v>
      </c>
      <c r="C1607" s="5" t="str">
        <f>IFERROR(__xludf.DUMMYFUNCTION("GOOGLETRANSLATE(B1607,""en"",""zh-CN"")"),"一个人将水添加到容器中，而另一个手表。")</f>
        <v>一个人将水添加到容器中，而另一个手表。</v>
      </c>
    </row>
    <row r="1608">
      <c r="A1608" s="4" t="s">
        <v>2019</v>
      </c>
      <c r="B1608" s="4" t="s">
        <v>2022</v>
      </c>
      <c r="C1608" s="5" t="str">
        <f>IFERROR(__xludf.DUMMYFUNCTION("GOOGLETRANSLATE(B1608,""en"",""zh-CN"")"),"第一人将水泥混合物倒入容器中。")</f>
        <v>第一人将水泥混合物倒入容器中。</v>
      </c>
    </row>
    <row r="1609">
      <c r="A1609" s="4" t="s">
        <v>2019</v>
      </c>
      <c r="B1609" s="4" t="s">
        <v>2023</v>
      </c>
      <c r="C1609" s="5" t="str">
        <f>IFERROR(__xludf.DUMMYFUNCTION("GOOGLETRANSLATE(B1609,""en"",""zh-CN"")"),"第二个人在容器上使用混合器。")</f>
        <v>第二个人在容器上使用混合器。</v>
      </c>
    </row>
    <row r="1610">
      <c r="A1610" s="4" t="s">
        <v>2019</v>
      </c>
      <c r="B1610" s="4" t="s">
        <v>2024</v>
      </c>
      <c r="C1610" s="5" t="str">
        <f>IFERROR(__xludf.DUMMYFUNCTION("GOOGLETRANSLATE(B1610,""en"",""zh-CN"")"),"其中一名男子将混合物应用于墙壁。")</f>
        <v>其中一名男子将混合物应用于墙壁。</v>
      </c>
    </row>
    <row r="1611">
      <c r="A1611" s="4" t="s">
        <v>2025</v>
      </c>
      <c r="B1611" s="4" t="s">
        <v>2026</v>
      </c>
      <c r="C1611" s="5" t="str">
        <f>IFERROR(__xludf.DUMMYFUNCTION("GOOGLETRANSLATE(B1611,""en"",""zh-CN"")"),"开放学分显示了视频的描述。")</f>
        <v>开放学分显示了视频的描述。</v>
      </c>
    </row>
    <row r="1612">
      <c r="A1612" s="4" t="s">
        <v>2025</v>
      </c>
      <c r="B1612" s="4" t="s">
        <v>2027</v>
      </c>
      <c r="C1612" s="5" t="str">
        <f>IFERROR(__xludf.DUMMYFUNCTION("GOOGLETRANSLATE(B1612,""en"",""zh-CN"")"),"一个女人挥舞着她的手，在她继续说话时承认她的头发和脸。")</f>
        <v>一个女人挥舞着她的手，在她继续说话时承认她的头发和脸。</v>
      </c>
    </row>
    <row r="1613">
      <c r="A1613" s="4" t="s">
        <v>2025</v>
      </c>
      <c r="B1613" s="4" t="s">
        <v>2028</v>
      </c>
      <c r="C1613" s="5" t="str">
        <f>IFERROR(__xludf.DUMMYFUNCTION("GOOGLETRANSLATE(B1613,""en"",""zh-CN"")"),"那个女人的头发倒下，开始造型头发。")</f>
        <v>那个女人的头发倒下，开始造型头发。</v>
      </c>
    </row>
    <row r="1614">
      <c r="A1614" s="4" t="s">
        <v>2025</v>
      </c>
      <c r="B1614" s="4" t="s">
        <v>2029</v>
      </c>
      <c r="C1614" s="5" t="str">
        <f>IFERROR(__xludf.DUMMYFUNCTION("GOOGLETRANSLATE(B1614,""en"",""zh-CN"")"),"她完成了造型的头发，并继续说话。")</f>
        <v>她完成了造型的头发，并继续说话。</v>
      </c>
    </row>
    <row r="1615">
      <c r="A1615" s="4" t="s">
        <v>2030</v>
      </c>
      <c r="B1615" s="6" t="s">
        <v>2031</v>
      </c>
      <c r="C1615" s="5" t="str">
        <f>IFERROR(__xludf.DUMMYFUNCTION("GOOGLETRANSLATE(B1615,""en"",""zh-CN"")"),"有一个穿着白衬衫的男人站在一个空旷的田野里，为如何玩曲棍球的专家村做一个教程。")</f>
        <v>有一个穿着白衬衫的男人站在一个空旷的田野里，为如何玩曲棍球的专家村做一个教程。</v>
      </c>
    </row>
    <row r="1616">
      <c r="A1616" s="4" t="s">
        <v>2030</v>
      </c>
      <c r="B1616" s="4" t="s">
        <v>2032</v>
      </c>
      <c r="C1616" s="5" t="str">
        <f>IFERROR(__xludf.DUMMYFUNCTION("GOOGLETRANSLATE(B1616,""en"",""zh-CN"")"),"当他解释游戏的技术时，他手里拿着一根曲棍球棍。")</f>
        <v>当他解释游戏的技术时，他手里拿着一根曲棍球棍。</v>
      </c>
    </row>
    <row r="1617">
      <c r="A1617" s="4" t="s">
        <v>2030</v>
      </c>
      <c r="B1617" s="6" t="s">
        <v>2033</v>
      </c>
      <c r="C1617" s="5" t="str">
        <f>IFERROR(__xludf.DUMMYFUNCTION("GOOGLETRANSLATE(B1617,""en"",""zh-CN"")"),"他做出手势，以演示握住曲棍球棒的正确方法，以进行有效的发挥技术。")</f>
        <v>他做出手势，以演示握住曲棍球棒的正确方法，以进行有效的发挥技术。</v>
      </c>
    </row>
    <row r="1618">
      <c r="A1618" s="4" t="s">
        <v>2034</v>
      </c>
      <c r="B1618" s="6" t="s">
        <v>2035</v>
      </c>
      <c r="C1618" s="5" t="str">
        <f>IFERROR(__xludf.DUMMYFUNCTION("GOOGLETRANSLATE(B1618,""en"",""zh-CN"")"),"一大批人正在狂欢节里玩自己的保险杠汽车，其中一些人互相碰到并停下来。")</f>
        <v>一大批人正在狂欢节里玩自己的保险杠汽车，其中一些人互相碰到并停下来。</v>
      </c>
    </row>
    <row r="1619">
      <c r="A1619" s="4" t="s">
        <v>2034</v>
      </c>
      <c r="B1619" s="4" t="s">
        <v>2036</v>
      </c>
      <c r="C1619" s="5" t="str">
        <f>IFERROR(__xludf.DUMMYFUNCTION("GOOGLETRANSLATE(B1619,""en"",""zh-CN"")"),"他们笑了，开始将碰碰车从彼此拉开。")</f>
        <v>他们笑了，开始将碰碰车从彼此拉开。</v>
      </c>
    </row>
    <row r="1620">
      <c r="A1620" s="4" t="s">
        <v>2034</v>
      </c>
      <c r="B1620" s="6" t="s">
        <v>2037</v>
      </c>
      <c r="C1620" s="5" t="str">
        <f>IFERROR(__xludf.DUMMYFUNCTION("GOOGLETRANSLATE(B1620,""en"",""zh-CN"")"),"人们开始再次开车，他们都继续碰到彼此，或者只是开车。")</f>
        <v>人们开始再次开车，他们都继续碰到彼此，或者只是开车。</v>
      </c>
    </row>
    <row r="1621">
      <c r="A1621" s="4" t="s">
        <v>2034</v>
      </c>
      <c r="B1621" s="4" t="s">
        <v>2038</v>
      </c>
      <c r="C1621" s="5" t="str">
        <f>IFERROR(__xludf.DUMMYFUNCTION("GOOGLETRANSLATE(B1621,""en"",""zh-CN"")"),"最终，所有的保险杠汽车都完全停止了，骑行已经结束。")</f>
        <v>最终，所有的保险杠汽车都完全停止了，骑行已经结束。</v>
      </c>
    </row>
    <row r="1622">
      <c r="A1622" s="4" t="s">
        <v>2039</v>
      </c>
      <c r="B1622" s="4" t="s">
        <v>2040</v>
      </c>
      <c r="C1622" s="5" t="str">
        <f>IFERROR(__xludf.DUMMYFUNCTION("GOOGLETRANSLATE(B1622,""en"",""zh-CN"")"),"食材坐在木块上。")</f>
        <v>食材坐在木块上。</v>
      </c>
    </row>
    <row r="1623">
      <c r="A1623" s="4" t="s">
        <v>2039</v>
      </c>
      <c r="B1623" s="4" t="s">
        <v>2041</v>
      </c>
      <c r="C1623" s="5" t="str">
        <f>IFERROR(__xludf.DUMMYFUNCTION("GOOGLETRANSLATE(B1623,""en"",""zh-CN"")"),"一个人开始将成分混合在一起。")</f>
        <v>一个人开始将成分混合在一起。</v>
      </c>
    </row>
    <row r="1624">
      <c r="A1624" s="4" t="s">
        <v>2039</v>
      </c>
      <c r="B1624" s="4" t="s">
        <v>2042</v>
      </c>
      <c r="C1624" s="5" t="str">
        <f>IFERROR(__xludf.DUMMYFUNCTION("GOOGLETRANSLATE(B1624,""en"",""zh-CN"")"),"末尾的单词进入屏幕。")</f>
        <v>末尾的单词进入屏幕。</v>
      </c>
    </row>
    <row r="1625">
      <c r="A1625" s="4" t="s">
        <v>2043</v>
      </c>
      <c r="B1625" s="4" t="s">
        <v>2044</v>
      </c>
      <c r="C1625" s="5" t="str">
        <f>IFERROR(__xludf.DUMMYFUNCTION("GOOGLETRANSLATE(B1625,""en"",""zh-CN"")"),"可以看到带有发动机活塞的徽标，并显示了免责声明。")</f>
        <v>可以看到带有发动机活塞的徽标，并显示了免责声明。</v>
      </c>
    </row>
    <row r="1626">
      <c r="A1626" s="4" t="s">
        <v>2043</v>
      </c>
      <c r="B1626" s="4" t="s">
        <v>2045</v>
      </c>
      <c r="C1626" s="5" t="str">
        <f>IFERROR(__xludf.DUMMYFUNCTION("GOOGLETRANSLATE(B1626,""en"",""zh-CN"")"),"两名女士在健身房里骑着裤子一起骑着体育馆骑着固定的自行车。")</f>
        <v>两名女士在健身房里骑着裤子一起骑着体育馆骑着固定的自行车。</v>
      </c>
    </row>
    <row r="1627">
      <c r="A1627" s="4" t="s">
        <v>2046</v>
      </c>
      <c r="B1627" s="4" t="s">
        <v>2047</v>
      </c>
      <c r="C1627" s="5" t="str">
        <f>IFERROR(__xludf.DUMMYFUNCTION("GOOGLETRANSLATE(B1627,""en"",""zh-CN"")"),"看到一个女人在镜头讲话，并通往采访男人的新闻。")</f>
        <v>看到一个女人在镜头讲话，并通往采访男人的新闻。</v>
      </c>
    </row>
    <row r="1628">
      <c r="A1628" s="4" t="s">
        <v>2046</v>
      </c>
      <c r="B1628" s="6" t="s">
        <v>2048</v>
      </c>
      <c r="C1628" s="5" t="str">
        <f>IFERROR(__xludf.DUMMYFUNCTION("GOOGLETRANSLATE(B1628,""en"",""zh-CN"")"),"然后显示了几枪的两头战斗，而另一些公牛则观看并与镜头交谈。")</f>
        <v>然后显示了几枪的两头战斗，而另一些公牛则观看并与镜头交谈。</v>
      </c>
    </row>
    <row r="1629">
      <c r="A1629" s="4" t="s">
        <v>2049</v>
      </c>
      <c r="B1629" s="4" t="s">
        <v>2050</v>
      </c>
      <c r="C1629" s="5" t="str">
        <f>IFERROR(__xludf.DUMMYFUNCTION("GOOGLETRANSLATE(B1629,""en"",""zh-CN"")"),"看到一个人戴着拖鞋，手里拿着棍子。")</f>
        <v>看到一个人戴着拖鞋，手里拿着棍子。</v>
      </c>
    </row>
    <row r="1630">
      <c r="A1630" s="4" t="s">
        <v>2049</v>
      </c>
      <c r="B1630" s="4" t="s">
        <v>2051</v>
      </c>
      <c r="C1630" s="5" t="str">
        <f>IFERROR(__xludf.DUMMYFUNCTION("GOOGLETRANSLATE(B1630,""en"",""zh-CN"")"),"然后，该人开始在房间里走来走去，用棍子将球推到周围。")</f>
        <v>然后，该人开始在房间里走来走去，用棍子将球推到周围。</v>
      </c>
    </row>
    <row r="1631">
      <c r="A1631" s="4" t="s">
        <v>2049</v>
      </c>
      <c r="B1631" s="4" t="s">
        <v>2052</v>
      </c>
      <c r="C1631" s="5" t="str">
        <f>IFERROR(__xludf.DUMMYFUNCTION("GOOGLETRANSLATE(B1631,""en"",""zh-CN"")"),"该人在房间里行走时继续击球。")</f>
        <v>该人在房间里行走时继续击球。</v>
      </c>
    </row>
    <row r="1632">
      <c r="A1632" s="4" t="s">
        <v>2053</v>
      </c>
      <c r="B1632" s="4" t="s">
        <v>2054</v>
      </c>
      <c r="C1632" s="5" t="str">
        <f>IFERROR(__xludf.DUMMYFUNCTION("GOOGLETRANSLATE(B1632,""en"",""zh-CN"")"),"看到一个小孩在一群大男孩之后沿着道路骑滑板。")</f>
        <v>看到一个小孩在一群大男孩之后沿着道路骑滑板。</v>
      </c>
    </row>
    <row r="1633">
      <c r="A1633" s="4" t="s">
        <v>2053</v>
      </c>
      <c r="B1633" s="4" t="s">
        <v>2055</v>
      </c>
      <c r="C1633" s="5" t="str">
        <f>IFERROR(__xludf.DUMMYFUNCTION("GOOGLETRANSLATE(B1633,""en"",""zh-CN"")"),"他骑着几张镜头也显示出他的失败和骑行。")</f>
        <v>他骑着几张镜头也显示出他的失败和骑行。</v>
      </c>
    </row>
    <row r="1634">
      <c r="A1634" s="4" t="s">
        <v>2053</v>
      </c>
      <c r="B1634" s="4" t="s">
        <v>2056</v>
      </c>
      <c r="C1634" s="5" t="str">
        <f>IFERROR(__xludf.DUMMYFUNCTION("GOOGLETRANSLATE(B1634,""en"",""zh-CN"")"),"他的拳头撞到了相机的男人，并显示了更多的镜头。")</f>
        <v>他的拳头撞到了相机的男人，并显示了更多的镜头。</v>
      </c>
    </row>
    <row r="1635">
      <c r="A1635" s="4" t="s">
        <v>2057</v>
      </c>
      <c r="B1635" s="4" t="s">
        <v>2058</v>
      </c>
      <c r="C1635" s="5" t="str">
        <f>IFERROR(__xludf.DUMMYFUNCTION("GOOGLETRANSLATE(B1635,""en"",""zh-CN"")"),"一个女孩试图穿上鞋子的同时坐在楼梯的底部。")</f>
        <v>一个女孩试图穿上鞋子的同时坐在楼梯的底部。</v>
      </c>
    </row>
    <row r="1636">
      <c r="A1636" s="4" t="s">
        <v>2057</v>
      </c>
      <c r="B1636" s="4" t="s">
        <v>2059</v>
      </c>
      <c r="C1636" s="5" t="str">
        <f>IFERROR(__xludf.DUMMYFUNCTION("GOOGLETRANSLATE(B1636,""en"",""zh-CN"")"),"她在一个厌恶的庄园中看着远处，同时看上去很分心。")</f>
        <v>她在一个厌恶的庄园中看着远处，同时看上去很分心。</v>
      </c>
    </row>
    <row r="1637">
      <c r="A1637" s="4" t="s">
        <v>2057</v>
      </c>
      <c r="B1637" s="4" t="s">
        <v>2060</v>
      </c>
      <c r="C1637" s="5" t="str">
        <f>IFERROR(__xludf.DUMMYFUNCTION("GOOGLETRANSLATE(B1637,""en"",""zh-CN"")"),"她结束了自己的鞋带，并向自己和拍摄她的人笑。")</f>
        <v>她结束了自己的鞋带，并向自己和拍摄她的人笑。</v>
      </c>
    </row>
    <row r="1638">
      <c r="A1638" s="4" t="s">
        <v>2061</v>
      </c>
      <c r="B1638" s="4" t="s">
        <v>2062</v>
      </c>
      <c r="C1638" s="5" t="str">
        <f>IFERROR(__xludf.DUMMYFUNCTION("GOOGLETRANSLATE(B1638,""en"",""zh-CN"")"),"一个穿着健身衣服的女人正在做一个教程，以便在健身房旋转。")</f>
        <v>一个穿着健身衣服的女人正在做一个教程，以便在健身房旋转。</v>
      </c>
    </row>
    <row r="1639">
      <c r="A1639" s="4" t="s">
        <v>2061</v>
      </c>
      <c r="B1639" s="4" t="s">
        <v>2063</v>
      </c>
      <c r="C1639" s="5" t="str">
        <f>IFERROR(__xludf.DUMMYFUNCTION("GOOGLETRANSLATE(B1639,""en"",""zh-CN"")"),"她正在展示她将要使用的哑铃。")</f>
        <v>她正在展示她将要使用的哑铃。</v>
      </c>
    </row>
    <row r="1640">
      <c r="A1640" s="4" t="s">
        <v>2061</v>
      </c>
      <c r="B1640" s="6" t="s">
        <v>2064</v>
      </c>
      <c r="C1640" s="5" t="str">
        <f>IFERROR(__xludf.DUMMYFUNCTION("GOOGLETRANSLATE(B1640,""en"",""zh-CN"")"),"然后，她展示了运动自行车，并继续与健身房的其他一些女性一起自行车。")</f>
        <v>然后，她展示了运动自行车，并继续与健身房的其他一些女性一起自行车。</v>
      </c>
    </row>
    <row r="1641">
      <c r="A1641" s="4" t="s">
        <v>2061</v>
      </c>
      <c r="B1641" s="4" t="s">
        <v>2065</v>
      </c>
      <c r="C1641" s="5" t="str">
        <f>IFERROR(__xludf.DUMMYFUNCTION("GOOGLETRANSLATE(B1641,""en"",""zh-CN"")"),"她解释了如何在自行车上进行一些严格的运动。")</f>
        <v>她解释了如何在自行车上进行一些严格的运动。</v>
      </c>
    </row>
    <row r="1642">
      <c r="A1642" s="4" t="s">
        <v>2061</v>
      </c>
      <c r="B1642" s="4" t="s">
        <v>2066</v>
      </c>
      <c r="C1642" s="5" t="str">
        <f>IFERROR(__xludf.DUMMYFUNCTION("GOOGLETRANSLATE(B1642,""en"",""zh-CN"")"),"还有其他几名女性也和她一起骑自行车。")</f>
        <v>还有其他几名女性也和她一起骑自行车。</v>
      </c>
    </row>
    <row r="1643">
      <c r="A1643" s="4" t="s">
        <v>2067</v>
      </c>
      <c r="B1643" s="4" t="s">
        <v>2068</v>
      </c>
      <c r="C1643" s="5" t="str">
        <f>IFERROR(__xludf.DUMMYFUNCTION("GOOGLETRANSLATE(B1643,""en"",""zh-CN"")"),"我们看到一个小女孩滑雪。")</f>
        <v>我们看到一个小女孩滑雪。</v>
      </c>
    </row>
    <row r="1644">
      <c r="A1644" s="4" t="s">
        <v>2067</v>
      </c>
      <c r="B1644" s="4" t="s">
        <v>2069</v>
      </c>
      <c r="C1644" s="5" t="str">
        <f>IFERROR(__xludf.DUMMYFUNCTION("GOOGLETRANSLATE(B1644,""en"",""zh-CN"")"),"我们看到一个男人拿着一个孩子滑水。")</f>
        <v>我们看到一个男人拿着一个孩子滑水。</v>
      </c>
    </row>
    <row r="1645">
      <c r="A1645" s="4" t="s">
        <v>2067</v>
      </c>
      <c r="B1645" s="4" t="s">
        <v>2070</v>
      </c>
      <c r="C1645" s="5" t="str">
        <f>IFERROR(__xludf.DUMMYFUNCTION("GOOGLETRANSLATE(B1645,""en"",""zh-CN"")"),"该男子放手，再次抓住她的外套。")</f>
        <v>该男子放手，再次抓住她的外套。</v>
      </c>
    </row>
    <row r="1646">
      <c r="A1646" s="4" t="s">
        <v>2067</v>
      </c>
      <c r="B1646" s="4" t="s">
        <v>2071</v>
      </c>
      <c r="C1646" s="5" t="str">
        <f>IFERROR(__xludf.DUMMYFUNCTION("GOOGLETRANSLATE(B1646,""en"",""zh-CN"")"),"这个人指着滑雪板。")</f>
        <v>这个人指着滑雪板。</v>
      </c>
    </row>
    <row r="1647">
      <c r="A1647" s="4" t="s">
        <v>2067</v>
      </c>
      <c r="B1647" s="4" t="s">
        <v>2072</v>
      </c>
      <c r="C1647" s="5" t="str">
        <f>IFERROR(__xludf.DUMMYFUNCTION("GOOGLETRANSLATE(B1647,""en"",""zh-CN"")"),"那个男人离开了，再次抓住了夹克。")</f>
        <v>那个男人离开了，再次抓住了夹克。</v>
      </c>
    </row>
    <row r="1648">
      <c r="A1648" s="4" t="s">
        <v>2073</v>
      </c>
      <c r="B1648" s="4" t="s">
        <v>2074</v>
      </c>
      <c r="C1648" s="5" t="str">
        <f>IFERROR(__xludf.DUMMYFUNCTION("GOOGLETRANSLATE(B1648,""en"",""zh-CN"")"),"一个男人在相机上微笑。")</f>
        <v>一个男人在相机上微笑。</v>
      </c>
    </row>
    <row r="1649">
      <c r="A1649" s="4" t="s">
        <v>2073</v>
      </c>
      <c r="B1649" s="4" t="s">
        <v>2075</v>
      </c>
      <c r="C1649" s="5" t="str">
        <f>IFERROR(__xludf.DUMMYFUNCTION("GOOGLETRANSLATE(B1649,""en"",""zh-CN"")"),"他正在熨烫板上熨衣服。")</f>
        <v>他正在熨烫板上熨衣服。</v>
      </c>
    </row>
    <row r="1650">
      <c r="A1650" s="4" t="s">
        <v>2073</v>
      </c>
      <c r="B1650" s="4" t="s">
        <v>2076</v>
      </c>
      <c r="C1650" s="5" t="str">
        <f>IFERROR(__xludf.DUMMYFUNCTION("GOOGLETRANSLATE(B1650,""en"",""zh-CN"")"),"他将衣服翻转过来，对方屈服。")</f>
        <v>他将衣服翻转过来，对方屈服。</v>
      </c>
    </row>
    <row r="1651">
      <c r="A1651" s="4" t="s">
        <v>2077</v>
      </c>
      <c r="B1651" s="4" t="s">
        <v>2078</v>
      </c>
      <c r="C1651" s="5" t="str">
        <f>IFERROR(__xludf.DUMMYFUNCTION("GOOGLETRANSLATE(B1651,""en"",""zh-CN"")"),"一件橙色衬衫的男孩站在一个房间里。")</f>
        <v>一件橙色衬衫的男孩站在一个房间里。</v>
      </c>
    </row>
    <row r="1652">
      <c r="A1652" s="4" t="s">
        <v>2077</v>
      </c>
      <c r="B1652" s="4" t="s">
        <v>2079</v>
      </c>
      <c r="C1652" s="5" t="str">
        <f>IFERROR(__xludf.DUMMYFUNCTION("GOOGLETRANSLATE(B1652,""en"",""zh-CN"")"),"他开始打孔袋。")</f>
        <v>他开始打孔袋。</v>
      </c>
    </row>
    <row r="1653">
      <c r="A1653" s="4" t="s">
        <v>2077</v>
      </c>
      <c r="B1653" s="4" t="s">
        <v>2080</v>
      </c>
      <c r="C1653" s="5" t="str">
        <f>IFERROR(__xludf.DUMMYFUNCTION("GOOGLETRANSLATE(B1653,""en"",""zh-CN"")"),"打孔袋在空中移动。")</f>
        <v>打孔袋在空中移动。</v>
      </c>
    </row>
    <row r="1654">
      <c r="A1654" s="4" t="s">
        <v>2081</v>
      </c>
      <c r="B1654" s="4" t="s">
        <v>1251</v>
      </c>
      <c r="C1654" s="5" t="str">
        <f>IFERROR(__xludf.DUMMYFUNCTION("GOOGLETRANSLATE(B1654,""en"",""zh-CN"")"),"显示了剪辑的信用。")</f>
        <v>显示了剪辑的信用。</v>
      </c>
    </row>
    <row r="1655">
      <c r="A1655" s="4" t="s">
        <v>2081</v>
      </c>
      <c r="B1655" s="4" t="s">
        <v>2082</v>
      </c>
      <c r="C1655" s="5" t="str">
        <f>IFERROR(__xludf.DUMMYFUNCTION("GOOGLETRANSLATE(B1655,""en"",""zh-CN"")"),"一个男孩划船。")</f>
        <v>一个男孩划船。</v>
      </c>
    </row>
    <row r="1656">
      <c r="A1656" s="4" t="s">
        <v>2081</v>
      </c>
      <c r="B1656" s="4" t="s">
        <v>573</v>
      </c>
      <c r="C1656" s="5" t="str">
        <f>IFERROR(__xludf.DUMMYFUNCTION("GOOGLETRANSLATE(B1656,""en"",""zh-CN"")"),"显示了视频的积分。")</f>
        <v>显示了视频的积分。</v>
      </c>
    </row>
    <row r="1657">
      <c r="A1657" s="4" t="s">
        <v>2083</v>
      </c>
      <c r="B1657" s="4" t="s">
        <v>2084</v>
      </c>
      <c r="C1657" s="5" t="str">
        <f>IFERROR(__xludf.DUMMYFUNCTION("GOOGLETRANSLATE(B1657,""en"",""zh-CN"")"),"一个人在外面跳舞自己，同时擦拭车上的抹布。")</f>
        <v>一个人在外面跳舞自己，同时擦拭车上的抹布。</v>
      </c>
    </row>
    <row r="1658">
      <c r="A1658" s="4" t="s">
        <v>2083</v>
      </c>
      <c r="B1658" s="4" t="s">
        <v>2085</v>
      </c>
      <c r="C1658" s="5" t="str">
        <f>IFERROR(__xludf.DUMMYFUNCTION("GOOGLETRANSLATE(B1658,""en"",""zh-CN"")"),"天气正在倾盆大雨，该男子继续在车周围跳舞。")</f>
        <v>天气正在倾盆大雨，该男子继续在车周围跳舞。</v>
      </c>
    </row>
    <row r="1659">
      <c r="A1659" s="4" t="s">
        <v>2083</v>
      </c>
      <c r="B1659" s="4" t="s">
        <v>2086</v>
      </c>
      <c r="C1659" s="5" t="str">
        <f>IFERROR(__xludf.DUMMYFUNCTION("GOOGLETRANSLATE(B1659,""en"",""zh-CN"")"),"该男子移到汽车的前面，然后脱下衬衫并挥手向相机挥手。")</f>
        <v>该男子移到汽车的前面，然后脱下衬衫并挥手向相机挥手。</v>
      </c>
    </row>
    <row r="1660">
      <c r="A1660" s="4" t="s">
        <v>2087</v>
      </c>
      <c r="B1660" s="4" t="s">
        <v>2088</v>
      </c>
      <c r="C1660" s="5" t="str">
        <f>IFERROR(__xludf.DUMMYFUNCTION("GOOGLETRANSLATE(B1660,""en"",""zh-CN"")"),"一开始，有大量的人群鼓掌，两名主人在一开始讲话。")</f>
        <v>一开始，有大量的人群鼓掌，两名主人在一开始讲话。</v>
      </c>
    </row>
    <row r="1661">
      <c r="A1661" s="4" t="s">
        <v>2087</v>
      </c>
      <c r="B1661" s="4" t="s">
        <v>2089</v>
      </c>
      <c r="C1661" s="5" t="str">
        <f>IFERROR(__xludf.DUMMYFUNCTION("GOOGLETRANSLATE(B1661,""en"",""zh-CN"")"),"然后，向一群男人穿着相扑摔跤服。")</f>
        <v>然后，向一群男人穿着相扑摔跤服。</v>
      </c>
    </row>
    <row r="1662">
      <c r="A1662" s="4" t="s">
        <v>2087</v>
      </c>
      <c r="B1662" s="4" t="s">
        <v>2090</v>
      </c>
      <c r="C1662" s="5" t="str">
        <f>IFERROR(__xludf.DUMMYFUNCTION("GOOGLETRANSLATE(B1662,""en"",""zh-CN"")"),"两个人进入戒指并开始战斗。")</f>
        <v>两个人进入戒指并开始战斗。</v>
      </c>
    </row>
    <row r="1663">
      <c r="A1663" s="4" t="s">
        <v>2087</v>
      </c>
      <c r="B1663" s="4" t="s">
        <v>2091</v>
      </c>
      <c r="C1663" s="5" t="str">
        <f>IFERROR(__xludf.DUMMYFUNCTION("GOOGLETRANSLATE(B1663,""en"",""zh-CN"")"),"两人抓住对方的脖子，试图将对手撞倒在地。")</f>
        <v>两人抓住对方的脖子，试图将对手撞倒在地。</v>
      </c>
    </row>
    <row r="1664">
      <c r="A1664" s="4" t="s">
        <v>2092</v>
      </c>
      <c r="B1664" s="6" t="s">
        <v>2093</v>
      </c>
      <c r="C1664" s="5" t="str">
        <f>IFERROR(__xludf.DUMMYFUNCTION("GOOGLETRANSLATE(B1664,""en"",""zh-CN"")"),"摄像机捕获了一个老妇的特写镜头，上面涂上化妆，然后将嘴唇砸向相机。")</f>
        <v>摄像机捕获了一个老妇的特写镜头，上面涂上化妆，然后将嘴唇砸向相机。</v>
      </c>
    </row>
    <row r="1665">
      <c r="A1665" s="4" t="s">
        <v>2092</v>
      </c>
      <c r="B1665" s="4" t="s">
        <v>2094</v>
      </c>
      <c r="C1665" s="5" t="str">
        <f>IFERROR(__xludf.DUMMYFUNCTION("GOOGLETRANSLATE(B1665,""en"",""zh-CN"")"),"然后，她戴上睫毛膏以及更多的口红，然后向后点头和第四个微笑。")</f>
        <v>然后，她戴上睫毛膏以及更多的口红，然后向后点头和第四个微笑。</v>
      </c>
    </row>
    <row r="1666">
      <c r="A1666" s="4" t="s">
        <v>2095</v>
      </c>
      <c r="B1666" s="4" t="s">
        <v>2096</v>
      </c>
      <c r="C1666" s="5" t="str">
        <f>IFERROR(__xludf.DUMMYFUNCTION("GOOGLETRANSLATE(B1666,""en"",""zh-CN"")"),"一个戴着白帽子的男人正在演示如何制作加勒比海饮料。")</f>
        <v>一个戴着白帽子的男人正在演示如何制作加勒比海饮料。</v>
      </c>
    </row>
    <row r="1667">
      <c r="A1667" s="4" t="s">
        <v>2095</v>
      </c>
      <c r="B1667" s="4" t="s">
        <v>2097</v>
      </c>
      <c r="C1667" s="5" t="str">
        <f>IFERROR(__xludf.DUMMYFUNCTION("GOOGLETRANSLATE(B1667,""en"",""zh-CN"")"),"他展示了一个装满柑橘类水果的碗。")</f>
        <v>他展示了一个装满柑橘类水果的碗。</v>
      </c>
    </row>
    <row r="1668">
      <c r="A1668" s="4" t="s">
        <v>2095</v>
      </c>
      <c r="B1668" s="4" t="s">
        <v>2098</v>
      </c>
      <c r="C1668" s="5" t="str">
        <f>IFERROR(__xludf.DUMMYFUNCTION("GOOGLETRANSLATE(B1668,""en"",""zh-CN"")"),"他服用柠檬汁，一些柠檬，酸橙和橙子。")</f>
        <v>他服用柠檬汁，一些柠檬，酸橙和橙子。</v>
      </c>
    </row>
    <row r="1669">
      <c r="A1669" s="4" t="s">
        <v>2095</v>
      </c>
      <c r="B1669" s="4" t="s">
        <v>2099</v>
      </c>
      <c r="C1669" s="5" t="str">
        <f>IFERROR(__xludf.DUMMYFUNCTION("GOOGLETRANSLATE(B1669,""en"",""zh-CN"")"),"然后，他将橙子和柠檬汁榨汁。")</f>
        <v>然后，他将橙子和柠檬汁榨汁。</v>
      </c>
    </row>
    <row r="1670">
      <c r="A1670" s="4" t="s">
        <v>2095</v>
      </c>
      <c r="B1670" s="4" t="s">
        <v>2100</v>
      </c>
      <c r="C1670" s="5" t="str">
        <f>IFERROR(__xludf.DUMMYFUNCTION("GOOGLETRANSLATE(B1670,""en"",""zh-CN"")"),"然后，他将果汁倒入一个大鸡尾酒碗。")</f>
        <v>然后，他将果汁倒入一个大鸡尾酒碗。</v>
      </c>
    </row>
    <row r="1671">
      <c r="A1671" s="4" t="s">
        <v>2095</v>
      </c>
      <c r="B1671" s="4" t="s">
        <v>2101</v>
      </c>
      <c r="C1671" s="5" t="str">
        <f>IFERROR(__xludf.DUMMYFUNCTION("GOOGLETRANSLATE(B1671,""en"",""zh-CN"")"),"他将朗姆酒与一些香草提取物一起添加到果汁中。")</f>
        <v>他将朗姆酒与一些香草提取物一起添加到果汁中。</v>
      </c>
    </row>
    <row r="1672">
      <c r="A1672" s="4" t="s">
        <v>2095</v>
      </c>
      <c r="B1672" s="4" t="s">
        <v>2102</v>
      </c>
      <c r="C1672" s="5" t="str">
        <f>IFERROR(__xludf.DUMMYFUNCTION("GOOGLETRANSLATE(B1672,""en"",""zh-CN"")"),"他还混合糖和朗姆酒，然后搅拌饮料。")</f>
        <v>他还混合糖和朗姆酒，然后搅拌饮料。</v>
      </c>
    </row>
    <row r="1673">
      <c r="A1673" s="4" t="s">
        <v>2095</v>
      </c>
      <c r="B1673" s="4" t="s">
        <v>2103</v>
      </c>
      <c r="C1673" s="5" t="str">
        <f>IFERROR(__xludf.DUMMYFUNCTION("GOOGLETRANSLATE(B1673,""en"",""zh-CN"")"),"他终于加了一个充满水的碗，搅拌得很好。")</f>
        <v>他终于加了一个充满水的碗，搅拌得很好。</v>
      </c>
    </row>
    <row r="1674">
      <c r="A1674" s="4" t="s">
        <v>2095</v>
      </c>
      <c r="B1674" s="4" t="s">
        <v>2104</v>
      </c>
      <c r="C1674" s="5" t="str">
        <f>IFERROR(__xludf.DUMMYFUNCTION("GOOGLETRANSLATE(B1674,""en"",""zh-CN"")"),"他将饮料倒在鸡尾酒眼镜中，然后将其放在厨房柜台上。")</f>
        <v>他将饮料倒在鸡尾酒眼镜中，然后将其放在厨房柜台上。</v>
      </c>
    </row>
    <row r="1675">
      <c r="A1675" s="4" t="s">
        <v>2105</v>
      </c>
      <c r="B1675" s="4" t="s">
        <v>2106</v>
      </c>
      <c r="C1675" s="5" t="str">
        <f>IFERROR(__xludf.DUMMYFUNCTION("GOOGLETRANSLATE(B1675,""en"",""zh-CN"")"),"一条大船在海水中航行。")</f>
        <v>一条大船在海水中航行。</v>
      </c>
    </row>
    <row r="1676">
      <c r="A1676" s="4" t="s">
        <v>2105</v>
      </c>
      <c r="B1676" s="4" t="s">
        <v>2107</v>
      </c>
      <c r="C1676" s="5" t="str">
        <f>IFERROR(__xludf.DUMMYFUNCTION("GOOGLETRANSLATE(B1676,""en"",""zh-CN"")"),"一个穿着水肺齿轮的男人爬过侧面。")</f>
        <v>一个穿着水肺齿轮的男人爬过侧面。</v>
      </c>
    </row>
    <row r="1677">
      <c r="A1677" s="4" t="s">
        <v>2105</v>
      </c>
      <c r="B1677" s="4" t="s">
        <v>2108</v>
      </c>
      <c r="C1677" s="5" t="str">
        <f>IFERROR(__xludf.DUMMYFUNCTION("GOOGLETRANSLATE(B1677,""en"",""zh-CN"")"),"他致力于将一个大袋子拉到船上，试图不倾覆。")</f>
        <v>他致力于将一个大袋子拉到船上，试图不倾覆。</v>
      </c>
    </row>
    <row r="1678">
      <c r="A1678" s="4" t="s">
        <v>2109</v>
      </c>
      <c r="B1678" s="6" t="s">
        <v>2110</v>
      </c>
      <c r="C1678" s="5" t="str">
        <f>IFERROR(__xludf.DUMMYFUNCTION("GOOGLETRANSLATE(B1678,""en"",""zh-CN"")"),"一个穿着雪齿轮的男人正站在冷冻的水面上，当他看着钓鱼杆所在的鱼孔时弯曲。")</f>
        <v>一个穿着雪齿轮的男人正站在冷冻的水面上，当他看着钓鱼杆所在的鱼孔时弯曲。</v>
      </c>
    </row>
    <row r="1679">
      <c r="A1679" s="4" t="s">
        <v>2109</v>
      </c>
      <c r="B1679" s="6" t="s">
        <v>2111</v>
      </c>
      <c r="C1679" s="5" t="str">
        <f>IFERROR(__xludf.DUMMYFUNCTION("GOOGLETRANSLATE(B1679,""en"",""zh-CN"")"),"该男子拉到他的钓鱼杆上，跪下来，继续慢慢地拉动钓鱼杆，那个已经将相机放下的相机男子弯腰弯腰，抓住鱼并将其放在冰上。")</f>
        <v>该男子拉到他的钓鱼杆上，跪下来，继续慢慢地拉动钓鱼杆，那个已经将相机放下的相机男子弯腰弯腰，抓住鱼并将其放在冰上。</v>
      </c>
    </row>
    <row r="1680">
      <c r="A1680" s="4" t="s">
        <v>2109</v>
      </c>
      <c r="B1680" s="6" t="s">
        <v>2112</v>
      </c>
      <c r="C1680" s="5" t="str">
        <f>IFERROR(__xludf.DUMMYFUNCTION("GOOGLETRANSLATE(B1680,""en"",""zh-CN"")"),"该男子将相机捡起并将相机倾斜到冰上的鱼，钓鱼的人微笑着，将鱼固定在空中。")</f>
        <v>该男子将相机捡起并将相机倾斜到冰上的鱼，钓鱼的人微笑着，将鱼固定在空中。</v>
      </c>
    </row>
    <row r="1681">
      <c r="A1681" s="4" t="s">
        <v>2113</v>
      </c>
      <c r="B1681" s="4" t="s">
        <v>2114</v>
      </c>
      <c r="C1681" s="5" t="str">
        <f>IFERROR(__xludf.DUMMYFUNCTION("GOOGLETRANSLATE(B1681,""en"",""zh-CN"")"),"人们在牛仔竞技表演中处理公牛，一个男人被公牛扔向空中。")</f>
        <v>人们在牛仔竞技表演中处理公牛，一个男人被公牛扔向空中。</v>
      </c>
    </row>
    <row r="1682">
      <c r="A1682" s="4" t="s">
        <v>2113</v>
      </c>
      <c r="B1682" s="6" t="s">
        <v>2115</v>
      </c>
      <c r="C1682" s="5" t="str">
        <f>IFERROR(__xludf.DUMMYFUNCTION("GOOGLETRANSLATE(B1682,""en"",""zh-CN"")"),"人们在人们观看牛仔竞技表演的同时，人们被公牛扔到地上。")</f>
        <v>人们在人们观看牛仔竞技表演的同时，人们被公牛扔到地上。</v>
      </c>
    </row>
    <row r="1683">
      <c r="A1683" s="4" t="s">
        <v>2113</v>
      </c>
      <c r="B1683" s="6" t="s">
        <v>2116</v>
      </c>
      <c r="C1683" s="5" t="str">
        <f>IFERROR(__xludf.DUMMYFUNCTION("GOOGLETRANSLATE(B1683,""en"",""zh-CN"")"),"骑公牛的几个人被扔在地上，而其他人分散了跳跃和踢的公牛的注意力。")</f>
        <v>骑公牛的几个人被扔在地上，而其他人分散了跳跃和踢的公牛的注意力。</v>
      </c>
    </row>
    <row r="1684">
      <c r="A1684" s="4" t="s">
        <v>2117</v>
      </c>
      <c r="B1684" s="6" t="s">
        <v>2118</v>
      </c>
      <c r="C1684" s="5" t="str">
        <f>IFERROR(__xludf.DUMMYFUNCTION("GOOGLETRANSLATE(B1684,""en"",""zh-CN"")"),"两个非常大的sumos在一个高架圆圈中进行腿部热身和蹲下，而中间的另一个男人则穿着日本服装裁判。")</f>
        <v>两个非常大的sumos在一个高架圆圈中进行腿部热身和蹲下，而中间的另一个男人则穿着日本服装裁判。</v>
      </c>
    </row>
    <row r="1685">
      <c r="A1685" s="4" t="s">
        <v>2117</v>
      </c>
      <c r="B1685" s="6" t="s">
        <v>2119</v>
      </c>
      <c r="C1685" s="5" t="str">
        <f>IFERROR(__xludf.DUMMYFUNCTION("GOOGLETRANSLATE(B1685,""en"",""zh-CN"")"),"裁判员让他们知道何时开始，而裁判员则绕着戒指进行监视时，Sumos摔跤。")</f>
        <v>裁判员让他们知道何时开始，而裁判员则绕着戒指进行监视时，Sumos摔跤。</v>
      </c>
    </row>
    <row r="1686">
      <c r="A1686" s="4" t="s">
        <v>2117</v>
      </c>
      <c r="B1686" s="6" t="s">
        <v>2120</v>
      </c>
      <c r="C1686" s="5" t="str">
        <f>IFERROR(__xludf.DUMMYFUNCTION("GOOGLETRANSLATE(B1686,""en"",""zh-CN"")"),"最终，其中一个人能够将另一个男人推开，他们停止摔跤，失败者走到他的尽头，互相鞠躬，都离开了戒指。")</f>
        <v>最终，其中一个人能够将另一个男人推开，他们停止摔跤，失败者走到他的尽头，互相鞠躬，都离开了戒指。</v>
      </c>
    </row>
    <row r="1687">
      <c r="A1687" s="4" t="s">
        <v>2121</v>
      </c>
      <c r="B1687" s="4" t="s">
        <v>2122</v>
      </c>
      <c r="C1687" s="5" t="str">
        <f>IFERROR(__xludf.DUMMYFUNCTION("GOOGLETRANSLATE(B1687,""en"",""zh-CN"")"),"一个女孩正在水槽里倒一些东西。")</f>
        <v>一个女孩正在水槽里倒一些东西。</v>
      </c>
    </row>
    <row r="1688">
      <c r="A1688" s="4" t="s">
        <v>2121</v>
      </c>
      <c r="B1688" s="4" t="s">
        <v>2123</v>
      </c>
      <c r="C1688" s="5" t="str">
        <f>IFERROR(__xludf.DUMMYFUNCTION("GOOGLETRANSLATE(B1688,""en"",""zh-CN"")"),"她走开，把手擦在毛巾上。")</f>
        <v>她走开，把手擦在毛巾上。</v>
      </c>
    </row>
    <row r="1689">
      <c r="A1689" s="4" t="s">
        <v>2121</v>
      </c>
      <c r="B1689" s="4" t="s">
        <v>2124</v>
      </c>
      <c r="C1689" s="5" t="str">
        <f>IFERROR(__xludf.DUMMYFUNCTION("GOOGLETRANSLATE(B1689,""en"",""zh-CN"")"),"她将碗倒入地面上的水桶中。")</f>
        <v>她将碗倒入地面上的水桶中。</v>
      </c>
    </row>
    <row r="1690">
      <c r="A1690" s="4" t="s">
        <v>2121</v>
      </c>
      <c r="B1690" s="4" t="s">
        <v>2125</v>
      </c>
      <c r="C1690" s="5" t="str">
        <f>IFERROR(__xludf.DUMMYFUNCTION("GOOGLETRANSLATE(B1690,""en"",""zh-CN"")"),"她开始用毛巾擦拭地板。")</f>
        <v>她开始用毛巾擦拭地板。</v>
      </c>
    </row>
    <row r="1691">
      <c r="A1691" s="4" t="s">
        <v>2121</v>
      </c>
      <c r="B1691" s="4" t="s">
        <v>2126</v>
      </c>
      <c r="C1691" s="5" t="str">
        <f>IFERROR(__xludf.DUMMYFUNCTION("GOOGLETRANSLATE(B1691,""en"",""zh-CN"")"),"她将水桶移到教室的前面，然后将其倾倒。")</f>
        <v>她将水桶移到教室的前面，然后将其倾倒。</v>
      </c>
    </row>
    <row r="1692">
      <c r="A1692" s="4" t="s">
        <v>2127</v>
      </c>
      <c r="B1692" s="4" t="s">
        <v>2128</v>
      </c>
      <c r="C1692" s="5" t="str">
        <f>IFERROR(__xludf.DUMMYFUNCTION("GOOGLETRANSLATE(B1692,""en"",""zh-CN"")"),"我们看到了视频的标题屏幕。")</f>
        <v>我们看到了视频的标题屏幕。</v>
      </c>
    </row>
    <row r="1693">
      <c r="A1693" s="4" t="s">
        <v>2127</v>
      </c>
      <c r="B1693" s="4" t="s">
        <v>2129</v>
      </c>
      <c r="C1693" s="5" t="str">
        <f>IFERROR(__xludf.DUMMYFUNCTION("GOOGLETRANSLATE(B1693,""en"",""zh-CN"")"),"我们换成一个穿着寒冷的天气衣服的女人。")</f>
        <v>我们换成一个穿着寒冷的天气衣服的女人。</v>
      </c>
    </row>
    <row r="1694">
      <c r="A1694" s="4" t="s">
        <v>2127</v>
      </c>
      <c r="B1694" s="4" t="s">
        <v>2130</v>
      </c>
      <c r="C1694" s="5" t="str">
        <f>IFERROR(__xludf.DUMMYFUNCTION("GOOGLETRANSLATE(B1694,""en"",""zh-CN"")"),"她抓住铲子走开。")</f>
        <v>她抓住铲子走开。</v>
      </c>
    </row>
    <row r="1695">
      <c r="A1695" s="4" t="s">
        <v>2127</v>
      </c>
      <c r="B1695" s="4" t="s">
        <v>2131</v>
      </c>
      <c r="C1695" s="5" t="str">
        <f>IFERROR(__xludf.DUMMYFUNCTION("GOOGLETRANSLATE(B1695,""en"",""zh-CN"")"),"我们看到那位女士坐在椅子上躺在椅子上读书。")</f>
        <v>我们看到那位女士坐在椅子上躺在椅子上读书。</v>
      </c>
    </row>
    <row r="1696">
      <c r="A1696" s="4" t="s">
        <v>2127</v>
      </c>
      <c r="B1696" s="4" t="s">
        <v>2132</v>
      </c>
      <c r="C1696" s="5" t="str">
        <f>IFERROR(__xludf.DUMMYFUNCTION("GOOGLETRANSLATE(B1696,""en"",""zh-CN"")"),"那位女士在外面铲雪，说话。")</f>
        <v>那位女士在外面铲雪，说话。</v>
      </c>
    </row>
    <row r="1697">
      <c r="A1697" s="4" t="s">
        <v>2127</v>
      </c>
      <c r="B1697" s="4" t="s">
        <v>2133</v>
      </c>
      <c r="C1697" s="5" t="str">
        <f>IFERROR(__xludf.DUMMYFUNCTION("GOOGLETRANSLATE(B1697,""en"",""zh-CN"")"),"我们在网上看到有关铲子的文章。")</f>
        <v>我们在网上看到有关铲子的文章。</v>
      </c>
    </row>
    <row r="1698">
      <c r="A1698" s="4" t="s">
        <v>2127</v>
      </c>
      <c r="B1698" s="4" t="s">
        <v>2134</v>
      </c>
      <c r="C1698" s="5" t="str">
        <f>IFERROR(__xludf.DUMMYFUNCTION("GOOGLETRANSLATE(B1698,""en"",""zh-CN"")"),"那位女士正在跳跃和热身。")</f>
        <v>那位女士正在跳跃和热身。</v>
      </c>
    </row>
    <row r="1699">
      <c r="A1699" s="4" t="s">
        <v>2127</v>
      </c>
      <c r="B1699" s="4" t="s">
        <v>2135</v>
      </c>
      <c r="C1699" s="5" t="str">
        <f>IFERROR(__xludf.DUMMYFUNCTION("GOOGLETRANSLATE(B1699,""en"",""zh-CN"")"),"我们看到一个白雪皑皑的城市，然后人们铲雪。")</f>
        <v>我们看到一个白雪皑皑的城市，然后人们铲雪。</v>
      </c>
    </row>
    <row r="1700">
      <c r="A1700" s="4" t="s">
        <v>2136</v>
      </c>
      <c r="B1700" s="4" t="s">
        <v>2137</v>
      </c>
      <c r="C1700" s="5" t="str">
        <f>IFERROR(__xludf.DUMMYFUNCTION("GOOGLETRANSLATE(B1700,""en"",""zh-CN"")"),"看到一个人站在拿着网球拍的法庭上。")</f>
        <v>看到一个人站在拿着网球拍的法庭上。</v>
      </c>
    </row>
    <row r="1701">
      <c r="A1701" s="4" t="s">
        <v>2136</v>
      </c>
      <c r="B1701" s="4" t="s">
        <v>2138</v>
      </c>
      <c r="C1701" s="5" t="str">
        <f>IFERROR(__xludf.DUMMYFUNCTION("GOOGLETRANSLATE(B1701,""en"",""zh-CN"")"),"然后，该名男子用网球球拍展示了多个动作，然后将球击中了另一个。")</f>
        <v>然后，该名男子用网球球拍展示了多个动作，然后将球击中了另一个。</v>
      </c>
    </row>
    <row r="1702">
      <c r="A1702" s="4" t="s">
        <v>2136</v>
      </c>
      <c r="B1702" s="4" t="s">
        <v>2139</v>
      </c>
      <c r="C1702" s="5" t="str">
        <f>IFERROR(__xludf.DUMMYFUNCTION("GOOGLETRANSLATE(B1702,""en"",""zh-CN"")"),"两人不断地将球向后击球，彼此击中第四。")</f>
        <v>两人不断地将球向后击球，彼此击中第四。</v>
      </c>
    </row>
    <row r="1703">
      <c r="A1703" s="4" t="s">
        <v>2140</v>
      </c>
      <c r="B1703" s="4" t="s">
        <v>2141</v>
      </c>
      <c r="C1703" s="5" t="str">
        <f>IFERROR(__xludf.DUMMYFUNCTION("GOOGLETRANSLATE(B1703,""en"",""zh-CN"")"),"一个女人穿着绿色太阳镜坐下。")</f>
        <v>一个女人穿着绿色太阳镜坐下。</v>
      </c>
    </row>
    <row r="1704">
      <c r="A1704" s="4" t="s">
        <v>2140</v>
      </c>
      <c r="B1704" s="4" t="s">
        <v>2142</v>
      </c>
      <c r="C1704" s="5" t="str">
        <f>IFERROR(__xludf.DUMMYFUNCTION("GOOGLETRANSLATE(B1704,""en"",""zh-CN"")"),"她正在用手机说话。")</f>
        <v>她正在用手机说话。</v>
      </c>
    </row>
    <row r="1705">
      <c r="A1705" s="4" t="s">
        <v>2140</v>
      </c>
      <c r="B1705" s="4" t="s">
        <v>2143</v>
      </c>
      <c r="C1705" s="5" t="str">
        <f>IFERROR(__xludf.DUMMYFUNCTION("GOOGLETRANSLATE(B1705,""en"",""zh-CN"")"),"她正在骑车。")</f>
        <v>她正在骑车。</v>
      </c>
    </row>
    <row r="1706">
      <c r="A1706" s="4" t="s">
        <v>2140</v>
      </c>
      <c r="B1706" s="4" t="s">
        <v>2144</v>
      </c>
      <c r="C1706" s="5" t="str">
        <f>IFERROR(__xludf.DUMMYFUNCTION("GOOGLETRANSLATE(B1706,""en"",""zh-CN"")"),"她躺在椅子上，把脚纹身。")</f>
        <v>她躺在椅子上，把脚纹身。</v>
      </c>
    </row>
    <row r="1707">
      <c r="A1707" s="4" t="s">
        <v>2140</v>
      </c>
      <c r="B1707" s="4" t="s">
        <v>2145</v>
      </c>
      <c r="C1707" s="5" t="str">
        <f>IFERROR(__xludf.DUMMYFUNCTION("GOOGLETRANSLATE(B1707,""en"",""zh-CN"")"),"她正在展示脚纹身。")</f>
        <v>她正在展示脚纹身。</v>
      </c>
    </row>
    <row r="1708">
      <c r="A1708" s="4" t="s">
        <v>2140</v>
      </c>
      <c r="B1708" s="4" t="s">
        <v>2146</v>
      </c>
      <c r="C1708" s="5" t="str">
        <f>IFERROR(__xludf.DUMMYFUNCTION("GOOGLETRANSLATE(B1708,""en"",""zh-CN"")"),"她坐在外面再次说话。")</f>
        <v>她坐在外面再次说话。</v>
      </c>
    </row>
    <row r="1709">
      <c r="A1709" s="4" t="s">
        <v>2147</v>
      </c>
      <c r="B1709" s="4" t="s">
        <v>2148</v>
      </c>
      <c r="C1709" s="5" t="str">
        <f>IFERROR(__xludf.DUMMYFUNCTION("GOOGLETRANSLATE(B1709,""en"",""zh-CN"")"),"看到一个女人用瓶子从她的皮肤上挤出乳液，然后将其摩擦到她的手臂上。")</f>
        <v>看到一个女人用瓶子从她的皮肤上挤出乳液，然后将其摩擦到她的手臂上。</v>
      </c>
    </row>
    <row r="1710">
      <c r="A1710" s="4" t="s">
        <v>2147</v>
      </c>
      <c r="B1710" s="6" t="s">
        <v>2149</v>
      </c>
      <c r="C1710" s="5" t="str">
        <f>IFERROR(__xludf.DUMMYFUNCTION("GOOGLETRANSLATE(B1710,""en"",""zh-CN"")"),"屏幕上显示了更多图片，以及如何正确使用它的步骤。")</f>
        <v>屏幕上显示了更多图片，以及如何正确使用它的步骤。</v>
      </c>
    </row>
    <row r="1711">
      <c r="A1711" s="4" t="s">
        <v>2150</v>
      </c>
      <c r="B1711" s="4" t="s">
        <v>2151</v>
      </c>
      <c r="C1711" s="5" t="str">
        <f>IFERROR(__xludf.DUMMYFUNCTION("GOOGLETRANSLATE(B1711,""en"",""zh-CN"")"),"人们在一场拔河比赛中拉绳子。")</f>
        <v>人们在一场拔河比赛中拉绳子。</v>
      </c>
    </row>
    <row r="1712">
      <c r="A1712" s="4" t="s">
        <v>2150</v>
      </c>
      <c r="B1712" s="4" t="s">
        <v>2152</v>
      </c>
      <c r="C1712" s="5" t="str">
        <f>IFERROR(__xludf.DUMMYFUNCTION("GOOGLETRANSLATE(B1712,""en"",""zh-CN"")"),"一位女士弯腰拍照，一位女士散步和拍摄偶数。")</f>
        <v>一位女士弯腰拍照，一位女士散步和拍摄偶数。</v>
      </c>
    </row>
    <row r="1713">
      <c r="A1713" s="4" t="s">
        <v>2150</v>
      </c>
      <c r="B1713" s="4" t="s">
        <v>2153</v>
      </c>
      <c r="C1713" s="5" t="str">
        <f>IFERROR(__xludf.DUMMYFUNCTION("GOOGLETRANSLATE(B1713,""en"",""zh-CN"")"),"我们在田野里看到一座塔。")</f>
        <v>我们在田野里看到一座塔。</v>
      </c>
    </row>
    <row r="1714">
      <c r="A1714" s="4" t="s">
        <v>2150</v>
      </c>
      <c r="B1714" s="4" t="s">
        <v>2154</v>
      </c>
      <c r="C1714" s="5" t="str">
        <f>IFERROR(__xludf.DUMMYFUNCTION("GOOGLETRANSLATE(B1714,""en"",""zh-CN"")"),"这些人放开了绳子，一个人摔倒了。")</f>
        <v>这些人放开了绳子，一个人摔倒了。</v>
      </c>
    </row>
    <row r="1715">
      <c r="A1715" s="4" t="s">
        <v>2150</v>
      </c>
      <c r="B1715" s="4" t="s">
        <v>2155</v>
      </c>
      <c r="C1715" s="5" t="str">
        <f>IFERROR(__xludf.DUMMYFUNCTION("GOOGLETRANSLATE(B1715,""en"",""zh-CN"")"),"一个男人微笑着，给镜头竖起大拇指。")</f>
        <v>一个男人微笑着，给镜头竖起大拇指。</v>
      </c>
    </row>
    <row r="1716">
      <c r="A1716" s="4" t="s">
        <v>2156</v>
      </c>
      <c r="B1716" s="4" t="s">
        <v>2157</v>
      </c>
      <c r="C1716" s="5" t="str">
        <f>IFERROR(__xludf.DUMMYFUNCTION("GOOGLETRANSLATE(B1716,""en"",""zh-CN"")"),"人们正在一个领域玩游戏。")</f>
        <v>人们正在一个领域玩游戏。</v>
      </c>
    </row>
    <row r="1717">
      <c r="A1717" s="4" t="s">
        <v>2156</v>
      </c>
      <c r="B1717" s="4" t="s">
        <v>2158</v>
      </c>
      <c r="C1717" s="5" t="str">
        <f>IFERROR(__xludf.DUMMYFUNCTION("GOOGLETRANSLATE(B1717,""en"",""zh-CN"")"),"那个带有槌槌和红帽的人来回奔跑的人。")</f>
        <v>那个带有槌槌和红帽的人来回奔跑的人。</v>
      </c>
    </row>
    <row r="1718">
      <c r="A1718" s="4" t="s">
        <v>2156</v>
      </c>
      <c r="B1718" s="4" t="s">
        <v>2159</v>
      </c>
      <c r="C1718" s="5" t="str">
        <f>IFERROR(__xludf.DUMMYFUNCTION("GOOGLETRANSLATE(B1718,""en"",""zh-CN"")"),"一个蓝色衬衫的男人朝本板跑。")</f>
        <v>一个蓝色衬衫的男人朝本板跑。</v>
      </c>
    </row>
    <row r="1719">
      <c r="A1719" s="4" t="s">
        <v>2156</v>
      </c>
      <c r="B1719" s="4" t="s">
        <v>2160</v>
      </c>
      <c r="C1719" s="5" t="str">
        <f>IFERROR(__xludf.DUMMYFUNCTION("GOOGLETRANSLATE(B1719,""en"",""zh-CN"")"),"显示了槌槌的男人在慢动作中受到打击。")</f>
        <v>显示了槌槌的男人在慢动作中受到打击。</v>
      </c>
    </row>
    <row r="1720">
      <c r="A1720" s="4" t="s">
        <v>2156</v>
      </c>
      <c r="B1720" s="4" t="s">
        <v>2161</v>
      </c>
      <c r="C1720" s="5" t="str">
        <f>IFERROR(__xludf.DUMMYFUNCTION("GOOGLETRANSLATE(B1720,""en"",""zh-CN"")"),"一个女人可以击球，并在受到打击后奔跑。")</f>
        <v>一个女人可以击球，并在受到打击后奔跑。</v>
      </c>
    </row>
    <row r="1721">
      <c r="A1721" s="4" t="s">
        <v>2162</v>
      </c>
      <c r="B1721" s="4" t="s">
        <v>2163</v>
      </c>
      <c r="C1721" s="5" t="str">
        <f>IFERROR(__xludf.DUMMYFUNCTION("GOOGLETRANSLATE(B1721,""en"",""zh-CN"")"),"一个人在海洋上伞兵。")</f>
        <v>一个人在海洋上伞兵。</v>
      </c>
    </row>
    <row r="1722">
      <c r="A1722" s="4" t="s">
        <v>2162</v>
      </c>
      <c r="B1722" s="4" t="s">
        <v>2164</v>
      </c>
      <c r="C1722" s="5" t="str">
        <f>IFERROR(__xludf.DUMMYFUNCTION("GOOGLETRANSLATE(B1722,""en"",""zh-CN"")"),"其他人也开始在水中航行，有些人掉下来。")</f>
        <v>其他人也开始在水中航行，有些人掉下来。</v>
      </c>
    </row>
    <row r="1723">
      <c r="A1723" s="4" t="s">
        <v>2165</v>
      </c>
      <c r="B1723" s="4" t="s">
        <v>2166</v>
      </c>
      <c r="C1723" s="5" t="str">
        <f>IFERROR(__xludf.DUMMYFUNCTION("GOOGLETRANSLATE(B1723,""en"",""zh-CN"")"),"我们看到一个男人装饰一棵圣诞树。")</f>
        <v>我们看到一个男人装饰一棵圣诞树。</v>
      </c>
    </row>
    <row r="1724">
      <c r="A1724" s="4" t="s">
        <v>2165</v>
      </c>
      <c r="B1724" s="4" t="s">
        <v>2167</v>
      </c>
      <c r="C1724" s="5" t="str">
        <f>IFERROR(__xludf.DUMMYFUNCTION("GOOGLETRANSLATE(B1724,""en"",""zh-CN"")"),"该男子添加了一串灯。")</f>
        <v>该男子添加了一串灯。</v>
      </c>
    </row>
    <row r="1725">
      <c r="A1725" s="4" t="s">
        <v>2165</v>
      </c>
      <c r="B1725" s="4" t="s">
        <v>2168</v>
      </c>
      <c r="C1725" s="5" t="str">
        <f>IFERROR(__xludf.DUMMYFUNCTION("GOOGLETRANSLATE(B1725,""en"",""zh-CN"")"),"一个小女孩广告灯泡到树上。")</f>
        <v>一个小女孩广告灯泡到树上。</v>
      </c>
    </row>
    <row r="1726">
      <c r="A1726" s="4" t="s">
        <v>2165</v>
      </c>
      <c r="B1726" s="4" t="s">
        <v>2169</v>
      </c>
      <c r="C1726" s="5" t="str">
        <f>IFERROR(__xludf.DUMMYFUNCTION("GOOGLETRANSLATE(B1726,""en"",""zh-CN"")"),"那个男人打开灯。")</f>
        <v>那个男人打开灯。</v>
      </c>
    </row>
    <row r="1727">
      <c r="A1727" s="4" t="s">
        <v>2165</v>
      </c>
      <c r="B1727" s="4" t="s">
        <v>2170</v>
      </c>
      <c r="C1727" s="5" t="str">
        <f>IFERROR(__xludf.DUMMYFUNCTION("GOOGLETRANSLATE(B1727,""en"",""zh-CN"")"),"男人和女孩在树上添加灯泡。")</f>
        <v>男人和女孩在树上添加灯泡。</v>
      </c>
    </row>
    <row r="1728">
      <c r="A1728" s="4" t="s">
        <v>2165</v>
      </c>
      <c r="B1728" s="4" t="s">
        <v>2171</v>
      </c>
      <c r="C1728" s="5" t="str">
        <f>IFERROR(__xludf.DUMMYFUNCTION("GOOGLETRANSLATE(B1728,""en"",""zh-CN"")"),"那位女士上了楼梯。")</f>
        <v>那位女士上了楼梯。</v>
      </c>
    </row>
    <row r="1729">
      <c r="A1729" s="4" t="s">
        <v>2165</v>
      </c>
      <c r="B1729" s="4" t="s">
        <v>2172</v>
      </c>
      <c r="C1729" s="5" t="str">
        <f>IFERROR(__xludf.DUMMYFUNCTION("GOOGLETRANSLATE(B1729,""en"",""zh-CN"")"),"女士在树上添加了装饰品。")</f>
        <v>女士在树上添加了装饰品。</v>
      </c>
    </row>
    <row r="1730">
      <c r="A1730" s="4" t="s">
        <v>2165</v>
      </c>
      <c r="B1730" s="4" t="s">
        <v>2173</v>
      </c>
      <c r="C1730" s="5" t="str">
        <f>IFERROR(__xludf.DUMMYFUNCTION("GOOGLETRANSLATE(B1730,""en"",""zh-CN"")"),"该男子站在梯子上并增加了装饰品。")</f>
        <v>该男子站在梯子上并增加了装饰品。</v>
      </c>
    </row>
    <row r="1731">
      <c r="A1731" s="4" t="s">
        <v>2165</v>
      </c>
      <c r="B1731" s="4" t="s">
        <v>2174</v>
      </c>
      <c r="C1731" s="5" t="str">
        <f>IFERROR(__xludf.DUMMYFUNCTION("GOOGLETRANSLATE(B1731,""en"",""zh-CN"")"),"那位女士关闭灯光，一家人一起看着树。")</f>
        <v>那位女士关闭灯光，一家人一起看着树。</v>
      </c>
    </row>
    <row r="1732">
      <c r="A1732" s="4" t="s">
        <v>2165</v>
      </c>
      <c r="B1732" s="4" t="s">
        <v>2175</v>
      </c>
      <c r="C1732" s="5" t="str">
        <f>IFERROR(__xludf.DUMMYFUNCTION("GOOGLETRANSLATE(B1732,""en"",""zh-CN"")"),"男人和女人互相亲吻。")</f>
        <v>男人和女人互相亲吻。</v>
      </c>
    </row>
    <row r="1733">
      <c r="A1733" s="4" t="s">
        <v>2176</v>
      </c>
      <c r="B1733" s="4" t="s">
        <v>2177</v>
      </c>
      <c r="C1733" s="5" t="str">
        <f>IFERROR(__xludf.DUMMYFUNCTION("GOOGLETRANSLATE(B1733,""en"",""zh-CN"")"),"两名男子站在一排房屋后面的田野上。")</f>
        <v>两名男子站在一排房屋后面的田野上。</v>
      </c>
    </row>
    <row r="1734">
      <c r="A1734" s="4" t="s">
        <v>2176</v>
      </c>
      <c r="B1734" s="4" t="s">
        <v>2178</v>
      </c>
      <c r="C1734" s="5" t="str">
        <f>IFERROR(__xludf.DUMMYFUNCTION("GOOGLETRANSLATE(B1734,""en"",""zh-CN"")"),"一个人挥动蝙蝠，跑到场上，追逐球。")</f>
        <v>一个人挥动蝙蝠，跑到场上，追逐球。</v>
      </c>
    </row>
    <row r="1735">
      <c r="A1735" s="4" t="s">
        <v>2176</v>
      </c>
      <c r="B1735" s="4" t="s">
        <v>2179</v>
      </c>
      <c r="C1735" s="5" t="str">
        <f>IFERROR(__xludf.DUMMYFUNCTION("GOOGLETRANSLATE(B1735,""en"",""zh-CN"")"),"球被扔回到击球手，他继续与队友一起板球比赛。")</f>
        <v>球被扔回到击球手，他继续与队友一起板球比赛。</v>
      </c>
    </row>
    <row r="1736">
      <c r="A1736" s="4" t="s">
        <v>2180</v>
      </c>
      <c r="B1736" s="6" t="s">
        <v>2181</v>
      </c>
      <c r="C1736" s="5" t="str">
        <f>IFERROR(__xludf.DUMMYFUNCTION("GOOGLETRANSLATE(B1736,""en"",""zh-CN"")"),"看到一个男人站在一个大田地里，并导致他的胳膊和腿在该地区移动。")</f>
        <v>看到一个男人站在一个大田地里，并导致他的胳膊和腿在该地区移动。</v>
      </c>
    </row>
    <row r="1737">
      <c r="A1737" s="4" t="s">
        <v>2180</v>
      </c>
      <c r="B1737" s="6" t="s">
        <v>2182</v>
      </c>
      <c r="C1737" s="5" t="str">
        <f>IFERROR(__xludf.DUMMYFUNCTION("GOOGLETRANSLATE(B1737,""en"",""zh-CN"")"),"该男子继续在该地区移动，向上和向下移动，向远处移动。")</f>
        <v>该男子继续在该地区移动，向上和向下移动，向远处移动。</v>
      </c>
    </row>
    <row r="1738">
      <c r="A1738" s="4" t="s">
        <v>2183</v>
      </c>
      <c r="B1738" s="6" t="s">
        <v>2184</v>
      </c>
      <c r="C1738" s="5" t="str">
        <f>IFERROR(__xludf.DUMMYFUNCTION("GOOGLETRANSLATE(B1738,""en"",""zh-CN"")"),"看到两个人在舞台上进行芭蕾舞舞，然后是一个女人在舞蹈，而其他人则在旁边看。")</f>
        <v>看到两个人在舞台上进行芭蕾舞舞，然后是一个女人在舞蹈，而其他人则在旁边看。</v>
      </c>
    </row>
    <row r="1739">
      <c r="A1739" s="4" t="s">
        <v>2183</v>
      </c>
      <c r="B1739" s="6" t="s">
        <v>2185</v>
      </c>
      <c r="C1739" s="5" t="str">
        <f>IFERROR(__xludf.DUMMYFUNCTION("GOOGLETRANSLATE(B1739,""en"",""zh-CN"")"),"女人继续旋转着那个男人走进和走出框架，最后向观众鞠躬。")</f>
        <v>女人继续旋转着那个男人走进和走出框架，最后向观众鞠躬。</v>
      </c>
    </row>
    <row r="1740">
      <c r="A1740" s="4" t="s">
        <v>2186</v>
      </c>
      <c r="B1740" s="4" t="s">
        <v>2187</v>
      </c>
      <c r="C1740" s="5" t="str">
        <f>IFERROR(__xludf.DUMMYFUNCTION("GOOGLETRANSLATE(B1740,""en"",""zh-CN"")"),"一条黑狗在草坪上行走。")</f>
        <v>一条黑狗在草坪上行走。</v>
      </c>
    </row>
    <row r="1741">
      <c r="A1741" s="4" t="s">
        <v>2186</v>
      </c>
      <c r="B1741" s="4" t="s">
        <v>2188</v>
      </c>
      <c r="C1741" s="5" t="str">
        <f>IFERROR(__xludf.DUMMYFUNCTION("GOOGLETRANSLATE(B1741,""en"",""zh-CN"")"),"一位女士耙子从草坪上留在人行道人行道上。")</f>
        <v>一位女士耙子从草坪上留在人行道人行道上。</v>
      </c>
    </row>
    <row r="1742">
      <c r="A1742" s="4" t="s">
        <v>2186</v>
      </c>
      <c r="B1742" s="4" t="s">
        <v>2189</v>
      </c>
      <c r="C1742" s="5" t="str">
        <f>IFERROR(__xludf.DUMMYFUNCTION("GOOGLETRANSLATE(B1742,""en"",""zh-CN"")"),"这位女士停止耙开，转过身，说话加上手势。")</f>
        <v>这位女士停止耙开，转过身，说话加上手势。</v>
      </c>
    </row>
    <row r="1743">
      <c r="A1743" s="4" t="s">
        <v>2186</v>
      </c>
      <c r="B1743" s="4" t="s">
        <v>2190</v>
      </c>
      <c r="C1743" s="5" t="str">
        <f>IFERROR(__xludf.DUMMYFUNCTION("GOOGLETRANSLATE(B1743,""en"",""zh-CN"")"),"白球滚动到停放的汽车上。")</f>
        <v>白球滚动到停放的汽车上。</v>
      </c>
    </row>
    <row r="1744">
      <c r="A1744" s="4" t="s">
        <v>2191</v>
      </c>
      <c r="B1744" s="4" t="s">
        <v>2192</v>
      </c>
      <c r="C1744" s="5" t="str">
        <f>IFERROR(__xludf.DUMMYFUNCTION("GOOGLETRANSLATE(B1744,""en"",""zh-CN"")"),"看到一个女人跪在露台旁边的框架中。")</f>
        <v>看到一个女人跪在露台旁边的框架中。</v>
      </c>
    </row>
    <row r="1745">
      <c r="A1745" s="4" t="s">
        <v>2191</v>
      </c>
      <c r="B1745" s="4" t="s">
        <v>2193</v>
      </c>
      <c r="C1745" s="5" t="str">
        <f>IFERROR(__xludf.DUMMYFUNCTION("GOOGLETRANSLATE(B1745,""en"",""zh-CN"")"),"然后，她炫耀各种清洁工具，将它们沿椅子摩擦。")</f>
        <v>然后，她炫耀各种清洁工具，将它们沿椅子摩擦。</v>
      </c>
    </row>
    <row r="1746">
      <c r="A1746" s="4" t="s">
        <v>2191</v>
      </c>
      <c r="B1746" s="4" t="s">
        <v>2194</v>
      </c>
      <c r="C1746" s="5" t="str">
        <f>IFERROR(__xludf.DUMMYFUNCTION("GOOGLETRANSLATE(B1746,""en"",""zh-CN"")"),"她将椅子带入里面，然后将油漆倒入水桶中，并沿着侧面进行油漆。")</f>
        <v>她将椅子带入里面，然后将油漆倒入水桶中，并沿着侧面进行油漆。</v>
      </c>
    </row>
    <row r="1747">
      <c r="A1747" s="4" t="s">
        <v>2191</v>
      </c>
      <c r="B1747" s="4" t="s">
        <v>2195</v>
      </c>
      <c r="C1747" s="5" t="str">
        <f>IFERROR(__xludf.DUMMYFUNCTION("GOOGLETRANSLATE(B1747,""en"",""zh-CN"")"),"她在与镜头说话时再次炫耀椅子。")</f>
        <v>她在与镜头说话时再次炫耀椅子。</v>
      </c>
    </row>
    <row r="1748">
      <c r="A1748" s="4" t="s">
        <v>2196</v>
      </c>
      <c r="B1748" s="6" t="s">
        <v>2197</v>
      </c>
      <c r="C1748" s="5" t="str">
        <f>IFERROR(__xludf.DUMMYFUNCTION("GOOGLETRANSLATE(B1748,""en"",""zh-CN"")"),"一位黑发女性新闻报道正在上面穿着白衬衫和宝蓝色西装外套，并在相机上说话。")</f>
        <v>一位黑发女性新闻报道正在上面穿着白衬衫和宝蓝色西装外套，并在相机上说话。</v>
      </c>
    </row>
    <row r="1749">
      <c r="A1749" s="4" t="s">
        <v>2196</v>
      </c>
      <c r="B1749" s="6" t="s">
        <v>2198</v>
      </c>
      <c r="C1749" s="5" t="str">
        <f>IFERROR(__xludf.DUMMYFUNCTION("GOOGLETRANSLATE(B1749,""en"",""zh-CN"")"),"一个剪辑开始，它的特色是人们跑步的人，屏幕上的单词说他们是新手，他们正在培训以色列特拉维夫的马拉松比赛。")</f>
        <v>一个剪辑开始，它的特色是人们跑步的人，屏幕上的单词说他们是新手，他们正在培训以色列特拉维夫的马拉松比赛。</v>
      </c>
    </row>
    <row r="1750">
      <c r="A1750" s="4" t="s">
        <v>2196</v>
      </c>
      <c r="B1750" s="6" t="s">
        <v>2199</v>
      </c>
      <c r="C1750" s="5" t="str">
        <f>IFERROR(__xludf.DUMMYFUNCTION("GOOGLETRANSLATE(B1750,""en"",""zh-CN"")"),"一个男人似乎训练他们，而在训练中进行了不同的马拉松运动员，在他们继续来回培训的每个人时，他们进行了采访。")</f>
        <v>一个男人似乎训练他们，而在训练中进行了不同的马拉松运动员，在他们继续来回培训的每个人时，他们进行了采访。</v>
      </c>
    </row>
    <row r="1751">
      <c r="A1751" s="4" t="s">
        <v>2196</v>
      </c>
      <c r="B1751" s="6" t="s">
        <v>2200</v>
      </c>
      <c r="C1751" s="5" t="str">
        <f>IFERROR(__xludf.DUMMYFUNCTION("GOOGLETRANSLATE(B1751,""en"",""zh-CN"")"),"最后一个剪辑是从马拉松开始的开始，数百人离开起跑线时开始跑步。")</f>
        <v>最后一个剪辑是从马拉松开始的开始，数百人离开起跑线时开始跑步。</v>
      </c>
    </row>
    <row r="1752">
      <c r="A1752" s="4" t="s">
        <v>2201</v>
      </c>
      <c r="B1752" s="4" t="s">
        <v>2202</v>
      </c>
      <c r="C1752" s="5" t="str">
        <f>IFERROR(__xludf.DUMMYFUNCTION("GOOGLETRANSLATE(B1752,""en"",""zh-CN"")"),"她的浴室里有一个年轻的女孩在浴室里涂抹口红。")</f>
        <v>她的浴室里有一个年轻的女孩在浴室里涂抹口红。</v>
      </c>
    </row>
    <row r="1753">
      <c r="A1753" s="4" t="s">
        <v>2201</v>
      </c>
      <c r="B1753" s="4" t="s">
        <v>2203</v>
      </c>
      <c r="C1753" s="5" t="str">
        <f>IFERROR(__xludf.DUMMYFUNCTION("GOOGLETRANSLATE(B1753,""en"",""zh-CN"")"),"她打开镜面柜，拿出口红。")</f>
        <v>她打开镜面柜，拿出口红。</v>
      </c>
    </row>
    <row r="1754">
      <c r="A1754" s="4" t="s">
        <v>2201</v>
      </c>
      <c r="B1754" s="4" t="s">
        <v>2204</v>
      </c>
      <c r="C1754" s="5" t="str">
        <f>IFERROR(__xludf.DUMMYFUNCTION("GOOGLETRANSLATE(B1754,""en"",""zh-CN"")"),"她开始在嘴唇上涂抹口红。")</f>
        <v>她开始在嘴唇上涂抹口红。</v>
      </c>
    </row>
    <row r="1755">
      <c r="A1755" s="4" t="s">
        <v>2201</v>
      </c>
      <c r="B1755" s="4" t="s">
        <v>2205</v>
      </c>
      <c r="C1755" s="5" t="str">
        <f>IFERROR(__xludf.DUMMYFUNCTION("GOOGLETRANSLATE(B1755,""en"",""zh-CN"")"),"然后她使用相同的口红，然后在脸颊上擦拭。")</f>
        <v>然后她使用相同的口红，然后在脸颊上擦拭。</v>
      </c>
    </row>
    <row r="1756">
      <c r="A1756" s="4" t="s">
        <v>2201</v>
      </c>
      <c r="B1756" s="4" t="s">
        <v>2206</v>
      </c>
      <c r="C1756" s="5" t="str">
        <f>IFERROR(__xludf.DUMMYFUNCTION("GOOGLETRANSLATE(B1756,""en"",""zh-CN"")"),"她用手指在脸颊骨头上均匀地涂抹口红。")</f>
        <v>她用手指在脸颊骨头上均匀地涂抹口红。</v>
      </c>
    </row>
    <row r="1757">
      <c r="A1757" s="4" t="s">
        <v>2201</v>
      </c>
      <c r="B1757" s="4" t="s">
        <v>2207</v>
      </c>
      <c r="C1757" s="5" t="str">
        <f>IFERROR(__xludf.DUMMYFUNCTION("GOOGLETRANSLATE(B1757,""en"",""zh-CN"")"),"然后她p嘴笑着为相机微笑，打了一个姿势。")</f>
        <v>然后她p嘴笑着为相机微笑，打了一个姿势。</v>
      </c>
    </row>
    <row r="1758">
      <c r="A1758" s="4" t="s">
        <v>2208</v>
      </c>
      <c r="B1758" s="4" t="s">
        <v>2209</v>
      </c>
      <c r="C1758" s="5" t="str">
        <f>IFERROR(__xludf.DUMMYFUNCTION("GOOGLETRANSLATE(B1758,""en"",""zh-CN"")"),"一个蹒跚学步的人拿着叶子鼓风机。")</f>
        <v>一个蹒跚学步的人拿着叶子鼓风机。</v>
      </c>
    </row>
    <row r="1759">
      <c r="A1759" s="4" t="s">
        <v>2208</v>
      </c>
      <c r="B1759" s="4" t="s">
        <v>2210</v>
      </c>
      <c r="C1759" s="5" t="str">
        <f>IFERROR(__xludf.DUMMYFUNCTION("GOOGLETRANSLATE(B1759,""en"",""zh-CN"")"),"一个青少年正在耙草。")</f>
        <v>一个青少年正在耙草。</v>
      </c>
    </row>
    <row r="1760">
      <c r="A1760" s="4" t="s">
        <v>2208</v>
      </c>
      <c r="B1760" s="4" t="s">
        <v>2211</v>
      </c>
      <c r="C1760" s="5" t="str">
        <f>IFERROR(__xludf.DUMMYFUNCTION("GOOGLETRANSLATE(B1760,""en"",""zh-CN"")"),"一个青少年在孩子们扔了一块耙子。")</f>
        <v>一个青少年在孩子们扔了一块耙子。</v>
      </c>
    </row>
    <row r="1761">
      <c r="A1761" s="4" t="s">
        <v>2212</v>
      </c>
      <c r="B1761" s="6" t="s">
        <v>2213</v>
      </c>
      <c r="C1761" s="5" t="str">
        <f>IFERROR(__xludf.DUMMYFUNCTION("GOOGLETRANSLATE(B1761,""en"",""zh-CN"")"),"一个男人的静镜头图片出现了，而许多白色单词从底部到顶部都滚动。")</f>
        <v>一个男人的静镜头图片出现了，而许多白色单词从底部到顶部都滚动。</v>
      </c>
    </row>
    <row r="1762">
      <c r="A1762" s="4" t="s">
        <v>2212</v>
      </c>
      <c r="B1762" s="6" t="s">
        <v>2214</v>
      </c>
      <c r="C1762" s="5" t="str">
        <f>IFERROR(__xludf.DUMMYFUNCTION("GOOGLETRANSLATE(B1762,""en"",""zh-CN"")"),"该男子现在正处于一个封闭的广告小壁球场区域，他正在经历左上角的“不推荐”单词击中球的动作。")</f>
        <v>该男子现在正处于一个封闭的广告小壁球场区域，他正在经历左上角的“不推荐”单词击中球的动作。</v>
      </c>
    </row>
    <row r="1763">
      <c r="A1763" s="4" t="s">
        <v>2212</v>
      </c>
      <c r="B1763" s="6" t="s">
        <v>2215</v>
      </c>
      <c r="C1763" s="5" t="str">
        <f>IFERROR(__xludf.DUMMYFUNCTION("GOOGLETRANSLATE(B1763,""en"",""zh-CN"")"),"屏幕很快出现，并带有白色文本，上面写着“请订阅此YouTube频道”。")</f>
        <v>屏幕很快出现，并带有白色文本，上面写着“请订阅此YouTube频道”。</v>
      </c>
    </row>
    <row r="1764">
      <c r="A1764" s="4" t="s">
        <v>2212</v>
      </c>
      <c r="B1764" s="6" t="s">
        <v>2216</v>
      </c>
      <c r="C1764" s="5" t="str">
        <f>IFERROR(__xludf.DUMMYFUNCTION("GOOGLETRANSLATE(B1764,""en"",""zh-CN"")"),"然后，该名男子再次在球场上打壁球，直到出现在Outro屏幕上，并包括许多白色措辞从底部到顶部滚动。")</f>
        <v>然后，该名男子再次在球场上打壁球，直到出现在Outro屏幕上，并包括许多白色措辞从底部到顶部滚动。</v>
      </c>
    </row>
    <row r="1765">
      <c r="A1765" s="4" t="s">
        <v>2217</v>
      </c>
      <c r="B1765" s="4" t="s">
        <v>2218</v>
      </c>
      <c r="C1765" s="5" t="str">
        <f>IFERROR(__xludf.DUMMYFUNCTION("GOOGLETRANSLATE(B1765,""en"",""zh-CN"")"),"看到几个孩子站在舞台上，然后孩子们沿着冰推了一个冰球。")</f>
        <v>看到几个孩子站在舞台上，然后孩子们沿着冰推了一个冰球。</v>
      </c>
    </row>
    <row r="1766">
      <c r="A1766" s="4" t="s">
        <v>2217</v>
      </c>
      <c r="B1766" s="6" t="s">
        <v>2219</v>
      </c>
      <c r="C1766" s="5" t="str">
        <f>IFERROR(__xludf.DUMMYFUNCTION("GOOGLETRANSLATE(B1766,""en"",""zh-CN"")"),"显示了几个人在他们周围玩游戏，并向观众以及站在侧面的人做出反应。")</f>
        <v>显示了几个人在他们周围玩游戏，并向观众以及站在侧面的人做出反应。</v>
      </c>
    </row>
    <row r="1767">
      <c r="A1767" s="4" t="s">
        <v>2220</v>
      </c>
      <c r="B1767" s="4" t="s">
        <v>2221</v>
      </c>
      <c r="C1767" s="5" t="str">
        <f>IFERROR(__xludf.DUMMYFUNCTION("GOOGLETRANSLATE(B1767,""en"",""zh-CN"")"),"一个男人从马上出来。")</f>
        <v>一个男人从马上出来。</v>
      </c>
    </row>
    <row r="1768">
      <c r="A1768" s="4" t="s">
        <v>2220</v>
      </c>
      <c r="B1768" s="4" t="s">
        <v>2222</v>
      </c>
      <c r="C1768" s="5" t="str">
        <f>IFERROR(__xludf.DUMMYFUNCTION("GOOGLETRANSLATE(B1768,""en"",""zh-CN"")"),"他放松身心，绳子绳子。")</f>
        <v>他放松身心，绳子绳子。</v>
      </c>
    </row>
    <row r="1769">
      <c r="A1769" s="4" t="s">
        <v>2220</v>
      </c>
      <c r="B1769" s="4" t="s">
        <v>2223</v>
      </c>
      <c r="C1769" s="5" t="str">
        <f>IFERROR(__xludf.DUMMYFUNCTION("GOOGLETRANSLATE(B1769,""en"",""zh-CN"")"),"然后，他跳下来并绑了小牛。")</f>
        <v>然后，他跳下来并绑了小牛。</v>
      </c>
    </row>
    <row r="1770">
      <c r="A1770" s="4" t="s">
        <v>2224</v>
      </c>
      <c r="B1770" s="4" t="s">
        <v>2225</v>
      </c>
      <c r="C1770" s="5" t="str">
        <f>IFERROR(__xludf.DUMMYFUNCTION("GOOGLETRANSLATE(B1770,""en"",""zh-CN"")"),"一个人在大批人面前扮演小提琴。")</f>
        <v>一个人在大批人面前扮演小提琴。</v>
      </c>
    </row>
    <row r="1771">
      <c r="A1771" s="4" t="s">
        <v>2224</v>
      </c>
      <c r="B1771" s="4" t="s">
        <v>2226</v>
      </c>
      <c r="C1771" s="5" t="str">
        <f>IFERROR(__xludf.DUMMYFUNCTION("GOOGLETRANSLATE(B1771,""en"",""zh-CN"")"),"人们在最后给他鼓掌。")</f>
        <v>人们在最后给他鼓掌。</v>
      </c>
    </row>
    <row r="1772">
      <c r="A1772" s="4" t="s">
        <v>2227</v>
      </c>
      <c r="B1772" s="4" t="s">
        <v>2228</v>
      </c>
      <c r="C1772" s="5" t="str">
        <f>IFERROR(__xludf.DUMMYFUNCTION("GOOGLETRANSLATE(B1772,""en"",""zh-CN"")"),"潜水板上的一个男人走到最后。")</f>
        <v>潜水板上的一个男人走到最后。</v>
      </c>
    </row>
    <row r="1773">
      <c r="A1773" s="4" t="s">
        <v>2227</v>
      </c>
      <c r="B1773" s="4" t="s">
        <v>2229</v>
      </c>
      <c r="C1773" s="5" t="str">
        <f>IFERROR(__xludf.DUMMYFUNCTION("GOOGLETRANSLATE(B1773,""en"",""zh-CN"")"),"该男子在板上弹跳两次，然后跳入水中。")</f>
        <v>该男子在板上弹跳两次，然后跳入水中。</v>
      </c>
    </row>
    <row r="1774">
      <c r="A1774" s="4" t="s">
        <v>2227</v>
      </c>
      <c r="B1774" s="4" t="s">
        <v>2230</v>
      </c>
      <c r="C1774" s="5" t="str">
        <f>IFERROR(__xludf.DUMMYFUNCTION("GOOGLETRANSLATE(B1774,""en"",""zh-CN"")"),"该人浮出水面，向游泳池的边缘游泳。")</f>
        <v>该人浮出水面，向游泳池的边缘游泳。</v>
      </c>
    </row>
    <row r="1775">
      <c r="A1775" s="4" t="s">
        <v>2231</v>
      </c>
      <c r="B1775" s="4" t="s">
        <v>2232</v>
      </c>
      <c r="C1775" s="5" t="str">
        <f>IFERROR(__xludf.DUMMYFUNCTION("GOOGLETRANSLATE(B1775,""en"",""zh-CN"")"),"一个粉红色头发的女人为相机摆姿势。")</f>
        <v>一个粉红色头发的女人为相机摆姿势。</v>
      </c>
    </row>
    <row r="1776">
      <c r="A1776" s="4" t="s">
        <v>2231</v>
      </c>
      <c r="B1776" s="4" t="s">
        <v>2233</v>
      </c>
      <c r="C1776" s="5" t="str">
        <f>IFERROR(__xludf.DUMMYFUNCTION("GOOGLETRANSLATE(B1776,""en"",""zh-CN"")"),"她用手将头发刷掉，然后将其分成部分。")</f>
        <v>她用手将头发刷掉，然后将其分成部分。</v>
      </c>
    </row>
    <row r="1777">
      <c r="A1777" s="4" t="s">
        <v>2231</v>
      </c>
      <c r="B1777" s="4" t="s">
        <v>2234</v>
      </c>
      <c r="C1777" s="5" t="str">
        <f>IFERROR(__xludf.DUMMYFUNCTION("GOOGLETRANSLATE(B1777,""en"",""zh-CN"")"),"然后，她将头发辫子从头部侧面辫子。")</f>
        <v>然后，她将头发辫子从头部侧面辫子。</v>
      </c>
    </row>
    <row r="1778">
      <c r="A1778" s="4" t="s">
        <v>2235</v>
      </c>
      <c r="B1778" s="4" t="s">
        <v>2236</v>
      </c>
      <c r="C1778" s="5" t="str">
        <f>IFERROR(__xludf.DUMMYFUNCTION("GOOGLETRANSLATE(B1778,""en"",""zh-CN"")"),"一个小男孩在地面上遇到了一个霍夫斯科。")</f>
        <v>一个小男孩在地面上遇到了一个霍夫斯科。</v>
      </c>
    </row>
    <row r="1779">
      <c r="A1779" s="4" t="s">
        <v>2235</v>
      </c>
      <c r="B1779" s="4" t="s">
        <v>2237</v>
      </c>
      <c r="C1779" s="5" t="str">
        <f>IFERROR(__xludf.DUMMYFUNCTION("GOOGLETRANSLATE(B1779,""en"",""zh-CN"")"),"他返回开始，试图跳。")</f>
        <v>他返回开始，试图跳。</v>
      </c>
    </row>
    <row r="1780">
      <c r="A1780" s="4" t="s">
        <v>2235</v>
      </c>
      <c r="B1780" s="4" t="s">
        <v>2238</v>
      </c>
      <c r="C1780" s="5" t="str">
        <f>IFERROR(__xludf.DUMMYFUNCTION("GOOGLETRANSLATE(B1780,""en"",""zh-CN"")"),"他一直跳到最后。")</f>
        <v>他一直跳到最后。</v>
      </c>
    </row>
    <row r="1781">
      <c r="A1781" s="4" t="s">
        <v>2239</v>
      </c>
      <c r="B1781" s="4" t="s">
        <v>2240</v>
      </c>
      <c r="C1781" s="5" t="str">
        <f>IFERROR(__xludf.DUMMYFUNCTION("GOOGLETRANSLATE(B1781,""en"",""zh-CN"")"),"看到一个男人站在一块重型机械后面的大田地里。")</f>
        <v>看到一个男人站在一块重型机械后面的大田地里。</v>
      </c>
    </row>
    <row r="1782">
      <c r="A1782" s="4" t="s">
        <v>2239</v>
      </c>
      <c r="B1782" s="4" t="s">
        <v>2241</v>
      </c>
      <c r="C1782" s="5" t="str">
        <f>IFERROR(__xludf.DUMMYFUNCTION("GOOGLETRANSLATE(B1782,""en"",""zh-CN"")"),"当相机跟随他的动作时，该男子将机器沿着一些高的草推开。")</f>
        <v>当相机跟随他的动作时，该男子将机器沿着一些高的草推开。</v>
      </c>
    </row>
    <row r="1783">
      <c r="A1783" s="4" t="s">
        <v>2239</v>
      </c>
      <c r="B1783" s="4" t="s">
        <v>2242</v>
      </c>
      <c r="C1783" s="5" t="str">
        <f>IFERROR(__xludf.DUMMYFUNCTION("GOOGLETRANSLATE(B1783,""en"",""zh-CN"")"),"该男子继续沿着高草推。")</f>
        <v>该男子继续沿着高草推。</v>
      </c>
    </row>
    <row r="1784">
      <c r="A1784" s="4" t="s">
        <v>2243</v>
      </c>
      <c r="B1784" s="4" t="s">
        <v>2244</v>
      </c>
      <c r="C1784" s="5" t="str">
        <f>IFERROR(__xludf.DUMMYFUNCTION("GOOGLETRANSLATE(B1784,""en"",""zh-CN"")"),"白兔子在笼子里。")</f>
        <v>白兔子在笼子里。</v>
      </c>
    </row>
    <row r="1785">
      <c r="A1785" s="4" t="s">
        <v>2243</v>
      </c>
      <c r="B1785" s="4" t="s">
        <v>2245</v>
      </c>
      <c r="C1785" s="5" t="str">
        <f>IFERROR(__xludf.DUMMYFUNCTION("GOOGLETRANSLATE(B1785,""en"",""zh-CN"")"),"兔子通过舔手清洁手。")</f>
        <v>兔子通过舔手清洁手。</v>
      </c>
    </row>
    <row r="1786">
      <c r="A1786" s="4" t="s">
        <v>2243</v>
      </c>
      <c r="B1786" s="4" t="s">
        <v>2246</v>
      </c>
      <c r="C1786" s="5" t="str">
        <f>IFERROR(__xludf.DUMMYFUNCTION("GOOGLETRANSLATE(B1786,""en"",""zh-CN"")"),"兔子打扫了他的背部，然后向下走到笼子的一楼。")</f>
        <v>兔子打扫了他的背部，然后向下走到笼子的一楼。</v>
      </c>
    </row>
    <row r="1787">
      <c r="A1787" s="4" t="s">
        <v>2247</v>
      </c>
      <c r="B1787" s="4" t="s">
        <v>2248</v>
      </c>
      <c r="C1787" s="5" t="str">
        <f>IFERROR(__xludf.DUMMYFUNCTION("GOOGLETRANSLATE(B1787,""en"",""zh-CN"")"),"两支球队打球打球。")</f>
        <v>两支球队打球打球。</v>
      </c>
    </row>
    <row r="1788">
      <c r="A1788" s="4" t="s">
        <v>2247</v>
      </c>
      <c r="B1788" s="4" t="s">
        <v>2249</v>
      </c>
      <c r="C1788" s="5" t="str">
        <f>IFERROR(__xludf.DUMMYFUNCTION("GOOGLETRANSLATE(B1788,""en"",""zh-CN"")"),"球员拿着两个球，互相投掷以击中和对手。")</f>
        <v>球员拿着两个球，互相投掷以击中和对手。</v>
      </c>
    </row>
    <row r="1789">
      <c r="A1789" s="4" t="s">
        <v>2247</v>
      </c>
      <c r="B1789" s="4" t="s">
        <v>2250</v>
      </c>
      <c r="C1789" s="5" t="str">
        <f>IFERROR(__xludf.DUMMYFUNCTION("GOOGLETRANSLATE(B1789,""en"",""zh-CN"")"),"一个男孩向另一个球员投掷球，对手也扔球。")</f>
        <v>一个男孩向另一个球员投掷球，对手也扔球。</v>
      </c>
    </row>
    <row r="1790">
      <c r="A1790" s="4" t="s">
        <v>2251</v>
      </c>
      <c r="B1790" s="6" t="s">
        <v>2252</v>
      </c>
      <c r="C1790" s="5" t="str">
        <f>IFERROR(__xludf.DUMMYFUNCTION("GOOGLETRANSLATE(B1790,""en"",""zh-CN"")"),"一个女人开始用棕色靴子沿着鹅卵石人行道行走，然后看到她旋转着呼啦圈。")</f>
        <v>一个女人开始用棕色靴子沿着鹅卵石人行道行走，然后看到她旋转着呼啦圈。</v>
      </c>
    </row>
    <row r="1791">
      <c r="A1791" s="4" t="s">
        <v>2251</v>
      </c>
      <c r="B1791" s="4" t="s">
        <v>2253</v>
      </c>
      <c r="C1791" s="5" t="str">
        <f>IFERROR(__xludf.DUMMYFUNCTION("GOOGLETRANSLATE(B1791,""en"",""zh-CN"")"),"有了呼啦圈，女孩开始在双腿之间翻转和跳舞。")</f>
        <v>有了呼啦圈，女孩开始在双腿之间翻转和跳舞。</v>
      </c>
    </row>
    <row r="1792">
      <c r="A1792" s="4" t="s">
        <v>2251</v>
      </c>
      <c r="B1792" s="4" t="s">
        <v>2254</v>
      </c>
      <c r="C1792" s="5" t="str">
        <f>IFERROR(__xludf.DUMMYFUNCTION("GOOGLETRANSLATE(B1792,""en"",""zh-CN"")"),"她进步并添加了另一个呼啦臀部，他们俩同时继续进行。")</f>
        <v>她进步并添加了另一个呼啦臀部，他们俩同时继续进行。</v>
      </c>
    </row>
    <row r="1793">
      <c r="A1793" s="4" t="s">
        <v>2251</v>
      </c>
      <c r="B1793" s="4" t="s">
        <v>2255</v>
      </c>
      <c r="C1793" s="5" t="str">
        <f>IFERROR(__xludf.DUMMYFUNCTION("GOOGLETRANSLATE(B1793,""en"",""zh-CN"")"),"在下一个环境中，她的身体大约有五个，并继续跳舞。")</f>
        <v>在下一个环境中，她的身体大约有五个，并继续跳舞。</v>
      </c>
    </row>
    <row r="1794">
      <c r="A1794" s="4" t="s">
        <v>2251</v>
      </c>
      <c r="B1794" s="6" t="s">
        <v>2256</v>
      </c>
      <c r="C1794" s="5" t="str">
        <f>IFERROR(__xludf.DUMMYFUNCTION("GOOGLETRANSLATE(B1794,""en"",""zh-CN"")"),"当人们来拍照时，她继续用不同的数量和其他身体部位做同样的事情。")</f>
        <v>当人们来拍照时，她继续用不同的数量和其他身体部位做同样的事情。</v>
      </c>
    </row>
    <row r="1795">
      <c r="A1795" s="4" t="s">
        <v>2251</v>
      </c>
      <c r="B1795" s="6" t="s">
        <v>2257</v>
      </c>
      <c r="C1795" s="5" t="str">
        <f>IFERROR(__xludf.DUMMYFUNCTION("GOOGLETRANSLATE(B1795,""en"",""zh-CN"")"),"最后，出现了另一个小型视频，显示了跳绳姐妹YouTube页面的广告。")</f>
        <v>最后，出现了另一个小型视频，显示了跳绳姐妹YouTube页面的广告。</v>
      </c>
    </row>
    <row r="1796">
      <c r="A1796" s="4" t="s">
        <v>2258</v>
      </c>
      <c r="B1796" s="6" t="s">
        <v>2259</v>
      </c>
      <c r="C1796" s="5" t="str">
        <f>IFERROR(__xludf.DUMMYFUNCTION("GOOGLETRANSLATE(B1796,""en"",""zh-CN"")"),"两支球队在室内足球场上踢足球，穿着白色T恤的球队赢得了比赛。")</f>
        <v>两支球队在室内足球场上踢足球，穿着白色T恤的球队赢得了比赛。</v>
      </c>
    </row>
    <row r="1797">
      <c r="A1797" s="4" t="s">
        <v>2258</v>
      </c>
      <c r="B1797" s="4" t="s">
        <v>2260</v>
      </c>
      <c r="C1797" s="5" t="str">
        <f>IFERROR(__xludf.DUMMYFUNCTION("GOOGLETRANSLATE(B1797,""en"",""zh-CN"")"),"球员得分并与队友一起庆祝。")</f>
        <v>球员得分并与队友一起庆祝。</v>
      </c>
    </row>
    <row r="1798">
      <c r="A1798" s="4" t="s">
        <v>2258</v>
      </c>
      <c r="B1798" s="4" t="s">
        <v>2261</v>
      </c>
      <c r="C1798" s="5" t="str">
        <f>IFERROR(__xludf.DUMMYFUNCTION("GOOGLETRANSLATE(B1798,""en"",""zh-CN"")"),"其他球队踢足球，身穿白色制服的球员获得球和得分。")</f>
        <v>其他球队踢足球，身穿白色制服的球员获得球和得分。</v>
      </c>
    </row>
    <row r="1799">
      <c r="A1799" s="4" t="s">
        <v>2258</v>
      </c>
      <c r="B1799" s="4" t="s">
        <v>2262</v>
      </c>
      <c r="C1799" s="5" t="str">
        <f>IFERROR(__xludf.DUMMYFUNCTION("GOOGLETRANSLATE(B1799,""en"",""zh-CN"")"),"两支球队踢足球，而具有黄色统一得分的球员。")</f>
        <v>两支球队踢足球，而具有黄色统一得分的球员。</v>
      </c>
    </row>
    <row r="1800">
      <c r="A1800" s="4" t="s">
        <v>2258</v>
      </c>
      <c r="B1800" s="4" t="s">
        <v>2263</v>
      </c>
      <c r="C1800" s="5" t="str">
        <f>IFERROR(__xludf.DUMMYFUNCTION("GOOGLETRANSLATE(B1800,""en"",""zh-CN"")"),"两支女孩竞争，一个红色统一得分的女孩，球队获胜。")</f>
        <v>两支女孩竞争，一个红色统一得分的女孩，球队获胜。</v>
      </c>
    </row>
    <row r="1801">
      <c r="A1801" s="4" t="s">
        <v>2258</v>
      </c>
      <c r="B1801" s="4" t="s">
        <v>2264</v>
      </c>
      <c r="C1801" s="5" t="str">
        <f>IFERROR(__xludf.DUMMYFUNCTION("GOOGLETRANSLATE(B1801,""en"",""zh-CN"")"),"然后，一个具有壮观运动的白色均匀分数的球员。")</f>
        <v>然后，一个具有壮观运动的白色均匀分数的球员。</v>
      </c>
    </row>
    <row r="1802">
      <c r="A1802" s="4" t="s">
        <v>2265</v>
      </c>
      <c r="B1802" s="6" t="s">
        <v>2266</v>
      </c>
      <c r="C1802" s="5" t="str">
        <f>IFERROR(__xludf.DUMMYFUNCTION("GOOGLETRANSLATE(B1802,""en"",""zh-CN"")"),"出现一个特殊效果介绍，屏幕中间出现了一个蓝色单词，并说“ Howcast”。")</f>
        <v>出现一个特殊效果介绍，屏幕中间出现了一个蓝色单词，并说“ Howcast”。</v>
      </c>
    </row>
    <row r="1803">
      <c r="A1803" s="4" t="s">
        <v>2265</v>
      </c>
      <c r="B1803" s="6" t="s">
        <v>2267</v>
      </c>
      <c r="C1803" s="5" t="str">
        <f>IFERROR(__xludf.DUMMYFUNCTION("GOOGLETRANSLATE(B1803,""en"",""zh-CN"")"),"一个女人躺在企业的床上，一个男人坐在她旁边，并在屏幕上显示“您需要”的单词弹出的东西清单。")</f>
        <v>一个女人躺在企业的床上，一个男人坐在她旁边，并在屏幕上显示“您需要”的单词弹出的东西清单。</v>
      </c>
    </row>
    <row r="1804">
      <c r="A1804" s="4" t="s">
        <v>2265</v>
      </c>
      <c r="B1804" s="6" t="s">
        <v>2268</v>
      </c>
      <c r="C1804" s="5" t="str">
        <f>IFERROR(__xludf.DUMMYFUNCTION("GOOGLETRANSLATE(B1804,""en"",""zh-CN"")"),"当她所做的每一个动作下方出现台阶时，该女人都会做各种事情，甚至在屏幕上出现技巧，导致那个女人躺在床上，因为男人纹身。")</f>
        <v>当她所做的每一个动作下方出现台阶时，该女人都会做各种事情，甚至在屏幕上出现技巧，导致那个女人躺在床上，因为男人纹身。</v>
      </c>
    </row>
    <row r="1805">
      <c r="A1805" s="4" t="s">
        <v>2265</v>
      </c>
      <c r="B1805" s="6" t="s">
        <v>2269</v>
      </c>
      <c r="C1805" s="5" t="str">
        <f>IFERROR(__xludf.DUMMYFUNCTION("GOOGLETRANSLATE(B1805,""en"",""zh-CN"")"),"当他完成纹身后，他用绿色的帽子举起一个白色的瓶子，并在展示它的同时与她交谈，屏幕上出现了白色单词，警告说：“施加过多的局部麻醉剂，然后覆盖纹身会引起癫痫发作”。")</f>
        <v>当他完成纹身后，他用绿色的帽子举起一个白色的瓶子，并在展示它的同时与她交谈，屏幕上出现了白色单词，警告说：“施加过多的局部麻醉剂，然后覆盖纹身会引起癫痫发作”。</v>
      </c>
    </row>
    <row r="1806">
      <c r="A1806" s="4" t="s">
        <v>2265</v>
      </c>
      <c r="B1806" s="6" t="s">
        <v>2270</v>
      </c>
      <c r="C1806" s="5" t="str">
        <f>IFERROR(__xludf.DUMMYFUNCTION("GOOGLETRANSLATE(B1806,""en"",""zh-CN"")"),"该名女子站起来展示她的纹身，该女人在遮盖纹身的情况下短暂地显示了晒日光浴。")</f>
        <v>该名女子站起来展示她的纹身，该女人在遮盖纹身的情况下短暂地显示了晒日光浴。</v>
      </c>
    </row>
    <row r="1807">
      <c r="A1807" s="4" t="s">
        <v>2265</v>
      </c>
      <c r="B1807" s="6" t="s">
        <v>2271</v>
      </c>
      <c r="C1807" s="5" t="str">
        <f>IFERROR(__xludf.DUMMYFUNCTION("GOOGLETRANSLATE(B1807,""en"",""zh-CN"")"),"显示了她的纹身的近距离，并在上面示出了说“民主党更有可能有纹身”的单词，然后在中间用蓝色单词出现了一个白屏，上面写着“ Howcast”。")</f>
        <v>显示了她的纹身的近距离，并在上面示出了说“民主党更有可能有纹身”的单词，然后在中间用蓝色单词出现了一个白屏，上面写着“ Howcast”。</v>
      </c>
    </row>
    <row r="1808">
      <c r="A1808" s="4" t="s">
        <v>2272</v>
      </c>
      <c r="B1808" s="4" t="s">
        <v>2273</v>
      </c>
      <c r="C1808" s="5" t="str">
        <f>IFERROR(__xludf.DUMMYFUNCTION("GOOGLETRANSLATE(B1808,""en"",""zh-CN"")"),"一个男人坐下时，有人抛弃了他的鞋子。")</f>
        <v>一个男人坐下时，有人抛弃了他的鞋子。</v>
      </c>
    </row>
    <row r="1809">
      <c r="A1809" s="4" t="s">
        <v>2272</v>
      </c>
      <c r="B1809" s="4" t="s">
        <v>2274</v>
      </c>
      <c r="C1809" s="5" t="str">
        <f>IFERROR(__xludf.DUMMYFUNCTION("GOOGLETRANSLATE(B1809,""en"",""zh-CN"")"),"该人使用刷子清洁鞋子。")</f>
        <v>该人使用刷子清洁鞋子。</v>
      </c>
    </row>
    <row r="1810">
      <c r="A1810" s="4" t="s">
        <v>2272</v>
      </c>
      <c r="B1810" s="4" t="s">
        <v>2275</v>
      </c>
      <c r="C1810" s="5" t="str">
        <f>IFERROR(__xludf.DUMMYFUNCTION("GOOGLETRANSLATE(B1810,""en"",""zh-CN"")"),"然后，他们使用抛光剂来发光。")</f>
        <v>然后，他们使用抛光剂来发光。</v>
      </c>
    </row>
    <row r="1811">
      <c r="A1811" s="4" t="s">
        <v>2276</v>
      </c>
      <c r="B1811" s="4" t="s">
        <v>2277</v>
      </c>
      <c r="C1811" s="5" t="str">
        <f>IFERROR(__xludf.DUMMYFUNCTION("GOOGLETRANSLATE(B1811,""en"",""zh-CN"")"),"看到一个年轻的女孩与周围的其他几个人一起走到潜水板的尽头。")</f>
        <v>看到一个年轻的女孩与周围的其他几个人一起走到潜水板的尽头。</v>
      </c>
    </row>
    <row r="1812">
      <c r="A1812" s="4" t="s">
        <v>2276</v>
      </c>
      <c r="B1812" s="4" t="s">
        <v>2278</v>
      </c>
      <c r="C1812" s="5" t="str">
        <f>IFERROR(__xludf.DUMMYFUNCTION("GOOGLETRANSLATE(B1812,""en"",""zh-CN"")"),"女孩抬起手臂，然后跳入游泳池。")</f>
        <v>女孩抬起手臂，然后跳入游泳池。</v>
      </c>
    </row>
    <row r="1813">
      <c r="A1813" s="4" t="s">
        <v>2276</v>
      </c>
      <c r="B1813" s="4" t="s">
        <v>2279</v>
      </c>
      <c r="C1813" s="5" t="str">
        <f>IFERROR(__xludf.DUMMYFUNCTION("GOOGLETRANSLATE(B1813,""en"",""zh-CN"")"),"她再次看到游泳池的表面并游到边缘。")</f>
        <v>她再次看到游泳池的表面并游到边缘。</v>
      </c>
    </row>
    <row r="1814">
      <c r="A1814" s="4" t="s">
        <v>2280</v>
      </c>
      <c r="B1814" s="6" t="s">
        <v>2281</v>
      </c>
      <c r="C1814" s="5" t="str">
        <f>IFERROR(__xludf.DUMMYFUNCTION("GOOGLETRANSLATE(B1814,""en"",""zh-CN"")"),"一名女体操运动员在教练观看时旋转并跳上一对远光灯，准备抓住她。")</f>
        <v>一名女体操运动员在教练观看时旋转并跳上一对远光灯，准备抓住她。</v>
      </c>
    </row>
    <row r="1815">
      <c r="A1815" s="4" t="s">
        <v>2280</v>
      </c>
      <c r="B1815" s="4" t="s">
        <v>2282</v>
      </c>
      <c r="C1815" s="5" t="str">
        <f>IFERROR(__xludf.DUMMYFUNCTION("GOOGLETRANSLATE(B1815,""en"",""zh-CN"")"),"当她卸下空气时，他踩到梁上。")</f>
        <v>当她卸下空气时，他踩到梁上。</v>
      </c>
    </row>
    <row r="1816">
      <c r="A1816" s="4" t="s">
        <v>2283</v>
      </c>
      <c r="B1816" s="4" t="s">
        <v>2284</v>
      </c>
      <c r="C1816" s="5" t="str">
        <f>IFERROR(__xludf.DUMMYFUNCTION("GOOGLETRANSLATE(B1816,""en"",""zh-CN"")"),"两名男子在独木舟上进行操作，旋转独木舟的帮助。")</f>
        <v>两名男子在独木舟上进行操作，旋转独木舟的帮助。</v>
      </c>
    </row>
    <row r="1817">
      <c r="A1817" s="4" t="s">
        <v>2283</v>
      </c>
      <c r="B1817" s="4" t="s">
        <v>2285</v>
      </c>
      <c r="C1817" s="5" t="str">
        <f>IFERROR(__xludf.DUMMYFUNCTION("GOOGLETRANSLATE(B1817,""en"",""zh-CN"")"),"然后，这些人将独木舟从弓箭手中旋转，同时快速划船。")</f>
        <v>然后，这些人将独木舟从弓箭手中旋转，同时快速划船。</v>
      </c>
    </row>
    <row r="1818">
      <c r="A1818" s="4" t="s">
        <v>2283</v>
      </c>
      <c r="B1818" s="4" t="s">
        <v>2286</v>
      </c>
      <c r="C1818" s="5" t="str">
        <f>IFERROR(__xludf.DUMMYFUNCTION("GOOGLETRANSLATE(B1818,""en"",""zh-CN"")"),"之后，这些人使用桨向前滑动独木舟。")</f>
        <v>之后，这些人使用桨向前滑动独木舟。</v>
      </c>
    </row>
    <row r="1819">
      <c r="A1819" s="4" t="s">
        <v>2283</v>
      </c>
      <c r="B1819" s="4" t="s">
        <v>2287</v>
      </c>
      <c r="C1819" s="5" t="str">
        <f>IFERROR(__xludf.DUMMYFUNCTION("GOOGLETRANSLATE(B1819,""en"",""zh-CN"")"),"接下来，这些人在河上航行，直到到达河岸。")</f>
        <v>接下来，这些人在河上航行，直到到达河岸。</v>
      </c>
    </row>
    <row r="1820">
      <c r="A1820" s="4" t="s">
        <v>2288</v>
      </c>
      <c r="B1820" s="4" t="s">
        <v>2289</v>
      </c>
      <c r="C1820" s="5" t="str">
        <f>IFERROR(__xludf.DUMMYFUNCTION("GOOGLETRANSLATE(B1820,""en"",""zh-CN"")"),"我们看到一个在BMX自行车竞技场的人说话。")</f>
        <v>我们看到一个在BMX自行车竞技场的人说话。</v>
      </c>
    </row>
    <row r="1821">
      <c r="A1821" s="4" t="s">
        <v>2288</v>
      </c>
      <c r="B1821" s="4" t="s">
        <v>2290</v>
      </c>
      <c r="C1821" s="5" t="str">
        <f>IFERROR(__xludf.DUMMYFUNCTION("GOOGLETRANSLATE(B1821,""en"",""zh-CN"")"),"我们看到人们将自行车带到坡道上。")</f>
        <v>我们看到人们将自行车带到坡道上。</v>
      </c>
    </row>
    <row r="1822">
      <c r="A1822" s="4" t="s">
        <v>2288</v>
      </c>
      <c r="B1822" s="4" t="s">
        <v>2291</v>
      </c>
      <c r="C1822" s="5" t="str">
        <f>IFERROR(__xludf.DUMMYFUNCTION("GOOGLETRANSLATE(B1822,""en"",""zh-CN"")"),"我们看到人们在大门打开时开始。")</f>
        <v>我们看到人们在大门打开时开始。</v>
      </c>
    </row>
    <row r="1823">
      <c r="A1823" s="4" t="s">
        <v>2288</v>
      </c>
      <c r="B1823" s="4" t="s">
        <v>2292</v>
      </c>
      <c r="C1823" s="5" t="str">
        <f>IFERROR(__xludf.DUMMYFUNCTION("GOOGLETRANSLATE(B1823,""en"",""zh-CN"")"),"然后，我们看到人们骑自行车。")</f>
        <v>然后，我们看到人们骑自行车。</v>
      </c>
    </row>
    <row r="1824">
      <c r="A1824" s="4" t="s">
        <v>2288</v>
      </c>
      <c r="B1824" s="4" t="s">
        <v>2293</v>
      </c>
      <c r="C1824" s="5" t="str">
        <f>IFERROR(__xludf.DUMMYFUNCTION("GOOGLETRANSLATE(B1824,""en"",""zh-CN"")"),"我们看到一个男人从头发上擦了擦污垢，然后关掉相机。")</f>
        <v>我们看到一个男人从头发上擦了擦污垢，然后关掉相机。</v>
      </c>
    </row>
    <row r="1825">
      <c r="A1825" s="4" t="s">
        <v>2294</v>
      </c>
      <c r="B1825" s="4" t="s">
        <v>2295</v>
      </c>
      <c r="C1825" s="5" t="str">
        <f>IFERROR(__xludf.DUMMYFUNCTION("GOOGLETRANSLATE(B1825,""en"",""zh-CN"")"),"看到一个男人握在油漆机上，并将其喷在所有家具周围。")</f>
        <v>看到一个男人握在油漆机上，并将其喷在所有家具周围。</v>
      </c>
    </row>
    <row r="1826">
      <c r="A1826" s="4" t="s">
        <v>2294</v>
      </c>
      <c r="B1826" s="4" t="s">
        <v>2296</v>
      </c>
      <c r="C1826" s="5" t="str">
        <f>IFERROR(__xludf.DUMMYFUNCTION("GOOGLETRANSLATE(B1826,""en"",""zh-CN"")"),"当相机在动作周围时，他继续在该地区绘画。")</f>
        <v>当相机在动作周围时，他继续在该地区绘画。</v>
      </c>
    </row>
    <row r="1827">
      <c r="A1827" s="4" t="s">
        <v>2294</v>
      </c>
      <c r="B1827" s="4" t="s">
        <v>2297</v>
      </c>
      <c r="C1827" s="5" t="str">
        <f>IFERROR(__xludf.DUMMYFUNCTION("GOOGLETRANSLATE(B1827,""en"",""zh-CN"")"),"他完成了绘画，并在家具周围的相机锅。")</f>
        <v>他完成了绘画，并在家具周围的相机锅。</v>
      </c>
    </row>
    <row r="1828">
      <c r="A1828" s="4" t="s">
        <v>2298</v>
      </c>
      <c r="B1828" s="4" t="s">
        <v>2299</v>
      </c>
      <c r="C1828" s="5" t="str">
        <f>IFERROR(__xludf.DUMMYFUNCTION("GOOGLETRANSLATE(B1828,""en"",""zh-CN"")"),"坐在椅子上时，看到一个女人在相机上说话。")</f>
        <v>坐在椅子上时，看到一个女人在相机上说话。</v>
      </c>
    </row>
    <row r="1829">
      <c r="A1829" s="4" t="s">
        <v>2298</v>
      </c>
      <c r="B1829" s="4" t="s">
        <v>2300</v>
      </c>
      <c r="C1829" s="5" t="str">
        <f>IFERROR(__xludf.DUMMYFUNCTION("GOOGLETRANSLATE(B1829,""en"",""zh-CN"")"),"然后，她举起一个隐形眼镜，将一个隐形眼镜放在眼中。")</f>
        <v>然后，她举起一个隐形眼镜，将一个隐形眼镜放在眼中。</v>
      </c>
    </row>
    <row r="1830">
      <c r="A1830" s="4" t="s">
        <v>2298</v>
      </c>
      <c r="B1830" s="4" t="s">
        <v>2301</v>
      </c>
      <c r="C1830" s="5" t="str">
        <f>IFERROR(__xludf.DUMMYFUNCTION("GOOGLETRANSLATE(B1830,""en"",""zh-CN"")"),"她的眼睛另一个接触，对相机微笑。")</f>
        <v>她的眼睛另一个接触，对相机微笑。</v>
      </c>
    </row>
    <row r="1831">
      <c r="A1831" s="4" t="s">
        <v>2302</v>
      </c>
      <c r="B1831" s="6" t="s">
        <v>2303</v>
      </c>
      <c r="C1831" s="5" t="str">
        <f>IFERROR(__xludf.DUMMYFUNCTION("GOOGLETRANSLATE(B1831,""en"",""zh-CN"")"),"看到一大批人在体育馆周围踢球，互相弹跳并四处弹跳。")</f>
        <v>看到一大批人在体育馆周围踢球，互相弹跳并四处弹跳。</v>
      </c>
    </row>
    <row r="1832">
      <c r="A1832" s="4" t="s">
        <v>2302</v>
      </c>
      <c r="B1832" s="4" t="s">
        <v>2304</v>
      </c>
      <c r="C1832" s="5" t="str">
        <f>IFERROR(__xludf.DUMMYFUNCTION("GOOGLETRANSLATE(B1832,""en"",""zh-CN"")"),"当人们撞到相机并展示一个人的脸时，人们继续扔球。")</f>
        <v>当人们撞到相机并展示一个人的脸时，人们继续扔球。</v>
      </c>
    </row>
    <row r="1833">
      <c r="A1833" s="4" t="s">
        <v>2302</v>
      </c>
      <c r="B1833" s="4" t="s">
        <v>2305</v>
      </c>
      <c r="C1833" s="5" t="str">
        <f>IFERROR(__xludf.DUMMYFUNCTION("GOOGLETRANSLATE(B1833,""en"",""zh-CN"")"),"比赛继续进行，人们将球扔在周围，人们在侧面看着。")</f>
        <v>比赛继续进行，人们将球扔在周围，人们在侧面看着。</v>
      </c>
    </row>
    <row r="1834">
      <c r="A1834" s="4" t="s">
        <v>2306</v>
      </c>
      <c r="B1834" s="4" t="s">
        <v>2307</v>
      </c>
      <c r="C1834" s="5" t="str">
        <f>IFERROR(__xludf.DUMMYFUNCTION("GOOGLETRANSLATE(B1834,""en"",""zh-CN"")"),"一群人受到掩护。")</f>
        <v>一群人受到掩护。</v>
      </c>
    </row>
    <row r="1835">
      <c r="A1835" s="4" t="s">
        <v>2306</v>
      </c>
      <c r="B1835" s="4" t="s">
        <v>2308</v>
      </c>
      <c r="C1835" s="5" t="str">
        <f>IFERROR(__xludf.DUMMYFUNCTION("GOOGLETRANSLATE(B1835,""en"",""zh-CN"")"),"他们乘坐一系列碰碰车。")</f>
        <v>他们乘坐一系列碰碰车。</v>
      </c>
    </row>
    <row r="1836">
      <c r="A1836" s="4" t="s">
        <v>2306</v>
      </c>
      <c r="B1836" s="4" t="s">
        <v>2309</v>
      </c>
      <c r="C1836" s="5" t="str">
        <f>IFERROR(__xludf.DUMMYFUNCTION("GOOGLETRANSLATE(B1836,""en"",""zh-CN"")"),"汽车在开车时互相撞到。")</f>
        <v>汽车在开车时互相撞到。</v>
      </c>
    </row>
    <row r="1837">
      <c r="A1837" s="4" t="s">
        <v>2310</v>
      </c>
      <c r="B1837" s="4" t="s">
        <v>2311</v>
      </c>
      <c r="C1837" s="5" t="str">
        <f>IFERROR(__xludf.DUMMYFUNCTION("GOOGLETRANSLATE(B1837,""en"",""zh-CN"")"),"屏幕上显示了一袋溢出主吸收剂。")</f>
        <v>屏幕上显示了一袋溢出主吸收剂。</v>
      </c>
    </row>
    <row r="1838">
      <c r="A1838" s="4" t="s">
        <v>2310</v>
      </c>
      <c r="B1838" s="4" t="s">
        <v>2312</v>
      </c>
      <c r="C1838" s="5" t="str">
        <f>IFERROR(__xludf.DUMMYFUNCTION("GOOGLETRANSLATE(B1838,""en"",""zh-CN"")"),"一个人站在一个仓库里与相机交谈，将一些液体倒在地面上。")</f>
        <v>一个人站在一个仓库里与相机交谈，将一些液体倒在地面上。</v>
      </c>
    </row>
    <row r="1839">
      <c r="A1839" s="4" t="s">
        <v>2310</v>
      </c>
      <c r="B1839" s="4" t="s">
        <v>2313</v>
      </c>
      <c r="C1839" s="5" t="str">
        <f>IFERROR(__xludf.DUMMYFUNCTION("GOOGLETRANSLATE(B1839,""en"",""zh-CN"")"),"他拿一碗材料，将其撒在溢出物上。")</f>
        <v>他拿一碗材料，将其撒在溢出物上。</v>
      </c>
    </row>
    <row r="1840">
      <c r="A1840" s="4" t="s">
        <v>2310</v>
      </c>
      <c r="B1840" s="4" t="s">
        <v>2314</v>
      </c>
      <c r="C1840" s="5" t="str">
        <f>IFERROR(__xludf.DUMMYFUNCTION("GOOGLETRANSLATE(B1840,""en"",""zh-CN"")"),"然后，他用扫帚和防尘锅扫了一下材料。")</f>
        <v>然后，他用扫帚和防尘锅扫了一下材料。</v>
      </c>
    </row>
    <row r="1841">
      <c r="A1841" s="4" t="s">
        <v>2315</v>
      </c>
      <c r="B1841" s="4" t="s">
        <v>2316</v>
      </c>
      <c r="C1841" s="5" t="str">
        <f>IFERROR(__xludf.DUMMYFUNCTION("GOOGLETRANSLATE(B1841,""en"",""zh-CN"")"),"女人正在录制录像带，在客厅里录制一些男人，穿上夹克。")</f>
        <v>女人正在录制录像带，在客厅里录制一些男人，穿上夹克。</v>
      </c>
    </row>
    <row r="1842">
      <c r="A1842" s="4" t="s">
        <v>2315</v>
      </c>
      <c r="B1842" s="6" t="s">
        <v>2317</v>
      </c>
      <c r="C1842" s="5" t="str">
        <f>IFERROR(__xludf.DUMMYFUNCTION("GOOGLETRANSLATE(B1842,""en"",""zh-CN"")"),"其中一个人在摄像机人抓住他的扫帚，走下大厅，走出一扇雪覆盖的停车场时，摄像机的人跟随他。")</f>
        <v>其中一个人在摄像机人抓住他的扫帚，走下大厅，走出一扇雪覆盖的停车场时，摄像机的人跟随他。</v>
      </c>
    </row>
    <row r="1843">
      <c r="A1843" s="4" t="s">
        <v>2315</v>
      </c>
      <c r="B1843" s="4" t="s">
        <v>2318</v>
      </c>
      <c r="C1843" s="5" t="str">
        <f>IFERROR(__xludf.DUMMYFUNCTION("GOOGLETRANSLATE(B1843,""en"",""zh-CN"")"),"当另一个男人来到外面时，他们走进停车场。")</f>
        <v>当另一个男人来到外面时，他们走进停车场。</v>
      </c>
    </row>
    <row r="1844">
      <c r="A1844" s="4" t="s">
        <v>2315</v>
      </c>
      <c r="B1844" s="6" t="s">
        <v>2319</v>
      </c>
      <c r="C1844" s="5" t="str">
        <f>IFERROR(__xludf.DUMMYFUNCTION("GOOGLETRANSLATE(B1844,""en"",""zh-CN"")"),"那个带有扫帚的人将SUV从SUV上刷下来，就像另一个男人在他旁边的一辆汽车上一样。")</f>
        <v>那个带有扫帚的人将SUV从SUV上刷下来，就像另一个男人在他旁边的一辆汽车上一样。</v>
      </c>
    </row>
    <row r="1845">
      <c r="A1845" s="4" t="s">
        <v>2320</v>
      </c>
      <c r="B1845" s="4" t="s">
        <v>2321</v>
      </c>
      <c r="C1845" s="5" t="str">
        <f>IFERROR(__xludf.DUMMYFUNCTION("GOOGLETRANSLATE(B1845,""en"",""zh-CN"")"),"一个女孩举起刷子，走到马。")</f>
        <v>一个女孩举起刷子，走到马。</v>
      </c>
    </row>
    <row r="1846">
      <c r="A1846" s="4" t="s">
        <v>2320</v>
      </c>
      <c r="B1846" s="4" t="s">
        <v>2322</v>
      </c>
      <c r="C1846" s="5" t="str">
        <f>IFERROR(__xludf.DUMMYFUNCTION("GOOGLETRANSLATE(B1846,""en"",""zh-CN"")"),"女孩在马stable里刷马的外套。")</f>
        <v>女孩在马stable里刷马的外套。</v>
      </c>
    </row>
    <row r="1847">
      <c r="A1847" s="4" t="s">
        <v>2320</v>
      </c>
      <c r="B1847" s="4" t="s">
        <v>2323</v>
      </c>
      <c r="C1847" s="5" t="str">
        <f>IFERROR(__xludf.DUMMYFUNCTION("GOOGLETRANSLATE(B1847,""en"",""zh-CN"")"),"女孩从马中移开脚踝的牙套。")</f>
        <v>女孩从马中移开脚踝的牙套。</v>
      </c>
    </row>
    <row r="1848">
      <c r="A1848" s="4" t="s">
        <v>2320</v>
      </c>
      <c r="B1848" s="4" t="s">
        <v>2324</v>
      </c>
      <c r="C1848" s="5" t="str">
        <f>IFERROR(__xludf.DUMMYFUNCTION("GOOGLETRANSLATE(B1848,""en"",""zh-CN"")"),"女孩把牙套包裹在一起，把它们赶走了。")</f>
        <v>女孩把牙套包裹在一起，把它们赶走了。</v>
      </c>
    </row>
    <row r="1849">
      <c r="A1849" s="4" t="s">
        <v>2320</v>
      </c>
      <c r="B1849" s="4" t="s">
        <v>2325</v>
      </c>
      <c r="C1849" s="5" t="str">
        <f>IFERROR(__xludf.DUMMYFUNCTION("GOOGLETRANSLATE(B1849,""en"",""zh-CN"")"),"一匹马从马stable里伸出头，一个人看着。")</f>
        <v>一匹马从马stable里伸出头，一个人看着。</v>
      </c>
    </row>
    <row r="1850">
      <c r="A1850" s="4" t="s">
        <v>2326</v>
      </c>
      <c r="B1850" s="4" t="s">
        <v>2327</v>
      </c>
      <c r="C1850" s="5" t="str">
        <f>IFERROR(__xludf.DUMMYFUNCTION("GOOGLETRANSLATE(B1850,""en"",""zh-CN"")"),"证明了几种类型的射击投掷和术语。")</f>
        <v>证明了几种类型的射击投掷和术语。</v>
      </c>
    </row>
    <row r="1851">
      <c r="A1851" s="4" t="s">
        <v>2326</v>
      </c>
      <c r="B1851" s="4" t="s">
        <v>2328</v>
      </c>
      <c r="C1851" s="5" t="str">
        <f>IFERROR(__xludf.DUMMYFUNCTION("GOOGLETRANSLATE(B1851,""en"",""zh-CN"")"),"不同的投掷显示不同的块类型。")</f>
        <v>不同的投掷显示不同的块类型。</v>
      </c>
    </row>
    <row r="1852">
      <c r="A1852" s="4" t="s">
        <v>2326</v>
      </c>
      <c r="B1852" s="4" t="s">
        <v>2329</v>
      </c>
      <c r="C1852" s="5" t="str">
        <f>IFERROR(__xludf.DUMMYFUNCTION("GOOGLETRANSLATE(B1852,""en"",""zh-CN"")"),"这些用于各种吊索类型。")</f>
        <v>这些用于各种吊索类型。</v>
      </c>
    </row>
    <row r="1853">
      <c r="A1853" s="4" t="s">
        <v>2326</v>
      </c>
      <c r="B1853" s="4" t="s">
        <v>2330</v>
      </c>
      <c r="C1853" s="5" t="str">
        <f>IFERROR(__xludf.DUMMYFUNCTION("GOOGLETRANSLATE(B1853,""en"",""zh-CN"")"),"一些投掷的名称是滑行射击，旋转射击和支架的投掷。")</f>
        <v>一些投掷的名称是滑行射击，旋转射击和支架的投掷。</v>
      </c>
    </row>
    <row r="1854">
      <c r="A1854" s="4" t="s">
        <v>2331</v>
      </c>
      <c r="B1854" s="6" t="s">
        <v>2332</v>
      </c>
      <c r="C1854" s="5" t="str">
        <f>IFERROR(__xludf.DUMMYFUNCTION("GOOGLETRANSLATE(B1854,""en"",""zh-CN"")"),"看到一只小狗穿着一件衣服，在两条腿上行走，而人们站在他周围看着。")</f>
        <v>看到一只小狗穿着一件衣服，在两条腿上行走，而人们站在他周围看着。</v>
      </c>
    </row>
    <row r="1855">
      <c r="A1855" s="4" t="s">
        <v>2331</v>
      </c>
      <c r="B1855" s="4" t="s">
        <v>2333</v>
      </c>
      <c r="C1855" s="5" t="str">
        <f>IFERROR(__xludf.DUMMYFUNCTION("GOOGLETRANSLATE(B1855,""en"",""zh-CN"")"),"那只狗继续四处走动，看着人们看着。")</f>
        <v>那只狗继续四处走动，看着人们看着。</v>
      </c>
    </row>
    <row r="1856">
      <c r="A1856" s="4" t="s">
        <v>2334</v>
      </c>
      <c r="B1856" s="4" t="s">
        <v>2335</v>
      </c>
      <c r="C1856" s="5" t="str">
        <f>IFERROR(__xludf.DUMMYFUNCTION("GOOGLETRANSLATE(B1856,""en"",""zh-CN"")"),"出现了一座充满雪的山，一个人开始滑下山坡。")</f>
        <v>出现了一座充满雪的山，一个人开始滑下山坡。</v>
      </c>
    </row>
    <row r="1857">
      <c r="A1857" s="4" t="s">
        <v>2334</v>
      </c>
      <c r="B1857" s="4" t="s">
        <v>2336</v>
      </c>
      <c r="C1857" s="5" t="str">
        <f>IFERROR(__xludf.DUMMYFUNCTION("GOOGLETRANSLATE(B1857,""en"",""zh-CN"")"),"当他滑雪时，更多的人出现在他自己重新出现之前。")</f>
        <v>当他滑雪时，更多的人出现在他自己重新出现之前。</v>
      </c>
    </row>
    <row r="1858">
      <c r="A1858" s="4" t="s">
        <v>2334</v>
      </c>
      <c r="B1858" s="4" t="s">
        <v>2337</v>
      </c>
      <c r="C1858" s="5" t="str">
        <f>IFERROR(__xludf.DUMMYFUNCTION("GOOGLETRANSLATE(B1858,""en"",""zh-CN"")"),"一个人曾经，这个人滑雪迅速地沿着斜坡沿着滑雪板进行旋转和膝盖。")</f>
        <v>一个人曾经，这个人滑雪迅速地沿着斜坡沿着滑雪板进行旋转和膝盖。</v>
      </c>
    </row>
    <row r="1859">
      <c r="A1859" s="4" t="s">
        <v>2334</v>
      </c>
      <c r="B1859" s="4" t="s">
        <v>2338</v>
      </c>
      <c r="C1859" s="5" t="str">
        <f>IFERROR(__xludf.DUMMYFUNCTION("GOOGLETRANSLATE(B1859,""en"",""zh-CN"")"),"最终，他走得很快，最终翻到一堆雪中。")</f>
        <v>最终，他走得很快，最终翻到一堆雪中。</v>
      </c>
    </row>
    <row r="1860">
      <c r="A1860" s="4" t="s">
        <v>2339</v>
      </c>
      <c r="B1860" s="6" t="s">
        <v>2340</v>
      </c>
      <c r="C1860" s="5" t="str">
        <f>IFERROR(__xludf.DUMMYFUNCTION("GOOGLETRANSLATE(B1860,""en"",""zh-CN"")"),"一个男人和一个女人坐在两个单独的浮动甜甜圈中，蓝色的男人，绿色的女人，两个人都在微笑，然后男人抬起左臂挥手。")</f>
        <v>一个男人和一个女人坐在两个单独的浮动甜甜圈中，蓝色的男人，绿色的女人，两个人都在微笑，然后男人抬起左臂挥手。</v>
      </c>
    </row>
    <row r="1861">
      <c r="A1861" s="4" t="s">
        <v>2339</v>
      </c>
      <c r="B1861" s="6" t="s">
        <v>2341</v>
      </c>
      <c r="C1861" s="5" t="str">
        <f>IFERROR(__xludf.DUMMYFUNCTION("GOOGLETRANSLATE(B1861,""en"",""zh-CN"")"),"一群人也在不同的颜色的浮动甜甜圈上，玩耍，落入水中并度过美好的时光。")</f>
        <v>一群人也在不同的颜色的浮动甜甜圈上，玩耍，落入水中并度过美好的时光。</v>
      </c>
    </row>
    <row r="1862">
      <c r="A1862" s="4" t="s">
        <v>2339</v>
      </c>
      <c r="B1862" s="6" t="s">
        <v>2342</v>
      </c>
      <c r="C1862" s="5" t="str">
        <f>IFERROR(__xludf.DUMMYFUNCTION("GOOGLETRANSLATE(B1862,""en"",""zh-CN"")"),"一个站在一堆漂浮的甜甜圈里的棕色头发的女人正在举着麦克风和说话，其他剪辑开始玩，其中包括湖泊的风景，采访了各个年龄的人和两性的人，人们带着浮动的甜甜圈散步，在湖，人们玩得开心等。")</f>
        <v>一个站在一堆漂浮的甜甜圈里的棕色头发的女人正在举着麦克风和说话，其他剪辑开始玩，其中包括湖泊的风景，采访了各个年龄的人和两性的人，人们带着浮动的甜甜圈散步，在湖，人们玩得开心等。</v>
      </c>
    </row>
    <row r="1863">
      <c r="A1863" s="4" t="s">
        <v>2339</v>
      </c>
      <c r="B1863" s="4" t="s">
        <v>2343</v>
      </c>
      <c r="C1863" s="5" t="str">
        <f>IFERROR(__xludf.DUMMYFUNCTION("GOOGLETRANSLATE(B1863,""en"",""zh-CN"")"),"该名女子现在坐在一个绿色的浮动甜甜圈里，仍然握住麦克风，仍然说话。")</f>
        <v>该名女子现在坐在一个绿色的浮动甜甜圈里，仍然握住麦克风，仍然说话。</v>
      </c>
    </row>
    <row r="1864">
      <c r="A1864" s="4" t="s">
        <v>2339</v>
      </c>
      <c r="B1864" s="6" t="s">
        <v>2344</v>
      </c>
      <c r="C1864" s="5" t="str">
        <f>IFERROR(__xludf.DUMMYFUNCTION("GOOGLETRANSLATE(B1864,""en"",""zh-CN"")"),"出现了一个带有栗色和白色徽标的白色屏幕，然后将其更改为另一个白色屏幕，该屏幕中间有一个蓝色的网站。")</f>
        <v>出现了一个带有栗色和白色徽标的白色屏幕，然后将其更改为另一个白色屏幕，该屏幕中间有一个蓝色的网站。</v>
      </c>
    </row>
    <row r="1865">
      <c r="A1865" s="4" t="s">
        <v>2345</v>
      </c>
      <c r="B1865" s="4" t="s">
        <v>2346</v>
      </c>
      <c r="C1865" s="5" t="str">
        <f>IFERROR(__xludf.DUMMYFUNCTION("GOOGLETRANSLATE(B1865,""en"",""zh-CN"")"),"人们乘飞机旅行，到达山顶。")</f>
        <v>人们乘飞机旅行，到达山顶。</v>
      </c>
    </row>
    <row r="1866">
      <c r="A1866" s="4" t="s">
        <v>2345</v>
      </c>
      <c r="B1866" s="4" t="s">
        <v>2347</v>
      </c>
      <c r="C1866" s="5" t="str">
        <f>IFERROR(__xludf.DUMMYFUNCTION("GOOGLETRANSLATE(B1866,""en"",""zh-CN"")"),"然后，人们沿着飞机滑下山坡。")</f>
        <v>然后，人们沿着飞机滑下山坡。</v>
      </c>
    </row>
    <row r="1867">
      <c r="A1867" s="4" t="s">
        <v>2345</v>
      </c>
      <c r="B1867" s="4" t="s">
        <v>2348</v>
      </c>
      <c r="C1867" s="5" t="str">
        <f>IFERROR(__xludf.DUMMYFUNCTION("GOOGLETRANSLATE(B1867,""en"",""zh-CN"")"),"一个人滑雪在山坡上的男人后面。")</f>
        <v>一个人滑雪在山坡上的男人后面。</v>
      </c>
    </row>
    <row r="1868">
      <c r="A1868" s="4" t="s">
        <v>2345</v>
      </c>
      <c r="B1868" s="4" t="s">
        <v>2349</v>
      </c>
      <c r="C1868" s="5" t="str">
        <f>IFERROR(__xludf.DUMMYFUNCTION("GOOGLETRANSLATE(B1868,""en"",""zh-CN"")"),"除雪清除了道路的积雪。")</f>
        <v>除雪清除了道路的积雪。</v>
      </c>
    </row>
    <row r="1869">
      <c r="A1869" s="4" t="s">
        <v>2345</v>
      </c>
      <c r="B1869" s="4" t="s">
        <v>2350</v>
      </c>
      <c r="C1869" s="5" t="str">
        <f>IFERROR(__xludf.DUMMYFUNCTION("GOOGLETRANSLATE(B1869,""en"",""zh-CN"")"),"之后，这些人滑到树木中间的山上。")</f>
        <v>之后，这些人滑到树木中间的山上。</v>
      </c>
    </row>
    <row r="1870">
      <c r="A1870" s="4" t="s">
        <v>2345</v>
      </c>
      <c r="B1870" s="4" t="s">
        <v>2351</v>
      </c>
      <c r="C1870" s="5" t="str">
        <f>IFERROR(__xludf.DUMMYFUNCTION("GOOGLETRANSLATE(B1870,""en"",""zh-CN"")"),"在不平衡的木区中，男子滑雪。")</f>
        <v>在不平衡的木区中，男子滑雪。</v>
      </c>
    </row>
    <row r="1871">
      <c r="A1871" s="4" t="s">
        <v>2352</v>
      </c>
      <c r="B1871" s="6" t="s">
        <v>2353</v>
      </c>
      <c r="C1871" s="5" t="str">
        <f>IFERROR(__xludf.DUMMYFUNCTION("GOOGLETRANSLATE(B1871,""en"",""zh-CN"")"),"一名体操运动员在A Balance梁上戴着蓝色的服装气​​候，在巨大的美国国旗面前的比赛中进行手架，并在竞争中分开。")</f>
        <v>一名体操运动员在A Balance梁上戴着蓝色的服装气​​候，在巨大的美国国旗面前的比赛中进行手架，并在竞争中分开。</v>
      </c>
    </row>
    <row r="1872">
      <c r="A1872" s="4" t="s">
        <v>2352</v>
      </c>
      <c r="B1872" s="6" t="s">
        <v>2354</v>
      </c>
      <c r="C1872" s="5" t="str">
        <f>IFERROR(__xludf.DUMMYFUNCTION("GOOGLETRANSLATE(B1872,""en"",""zh-CN"")"),"体操运动员在平衡梁上进行，并执行前题，然后连续三个向后翻筋斗。")</f>
        <v>体操运动员在平衡梁上进行，并执行前题，然后连续三个向后翻筋斗。</v>
      </c>
    </row>
    <row r="1873">
      <c r="A1873" s="4" t="s">
        <v>2352</v>
      </c>
      <c r="B1873" s="6" t="s">
        <v>2355</v>
      </c>
      <c r="C1873" s="5" t="str">
        <f>IFERROR(__xludf.DUMMYFUNCTION("GOOGLETRANSLATE(B1873,""en"",""zh-CN"")"),"体操运动员以旋转动作，跳动和舞蹈动作在平行酒吧的表演继续进行。")</f>
        <v>体操运动员以旋转动作，跳动和舞蹈动作在平行酒吧的表演继续进行。</v>
      </c>
    </row>
    <row r="1874">
      <c r="A1874" s="4" t="s">
        <v>2352</v>
      </c>
      <c r="B1874" s="6" t="s">
        <v>2356</v>
      </c>
      <c r="C1874" s="5" t="str">
        <f>IFERROR(__xludf.DUMMYFUNCTION("GOOGLETRANSLATE(B1874,""en"",""zh-CN"")"),"体操运动员为平行条的一端的下马做准备，在平行条上进行了向前的翻筋斗，并带有旋转的翻筋斗，并完美地卸下了下马。")</f>
        <v>体操运动员为平行条的一端的下马做准备，在平行条上进行了向前的翻筋斗，并带有旋转的翻筋斗，并完美地卸下了下马。</v>
      </c>
    </row>
    <row r="1875">
      <c r="A1875" s="4" t="s">
        <v>2357</v>
      </c>
      <c r="B1875" s="4" t="s">
        <v>2358</v>
      </c>
      <c r="C1875" s="5" t="str">
        <f>IFERROR(__xludf.DUMMYFUNCTION("GOOGLETRANSLATE(B1875,""en"",""zh-CN"")"),"一群人聚集在一个房间里的一个圈子里。")</f>
        <v>一群人聚集在一个房间里的一个圈子里。</v>
      </c>
    </row>
    <row r="1876">
      <c r="A1876" s="4" t="s">
        <v>2357</v>
      </c>
      <c r="B1876" s="4" t="s">
        <v>2359</v>
      </c>
      <c r="C1876" s="5" t="str">
        <f>IFERROR(__xludf.DUMMYFUNCTION("GOOGLETRANSLATE(B1876,""en"",""zh-CN"")"),"他们握住彼此的手，然后开始在人们的环中战斗。")</f>
        <v>他们握住彼此的手，然后开始在人们的环中战斗。</v>
      </c>
    </row>
    <row r="1877">
      <c r="A1877" s="4" t="s">
        <v>2357</v>
      </c>
      <c r="B1877" s="4" t="s">
        <v>2360</v>
      </c>
      <c r="C1877" s="5" t="str">
        <f>IFERROR(__xludf.DUMMYFUNCTION("GOOGLETRANSLATE(B1877,""en"",""zh-CN"")"),"他们旋转和踢，从来没有互相打过。")</f>
        <v>他们旋转和踢，从来没有互相打过。</v>
      </c>
    </row>
    <row r="1878">
      <c r="A1878" s="4" t="s">
        <v>2357</v>
      </c>
      <c r="B1878" s="4" t="s">
        <v>2361</v>
      </c>
      <c r="C1878" s="5" t="str">
        <f>IFERROR(__xludf.DUMMYFUNCTION("GOOGLETRANSLATE(B1878,""en"",""zh-CN"")"),"当他们完成小组时，小组拍手。")</f>
        <v>当他们完成小组时，小组拍手。</v>
      </c>
    </row>
    <row r="1879">
      <c r="A1879" s="4" t="s">
        <v>2362</v>
      </c>
      <c r="B1879" s="4" t="s">
        <v>2363</v>
      </c>
      <c r="C1879" s="5" t="str">
        <f>IFERROR(__xludf.DUMMYFUNCTION("GOOGLETRANSLATE(B1879,""en"",""zh-CN"")"),"一个人将密封材料放在钢板和屋顶周围。")</f>
        <v>一个人将密封材料放在钢板和屋顶周围。</v>
      </c>
    </row>
    <row r="1880">
      <c r="A1880" s="4" t="s">
        <v>2362</v>
      </c>
      <c r="B1880" s="4" t="s">
        <v>2364</v>
      </c>
      <c r="C1880" s="5" t="str">
        <f>IFERROR(__xludf.DUMMYFUNCTION("GOOGLETRANSLATE(B1880,""en"",""zh-CN"")"),"然后，该男子用黑色油漆涂上屋顶。")</f>
        <v>然后，该男子用黑色油漆涂上屋顶。</v>
      </c>
    </row>
    <row r="1881">
      <c r="A1881" s="4" t="s">
        <v>2365</v>
      </c>
      <c r="B1881" s="4" t="s">
        <v>2366</v>
      </c>
      <c r="C1881" s="5" t="str">
        <f>IFERROR(__xludf.DUMMYFUNCTION("GOOGLETRANSLATE(B1881,""en"",""zh-CN"")"),"在奥运会比赛中，一个男孩站在泳池跳水板上。")</f>
        <v>在奥运会比赛中，一个男孩站在泳池跳水板上。</v>
      </c>
    </row>
    <row r="1882">
      <c r="A1882" s="4" t="s">
        <v>2365</v>
      </c>
      <c r="B1882" s="4" t="s">
        <v>2367</v>
      </c>
      <c r="C1882" s="5" t="str">
        <f>IFERROR(__xludf.DUMMYFUNCTION("GOOGLETRANSLATE(B1882,""en"",""zh-CN"")"),"然后，男孩跳了起来，在空中进行四次翻转，然后掉入水中。")</f>
        <v>然后，男孩跳了起来，在空中进行四次翻转，然后掉入水中。</v>
      </c>
    </row>
    <row r="1883">
      <c r="A1883" s="4" t="s">
        <v>2365</v>
      </c>
      <c r="B1883" s="4" t="s">
        <v>2368</v>
      </c>
      <c r="C1883" s="5" t="str">
        <f>IFERROR(__xludf.DUMMYFUNCTION("GOOGLETRANSLATE(B1883,""en"",""zh-CN"")"),"人群为持有英国旗帜的男孩鼓掌。")</f>
        <v>人群为持有英国旗帜的男孩鼓掌。</v>
      </c>
    </row>
    <row r="1884">
      <c r="A1884" s="4" t="s">
        <v>2365</v>
      </c>
      <c r="B1884" s="4" t="s">
        <v>2369</v>
      </c>
      <c r="C1884" s="5" t="str">
        <f>IFERROR(__xludf.DUMMYFUNCTION("GOOGLETRANSLATE(B1884,""en"",""zh-CN"")"),"一个男人拥抱那个看起来很快乐的男孩，男孩走来走去。")</f>
        <v>一个男人拥抱那个看起来很快乐的男孩，男孩走来走去。</v>
      </c>
    </row>
    <row r="1885">
      <c r="A1885" s="4" t="s">
        <v>2365</v>
      </c>
      <c r="B1885" s="4" t="s">
        <v>2370</v>
      </c>
      <c r="C1885" s="5" t="str">
        <f>IFERROR(__xludf.DUMMYFUNCTION("GOOGLETRANSLATE(B1885,""en"",""zh-CN"")"),"这个男孩从跳水板上跳下来，在进入水中之前在空中进行四次翻转。")</f>
        <v>这个男孩从跳水板上跳下来，在进入水中之前在空中进行四次翻转。</v>
      </c>
    </row>
    <row r="1886">
      <c r="A1886" s="4" t="s">
        <v>2371</v>
      </c>
      <c r="B1886" s="6" t="s">
        <v>2372</v>
      </c>
      <c r="C1886" s="5" t="str">
        <f>IFERROR(__xludf.DUMMYFUNCTION("GOOGLETRANSLATE(B1886,""en"",""zh-CN"")"),"该视频首先是几张人们在快速运动和慢速滑板上沿着长途道路骑行。")</f>
        <v>该视频首先是几张人们在快速运动和慢速滑板上沿着长途道路骑行。</v>
      </c>
    </row>
    <row r="1887">
      <c r="A1887" s="4" t="s">
        <v>2371</v>
      </c>
      <c r="B1887" s="6" t="s">
        <v>2373</v>
      </c>
      <c r="C1887" s="5" t="str">
        <f>IFERROR(__xludf.DUMMYFUNCTION("GOOGLETRANSLATE(B1887,""en"",""zh-CN"")"),"人们在这些漫长而蜿蜒的道路上进行各种跳跃和欺骗，并显示寄宿生向相机讲话。")</f>
        <v>人们在这些漫长而蜿蜒的道路上进行各种跳跃和欺骗，并显示寄宿生向相机讲话。</v>
      </c>
    </row>
    <row r="1888">
      <c r="A1888" s="4" t="s">
        <v>2374</v>
      </c>
      <c r="B1888" s="4" t="s">
        <v>2375</v>
      </c>
      <c r="C1888" s="5" t="str">
        <f>IFERROR(__xludf.DUMMYFUNCTION("GOOGLETRANSLATE(B1888,""en"",""zh-CN"")"),"一群鱼在海底游泳。")</f>
        <v>一群鱼在海底游泳。</v>
      </c>
    </row>
    <row r="1889">
      <c r="A1889" s="4" t="s">
        <v>2374</v>
      </c>
      <c r="B1889" s="4" t="s">
        <v>2376</v>
      </c>
      <c r="C1889" s="5" t="str">
        <f>IFERROR(__xludf.DUMMYFUNCTION("GOOGLETRANSLATE(B1889,""en"",""zh-CN"")"),"一条长黄鱼通过相机。")</f>
        <v>一条长黄鱼通过相机。</v>
      </c>
    </row>
    <row r="1890">
      <c r="A1890" s="4" t="s">
        <v>2374</v>
      </c>
      <c r="B1890" s="4" t="s">
        <v>2377</v>
      </c>
      <c r="C1890" s="5" t="str">
        <f>IFERROR(__xludf.DUMMYFUNCTION("GOOGLETRANSLATE(B1890,""en"",""zh-CN"")"),"当男人说话时，水肺潜水员聚集在船上。")</f>
        <v>当男人说话时，水肺潜水员聚集在船上。</v>
      </c>
    </row>
    <row r="1891">
      <c r="A1891" s="4" t="s">
        <v>2374</v>
      </c>
      <c r="B1891" s="4" t="s">
        <v>2378</v>
      </c>
      <c r="C1891" s="5" t="str">
        <f>IFERROR(__xludf.DUMMYFUNCTION("GOOGLETRANSLATE(B1891,""en"",""zh-CN"")"),"我们看到几条鱼和一条鲨鱼。")</f>
        <v>我们看到几条鱼和一条鲨鱼。</v>
      </c>
    </row>
    <row r="1892">
      <c r="A1892" s="4" t="s">
        <v>2374</v>
      </c>
      <c r="B1892" s="4" t="s">
        <v>2379</v>
      </c>
      <c r="C1892" s="5" t="str">
        <f>IFERROR(__xludf.DUMMYFUNCTION("GOOGLETRANSLATE(B1892,""en"",""zh-CN"")"),"潜水员潜水，看着鱼，挥舞着相机。")</f>
        <v>潜水员潜水，看着鱼，挥舞着相机。</v>
      </c>
    </row>
    <row r="1893">
      <c r="A1893" s="4" t="s">
        <v>2380</v>
      </c>
      <c r="B1893" s="6" t="s">
        <v>2381</v>
      </c>
      <c r="C1893" s="5" t="str">
        <f>IFERROR(__xludf.DUMMYFUNCTION("GOOGLETRANSLATE(B1893,""en"",""zh-CN"")"),"一个男孩通过在房屋后台阶附近的后院使用焊料来维修拆卸的自行车。")</f>
        <v>一个男孩通过在房屋后台阶附近的后院使用焊料来维修拆卸的自行车。</v>
      </c>
    </row>
    <row r="1894">
      <c r="A1894" s="4" t="s">
        <v>2380</v>
      </c>
      <c r="B1894" s="6" t="s">
        <v>2382</v>
      </c>
      <c r="C1894" s="5" t="str">
        <f>IFERROR(__xludf.DUMMYFUNCTION("GOOGLETRANSLATE(B1894,""en"",""zh-CN"")"),"一个男孩进入现场，戴上运动防护口罩时戴上一副手套，在后台阶上打开蓝色机器，然后捡起焊料。")</f>
        <v>一个男孩进入现场，戴上运动防护口罩时戴上一副手套，在后台阶上打开蓝色机器，然后捡起焊料。</v>
      </c>
    </row>
    <row r="1895">
      <c r="A1895" s="4" t="s">
        <v>2380</v>
      </c>
      <c r="B1895" s="4" t="s">
        <v>2383</v>
      </c>
      <c r="C1895" s="5" t="str">
        <f>IFERROR(__xludf.DUMMYFUNCTION("GOOGLETRANSLATE(B1895,""en"",""zh-CN"")"),"然后，男孩开始在后院的地面上焊接一辆拆卸的自行车。")</f>
        <v>然后，男孩开始在后院的地面上焊接一辆拆卸的自行车。</v>
      </c>
    </row>
    <row r="1896">
      <c r="A1896" s="4" t="s">
        <v>2380</v>
      </c>
      <c r="B1896" s="4" t="s">
        <v>2384</v>
      </c>
      <c r="C1896" s="5" t="str">
        <f>IFERROR(__xludf.DUMMYFUNCTION("GOOGLETRANSLATE(B1896,""en"",""zh-CN"")"),"然后，男孩站起来，将盖子抬起面具后走出现场。")</f>
        <v>然后，男孩站起来，将盖子抬起面具后走出现场。</v>
      </c>
    </row>
    <row r="1897">
      <c r="A1897" s="4" t="s">
        <v>2385</v>
      </c>
      <c r="B1897" s="4" t="s">
        <v>2386</v>
      </c>
      <c r="C1897" s="5" t="str">
        <f>IFERROR(__xludf.DUMMYFUNCTION("GOOGLETRANSLATE(B1897,""en"",""zh-CN"")"),"斯里兰卡的板球队正在与另一个国家打球。")</f>
        <v>斯里兰卡的板球队正在与另一个国家打球。</v>
      </c>
    </row>
    <row r="1898">
      <c r="A1898" s="4" t="s">
        <v>2385</v>
      </c>
      <c r="B1898" s="4" t="s">
        <v>2387</v>
      </c>
      <c r="C1898" s="5" t="str">
        <f>IFERROR(__xludf.DUMMYFUNCTION("GOOGLETRANSLATE(B1898,""en"",""zh-CN"")"),"板球运动员正在球场上玩竞争性的比赛。")</f>
        <v>板球运动员正在球场上玩竞争性的比赛。</v>
      </c>
    </row>
    <row r="1899">
      <c r="A1899" s="4" t="s">
        <v>2385</v>
      </c>
      <c r="B1899" s="4" t="s">
        <v>2388</v>
      </c>
      <c r="C1899" s="5" t="str">
        <f>IFERROR(__xludf.DUMMYFUNCTION("GOOGLETRANSLATE(B1899,""en"",""zh-CN"")"),"斯里兰卡队以蓝色制服代表。")</f>
        <v>斯里兰卡队以蓝色制服代表。</v>
      </c>
    </row>
    <row r="1900">
      <c r="A1900" s="4" t="s">
        <v>2385</v>
      </c>
      <c r="B1900" s="4" t="s">
        <v>2389</v>
      </c>
      <c r="C1900" s="5" t="str">
        <f>IFERROR(__xludf.DUMMYFUNCTION("GOOGLETRANSLATE(B1900,""en"",""zh-CN"")"),"当投球手投掷一球时，击球手得分四次。")</f>
        <v>当投球手投掷一球时，击球手得分四次。</v>
      </c>
    </row>
    <row r="1901">
      <c r="A1901" s="4" t="s">
        <v>2385</v>
      </c>
      <c r="B1901" s="6" t="s">
        <v>2390</v>
      </c>
      <c r="C1901" s="5" t="str">
        <f>IFERROR(__xludf.DUMMYFUNCTION("GOOGLETRANSLATE(B1901,""en"",""zh-CN"")"),"视频显示，在斯里兰卡与来自不同国家的球队比赛的情况下，发生了不同的板球比赛。")</f>
        <v>视频显示，在斯里兰卡与来自不同国家的球队比赛的情况下，发生了不同的板球比赛。</v>
      </c>
    </row>
    <row r="1902">
      <c r="A1902" s="4" t="s">
        <v>2385</v>
      </c>
      <c r="B1902" s="4" t="s">
        <v>2391</v>
      </c>
      <c r="C1902" s="5" t="str">
        <f>IFERROR(__xludf.DUMMYFUNCTION("GOOGLETRANSLATE(B1902,""en"",""zh-CN"")"),"体育场充满了为板球运动员欢呼的观众。")</f>
        <v>体育场充满了为板球运动员欢呼的观众。</v>
      </c>
    </row>
    <row r="1903">
      <c r="A1903" s="4" t="s">
        <v>2385</v>
      </c>
      <c r="B1903" s="4" t="s">
        <v>2392</v>
      </c>
      <c r="C1903" s="5" t="str">
        <f>IFERROR(__xludf.DUMMYFUNCTION("GOOGLETRANSLATE(B1903,""en"",""zh-CN"")"),"随着击球手的四次奔跑，比赛将如火如荼地进行。")</f>
        <v>随着击球手的四次奔跑，比赛将如火如荼地进行。</v>
      </c>
    </row>
    <row r="1904">
      <c r="A1904" s="4" t="s">
        <v>2385</v>
      </c>
      <c r="B1904" s="6" t="s">
        <v>2393</v>
      </c>
      <c r="C1904" s="5" t="str">
        <f>IFERROR(__xludf.DUMMYFUNCTION("GOOGLETRANSLATE(B1904,""en"",""zh-CN"")"),"击球手在击球手击中它之后，守场员跑来踢球，几乎抓住球以使他干净大胆。")</f>
        <v>击球手在击球手击中它之后，守场员跑来踢球，几乎抓住球以使他干净大胆。</v>
      </c>
    </row>
    <row r="1905">
      <c r="A1905" s="4" t="s">
        <v>2394</v>
      </c>
      <c r="B1905" s="4" t="s">
        <v>2395</v>
      </c>
      <c r="C1905" s="5" t="str">
        <f>IFERROR(__xludf.DUMMYFUNCTION("GOOGLETRANSLATE(B1905,""en"",""zh-CN"")"),"一台相机由水下的人握住，在海洋中游泳。")</f>
        <v>一台相机由水下的人握住，在海洋中游泳。</v>
      </c>
    </row>
    <row r="1906">
      <c r="A1906" s="4" t="s">
        <v>2394</v>
      </c>
      <c r="B1906" s="4" t="s">
        <v>2396</v>
      </c>
      <c r="C1906" s="5" t="str">
        <f>IFERROR(__xludf.DUMMYFUNCTION("GOOGLETRANSLATE(B1906,""en"",""zh-CN"")"),"它向几次男人踢球，在海滩上踢足球并踢球。")</f>
        <v>它向几次男人踢球，在海滩上踢足球并踢球。</v>
      </c>
    </row>
    <row r="1907">
      <c r="A1907" s="4" t="s">
        <v>2394</v>
      </c>
      <c r="B1907" s="4" t="s">
        <v>2397</v>
      </c>
      <c r="C1907" s="5" t="str">
        <f>IFERROR(__xludf.DUMMYFUNCTION("GOOGLETRANSLATE(B1907,""en"",""zh-CN"")"),"相机在球上摇晃，然后再打几枪。")</f>
        <v>相机在球上摇晃，然后再打几枪。</v>
      </c>
    </row>
    <row r="1908">
      <c r="A1908" s="4" t="s">
        <v>2398</v>
      </c>
      <c r="B1908" s="4" t="s">
        <v>2399</v>
      </c>
      <c r="C1908" s="5" t="str">
        <f>IFERROR(__xludf.DUMMYFUNCTION("GOOGLETRANSLATE(B1908,""en"",""zh-CN"")"),"显示了一块大岩石，后面是人们四处走动并进入新的细分市场。")</f>
        <v>显示了一块大岩石，后面是人们四处走动并进入新的细分市场。</v>
      </c>
    </row>
    <row r="1909">
      <c r="A1909" s="4" t="s">
        <v>2398</v>
      </c>
      <c r="B1909" s="4" t="s">
        <v>2400</v>
      </c>
      <c r="C1909" s="5" t="str">
        <f>IFERROR(__xludf.DUMMYFUNCTION("GOOGLETRANSLATE(B1909,""en"",""zh-CN"")"),"然后看到一个男人切断南瓜，而女人说话并导致天气报告。")</f>
        <v>然后看到一个男人切断南瓜，而女人说话并导致天气报告。</v>
      </c>
    </row>
    <row r="1910">
      <c r="A1910" s="4" t="s">
        <v>2398</v>
      </c>
      <c r="B1910" s="4" t="s">
        <v>2401</v>
      </c>
      <c r="C1910" s="5" t="str">
        <f>IFERROR(__xludf.DUMMYFUNCTION("GOOGLETRANSLATE(B1910,""en"",""zh-CN"")"),"然后，该男子展示了一群人周围的南瓜以及封闭。")</f>
        <v>然后，该男子展示了一群人周围的南瓜以及封闭。</v>
      </c>
    </row>
    <row r="1911">
      <c r="A1911" s="4" t="s">
        <v>2402</v>
      </c>
      <c r="B1911" s="6" t="s">
        <v>2403</v>
      </c>
      <c r="C1911" s="5" t="str">
        <f>IFERROR(__xludf.DUMMYFUNCTION("GOOGLETRANSLATE(B1911,""en"",""zh-CN"")"),"一名男性滑板运动员正在滑冰，他跳上栏杆，然后滑倒并摔倒在他的背上，一只手帮助他起来。")</f>
        <v>一名男性滑板运动员正在滑冰，他跳上栏杆，然后滑倒并摔倒在他的背上，一只手帮助他起来。</v>
      </c>
    </row>
    <row r="1912">
      <c r="A1912" s="4" t="s">
        <v>2402</v>
      </c>
      <c r="B1912" s="4" t="s">
        <v>2404</v>
      </c>
      <c r="C1912" s="5" t="str">
        <f>IFERROR(__xludf.DUMMYFUNCTION("GOOGLETRANSLATE(B1912,""en"",""zh-CN"")"),"一个男孩用滑板跳到平台上，滑倒了。")</f>
        <v>一个男孩用滑板跳到平台上，滑倒了。</v>
      </c>
    </row>
    <row r="1913">
      <c r="A1913" s="4" t="s">
        <v>2402</v>
      </c>
      <c r="B1913" s="4" t="s">
        <v>2405</v>
      </c>
      <c r="C1913" s="5" t="str">
        <f>IFERROR(__xludf.DUMMYFUNCTION("GOOGLETRANSLATE(B1913,""en"",""zh-CN"")"),"滑板手跳到平台或栏杆上，滑倒并落在地面上。")</f>
        <v>滑板手跳到平台或栏杆上，滑倒并落在地面上。</v>
      </c>
    </row>
    <row r="1914">
      <c r="A1914" s="4" t="s">
        <v>2406</v>
      </c>
      <c r="B1914" s="4" t="s">
        <v>2407</v>
      </c>
      <c r="C1914" s="5" t="str">
        <f>IFERROR(__xludf.DUMMYFUNCTION("GOOGLETRANSLATE(B1914,""en"",""zh-CN"")"),"一个家庭谈论制作健康食品。")</f>
        <v>一个家庭谈论制作健康食品。</v>
      </c>
    </row>
    <row r="1915">
      <c r="A1915" s="4" t="s">
        <v>2406</v>
      </c>
      <c r="B1915" s="4" t="s">
        <v>2408</v>
      </c>
      <c r="C1915" s="5" t="str">
        <f>IFERROR(__xludf.DUMMYFUNCTION("GOOGLETRANSLATE(B1915,""en"",""zh-CN"")"),"它们首先制作冰沙并从椰子糖中读取成分。")</f>
        <v>它们首先制作冰沙并从椰子糖中读取成分。</v>
      </c>
    </row>
    <row r="1916">
      <c r="A1916" s="4" t="s">
        <v>2406</v>
      </c>
      <c r="B1916" s="4" t="s">
        <v>2409</v>
      </c>
      <c r="C1916" s="5" t="str">
        <f>IFERROR(__xludf.DUMMYFUNCTION("GOOGLETRANSLATE(B1916,""en"",""zh-CN"")"),"他们混合食物并准备食物，然后混合冰沙。")</f>
        <v>他们混合食物并准备食物，然后混合冰沙。</v>
      </c>
    </row>
    <row r="1917">
      <c r="A1917" s="4" t="s">
        <v>2410</v>
      </c>
      <c r="B1917" s="4" t="s">
        <v>2411</v>
      </c>
      <c r="C1917" s="5" t="str">
        <f>IFERROR(__xludf.DUMMYFUNCTION("GOOGLETRANSLATE(B1917,""en"",""zh-CN"")"),"一个男人和一个女人在露营者旁边喝咖啡。")</f>
        <v>一个男人和一个女人在露营者旁边喝咖啡。</v>
      </c>
    </row>
    <row r="1918">
      <c r="A1918" s="4" t="s">
        <v>2410</v>
      </c>
      <c r="B1918" s="4" t="s">
        <v>2412</v>
      </c>
      <c r="C1918" s="5" t="str">
        <f>IFERROR(__xludf.DUMMYFUNCTION("GOOGLETRANSLATE(B1918,""en"",""zh-CN"")"),"该男子正在弹吉他。")</f>
        <v>该男子正在弹吉他。</v>
      </c>
    </row>
    <row r="1919">
      <c r="A1919" s="4" t="s">
        <v>2410</v>
      </c>
      <c r="B1919" s="4" t="s">
        <v>2413</v>
      </c>
      <c r="C1919" s="5" t="str">
        <f>IFERROR(__xludf.DUMMYFUNCTION("GOOGLETRANSLATE(B1919,""en"",""zh-CN"")"),"女人走到相机上，开始炫耀纸质文件。")</f>
        <v>女人走到相机上，开始炫耀纸质文件。</v>
      </c>
    </row>
    <row r="1920">
      <c r="A1920" s="4" t="s">
        <v>2410</v>
      </c>
      <c r="B1920" s="4" t="s">
        <v>2414</v>
      </c>
      <c r="C1920" s="5" t="str">
        <f>IFERROR(__xludf.DUMMYFUNCTION("GOOGLETRANSLATE(B1920,""en"",""zh-CN"")"),"她投掷文件，然后回到男人身上。")</f>
        <v>她投掷文件，然后回到男人身上。</v>
      </c>
    </row>
    <row r="1921">
      <c r="A1921" s="4" t="s">
        <v>2415</v>
      </c>
      <c r="B1921" s="4" t="s">
        <v>2416</v>
      </c>
      <c r="C1921" s="5" t="str">
        <f>IFERROR(__xludf.DUMMYFUNCTION("GOOGLETRANSLATE(B1921,""en"",""zh-CN"")"),"一个团队中的男孩向其他团队成员投掷篮球。")</f>
        <v>一个团队中的男孩向其他团队成员投掷篮球。</v>
      </c>
    </row>
    <row r="1922">
      <c r="A1922" s="4" t="s">
        <v>2415</v>
      </c>
      <c r="B1922" s="4" t="s">
        <v>2417</v>
      </c>
      <c r="C1922" s="5" t="str">
        <f>IFERROR(__xludf.DUMMYFUNCTION("GOOGLETRANSLATE(B1922,""en"",""zh-CN"")"),"其他人也加入了，有些人跌倒了。")</f>
        <v>其他人也加入了，有些人跌倒了。</v>
      </c>
    </row>
    <row r="1923">
      <c r="A1923" s="4" t="s">
        <v>2418</v>
      </c>
      <c r="B1923" s="6" t="s">
        <v>2419</v>
      </c>
      <c r="C1923" s="5" t="str">
        <f>IFERROR(__xludf.DUMMYFUNCTION("GOOGLETRANSLATE(B1923,""en"",""zh-CN"")"),"看到一个男人跪在狗旁边擦干背部，而另一个男人则将水倒在狗的身体上。")</f>
        <v>看到一个男人跪在狗旁边擦干背部，而另一个男人则将水倒在狗的身体上。</v>
      </c>
    </row>
    <row r="1924">
      <c r="A1924" s="4" t="s">
        <v>2418</v>
      </c>
      <c r="B1924" s="4" t="s">
        <v>2420</v>
      </c>
      <c r="C1924" s="5" t="str">
        <f>IFERROR(__xludf.DUMMYFUNCTION("GOOGLETRANSLATE(B1924,""en"",""zh-CN"")"),"当另一个倒水时，该男子继续擦洗，并以狗逃跑而结束。")</f>
        <v>当另一个倒水时，该男子继续擦洗，并以狗逃跑而结束。</v>
      </c>
    </row>
    <row r="1925">
      <c r="A1925" s="4" t="s">
        <v>2421</v>
      </c>
      <c r="B1925" s="4" t="s">
        <v>2422</v>
      </c>
      <c r="C1925" s="5" t="str">
        <f>IFERROR(__xludf.DUMMYFUNCTION("GOOGLETRANSLATE(B1925,""en"",""zh-CN"")"),"一个女人在家里刷她的长发。")</f>
        <v>一个女人在家里刷她的长发。</v>
      </c>
    </row>
    <row r="1926">
      <c r="A1926" s="4" t="s">
        <v>2421</v>
      </c>
      <c r="B1926" s="4" t="s">
        <v>2423</v>
      </c>
      <c r="C1926" s="5" t="str">
        <f>IFERROR(__xludf.DUMMYFUNCTION("GOOGLETRANSLATE(B1926,""en"",""zh-CN"")"),"女人坐在沙发上。")</f>
        <v>女人坐在沙发上。</v>
      </c>
    </row>
    <row r="1927">
      <c r="A1927" s="4" t="s">
        <v>2421</v>
      </c>
      <c r="B1927" s="4" t="s">
        <v>2424</v>
      </c>
      <c r="C1927" s="5" t="str">
        <f>IFERROR(__xludf.DUMMYFUNCTION("GOOGLETRANSLATE(B1927,""en"",""zh-CN"")"),"女人站起来转身。")</f>
        <v>女人站起来转身。</v>
      </c>
    </row>
    <row r="1928">
      <c r="A1928" s="4" t="s">
        <v>2421</v>
      </c>
      <c r="B1928" s="4" t="s">
        <v>2425</v>
      </c>
      <c r="C1928" s="5" t="str">
        <f>IFERROR(__xludf.DUMMYFUNCTION("GOOGLETRANSLATE(B1928,""en"",""zh-CN"")"),"这个人转身走开了。")</f>
        <v>这个人转身走开了。</v>
      </c>
    </row>
    <row r="1929">
      <c r="A1929" s="4" t="s">
        <v>2426</v>
      </c>
      <c r="B1929" s="4" t="s">
        <v>2427</v>
      </c>
      <c r="C1929" s="5" t="str">
        <f>IFERROR(__xludf.DUMMYFUNCTION("GOOGLETRANSLATE(B1929,""en"",""zh-CN"")"),"很多甜点都在柜台的滑动皮带中。")</f>
        <v>很多甜点都在柜台的滑动皮带中。</v>
      </c>
    </row>
    <row r="1930">
      <c r="A1930" s="4" t="s">
        <v>2426</v>
      </c>
      <c r="B1930" s="4" t="s">
        <v>2428</v>
      </c>
      <c r="C1930" s="5" t="str">
        <f>IFERROR(__xludf.DUMMYFUNCTION("GOOGLETRANSLATE(B1930,""en"",""zh-CN"")"),"显示了海滩和湖中的日落。")</f>
        <v>显示了海滩和湖中的日落。</v>
      </c>
    </row>
    <row r="1931">
      <c r="A1931" s="4" t="s">
        <v>2426</v>
      </c>
      <c r="B1931" s="4" t="s">
        <v>2429</v>
      </c>
      <c r="C1931" s="5" t="str">
        <f>IFERROR(__xludf.DUMMYFUNCTION("GOOGLETRANSLATE(B1931,""en"",""zh-CN"")"),"人们正在湖泊在湖泊中划皮划艇，并带有大格林植被。")</f>
        <v>人们正在湖泊在湖泊中划皮划艇，并带有大格林植被。</v>
      </c>
    </row>
    <row r="1932">
      <c r="A1932" s="4" t="s">
        <v>2430</v>
      </c>
      <c r="B1932" s="4" t="s">
        <v>2431</v>
      </c>
      <c r="C1932" s="5" t="str">
        <f>IFERROR(__xludf.DUMMYFUNCTION("GOOGLETRANSLATE(B1932,""en"",""zh-CN"")"),"显示了两个年轻人在打网球的情况下向后跑来跑去，第四名。")</f>
        <v>显示了两个年轻人在打网球的情况下向后跑来跑去，第四名。</v>
      </c>
    </row>
    <row r="1933">
      <c r="A1933" s="4" t="s">
        <v>2430</v>
      </c>
      <c r="B1933" s="4" t="s">
        <v>2432</v>
      </c>
      <c r="C1933" s="5" t="str">
        <f>IFERROR(__xludf.DUMMYFUNCTION("GOOGLETRANSLATE(B1933,""en"",""zh-CN"")"),"他们不断将球撞到墙上，然后将球追逐到周围。")</f>
        <v>他们不断将球撞到墙上，然后将球追逐到周围。</v>
      </c>
    </row>
    <row r="1934">
      <c r="A1934" s="4" t="s">
        <v>2430</v>
      </c>
      <c r="B1934" s="4" t="s">
        <v>2433</v>
      </c>
      <c r="C1934" s="5" t="str">
        <f>IFERROR(__xludf.DUMMYFUNCTION("GOOGLETRANSLATE(B1934,""en"",""zh-CN"")"),"一个人停下来并在球拍上击球，再次扔掉球供男孩打球。")</f>
        <v>一个人停下来并在球拍上击球，再次扔掉球供男孩打球。</v>
      </c>
    </row>
    <row r="1935">
      <c r="A1935" s="4" t="s">
        <v>2430</v>
      </c>
      <c r="B1935" s="4" t="s">
        <v>2434</v>
      </c>
      <c r="C1935" s="5" t="str">
        <f>IFERROR(__xludf.DUMMYFUNCTION("GOOGLETRANSLATE(B1935,""en"",""zh-CN"")"),"一个人跌倒在地面上，另一个人帮助他起来。")</f>
        <v>一个人跌倒在地面上，另一个人帮助他起来。</v>
      </c>
    </row>
    <row r="1936">
      <c r="A1936" s="4" t="s">
        <v>2435</v>
      </c>
      <c r="B1936" s="4" t="s">
        <v>2436</v>
      </c>
      <c r="C1936" s="5" t="str">
        <f>IFERROR(__xludf.DUMMYFUNCTION("GOOGLETRANSLATE(B1936,""en"",""zh-CN"")"),"一个女人在浴缸里洗澡时与相机说话。")</f>
        <v>一个女人在浴缸里洗澡时与相机说话。</v>
      </c>
    </row>
    <row r="1937">
      <c r="A1937" s="4" t="s">
        <v>2435</v>
      </c>
      <c r="B1937" s="4" t="s">
        <v>2437</v>
      </c>
      <c r="C1937" s="5" t="str">
        <f>IFERROR(__xludf.DUMMYFUNCTION("GOOGLETRANSLATE(B1937,""en"",""zh-CN"")"),"该名女子向相机展示了一个小的擦洗垫。")</f>
        <v>该名女子向相机展示了一个小的擦洗垫。</v>
      </c>
    </row>
    <row r="1938">
      <c r="A1938" s="4" t="s">
        <v>2435</v>
      </c>
      <c r="B1938" s="4" t="s">
        <v>2438</v>
      </c>
      <c r="C1938" s="5" t="str">
        <f>IFERROR(__xludf.DUMMYFUNCTION("GOOGLETRANSLATE(B1938,""en"",""zh-CN"")"),"女人在婴儿身上使用垫子。")</f>
        <v>女人在婴儿身上使用垫子。</v>
      </c>
    </row>
    <row r="1939">
      <c r="A1939" s="4" t="s">
        <v>2439</v>
      </c>
      <c r="B1939" s="4" t="s">
        <v>2440</v>
      </c>
      <c r="C1939" s="5" t="str">
        <f>IFERROR(__xludf.DUMMYFUNCTION("GOOGLETRANSLATE(B1939,""en"",""zh-CN"")"),"有些人在黄色的筏子上漂浮在海洋上。")</f>
        <v>有些人在黄色的筏子上漂浮在海洋上。</v>
      </c>
    </row>
    <row r="1940">
      <c r="A1940" s="4" t="s">
        <v>2439</v>
      </c>
      <c r="B1940" s="4" t="s">
        <v>2441</v>
      </c>
      <c r="C1940" s="5" t="str">
        <f>IFERROR(__xludf.DUMMYFUNCTION("GOOGLETRANSLATE(B1940,""en"",""zh-CN"")"),"它们在大石头和悬崖上漂浮。")</f>
        <v>它们在大石头和悬崖上漂浮。</v>
      </c>
    </row>
    <row r="1941">
      <c r="A1941" s="4" t="s">
        <v>2442</v>
      </c>
      <c r="B1941" s="4" t="s">
        <v>2443</v>
      </c>
      <c r="C1941" s="5" t="str">
        <f>IFERROR(__xludf.DUMMYFUNCTION("GOOGLETRANSLATE(B1941,""en"",""zh-CN"")"),"一个人弯腰坐在垫子上。")</f>
        <v>一个人弯腰坐在垫子上。</v>
      </c>
    </row>
    <row r="1942">
      <c r="A1942" s="4" t="s">
        <v>2442</v>
      </c>
      <c r="B1942" s="4" t="s">
        <v>2444</v>
      </c>
      <c r="C1942" s="5" t="str">
        <f>IFERROR(__xludf.DUMMYFUNCTION("GOOGLETRANSLATE(B1942,""en"",""zh-CN"")"),"他捡起大量的重量，将其抬起头上。")</f>
        <v>他捡起大量的重量，将其抬起头上。</v>
      </c>
    </row>
    <row r="1943">
      <c r="A1943" s="4" t="s">
        <v>2442</v>
      </c>
      <c r="B1943" s="4" t="s">
        <v>2445</v>
      </c>
      <c r="C1943" s="5" t="str">
        <f>IFERROR(__xludf.DUMMYFUNCTION("GOOGLETRANSLATE(B1943,""en"",""zh-CN"")"),"他将重量放到地面上。")</f>
        <v>他将重量放到地面上。</v>
      </c>
    </row>
    <row r="1944">
      <c r="A1944" s="4" t="s">
        <v>2442</v>
      </c>
      <c r="B1944" s="4" t="s">
        <v>2446</v>
      </c>
      <c r="C1944" s="5" t="str">
        <f>IFERROR(__xludf.DUMMYFUNCTION("GOOGLETRANSLATE(B1944,""en"",""zh-CN"")"),"一个穿着蓝色衬衫的男人拍手。")</f>
        <v>一个穿着蓝色衬衫的男人拍手。</v>
      </c>
    </row>
    <row r="1945">
      <c r="A1945" s="4" t="s">
        <v>2447</v>
      </c>
      <c r="B1945" s="4" t="s">
        <v>2448</v>
      </c>
      <c r="C1945" s="5" t="str">
        <f>IFERROR(__xludf.DUMMYFUNCTION("GOOGLETRANSLATE(B1945,""en"",""zh-CN"")"),"这个婴儿击中球并掉下来。")</f>
        <v>这个婴儿击中球并掉下来。</v>
      </c>
    </row>
    <row r="1946">
      <c r="A1946" s="4" t="s">
        <v>2447</v>
      </c>
      <c r="B1946" s="4" t="s">
        <v>2449</v>
      </c>
      <c r="C1946" s="5" t="str">
        <f>IFERROR(__xludf.DUMMYFUNCTION("GOOGLETRANSLATE(B1946,""en"",""zh-CN"")"),"然后他站起来，抓住棍子，尝试再次击球。")</f>
        <v>然后他站起来，抓住棍子，尝试再次击球。</v>
      </c>
    </row>
    <row r="1947">
      <c r="A1947" s="4" t="s">
        <v>2447</v>
      </c>
      <c r="B1947" s="6" t="s">
        <v>2450</v>
      </c>
      <c r="C1947" s="5" t="str">
        <f>IFERROR(__xludf.DUMMYFUNCTION("GOOGLETRANSLATE(B1947,""en"",""zh-CN"")"),"接下来，他再次跌倒，握住棍子时倒退，他抓住球的击球真的很远。")</f>
        <v>接下来，他再次跌倒，握住棍子时倒退，他抓住球的击球真的很远。</v>
      </c>
    </row>
    <row r="1948">
      <c r="A1948" s="4" t="s">
        <v>2451</v>
      </c>
      <c r="B1948" s="4" t="s">
        <v>2452</v>
      </c>
      <c r="C1948" s="5" t="str">
        <f>IFERROR(__xludf.DUMMYFUNCTION("GOOGLETRANSLATE(B1948,""en"",""zh-CN"")"),"父母正在纹身他们很小的孩子，看起来他大约3岁。")</f>
        <v>父母正在纹身他们很小的孩子，看起来他大约3岁。</v>
      </c>
    </row>
    <row r="1949">
      <c r="A1949" s="4" t="s">
        <v>2451</v>
      </c>
      <c r="B1949" s="6" t="s">
        <v>2453</v>
      </c>
      <c r="C1949" s="5" t="str">
        <f>IFERROR(__xludf.DUMMYFUNCTION("GOOGLETRANSLATE(B1949,""en"",""zh-CN"")"),"他之所以哭泣，是因为它很痛，而他的卑鄙母亲在刺入手臂时使他忍受。")</f>
        <v>他之所以哭泣，是因为它很痛，而他的卑鄙母亲在刺入手臂时使他忍受。</v>
      </c>
    </row>
    <row r="1950">
      <c r="A1950" s="4" t="s">
        <v>2451</v>
      </c>
      <c r="B1950" s="4" t="s">
        <v>2454</v>
      </c>
      <c r="C1950" s="5" t="str">
        <f>IFERROR(__xludf.DUMMYFUNCTION("GOOGLETRANSLATE(B1950,""en"",""zh-CN"")"),"他们继续搭配纹身，它在他的上臂上，但您无法说出他们在纹身。")</f>
        <v>他们继续搭配纹身，它在他的上臂上，但您无法说出他们在纹身。</v>
      </c>
    </row>
    <row r="1951">
      <c r="A1951" s="4" t="s">
        <v>2451</v>
      </c>
      <c r="B1951" s="4" t="s">
        <v>2455</v>
      </c>
      <c r="C1951" s="5" t="str">
        <f>IFERROR(__xludf.DUMMYFUNCTION("GOOGLETRANSLATE(B1951,""en"",""zh-CN"")"),"艺术家抓住了一些绿色的东西，并开始摇晃它。")</f>
        <v>艺术家抓住了一些绿色的东西，并开始摇晃它。</v>
      </c>
    </row>
    <row r="1952">
      <c r="A1952" s="4" t="s">
        <v>2456</v>
      </c>
      <c r="B1952" s="6" t="s">
        <v>2457</v>
      </c>
      <c r="C1952" s="5" t="str">
        <f>IFERROR(__xludf.DUMMYFUNCTION("GOOGLETRANSLATE(B1952,""en"",""zh-CN"")"),"在室内游泳池中的几个人从跳水板上跳入泳池水中，表现出高级潜水技术和潜水技术的混合。")</f>
        <v>在室内游泳池中的几个人从跳水板上跳入泳池水中，表现出高级潜水技术和潜水技术的混合。</v>
      </c>
    </row>
    <row r="1953">
      <c r="A1953" s="4" t="s">
        <v>2456</v>
      </c>
      <c r="B1953" s="6" t="s">
        <v>2458</v>
      </c>
      <c r="C1953" s="5" t="str">
        <f>IFERROR(__xludf.DUMMYFUNCTION("GOOGLETRANSLATE(B1953,""en"",""zh-CN"")"),"几名潜水员从潜水板跳入下面的水中，执行包括翻转在内的许多技术。")</f>
        <v>几名潜水员从潜水板跳入下面的水中，执行包括翻转在内的许多技术。</v>
      </c>
    </row>
    <row r="1954">
      <c r="A1954" s="4" t="s">
        <v>2456</v>
      </c>
      <c r="B1954" s="4" t="s">
        <v>2459</v>
      </c>
      <c r="C1954" s="5" t="str">
        <f>IFERROR(__xludf.DUMMYFUNCTION("GOOGLETRANSLATE(B1954,""en"",""zh-CN"")"),"在现场淡入黑色之前，在剪辑末端附近显示出更少成功的潜水。")</f>
        <v>在现场淡入黑色之前，在剪辑末端附近显示出更少成功的潜水。</v>
      </c>
    </row>
    <row r="1955">
      <c r="A1955" s="4" t="s">
        <v>2460</v>
      </c>
      <c r="B1955" s="6" t="s">
        <v>2461</v>
      </c>
      <c r="C1955" s="5" t="str">
        <f>IFERROR(__xludf.DUMMYFUNCTION("GOOGLETRANSLATE(B1955,""en"",""zh-CN"")"),"看到一个男人跪在垫子上，演示如何进行适当的运动，但要移动他的胳膊和腿。")</f>
        <v>看到一个男人跪在垫子上，演示如何进行适当的运动，但要移动他的胳膊和腿。</v>
      </c>
    </row>
    <row r="1956">
      <c r="A1956" s="4" t="s">
        <v>2460</v>
      </c>
      <c r="B1956" s="4" t="s">
        <v>2462</v>
      </c>
      <c r="C1956" s="5" t="str">
        <f>IFERROR(__xludf.DUMMYFUNCTION("GOOGLETRANSLATE(B1956,""en"",""zh-CN"")"),"该男子在移动胳膊和腿并与镜头说话时向后退和第四。")</f>
        <v>该男子在移动胳膊和腿并与镜头说话时向后退和第四。</v>
      </c>
    </row>
    <row r="1957">
      <c r="A1957" s="4" t="s">
        <v>2463</v>
      </c>
      <c r="B1957" s="4" t="s">
        <v>2464</v>
      </c>
      <c r="C1957" s="5" t="str">
        <f>IFERROR(__xludf.DUMMYFUNCTION("GOOGLETRANSLATE(B1957,""en"",""zh-CN"")"),"人们在越野轨道上骑自行车。")</f>
        <v>人们在越野轨道上骑自行车。</v>
      </c>
    </row>
    <row r="1958">
      <c r="A1958" s="4" t="s">
        <v>2463</v>
      </c>
      <c r="B1958" s="4" t="s">
        <v>2465</v>
      </c>
      <c r="C1958" s="5" t="str">
        <f>IFERROR(__xludf.DUMMYFUNCTION("GOOGLETRANSLATE(B1958,""en"",""zh-CN"")"),"两名男子互相坠落并摔倒。")</f>
        <v>两名男子互相坠落并摔倒。</v>
      </c>
    </row>
    <row r="1959">
      <c r="A1959" s="4" t="s">
        <v>2463</v>
      </c>
      <c r="B1959" s="4" t="s">
        <v>2466</v>
      </c>
      <c r="C1959" s="5" t="str">
        <f>IFERROR(__xludf.DUMMYFUNCTION("GOOGLETRANSLATE(B1959,""en"",""zh-CN"")"),"几个人互相撞倒，跌倒在赛道上。")</f>
        <v>几个人互相撞倒，跌倒在赛道上。</v>
      </c>
    </row>
    <row r="1960">
      <c r="A1960" s="4" t="s">
        <v>2467</v>
      </c>
      <c r="B1960" s="4" t="s">
        <v>2468</v>
      </c>
      <c r="C1960" s="5" t="str">
        <f>IFERROR(__xludf.DUMMYFUNCTION("GOOGLETRANSLATE(B1960,""en"",""zh-CN"")"),"人们正在田径场互动。")</f>
        <v>人们正在田径场互动。</v>
      </c>
    </row>
    <row r="1961">
      <c r="A1961" s="4" t="s">
        <v>2467</v>
      </c>
      <c r="B1961" s="4" t="s">
        <v>2469</v>
      </c>
      <c r="C1961" s="5" t="str">
        <f>IFERROR(__xludf.DUMMYFUNCTION("GOOGLETRANSLATE(B1961,""en"",""zh-CN"")"),"游行乐队正在沿着轨道行走。")</f>
        <v>游行乐队正在沿着轨道行走。</v>
      </c>
    </row>
    <row r="1962">
      <c r="A1962" s="4" t="s">
        <v>2467</v>
      </c>
      <c r="B1962" s="4" t="s">
        <v>2470</v>
      </c>
      <c r="C1962" s="5" t="str">
        <f>IFERROR(__xludf.DUMMYFUNCTION("GOOGLETRANSLATE(B1962,""en"",""zh-CN"")"),"鼓手走路时正在表演。")</f>
        <v>鼓手走路时正在表演。</v>
      </c>
    </row>
    <row r="1963">
      <c r="A1963" s="4" t="s">
        <v>2471</v>
      </c>
      <c r="B1963" s="4" t="s">
        <v>2472</v>
      </c>
      <c r="C1963" s="5" t="str">
        <f>IFERROR(__xludf.DUMMYFUNCTION("GOOGLETRANSLATE(B1963,""en"",""zh-CN"")"),"一个女人坐在卧室的床上。")</f>
        <v>一个女人坐在卧室的床上。</v>
      </c>
    </row>
    <row r="1964">
      <c r="A1964" s="4" t="s">
        <v>2471</v>
      </c>
      <c r="B1964" s="4" t="s">
        <v>2473</v>
      </c>
      <c r="C1964" s="5" t="str">
        <f>IFERROR(__xludf.DUMMYFUNCTION("GOOGLETRANSLATE(B1964,""en"",""zh-CN"")"),"她说话时，她的双手穿过头发。")</f>
        <v>她说话时，她的双手穿过头发。</v>
      </c>
    </row>
    <row r="1965">
      <c r="A1965" s="4" t="s">
        <v>2471</v>
      </c>
      <c r="B1965" s="4" t="s">
        <v>2474</v>
      </c>
      <c r="C1965" s="5" t="str">
        <f>IFERROR(__xludf.DUMMYFUNCTION("GOOGLETRANSLATE(B1965,""en"",""zh-CN"")"),"她打开了一个香烟盒，并在讲话时抽烟。")</f>
        <v>她打开了一个香烟盒，并在讲话时抽烟。</v>
      </c>
    </row>
    <row r="1966">
      <c r="A1966" s="4" t="s">
        <v>2475</v>
      </c>
      <c r="B1966" s="4" t="s">
        <v>2476</v>
      </c>
      <c r="C1966" s="5" t="str">
        <f>IFERROR(__xludf.DUMMYFUNCTION("GOOGLETRANSLATE(B1966,""en"",""zh-CN"")"),"比基尼的女性在海滩上打排球。")</f>
        <v>比基尼的女性在海滩上打排球。</v>
      </c>
    </row>
    <row r="1967">
      <c r="A1967" s="4" t="s">
        <v>2475</v>
      </c>
      <c r="B1967" s="4" t="s">
        <v>2477</v>
      </c>
      <c r="C1967" s="5" t="str">
        <f>IFERROR(__xludf.DUMMYFUNCTION("GOOGLETRANSLATE(B1967,""en"",""zh-CN"")"),"其中一名妇女掉到了沙滩上。")</f>
        <v>其中一名妇女掉到了沙滩上。</v>
      </c>
    </row>
    <row r="1968">
      <c r="A1968" s="4" t="s">
        <v>2475</v>
      </c>
      <c r="B1968" s="4" t="s">
        <v>2478</v>
      </c>
      <c r="C1968" s="5" t="str">
        <f>IFERROR(__xludf.DUMMYFUNCTION("GOOGLETRANSLATE(B1968,""en"",""zh-CN"")"),"他们在海滩上摆张照片。")</f>
        <v>他们在海滩上摆张照片。</v>
      </c>
    </row>
    <row r="1969">
      <c r="A1969" s="4" t="s">
        <v>2479</v>
      </c>
      <c r="B1969" s="4" t="s">
        <v>2480</v>
      </c>
      <c r="C1969" s="5" t="str">
        <f>IFERROR(__xludf.DUMMYFUNCTION("GOOGLETRANSLATE(B1969,""en"",""zh-CN"")"),"我们看到两个开放标题屏幕。")</f>
        <v>我们看到两个开放标题屏幕。</v>
      </c>
    </row>
    <row r="1970">
      <c r="A1970" s="4" t="s">
        <v>2479</v>
      </c>
      <c r="B1970" s="4" t="s">
        <v>2481</v>
      </c>
      <c r="C1970" s="5" t="str">
        <f>IFERROR(__xludf.DUMMYFUNCTION("GOOGLETRANSLATE(B1970,""en"",""zh-CN"")"),"我们看到一个男人在酒吧里说话。")</f>
        <v>我们看到一个男人在酒吧里说话。</v>
      </c>
    </row>
    <row r="1971">
      <c r="A1971" s="4" t="s">
        <v>2479</v>
      </c>
      <c r="B1971" s="4" t="s">
        <v>2482</v>
      </c>
      <c r="C1971" s="5" t="str">
        <f>IFERROR(__xludf.DUMMYFUNCTION("GOOGLETRANSLATE(B1971,""en"",""zh-CN"")"),"该男子将冰添加到马丁玻璃杯和高大的玻璃杯中。")</f>
        <v>该男子将冰添加到马丁玻璃杯和高大的玻璃杯中。</v>
      </c>
    </row>
    <row r="1972">
      <c r="A1972" s="4" t="s">
        <v>2479</v>
      </c>
      <c r="B1972" s="4" t="s">
        <v>2483</v>
      </c>
      <c r="C1972" s="5" t="str">
        <f>IFERROR(__xludf.DUMMYFUNCTION("GOOGLETRANSLATE(B1972,""en"",""zh-CN"")"),"该男子在玻璃杯上添加了三枪并摇动它。")</f>
        <v>该男子在玻璃杯上添加了三枪并摇动它。</v>
      </c>
    </row>
    <row r="1973">
      <c r="A1973" s="4" t="s">
        <v>2479</v>
      </c>
      <c r="B1973" s="4" t="s">
        <v>2484</v>
      </c>
      <c r="C1973" s="5" t="str">
        <f>IFERROR(__xludf.DUMMYFUNCTION("GOOGLETRANSLATE(B1973,""en"",""zh-CN"")"),"该男子在玻璃上放了一个过滤器，然后将冰从马提尼玻璃杯中倒出。")</f>
        <v>该男子在玻璃上放了一个过滤器，然后将冰从马提尼玻璃杯中倒出。</v>
      </c>
    </row>
    <row r="1974">
      <c r="A1974" s="4" t="s">
        <v>2479</v>
      </c>
      <c r="B1974" s="4" t="s">
        <v>2485</v>
      </c>
      <c r="C1974" s="5" t="str">
        <f>IFERROR(__xludf.DUMMYFUNCTION("GOOGLETRANSLATE(B1974,""en"",""zh-CN"")"),"该男子将柠檬绿饮料倒在马提尼玻璃杯中，并加入樱桃和稻草。")</f>
        <v>该男子将柠檬绿饮料倒在马提尼玻璃杯中，并加入樱桃和稻草。</v>
      </c>
    </row>
    <row r="1975">
      <c r="A1975" s="4" t="s">
        <v>2479</v>
      </c>
      <c r="B1975" s="4" t="s">
        <v>2486</v>
      </c>
      <c r="C1975" s="5" t="str">
        <f>IFERROR(__xludf.DUMMYFUNCTION("GOOGLETRANSLATE(B1975,""en"",""zh-CN"")"),"我们看到关闭屏幕。")</f>
        <v>我们看到关闭屏幕。</v>
      </c>
    </row>
    <row r="1976">
      <c r="A1976" s="4" t="s">
        <v>2487</v>
      </c>
      <c r="B1976" s="4" t="s">
        <v>2488</v>
      </c>
      <c r="C1976" s="5" t="str">
        <f>IFERROR(__xludf.DUMMYFUNCTION("GOOGLETRANSLATE(B1976,""en"",""zh-CN"")"),"一名老人正在设置相机，然后下车去骑割草机。")</f>
        <v>一名老人正在设置相机，然后下车去骑割草机。</v>
      </c>
    </row>
    <row r="1977">
      <c r="A1977" s="4" t="s">
        <v>2487</v>
      </c>
      <c r="B1977" s="4" t="s">
        <v>2489</v>
      </c>
      <c r="C1977" s="5" t="str">
        <f>IFERROR(__xludf.DUMMYFUNCTION("GOOGLETRANSLATE(B1977,""en"",""zh-CN"")"),"他出现在左侧沿着人行道的左侧，直到到达草坪。")</f>
        <v>他出现在左侧沿着人行道的左侧，直到到达草坪。</v>
      </c>
    </row>
    <row r="1978">
      <c r="A1978" s="4" t="s">
        <v>2487</v>
      </c>
      <c r="B1978" s="6" t="s">
        <v>2490</v>
      </c>
      <c r="C1978" s="5" t="str">
        <f>IFERROR(__xludf.DUMMYFUNCTION("GOOGLETRANSLATE(B1978,""en"",""zh-CN"")"),"他转身开始从草开始工作，盘旋直到到达草坪的中心。")</f>
        <v>他转身开始从草开始工作，盘旋直到到达草坪的中心。</v>
      </c>
    </row>
    <row r="1979">
      <c r="A1979" s="4" t="s">
        <v>2487</v>
      </c>
      <c r="B1979" s="4" t="s">
        <v>2491</v>
      </c>
      <c r="C1979" s="5" t="str">
        <f>IFERROR(__xludf.DUMMYFUNCTION("GOOGLETRANSLATE(B1979,""en"",""zh-CN"")"),"然后，他回去，到达了他第一次错过的一小片草。")</f>
        <v>然后，他回去，到达了他第一次错过的一小片草。</v>
      </c>
    </row>
    <row r="1980">
      <c r="A1980" s="4" t="s">
        <v>2487</v>
      </c>
      <c r="B1980" s="6" t="s">
        <v>2492</v>
      </c>
      <c r="C1980" s="5" t="str">
        <f>IFERROR(__xludf.DUMMYFUNCTION("GOOGLETRANSLATE(B1980,""en"",""zh-CN"")"),"他又一次地回去，确保他没有错过任何景点，然后脱下割草机以关闭相机。")</f>
        <v>他又一次地回去，确保他没有错过任何景点，然后脱下割草机以关闭相机。</v>
      </c>
    </row>
    <row r="1981">
      <c r="A1981" s="4" t="s">
        <v>2493</v>
      </c>
      <c r="B1981" s="4" t="s">
        <v>2494</v>
      </c>
      <c r="C1981" s="5" t="str">
        <f>IFERROR(__xludf.DUMMYFUNCTION("GOOGLETRANSLATE(B1981,""en"",""zh-CN"")"),"在我们看到一棵圣诞树之前，雪花落在屏幕上。")</f>
        <v>在我们看到一棵圣诞树之前，雪花落在屏幕上。</v>
      </c>
    </row>
    <row r="1982">
      <c r="A1982" s="4" t="s">
        <v>2493</v>
      </c>
      <c r="B1982" s="4" t="s">
        <v>2495</v>
      </c>
      <c r="C1982" s="5" t="str">
        <f>IFERROR(__xludf.DUMMYFUNCTION("GOOGLETRANSLATE(B1982,""en"",""zh-CN"")"),"一个女人在开始准备和装饰树之前正在说话。")</f>
        <v>一个女人在开始准备和装饰树之前正在说话。</v>
      </c>
    </row>
    <row r="1983">
      <c r="A1983" s="4" t="s">
        <v>2493</v>
      </c>
      <c r="B1983" s="6" t="s">
        <v>2496</v>
      </c>
      <c r="C1983" s="5" t="str">
        <f>IFERROR(__xludf.DUMMYFUNCTION("GOOGLETRANSLATE(B1983,""en"",""zh-CN"")"),"她应用了大量的装饰品和灯光，并显示了几种不同的装饰状态。")</f>
        <v>她应用了大量的装饰品和灯光，并显示了几种不同的装饰状态。</v>
      </c>
    </row>
    <row r="1984">
      <c r="A1984" s="4" t="s">
        <v>2497</v>
      </c>
      <c r="B1984" s="4" t="s">
        <v>2498</v>
      </c>
      <c r="C1984" s="5" t="str">
        <f>IFERROR(__xludf.DUMMYFUNCTION("GOOGLETRANSLATE(B1984,""en"",""zh-CN"")"),"看到两个人站在健身房周围，互相击中小鸟。")</f>
        <v>看到两个人站在健身房周围，互相击中小鸟。</v>
      </c>
    </row>
    <row r="1985">
      <c r="A1985" s="4" t="s">
        <v>2497</v>
      </c>
      <c r="B1985" s="4" t="s">
        <v>2499</v>
      </c>
      <c r="C1985" s="5" t="str">
        <f>IFERROR(__xludf.DUMMYFUNCTION("GOOGLETRANSLATE(B1985,""en"",""zh-CN"")"),"这些人向后击中对象，而其他人则在侧面看。")</f>
        <v>这些人向后击中对象，而其他人则在侧面看。</v>
      </c>
    </row>
    <row r="1986">
      <c r="A1986" s="4" t="s">
        <v>2497</v>
      </c>
      <c r="B1986" s="4" t="s">
        <v>2500</v>
      </c>
      <c r="C1986" s="5" t="str">
        <f>IFERROR(__xludf.DUMMYFUNCTION("GOOGLETRANSLATE(B1986,""en"",""zh-CN"")"),"人们继续观看两场比赛，一边一边脱下衬衫。")</f>
        <v>人们继续观看两场比赛，一边一边脱下衬衫。</v>
      </c>
    </row>
    <row r="1987">
      <c r="A1987" s="4" t="s">
        <v>2501</v>
      </c>
      <c r="B1987" s="4" t="s">
        <v>2502</v>
      </c>
      <c r="C1987" s="5" t="str">
        <f>IFERROR(__xludf.DUMMYFUNCTION("GOOGLETRANSLATE(B1987,""en"",""zh-CN"")"),"一群人在院子里玩槌球比赛。")</f>
        <v>一群人在院子里玩槌球比赛。</v>
      </c>
    </row>
    <row r="1988">
      <c r="A1988" s="4" t="s">
        <v>2501</v>
      </c>
      <c r="B1988" s="4" t="s">
        <v>2503</v>
      </c>
      <c r="C1988" s="5" t="str">
        <f>IFERROR(__xludf.DUMMYFUNCTION("GOOGLETRANSLATE(B1988,""en"",""zh-CN"")"),"一位凯特（Kirt）的女人只看着她的比赛，她的手在背后。")</f>
        <v>一位凯特（Kirt）的女人只看着她的比赛，她的手在背后。</v>
      </c>
    </row>
    <row r="1989">
      <c r="A1989" s="4" t="s">
        <v>2501</v>
      </c>
      <c r="B1989" s="4" t="s">
        <v>2504</v>
      </c>
      <c r="C1989" s="5" t="str">
        <f>IFERROR(__xludf.DUMMYFUNCTION("GOOGLETRANSLATE(B1989,""en"",""zh-CN"")"),"另一个女人是唯一的女性，她轮到她了，然后回到了男人身上。")</f>
        <v>另一个女人是唯一的女性，她轮到她了，然后回到了男人身上。</v>
      </c>
    </row>
    <row r="1990">
      <c r="A1990" s="4" t="s">
        <v>2501</v>
      </c>
      <c r="B1990" s="4" t="s">
        <v>2505</v>
      </c>
      <c r="C1990" s="5" t="str">
        <f>IFERROR(__xludf.DUMMYFUNCTION("GOOGLETRANSLATE(B1990,""en"",""zh-CN"")"),"穿着凉鞋的男人击中了黑球，然后再次轮到女人了。")</f>
        <v>穿着凉鞋的男人击中了黑球，然后再次轮到女人了。</v>
      </c>
    </row>
    <row r="1991">
      <c r="A1991" s="4" t="s">
        <v>2506</v>
      </c>
      <c r="B1991" s="4" t="s">
        <v>2507</v>
      </c>
      <c r="C1991" s="5" t="str">
        <f>IFERROR(__xludf.DUMMYFUNCTION("GOOGLETRANSLATE(B1991,""en"",""zh-CN"")"),"一个男人走了起来，增加了体重。")</f>
        <v>一个男人走了起来，增加了体重。</v>
      </c>
    </row>
    <row r="1992">
      <c r="A1992" s="4" t="s">
        <v>2506</v>
      </c>
      <c r="B1992" s="4" t="s">
        <v>2508</v>
      </c>
      <c r="C1992" s="5" t="str">
        <f>IFERROR(__xludf.DUMMYFUNCTION("GOOGLETRANSLATE(B1992,""en"",""zh-CN"")"),"他将其抬到肩膀上，然后抬起头。")</f>
        <v>他将其抬到肩膀上，然后抬起头。</v>
      </c>
    </row>
    <row r="1993">
      <c r="A1993" s="4" t="s">
        <v>2506</v>
      </c>
      <c r="B1993" s="4" t="s">
        <v>2509</v>
      </c>
      <c r="C1993" s="5" t="str">
        <f>IFERROR(__xludf.DUMMYFUNCTION("GOOGLETRANSLATE(B1993,""en"",""zh-CN"")"),"一个人站起来，将拳头放在空中。")</f>
        <v>一个人站起来，将拳头放在空中。</v>
      </c>
    </row>
    <row r="1994">
      <c r="A1994" s="4" t="s">
        <v>2506</v>
      </c>
      <c r="B1994" s="4" t="s">
        <v>2510</v>
      </c>
      <c r="C1994" s="5" t="str">
        <f>IFERROR(__xludf.DUMMYFUNCTION("GOOGLETRANSLATE(B1994,""en"",""zh-CN"")"),"他旁边的另一个男人捡起一个重量，将其抬起头上。")</f>
        <v>他旁边的另一个男人捡起一个重量，将其抬起头上。</v>
      </c>
    </row>
    <row r="1995">
      <c r="A1995" s="4" t="s">
        <v>2506</v>
      </c>
      <c r="B1995" s="4" t="s">
        <v>2511</v>
      </c>
      <c r="C1995" s="5" t="str">
        <f>IFERROR(__xludf.DUMMYFUNCTION("GOOGLETRANSLATE(B1995,""en"",""zh-CN"")"),"男人在走开前握手。")</f>
        <v>男人在走开前握手。</v>
      </c>
    </row>
    <row r="1996">
      <c r="A1996" s="4" t="s">
        <v>2512</v>
      </c>
      <c r="B1996" s="4" t="s">
        <v>2513</v>
      </c>
      <c r="C1996" s="5" t="str">
        <f>IFERROR(__xludf.DUMMYFUNCTION("GOOGLETRANSLATE(B1996,""en"",""zh-CN"")"),"看到一个人站在沙坑里，开始旋转并扔掉物体。")</f>
        <v>看到一个人站在沙坑里，开始旋转并扔掉物体。</v>
      </c>
    </row>
    <row r="1997">
      <c r="A1997" s="4" t="s">
        <v>2512</v>
      </c>
      <c r="B1997" s="4" t="s">
        <v>2514</v>
      </c>
      <c r="C1997" s="5" t="str">
        <f>IFERROR(__xludf.DUMMYFUNCTION("GOOGLETRANSLATE(B1997,""en"",""zh-CN"")"),"该男子几次旋转并将物体扔到远处。")</f>
        <v>该男子几次旋转并将物体扔到远处。</v>
      </c>
    </row>
    <row r="1998">
      <c r="A1998" s="4" t="s">
        <v>2515</v>
      </c>
      <c r="B1998" s="4" t="s">
        <v>2516</v>
      </c>
      <c r="C1998" s="5" t="str">
        <f>IFERROR(__xludf.DUMMYFUNCTION("GOOGLETRANSLATE(B1998,""en"",""zh-CN"")"),"一家自行车公司正在炫耀自己的自行车以及如何修复它们。")</f>
        <v>一家自行车公司正在炫耀自己的自行车以及如何修复它们。</v>
      </c>
    </row>
    <row r="1999">
      <c r="A1999" s="4" t="s">
        <v>2515</v>
      </c>
      <c r="B1999" s="4" t="s">
        <v>2517</v>
      </c>
      <c r="C1999" s="5" t="str">
        <f>IFERROR(__xludf.DUMMYFUNCTION("GOOGLETRANSLATE(B1999,""en"",""zh-CN"")"),"自行车公司的徽标有一个介绍。")</f>
        <v>自行车公司的徽标有一个介绍。</v>
      </c>
    </row>
    <row r="2000">
      <c r="A2000" s="4" t="s">
        <v>2515</v>
      </c>
      <c r="B2000" s="4" t="s">
        <v>2518</v>
      </c>
      <c r="C2000" s="5" t="str">
        <f>IFERROR(__xludf.DUMMYFUNCTION("GOOGLETRANSLATE(B2000,""en"",""zh-CN"")"),"然后，一个人快速谈论自行车。")</f>
        <v>然后，一个人快速谈论自行车。</v>
      </c>
    </row>
    <row r="2001">
      <c r="A2001" s="4" t="s">
        <v>2515</v>
      </c>
      <c r="B2001" s="4" t="s">
        <v>2519</v>
      </c>
      <c r="C2001" s="5" t="str">
        <f>IFERROR(__xludf.DUMMYFUNCTION("GOOGLETRANSLATE(B2001,""en"",""zh-CN"")"),"然后有手套的人展示一些工具和粘贴。")</f>
        <v>然后有手套的人展示一些工具和粘贴。</v>
      </c>
    </row>
    <row r="2002">
      <c r="A2002" s="4" t="s">
        <v>2515</v>
      </c>
      <c r="B2002" s="4" t="s">
        <v>2520</v>
      </c>
      <c r="C2002" s="5" t="str">
        <f>IFERROR(__xludf.DUMMYFUNCTION("GOOGLETRANSLATE(B2002,""en"",""zh-CN"")"),"然后，他使用工具和粘贴来修理自行车的手柄。")</f>
        <v>然后，他使用工具和粘贴来修理自行车的手柄。</v>
      </c>
    </row>
    <row r="2003">
      <c r="A2003" s="4" t="s">
        <v>2515</v>
      </c>
      <c r="B2003" s="4" t="s">
        <v>2521</v>
      </c>
      <c r="C2003" s="5" t="str">
        <f>IFERROR(__xludf.DUMMYFUNCTION("GOOGLETRANSLATE(B2003,""en"",""zh-CN"")"),"然后，该人展示了完全可调的手柄的成品。")</f>
        <v>然后，该人展示了完全可调的手柄的成品。</v>
      </c>
    </row>
    <row r="2004">
      <c r="A2004" s="4" t="s">
        <v>2515</v>
      </c>
      <c r="B2004" s="4" t="s">
        <v>2522</v>
      </c>
      <c r="C2004" s="5" t="str">
        <f>IFERROR(__xludf.DUMMYFUNCTION("GOOGLETRANSLATE(B2004,""en"",""zh-CN"")"),"结尾屏幕再次显示了自行车公司的徽标。")</f>
        <v>结尾屏幕再次显示了自行车公司的徽标。</v>
      </c>
    </row>
    <row r="2005">
      <c r="A2005" s="4" t="s">
        <v>2523</v>
      </c>
      <c r="B2005" s="4" t="s">
        <v>2524</v>
      </c>
      <c r="C2005" s="5" t="str">
        <f>IFERROR(__xludf.DUMMYFUNCTION("GOOGLETRANSLATE(B2005,""en"",""zh-CN"")"),"一个穿着蓝色裤子的人会踩着穿着粉红色西装的家伙。")</f>
        <v>一个穿着蓝色裤子的人会踩着穿着粉红色西装的家伙。</v>
      </c>
    </row>
    <row r="2006">
      <c r="A2006" s="4" t="s">
        <v>2523</v>
      </c>
      <c r="B2006" s="4" t="s">
        <v>2525</v>
      </c>
      <c r="C2006" s="5" t="str">
        <f>IFERROR(__xludf.DUMMYFUNCTION("GOOGLETRANSLATE(B2006,""en"",""zh-CN"")"),"穿着粉红色西装的家伙报仇。")</f>
        <v>穿着粉红色西装的家伙报仇。</v>
      </c>
    </row>
    <row r="2007">
      <c r="A2007" s="4" t="s">
        <v>2526</v>
      </c>
      <c r="B2007" s="4" t="s">
        <v>2527</v>
      </c>
      <c r="C2007" s="5" t="str">
        <f>IFERROR(__xludf.DUMMYFUNCTION("GOOGLETRANSLATE(B2007,""en"",""zh-CN"")"),"看到一大批人沿着船上的水骑行。")</f>
        <v>看到一大批人沿着船上的水骑行。</v>
      </c>
    </row>
    <row r="2008">
      <c r="A2008" s="4" t="s">
        <v>2526</v>
      </c>
      <c r="B2008" s="4" t="s">
        <v>2528</v>
      </c>
      <c r="C2008" s="5" t="str">
        <f>IFERROR(__xludf.DUMMYFUNCTION("GOOGLETRANSLATE(B2008,""en"",""zh-CN"")"),"一个人坠入另一个人，显示一个人在相机上说话。")</f>
        <v>一个人坠入另一个人，显示一个人在相机上说话。</v>
      </c>
    </row>
    <row r="2009">
      <c r="A2009" s="4" t="s">
        <v>2526</v>
      </c>
      <c r="B2009" s="4" t="s">
        <v>2529</v>
      </c>
      <c r="C2009" s="5" t="str">
        <f>IFERROR(__xludf.DUMMYFUNCTION("GOOGLETRANSLATE(B2009,""en"",""zh-CN"")"),"显示了更多的船只，并显示了徽标。")</f>
        <v>显示了更多的船只，并显示了徽标。</v>
      </c>
    </row>
    <row r="2010">
      <c r="A2010" s="4" t="s">
        <v>2530</v>
      </c>
      <c r="B2010" s="6" t="s">
        <v>2531</v>
      </c>
      <c r="C2010" s="5" t="str">
        <f>IFERROR(__xludf.DUMMYFUNCTION("GOOGLETRANSLATE(B2010,""en"",""zh-CN"")"),"看到一大批人站在一条轨道上，通往路上的几个人。")</f>
        <v>看到一大批人站在一条轨道上，通往路上的几个人。</v>
      </c>
    </row>
    <row r="2011">
      <c r="A2011" s="4" t="s">
        <v>2530</v>
      </c>
      <c r="B2011" s="6" t="s">
        <v>2532</v>
      </c>
      <c r="C2011" s="5" t="str">
        <f>IFERROR(__xludf.DUMMYFUNCTION("GOOGLETRANSLATE(B2011,""en"",""zh-CN"")"),"看到一个女人在相机上说话，而几个人奔跑和饮用水。")</f>
        <v>看到一个女人在相机上说话，而几个人奔跑和饮用水。</v>
      </c>
    </row>
    <row r="2012">
      <c r="A2012" s="4" t="s">
        <v>2530</v>
      </c>
      <c r="B2012" s="4" t="s">
        <v>2533</v>
      </c>
      <c r="C2012" s="5" t="str">
        <f>IFERROR(__xludf.DUMMYFUNCTION("GOOGLETRANSLATE(B2012,""en"",""zh-CN"")"),"越来越多的人向相机说话，同时展示他们在不同的位置运行。")</f>
        <v>越来越多的人向相机说话，同时展示他们在不同的位置运行。</v>
      </c>
    </row>
    <row r="2013">
      <c r="A2013" s="4" t="s">
        <v>2534</v>
      </c>
      <c r="B2013" s="4" t="s">
        <v>2535</v>
      </c>
      <c r="C2013" s="5" t="str">
        <f>IFERROR(__xludf.DUMMYFUNCTION("GOOGLETRANSLATE(B2013,""en"",""zh-CN"")"),"有五位女士在室内洗牌板法庭上玩洗牌板。")</f>
        <v>有五位女士在室内洗牌板法庭上玩洗牌板。</v>
      </c>
    </row>
    <row r="2014">
      <c r="A2014" s="4" t="s">
        <v>2534</v>
      </c>
      <c r="B2014" s="6" t="s">
        <v>2536</v>
      </c>
      <c r="C2014" s="5" t="str">
        <f>IFERROR(__xludf.DUMMYFUNCTION("GOOGLETRANSLATE(B2014,""en"",""zh-CN"")"),"有三名穿着绿色的女人，两名穿着奶油色衬衫的女人互相对抗。")</f>
        <v>有三名穿着绿色的女人，两名穿着奶油色衬衫的女人互相对抗。</v>
      </c>
    </row>
    <row r="2015">
      <c r="A2015" s="4" t="s">
        <v>2534</v>
      </c>
      <c r="B2015" s="6" t="s">
        <v>2537</v>
      </c>
      <c r="C2015" s="5" t="str">
        <f>IFERROR(__xludf.DUMMYFUNCTION("GOOGLETRANSLATE(B2015,""en"",""zh-CN"")"),"绿色团队的一位女士开始瞄准棍子以击中冰球，而另一个团队成员则帮助她重新排列冰球。")</f>
        <v>绿色团队的一位女士开始瞄准棍子以击中冰球，而另一个团队成员则帮助她重新排列冰球。</v>
      </c>
    </row>
    <row r="2016">
      <c r="A2016" s="4" t="s">
        <v>2534</v>
      </c>
      <c r="B2016" s="4" t="s">
        <v>2538</v>
      </c>
      <c r="C2016" s="5" t="str">
        <f>IFERROR(__xludf.DUMMYFUNCTION("GOOGLETRANSLATE(B2016,""en"",""zh-CN"")"),"然后，她用棍子射击冰球，然后退后一步，给对手一个机会。")</f>
        <v>然后，她用棍子射击冰球，然后退后一步，给对手一个机会。</v>
      </c>
    </row>
    <row r="2017">
      <c r="A2017" s="4" t="s">
        <v>2534</v>
      </c>
      <c r="B2017" s="4" t="s">
        <v>2539</v>
      </c>
      <c r="C2017" s="5" t="str">
        <f>IFERROR(__xludf.DUMMYFUNCTION("GOOGLETRANSLATE(B2017,""en"",""zh-CN"")"),"然后，奶油队的球员用棍子击中了冰球，但不是很成功。")</f>
        <v>然后，奶油队的球员用棍子击中了冰球，但不是很成功。</v>
      </c>
    </row>
    <row r="2018">
      <c r="A2018" s="4" t="s">
        <v>2534</v>
      </c>
      <c r="B2018" s="4" t="s">
        <v>2540</v>
      </c>
      <c r="C2018" s="5" t="str">
        <f>IFERROR(__xludf.DUMMYFUNCTION("GOOGLETRANSLATE(B2018,""en"",""zh-CN"")"),"一个人介入并取代了沙芬板上的冰球。")</f>
        <v>一个人介入并取代了沙芬板上的冰球。</v>
      </c>
    </row>
    <row r="2019">
      <c r="A2019" s="4" t="s">
        <v>2534</v>
      </c>
      <c r="B2019" s="4" t="s">
        <v>2541</v>
      </c>
      <c r="C2019" s="5" t="str">
        <f>IFERROR(__xludf.DUMMYFUNCTION("GOOGLETRANSLATE(B2019,""en"",""zh-CN"")"),"然后，绿色团队的另一名球员挺身而出。")</f>
        <v>然后，绿色团队的另一名球员挺身而出。</v>
      </c>
    </row>
    <row r="2020">
      <c r="A2020" s="4" t="s">
        <v>2542</v>
      </c>
      <c r="B2020" s="4" t="s">
        <v>2543</v>
      </c>
      <c r="C2020" s="5" t="str">
        <f>IFERROR(__xludf.DUMMYFUNCTION("GOOGLETRANSLATE(B2020,""en"",""zh-CN"")"),"一个男人穿着围裙，站在他的厨房里。")</f>
        <v>一个男人穿着围裙，站在他的厨房里。</v>
      </c>
    </row>
    <row r="2021">
      <c r="A2021" s="4" t="s">
        <v>2542</v>
      </c>
      <c r="B2021" s="4" t="s">
        <v>2544</v>
      </c>
      <c r="C2021" s="5" t="str">
        <f>IFERROR(__xludf.DUMMYFUNCTION("GOOGLETRANSLATE(B2021,""en"",""zh-CN"")"),"显示了一些碗中的食品。")</f>
        <v>显示了一些碗中的食品。</v>
      </c>
    </row>
    <row r="2022">
      <c r="A2022" s="4" t="s">
        <v>2542</v>
      </c>
      <c r="B2022" s="4" t="s">
        <v>2545</v>
      </c>
      <c r="C2022" s="5" t="str">
        <f>IFERROR(__xludf.DUMMYFUNCTION("GOOGLETRANSLATE(B2022,""en"",""zh-CN"")"),"一个白碗充满了糖，鸡蛋和花生酱，然后混合。")</f>
        <v>一个白碗充满了糖，鸡蛋和花生酱，然后混合。</v>
      </c>
    </row>
    <row r="2023">
      <c r="A2023" s="4" t="s">
        <v>2542</v>
      </c>
      <c r="B2023" s="4" t="s">
        <v>2546</v>
      </c>
      <c r="C2023" s="5" t="str">
        <f>IFERROR(__xludf.DUMMYFUNCTION("GOOGLETRANSLATE(B2023,""en"",""zh-CN"")"),"他将饼干面团的球压在锅上，然后烘烤。")</f>
        <v>他将饼干面团的球压在锅上，然后烘烤。</v>
      </c>
    </row>
    <row r="2024">
      <c r="A2024" s="4" t="s">
        <v>2542</v>
      </c>
      <c r="B2024" s="4" t="s">
        <v>2547</v>
      </c>
      <c r="C2024" s="5" t="str">
        <f>IFERROR(__xludf.DUMMYFUNCTION("GOOGLETRANSLATE(B2024,""en"",""zh-CN"")"),"当他谈论它们时，他吃了一个相机的饼干。")</f>
        <v>当他谈论它们时，他吃了一个相机的饼干。</v>
      </c>
    </row>
    <row r="2025">
      <c r="A2025" s="4" t="s">
        <v>2548</v>
      </c>
      <c r="B2025" s="4" t="s">
        <v>2549</v>
      </c>
      <c r="C2025" s="5" t="str">
        <f>IFERROR(__xludf.DUMMYFUNCTION("GOOGLETRANSLATE(B2025,""en"",""zh-CN"")"),"一个金色短头发的女人坐在椅子上说话。")</f>
        <v>一个金色短头发的女人坐在椅子上说话。</v>
      </c>
    </row>
    <row r="2026">
      <c r="A2026" s="4" t="s">
        <v>2548</v>
      </c>
      <c r="B2026" s="4" t="s">
        <v>2550</v>
      </c>
      <c r="C2026" s="5" t="str">
        <f>IFERROR(__xludf.DUMMYFUNCTION("GOOGLETRANSLATE(B2026,""en"",""zh-CN"")"),"她握住头发卷发器，然后把它放在头发上。")</f>
        <v>她握住头发卷发器，然后把它放在头发上。</v>
      </c>
    </row>
    <row r="2027">
      <c r="A2027" s="4" t="s">
        <v>2548</v>
      </c>
      <c r="B2027" s="4" t="s">
        <v>2551</v>
      </c>
      <c r="C2027" s="5" t="str">
        <f>IFERROR(__xludf.DUMMYFUNCTION("GOOGLETRANSLATE(B2027,""en"",""zh-CN"")"),"她把它拿出来，继续说话。")</f>
        <v>她把它拿出来，继续说话。</v>
      </c>
    </row>
    <row r="2028">
      <c r="A2028" s="4" t="s">
        <v>2552</v>
      </c>
      <c r="B2028" s="4" t="s">
        <v>2553</v>
      </c>
      <c r="C2028" s="5" t="str">
        <f>IFERROR(__xludf.DUMMYFUNCTION("GOOGLETRANSLATE(B2028,""en"",""zh-CN"")"),"看到一个男人的近距离拿着咖啡杯，并导致他sip饮。")</f>
        <v>看到一个男人的近距离拿着咖啡杯，并导致他sip饮。</v>
      </c>
    </row>
    <row r="2029">
      <c r="A2029" s="4" t="s">
        <v>2552</v>
      </c>
      <c r="B2029" s="6" t="s">
        <v>2554</v>
      </c>
      <c r="C2029" s="5" t="str">
        <f>IFERROR(__xludf.DUMMYFUNCTION("GOOGLETRANSLATE(B2029,""en"",""zh-CN"")"),"他点头以批准咖啡，并再次显示出一个人旁边的更多咖啡。")</f>
        <v>他点头以批准咖啡，并再次显示出一个人旁边的更多咖啡。</v>
      </c>
    </row>
    <row r="2030">
      <c r="A2030" s="4" t="s">
        <v>2555</v>
      </c>
      <c r="B2030" s="6" t="s">
        <v>2556</v>
      </c>
      <c r="C2030" s="5" t="str">
        <f>IFERROR(__xludf.DUMMYFUNCTION("GOOGLETRANSLATE(B2030,""en"",""zh-CN"")"),"两名男子在蓝色的水上航行，他们的白船上挂着白旗，然后避免了水上的浮标。")</f>
        <v>两名男子在蓝色的水上航行，他们的白船上挂着白旗，然后避免了水上的浮标。</v>
      </c>
    </row>
    <row r="2031">
      <c r="A2031" s="4" t="s">
        <v>2555</v>
      </c>
      <c r="B2031" s="6" t="s">
        <v>2557</v>
      </c>
      <c r="C2031" s="5" t="str">
        <f>IFERROR(__xludf.DUMMYFUNCTION("GOOGLETRANSLATE(B2031,""en"",""zh-CN"")"),"一条计划写在白皮书上的黑皮笔，然后在白船在水上航行并转身时采取行动。")</f>
        <v>一条计划写在白皮书上的黑皮笔，然后在白船在水上航行并转身时采取行动。</v>
      </c>
    </row>
    <row r="2032">
      <c r="A2032" s="4" t="s">
        <v>2558</v>
      </c>
      <c r="B2032" s="6" t="s">
        <v>2559</v>
      </c>
      <c r="C2032" s="5" t="str">
        <f>IFERROR(__xludf.DUMMYFUNCTION("GOOGLETRANSLATE(B2032,""en"",""zh-CN"")"),"一个男人和一个男孩绕着木头的木头散步，戴着咸帽子，而人群则围成一圈。")</f>
        <v>一个男人和一个男孩绕着木头的木头散步，戴着咸帽子，而人群则围成一圈。</v>
      </c>
    </row>
    <row r="2033">
      <c r="A2033" s="4" t="s">
        <v>2558</v>
      </c>
      <c r="B2033" s="4" t="s">
        <v>2560</v>
      </c>
      <c r="C2033" s="5" t="str">
        <f>IFERROR(__xludf.DUMMYFUNCTION("GOOGLETRANSLATE(B2033,""en"",""zh-CN"")"),"然后，这个人站着与人交谈。")</f>
        <v>然后，这个人站着与人交谈。</v>
      </c>
    </row>
    <row r="2034">
      <c r="A2034" s="4" t="s">
        <v>2558</v>
      </c>
      <c r="B2034" s="4" t="s">
        <v>2561</v>
      </c>
      <c r="C2034" s="5" t="str">
        <f>IFERROR(__xludf.DUMMYFUNCTION("GOOGLETRANSLATE(B2034,""en"",""zh-CN"")"),"突然，火和烟雾从木火中散发出来。")</f>
        <v>突然，火和烟雾从木火中散发出来。</v>
      </c>
    </row>
    <row r="2035">
      <c r="A2035" s="4" t="s">
        <v>2562</v>
      </c>
      <c r="B2035" s="4" t="s">
        <v>2563</v>
      </c>
      <c r="C2035" s="5" t="str">
        <f>IFERROR(__xludf.DUMMYFUNCTION("GOOGLETRANSLATE(B2035,""en"",""zh-CN"")"),"在一个派对上玩不同游戏并玩得开心的聚会上有几个人。")</f>
        <v>在一个派对上玩不同游戏并玩得开心的聚会上有几个人。</v>
      </c>
    </row>
    <row r="2036">
      <c r="A2036" s="4" t="s">
        <v>2562</v>
      </c>
      <c r="B2036" s="4" t="s">
        <v>2564</v>
      </c>
      <c r="C2036" s="5" t="str">
        <f>IFERROR(__xludf.DUMMYFUNCTION("GOOGLETRANSLATE(B2036,""en"",""zh-CN"")"),"一个男人在玩其中一场比赛时开始与其中一位女性交谈。")</f>
        <v>一个男人在玩其中一场比赛时开始与其中一位女性交谈。</v>
      </c>
    </row>
    <row r="2037">
      <c r="A2037" s="4" t="s">
        <v>2562</v>
      </c>
      <c r="B2037" s="4" t="s">
        <v>2565</v>
      </c>
      <c r="C2037" s="5" t="str">
        <f>IFERROR(__xludf.DUMMYFUNCTION("GOOGLETRANSLATE(B2037,""en"",""zh-CN"")"),"当几个女人笑着开玩笑时，游戏开始变得越来越热。")</f>
        <v>当几个女人笑着开玩笑时，游戏开始变得越来越热。</v>
      </c>
    </row>
    <row r="2038">
      <c r="A2038" s="4" t="s">
        <v>2562</v>
      </c>
      <c r="B2038" s="4" t="s">
        <v>2566</v>
      </c>
      <c r="C2038" s="5" t="str">
        <f>IFERROR(__xludf.DUMMYFUNCTION("GOOGLETRANSLATE(B2038,""en"",""zh-CN"")"),"其中一位女性拍摄了玩游戏的笑女人的照片。")</f>
        <v>其中一位女性拍摄了玩游戏的笑女人的照片。</v>
      </c>
    </row>
    <row r="2039">
      <c r="A2039" s="4" t="s">
        <v>2562</v>
      </c>
      <c r="B2039" s="4" t="s">
        <v>2567</v>
      </c>
      <c r="C2039" s="5" t="str">
        <f>IFERROR(__xludf.DUMMYFUNCTION("GOOGLETRANSLATE(B2039,""en"",""zh-CN"")"),"男人帮助女性试图抓住玩游戏。")</f>
        <v>男人帮助女性试图抓住玩游戏。</v>
      </c>
    </row>
    <row r="2040">
      <c r="A2040" s="4" t="s">
        <v>2568</v>
      </c>
      <c r="B2040" s="4" t="s">
        <v>1487</v>
      </c>
      <c r="C2040" s="5" t="str">
        <f>IFERROR(__xludf.DUMMYFUNCTION("GOOGLETRANSLATE(B2040,""en"",""zh-CN"")"),"我们看到一个开放标题屏幕。")</f>
        <v>我们看到一个开放标题屏幕。</v>
      </c>
    </row>
    <row r="2041">
      <c r="A2041" s="4" t="s">
        <v>2568</v>
      </c>
      <c r="B2041" s="4" t="s">
        <v>2569</v>
      </c>
      <c r="C2041" s="5" t="str">
        <f>IFERROR(__xludf.DUMMYFUNCTION("GOOGLETRANSLATE(B2041,""en"",""zh-CN"")"),"我们在理发店里看到一个男人，并看到商店的图像。")</f>
        <v>我们在理发店里看到一个男人，并看到商店的图像。</v>
      </c>
    </row>
    <row r="2042">
      <c r="A2042" s="4" t="s">
        <v>2568</v>
      </c>
      <c r="B2042" s="4" t="s">
        <v>2570</v>
      </c>
      <c r="C2042" s="5" t="str">
        <f>IFERROR(__xludf.DUMMYFUNCTION("GOOGLETRANSLATE(B2042,""en"",""zh-CN"")"),"理发师讲的是一家理发店的场景。")</f>
        <v>理发师讲的是一家理发店的场景。</v>
      </c>
    </row>
    <row r="2043">
      <c r="A2043" s="4" t="s">
        <v>2568</v>
      </c>
      <c r="B2043" s="4" t="s">
        <v>2571</v>
      </c>
      <c r="C2043" s="5" t="str">
        <f>IFERROR(__xludf.DUMMYFUNCTION("GOOGLETRANSLATE(B2043,""en"",""zh-CN"")"),"我们在椅子的手臂上看到联合杰克旗。")</f>
        <v>我们在椅子的手臂上看到联合杰克旗。</v>
      </c>
    </row>
    <row r="2044">
      <c r="A2044" s="4" t="s">
        <v>2568</v>
      </c>
      <c r="B2044" s="4" t="s">
        <v>2572</v>
      </c>
      <c r="C2044" s="5" t="str">
        <f>IFERROR(__xludf.DUMMYFUNCTION("GOOGLETRANSLATE(B2044,""en"",""zh-CN"")"),"一条大狗走过房间。")</f>
        <v>一条大狗走过房间。</v>
      </c>
    </row>
    <row r="2045">
      <c r="A2045" s="4" t="s">
        <v>2568</v>
      </c>
      <c r="B2045" s="4" t="s">
        <v>2573</v>
      </c>
      <c r="C2045" s="5" t="str">
        <f>IFERROR(__xludf.DUMMYFUNCTION("GOOGLETRANSLATE(B2045,""en"",""zh-CN"")"),"我们看到那个人用直剃刀剃光一个男人。")</f>
        <v>我们看到那个人用直剃刀剃光一个男人。</v>
      </c>
    </row>
    <row r="2046">
      <c r="A2046" s="4" t="s">
        <v>2568</v>
      </c>
      <c r="B2046" s="4" t="s">
        <v>777</v>
      </c>
      <c r="C2046" s="5" t="str">
        <f>IFERROR(__xludf.DUMMYFUNCTION("GOOGLETRANSLATE(B2046,""en"",""zh-CN"")"),"我们看到结尾标题屏幕。")</f>
        <v>我们看到结尾标题屏幕。</v>
      </c>
    </row>
    <row r="2047">
      <c r="A2047" s="4" t="s">
        <v>2574</v>
      </c>
      <c r="B2047" s="4" t="s">
        <v>2575</v>
      </c>
      <c r="C2047" s="5" t="str">
        <f>IFERROR(__xludf.DUMMYFUNCTION("GOOGLETRANSLATE(B2047,""en"",""zh-CN"")"),"一个男人坐在画布前。")</f>
        <v>一个男人坐在画布前。</v>
      </c>
    </row>
    <row r="2048">
      <c r="A2048" s="4" t="s">
        <v>2574</v>
      </c>
      <c r="B2048" s="4" t="s">
        <v>2576</v>
      </c>
      <c r="C2048" s="5" t="str">
        <f>IFERROR(__xludf.DUMMYFUNCTION("GOOGLETRANSLATE(B2048,""en"",""zh-CN"")"),"他正在使用调色板来绘制一个渐变场景。")</f>
        <v>他正在使用调色板来绘制一个渐变场景。</v>
      </c>
    </row>
    <row r="2049">
      <c r="A2049" s="4" t="s">
        <v>2574</v>
      </c>
      <c r="B2049" s="4" t="s">
        <v>2577</v>
      </c>
      <c r="C2049" s="5" t="str">
        <f>IFERROR(__xludf.DUMMYFUNCTION("GOOGLETRANSLATE(B2049,""en"",""zh-CN"")"),"然后，他将渐变覆盖在山上一棵树的轮廓上。")</f>
        <v>然后，他将渐变覆盖在山上一棵树的轮廓上。</v>
      </c>
    </row>
    <row r="2050">
      <c r="A2050" s="4" t="s">
        <v>2578</v>
      </c>
      <c r="B2050" s="4" t="s">
        <v>2579</v>
      </c>
      <c r="C2050" s="5" t="str">
        <f>IFERROR(__xludf.DUMMYFUNCTION("GOOGLETRANSLATE(B2050,""en"",""zh-CN"")"),"可见黑屏，白色单词开始出现。")</f>
        <v>可见黑屏，白色单词开始出现。</v>
      </c>
    </row>
    <row r="2051">
      <c r="A2051" s="4" t="s">
        <v>2578</v>
      </c>
      <c r="B2051" s="4" t="s">
        <v>2580</v>
      </c>
      <c r="C2051" s="5" t="str">
        <f>IFERROR(__xludf.DUMMYFUNCTION("GOOGLETRANSLATE(B2051,""en"",""zh-CN"")"),"接下来，有一条十个男孩站在一个大草丛中的绳索后面。")</f>
        <v>接下来，有一条十个男孩站在一个大草丛中的绳索后面。</v>
      </c>
    </row>
    <row r="2052">
      <c r="A2052" s="4" t="s">
        <v>2578</v>
      </c>
      <c r="B2052" s="4" t="s">
        <v>2581</v>
      </c>
      <c r="C2052" s="5" t="str">
        <f>IFERROR(__xludf.DUMMYFUNCTION("GOOGLETRANSLATE(B2052,""en"",""zh-CN"")"),"男孩们形成一个圆圈，开始以休息室的姿势向左倾斜。")</f>
        <v>男孩们形成一个圆圈，开始以休息室的姿势向左倾斜。</v>
      </c>
    </row>
    <row r="2053">
      <c r="A2053" s="4" t="s">
        <v>2578</v>
      </c>
      <c r="B2053" s="6" t="s">
        <v>2582</v>
      </c>
      <c r="C2053" s="5" t="str">
        <f>IFERROR(__xludf.DUMMYFUNCTION("GOOGLETRANSLATE(B2053,""en"",""zh-CN"")"),"当他们完成后，他们开始拉动战争，左侧的男人以黑色西装获胜。")</f>
        <v>当他们完成后，他们开始拉动战争，左侧的男人以黑色西装获胜。</v>
      </c>
    </row>
    <row r="2054">
      <c r="A2054" s="4" t="s">
        <v>2578</v>
      </c>
      <c r="B2054" s="4" t="s">
        <v>2583</v>
      </c>
      <c r="C2054" s="5" t="str">
        <f>IFERROR(__xludf.DUMMYFUNCTION("GOOGLETRANSLATE(B2054,""en"",""zh-CN"")"),"展示了另一组男孩，他们开始蹲下以赢得比赛。")</f>
        <v>展示了另一组男孩，他们开始蹲下以赢得比赛。</v>
      </c>
    </row>
    <row r="2055">
      <c r="A2055" s="4" t="s">
        <v>2584</v>
      </c>
      <c r="B2055" s="4" t="s">
        <v>2585</v>
      </c>
      <c r="C2055" s="5" t="str">
        <f>IFERROR(__xludf.DUMMYFUNCTION("GOOGLETRANSLATE(B2055,""en"",""zh-CN"")"),"我们看到一位领导有氧运动课的讲师。")</f>
        <v>我们看到一位领导有氧运动课的讲师。</v>
      </c>
    </row>
    <row r="2056">
      <c r="A2056" s="4" t="s">
        <v>2584</v>
      </c>
      <c r="B2056" s="4" t="s">
        <v>2586</v>
      </c>
      <c r="C2056" s="5" t="str">
        <f>IFERROR(__xludf.DUMMYFUNCTION("GOOGLETRANSLATE(B2056,""en"",""zh-CN"")"),"人们做弹出的腰舞。")</f>
        <v>人们做弹出的腰舞。</v>
      </c>
    </row>
    <row r="2057">
      <c r="A2057" s="4" t="s">
        <v>2584</v>
      </c>
      <c r="B2057" s="4" t="s">
        <v>2587</v>
      </c>
      <c r="C2057" s="5" t="str">
        <f>IFERROR(__xludf.DUMMYFUNCTION("GOOGLETRANSLATE(B2057,""en"",""zh-CN"")"),"人们来回走。")</f>
        <v>人们来回走。</v>
      </c>
    </row>
    <row r="2058">
      <c r="A2058" s="4" t="s">
        <v>2584</v>
      </c>
      <c r="B2058" s="4" t="s">
        <v>2588</v>
      </c>
      <c r="C2058" s="5" t="str">
        <f>IFERROR(__xludf.DUMMYFUNCTION("GOOGLETRANSLATE(B2058,""en"",""zh-CN"")"),"一个男人走过门。")</f>
        <v>一个男人走过门。</v>
      </c>
    </row>
    <row r="2059">
      <c r="A2059" s="4" t="s">
        <v>2584</v>
      </c>
      <c r="B2059" s="4" t="s">
        <v>2589</v>
      </c>
      <c r="C2059" s="5" t="str">
        <f>IFERROR(__xludf.DUMMYFUNCTION("GOOGLETRANSLATE(B2059,""en"",""zh-CN"")"),"一个蓝色的男人进入房间。")</f>
        <v>一个蓝色的男人进入房间。</v>
      </c>
    </row>
    <row r="2060">
      <c r="A2060" s="4" t="s">
        <v>2584</v>
      </c>
      <c r="B2060" s="4" t="s">
        <v>2590</v>
      </c>
      <c r="C2060" s="5" t="str">
        <f>IFERROR(__xludf.DUMMYFUNCTION("GOOGLETRANSLATE(B2060,""en"",""zh-CN"")"),"人们抬高双腿。")</f>
        <v>人们抬高双腿。</v>
      </c>
    </row>
    <row r="2061">
      <c r="A2061" s="4" t="s">
        <v>2584</v>
      </c>
      <c r="B2061" s="4" t="s">
        <v>2591</v>
      </c>
      <c r="C2061" s="5" t="str">
        <f>IFERROR(__xludf.DUMMYFUNCTION("GOOGLETRANSLATE(B2061,""en"",""zh-CN"")"),"讲师完成并来回走动。")</f>
        <v>讲师完成并来回走动。</v>
      </c>
    </row>
    <row r="2062">
      <c r="A2062" s="4" t="s">
        <v>2592</v>
      </c>
      <c r="B2062" s="4" t="s">
        <v>2593</v>
      </c>
      <c r="C2062" s="5" t="str">
        <f>IFERROR(__xludf.DUMMYFUNCTION("GOOGLETRANSLATE(B2062,""en"",""zh-CN"")"),"房子里有三个年轻人。")</f>
        <v>房子里有三个年轻人。</v>
      </c>
    </row>
    <row r="2063">
      <c r="A2063" s="4" t="s">
        <v>2592</v>
      </c>
      <c r="B2063" s="4" t="s">
        <v>2594</v>
      </c>
      <c r="C2063" s="5" t="str">
        <f>IFERROR(__xludf.DUMMYFUNCTION("GOOGLETRANSLATE(B2063,""en"",""zh-CN"")"),"男人坐在客厅的沙发上，吃一包Doritos。")</f>
        <v>男人坐在客厅的沙发上，吃一包Doritos。</v>
      </c>
    </row>
    <row r="2064">
      <c r="A2064" s="4" t="s">
        <v>2592</v>
      </c>
      <c r="B2064" s="4" t="s">
        <v>2595</v>
      </c>
      <c r="C2064" s="5" t="str">
        <f>IFERROR(__xludf.DUMMYFUNCTION("GOOGLETRANSLATE(B2064,""en"",""zh-CN"")"),"还有另外两个男人在他吃饭时盯着他。")</f>
        <v>还有另外两个男人在他吃饭时盯着他。</v>
      </c>
    </row>
    <row r="2065">
      <c r="A2065" s="4" t="s">
        <v>2592</v>
      </c>
      <c r="B2065" s="4" t="s">
        <v>2596</v>
      </c>
      <c r="C2065" s="5" t="str">
        <f>IFERROR(__xludf.DUMMYFUNCTION("GOOGLETRANSLATE(B2065,""en"",""zh-CN"")"),"其中一个人站起来洗手。")</f>
        <v>其中一个人站起来洗手。</v>
      </c>
    </row>
    <row r="2066">
      <c r="A2066" s="4" t="s">
        <v>2592</v>
      </c>
      <c r="B2066" s="4" t="s">
        <v>2597</v>
      </c>
      <c r="C2066" s="5" t="str">
        <f>IFERROR(__xludf.DUMMYFUNCTION("GOOGLETRANSLATE(B2066,""en"",""zh-CN"")"),"然后，他打开了一罐可乐并从中饮料。")</f>
        <v>然后，他打开了一罐可乐并从中饮料。</v>
      </c>
    </row>
    <row r="2067">
      <c r="A2067" s="4" t="s">
        <v>2592</v>
      </c>
      <c r="B2067" s="4" t="s">
        <v>2598</v>
      </c>
      <c r="C2067" s="5" t="str">
        <f>IFERROR(__xludf.DUMMYFUNCTION("GOOGLETRANSLATE(B2067,""en"",""zh-CN"")"),"然后，他开始切番茄和生菜做三明治。")</f>
        <v>然后，他开始切番茄和生菜做三明治。</v>
      </c>
    </row>
    <row r="2068">
      <c r="A2068" s="4" t="s">
        <v>2592</v>
      </c>
      <c r="B2068" s="4" t="s">
        <v>2599</v>
      </c>
      <c r="C2068" s="5" t="str">
        <f>IFERROR(__xludf.DUMMYFUNCTION("GOOGLETRANSLATE(B2068,""en"",""zh-CN"")"),"他切一些火腿，并在烤面包机上做两个烤面包。")</f>
        <v>他切一些火腿，并在烤面包机上做两个烤面包。</v>
      </c>
    </row>
    <row r="2069">
      <c r="A2069" s="4" t="s">
        <v>2592</v>
      </c>
      <c r="B2069" s="4" t="s">
        <v>2600</v>
      </c>
      <c r="C2069" s="5" t="str">
        <f>IFERROR(__xludf.DUMMYFUNCTION("GOOGLETRANSLATE(B2069,""en"",""zh-CN"")"),"然后，他将蛋黄酱放在面包上，然后用肉，生菜和番茄上面。")</f>
        <v>然后，他将蛋黄酱放在面包上，然后用肉，生菜和番茄上面。</v>
      </c>
    </row>
    <row r="2070">
      <c r="A2070" s="4" t="s">
        <v>2592</v>
      </c>
      <c r="B2070" s="4" t="s">
        <v>2601</v>
      </c>
      <c r="C2070" s="5" t="str">
        <f>IFERROR(__xludf.DUMMYFUNCTION("GOOGLETRANSLATE(B2070,""en"",""zh-CN"")"),"他将三明治切成两半，然后将其放在盘子上。")</f>
        <v>他将三明治切成两半，然后将其放在盘子上。</v>
      </c>
    </row>
    <row r="2071">
      <c r="A2071" s="4" t="s">
        <v>2592</v>
      </c>
      <c r="B2071" s="4" t="s">
        <v>2602</v>
      </c>
      <c r="C2071" s="5" t="str">
        <f>IFERROR(__xludf.DUMMYFUNCTION("GOOGLETRANSLATE(B2071,""en"",""zh-CN"")"),"然后，他向坐在沙发上的男人提供三明治盘子，吃了doritos。")</f>
        <v>然后，他向坐在沙发上的男人提供三明治盘子，吃了doritos。</v>
      </c>
    </row>
    <row r="2072">
      <c r="A2072" s="4" t="s">
        <v>2592</v>
      </c>
      <c r="B2072" s="6" t="s">
        <v>2603</v>
      </c>
      <c r="C2072" s="5" t="str">
        <f>IFERROR(__xludf.DUMMYFUNCTION("GOOGLETRANSLATE(B2072,""en"",""zh-CN"")"),"该男子拿起盘子，咬一口三明治，另一个人站在他旁边看着。")</f>
        <v>该男子拿起盘子，咬一口三明治，另一个人站在他旁边看着。</v>
      </c>
    </row>
    <row r="2073">
      <c r="A2073" s="4" t="s">
        <v>2604</v>
      </c>
      <c r="B2073" s="4" t="s">
        <v>2605</v>
      </c>
      <c r="C2073" s="5" t="str">
        <f>IFERROR(__xludf.DUMMYFUNCTION("GOOGLETRANSLATE(B2073,""en"",""zh-CN"")"),"一个人从壁橱里检索乐器。")</f>
        <v>一个人从壁橱里检索乐器。</v>
      </c>
    </row>
    <row r="2074">
      <c r="A2074" s="4" t="s">
        <v>2604</v>
      </c>
      <c r="B2074" s="4" t="s">
        <v>2606</v>
      </c>
      <c r="C2074" s="5" t="str">
        <f>IFERROR(__xludf.DUMMYFUNCTION("GOOGLETRANSLATE(B2074,""en"",""zh-CN"")"),"该男子手里检查了乐器。")</f>
        <v>该男子手里检查了乐器。</v>
      </c>
    </row>
    <row r="2075">
      <c r="A2075" s="4" t="s">
        <v>2604</v>
      </c>
      <c r="B2075" s="4" t="s">
        <v>2607</v>
      </c>
      <c r="C2075" s="5" t="str">
        <f>IFERROR(__xludf.DUMMYFUNCTION("GOOGLETRANSLATE(B2075,""en"",""zh-CN"")"),"该人将小提琴伸向下巴，准备好了。")</f>
        <v>该人将小提琴伸向下巴，准备好了。</v>
      </c>
    </row>
    <row r="2076">
      <c r="A2076" s="4" t="s">
        <v>2604</v>
      </c>
      <c r="B2076" s="4" t="s">
        <v>2608</v>
      </c>
      <c r="C2076" s="5" t="str">
        <f>IFERROR(__xludf.DUMMYFUNCTION("GOOGLETRANSLATE(B2076,""en"",""zh-CN"")"),"该人在小提琴上播放一首歌。")</f>
        <v>该人在小提琴上播放一首歌。</v>
      </c>
    </row>
    <row r="2077">
      <c r="A2077" s="4" t="s">
        <v>2604</v>
      </c>
      <c r="B2077" s="4" t="s">
        <v>2609</v>
      </c>
      <c r="C2077" s="5" t="str">
        <f>IFERROR(__xludf.DUMMYFUNCTION("GOOGLETRANSLATE(B2077,""en"",""zh-CN"")"),"该男子完成歌曲并降低乐器。")</f>
        <v>该男子完成歌曲并降低乐器。</v>
      </c>
    </row>
    <row r="2078">
      <c r="A2078" s="4" t="s">
        <v>2610</v>
      </c>
      <c r="B2078" s="4" t="s">
        <v>2611</v>
      </c>
      <c r="C2078" s="5" t="str">
        <f>IFERROR(__xludf.DUMMYFUNCTION("GOOGLETRANSLATE(B2078,""en"",""zh-CN"")"),"两个小女孩带一个行李箱打包，然后去纽约市旅行。")</f>
        <v>两个小女孩带一个行李箱打包，然后去纽约市旅行。</v>
      </c>
    </row>
    <row r="2079">
      <c r="A2079" s="4" t="s">
        <v>2610</v>
      </c>
      <c r="B2079" s="4" t="s">
        <v>2612</v>
      </c>
      <c r="C2079" s="5" t="str">
        <f>IFERROR(__xludf.DUMMYFUNCTION("GOOGLETRANSLATE(B2079,""en"",""zh-CN"")"),"两个小女孩站在一个穿着服装的房间里，后来变成了芭蕾舞演员的服装。")</f>
        <v>两个小女孩站在一个穿着服装的房间里，后来变成了芭蕾舞演员的服装。</v>
      </c>
    </row>
    <row r="2080">
      <c r="A2080" s="4" t="s">
        <v>2610</v>
      </c>
      <c r="B2080" s="4" t="s">
        <v>2613</v>
      </c>
      <c r="C2080" s="5" t="str">
        <f>IFERROR(__xludf.DUMMYFUNCTION("GOOGLETRANSLATE(B2080,""en"",""zh-CN"")"),"两个女孩在唱歌或唱歌时开始跳舞。")</f>
        <v>两个女孩在唱歌或唱歌时开始跳舞。</v>
      </c>
    </row>
    <row r="2081">
      <c r="A2081" s="4" t="s">
        <v>2610</v>
      </c>
      <c r="B2081" s="6" t="s">
        <v>2614</v>
      </c>
      <c r="C2081" s="5" t="str">
        <f>IFERROR(__xludf.DUMMYFUNCTION("GOOGLETRANSLATE(B2081,""en"",""zh-CN"")"),"夹子淡入两个女孩在房子里的卧室的手提箱里折叠和包装衣服，女孩在粉红色的手提箱里包装芭蕾舞短裙，然后在纽约街头的马车上切到他们身上，说话并指向地标。")</f>
        <v>夹子淡入两个女孩在房子里的卧室的手提箱里折叠和包装衣服，女孩在粉红色的手提箱里包装芭蕾舞短裙，然后在纽约街头的马车上切到他们身上，说话并指向地标。</v>
      </c>
    </row>
    <row r="2082">
      <c r="A2082" s="4" t="s">
        <v>2610</v>
      </c>
      <c r="B2082" s="6" t="s">
        <v>2615</v>
      </c>
      <c r="C2082" s="5" t="str">
        <f>IFERROR(__xludf.DUMMYFUNCTION("GOOGLETRANSLATE(B2082,""en"",""zh-CN"")"),"这次旅行结束了，两个女孩撞上了一座建筑物，然后在逃跑之前在水上喷泉的边缘一起唱歌。")</f>
        <v>这次旅行结束了，两个女孩撞上了一座建筑物，然后在逃跑之前在水上喷泉的边缘一起唱歌。</v>
      </c>
    </row>
    <row r="2083">
      <c r="A2083" s="4" t="s">
        <v>2616</v>
      </c>
      <c r="B2083" s="4" t="s">
        <v>2617</v>
      </c>
      <c r="C2083" s="5" t="str">
        <f>IFERROR(__xludf.DUMMYFUNCTION("GOOGLETRANSLATE(B2083,""en"",""zh-CN"")"),"当相机跟随他的动作时，看到一个男人骑在滑板上。")</f>
        <v>当相机跟随他的动作时，看到一个男人骑在滑板上。</v>
      </c>
    </row>
    <row r="2084">
      <c r="A2084" s="4" t="s">
        <v>2616</v>
      </c>
      <c r="B2084" s="4" t="s">
        <v>2618</v>
      </c>
      <c r="C2084" s="5" t="str">
        <f>IFERROR(__xludf.DUMMYFUNCTION("GOOGLETRANSLATE(B2084,""en"",""zh-CN"")"),"该男子穿过障碍物和街道上的街道上滑冰。")</f>
        <v>该男子穿过障碍物和街道上的街道上滑冰。</v>
      </c>
    </row>
    <row r="2085">
      <c r="A2085" s="4" t="s">
        <v>2616</v>
      </c>
      <c r="B2085" s="4" t="s">
        <v>2619</v>
      </c>
      <c r="C2085" s="5" t="str">
        <f>IFERROR(__xludf.DUMMYFUNCTION("GOOGLETRANSLATE(B2085,""en"",""zh-CN"")"),"当相机跟随他们时，越来越多的人继续骑在街上。")</f>
        <v>当相机跟随他们时，越来越多的人继续骑在街上。</v>
      </c>
    </row>
    <row r="2086">
      <c r="A2086" s="4" t="s">
        <v>2620</v>
      </c>
      <c r="B2086" s="4" t="s">
        <v>2621</v>
      </c>
      <c r="C2086" s="5" t="str">
        <f>IFERROR(__xludf.DUMMYFUNCTION("GOOGLETRANSLATE(B2086,""en"",""zh-CN"")"),"看到一名肚皮舞者在舞台上移动自己，并在许多人观看时表演了例行活动。")</f>
        <v>看到一名肚皮舞者在舞台上移动自己，并在许多人观看时表演了例行活动。</v>
      </c>
    </row>
    <row r="2087">
      <c r="A2087" s="4" t="s">
        <v>2620</v>
      </c>
      <c r="B2087" s="4" t="s">
        <v>2622</v>
      </c>
      <c r="C2087" s="5" t="str">
        <f>IFERROR(__xludf.DUMMYFUNCTION("GOOGLETRANSLATE(B2087,""en"",""zh-CN"")"),"她继续例行程序，结束时通过摇动头发，向后弯曲。")</f>
        <v>她继续例行程序，结束时通过摇动头发，向后弯曲。</v>
      </c>
    </row>
    <row r="2088">
      <c r="A2088" s="4" t="s">
        <v>2623</v>
      </c>
      <c r="B2088" s="4" t="s">
        <v>2624</v>
      </c>
      <c r="C2088" s="5" t="str">
        <f>IFERROR(__xludf.DUMMYFUNCTION("GOOGLETRANSLATE(B2088,""en"",""zh-CN"")"),"两个人在沙质的沙漠中狩猎和射击水牛。")</f>
        <v>两个人在沙质的沙漠中狩猎和射击水牛。</v>
      </c>
    </row>
    <row r="2089">
      <c r="A2089" s="4" t="s">
        <v>2623</v>
      </c>
      <c r="B2089" s="6" t="s">
        <v>2625</v>
      </c>
      <c r="C2089" s="5" t="str">
        <f>IFERROR(__xludf.DUMMYFUNCTION("GOOGLETRANSLATE(B2089,""en"",""zh-CN"")"),"一个充满填充和狩猎动物的房间在一个房间里展示，其中许多安装在墙上。")</f>
        <v>一个充满填充和狩猎动物的房间在一个房间里展示，其中许多安装在墙上。</v>
      </c>
    </row>
    <row r="2090">
      <c r="A2090" s="4" t="s">
        <v>2623</v>
      </c>
      <c r="B2090" s="6" t="s">
        <v>2626</v>
      </c>
      <c r="C2090" s="5" t="str">
        <f>IFERROR(__xludf.DUMMYFUNCTION("GOOGLETRANSLATE(B2090,""en"",""zh-CN"")"),"在极风的天气下，两个棕色的水牛在沙质的地面上彼此相邻。")</f>
        <v>在极风的天气下，两个棕色的水牛在沙质的地面上彼此相邻。</v>
      </c>
    </row>
    <row r="2091">
      <c r="A2091" s="4" t="s">
        <v>2623</v>
      </c>
      <c r="B2091" s="6" t="s">
        <v>2627</v>
      </c>
      <c r="C2091" s="5" t="str">
        <f>IFERROR(__xludf.DUMMYFUNCTION("GOOGLETRANSLATE(B2091,""en"",""zh-CN"")"),"两名男子从远处看着两个水牛，武器固定在摄影师身后拍摄事件时，旨在射击。")</f>
        <v>两名男子从远处看着两个水牛，武器固定在摄影师身后拍摄事件时，旨在射击。</v>
      </c>
    </row>
    <row r="2092">
      <c r="A2092" s="4" t="s">
        <v>2623</v>
      </c>
      <c r="B2092" s="4" t="s">
        <v>2628</v>
      </c>
      <c r="C2092" s="5" t="str">
        <f>IFERROR(__xludf.DUMMYFUNCTION("GOOGLETRANSLATE(B2092,""en"",""zh-CN"")"),"一只水牛在走开时用黄色尖头武器射击。")</f>
        <v>一只水牛在走开时用黄色尖头武器射击。</v>
      </c>
    </row>
    <row r="2093">
      <c r="A2093" s="4" t="s">
        <v>2623</v>
      </c>
      <c r="B2093" s="4" t="s">
        <v>2629</v>
      </c>
      <c r="C2093" s="5" t="str">
        <f>IFERROR(__xludf.DUMMYFUNCTION("GOOGLETRANSLATE(B2093,""en"",""zh-CN"")"),"然后显示其中一个人站在死动物上。")</f>
        <v>然后显示其中一个人站在死动物上。</v>
      </c>
    </row>
    <row r="2094">
      <c r="A2094" s="4" t="s">
        <v>2630</v>
      </c>
      <c r="B2094" s="6" t="s">
        <v>2631</v>
      </c>
      <c r="C2094" s="5" t="str">
        <f>IFERROR(__xludf.DUMMYFUNCTION("GOOGLETRANSLATE(B2094,""en"",""zh-CN"")"),"女人正坐在咨询室的另一个前面，拿出眼镜洗手。")</f>
        <v>女人正坐在咨询室的另一个前面，拿出眼镜洗手。</v>
      </c>
    </row>
    <row r="2095">
      <c r="A2095" s="4" t="s">
        <v>2630</v>
      </c>
      <c r="B2095" s="6" t="s">
        <v>2632</v>
      </c>
      <c r="C2095" s="5" t="str">
        <f>IFERROR(__xludf.DUMMYFUNCTION("GOOGLETRANSLATE(B2095,""en"",""zh-CN"")"),"女人给她的隐形眼镜，他的其他女人用食指握住它，放了一些液体，然后将其放在眼中，然后对另一个接触式进行同样的操作，然后将镜头与另一个女人交谈。")</f>
        <v>女人给她的隐形眼镜，他的其他女人用食指握住它，放了一些液体，然后将其放在眼中，然后对另一个接触式进行同样的操作，然后将镜头与另一个女人交谈。</v>
      </c>
    </row>
    <row r="2096">
      <c r="A2096" s="4" t="s">
        <v>2633</v>
      </c>
      <c r="B2096" s="4" t="s">
        <v>2634</v>
      </c>
      <c r="C2096" s="5" t="str">
        <f>IFERROR(__xludf.DUMMYFUNCTION("GOOGLETRANSLATE(B2096,""en"",""zh-CN"")"),"看到三个人跪在一条小筏子上，将自己翻到水中。")</f>
        <v>看到三个人跪在一条小筏子上，将自己翻到水中。</v>
      </c>
    </row>
    <row r="2097">
      <c r="A2097" s="4" t="s">
        <v>2633</v>
      </c>
      <c r="B2097" s="4" t="s">
        <v>2635</v>
      </c>
      <c r="C2097" s="5" t="str">
        <f>IFERROR(__xludf.DUMMYFUNCTION("GOOGLETRANSLATE(B2097,""en"",""zh-CN"")"),"看到越来越多的人沿着水中的人填充。")</f>
        <v>看到越来越多的人沿着水中的人填充。</v>
      </c>
    </row>
    <row r="2098">
      <c r="A2098" s="4" t="s">
        <v>2633</v>
      </c>
      <c r="B2098" s="4" t="s">
        <v>2636</v>
      </c>
      <c r="C2098" s="5" t="str">
        <f>IFERROR(__xludf.DUMMYFUNCTION("GOOGLETRANSLATE(B2098,""en"",""zh-CN"")"),"水中的人们爬回去，最终将自己放在独木舟中。")</f>
        <v>水中的人们爬回去，最终将自己放在独木舟中。</v>
      </c>
    </row>
    <row r="2099">
      <c r="A2099" s="4" t="s">
        <v>2637</v>
      </c>
      <c r="B2099" s="4" t="s">
        <v>2638</v>
      </c>
      <c r="C2099" s="5" t="str">
        <f>IFERROR(__xludf.DUMMYFUNCTION("GOOGLETRANSLATE(B2099,""en"",""zh-CN"")"),"可以看到一个湖泊，可以看到整个城市天际线的景色。")</f>
        <v>可以看到一个湖泊，可以看到整个城市天际线的景色。</v>
      </c>
    </row>
    <row r="2100">
      <c r="A2100" s="4" t="s">
        <v>2637</v>
      </c>
      <c r="B2100" s="4" t="s">
        <v>2639</v>
      </c>
      <c r="C2100" s="5" t="str">
        <f>IFERROR(__xludf.DUMMYFUNCTION("GOOGLETRANSLATE(B2100,""en"",""zh-CN"")"),"一群步行者沿着湖边的人行道行走。")</f>
        <v>一群步行者沿着湖边的人行道行走。</v>
      </c>
    </row>
    <row r="2101">
      <c r="A2101" s="4" t="s">
        <v>2637</v>
      </c>
      <c r="B2101" s="4" t="s">
        <v>2640</v>
      </c>
      <c r="C2101" s="5" t="str">
        <f>IFERROR(__xludf.DUMMYFUNCTION("GOOGLETRANSLATE(B2101,""en"",""zh-CN"")"),"一个人在人行道区域使用吹雪机。")</f>
        <v>一个人在人行道区域使用吹雪机。</v>
      </c>
    </row>
    <row r="2102">
      <c r="A2102" s="4" t="s">
        <v>2637</v>
      </c>
      <c r="B2102" s="4" t="s">
        <v>2641</v>
      </c>
      <c r="C2102" s="5" t="str">
        <f>IFERROR(__xludf.DUMMYFUNCTION("GOOGLETRANSLATE(B2102,""en"",""zh-CN"")"),"人们使用雪铲清理人行道。")</f>
        <v>人们使用雪铲清理人行道。</v>
      </c>
    </row>
    <row r="2103">
      <c r="A2103" s="4" t="s">
        <v>2637</v>
      </c>
      <c r="B2103" s="4" t="s">
        <v>2642</v>
      </c>
      <c r="C2103" s="5" t="str">
        <f>IFERROR(__xludf.DUMMYFUNCTION("GOOGLETRANSLATE(B2103,""en"",""zh-CN"")"),"铁锹园艺工具用于打破冰。")</f>
        <v>铁锹园艺工具用于打破冰。</v>
      </c>
    </row>
    <row r="2104">
      <c r="A2104" s="4" t="s">
        <v>2637</v>
      </c>
      <c r="B2104" s="4" t="s">
        <v>2643</v>
      </c>
      <c r="C2104" s="5" t="str">
        <f>IFERROR(__xludf.DUMMYFUNCTION("GOOGLETRANSLATE(B2104,""en"",""zh-CN"")"),"一个人将盐添加到清理的人行道区域。")</f>
        <v>一个人将盐添加到清理的人行道区域。</v>
      </c>
    </row>
    <row r="2105">
      <c r="A2105" s="4" t="s">
        <v>2644</v>
      </c>
      <c r="B2105" s="6" t="s">
        <v>2645</v>
      </c>
      <c r="C2105" s="5" t="str">
        <f>IFERROR(__xludf.DUMMYFUNCTION("GOOGLETRANSLATE(B2105,""en"",""zh-CN"")"),"看到两个人将球向后传球，在游泳池中第四，并通往相机。")</f>
        <v>看到两个人将球向后传球，在游泳池中第四，并通往相机。</v>
      </c>
    </row>
    <row r="2106">
      <c r="A2106" s="4" t="s">
        <v>2644</v>
      </c>
      <c r="B2106" s="6" t="s">
        <v>2646</v>
      </c>
      <c r="C2106" s="5" t="str">
        <f>IFERROR(__xludf.DUMMYFUNCTION("GOOGLETRANSLATE(B2106,""en"",""zh-CN"")"),"该男子展示了如何在仍在与镜头说话的同时正确地用手扔球。")</f>
        <v>该男子展示了如何在仍在与镜头说话的同时正确地用手扔球。</v>
      </c>
    </row>
    <row r="2107">
      <c r="A2107" s="4" t="s">
        <v>2647</v>
      </c>
      <c r="B2107" s="6" t="s">
        <v>2648</v>
      </c>
      <c r="C2107" s="5" t="str">
        <f>IFERROR(__xludf.DUMMYFUNCTION("GOOGLETRANSLATE(B2107,""en"",""zh-CN"")"),"一个年轻女子使用发型产品，并用带有梳子末端的梳子的干燥机直将头发吹干。")</f>
        <v>一个年轻女子使用发型产品，并用带有梳子末端的梳子的干燥机直将头发吹干。</v>
      </c>
    </row>
    <row r="2108">
      <c r="A2108" s="4" t="s">
        <v>2647</v>
      </c>
      <c r="B2108" s="6" t="s">
        <v>2649</v>
      </c>
      <c r="C2108" s="5" t="str">
        <f>IFERROR(__xludf.DUMMYFUNCTION("GOOGLETRANSLATE(B2108,""en"",""zh-CN"")"),"该名女士首先从头上卸下毛巾头，露出湿的头发。")</f>
        <v>该名女士首先从头上卸下毛巾头，露出湿的头发。</v>
      </c>
    </row>
    <row r="2109">
      <c r="A2109" s="4" t="s">
        <v>2647</v>
      </c>
      <c r="B2109" s="4" t="s">
        <v>2650</v>
      </c>
      <c r="C2109" s="5" t="str">
        <f>IFERROR(__xludf.DUMMYFUNCTION("GOOGLETRANSLATE(B2109,""en"",""zh-CN"")"),"然后，女人开始将头发的一部分放在扭曲的辫子上。")</f>
        <v>然后，女人开始将头发的一部分放在扭曲的辫子上。</v>
      </c>
    </row>
    <row r="2110">
      <c r="A2110" s="4" t="s">
        <v>2647</v>
      </c>
      <c r="B2110" s="4" t="s">
        <v>2651</v>
      </c>
      <c r="C2110" s="5" t="str">
        <f>IFERROR(__xludf.DUMMYFUNCTION("GOOGLETRANSLATE(B2110,""en"",""zh-CN"")"),"然后，妇女开始用梳子连接的吹风机将头发吹干。")</f>
        <v>然后，妇女开始用梳子连接的吹风机将头发吹干。</v>
      </c>
    </row>
    <row r="2111">
      <c r="A2111" s="4" t="s">
        <v>2647</v>
      </c>
      <c r="B2111" s="4" t="s">
        <v>2652</v>
      </c>
      <c r="C2111" s="5" t="str">
        <f>IFERROR(__xludf.DUMMYFUNCTION("GOOGLETRANSLATE(B2111,""en"",""zh-CN"")"),"那个女人摆动着拉直的头发和微笑。")</f>
        <v>那个女人摆动着拉直的头发和微笑。</v>
      </c>
    </row>
    <row r="2112">
      <c r="A2112" s="4" t="s">
        <v>2653</v>
      </c>
      <c r="B2112" s="6" t="s">
        <v>2654</v>
      </c>
      <c r="C2112" s="5" t="str">
        <f>IFERROR(__xludf.DUMMYFUNCTION("GOOGLETRANSLATE(B2112,""en"",""zh-CN"")"),"有一个三明治仍然是整个三明治，已切成一半的三角形形状，屏幕上弹出的白色单词指出这是一个“鲁本三明治”。")</f>
        <v>有一个三明治仍然是整个三明治，已切成一半的三角形形状，屏幕上弹出的白色单词指出这是一个“鲁本三明治”。</v>
      </c>
    </row>
    <row r="2113">
      <c r="A2113" s="4" t="s">
        <v>2653</v>
      </c>
      <c r="B2113" s="6" t="s">
        <v>2655</v>
      </c>
      <c r="C2113" s="5" t="str">
        <f>IFERROR(__xludf.DUMMYFUNCTION("GOOGLETRANSLATE(B2113,""en"",""zh-CN"")"),"厨房里的一个男人出现了，他把调味料放在锅里，他开始摇动锅。")</f>
        <v>厨房里的一个男人出现了，他把调味料放在锅里，他开始摇动锅。</v>
      </c>
    </row>
    <row r="2114">
      <c r="A2114" s="4" t="s">
        <v>2653</v>
      </c>
      <c r="B2114" s="6" t="s">
        <v>2656</v>
      </c>
      <c r="C2114" s="5" t="str">
        <f>IFERROR(__xludf.DUMMYFUNCTION("GOOGLETRANSLATE(B2114,""en"",""zh-CN"")"),"介绍了6种不同的食物视频，下面有文字，说“史蒂夫的烹饪”。")</f>
        <v>介绍了6种不同的食物视频，下面有文字，说“史蒂夫的烹饪”。</v>
      </c>
    </row>
    <row r="2115">
      <c r="A2115" s="4" t="s">
        <v>2653</v>
      </c>
      <c r="B2115" s="6" t="s">
        <v>2657</v>
      </c>
      <c r="C2115" s="5" t="str">
        <f>IFERROR(__xludf.DUMMYFUNCTION("GOOGLETRANSLATE(B2115,""en"",""zh-CN"")"),"一大块生肉出现在白色盘子上，鲁本（Reuben）一词在上面闪烁了几次，因为它以不同的角度显示。")</f>
        <v>一大块生肉出现在白色盘子上，鲁本（Reuben）一词在上面闪烁了几次，因为它以不同的角度显示。</v>
      </c>
    </row>
    <row r="2116">
      <c r="A2116" s="4" t="s">
        <v>2653</v>
      </c>
      <c r="B2116" s="6" t="s">
        <v>2658</v>
      </c>
      <c r="C2116" s="5" t="str">
        <f>IFERROR(__xludf.DUMMYFUNCTION("GOOGLETRANSLATE(B2116,""en"",""zh-CN"")"),"然后，该男子将肉放入一个大锅中，然后将液体倒在其上，直到完全覆盖，并开始用各种调味料调味，同时，随着每个调味料的跌倒，调味料的名称出现在屏幕上。")</f>
        <v>然后，该男子将肉放入一个大锅中，然后将液体倒在其上，直到完全覆盖，并开始用各种调味料调味，同时，随着每个调味料的跌倒，调味料的名称出现在屏幕上。</v>
      </c>
    </row>
    <row r="2117">
      <c r="A2117" s="4" t="s">
        <v>2653</v>
      </c>
      <c r="B2117" s="6" t="s">
        <v>2659</v>
      </c>
      <c r="C2117" s="5" t="str">
        <f>IFERROR(__xludf.DUMMYFUNCTION("GOOGLETRANSLATE(B2117,""en"",""zh-CN"")"),"然后是一把大刀的特写镜头，正在粉碎一堆大蒜丁香，这些大蒜也被扔进锅中，调味料和肉被轻轻搅拌，然后迅速表明水已经沸腾了，文字显示了这一点。每磅一小时”，然后将盖子放在锅里。")</f>
        <v>然后是一把大刀的特写镜头，正在粉碎一堆大蒜丁香，这些大蒜也被扔进锅中，调味料和肉被轻轻搅拌，然后迅速表明水已经沸腾了，文字显示了这一点。每磅一小时”，然后将盖子放在锅里。</v>
      </c>
    </row>
    <row r="2118">
      <c r="A2118" s="4" t="s">
        <v>2653</v>
      </c>
      <c r="B2118" s="6" t="s">
        <v>2660</v>
      </c>
      <c r="C2118" s="5" t="str">
        <f>IFERROR(__xludf.DUMMYFUNCTION("GOOGLETRANSLATE(B2118,""en"",""zh-CN"")"),"一对钳子从锅中拉出一块肉，放在白色方板上，将其放在切菜板上，并用一把大锯齿刀切成薄片。")</f>
        <v>一对钳子从锅中拉出一块肉，放在白色方板上，将其放在切菜板上，并用一把大锯齿刀切成薄片。</v>
      </c>
    </row>
    <row r="2119">
      <c r="A2119" s="4" t="s">
        <v>2653</v>
      </c>
      <c r="B2119" s="6" t="s">
        <v>2661</v>
      </c>
      <c r="C2119" s="5" t="str">
        <f>IFERROR(__xludf.DUMMYFUNCTION("GOOGLETRANSLATE(B2119,""en"",""zh-CN"")"),"展示了一个空的大型透明碗，并将蛋黄酱，番茄酱，美味，伍斯特郡的酱汁和辣酱倒入碗中。")</f>
        <v>展示了一个空的大型透明碗，并将蛋黄酱，番茄酱，美味，伍斯特郡的酱汁和辣酱倒入碗中。</v>
      </c>
    </row>
    <row r="2120">
      <c r="A2120" s="4" t="s">
        <v>2653</v>
      </c>
      <c r="B2120" s="6" t="s">
        <v>2662</v>
      </c>
      <c r="C2120" s="5" t="str">
        <f>IFERROR(__xludf.DUMMYFUNCTION("GOOGLETRANSLATE(B2120,""en"",""zh-CN"")"),"然后将紫色洋葱，芹菜和欧芹单独切碎，每个人都会分别扔进碗中，在碗中开始被搅拌混合，然后用盐和胡椒粉调味，然后再混合一些。")</f>
        <v>然后将紫色洋葱，芹菜和欧芹单独切碎，每个人都会分别扔进碗中，在碗中开始被搅拌混合，然后用盐和胡椒粉调味，然后再混合一些。</v>
      </c>
    </row>
    <row r="2121">
      <c r="A2121" s="4" t="s">
        <v>2653</v>
      </c>
      <c r="B2121" s="4" t="s">
        <v>2663</v>
      </c>
      <c r="C2121" s="5" t="str">
        <f>IFERROR(__xludf.DUMMYFUNCTION("GOOGLETRANSLATE(B2121,""en"",""zh-CN"")"),"手指浸入碗中以取出样品，混合持续更长的时间。")</f>
        <v>手指浸入碗中以取出样品，混合持续更长的时间。</v>
      </c>
    </row>
    <row r="2122">
      <c r="A2122" s="4" t="s">
        <v>2653</v>
      </c>
      <c r="B2122" s="6" t="s">
        <v>2664</v>
      </c>
      <c r="C2122" s="5" t="str">
        <f>IFERROR(__xludf.DUMMYFUNCTION("GOOGLETRANSLATE(B2122,""en"",""zh-CN"")"),"用融化的黄油的小刷子开始在两侧涂黄油，然后将其放在平坦的烤架上并翻转，直到两面烤制。")</f>
        <v>用融化的黄油的小刷子开始在两侧涂黄油，然后将其放在平坦的烤架上并翻转，直到两面烤制。</v>
      </c>
    </row>
    <row r="2123">
      <c r="A2123" s="4" t="s">
        <v>2653</v>
      </c>
      <c r="B2123" s="4" t="s">
        <v>2665</v>
      </c>
      <c r="C2123" s="5" t="str">
        <f>IFERROR(__xludf.DUMMYFUNCTION("GOOGLETRANSLATE(B2123,""en"",""zh-CN"")"),"一些白色的切碎的食物被扔到烤架上，并被黑色刮刀搅动。")</f>
        <v>一些白色的切碎的食物被扔到烤架上，并被黑色刮刀搅动。</v>
      </c>
    </row>
    <row r="2124">
      <c r="A2124" s="4" t="s">
        <v>2653</v>
      </c>
      <c r="B2124" s="6" t="s">
        <v>2666</v>
      </c>
      <c r="C2124" s="5" t="str">
        <f>IFERROR(__xludf.DUMMYFUNCTION("GOOGLETRANSLATE(B2124,""en"",""zh-CN"")"),"稀薄的肉片出现在白色切碎的食物旁边，上面放上3片瑞士奶酪，并覆盖着白色碗，直到奶酪融化，然后将白色的粉碎食品sc起并放在肉和奶酪上。")</f>
        <v>稀薄的肉片出现在白色切碎的食物旁边，上面放上3片瑞士奶酪，并覆盖着白色碗，直到奶酪融化，然后将白色的粉碎食品sc起并放在肉和奶酪上。</v>
      </c>
    </row>
    <row r="2125">
      <c r="A2125" s="4" t="s">
        <v>2653</v>
      </c>
      <c r="B2125" s="6" t="s">
        <v>2667</v>
      </c>
      <c r="C2125" s="5" t="str">
        <f>IFERROR(__xludf.DUMMYFUNCTION("GOOGLETRANSLATE(B2125,""en"",""zh-CN"")"),"然后显示出透明碗中的混合酱，用勺子撒在面包上，肉，奶酪和切碎的白色食物放在面包上，再加上其他面包，然后将其切成一半。")</f>
        <v>然后显示出透明碗中的混合酱，用勺子撒在面包上，肉，奶酪和切碎的白色食物放在面包上，再加上其他面包，然后将其切成一半。</v>
      </c>
    </row>
    <row r="2126">
      <c r="A2126" s="4" t="s">
        <v>2653</v>
      </c>
      <c r="B2126" s="6" t="s">
        <v>2668</v>
      </c>
      <c r="C2126" s="5" t="str">
        <f>IFERROR(__xludf.DUMMYFUNCTION("GOOGLETRANSLATE(B2126,""en"",""zh-CN"")"),"然后将三明治分开，一只手拿起一半以不同的角度显示，它被咬了几次，然后放回盘子上，其余的视频只是以不同的角度显示了它，而先前的见面夹切成薄片的肉。")</f>
        <v>然后将三明治分开，一只手拿起一半以不同的角度显示，它被咬了几次，然后放回盘子上，其余的视频只是以不同的角度显示了它，而先前的见面夹切成薄片的肉。</v>
      </c>
    </row>
    <row r="2127">
      <c r="A2127" s="4" t="s">
        <v>2669</v>
      </c>
      <c r="B2127" s="6" t="s">
        <v>2670</v>
      </c>
      <c r="C2127" s="5" t="str">
        <f>IFERROR(__xludf.DUMMYFUNCTION("GOOGLETRANSLATE(B2127,""en"",""zh-CN"")"),"看到一个大个子站在另一个大个子的面前，一个人在两个男人之间伸出双手。")</f>
        <v>看到一个大个子站在另一个大个子的面前，一个人在两个男人之间伸出双手。</v>
      </c>
    </row>
    <row r="2128">
      <c r="A2128" s="4" t="s">
        <v>2669</v>
      </c>
      <c r="B2128" s="4" t="s">
        <v>2671</v>
      </c>
      <c r="C2128" s="5" t="str">
        <f>IFERROR(__xludf.DUMMYFUNCTION("GOOGLETRANSLATE(B2128,""en"",""zh-CN"")"),"几个人坐在圈子和圈子里，男人互相搏斗。")</f>
        <v>几个人坐在圈子和圈子里，男人互相搏斗。</v>
      </c>
    </row>
    <row r="2129">
      <c r="A2129" s="4" t="s">
        <v>2669</v>
      </c>
      <c r="B2129" s="4" t="s">
        <v>2672</v>
      </c>
      <c r="C2129" s="5" t="str">
        <f>IFERROR(__xludf.DUMMYFUNCTION("GOOGLETRANSLATE(B2129,""en"",""zh-CN"")"),"一个将另一个推到地面，观众欢呼。")</f>
        <v>一个将另一个推到地面，观众欢呼。</v>
      </c>
    </row>
    <row r="2130">
      <c r="A2130" s="4" t="s">
        <v>2669</v>
      </c>
      <c r="B2130" s="4" t="s">
        <v>2673</v>
      </c>
      <c r="C2130" s="5" t="str">
        <f>IFERROR(__xludf.DUMMYFUNCTION("GOOGLETRANSLATE(B2130,""en"",""zh-CN"")"),"该男子将另一个推出圈子，观众再次拍手。")</f>
        <v>该男子将另一个推出圈子，观众再次拍手。</v>
      </c>
    </row>
    <row r="2131">
      <c r="A2131" s="4" t="s">
        <v>2674</v>
      </c>
      <c r="B2131" s="4" t="s">
        <v>2675</v>
      </c>
      <c r="C2131" s="5" t="str">
        <f>IFERROR(__xludf.DUMMYFUNCTION("GOOGLETRANSLATE(B2131,""en"",""zh-CN"")"),"一个人将冰拿出汽车的窗户上。")</f>
        <v>一个人将冰拿出汽车的窗户上。</v>
      </c>
    </row>
    <row r="2132">
      <c r="A2132" s="4" t="s">
        <v>2674</v>
      </c>
      <c r="B2132" s="4" t="s">
        <v>2676</v>
      </c>
      <c r="C2132" s="5" t="str">
        <f>IFERROR(__xludf.DUMMYFUNCTION("GOOGLETRANSLATE(B2132,""en"",""zh-CN"")"),"一个人站着看着一个男人在汽车上取冰。")</f>
        <v>一个人站着看着一个男人在汽车上取冰。</v>
      </c>
    </row>
    <row r="2133">
      <c r="A2133" s="4" t="s">
        <v>2677</v>
      </c>
      <c r="B2133" s="4" t="s">
        <v>2678</v>
      </c>
      <c r="C2133" s="5" t="str">
        <f>IFERROR(__xludf.DUMMYFUNCTION("GOOGLETRANSLATE(B2133,""en"",""zh-CN"")"),"一个女人说话时在玻璃杯上添加冰。")</f>
        <v>一个女人说话时在玻璃杯上添加冰。</v>
      </c>
    </row>
    <row r="2134">
      <c r="A2134" s="4" t="s">
        <v>2677</v>
      </c>
      <c r="B2134" s="4" t="s">
        <v>2679</v>
      </c>
      <c r="C2134" s="5" t="str">
        <f>IFERROR(__xludf.DUMMYFUNCTION("GOOGLETRANSLATE(B2134,""en"",""zh-CN"")"),"然后，女人使用测量杯在玻璃中添加糖浆。")</f>
        <v>然后，女人使用测量杯在玻璃中添加糖浆。</v>
      </c>
    </row>
    <row r="2135">
      <c r="A2135" s="4" t="s">
        <v>2677</v>
      </c>
      <c r="B2135" s="4" t="s">
        <v>2680</v>
      </c>
      <c r="C2135" s="5" t="str">
        <f>IFERROR(__xludf.DUMMYFUNCTION("GOOGLETRANSLATE(B2135,""en"",""zh-CN"")"),"之后，女人在玻璃杯中加入液体，然后将其倒入黑色杯子中。")</f>
        <v>之后，女人在玻璃杯中加入液体，然后将其倒入黑色杯子中。</v>
      </c>
    </row>
    <row r="2136">
      <c r="A2136" s="4" t="s">
        <v>2677</v>
      </c>
      <c r="B2136" s="4" t="s">
        <v>2681</v>
      </c>
      <c r="C2136" s="5" t="str">
        <f>IFERROR(__xludf.DUMMYFUNCTION("GOOGLETRANSLATE(B2136,""en"",""zh-CN"")"),"之后，该名女子将混合物在另一杯玻璃杯中提供。")</f>
        <v>之后，该名女子将混合物在另一杯玻璃杯中提供。</v>
      </c>
    </row>
    <row r="2137">
      <c r="A2137" s="4" t="s">
        <v>2682</v>
      </c>
      <c r="B2137" s="4" t="s">
        <v>2683</v>
      </c>
      <c r="C2137" s="5" t="str">
        <f>IFERROR(__xludf.DUMMYFUNCTION("GOOGLETRANSLATE(B2137,""en"",""zh-CN"")"),"两名男子正在与周围的其他人一起看武术。")</f>
        <v>两名男子正在与周围的其他人一起看武术。</v>
      </c>
    </row>
    <row r="2138">
      <c r="A2138" s="4" t="s">
        <v>2682</v>
      </c>
      <c r="B2138" s="4" t="s">
        <v>2684</v>
      </c>
      <c r="C2138" s="5" t="str">
        <f>IFERROR(__xludf.DUMMYFUNCTION("GOOGLETRANSLATE(B2138,""en"",""zh-CN"")"),"许多其他男人都在互相翻转和窍门。")</f>
        <v>许多其他男人都在互相翻转和窍门。</v>
      </c>
    </row>
    <row r="2139">
      <c r="A2139" s="4" t="s">
        <v>2682</v>
      </c>
      <c r="B2139" s="4" t="s">
        <v>2685</v>
      </c>
      <c r="C2139" s="5" t="str">
        <f>IFERROR(__xludf.DUMMYFUNCTION("GOOGLETRANSLATE(B2139,""en"",""zh-CN"")"),"两个男人彼此翻转，而周围的其他人则看着。")</f>
        <v>两个男人彼此翻转，而周围的其他人则看着。</v>
      </c>
    </row>
    <row r="2140">
      <c r="A2140" s="4" t="s">
        <v>2686</v>
      </c>
      <c r="B2140" s="4" t="s">
        <v>2687</v>
      </c>
      <c r="C2140" s="5" t="str">
        <f>IFERROR(__xludf.DUMMYFUNCTION("GOOGLETRANSLATE(B2140,""en"",""zh-CN"")"),"一个人正在用抹子在屋顶上平滑物质。")</f>
        <v>一个人正在用抹子在屋顶上平滑物质。</v>
      </c>
    </row>
    <row r="2141">
      <c r="A2141" s="4" t="s">
        <v>2686</v>
      </c>
      <c r="B2141" s="4" t="s">
        <v>2688</v>
      </c>
      <c r="C2141" s="5" t="str">
        <f>IFERROR(__xludf.DUMMYFUNCTION("GOOGLETRANSLATE(B2141,""en"",""zh-CN"")"),"他快速移动以使凹痕平滑。")</f>
        <v>他快速移动以使凹痕平滑。</v>
      </c>
    </row>
    <row r="2142">
      <c r="A2142" s="4" t="s">
        <v>2686</v>
      </c>
      <c r="B2142" s="4" t="s">
        <v>2689</v>
      </c>
      <c r="C2142" s="5" t="str">
        <f>IFERROR(__xludf.DUMMYFUNCTION("GOOGLETRANSLATE(B2142,""en"",""zh-CN"")"),"该男子移到底部，使顶部平滑。")</f>
        <v>该男子移到底部，使顶部平滑。</v>
      </c>
    </row>
    <row r="2143">
      <c r="A2143" s="4" t="s">
        <v>2686</v>
      </c>
      <c r="B2143" s="4" t="s">
        <v>2690</v>
      </c>
      <c r="C2143" s="5" t="str">
        <f>IFERROR(__xludf.DUMMYFUNCTION("GOOGLETRANSLATE(B2143,""en"",""zh-CN"")"),"他结束并走开。")</f>
        <v>他结束并走开。</v>
      </c>
    </row>
    <row r="2144">
      <c r="A2144" s="4" t="s">
        <v>2691</v>
      </c>
      <c r="B2144" s="4" t="s">
        <v>2692</v>
      </c>
      <c r="C2144" s="5" t="str">
        <f>IFERROR(__xludf.DUMMYFUNCTION("GOOGLETRANSLATE(B2144,""en"",""zh-CN"")"),"一个金发碧眼的女人站在一座桥上大喊。")</f>
        <v>一个金发碧眼的女人站在一座桥上大喊。</v>
      </c>
    </row>
    <row r="2145">
      <c r="A2145" s="4" t="s">
        <v>2691</v>
      </c>
      <c r="B2145" s="4" t="s">
        <v>2693</v>
      </c>
      <c r="C2145" s="5" t="str">
        <f>IFERROR(__xludf.DUMMYFUNCTION("GOOGLETRANSLATE(B2145,""en"",""zh-CN"")"),"黑发将紫色和红色的纱线延伸到女人。")</f>
        <v>黑发将紫色和红色的纱线延伸到女人。</v>
      </c>
    </row>
    <row r="2146">
      <c r="A2146" s="4" t="s">
        <v>2691</v>
      </c>
      <c r="B2146" s="4" t="s">
        <v>2694</v>
      </c>
      <c r="C2146" s="5" t="str">
        <f>IFERROR(__xludf.DUMMYFUNCTION("GOOGLETRANSLATE(B2146,""en"",""zh-CN"")"),"女人正在幻觉，然后接受采访。")</f>
        <v>女人正在幻觉，然后接受采访。</v>
      </c>
    </row>
    <row r="2147">
      <c r="A2147" s="4" t="s">
        <v>2691</v>
      </c>
      <c r="B2147" s="4" t="s">
        <v>2695</v>
      </c>
      <c r="C2147" s="5" t="str">
        <f>IFERROR(__xludf.DUMMYFUNCTION("GOOGLETRANSLATE(B2147,""en"",""zh-CN"")"),"教室里的一群人高兴地编织并与纱线一起玩。")</f>
        <v>教室里的一群人高兴地编织并与纱线一起玩。</v>
      </c>
    </row>
    <row r="2148">
      <c r="A2148" s="4" t="s">
        <v>2691</v>
      </c>
      <c r="B2148" s="6" t="s">
        <v>2696</v>
      </c>
      <c r="C2148" s="5" t="str">
        <f>IFERROR(__xludf.DUMMYFUNCTION("GOOGLETRANSLATE(B2148,""en"",""zh-CN"")"),"这个金发女郎幻觉看到那个给她纱的女人，开始歇斯底里地笑。")</f>
        <v>这个金发女郎幻觉看到那个给她纱的女人，开始歇斯底里地笑。</v>
      </c>
    </row>
    <row r="2149">
      <c r="A2149" s="4" t="s">
        <v>2691</v>
      </c>
      <c r="B2149" s="4" t="s">
        <v>2697</v>
      </c>
      <c r="C2149" s="5" t="str">
        <f>IFERROR(__xludf.DUMMYFUNCTION("GOOGLETRANSLATE(B2149,""en"",""zh-CN"")"),"该小组愉快地展示了他们的纱线。")</f>
        <v>该小组愉快地展示了他们的纱线。</v>
      </c>
    </row>
    <row r="2150">
      <c r="A2150" s="4" t="s">
        <v>2698</v>
      </c>
      <c r="B2150" s="4" t="s">
        <v>2699</v>
      </c>
      <c r="C2150" s="5" t="str">
        <f>IFERROR(__xludf.DUMMYFUNCTION("GOOGLETRANSLATE(B2150,""en"",""zh-CN"")"),"一群人观看体操表演。")</f>
        <v>一群人观看体操表演。</v>
      </c>
    </row>
    <row r="2151">
      <c r="A2151" s="4" t="s">
        <v>2698</v>
      </c>
      <c r="B2151" s="6" t="s">
        <v>2700</v>
      </c>
      <c r="C2151" s="5" t="str">
        <f>IFERROR(__xludf.DUMMYFUNCTION("GOOGLETRANSLATE(B2151,""en"",""zh-CN"")"),"一名体操运动员延伸到高酒吧，在高低杆之间交替，进行各种体操动作和翻转。")</f>
        <v>一名体操运动员延伸到高酒吧，在高低杆之间交替，进行各种体操动作和翻转。</v>
      </c>
    </row>
    <row r="2152">
      <c r="A2152" s="4" t="s">
        <v>2698</v>
      </c>
      <c r="B2152" s="4" t="s">
        <v>2701</v>
      </c>
      <c r="C2152" s="5" t="str">
        <f>IFERROR(__xludf.DUMMYFUNCTION("GOOGLETRANSLATE(B2152,""en"",""zh-CN"")"),"她翻转了酒吧，降落在脚上。")</f>
        <v>她翻转了酒吧，降落在脚上。</v>
      </c>
    </row>
    <row r="2153">
      <c r="A2153" s="4" t="s">
        <v>2698</v>
      </c>
      <c r="B2153" s="4" t="s">
        <v>2702</v>
      </c>
      <c r="C2153" s="5" t="str">
        <f>IFERROR(__xludf.DUMMYFUNCTION("GOOGLETRANSLATE(B2153,""en"",""zh-CN"")"),"她的同伴体操运动员兴奋地奔向她。")</f>
        <v>她的同伴体操运动员兴奋地奔向她。</v>
      </c>
    </row>
    <row r="2154">
      <c r="A2154" s="4" t="s">
        <v>2703</v>
      </c>
      <c r="B2154" s="4" t="s">
        <v>2704</v>
      </c>
      <c r="C2154" s="5" t="str">
        <f>IFERROR(__xludf.DUMMYFUNCTION("GOOGLETRANSLATE(B2154,""en"",""zh-CN"")"),"一个穿着蓝色服装的男人把粉笔放在他的手上。")</f>
        <v>一个穿着蓝色服装的男人把粉笔放在他的手上。</v>
      </c>
    </row>
    <row r="2155">
      <c r="A2155" s="4" t="s">
        <v>2703</v>
      </c>
      <c r="B2155" s="4" t="s">
        <v>2705</v>
      </c>
      <c r="C2155" s="5" t="str">
        <f>IFERROR(__xludf.DUMMYFUNCTION("GOOGLETRANSLATE(B2155,""en"",""zh-CN"")"),"穿着黄色衬衫的男人正在看着。")</f>
        <v>穿着黄色衬衫的男人正在看着。</v>
      </c>
    </row>
    <row r="2156">
      <c r="A2156" s="4" t="s">
        <v>2703</v>
      </c>
      <c r="B2156" s="4" t="s">
        <v>2706</v>
      </c>
      <c r="C2156" s="5" t="str">
        <f>IFERROR(__xludf.DUMMYFUNCTION("GOOGLETRANSLATE(B2156,""en"",""zh-CN"")"),"穿着蓝色服装的男人捡起大量的重量，将其抬起头上。")</f>
        <v>穿着蓝色服装的男人捡起大量的重量，将其抬起头上。</v>
      </c>
    </row>
    <row r="2157">
      <c r="A2157" s="4" t="s">
        <v>2703</v>
      </c>
      <c r="B2157" s="4" t="s">
        <v>2707</v>
      </c>
      <c r="C2157" s="5" t="str">
        <f>IFERROR(__xludf.DUMMYFUNCTION("GOOGLETRANSLATE(B2157,""en"",""zh-CN"")"),"人群为他欢呼。")</f>
        <v>人群为他欢呼。</v>
      </c>
    </row>
    <row r="2158">
      <c r="A2158" s="4" t="s">
        <v>2703</v>
      </c>
      <c r="B2158" s="4" t="s">
        <v>2708</v>
      </c>
      <c r="C2158" s="5" t="str">
        <f>IFERROR(__xludf.DUMMYFUNCTION("GOOGLETRANSLATE(B2158,""en"",""zh-CN"")"),"他给一个穿着西装的男人一个拥抱。")</f>
        <v>他给一个穿着西装的男人一个拥抱。</v>
      </c>
    </row>
    <row r="2159">
      <c r="A2159" s="4" t="s">
        <v>2709</v>
      </c>
      <c r="B2159" s="4" t="s">
        <v>2710</v>
      </c>
      <c r="C2159" s="5" t="str">
        <f>IFERROR(__xludf.DUMMYFUNCTION("GOOGLETRANSLATE(B2159,""en"",""zh-CN"")"),"三名穿着滑雪板的男人拿出滑雪缆车，一个男人系鞋。")</f>
        <v>三名穿着滑雪板的男人拿出滑雪缆车，一个男人系鞋。</v>
      </c>
    </row>
    <row r="2160">
      <c r="A2160" s="4" t="s">
        <v>2709</v>
      </c>
      <c r="B2160" s="4" t="s">
        <v>2711</v>
      </c>
      <c r="C2160" s="5" t="str">
        <f>IFERROR(__xludf.DUMMYFUNCTION("GOOGLETRANSLATE(B2160,""en"",""zh-CN"")"),"然后，这些人滑到一座雪地上的山丘上。")</f>
        <v>然后，这些人滑到一座雪地上的山丘上。</v>
      </c>
    </row>
    <row r="2161">
      <c r="A2161" s="4" t="s">
        <v>2709</v>
      </c>
      <c r="B2161" s="4" t="s">
        <v>2712</v>
      </c>
      <c r="C2161" s="5" t="str">
        <f>IFERROR(__xludf.DUMMYFUNCTION("GOOGLETRANSLATE(B2161,""en"",""zh-CN"")"),"一个男人在雪上弯曲双腿，然后继续与其他男人滑雪。")</f>
        <v>一个男人在雪上弯曲双腿，然后继续与其他男人滑雪。</v>
      </c>
    </row>
    <row r="2162">
      <c r="A2162" s="4" t="s">
        <v>2713</v>
      </c>
      <c r="B2162" s="4" t="s">
        <v>2714</v>
      </c>
      <c r="C2162" s="5" t="str">
        <f>IFERROR(__xludf.DUMMYFUNCTION("GOOGLETRANSLATE(B2162,""en"",""zh-CN"")"),"一个拿着镜头的男人站在底座上。")</f>
        <v>一个拿着镜头的男人站在底座上。</v>
      </c>
    </row>
    <row r="2163">
      <c r="A2163" s="4" t="s">
        <v>2713</v>
      </c>
      <c r="B2163" s="4" t="s">
        <v>2715</v>
      </c>
      <c r="C2163" s="5" t="str">
        <f>IFERROR(__xludf.DUMMYFUNCTION("GOOGLETRANSLATE(B2163,""en"",""zh-CN"")"),"该男子将他的背部转向相机，准备投掷。")</f>
        <v>该男子将他的背部转向相机，准备投掷。</v>
      </c>
    </row>
    <row r="2164">
      <c r="A2164" s="4" t="s">
        <v>2713</v>
      </c>
      <c r="B2164" s="4" t="s">
        <v>2716</v>
      </c>
      <c r="C2164" s="5" t="str">
        <f>IFERROR(__xludf.DUMMYFUNCTION("GOOGLETRANSLATE(B2164,""en"",""zh-CN"")"),"那个人扔球，然后旋转。")</f>
        <v>那个人扔球，然后旋转。</v>
      </c>
    </row>
    <row r="2165">
      <c r="A2165" s="4" t="s">
        <v>2717</v>
      </c>
      <c r="B2165" s="4" t="s">
        <v>2718</v>
      </c>
      <c r="C2165" s="5" t="str">
        <f>IFERROR(__xludf.DUMMYFUNCTION("GOOGLETRANSLATE(B2165,""en"",""zh-CN"")"),"一个女人在她的手上，膝盖用一些剪刀割草。")</f>
        <v>一个女人在她的手上，膝盖用一些剪刀割草。</v>
      </c>
    </row>
    <row r="2166">
      <c r="A2166" s="4" t="s">
        <v>2717</v>
      </c>
      <c r="B2166" s="4" t="s">
        <v>2719</v>
      </c>
      <c r="C2166" s="5" t="str">
        <f>IFERROR(__xludf.DUMMYFUNCTION("GOOGLETRANSLATE(B2166,""en"",""zh-CN"")"),"摄像机挥舞着，可以欣赏她的割草。")</f>
        <v>摄像机挥舞着，可以欣赏她的割草。</v>
      </c>
    </row>
    <row r="2167">
      <c r="A2167" s="4" t="s">
        <v>2717</v>
      </c>
      <c r="B2167" s="4" t="s">
        <v>2720</v>
      </c>
      <c r="C2167" s="5" t="str">
        <f>IFERROR(__xludf.DUMMYFUNCTION("GOOGLETRANSLATE(B2167,""en"",""zh-CN"")"),"她开玩笑说，草有分裂和根源不良的草。")</f>
        <v>她开玩笑说，草有分裂和根源不良的草。</v>
      </c>
    </row>
    <row r="2168">
      <c r="A2168" s="4" t="s">
        <v>2717</v>
      </c>
      <c r="B2168" s="4" t="s">
        <v>2721</v>
      </c>
      <c r="C2168" s="5" t="str">
        <f>IFERROR(__xludf.DUMMYFUNCTION("GOOGLETRANSLATE(B2168,""en"",""zh-CN"")"),"相机回到草的特写，视频结束了。")</f>
        <v>相机回到草的特写，视频结束了。</v>
      </c>
    </row>
    <row r="2169">
      <c r="A2169" s="4" t="s">
        <v>2722</v>
      </c>
      <c r="B2169" s="6" t="s">
        <v>2723</v>
      </c>
      <c r="C2169" s="5" t="str">
        <f>IFERROR(__xludf.DUMMYFUNCTION("GOOGLETRANSLATE(B2169,""en"",""zh-CN"")"),"一个相机在几个林区周围摇晃，并通向一个男孩，拿着叶子鼓风机，微笑着。")</f>
        <v>一个相机在几个林区周围摇晃，并通向一个男孩，拿着叶子鼓风机，微笑着。</v>
      </c>
    </row>
    <row r="2170">
      <c r="A2170" s="4" t="s">
        <v>2722</v>
      </c>
      <c r="B2170" s="4" t="s">
        <v>2724</v>
      </c>
      <c r="C2170" s="5" t="str">
        <f>IFERROR(__xludf.DUMMYFUNCTION("GOOGLETRANSLATE(B2170,""en"",""zh-CN"")"),"摄像机朝一个老男人锅，然后回到男孩们吹叶子。")</f>
        <v>摄像机朝一个老男人锅，然后回到男孩们吹叶子。</v>
      </c>
    </row>
    <row r="2171">
      <c r="A2171" s="4" t="s">
        <v>2725</v>
      </c>
      <c r="B2171" s="4" t="s">
        <v>2726</v>
      </c>
      <c r="C2171" s="5" t="str">
        <f>IFERROR(__xludf.DUMMYFUNCTION("GOOGLETRANSLATE(B2171,""en"",""zh-CN"")"),"一个穿着绿色树干的男人在摔跤戒指上扔了一个穿着红色树干的人。")</f>
        <v>一个穿着绿色树干的男人在摔跤戒指上扔了一个穿着红色树干的人。</v>
      </c>
    </row>
    <row r="2172">
      <c r="A2172" s="4" t="s">
        <v>2725</v>
      </c>
      <c r="B2172" s="4" t="s">
        <v>2727</v>
      </c>
      <c r="C2172" s="5" t="str">
        <f>IFERROR(__xludf.DUMMYFUNCTION("GOOGLETRANSLATE(B2172,""en"",""zh-CN"")"),"绿色树干中的那个人从戒指上滚出来。")</f>
        <v>绿色树干中的那个人从戒指上滚出来。</v>
      </c>
    </row>
    <row r="2173">
      <c r="A2173" s="4" t="s">
        <v>2725</v>
      </c>
      <c r="B2173" s="4" t="s">
        <v>2728</v>
      </c>
      <c r="C2173" s="5" t="str">
        <f>IFERROR(__xludf.DUMMYFUNCTION("GOOGLETRANSLATE(B2173,""en"",""zh-CN"")"),"绿色树干中的那个人矛头另一个人。")</f>
        <v>绿色树干中的那个人矛头另一个人。</v>
      </c>
    </row>
    <row r="2174">
      <c r="A2174" s="4" t="s">
        <v>2725</v>
      </c>
      <c r="B2174" s="4" t="s">
        <v>2729</v>
      </c>
      <c r="C2174" s="5" t="str">
        <f>IFERROR(__xludf.DUMMYFUNCTION("GOOGLETRANSLATE(B2174,""en"",""zh-CN"")"),"绿色树干的男人力量炸弹另一个人。")</f>
        <v>绿色树干的男人力量炸弹另一个人。</v>
      </c>
    </row>
    <row r="2175">
      <c r="A2175" s="4" t="s">
        <v>2725</v>
      </c>
      <c r="B2175" s="4" t="s">
        <v>2730</v>
      </c>
      <c r="C2175" s="5" t="str">
        <f>IFERROR(__xludf.DUMMYFUNCTION("GOOGLETRANSLATE(B2175,""en"",""zh-CN"")"),"绿色树干的那个人钉在另一个男人身上，并赢得了比赛。")</f>
        <v>绿色树干的那个人钉在另一个男人身上，并赢得了比赛。</v>
      </c>
    </row>
    <row r="2176">
      <c r="A2176" s="4" t="s">
        <v>2731</v>
      </c>
      <c r="B2176" s="6" t="s">
        <v>2732</v>
      </c>
      <c r="C2176" s="5" t="str">
        <f>IFERROR(__xludf.DUMMYFUNCTION("GOOGLETRANSLATE(B2176,""en"",""zh-CN"")"),"它在房屋外面有一辆灰色停放的面包车在房屋外面，该男子拿着工具，将相机放下，然后开始清理货车的雪。")</f>
        <v>它在房屋外面有一辆灰色停放的面包车在房屋外面，该男子拿着工具，将相机放下，然后开始清理货车的雪。</v>
      </c>
    </row>
    <row r="2177">
      <c r="A2177" s="4" t="s">
        <v>2731</v>
      </c>
      <c r="B2177" s="6" t="s">
        <v>2733</v>
      </c>
      <c r="C2177" s="5" t="str">
        <f>IFERROR(__xludf.DUMMYFUNCTION("GOOGLETRANSLATE(B2177,""en"",""zh-CN"")"),"该男子移动相机并调整位置，然后回到面包车开始清洁整个面包车顶部的雪。")</f>
        <v>该男子移动相机并调整位置，然后回到面包车开始清洁整个面包车顶部的雪。</v>
      </c>
    </row>
    <row r="2178">
      <c r="A2178" s="4" t="s">
        <v>2731</v>
      </c>
      <c r="B2178" s="6" t="s">
        <v>2734</v>
      </c>
      <c r="C2178" s="5" t="str">
        <f>IFERROR(__xludf.DUMMYFUNCTION("GOOGLETRANSLATE(B2178,""en"",""zh-CN"")"),"该男子走回相机并再次移动它，以便可以捕捉到不同的视野，他继续擦拭侧面和顶部的雪。")</f>
        <v>该男子走回相机并再次移动它，以便可以捕捉到不同的视野，他继续擦拭侧面和顶部的雪。</v>
      </c>
    </row>
    <row r="2179">
      <c r="A2179" s="4" t="s">
        <v>2731</v>
      </c>
      <c r="B2179" s="6" t="s">
        <v>2735</v>
      </c>
      <c r="C2179" s="5" t="str">
        <f>IFERROR(__xludf.DUMMYFUNCTION("GOOGLETRANSLATE(B2179,""en"",""zh-CN"")"),"该工具的一部分破裂，该男子抓住它并将其显示到相机上并继续说话，关闭相机，然后显示他已修复工具的相机，然后再次移动相机。")</f>
        <v>该工具的一部分破裂，该男子抓住它并将其显示到相机上并继续说话，关闭相机，然后显示他已修复工具的相机，然后再次移动相机。</v>
      </c>
    </row>
    <row r="2180">
      <c r="A2180" s="4" t="s">
        <v>2731</v>
      </c>
      <c r="B2180" s="6" t="s">
        <v>2736</v>
      </c>
      <c r="C2180" s="5" t="str">
        <f>IFERROR(__xludf.DUMMYFUNCTION("GOOGLETRANSLATE(B2180,""en"",""zh-CN"")"),"一个女人出现了，她用手摸了摸面包车，开始用双手擦拭雪地。")</f>
        <v>一个女人出现了，她用手摸了摸面包车，开始用双手擦拭雪地。</v>
      </c>
    </row>
    <row r="2181">
      <c r="A2181" s="4" t="s">
        <v>2737</v>
      </c>
      <c r="B2181" s="4" t="s">
        <v>2738</v>
      </c>
      <c r="C2181" s="5" t="str">
        <f>IFERROR(__xludf.DUMMYFUNCTION("GOOGLETRANSLATE(B2181,""en"",""zh-CN"")"),"首先显示屏幕，显示该男子将使用吉他演奏的歌曲。")</f>
        <v>首先显示屏幕，显示该男子将使用吉他演奏的歌曲。</v>
      </c>
    </row>
    <row r="2182">
      <c r="A2182" s="4" t="s">
        <v>2737</v>
      </c>
      <c r="B2182" s="4" t="s">
        <v>2739</v>
      </c>
      <c r="C2182" s="5" t="str">
        <f>IFERROR(__xludf.DUMMYFUNCTION("GOOGLETRANSLATE(B2182,""en"",""zh-CN"")"),"然后，该男子坐下弹吉他，他从不抬头看着相机。")</f>
        <v>然后，该男子坐下弹吉他，他从不抬头看着相机。</v>
      </c>
    </row>
    <row r="2183">
      <c r="A2183" s="4" t="s">
        <v>2737</v>
      </c>
      <c r="B2183" s="4" t="s">
        <v>2740</v>
      </c>
      <c r="C2183" s="5" t="str">
        <f>IFERROR(__xludf.DUMMYFUNCTION("GOOGLETRANSLATE(B2183,""en"",""zh-CN"")"),"最后，视频结束了，唯一看到的是黑暗。")</f>
        <v>最后，视频结束了，唯一看到的是黑暗。</v>
      </c>
    </row>
    <row r="2184">
      <c r="A2184" s="4" t="s">
        <v>2741</v>
      </c>
      <c r="B2184" s="6" t="s">
        <v>2742</v>
      </c>
      <c r="C2184" s="5" t="str">
        <f>IFERROR(__xludf.DUMMYFUNCTION("GOOGLETRANSLATE(B2184,""en"",""zh-CN"")"),"看到一名妇女站在潜水板上准备好，伸出她的手臂，表演令人印象深刻的潜水。")</f>
        <v>看到一名妇女站在潜水板上准备好，伸出她的手臂，表演令人印象深刻的潜水。</v>
      </c>
    </row>
    <row r="2185">
      <c r="A2185" s="4" t="s">
        <v>2741</v>
      </c>
      <c r="B2185" s="4" t="s">
        <v>2743</v>
      </c>
      <c r="C2185" s="5" t="str">
        <f>IFERROR(__xludf.DUMMYFUNCTION("GOOGLETRANSLATE(B2185,""en"",""zh-CN"")"),"多次看到该名女子进入游泳池并浮出水面。")</f>
        <v>多次看到该名女子进入游泳池并浮出水面。</v>
      </c>
    </row>
    <row r="2186">
      <c r="A2186" s="4" t="s">
        <v>2744</v>
      </c>
      <c r="B2186" s="4" t="s">
        <v>2745</v>
      </c>
      <c r="C2186" s="5" t="str">
        <f>IFERROR(__xludf.DUMMYFUNCTION("GOOGLETRANSLATE(B2186,""en"",""zh-CN"")"),"一个男人在一个拿着口琴的办公室里谈话。")</f>
        <v>一个男人在一个拿着口琴的办公室里谈话。</v>
      </c>
    </row>
    <row r="2187">
      <c r="A2187" s="4" t="s">
        <v>2744</v>
      </c>
      <c r="B2187" s="4" t="s">
        <v>2746</v>
      </c>
      <c r="C2187" s="5" t="str">
        <f>IFERROR(__xludf.DUMMYFUNCTION("GOOGLETRANSLATE(B2187,""en"",""zh-CN"")"),"然后，该男子打开看台并打开收音机。")</f>
        <v>然后，该男子打开看台并打开收音机。</v>
      </c>
    </row>
    <row r="2188">
      <c r="A2188" s="4" t="s">
        <v>2744</v>
      </c>
      <c r="B2188" s="4" t="s">
        <v>2747</v>
      </c>
      <c r="C2188" s="5" t="str">
        <f>IFERROR(__xludf.DUMMYFUNCTION("GOOGLETRANSLATE(B2188,""en"",""zh-CN"")"),"之后，男人Plyas口琴。")</f>
        <v>之后，男人Plyas口琴。</v>
      </c>
    </row>
    <row r="2189">
      <c r="A2189" s="4" t="s">
        <v>2748</v>
      </c>
      <c r="B2189" s="6" t="s">
        <v>2749</v>
      </c>
      <c r="C2189" s="5" t="str">
        <f>IFERROR(__xludf.DUMMYFUNCTION("GOOGLETRANSLATE(B2189,""en"",""zh-CN"")"),"看到一大批陆军士兵在彼此的一侧举着一条大绳子，而其他士兵则在看。")</f>
        <v>看到一大批陆军士兵在彼此的一侧举着一条大绳子，而其他士兵则在看。</v>
      </c>
    </row>
    <row r="2190">
      <c r="A2190" s="4" t="s">
        <v>2748</v>
      </c>
      <c r="B2190" s="4" t="s">
        <v>2750</v>
      </c>
      <c r="C2190" s="5" t="str">
        <f>IFERROR(__xludf.DUMMYFUNCTION("GOOGLETRANSLATE(B2190,""en"",""zh-CN"")"),"一个人站在中间，人们开始彼此拉绳子。")</f>
        <v>一个人站在中间，人们开始彼此拉绳子。</v>
      </c>
    </row>
    <row r="2191">
      <c r="A2191" s="4" t="s">
        <v>2748</v>
      </c>
      <c r="B2191" s="4" t="s">
        <v>2751</v>
      </c>
      <c r="C2191" s="5" t="str">
        <f>IFERROR(__xludf.DUMMYFUNCTION("GOOGLETRANSLATE(B2191,""en"",""zh-CN"")"),"一侧将其他人拉下来，而团队的其余成员则在摄影机摇晃时欢呼。")</f>
        <v>一侧将其他人拉下来，而团队的其余成员则在摄影机摇晃时欢呼。</v>
      </c>
    </row>
    <row r="2192">
      <c r="A2192" s="4" t="s">
        <v>2752</v>
      </c>
      <c r="B2192" s="6" t="s">
        <v>2753</v>
      </c>
      <c r="C2192" s="5" t="str">
        <f>IFERROR(__xludf.DUMMYFUNCTION("GOOGLETRANSLATE(B2192,""en"",""zh-CN"")"),"视频显示，两个国家以蓝色和绿色制服为代表的两国在专业上玩板球比赛。")</f>
        <v>视频显示，两个国家以蓝色和绿色制服为代表的两国在专业上玩板球比赛。</v>
      </c>
    </row>
    <row r="2193">
      <c r="A2193" s="4" t="s">
        <v>2752</v>
      </c>
      <c r="B2193" s="4" t="s">
        <v>2754</v>
      </c>
      <c r="C2193" s="5" t="str">
        <f>IFERROR(__xludf.DUMMYFUNCTION("GOOGLETRANSLATE(B2193,""en"",""zh-CN"")"),"蝙蝠侠在投球手进行击球时击球。")</f>
        <v>蝙蝠侠在投球手进行击球时击球。</v>
      </c>
    </row>
    <row r="2194">
      <c r="A2194" s="4" t="s">
        <v>2752</v>
      </c>
      <c r="B2194" s="6" t="s">
        <v>2755</v>
      </c>
      <c r="C2194" s="5" t="str">
        <f>IFERROR(__xludf.DUMMYFUNCTION("GOOGLETRANSLATE(B2194,""en"",""zh-CN"")"),"下一个场景显示，一群穿着白色制服的板球运动员准备与队长聚集在一起时，他们准备比赛。")</f>
        <v>下一个场景显示，一群穿着白色制服的板球运动员准备与队长聚集在一起时，他们准备比赛。</v>
      </c>
    </row>
    <row r="2195">
      <c r="A2195" s="4" t="s">
        <v>2756</v>
      </c>
      <c r="B2195" s="4" t="s">
        <v>2757</v>
      </c>
      <c r="C2195" s="5" t="str">
        <f>IFERROR(__xludf.DUMMYFUNCTION("GOOGLETRANSLATE(B2195,""en"",""zh-CN"")"),"一个女孩带着呼啦圈走进房间的中央。")</f>
        <v>一个女孩带着呼啦圈走进房间的中央。</v>
      </c>
    </row>
    <row r="2196">
      <c r="A2196" s="4" t="s">
        <v>2756</v>
      </c>
      <c r="B2196" s="4" t="s">
        <v>2758</v>
      </c>
      <c r="C2196" s="5" t="str">
        <f>IFERROR(__xludf.DUMMYFUNCTION("GOOGLETRANSLATE(B2196,""en"",""zh-CN"")"),"她用箍做了几种行为和特技表演，将头和手臂带进去。")</f>
        <v>她用箍做了几种行为和特技表演，将头和手臂带进去。</v>
      </c>
    </row>
    <row r="2197">
      <c r="A2197" s="4" t="s">
        <v>2759</v>
      </c>
      <c r="B2197" s="4" t="s">
        <v>2760</v>
      </c>
      <c r="C2197" s="5" t="str">
        <f>IFERROR(__xludf.DUMMYFUNCTION("GOOGLETRANSLATE(B2197,""en"",""zh-CN"")"),"看到一个人在挥舞着相机时站在树旁边。")</f>
        <v>看到一个人在挥舞着相机时站在树旁边。</v>
      </c>
    </row>
    <row r="2198">
      <c r="A2198" s="4" t="s">
        <v>2759</v>
      </c>
      <c r="B2198" s="6" t="s">
        <v>2761</v>
      </c>
      <c r="C2198" s="5" t="str">
        <f>IFERROR(__xludf.DUMMYFUNCTION("GOOGLETRANSLATE(B2198,""en"",""zh-CN"")"),"然后，该人握住污垢，并将她的几个剪辑夹在一棵树上，并指着它。")</f>
        <v>然后，该人握住污垢，并将她的几个剪辑夹在一棵树上，并指着它。</v>
      </c>
    </row>
    <row r="2199">
      <c r="A2199" s="4" t="s">
        <v>2762</v>
      </c>
      <c r="B2199" s="6" t="s">
        <v>2763</v>
      </c>
      <c r="C2199" s="5" t="str">
        <f>IFERROR(__xludf.DUMMYFUNCTION("GOOGLETRANSLATE(B2199,""en"",""zh-CN"")"),"出现了云的简介屏幕，上面的蓝色单词说“水烟草技巧蒙太奇高清”。")</f>
        <v>出现了云的简介屏幕，上面的蓝色单词说“水烟草技巧蒙太奇高清”。</v>
      </c>
    </row>
    <row r="2200">
      <c r="A2200" s="4" t="s">
        <v>2762</v>
      </c>
      <c r="B2200" s="6" t="s">
        <v>2764</v>
      </c>
      <c r="C2200" s="5" t="str">
        <f>IFERROR(__xludf.DUMMYFUNCTION("GOOGLETRANSLATE(B2200,""en"",""zh-CN"")"),"在许多不同的人的剪辑之间出现了各种单词，从嘴里吹出烟雾并做了许多不同的技巧。当单词被拼在一起时，他们说“是时候使它正确”。")</f>
        <v>在许多不同的人的剪辑之间出现了各种单词，从嘴里吹出烟雾并做了许多不同的技巧。当单词被拼在一起时，他们说“是时候使它正确”。</v>
      </c>
    </row>
    <row r="2201">
      <c r="A2201" s="4" t="s">
        <v>2762</v>
      </c>
      <c r="B2201" s="6" t="s">
        <v>2765</v>
      </c>
      <c r="C2201" s="5" t="str">
        <f>IFERROR(__xludf.DUMMYFUNCTION("GOOGLETRANSLATE(B2201,""en"",""zh-CN"")"),"片段完成后，会出现黑屏，并出现蓝色字母，并说“谢谢您的观看”。")</f>
        <v>片段完成后，会出现黑屏，并出现蓝色字母，并说“谢谢您的观看”。</v>
      </c>
    </row>
    <row r="2202">
      <c r="A2202" s="4" t="s">
        <v>2766</v>
      </c>
      <c r="B2202" s="4" t="s">
        <v>2767</v>
      </c>
      <c r="C2202" s="5" t="str">
        <f>IFERROR(__xludf.DUMMYFUNCTION("GOOGLETRANSLATE(B2202,""en"",""zh-CN"")"),"一个男孩在碰碰车里，独自一人旋转。")</f>
        <v>一个男孩在碰碰车里，独自一人旋转。</v>
      </c>
    </row>
    <row r="2203">
      <c r="A2203" s="4" t="s">
        <v>2766</v>
      </c>
      <c r="B2203" s="4" t="s">
        <v>2768</v>
      </c>
      <c r="C2203" s="5" t="str">
        <f>IFERROR(__xludf.DUMMYFUNCTION("GOOGLETRANSLATE(B2203,""en"",""zh-CN"")"),"他在车上向前移动。")</f>
        <v>他在车上向前移动。</v>
      </c>
    </row>
    <row r="2204">
      <c r="A2204" s="4" t="s">
        <v>2766</v>
      </c>
      <c r="B2204" s="4" t="s">
        <v>2769</v>
      </c>
      <c r="C2204" s="5" t="str">
        <f>IFERROR(__xludf.DUMMYFUNCTION("GOOGLETRANSLATE(B2204,""en"",""zh-CN"")"),"当他终于停下来时，他看起来很孤独。")</f>
        <v>当他终于停下来时，他看起来很孤独。</v>
      </c>
    </row>
    <row r="2205">
      <c r="A2205" s="4" t="s">
        <v>2770</v>
      </c>
      <c r="B2205" s="4" t="s">
        <v>2771</v>
      </c>
      <c r="C2205" s="5" t="str">
        <f>IFERROR(__xludf.DUMMYFUNCTION("GOOGLETRANSLATE(B2205,""en"",""zh-CN"")"),"人们在一个盘旋的冰上互动。")</f>
        <v>人们在一个盘旋的冰上互动。</v>
      </c>
    </row>
    <row r="2206">
      <c r="A2206" s="4" t="s">
        <v>2770</v>
      </c>
      <c r="B2206" s="4" t="s">
        <v>2772</v>
      </c>
      <c r="C2206" s="5" t="str">
        <f>IFERROR(__xludf.DUMMYFUNCTION("GOOGLETRANSLATE(B2206,""en"",""zh-CN"")"),"一位女士与一群男性交谈。")</f>
        <v>一位女士与一群男性交谈。</v>
      </c>
    </row>
    <row r="2207">
      <c r="A2207" s="4" t="s">
        <v>2770</v>
      </c>
      <c r="B2207" s="4" t="s">
        <v>2773</v>
      </c>
      <c r="C2207" s="5" t="str">
        <f>IFERROR(__xludf.DUMMYFUNCTION("GOOGLETRANSLATE(B2207,""en"",""zh-CN"")"),"一个人滑倒，跌落在冰上，笑了。")</f>
        <v>一个人滑倒，跌落在冰上，笑了。</v>
      </c>
    </row>
    <row r="2208">
      <c r="A2208" s="4" t="s">
        <v>2770</v>
      </c>
      <c r="B2208" s="4" t="s">
        <v>2774</v>
      </c>
      <c r="C2208" s="5" t="str">
        <f>IFERROR(__xludf.DUMMYFUNCTION("GOOGLETRANSLATE(B2208,""en"",""zh-CN"")"),"一个男人张开嘴巴以表现出他的兴奋。")</f>
        <v>一个男人张开嘴巴以表现出他的兴奋。</v>
      </c>
    </row>
    <row r="2209">
      <c r="A2209" s="4" t="s">
        <v>2770</v>
      </c>
      <c r="B2209" s="4" t="s">
        <v>2775</v>
      </c>
      <c r="C2209" s="5" t="str">
        <f>IFERROR(__xludf.DUMMYFUNCTION("GOOGLETRANSLATE(B2209,""en"",""zh-CN"")"),"一位女士用扫帚停止了盘旋的石头。")</f>
        <v>一位女士用扫帚停止了盘旋的石头。</v>
      </c>
    </row>
    <row r="2210">
      <c r="A2210" s="4" t="s">
        <v>2770</v>
      </c>
      <c r="B2210" s="4" t="s">
        <v>2776</v>
      </c>
      <c r="C2210" s="5" t="str">
        <f>IFERROR(__xludf.DUMMYFUNCTION("GOOGLETRANSLATE(B2210,""en"",""zh-CN"")"),"显示了带有两个迷你剪辑的积分。")</f>
        <v>显示了带有两个迷你剪辑的积分。</v>
      </c>
    </row>
    <row r="2211">
      <c r="A2211" s="4" t="s">
        <v>2777</v>
      </c>
      <c r="B2211" s="4" t="s">
        <v>2778</v>
      </c>
      <c r="C2211" s="5" t="str">
        <f>IFERROR(__xludf.DUMMYFUNCTION("GOOGLETRANSLATE(B2211,""en"",""zh-CN"")"),"一个大男孩和一个年轻的男孩在壁球场上。")</f>
        <v>一个大男孩和一个年轻的男孩在壁球场上。</v>
      </c>
    </row>
    <row r="2212">
      <c r="A2212" s="4" t="s">
        <v>2777</v>
      </c>
      <c r="B2212" s="4" t="s">
        <v>2779</v>
      </c>
      <c r="C2212" s="5" t="str">
        <f>IFERROR(__xludf.DUMMYFUNCTION("GOOGLETRANSLATE(B2212,""en"",""zh-CN"")"),"他们来回撞到墙上。")</f>
        <v>他们来回撞到墙上。</v>
      </c>
    </row>
    <row r="2213">
      <c r="A2213" s="4" t="s">
        <v>2777</v>
      </c>
      <c r="B2213" s="4" t="s">
        <v>2780</v>
      </c>
      <c r="C2213" s="5" t="str">
        <f>IFERROR(__xludf.DUMMYFUNCTION("GOOGLETRANSLATE(B2213,""en"",""zh-CN"")"),"他们继续争夺球，试图在比赛中互相击败。")</f>
        <v>他们继续争夺球，试图在比赛中互相击败。</v>
      </c>
    </row>
    <row r="2214">
      <c r="A2214" s="4" t="s">
        <v>2781</v>
      </c>
      <c r="B2214" s="4" t="s">
        <v>2782</v>
      </c>
      <c r="C2214" s="5" t="str">
        <f>IFERROR(__xludf.DUMMYFUNCTION("GOOGLETRANSLATE(B2214,""en"",""zh-CN"")"),"我们在黑屏上看到标题。")</f>
        <v>我们在黑屏上看到标题。</v>
      </c>
    </row>
    <row r="2215">
      <c r="A2215" s="4" t="s">
        <v>2781</v>
      </c>
      <c r="B2215" s="4" t="s">
        <v>2783</v>
      </c>
      <c r="C2215" s="5" t="str">
        <f>IFERROR(__xludf.DUMMYFUNCTION("GOOGLETRANSLATE(B2215,""en"",""zh-CN"")"),"人们在滑雪坡上排队。")</f>
        <v>人们在滑雪坡上排队。</v>
      </c>
    </row>
    <row r="2216">
      <c r="A2216" s="4" t="s">
        <v>2781</v>
      </c>
      <c r="B2216" s="4" t="s">
        <v>2784</v>
      </c>
      <c r="C2216" s="5" t="str">
        <f>IFERROR(__xludf.DUMMYFUNCTION("GOOGLETRANSLATE(B2216,""en"",""zh-CN"")"),"我们看到筏子里的人被拉上山丘，骑着筏子沿着斜坡上骑行。")</f>
        <v>我们看到筏子里的人被拉上山丘，骑着筏子沿着斜坡上骑行。</v>
      </c>
    </row>
    <row r="2217">
      <c r="A2217" s="4" t="s">
        <v>2781</v>
      </c>
      <c r="B2217" s="4" t="s">
        <v>2785</v>
      </c>
      <c r="C2217" s="5" t="str">
        <f>IFERROR(__xludf.DUMMYFUNCTION("GOOGLETRANSLATE(B2217,""en"",""zh-CN"")"),"我们看到一个男人在山顶。")</f>
        <v>我们看到一个男人在山顶。</v>
      </c>
    </row>
    <row r="2218">
      <c r="A2218" s="4" t="s">
        <v>2781</v>
      </c>
      <c r="B2218" s="4" t="s">
        <v>2786</v>
      </c>
      <c r="C2218" s="5" t="str">
        <f>IFERROR(__xludf.DUMMYFUNCTION("GOOGLETRANSLATE(B2218,""en"",""zh-CN"")"),"我们看到写有相机被丢弃的写作。")</f>
        <v>我们看到写有相机被丢弃的写作。</v>
      </c>
    </row>
    <row r="2219">
      <c r="A2219" s="4" t="s">
        <v>2781</v>
      </c>
      <c r="B2219" s="4" t="s">
        <v>2787</v>
      </c>
      <c r="C2219" s="5" t="str">
        <f>IFERROR(__xludf.DUMMYFUNCTION("GOOGLETRANSLATE(B2219,""en"",""zh-CN"")"),"当他滑下山坡时，该男子拍摄了他的脸。")</f>
        <v>当他滑下山坡时，该男子拍摄了他的脸。</v>
      </c>
    </row>
    <row r="2220">
      <c r="A2220" s="4" t="s">
        <v>2781</v>
      </c>
      <c r="B2220" s="4" t="s">
        <v>2788</v>
      </c>
      <c r="C2220" s="5" t="str">
        <f>IFERROR(__xludf.DUMMYFUNCTION("GOOGLETRANSLATE(B2220,""en"",""zh-CN"")"),"我们看到一个年轻人在山上骑行时的脸。")</f>
        <v>我们看到一个年轻人在山上骑行时的脸。</v>
      </c>
    </row>
    <row r="2221">
      <c r="A2221" s="4" t="s">
        <v>2781</v>
      </c>
      <c r="B2221" s="4" t="s">
        <v>2789</v>
      </c>
      <c r="C2221" s="5" t="str">
        <f>IFERROR(__xludf.DUMMYFUNCTION("GOOGLETRANSLATE(B2221,""en"",""zh-CN"")"),"我们看到人们在停车场走上汽车。")</f>
        <v>我们看到人们在停车场走上汽车。</v>
      </c>
    </row>
    <row r="2222">
      <c r="A2222" s="4" t="s">
        <v>2781</v>
      </c>
      <c r="B2222" s="4" t="s">
        <v>2790</v>
      </c>
      <c r="C2222" s="5" t="str">
        <f>IFERROR(__xludf.DUMMYFUNCTION("GOOGLETRANSLATE(B2222,""en"",""zh-CN"")"),"最后，我们看到一个孩子躺在木筏上。")</f>
        <v>最后，我们看到一个孩子躺在木筏上。</v>
      </c>
    </row>
    <row r="2223">
      <c r="A2223" s="4" t="s">
        <v>2791</v>
      </c>
      <c r="B2223" s="4" t="s">
        <v>2792</v>
      </c>
      <c r="C2223" s="5" t="str">
        <f>IFERROR(__xludf.DUMMYFUNCTION("GOOGLETRANSLATE(B2223,""en"",""zh-CN"")"),"显示了一个倒计时，后面是一个女人抓到她的球。")</f>
        <v>显示了一个倒计时，后面是一个女人抓到她的球。</v>
      </c>
    </row>
    <row r="2224">
      <c r="A2224" s="4" t="s">
        <v>2791</v>
      </c>
      <c r="B2224" s="4" t="s">
        <v>2793</v>
      </c>
      <c r="C2224" s="5" t="str">
        <f>IFERROR(__xludf.DUMMYFUNCTION("GOOGLETRANSLATE(B2224,""en"",""zh-CN"")"),"这个数字降低了，并显示了更多女性打躲避球的片段。")</f>
        <v>这个数字降低了，并显示了更多女性打躲避球的片段。</v>
      </c>
    </row>
    <row r="2225">
      <c r="A2225" s="4" t="s">
        <v>2791</v>
      </c>
      <c r="B2225" s="4" t="s">
        <v>2794</v>
      </c>
      <c r="C2225" s="5" t="str">
        <f>IFERROR(__xludf.DUMMYFUNCTION("GOOGLETRANSLATE(B2225,""en"",""zh-CN"")"),"还显示了更多的数字和剪辑，以表演令人印象深刻的投掷。")</f>
        <v>还显示了更多的数字和剪辑，以表演令人印象深刻的投掷。</v>
      </c>
    </row>
    <row r="2226">
      <c r="A2226" s="4" t="s">
        <v>2795</v>
      </c>
      <c r="B2226" s="4" t="s">
        <v>2796</v>
      </c>
      <c r="C2226" s="5" t="str">
        <f>IFERROR(__xludf.DUMMYFUNCTION("GOOGLETRANSLATE(B2226,""en"",""zh-CN"")"),"一个男孩在森林里切碎木头。")</f>
        <v>一个男孩在森林里切碎木头。</v>
      </c>
    </row>
    <row r="2227">
      <c r="A2227" s="4" t="s">
        <v>2795</v>
      </c>
      <c r="B2227" s="4" t="s">
        <v>2797</v>
      </c>
      <c r="C2227" s="5" t="str">
        <f>IFERROR(__xludf.DUMMYFUNCTION("GOOGLETRANSLATE(B2227,""en"",""zh-CN"")"),"这个男孩几乎掉下了斧头。")</f>
        <v>这个男孩几乎掉下了斧头。</v>
      </c>
    </row>
    <row r="2228">
      <c r="A2228" s="4" t="s">
        <v>2795</v>
      </c>
      <c r="B2228" s="4" t="s">
        <v>2798</v>
      </c>
      <c r="C2228" s="5" t="str">
        <f>IFERROR(__xludf.DUMMYFUNCTION("GOOGLETRANSLATE(B2228,""en"",""zh-CN"")"),"男孩看着相机。")</f>
        <v>男孩看着相机。</v>
      </c>
    </row>
    <row r="2229">
      <c r="A2229" s="4" t="s">
        <v>2799</v>
      </c>
      <c r="B2229" s="4" t="s">
        <v>2800</v>
      </c>
      <c r="C2229" s="5" t="str">
        <f>IFERROR(__xludf.DUMMYFUNCTION("GOOGLETRANSLATE(B2229,""en"",""zh-CN"")"),"看到一个人走回车尽头，将手放在臀部上。")</f>
        <v>看到一个人走回车尽头，将手放在臀部上。</v>
      </c>
    </row>
    <row r="2230">
      <c r="A2230" s="4" t="s">
        <v>2799</v>
      </c>
      <c r="B2230" s="4" t="s">
        <v>2801</v>
      </c>
      <c r="C2230" s="5" t="str">
        <f>IFERROR(__xludf.DUMMYFUNCTION("GOOGLETRANSLATE(B2230,""en"",""zh-CN"")"),"他们意识到自己有一个扁平的轮胎，并拔出一个杰克试图将其脱掉。")</f>
        <v>他们意识到自己有一个扁平的轮胎，并拔出一个杰克试图将其脱掉。</v>
      </c>
    </row>
    <row r="2231">
      <c r="A2231" s="4" t="s">
        <v>2799</v>
      </c>
      <c r="B2231" s="4" t="s">
        <v>2802</v>
      </c>
      <c r="C2231" s="5" t="str">
        <f>IFERROR(__xludf.DUMMYFUNCTION("GOOGLETRANSLATE(B2231,""en"",""zh-CN"")"),"该名女子跌落并从桥上向后失败，降落在卡车上。")</f>
        <v>该名女子跌落并从桥上向后失败，降落在卡车上。</v>
      </c>
    </row>
    <row r="2232">
      <c r="A2232" s="4" t="s">
        <v>2803</v>
      </c>
      <c r="B2232" s="4" t="s">
        <v>2804</v>
      </c>
      <c r="C2232" s="5" t="str">
        <f>IFERROR(__xludf.DUMMYFUNCTION("GOOGLETRANSLATE(B2232,""en"",""zh-CN"")"),"一个蓝色马球的男人在相机上说话。")</f>
        <v>一个蓝色马球的男人在相机上说话。</v>
      </c>
    </row>
    <row r="2233">
      <c r="A2233" s="4" t="s">
        <v>2803</v>
      </c>
      <c r="B2233" s="4" t="s">
        <v>2805</v>
      </c>
      <c r="C2233" s="5" t="str">
        <f>IFERROR(__xludf.DUMMYFUNCTION("GOOGLETRANSLATE(B2233,""en"",""zh-CN"")"),"在不同的环境中，男人正在指导一个金发女人如何表演坐姿。")</f>
        <v>在不同的环境中，男人正在指导一个金发女人如何表演坐姿。</v>
      </c>
    </row>
    <row r="2234">
      <c r="A2234" s="4" t="s">
        <v>2803</v>
      </c>
      <c r="B2234" s="4" t="s">
        <v>2806</v>
      </c>
      <c r="C2234" s="5" t="str">
        <f>IFERROR(__xludf.DUMMYFUNCTION("GOOGLETRANSLATE(B2234,""en"",""zh-CN"")"),"女人确实坐了起来。")</f>
        <v>女人确实坐了起来。</v>
      </c>
    </row>
    <row r="2235">
      <c r="A2235" s="4" t="s">
        <v>2803</v>
      </c>
      <c r="B2235" s="4" t="s">
        <v>2807</v>
      </c>
      <c r="C2235" s="5" t="str">
        <f>IFERROR(__xludf.DUMMYFUNCTION("GOOGLETRANSLATE(B2235,""en"",""zh-CN"")"),"该男子回到相机上说话。")</f>
        <v>该男子回到相机上说话。</v>
      </c>
    </row>
    <row r="2236">
      <c r="A2236" s="4" t="s">
        <v>2808</v>
      </c>
      <c r="B2236" s="4" t="s">
        <v>2809</v>
      </c>
      <c r="C2236" s="5" t="str">
        <f>IFERROR(__xludf.DUMMYFUNCTION("GOOGLETRANSLATE(B2236,""en"",""zh-CN"")"),"显示了视频如何更改备用轮胎。")</f>
        <v>显示了视频如何更改备用轮胎。</v>
      </c>
    </row>
    <row r="2237">
      <c r="A2237" s="4" t="s">
        <v>2808</v>
      </c>
      <c r="B2237" s="4" t="s">
        <v>2810</v>
      </c>
      <c r="C2237" s="5" t="str">
        <f>IFERROR(__xludf.DUMMYFUNCTION("GOOGLETRANSLATE(B2237,""en"",""zh-CN"")"),"第一个轮胎被取下并替换，但没有其他事情。")</f>
        <v>第一个轮胎被取下并替换，但没有其他事情。</v>
      </c>
    </row>
    <row r="2238">
      <c r="A2238" s="4" t="s">
        <v>2811</v>
      </c>
      <c r="B2238" s="4" t="s">
        <v>2812</v>
      </c>
      <c r="C2238" s="5" t="str">
        <f>IFERROR(__xludf.DUMMYFUNCTION("GOOGLETRANSLATE(B2238,""en"",""zh-CN"")"),"我们在墙上看到一块飞镖板。")</f>
        <v>我们在墙上看到一块飞镖板。</v>
      </c>
    </row>
    <row r="2239">
      <c r="A2239" s="4" t="s">
        <v>2811</v>
      </c>
      <c r="B2239" s="4" t="s">
        <v>2813</v>
      </c>
      <c r="C2239" s="5" t="str">
        <f>IFERROR(__xludf.DUMMYFUNCTION("GOOGLETRANSLATE(B2239,""en"",""zh-CN"")"),"两个人正在玩飞镖游戏。")</f>
        <v>两个人正在玩飞镖游戏。</v>
      </c>
    </row>
    <row r="2240">
      <c r="A2240" s="4" t="s">
        <v>2811</v>
      </c>
      <c r="B2240" s="4" t="s">
        <v>2814</v>
      </c>
      <c r="C2240" s="5" t="str">
        <f>IFERROR(__xludf.DUMMYFUNCTION("GOOGLETRANSLATE(B2240,""en"",""zh-CN"")"),"我们看到相机操作员。")</f>
        <v>我们看到相机操作员。</v>
      </c>
    </row>
    <row r="2241">
      <c r="A2241" s="4" t="s">
        <v>2811</v>
      </c>
      <c r="B2241" s="4" t="s">
        <v>2815</v>
      </c>
      <c r="C2241" s="5" t="str">
        <f>IFERROR(__xludf.DUMMYFUNCTION("GOOGLETRANSLATE(B2241,""en"",""zh-CN"")"),"我们看到一个男人靠近相机。")</f>
        <v>我们看到一个男人靠近相机。</v>
      </c>
    </row>
    <row r="2242">
      <c r="A2242" s="4" t="s">
        <v>2811</v>
      </c>
      <c r="B2242" s="4" t="s">
        <v>2816</v>
      </c>
      <c r="C2242" s="5" t="str">
        <f>IFERROR(__xludf.DUMMYFUNCTION("GOOGLETRANSLATE(B2242,""en"",""zh-CN"")"),"我们看到一个男人近距离。")</f>
        <v>我们看到一个男人近距离。</v>
      </c>
    </row>
    <row r="2243">
      <c r="A2243" s="4" t="s">
        <v>2811</v>
      </c>
      <c r="B2243" s="4" t="s">
        <v>2817</v>
      </c>
      <c r="C2243" s="5" t="str">
        <f>IFERROR(__xludf.DUMMYFUNCTION("GOOGLETRANSLATE(B2243,""en"",""zh-CN"")"),"我们看到一条船上的袜子和一个靠近相机的男人。")</f>
        <v>我们看到一条船上的袜子和一个靠近相机的男人。</v>
      </c>
    </row>
    <row r="2244">
      <c r="A2244" s="4" t="s">
        <v>2818</v>
      </c>
      <c r="B2244" s="4" t="s">
        <v>2819</v>
      </c>
      <c r="C2244" s="5" t="str">
        <f>IFERROR(__xludf.DUMMYFUNCTION("GOOGLETRANSLATE(B2244,""en"",""zh-CN"")"),"看到一个男人在相机上说话，开始跪在屋顶上。")</f>
        <v>看到一个男人在相机上说话，开始跪在屋顶上。</v>
      </c>
    </row>
    <row r="2245">
      <c r="A2245" s="4" t="s">
        <v>2818</v>
      </c>
      <c r="B2245" s="6" t="s">
        <v>2820</v>
      </c>
      <c r="C2245" s="5" t="str">
        <f>IFERROR(__xludf.DUMMYFUNCTION("GOOGLETRANSLATE(B2245,""en"",""zh-CN"")"),"然后，该男子使用工具刮掉屋顶上的瓷砖，以及将它们放回原处的另一个工具。")</f>
        <v>然后，该男子使用工具刮掉屋顶上的瓷砖，以及将它们放回原处的另一个工具。</v>
      </c>
    </row>
    <row r="2246">
      <c r="A2246" s="4" t="s">
        <v>2818</v>
      </c>
      <c r="B2246" s="6" t="s">
        <v>2821</v>
      </c>
      <c r="C2246" s="5" t="str">
        <f>IFERROR(__xludf.DUMMYFUNCTION("GOOGLETRANSLATE(B2246,""en"",""zh-CN"")"),"该男子继续在屋顶上脱下瓷砖，然后通过微笑在相机上粘住其他瓷砖。")</f>
        <v>该男子继续在屋顶上脱下瓷砖，然后通过微笑在相机上粘住其他瓷砖。</v>
      </c>
    </row>
    <row r="2247">
      <c r="A2247" s="4" t="s">
        <v>2822</v>
      </c>
      <c r="B2247" s="4" t="s">
        <v>2823</v>
      </c>
      <c r="C2247" s="5" t="str">
        <f>IFERROR(__xludf.DUMMYFUNCTION("GOOGLETRANSLATE(B2247,""en"",""zh-CN"")"),"一个人踢出一个管子的参与者，沿着雪地滑梯骑行。")</f>
        <v>一个人踢出一个管子的参与者，沿着雪地滑梯骑行。</v>
      </c>
    </row>
    <row r="2248">
      <c r="A2248" s="4" t="s">
        <v>2822</v>
      </c>
      <c r="B2248" s="4" t="s">
        <v>2824</v>
      </c>
      <c r="C2248" s="5" t="str">
        <f>IFERROR(__xludf.DUMMYFUNCTION("GOOGLETRANSLATE(B2248,""en"",""zh-CN"")"),"摄像机锅锅给两个等待自己下来的块茎。")</f>
        <v>摄像机锅锅给两个等待自己下来的块茎。</v>
      </c>
    </row>
    <row r="2249">
      <c r="A2249" s="4" t="s">
        <v>2822</v>
      </c>
      <c r="B2249" s="4" t="s">
        <v>2825</v>
      </c>
      <c r="C2249" s="5" t="str">
        <f>IFERROR(__xludf.DUMMYFUNCTION("GOOGLETRANSLATE(B2249,""en"",""zh-CN"")"),"接下来的两个人沿着滑梯骑行。")</f>
        <v>接下来的两个人沿着滑梯骑行。</v>
      </c>
    </row>
    <row r="2250">
      <c r="A2250" s="4" t="s">
        <v>2822</v>
      </c>
      <c r="B2250" s="4" t="s">
        <v>2826</v>
      </c>
      <c r="C2250" s="5" t="str">
        <f>IFERROR(__xludf.DUMMYFUNCTION("GOOGLETRANSLATE(B2250,""en"",""zh-CN"")"),"最后，摄影师乘坐骑行，我们可以通过他们替代地生活。")</f>
        <v>最后，摄影师乘坐骑行，我们可以通过他们替代地生活。</v>
      </c>
    </row>
    <row r="2251">
      <c r="A2251" s="4" t="s">
        <v>2827</v>
      </c>
      <c r="B2251" s="4" t="s">
        <v>2828</v>
      </c>
      <c r="C2251" s="5" t="str">
        <f>IFERROR(__xludf.DUMMYFUNCTION("GOOGLETRANSLATE(B2251,""en"",""zh-CN"")"),"看到重量放在酒吧上，并导致一个跪下的人。")</f>
        <v>看到重量放在酒吧上，并导致一个跪下的人。</v>
      </c>
    </row>
    <row r="2252">
      <c r="A2252" s="4" t="s">
        <v>2827</v>
      </c>
      <c r="B2252" s="4" t="s">
        <v>2829</v>
      </c>
      <c r="C2252" s="5" t="str">
        <f>IFERROR(__xludf.DUMMYFUNCTION("GOOGLETRANSLATE(B2252,""en"",""zh-CN"")"),"该男子抓住一组重物，开始将其抬起头顶。")</f>
        <v>该男子抓住一组重物，开始将其抬起头顶。</v>
      </c>
    </row>
    <row r="2253">
      <c r="A2253" s="4" t="s">
        <v>2827</v>
      </c>
      <c r="B2253" s="4" t="s">
        <v>2830</v>
      </c>
      <c r="C2253" s="5" t="str">
        <f>IFERROR(__xludf.DUMMYFUNCTION("GOOGLETRANSLATE(B2253,""en"",""zh-CN"")"),"他将重量抬高，然后回到地面上。")</f>
        <v>他将重量抬高，然后回到地面上。</v>
      </c>
    </row>
    <row r="2254">
      <c r="A2254" s="4" t="s">
        <v>2831</v>
      </c>
      <c r="B2254" s="6" t="s">
        <v>2832</v>
      </c>
      <c r="C2254" s="5" t="str">
        <f>IFERROR(__xludf.DUMMYFUNCTION("GOOGLETRANSLATE(B2254,""en"",""zh-CN"")"),"一个穿着勃艮第马球的男孩在保龄球馆，将球高高地扔在空中，最终回到另一个车道上。")</f>
        <v>一个穿着勃艮第马球的男孩在保龄球馆，将球高高地扔在空中，最终回到另一个车道上。</v>
      </c>
    </row>
    <row r="2255">
      <c r="A2255" s="4" t="s">
        <v>2831</v>
      </c>
      <c r="B2255" s="4" t="s">
        <v>2833</v>
      </c>
      <c r="C2255" s="5" t="str">
        <f>IFERROR(__xludf.DUMMYFUNCTION("GOOGLETRANSLATE(B2255,""en"",""zh-CN"")"),"展示了更多的保龄球，当试图扔球时，它们开始掉入车道上。")</f>
        <v>展示了更多的保龄球，当试图扔球时，它们开始掉入车道上。</v>
      </c>
    </row>
    <row r="2256">
      <c r="A2256" s="4" t="s">
        <v>2831</v>
      </c>
      <c r="B2256" s="4" t="s">
        <v>2834</v>
      </c>
      <c r="C2256" s="5" t="str">
        <f>IFERROR(__xludf.DUMMYFUNCTION("GOOGLETRANSLATE(B2256,""en"",""zh-CN"")"),"然后，一个男人走来走去，在他的头上旋转，最终用球击中了别针。")</f>
        <v>然后，一个男人走来走去，在他的头上旋转，最终用球击中了别针。</v>
      </c>
    </row>
    <row r="2257">
      <c r="A2257" s="4" t="s">
        <v>2831</v>
      </c>
      <c r="B2257" s="4" t="s">
        <v>2835</v>
      </c>
      <c r="C2257" s="5" t="str">
        <f>IFERROR(__xludf.DUMMYFUNCTION("GOOGLETRANSLATE(B2257,""en"",""zh-CN"")"),"最后，正确投掷了球，该男子向他表示祝贺。")</f>
        <v>最后，正确投掷了球，该男子向他表示祝贺。</v>
      </c>
    </row>
    <row r="2258">
      <c r="A2258" s="4" t="s">
        <v>2836</v>
      </c>
      <c r="B2258" s="4" t="s">
        <v>2837</v>
      </c>
      <c r="C2258" s="5" t="str">
        <f>IFERROR(__xludf.DUMMYFUNCTION("GOOGLETRANSLATE(B2258,""en"",""zh-CN"")"),"人们在房间里锻炼。")</f>
        <v>人们在房间里锻炼。</v>
      </c>
    </row>
    <row r="2259">
      <c r="A2259" s="4" t="s">
        <v>2836</v>
      </c>
      <c r="B2259" s="4" t="s">
        <v>2838</v>
      </c>
      <c r="C2259" s="5" t="str">
        <f>IFERROR(__xludf.DUMMYFUNCTION("GOOGLETRANSLATE(B2259,""en"",""zh-CN"")"),"他们在蓝色垫子上上下走动。")</f>
        <v>他们在蓝色垫子上上下走动。</v>
      </c>
    </row>
    <row r="2260">
      <c r="A2260" s="4" t="s">
        <v>2836</v>
      </c>
      <c r="B2260" s="4" t="s">
        <v>2839</v>
      </c>
      <c r="C2260" s="5" t="str">
        <f>IFERROR(__xludf.DUMMYFUNCTION("GOOGLETRANSLATE(B2260,""en"",""zh-CN"")"),"他们开始举起双手。")</f>
        <v>他们开始举起双手。</v>
      </c>
    </row>
    <row r="2261">
      <c r="A2261" s="4" t="s">
        <v>2840</v>
      </c>
      <c r="B2261" s="4" t="s">
        <v>2841</v>
      </c>
      <c r="C2261" s="5" t="str">
        <f>IFERROR(__xludf.DUMMYFUNCTION("GOOGLETRANSLATE(B2261,""en"",""zh-CN"")"),"一个男人站在院子里，飞风筝。")</f>
        <v>一个男人站在院子里，飞风筝。</v>
      </c>
    </row>
    <row r="2262">
      <c r="A2262" s="4" t="s">
        <v>2840</v>
      </c>
      <c r="B2262" s="4" t="s">
        <v>2842</v>
      </c>
      <c r="C2262" s="5" t="str">
        <f>IFERROR(__xludf.DUMMYFUNCTION("GOOGLETRANSLATE(B2262,""en"",""zh-CN"")"),"一个女人站在他的面前，然后飞行风筝。")</f>
        <v>一个女人站在他的面前，然后飞行风筝。</v>
      </c>
    </row>
    <row r="2263">
      <c r="A2263" s="4" t="s">
        <v>2840</v>
      </c>
      <c r="B2263" s="4" t="s">
        <v>2843</v>
      </c>
      <c r="C2263" s="5" t="str">
        <f>IFERROR(__xludf.DUMMYFUNCTION("GOOGLETRANSLATE(B2263,""en"",""zh-CN"")"),"风筝显示在天空中。")</f>
        <v>风筝显示在天空中。</v>
      </c>
    </row>
    <row r="2264">
      <c r="A2264" s="4" t="s">
        <v>2840</v>
      </c>
      <c r="B2264" s="4" t="s">
        <v>2844</v>
      </c>
      <c r="C2264" s="5" t="str">
        <f>IFERROR(__xludf.DUMMYFUNCTION("GOOGLETRANSLATE(B2264,""en"",""zh-CN"")"),"另一个女人开始将风筝悬挂在外面。")</f>
        <v>另一个女人开始将风筝悬挂在外面。</v>
      </c>
    </row>
    <row r="2265">
      <c r="A2265" s="4" t="s">
        <v>2845</v>
      </c>
      <c r="B2265" s="4" t="s">
        <v>2846</v>
      </c>
      <c r="C2265" s="5" t="str">
        <f>IFERROR(__xludf.DUMMYFUNCTION("GOOGLETRANSLATE(B2265,""en"",""zh-CN"")"),"一名运动员建立了自己的立场，以便在田径比赛中扔碟片。")</f>
        <v>一名运动员建立了自己的立场，以便在田径比赛中扔碟片。</v>
      </c>
    </row>
    <row r="2266">
      <c r="A2266" s="4" t="s">
        <v>2845</v>
      </c>
      <c r="B2266" s="4" t="s">
        <v>2847</v>
      </c>
      <c r="C2266" s="5" t="str">
        <f>IFERROR(__xludf.DUMMYFUNCTION("GOOGLETRANSLATE(B2266,""en"",""zh-CN"")"),"女人把椎间盘扔到田野上。")</f>
        <v>女人把椎间盘扔到田野上。</v>
      </c>
    </row>
    <row r="2267">
      <c r="A2267" s="4" t="s">
        <v>2845</v>
      </c>
      <c r="B2267" s="4" t="s">
        <v>2848</v>
      </c>
      <c r="C2267" s="5" t="str">
        <f>IFERROR(__xludf.DUMMYFUNCTION("GOOGLETRANSLATE(B2267,""en"",""zh-CN"")"),"运动员庆祝投掷，人群欢呼。")</f>
        <v>运动员庆祝投掷，人群欢呼。</v>
      </c>
    </row>
    <row r="2268">
      <c r="A2268" s="4" t="s">
        <v>2845</v>
      </c>
      <c r="B2268" s="4" t="s">
        <v>2849</v>
      </c>
      <c r="C2268" s="5" t="str">
        <f>IFERROR(__xludf.DUMMYFUNCTION("GOOGLETRANSLATE(B2268,""en"",""zh-CN"")"),"可以看到女人的投掷。")</f>
        <v>可以看到女人的投掷。</v>
      </c>
    </row>
    <row r="2269">
      <c r="A2269" s="4" t="s">
        <v>2850</v>
      </c>
      <c r="B2269" s="4" t="s">
        <v>2851</v>
      </c>
      <c r="C2269" s="5" t="str">
        <f>IFERROR(__xludf.DUMMYFUNCTION("GOOGLETRANSLATE(B2269,""en"",""zh-CN"")"),"一个人在围栏法庭上解释说。")</f>
        <v>一个人在围栏法庭上解释说。</v>
      </c>
    </row>
    <row r="2270">
      <c r="A2270" s="4" t="s">
        <v>2850</v>
      </c>
      <c r="B2270" s="4" t="s">
        <v>2852</v>
      </c>
      <c r="C2270" s="5" t="str">
        <f>IFERROR(__xludf.DUMMYFUNCTION("GOOGLETRANSLATE(B2270,""en"",""zh-CN"")"),"然后，男人跳舞嘻哈，然后解释做嘻哈演示。")</f>
        <v>然后，男人跳舞嘻哈，然后解释做嘻哈演示。</v>
      </c>
    </row>
    <row r="2271">
      <c r="A2271" s="4" t="s">
        <v>2850</v>
      </c>
      <c r="B2271" s="6" t="s">
        <v>2853</v>
      </c>
      <c r="C2271" s="5" t="str">
        <f>IFERROR(__xludf.DUMMYFUNCTION("GOOGLETRANSLATE(B2271,""en"",""zh-CN"")"),"之后，那个男人坐在地板上，用手举起身体，旋转腿以进行嘻哈运动。")</f>
        <v>之后，那个男人坐在地板上，用手举起身体，旋转腿以进行嘻哈运动。</v>
      </c>
    </row>
    <row r="2272">
      <c r="A2272" s="4" t="s">
        <v>2854</v>
      </c>
      <c r="B2272" s="4" t="s">
        <v>2855</v>
      </c>
      <c r="C2272" s="5" t="str">
        <f>IFERROR(__xludf.DUMMYFUNCTION("GOOGLETRANSLATE(B2272,""en"",""zh-CN"")"),"一个男人的手里拿着飞盘，将其扔给他的黑白沙哑的狗。")</f>
        <v>一个男人的手里拿着飞盘，将其扔给他的黑白沙哑的狗。</v>
      </c>
    </row>
    <row r="2273">
      <c r="A2273" s="4" t="s">
        <v>2854</v>
      </c>
      <c r="B2273" s="4" t="s">
        <v>2856</v>
      </c>
      <c r="C2273" s="5" t="str">
        <f>IFERROR(__xludf.DUMMYFUNCTION("GOOGLETRANSLATE(B2273,""en"",""zh-CN"")"),"两人继续做技巧，狗跳了起来。")</f>
        <v>两人继续做技巧，狗跳了起来。</v>
      </c>
    </row>
    <row r="2274">
      <c r="A2274" s="4" t="s">
        <v>2854</v>
      </c>
      <c r="B2274" s="4" t="s">
        <v>2857</v>
      </c>
      <c r="C2274" s="5" t="str">
        <f>IFERROR(__xludf.DUMMYFUNCTION("GOOGLETRANSLATE(B2274,""en"",""zh-CN"")"),"扔了更多的飞盘，狗抓住了飞盘，男人拥抱狗。")</f>
        <v>扔了更多的飞盘，狗抓住了飞盘，男人拥抱狗。</v>
      </c>
    </row>
    <row r="2275">
      <c r="A2275" s="4" t="s">
        <v>2858</v>
      </c>
      <c r="B2275" s="4" t="s">
        <v>2859</v>
      </c>
      <c r="C2275" s="5" t="str">
        <f>IFERROR(__xludf.DUMMYFUNCTION("GOOGLETRANSLATE(B2275,""en"",""zh-CN"")"),"人们正在将家具移出客厅，甚至是地毯和所有东西。")</f>
        <v>人们正在将家具移出客厅，甚至是地毯和所有东西。</v>
      </c>
    </row>
    <row r="2276">
      <c r="A2276" s="4" t="s">
        <v>2858</v>
      </c>
      <c r="B2276" s="4" t="s">
        <v>2860</v>
      </c>
      <c r="C2276" s="5" t="str">
        <f>IFERROR(__xludf.DUMMYFUNCTION("GOOGLETRANSLATE(B2276,""en"",""zh-CN"")"),"他们进来扫地，然后开始放下一些篷布和木头。")</f>
        <v>他们进来扫地，然后开始放下一些篷布和木头。</v>
      </c>
    </row>
    <row r="2277">
      <c r="A2277" s="4" t="s">
        <v>2858</v>
      </c>
      <c r="B2277" s="4" t="s">
        <v>2861</v>
      </c>
      <c r="C2277" s="5" t="str">
        <f>IFERROR(__xludf.DUMMYFUNCTION("GOOGLETRANSLATE(B2277,""en"",""zh-CN"")"),"他们正在将地板从地毯改造成木地板。")</f>
        <v>他们正在将地板从地毯改造成木地板。</v>
      </c>
    </row>
    <row r="2278">
      <c r="A2278" s="4" t="s">
        <v>2858</v>
      </c>
      <c r="B2278" s="4" t="s">
        <v>2862</v>
      </c>
      <c r="C2278" s="5" t="str">
        <f>IFERROR(__xludf.DUMMYFUNCTION("GOOGLETRANSLATE(B2278,""en"",""zh-CN"")"),"地板完成后，他们带回了所有家具。")</f>
        <v>地板完成后，他们带回了所有家具。</v>
      </c>
    </row>
    <row r="2279">
      <c r="A2279" s="4" t="s">
        <v>2863</v>
      </c>
      <c r="B2279" s="4" t="s">
        <v>2864</v>
      </c>
      <c r="C2279" s="5" t="str">
        <f>IFERROR(__xludf.DUMMYFUNCTION("GOOGLETRANSLATE(B2279,""en"",""zh-CN"")"),"看到一个女人在相机上说话，并导致她剪头发。")</f>
        <v>看到一个女人在相机上说话，并导致她剪头发。</v>
      </c>
    </row>
    <row r="2280">
      <c r="A2280" s="4" t="s">
        <v>2863</v>
      </c>
      <c r="B2280" s="4" t="s">
        <v>2865</v>
      </c>
      <c r="C2280" s="5" t="str">
        <f>IFERROR(__xludf.DUMMYFUNCTION("GOOGLETRANSLATE(B2280,""en"",""zh-CN"")"),"当男人望向远处时，她继续剪和造型。")</f>
        <v>当男人望向远处时，她继续剪和造型。</v>
      </c>
    </row>
    <row r="2281">
      <c r="A2281" s="4" t="s">
        <v>2866</v>
      </c>
      <c r="B2281" s="4" t="s">
        <v>2867</v>
      </c>
      <c r="C2281" s="5" t="str">
        <f>IFERROR(__xludf.DUMMYFUNCTION("GOOGLETRANSLATE(B2281,""en"",""zh-CN"")"),"有一群穿着黄色背心正在冒险的a子。")</f>
        <v>有一群穿着黄色背心正在冒险的a子。</v>
      </c>
    </row>
    <row r="2282">
      <c r="A2282" s="4" t="s">
        <v>2866</v>
      </c>
      <c r="B2282" s="4" t="s">
        <v>2868</v>
      </c>
      <c r="C2282" s="5" t="str">
        <f>IFERROR(__xludf.DUMMYFUNCTION("GOOGLETRANSLATE(B2282,""en"",""zh-CN"")"),"当动荡的海浪向他们的筏子涌出时，他们正在将木筏划过河流。")</f>
        <v>当动荡的海浪向他们的筏子涌出时，他们正在将木筏划过河流。</v>
      </c>
    </row>
    <row r="2283">
      <c r="A2283" s="4" t="s">
        <v>2866</v>
      </c>
      <c r="B2283" s="4" t="s">
        <v>2869</v>
      </c>
      <c r="C2283" s="5" t="str">
        <f>IFERROR(__xludf.DUMMYFUNCTION("GOOGLETRANSLATE(B2283,""en"",""zh-CN"")"),"当他们在猛烈的海浪中漂浮时，他们继续漂流在河中。")</f>
        <v>当他们在猛烈的海浪中漂浮时，他们继续漂流在河中。</v>
      </c>
    </row>
    <row r="2284">
      <c r="A2284" s="4" t="s">
        <v>2866</v>
      </c>
      <c r="B2284" s="4" t="s">
        <v>2870</v>
      </c>
      <c r="C2284" s="5" t="str">
        <f>IFERROR(__xludf.DUMMYFUNCTION("GOOGLETRANSLATE(B2284,""en"",""zh-CN"")"),"尽管河流动荡不安，但after虫仍在维持生计。")</f>
        <v>尽管河流动荡不安，但after虫仍在维持生计。</v>
      </c>
    </row>
    <row r="2285">
      <c r="A2285" s="4" t="s">
        <v>2866</v>
      </c>
      <c r="B2285" s="4" t="s">
        <v>2871</v>
      </c>
      <c r="C2285" s="5" t="str">
        <f>IFERROR(__xludf.DUMMYFUNCTION("GOOGLETRANSLATE(B2285,""en"",""zh-CN"")"),"一些a子在山顶上，其中一个after在水中跳入水中。")</f>
        <v>一些a子在山顶上，其中一个after在水中跳入水中。</v>
      </c>
    </row>
    <row r="2286">
      <c r="A2286" s="4" t="s">
        <v>2866</v>
      </c>
      <c r="B2286" s="4" t="s">
        <v>2872</v>
      </c>
      <c r="C2286" s="5" t="str">
        <f>IFERROR(__xludf.DUMMYFUNCTION("GOOGLETRANSLATE(B2286,""en"",""zh-CN"")"),"after子继续穿越河流的动荡水域。")</f>
        <v>after子继续穿越河流的动荡水域。</v>
      </c>
    </row>
    <row r="2287">
      <c r="A2287" s="4" t="s">
        <v>2866</v>
      </c>
      <c r="B2287" s="4" t="s">
        <v>2873</v>
      </c>
      <c r="C2287" s="5" t="str">
        <f>IFERROR(__xludf.DUMMYFUNCTION("GOOGLETRANSLATE(B2287,""en"",""zh-CN"")"),"有一个人从高架起重机跳到河中。")</f>
        <v>有一个人从高架起重机跳到河中。</v>
      </c>
    </row>
    <row r="2288">
      <c r="A2288" s="4" t="s">
        <v>2874</v>
      </c>
      <c r="B2288" s="4" t="s">
        <v>2875</v>
      </c>
      <c r="C2288" s="5" t="str">
        <f>IFERROR(__xludf.DUMMYFUNCTION("GOOGLETRANSLATE(B2288,""en"",""zh-CN"")"),"一个女人站在水槽前一个混乱的厨房里，准备切碎东西。")</f>
        <v>一个女人站在水槽前一个混乱的厨房里，准备切碎东西。</v>
      </c>
    </row>
    <row r="2289">
      <c r="A2289" s="4" t="s">
        <v>2874</v>
      </c>
      <c r="B2289" s="4" t="s">
        <v>2876</v>
      </c>
      <c r="C2289" s="5" t="str">
        <f>IFERROR(__xludf.DUMMYFUNCTION("GOOGLETRANSLATE(B2289,""en"",""zh-CN"")"),"她抓住土豆和一个剥皮器，开始脱掉边缘。")</f>
        <v>她抓住土豆和一个剥皮器，开始脱掉边缘。</v>
      </c>
    </row>
    <row r="2290">
      <c r="A2290" s="4" t="s">
        <v>2874</v>
      </c>
      <c r="B2290" s="6" t="s">
        <v>2877</v>
      </c>
      <c r="C2290" s="5" t="str">
        <f>IFERROR(__xludf.DUMMYFUNCTION("GOOGLETRANSLATE(B2290,""en"",""zh-CN"")"),"当她继续切割时，两个年轻的女孩在厨房里走路，开始看着她并抢菜。")</f>
        <v>当她继续切割时，两个年轻的女孩在厨房里走路，开始看着她并抢菜。</v>
      </c>
    </row>
    <row r="2291">
      <c r="A2291" s="4" t="s">
        <v>2878</v>
      </c>
      <c r="B2291" s="4" t="s">
        <v>2879</v>
      </c>
      <c r="C2291" s="5" t="str">
        <f>IFERROR(__xludf.DUMMYFUNCTION("GOOGLETRANSLATE(B2291,""en"",""zh-CN"")"),"摔跤手在戒指上锁着头锁，一个男人跳到戒指外，推动男人。")</f>
        <v>摔跤手在戒指上锁着头锁，一个男人跳到戒指外，推动男人。</v>
      </c>
    </row>
    <row r="2292">
      <c r="A2292" s="4" t="s">
        <v>2878</v>
      </c>
      <c r="B2292" s="4" t="s">
        <v>2880</v>
      </c>
      <c r="C2292" s="5" t="str">
        <f>IFERROR(__xludf.DUMMYFUNCTION("GOOGLETRANSLATE(B2292,""en"",""zh-CN"")"),"裁判在戒指上，数列在地板上的摔跤手的几秒钟。")</f>
        <v>裁判在戒指上，数列在地板上的摔跤手的几秒钟。</v>
      </c>
    </row>
    <row r="2293">
      <c r="A2293" s="4" t="s">
        <v>2881</v>
      </c>
      <c r="B2293" s="4" t="s">
        <v>2882</v>
      </c>
      <c r="C2293" s="5" t="str">
        <f>IFERROR(__xludf.DUMMYFUNCTION("GOOGLETRANSLATE(B2293,""en"",""zh-CN"")"),"当摄像机奔向防晒新闻时，向一名妇女展示了一个新闻节目。")</f>
        <v>当摄像机奔向防晒新闻时，向一名妇女展示了一个新闻节目。</v>
      </c>
    </row>
    <row r="2294">
      <c r="A2294" s="4" t="s">
        <v>2881</v>
      </c>
      <c r="B2294" s="4" t="s">
        <v>2883</v>
      </c>
      <c r="C2294" s="5" t="str">
        <f>IFERROR(__xludf.DUMMYFUNCTION("GOOGLETRANSLATE(B2294,""en"",""zh-CN"")"),"有几个人在海滩上显示，并在防晒霜上接受了记者的采访。")</f>
        <v>有几个人在海滩上显示，并在防晒霜上接受了记者的采访。</v>
      </c>
    </row>
    <row r="2295">
      <c r="A2295" s="4" t="s">
        <v>2881</v>
      </c>
      <c r="B2295" s="4" t="s">
        <v>2884</v>
      </c>
      <c r="C2295" s="5" t="str">
        <f>IFERROR(__xludf.DUMMYFUNCTION("GOOGLETRANSLATE(B2295,""en"",""zh-CN"")"),"显示瓶子包含防晒霜，并戴上它。")</f>
        <v>显示瓶子包含防晒霜，并戴上它。</v>
      </c>
    </row>
    <row r="2296">
      <c r="A2296" s="4" t="s">
        <v>2881</v>
      </c>
      <c r="B2296" s="6" t="s">
        <v>2885</v>
      </c>
      <c r="C2296" s="5" t="str">
        <f>IFERROR(__xludf.DUMMYFUNCTION("GOOGLETRANSLATE(B2296,""en"",""zh-CN"")"),"记者与人们交谈，然后摇摇晃晃地回到用于防晒霜的衬衫和世界各地旅行的人们。")</f>
        <v>记者与人们交谈，然后摇摇晃晃地回到用于防晒霜的衬衫和世界各地旅行的人们。</v>
      </c>
    </row>
    <row r="2297">
      <c r="A2297" s="4" t="s">
        <v>2886</v>
      </c>
      <c r="B2297" s="4" t="s">
        <v>1487</v>
      </c>
      <c r="C2297" s="5" t="str">
        <f>IFERROR(__xludf.DUMMYFUNCTION("GOOGLETRANSLATE(B2297,""en"",""zh-CN"")"),"我们看到一个开放标题屏幕。")</f>
        <v>我们看到一个开放标题屏幕。</v>
      </c>
    </row>
    <row r="2298">
      <c r="A2298" s="4" t="s">
        <v>2886</v>
      </c>
      <c r="B2298" s="4" t="s">
        <v>2887</v>
      </c>
      <c r="C2298" s="5" t="str">
        <f>IFERROR(__xludf.DUMMYFUNCTION("GOOGLETRANSLATE(B2298,""en"",""zh-CN"")"),"一个男人在健身房里拿着羽毛球球拍并讲话。")</f>
        <v>一个男人在健身房里拿着羽毛球球拍并讲话。</v>
      </c>
    </row>
    <row r="2299">
      <c r="A2299" s="4" t="s">
        <v>2886</v>
      </c>
      <c r="B2299" s="4" t="s">
        <v>2888</v>
      </c>
      <c r="C2299" s="5" t="str">
        <f>IFERROR(__xludf.DUMMYFUNCTION("GOOGLETRANSLATE(B2299,""en"",""zh-CN"")"),"该男子向左倾斜，拿出球拍。")</f>
        <v>该男子向左倾斜，拿出球拍。</v>
      </c>
    </row>
    <row r="2300">
      <c r="A2300" s="4" t="s">
        <v>2886</v>
      </c>
      <c r="B2300" s="4" t="s">
        <v>2889</v>
      </c>
      <c r="C2300" s="5" t="str">
        <f>IFERROR(__xludf.DUMMYFUNCTION("GOOGLETRANSLATE(B2300,""en"",""zh-CN"")"),"该男子转向右边，向镜头示意。")</f>
        <v>该男子转向右边，向镜头示意。</v>
      </c>
    </row>
    <row r="2301">
      <c r="A2301" s="4" t="s">
        <v>2886</v>
      </c>
      <c r="B2301" s="4" t="s">
        <v>2890</v>
      </c>
      <c r="C2301" s="5" t="str">
        <f>IFERROR(__xludf.DUMMYFUNCTION("GOOGLETRANSLATE(B2301,""en"",""zh-CN"")"),"该男子与镜头说话，男人在屏幕上来回跳动。")</f>
        <v>该男子与镜头说话，男人在屏幕上来回跳动。</v>
      </c>
    </row>
    <row r="2302">
      <c r="A2302" s="4" t="s">
        <v>2886</v>
      </c>
      <c r="B2302" s="4" t="s">
        <v>2891</v>
      </c>
      <c r="C2302" s="5" t="str">
        <f>IFERROR(__xludf.DUMMYFUNCTION("GOOGLETRANSLATE(B2302,""en"",""zh-CN"")"),"该男子和相机交谈，男人倾斜了一次。")</f>
        <v>该男子和相机交谈，男人倾斜了一次。</v>
      </c>
    </row>
    <row r="2303">
      <c r="A2303" s="4" t="s">
        <v>2886</v>
      </c>
      <c r="B2303" s="4" t="s">
        <v>2892</v>
      </c>
      <c r="C2303" s="5" t="str">
        <f>IFERROR(__xludf.DUMMYFUNCTION("GOOGLETRANSLATE(B2303,""en"",""zh-CN"")"),"我们看到关闭标题屏幕。")</f>
        <v>我们看到关闭标题屏幕。</v>
      </c>
    </row>
    <row r="2304">
      <c r="A2304" s="4" t="s">
        <v>2893</v>
      </c>
      <c r="B2304" s="4" t="s">
        <v>2894</v>
      </c>
      <c r="C2304" s="5" t="str">
        <f>IFERROR(__xludf.DUMMYFUNCTION("GOOGLETRANSLATE(B2304,""en"",""zh-CN"")"),"一个男人在浴室的镜子前梳头。")</f>
        <v>一个男人在浴室的镜子前梳头。</v>
      </c>
    </row>
    <row r="2305">
      <c r="A2305" s="4" t="s">
        <v>2893</v>
      </c>
      <c r="B2305" s="4" t="s">
        <v>2895</v>
      </c>
      <c r="C2305" s="5" t="str">
        <f>IFERROR(__xludf.DUMMYFUNCTION("GOOGLETRANSLATE(B2305,""en"",""zh-CN"")"),"该男子伸手去拿嘶嘶声，然后修剪他的胡须。")</f>
        <v>该男子伸手去拿嘶嘶声，然后修剪他的胡须。</v>
      </c>
    </row>
    <row r="2306">
      <c r="A2306" s="4" t="s">
        <v>2893</v>
      </c>
      <c r="B2306" s="4" t="s">
        <v>2896</v>
      </c>
      <c r="C2306" s="5" t="str">
        <f>IFERROR(__xludf.DUMMYFUNCTION("GOOGLETRANSLATE(B2306,""en"",""zh-CN"")"),"该男子拿起他脖子上的乳液。")</f>
        <v>该男子拿起他脖子上的乳液。</v>
      </c>
    </row>
    <row r="2307">
      <c r="A2307" s="4" t="s">
        <v>2893</v>
      </c>
      <c r="B2307" s="4" t="s">
        <v>2897</v>
      </c>
      <c r="C2307" s="5" t="str">
        <f>IFERROR(__xludf.DUMMYFUNCTION("GOOGLETRANSLATE(B2307,""en"",""zh-CN"")"),"该男子捡起一包剃须刀，将它们组装到他的钢剃刀小工具中。")</f>
        <v>该男子捡起一包剃须刀，将它们组装到他的钢剃刀小工具中。</v>
      </c>
    </row>
    <row r="2308">
      <c r="A2308" s="4" t="s">
        <v>2893</v>
      </c>
      <c r="B2308" s="4" t="s">
        <v>2898</v>
      </c>
      <c r="C2308" s="5" t="str">
        <f>IFERROR(__xludf.DUMMYFUNCTION("GOOGLETRANSLATE(B2308,""en"",""zh-CN"")"),"该男子用剃刀修剪他的脸和胡须。")</f>
        <v>该男子用剃刀修剪他的脸和胡须。</v>
      </c>
    </row>
    <row r="2309">
      <c r="A2309" s="4" t="s">
        <v>2893</v>
      </c>
      <c r="B2309" s="4" t="s">
        <v>2899</v>
      </c>
      <c r="C2309" s="5" t="str">
        <f>IFERROR(__xludf.DUMMYFUNCTION("GOOGLETRANSLATE(B2309,""en"",""zh-CN"")"),"该男子捡起包裹并将产品应用于他的脸上。")</f>
        <v>该男子捡起包裹并将产品应用于他的脸上。</v>
      </c>
    </row>
    <row r="2310">
      <c r="A2310" s="4" t="s">
        <v>2893</v>
      </c>
      <c r="B2310" s="4" t="s">
        <v>2900</v>
      </c>
      <c r="C2310" s="5" t="str">
        <f>IFERROR(__xludf.DUMMYFUNCTION("GOOGLETRANSLATE(B2310,""en"",""zh-CN"")"),"该男子用毛巾擦拭脸。")</f>
        <v>该男子用毛巾擦拭脸。</v>
      </c>
    </row>
    <row r="2311">
      <c r="A2311" s="4" t="s">
        <v>2893</v>
      </c>
      <c r="B2311" s="4" t="s">
        <v>2901</v>
      </c>
      <c r="C2311" s="5" t="str">
        <f>IFERROR(__xludf.DUMMYFUNCTION("GOOGLETRANSLATE(B2311,""en"",""zh-CN"")"),"该男子从柜台捡起一瓶油，并将其涂在胡须上。")</f>
        <v>该男子从柜台捡起一瓶油，并将其涂在胡须上。</v>
      </c>
    </row>
    <row r="2312">
      <c r="A2312" s="4" t="s">
        <v>2902</v>
      </c>
      <c r="B2312" s="6" t="s">
        <v>2903</v>
      </c>
      <c r="C2312" s="5" t="str">
        <f>IFERROR(__xludf.DUMMYFUNCTION("GOOGLETRANSLATE(B2312,""en"",""zh-CN"")"),"显示了一个钓鱼孔的特写，其中一个人用物体钓鱼，另一个在远处站立。")</f>
        <v>显示了一个钓鱼孔的特写，其中一个人用物体钓鱼，另一个在远处站立。</v>
      </c>
    </row>
    <row r="2313">
      <c r="A2313" s="4" t="s">
        <v>2902</v>
      </c>
      <c r="B2313" s="4" t="s">
        <v>2904</v>
      </c>
      <c r="C2313" s="5" t="str">
        <f>IFERROR(__xludf.DUMMYFUNCTION("GOOGLETRANSLATE(B2313,""en"",""zh-CN"")"),"该男子使用这些物体捕获鱼并放大一个洞。")</f>
        <v>该男子使用这些物体捕获鱼并放大一个洞。</v>
      </c>
    </row>
    <row r="2314">
      <c r="A2314" s="4" t="s">
        <v>2902</v>
      </c>
      <c r="B2314" s="4" t="s">
        <v>2905</v>
      </c>
      <c r="C2314" s="5" t="str">
        <f>IFERROR(__xludf.DUMMYFUNCTION("GOOGLETRANSLATE(B2314,""en"",""zh-CN"")"),"他们终于收拾一个帐篷，然后随身携带。")</f>
        <v>他们终于收拾一个帐篷，然后随身携带。</v>
      </c>
    </row>
    <row r="2315">
      <c r="A2315" s="4" t="s">
        <v>2906</v>
      </c>
      <c r="B2315" s="4" t="s">
        <v>2907</v>
      </c>
      <c r="C2315" s="5" t="str">
        <f>IFERROR(__xludf.DUMMYFUNCTION("GOOGLETRANSLATE(B2315,""en"",""zh-CN"")"),"一个穿着红色衬衫的男人站在健身机旁边。")</f>
        <v>一个穿着红色衬衫的男人站在健身机旁边。</v>
      </c>
    </row>
    <row r="2316">
      <c r="A2316" s="4" t="s">
        <v>2906</v>
      </c>
      <c r="B2316" s="4" t="s">
        <v>2908</v>
      </c>
      <c r="C2316" s="5" t="str">
        <f>IFERROR(__xludf.DUMMYFUNCTION("GOOGLETRANSLATE(B2316,""en"",""zh-CN"")"),"他上了机器并开始锻炼。")</f>
        <v>他上了机器并开始锻炼。</v>
      </c>
    </row>
    <row r="2317">
      <c r="A2317" s="4" t="s">
        <v>2906</v>
      </c>
      <c r="B2317" s="4" t="s">
        <v>1599</v>
      </c>
      <c r="C2317" s="5" t="str">
        <f>IFERROR(__xludf.DUMMYFUNCTION("GOOGLETRANSLATE(B2317,""en"",""zh-CN"")"),"单词显示在屏幕上。")</f>
        <v>单词显示在屏幕上。</v>
      </c>
    </row>
    <row r="2318">
      <c r="A2318" s="4" t="s">
        <v>2909</v>
      </c>
      <c r="B2318" s="4" t="s">
        <v>2910</v>
      </c>
      <c r="C2318" s="5" t="str">
        <f>IFERROR(__xludf.DUMMYFUNCTION("GOOGLETRANSLATE(B2318,""en"",""zh-CN"")"),"一个女人用刷子和吹风机直将年轻女士的头发伸直。")</f>
        <v>一个女人用刷子和吹风机直将年轻女士的头发伸直。</v>
      </c>
    </row>
    <row r="2319">
      <c r="A2319" s="4" t="s">
        <v>2909</v>
      </c>
      <c r="B2319" s="4" t="s">
        <v>2911</v>
      </c>
      <c r="C2319" s="5" t="str">
        <f>IFERROR(__xludf.DUMMYFUNCTION("GOOGLETRANSLATE(B2319,""en"",""zh-CN"")"),"女人把头发的一部分抬起，然后用头发弯曲头发。")</f>
        <v>女人把头发的一部分抬起，然后用头发弯曲头发。</v>
      </c>
    </row>
    <row r="2320">
      <c r="A2320" s="4" t="s">
        <v>2912</v>
      </c>
      <c r="B2320" s="4" t="s">
        <v>2913</v>
      </c>
      <c r="C2320" s="5" t="str">
        <f>IFERROR(__xludf.DUMMYFUNCTION("GOOGLETRANSLATE(B2320,""en"",""zh-CN"")"),"看到一大批人站在一个停车场周围，一个人拿着球。")</f>
        <v>看到一大批人站在一个停车场周围，一个人拿着球。</v>
      </c>
    </row>
    <row r="2321">
      <c r="A2321" s="4" t="s">
        <v>2912</v>
      </c>
      <c r="B2321" s="6" t="s">
        <v>2914</v>
      </c>
      <c r="C2321" s="5" t="str">
        <f>IFERROR(__xludf.DUMMYFUNCTION("GOOGLETRANSLATE(B2321,""en"",""zh-CN"")"),"然后，小组在绕过该地区并互相投掷球时打出一场踢球比赛。")</f>
        <v>然后，小组在绕过该地区并互相投掷球时打出一场踢球比赛。</v>
      </c>
    </row>
    <row r="2322">
      <c r="A2322" s="4" t="s">
        <v>2912</v>
      </c>
      <c r="B2322" s="4" t="s">
        <v>2915</v>
      </c>
      <c r="C2322" s="5" t="str">
        <f>IFERROR(__xludf.DUMMYFUNCTION("GOOGLETRANSLATE(B2322,""en"",""zh-CN"")"),"人们继续四处走动，一边互相看和扔球。")</f>
        <v>人们继续四处走动，一边互相看和扔球。</v>
      </c>
    </row>
    <row r="2323">
      <c r="A2323" s="4" t="s">
        <v>2916</v>
      </c>
      <c r="B2323" s="6" t="s">
        <v>2917</v>
      </c>
      <c r="C2323" s="5" t="str">
        <f>IFERROR(__xludf.DUMMYFUNCTION("GOOGLETRANSLATE(B2323,""en"",""zh-CN"")"),"看到一大批人在迪士尼度假胜地周围奔跑，挥舞着相机，并显示了几张王国的镜头。")</f>
        <v>看到一大批人在迪士尼度假胜地周围奔跑，挥舞着相机，并显示了几张王国的镜头。</v>
      </c>
    </row>
    <row r="2324">
      <c r="A2324" s="4" t="s">
        <v>2916</v>
      </c>
      <c r="B2324" s="6" t="s">
        <v>2918</v>
      </c>
      <c r="C2324" s="5" t="str">
        <f>IFERROR(__xludf.DUMMYFUNCTION("GOOGLETRANSLATE(B2324,""en"",""zh-CN"")"),"显示了许多角色向跑步者挥舞着，以及更多的人奔跑过去的角色并浏览终点线并庆祝。")</f>
        <v>显示了许多角色向跑步者挥舞着，以及更多的人奔跑过去的角色并浏览终点线并庆祝。</v>
      </c>
    </row>
    <row r="2325">
      <c r="A2325" s="4" t="s">
        <v>2919</v>
      </c>
      <c r="B2325" s="4" t="s">
        <v>2920</v>
      </c>
      <c r="C2325" s="5" t="str">
        <f>IFERROR(__xludf.DUMMYFUNCTION("GOOGLETRANSLATE(B2325,""en"",""zh-CN"")"),"黑色围裙的人在鞋子上喷了白色泡沫。")</f>
        <v>黑色围裙的人在鞋子上喷了白色泡沫。</v>
      </c>
    </row>
    <row r="2326">
      <c r="A2326" s="4" t="s">
        <v>2919</v>
      </c>
      <c r="B2326" s="4" t="s">
        <v>2921</v>
      </c>
      <c r="C2326" s="5" t="str">
        <f>IFERROR(__xludf.DUMMYFUNCTION("GOOGLETRANSLATE(B2326,""en"",""zh-CN"")"),"该人在上面用白色泡沫刷鞋子。")</f>
        <v>该人在上面用白色泡沫刷鞋子。</v>
      </c>
    </row>
    <row r="2327">
      <c r="A2327" s="4" t="s">
        <v>2919</v>
      </c>
      <c r="B2327" s="6" t="s">
        <v>2922</v>
      </c>
      <c r="C2327" s="5" t="str">
        <f>IFERROR(__xludf.DUMMYFUNCTION("GOOGLETRANSLATE(B2327,""en"",""zh-CN"")"),"泡沫消失后，该人刷了鞋，并开始在其中喷洒化学物质，并抛光了鞋子的金属部分。")</f>
        <v>泡沫消失后，该人刷了鞋，并开始在其中喷洒化学物质，并抛光了鞋子的金属部分。</v>
      </c>
    </row>
    <row r="2328">
      <c r="A2328" s="4" t="s">
        <v>2923</v>
      </c>
      <c r="B2328" s="4" t="s">
        <v>2924</v>
      </c>
      <c r="C2328" s="5" t="str">
        <f>IFERROR(__xludf.DUMMYFUNCTION("GOOGLETRANSLATE(B2328,""en"",""zh-CN"")"),"一条大船沿着艰难的风暴行驶。")</f>
        <v>一条大船沿着艰难的风暴行驶。</v>
      </c>
    </row>
    <row r="2329">
      <c r="A2329" s="4" t="s">
        <v>2923</v>
      </c>
      <c r="B2329" s="6" t="s">
        <v>2925</v>
      </c>
      <c r="C2329" s="5" t="str">
        <f>IFERROR(__xludf.DUMMYFUNCTION("GOOGLETRANSLATE(B2329,""en"",""zh-CN"")"),"看到一个男人在暴风雨中引导船，并与摄像机交谈，以录像结尾。")</f>
        <v>看到一个男人在暴风雨中引导船，并与摄像机交谈，以录像结尾。</v>
      </c>
    </row>
    <row r="2330">
      <c r="A2330" s="4" t="s">
        <v>2926</v>
      </c>
      <c r="B2330" s="6" t="s">
        <v>2927</v>
      </c>
      <c r="C2330" s="5" t="str">
        <f>IFERROR(__xludf.DUMMYFUNCTION("GOOGLETRANSLATE(B2330,""en"",""zh-CN"")"),"看到一个年轻人站在游泳池旁，然后有几个男孩跳入游泳池里游泳的片段。")</f>
        <v>看到一个年轻人站在游泳池旁，然后有几个男孩跳入游泳池里游泳的片段。</v>
      </c>
    </row>
    <row r="2331">
      <c r="A2331" s="4" t="s">
        <v>2926</v>
      </c>
      <c r="B2331" s="6" t="s">
        <v>2928</v>
      </c>
      <c r="C2331" s="5" t="str">
        <f>IFERROR(__xludf.DUMMYFUNCTION("GOOGLETRANSLATE(B2331,""en"",""zh-CN"")"),"这个男孩继续在游泳池周围游泳，一个男人在他身后游泳，男孩在相机上微笑。")</f>
        <v>这个男孩继续在游泳池周围游泳，一个男人在他身后游泳，男孩在相机上微笑。</v>
      </c>
    </row>
    <row r="2332">
      <c r="A2332" s="4" t="s">
        <v>2929</v>
      </c>
      <c r="B2332" s="4" t="s">
        <v>2930</v>
      </c>
      <c r="C2332" s="5" t="str">
        <f>IFERROR(__xludf.DUMMYFUNCTION("GOOGLETRANSLATE(B2332,""en"",""zh-CN"")"),"三个孩子在海滩上制作一座沙堡。")</f>
        <v>三个孩子在海滩上制作一座沙堡。</v>
      </c>
    </row>
    <row r="2333">
      <c r="A2333" s="4" t="s">
        <v>2929</v>
      </c>
      <c r="B2333" s="4" t="s">
        <v>2931</v>
      </c>
      <c r="C2333" s="5" t="str">
        <f>IFERROR(__xludf.DUMMYFUNCTION("GOOGLETRANSLATE(B2333,""en"",""zh-CN"")"),"一个男人躺在他们旁边的毛巾上。")</f>
        <v>一个男人躺在他们旁边的毛巾上。</v>
      </c>
    </row>
    <row r="2334">
      <c r="A2334" s="4" t="s">
        <v>2932</v>
      </c>
      <c r="B2334" s="4" t="s">
        <v>2933</v>
      </c>
      <c r="C2334" s="5" t="str">
        <f>IFERROR(__xludf.DUMMYFUNCTION("GOOGLETRANSLATE(B2334,""en"",""zh-CN"")"),"出现近代广告后，显示了一排击剑手。")</f>
        <v>出现近代广告后，显示了一排击剑手。</v>
      </c>
    </row>
    <row r="2335">
      <c r="A2335" s="4" t="s">
        <v>2932</v>
      </c>
      <c r="B2335" s="6" t="s">
        <v>2934</v>
      </c>
      <c r="C2335" s="5" t="str">
        <f>IFERROR(__xludf.DUMMYFUNCTION("GOOGLETRANSLATE(B2335,""en"",""zh-CN"")"),"他们高五，并在几个剪辑中展出，然后回到舞台上的一排。")</f>
        <v>他们高五，并在几个剪辑中展出，然后回到舞台上的一排。</v>
      </c>
    </row>
    <row r="2336">
      <c r="A2336" s="4" t="s">
        <v>2932</v>
      </c>
      <c r="B2336" s="4" t="s">
        <v>2935</v>
      </c>
      <c r="C2336" s="5" t="str">
        <f>IFERROR(__xludf.DUMMYFUNCTION("GOOGLETRANSLATE(B2336,""en"",""zh-CN"")"),"一个人受伤，被带走。")</f>
        <v>一个人受伤，被带走。</v>
      </c>
    </row>
    <row r="2337">
      <c r="A2337" s="4" t="s">
        <v>2936</v>
      </c>
      <c r="B2337" s="4" t="s">
        <v>1487</v>
      </c>
      <c r="C2337" s="5" t="str">
        <f>IFERROR(__xludf.DUMMYFUNCTION("GOOGLETRANSLATE(B2337,""en"",""zh-CN"")"),"我们看到一个开放标题屏幕。")</f>
        <v>我们看到一个开放标题屏幕。</v>
      </c>
    </row>
    <row r="2338">
      <c r="A2338" s="4" t="s">
        <v>2936</v>
      </c>
      <c r="B2338" s="4" t="s">
        <v>2937</v>
      </c>
      <c r="C2338" s="5" t="str">
        <f>IFERROR(__xludf.DUMMYFUNCTION("GOOGLETRANSLATE(B2338,""en"",""zh-CN"")"),"一个戴着太阳镜的微笑男人打开漱口水和垃圾。")</f>
        <v>一个戴着太阳镜的微笑男人打开漱口水和垃圾。</v>
      </c>
    </row>
    <row r="2339">
      <c r="A2339" s="4" t="s">
        <v>2936</v>
      </c>
      <c r="B2339" s="4" t="s">
        <v>2938</v>
      </c>
      <c r="C2339" s="5" t="str">
        <f>IFERROR(__xludf.DUMMYFUNCTION("GOOGLETRANSLATE(B2339,""en"",""zh-CN"")"),"该男子吐在杯子里。")</f>
        <v>该男子吐在杯子里。</v>
      </c>
    </row>
    <row r="2340">
      <c r="A2340" s="4" t="s">
        <v>2936</v>
      </c>
      <c r="B2340" s="4" t="s">
        <v>2939</v>
      </c>
      <c r="C2340" s="5" t="str">
        <f>IFERROR(__xludf.DUMMYFUNCTION("GOOGLETRANSLATE(B2340,""en"",""zh-CN"")"),"一位女士从墙壁上取出一块牌匾。")</f>
        <v>一位女士从墙壁上取出一块牌匾。</v>
      </c>
    </row>
    <row r="2341">
      <c r="A2341" s="4" t="s">
        <v>2936</v>
      </c>
      <c r="B2341" s="4" t="s">
        <v>2940</v>
      </c>
      <c r="C2341" s="5" t="str">
        <f>IFERROR(__xludf.DUMMYFUNCTION("GOOGLETRANSLATE(B2341,""en"",""zh-CN"")"),"我们看到一个关闭屏幕。")</f>
        <v>我们看到一个关闭屏幕。</v>
      </c>
    </row>
    <row r="2342">
      <c r="A2342" s="4" t="s">
        <v>2941</v>
      </c>
      <c r="B2342" s="4" t="s">
        <v>1487</v>
      </c>
      <c r="C2342" s="5" t="str">
        <f>IFERROR(__xludf.DUMMYFUNCTION("GOOGLETRANSLATE(B2342,""en"",""zh-CN"")"),"我们看到一个开放标题屏幕。")</f>
        <v>我们看到一个开放标题屏幕。</v>
      </c>
    </row>
    <row r="2343">
      <c r="A2343" s="4" t="s">
        <v>2941</v>
      </c>
      <c r="B2343" s="4" t="s">
        <v>2942</v>
      </c>
      <c r="C2343" s="5" t="str">
        <f>IFERROR(__xludf.DUMMYFUNCTION("GOOGLETRANSLATE(B2343,""en"",""zh-CN"")"),"然后，该男子将石膏放在底座上，并在高跷时将其应用于天花板上。")</f>
        <v>然后，该男子将石膏放在底座上，并在高跷时将其应用于天花板上。</v>
      </c>
    </row>
    <row r="2344">
      <c r="A2344" s="4" t="s">
        <v>2941</v>
      </c>
      <c r="B2344" s="4" t="s">
        <v>2943</v>
      </c>
      <c r="C2344" s="5" t="str">
        <f>IFERROR(__xludf.DUMMYFUNCTION("GOOGLETRANSLATE(B2344,""en"",""zh-CN"")"),"该男子来回走动涂抹石膏。")</f>
        <v>该男子来回走动涂抹石膏。</v>
      </c>
    </row>
    <row r="2345">
      <c r="A2345" s="4" t="s">
        <v>2941</v>
      </c>
      <c r="B2345" s="4" t="s">
        <v>2944</v>
      </c>
      <c r="C2345" s="5" t="str">
        <f>IFERROR(__xludf.DUMMYFUNCTION("GOOGLETRANSLATE(B2345,""en"",""zh-CN"")"),"该男子走到并关闭相机。")</f>
        <v>该男子走到并关闭相机。</v>
      </c>
    </row>
    <row r="2346">
      <c r="A2346" s="4" t="s">
        <v>2941</v>
      </c>
      <c r="B2346" s="4" t="s">
        <v>777</v>
      </c>
      <c r="C2346" s="5" t="str">
        <f>IFERROR(__xludf.DUMMYFUNCTION("GOOGLETRANSLATE(B2346,""en"",""zh-CN"")"),"我们看到结尾标题屏幕。")</f>
        <v>我们看到结尾标题屏幕。</v>
      </c>
    </row>
    <row r="2347">
      <c r="A2347" s="4" t="s">
        <v>2945</v>
      </c>
      <c r="B2347" s="4" t="s">
        <v>1251</v>
      </c>
      <c r="C2347" s="5" t="str">
        <f>IFERROR(__xludf.DUMMYFUNCTION("GOOGLETRANSLATE(B2347,""en"",""zh-CN"")"),"显示了剪辑的信用。")</f>
        <v>显示了剪辑的信用。</v>
      </c>
    </row>
    <row r="2348">
      <c r="A2348" s="4" t="s">
        <v>2945</v>
      </c>
      <c r="B2348" s="4" t="s">
        <v>2946</v>
      </c>
      <c r="C2348" s="5" t="str">
        <f>IFERROR(__xludf.DUMMYFUNCTION("GOOGLETRANSLATE(B2348,""en"",""zh-CN"")"),"一个男人捡起棕色的靴子并刷它。")</f>
        <v>一个男人捡起棕色的靴子并刷它。</v>
      </c>
    </row>
    <row r="2349">
      <c r="A2349" s="4" t="s">
        <v>2945</v>
      </c>
      <c r="B2349" s="4" t="s">
        <v>2947</v>
      </c>
      <c r="C2349" s="5" t="str">
        <f>IFERROR(__xludf.DUMMYFUNCTION("GOOGLETRANSLATE(B2349,""en"",""zh-CN"")"),"一个人打开气溶胶罐并喷洒靴子。")</f>
        <v>一个人打开气溶胶罐并喷洒靴子。</v>
      </c>
    </row>
    <row r="2350">
      <c r="A2350" s="4" t="s">
        <v>2945</v>
      </c>
      <c r="B2350" s="4" t="s">
        <v>2948</v>
      </c>
      <c r="C2350" s="5" t="str">
        <f>IFERROR(__xludf.DUMMYFUNCTION("GOOGLETRANSLATE(B2350,""en"",""zh-CN"")"),"一个人在靴子的唯一边缘上摩擦黑管的产品。")</f>
        <v>一个人在靴子的唯一边缘上摩擦黑管的产品。</v>
      </c>
    </row>
    <row r="2351">
      <c r="A2351" s="4" t="s">
        <v>2945</v>
      </c>
      <c r="B2351" s="4" t="s">
        <v>573</v>
      </c>
      <c r="C2351" s="5" t="str">
        <f>IFERROR(__xludf.DUMMYFUNCTION("GOOGLETRANSLATE(B2351,""en"",""zh-CN"")"),"显示了视频的积分。")</f>
        <v>显示了视频的积分。</v>
      </c>
    </row>
    <row r="2352">
      <c r="A2352" s="4" t="s">
        <v>2949</v>
      </c>
      <c r="B2352" s="4" t="s">
        <v>2950</v>
      </c>
      <c r="C2352" s="5" t="str">
        <f>IFERROR(__xludf.DUMMYFUNCTION("GOOGLETRANSLATE(B2352,""en"",""zh-CN"")"),"一个穿着黑色衬衫的男人站在外面说话。")</f>
        <v>一个穿着黑色衬衫的男人站在外面说话。</v>
      </c>
    </row>
    <row r="2353">
      <c r="A2353" s="4" t="s">
        <v>2949</v>
      </c>
      <c r="B2353" s="4" t="s">
        <v>2951</v>
      </c>
      <c r="C2353" s="5" t="str">
        <f>IFERROR(__xludf.DUMMYFUNCTION("GOOGLETRANSLATE(B2353,""en"",""zh-CN"")"),"然后，他在游泳池里。")</f>
        <v>然后，他在游泳池里。</v>
      </c>
    </row>
    <row r="2354">
      <c r="A2354" s="4" t="s">
        <v>2949</v>
      </c>
      <c r="B2354" s="4" t="s">
        <v>2952</v>
      </c>
      <c r="C2354" s="5" t="str">
        <f>IFERROR(__xludf.DUMMYFUNCTION("GOOGLETRANSLATE(B2354,""en"",""zh-CN"")"),"他回到外面和镜头说话。")</f>
        <v>他回到外面和镜头说话。</v>
      </c>
    </row>
    <row r="2355">
      <c r="A2355" s="4" t="s">
        <v>2953</v>
      </c>
      <c r="B2355" s="4" t="s">
        <v>2954</v>
      </c>
      <c r="C2355" s="5" t="str">
        <f>IFERROR(__xludf.DUMMYFUNCTION("GOOGLETRANSLATE(B2355,""en"",""zh-CN"")"),"在保龄球馆，有很多人。")</f>
        <v>在保龄球馆，有很多人。</v>
      </c>
    </row>
    <row r="2356">
      <c r="A2356" s="4" t="s">
        <v>2953</v>
      </c>
      <c r="B2356" s="4" t="s">
        <v>2955</v>
      </c>
      <c r="C2356" s="5" t="str">
        <f>IFERROR(__xludf.DUMMYFUNCTION("GOOGLETRANSLATE(B2356,""en"",""zh-CN"")"),"小男孩轮到他滚来罢工。")</f>
        <v>小男孩轮到他滚来罢工。</v>
      </c>
    </row>
    <row r="2357">
      <c r="A2357" s="4" t="s">
        <v>2953</v>
      </c>
      <c r="B2357" s="4" t="s">
        <v>2956</v>
      </c>
      <c r="C2357" s="5" t="str">
        <f>IFERROR(__xludf.DUMMYFUNCTION("GOOGLETRANSLATE(B2357,""en"",""zh-CN"")"),"他等待他的球回来，准备好下一个回合，这是另一个罢工。")</f>
        <v>他等待他的球回来，准备好下一个回合，这是另一个罢工。</v>
      </c>
    </row>
    <row r="2358">
      <c r="A2358" s="4" t="s">
        <v>2953</v>
      </c>
      <c r="B2358" s="4" t="s">
        <v>2957</v>
      </c>
      <c r="C2358" s="5" t="str">
        <f>IFERROR(__xludf.DUMMYFUNCTION("GOOGLETRANSLATE(B2358,""en"",""zh-CN"")"),"他再次转弯并再次罢工，每个人都在祝贺和拥抱他。")</f>
        <v>他再次转弯并再次罢工，每个人都在祝贺和拥抱他。</v>
      </c>
    </row>
    <row r="2359">
      <c r="A2359" s="4" t="s">
        <v>2958</v>
      </c>
      <c r="B2359" s="4" t="s">
        <v>2959</v>
      </c>
      <c r="C2359" s="5" t="str">
        <f>IFERROR(__xludf.DUMMYFUNCTION("GOOGLETRANSLATE(B2359,""en"",""zh-CN"")"),"看到一个人沿着游泳池移动，而相机从后面观看。")</f>
        <v>看到一个人沿着游泳池移动，而相机从后面观看。</v>
      </c>
    </row>
    <row r="2360">
      <c r="A2360" s="4" t="s">
        <v>2958</v>
      </c>
      <c r="B2360" s="4" t="s">
        <v>2960</v>
      </c>
      <c r="C2360" s="5" t="str">
        <f>IFERROR(__xludf.DUMMYFUNCTION("GOOGLETRANSLATE(B2360,""en"",""zh-CN"")"),"然后看到一个男人在相机上说话，并四处移动。")</f>
        <v>然后看到一个男人在相机上说话，并四处移动。</v>
      </c>
    </row>
    <row r="2361">
      <c r="A2361" s="4" t="s">
        <v>2958</v>
      </c>
      <c r="B2361" s="4" t="s">
        <v>2961</v>
      </c>
      <c r="C2361" s="5" t="str">
        <f>IFERROR(__xludf.DUMMYFUNCTION("GOOGLETRANSLATE(B2361,""en"",""zh-CN"")"),"显示了更多的剪辑，该人沿着水游泳。")</f>
        <v>显示了更多的剪辑，该人沿着水游泳。</v>
      </c>
    </row>
    <row r="2362">
      <c r="A2362" s="4" t="s">
        <v>2962</v>
      </c>
      <c r="B2362" s="4" t="s">
        <v>2963</v>
      </c>
      <c r="C2362" s="5" t="str">
        <f>IFERROR(__xludf.DUMMYFUNCTION("GOOGLETRANSLATE(B2362,""en"",""zh-CN"")"),"穿着西装的主持人坐在他的清晰桌子上的笔记本电脑。")</f>
        <v>穿着西装的主持人坐在他的清晰桌子上的笔记本电脑。</v>
      </c>
    </row>
    <row r="2363">
      <c r="A2363" s="4" t="s">
        <v>2962</v>
      </c>
      <c r="B2363" s="4" t="s">
        <v>2964</v>
      </c>
      <c r="C2363" s="5" t="str">
        <f>IFERROR(__xludf.DUMMYFUNCTION("GOOGLETRANSLATE(B2363,""en"",""zh-CN"")"),"一个男人被公牛解决。")</f>
        <v>一个男人被公牛解决。</v>
      </c>
    </row>
    <row r="2364">
      <c r="A2364" s="4" t="s">
        <v>2962</v>
      </c>
      <c r="B2364" s="4" t="s">
        <v>2965</v>
      </c>
      <c r="C2364" s="5" t="str">
        <f>IFERROR(__xludf.DUMMYFUNCTION("GOOGLETRANSLATE(B2364,""en"",""zh-CN"")"),"那个男人站起来，他的嘴还很流血。")</f>
        <v>那个男人站起来，他的嘴还很流血。</v>
      </c>
    </row>
    <row r="2365">
      <c r="A2365" s="4" t="s">
        <v>2962</v>
      </c>
      <c r="B2365" s="4" t="s">
        <v>2966</v>
      </c>
      <c r="C2365" s="5" t="str">
        <f>IFERROR(__xludf.DUMMYFUNCTION("GOOGLETRANSLATE(B2365,""en"",""zh-CN"")"),"人们帮助该男子离开牛仔竞技场。")</f>
        <v>人们帮助该男子离开牛仔竞技场。</v>
      </c>
    </row>
    <row r="2366">
      <c r="A2366" s="4" t="s">
        <v>2967</v>
      </c>
      <c r="B2366" s="4" t="s">
        <v>2968</v>
      </c>
      <c r="C2366" s="5" t="str">
        <f>IFERROR(__xludf.DUMMYFUNCTION("GOOGLETRANSLATE(B2366,""en"",""zh-CN"")"),"一个年轻人站在舞台上，最终其他几个男孩穿着苏格兰短裙。")</f>
        <v>一个年轻人站在舞台上，最终其他几个男孩穿着苏格兰短裙。</v>
      </c>
    </row>
    <row r="2367">
      <c r="A2367" s="4" t="s">
        <v>2967</v>
      </c>
      <c r="B2367" s="4" t="s">
        <v>2969</v>
      </c>
      <c r="C2367" s="5" t="str">
        <f>IFERROR(__xludf.DUMMYFUNCTION("GOOGLETRANSLATE(B2367,""en"",""zh-CN"")"),"他们站在一个鼓前，只使用鼓执行例程。")</f>
        <v>他们站在一个鼓前，只使用鼓执行例程。</v>
      </c>
    </row>
    <row r="2368">
      <c r="A2368" s="4" t="s">
        <v>2967</v>
      </c>
      <c r="B2368" s="4" t="s">
        <v>2970</v>
      </c>
      <c r="C2368" s="5" t="str">
        <f>IFERROR(__xludf.DUMMYFUNCTION("GOOGLETRANSLATE(B2368,""en"",""zh-CN"")"),"男孩们不断旋转和翻转棍子，并继续表演鼓。")</f>
        <v>男孩们不断旋转和翻转棍子，并继续表演鼓。</v>
      </c>
    </row>
    <row r="2369">
      <c r="A2369" s="4" t="s">
        <v>2967</v>
      </c>
      <c r="B2369" s="4" t="s">
        <v>2971</v>
      </c>
      <c r="C2369" s="5" t="str">
        <f>IFERROR(__xludf.DUMMYFUNCTION("GOOGLETRANSLATE(B2369,""en"",""zh-CN"")"),"一个人站起来，开始演唱一首歌，而其他人也加入了歌曲。")</f>
        <v>一个人站起来，开始演唱一首歌，而其他人也加入了歌曲。</v>
      </c>
    </row>
    <row r="2370">
      <c r="A2370" s="4" t="s">
        <v>2967</v>
      </c>
      <c r="B2370" s="6" t="s">
        <v>2972</v>
      </c>
      <c r="C2370" s="5" t="str">
        <f>IFERROR(__xludf.DUMMYFUNCTION("GOOGLETRANSLATE(B2370,""en"",""zh-CN"")"),"他们的男孩回去演奏鼓，最终通过互相播放的鼓和比其他人更快而结束。")</f>
        <v>他们的男孩回去演奏鼓，最终通过互相播放的鼓和比其他人更快而结束。</v>
      </c>
    </row>
    <row r="2371">
      <c r="A2371" s="4" t="s">
        <v>2973</v>
      </c>
      <c r="B2371" s="4" t="s">
        <v>2974</v>
      </c>
      <c r="C2371" s="5" t="str">
        <f>IFERROR(__xludf.DUMMYFUNCTION("GOOGLETRANSLATE(B2371,""en"",""zh-CN"")"),"看到两只猫躺在彼此面对的床上。")</f>
        <v>看到两只猫躺在彼此面对的床上。</v>
      </c>
    </row>
    <row r="2372">
      <c r="A2372" s="4" t="s">
        <v>2973</v>
      </c>
      <c r="B2372" s="4" t="s">
        <v>2975</v>
      </c>
      <c r="C2372" s="5" t="str">
        <f>IFERROR(__xludf.DUMMYFUNCTION("GOOGLETRANSLATE(B2372,""en"",""zh-CN"")"),"一只猫开始舔另一只猫。")</f>
        <v>一只猫开始舔另一只猫。</v>
      </c>
    </row>
    <row r="2373">
      <c r="A2373" s="4" t="s">
        <v>2973</v>
      </c>
      <c r="B2373" s="4" t="s">
        <v>2976</v>
      </c>
      <c r="C2373" s="5" t="str">
        <f>IFERROR(__xludf.DUMMYFUNCTION("GOOGLETRANSLATE(B2373,""en"",""zh-CN"")"),"然后，第一只猫停下来，然后其他猫舔。")</f>
        <v>然后，第一只猫停下来，然后其他猫舔。</v>
      </c>
    </row>
    <row r="2374">
      <c r="A2374" s="4" t="s">
        <v>2977</v>
      </c>
      <c r="B2374" s="6" t="s">
        <v>2978</v>
      </c>
      <c r="C2374" s="5" t="str">
        <f>IFERROR(__xludf.DUMMYFUNCTION("GOOGLETRANSLATE(B2374,""en"",""zh-CN"")"),"展示了一群完成令人难以置信的特技表演和比赛的运动员以及数百人在观众中观看的蒙太奇。")</f>
        <v>展示了一群完成令人难以置信的特技表演和比赛的运动员以及数百人在观众中观看的蒙太奇。</v>
      </c>
    </row>
    <row r="2375">
      <c r="A2375" s="4" t="s">
        <v>2977</v>
      </c>
      <c r="B2375" s="6" t="s">
        <v>2979</v>
      </c>
      <c r="C2375" s="5" t="str">
        <f>IFERROR(__xludf.DUMMYFUNCTION("GOOGLETRANSLATE(B2375,""en"",""zh-CN"")"),"射门会导致更多的运动员跳过一根杆子，同时暂停了中间的比赛，并以慢动作再次显示了射门。")</f>
        <v>射门会导致更多的运动员跳过一根杆子，同时暂停了中间的比赛，并以慢动作再次显示了射门。</v>
      </c>
    </row>
    <row r="2376">
      <c r="A2376" s="4" t="s">
        <v>2977</v>
      </c>
      <c r="B2376" s="4" t="s">
        <v>2980</v>
      </c>
      <c r="C2376" s="5" t="str">
        <f>IFERROR(__xludf.DUMMYFUNCTION("GOOGLETRANSLATE(B2376,""en"",""zh-CN"")"),"最后的体操运动员向相机挥手，走开了。")</f>
        <v>最后的体操运动员向相机挥手，走开了。</v>
      </c>
    </row>
    <row r="2377">
      <c r="A2377" s="4" t="s">
        <v>2981</v>
      </c>
      <c r="B2377" s="4" t="s">
        <v>2982</v>
      </c>
      <c r="C2377" s="5" t="str">
        <f>IFERROR(__xludf.DUMMYFUNCTION("GOOGLETRANSLATE(B2377,""en"",""zh-CN"")"),"看到潜水准备好站立，双臂伸到一边。")</f>
        <v>看到潜水准备好站立，双臂伸到一边。</v>
      </c>
    </row>
    <row r="2378">
      <c r="A2378" s="4" t="s">
        <v>2981</v>
      </c>
      <c r="B2378" s="4" t="s">
        <v>2983</v>
      </c>
      <c r="C2378" s="5" t="str">
        <f>IFERROR(__xludf.DUMMYFUNCTION("GOOGLETRANSLATE(B2378,""en"",""zh-CN"")"),"然后，该男子进行了令人印象深刻的潜水，然后是其他人潜水的几个片段。")</f>
        <v>然后，该男子进行了令人印象深刻的潜水，然后是其他人潜水的几个片段。</v>
      </c>
    </row>
    <row r="2379">
      <c r="A2379" s="4" t="s">
        <v>2984</v>
      </c>
      <c r="B2379" s="6" t="s">
        <v>2985</v>
      </c>
      <c r="C2379" s="5" t="str">
        <f>IFERROR(__xludf.DUMMYFUNCTION("GOOGLETRANSLATE(B2379,""en"",""zh-CN"")"),"一个少年站在赛道上，然后在青少年站着走路之后，他跑到沙盒上跳了很长时间。")</f>
        <v>一个少年站在赛道上，然后在青少年站着走路之后，他跑到沙盒上跳了很长时间。</v>
      </c>
    </row>
    <row r="2380">
      <c r="A2380" s="4" t="s">
        <v>2984</v>
      </c>
      <c r="B2380" s="4" t="s">
        <v>2986</v>
      </c>
      <c r="C2380" s="5" t="str">
        <f>IFERROR(__xludf.DUMMYFUNCTION("GOOGLETRANSLATE(B2380,""en"",""zh-CN"")"),"一个人在这个少年后面经过。")</f>
        <v>一个人在这个少年后面经过。</v>
      </c>
    </row>
    <row r="2381">
      <c r="A2381" s="4" t="s">
        <v>2984</v>
      </c>
      <c r="B2381" s="4" t="s">
        <v>2987</v>
      </c>
      <c r="C2381" s="5" t="str">
        <f>IFERROR(__xludf.DUMMYFUNCTION("GOOGLETRANSLATE(B2381,""en"",""zh-CN"")"),"一名运动员在沙盒中表演跳远。")</f>
        <v>一名运动员在沙盒中表演跳远。</v>
      </c>
    </row>
    <row r="2382">
      <c r="A2382" s="4" t="s">
        <v>2984</v>
      </c>
      <c r="B2382" s="4" t="s">
        <v>2988</v>
      </c>
      <c r="C2382" s="5" t="str">
        <f>IFERROR(__xludf.DUMMYFUNCTION("GOOGLETRANSLATE(B2382,""en"",""zh-CN"")"),"另一位运动员跑步并跳过沙盒。")</f>
        <v>另一位运动员跑步并跳过沙盒。</v>
      </c>
    </row>
    <row r="2383">
      <c r="A2383" s="4" t="s">
        <v>2989</v>
      </c>
      <c r="B2383" s="4" t="s">
        <v>2990</v>
      </c>
      <c r="C2383" s="5" t="str">
        <f>IFERROR(__xludf.DUMMYFUNCTION("GOOGLETRANSLATE(B2383,""en"",""zh-CN"")"),"男人有椅子，正在坐在地铁的方式上，制作一些音乐。")</f>
        <v>男人有椅子，正在坐在地铁的方式上，制作一些音乐。</v>
      </c>
    </row>
    <row r="2384">
      <c r="A2384" s="4" t="s">
        <v>2989</v>
      </c>
      <c r="B2384" s="4" t="s">
        <v>2991</v>
      </c>
      <c r="C2384" s="5" t="str">
        <f>IFERROR(__xludf.DUMMYFUNCTION("GOOGLETRANSLATE(B2384,""en"",""zh-CN"")"),"其中一个正在弹吉他，其中两个正在弹小提琴。")</f>
        <v>其中一个正在弹吉他，其中两个正在弹小提琴。</v>
      </c>
    </row>
    <row r="2385">
      <c r="A2385" s="4" t="s">
        <v>2989</v>
      </c>
      <c r="B2385" s="6" t="s">
        <v>2992</v>
      </c>
      <c r="C2385" s="5" t="str">
        <f>IFERROR(__xludf.DUMMYFUNCTION("GOOGLETRANSLATE(B2385,""en"",""zh-CN"")"),"人们走在他们身边，一个孩子推一辆婴儿车，其他一些孩子来停下来看着他们一点点。")</f>
        <v>人们走在他们身边，一个孩子推一辆婴儿车，其他一些孩子来停下来看着他们一点点。</v>
      </c>
    </row>
    <row r="2386">
      <c r="A2386" s="4" t="s">
        <v>2989</v>
      </c>
      <c r="B2386" s="6" t="s">
        <v>2993</v>
      </c>
      <c r="C2386" s="5" t="str">
        <f>IFERROR(__xludf.DUMMYFUNCTION("GOOGLETRANSLATE(B2386,""en"",""zh-CN"")"),"实际上，有一群人停下来观看他们的比赛，鼓掌，其中一位在他们的案子中留下了钱。")</f>
        <v>实际上，有一群人停下来观看他们的比赛，鼓掌，其中一位在他们的案子中留下了钱。</v>
      </c>
    </row>
    <row r="2387">
      <c r="A2387" s="4" t="s">
        <v>2994</v>
      </c>
      <c r="B2387" s="4" t="s">
        <v>2995</v>
      </c>
      <c r="C2387" s="5" t="str">
        <f>IFERROR(__xludf.DUMMYFUNCTION("GOOGLETRANSLATE(B2387,""en"",""zh-CN"")"),"一个男人跳到两个酒吧上。")</f>
        <v>一个男人跳到两个酒吧上。</v>
      </c>
    </row>
    <row r="2388">
      <c r="A2388" s="4" t="s">
        <v>2994</v>
      </c>
      <c r="B2388" s="4" t="s">
        <v>2996</v>
      </c>
      <c r="C2388" s="5" t="str">
        <f>IFERROR(__xludf.DUMMYFUNCTION("GOOGLETRANSLATE(B2388,""en"",""zh-CN"")"),"他在酒吧做体操例行。")</f>
        <v>他在酒吧做体操例行。</v>
      </c>
    </row>
    <row r="2389">
      <c r="A2389" s="4" t="s">
        <v>2994</v>
      </c>
      <c r="B2389" s="4" t="s">
        <v>2997</v>
      </c>
      <c r="C2389" s="5" t="str">
        <f>IFERROR(__xludf.DUMMYFUNCTION("GOOGLETRANSLATE(B2389,""en"",""zh-CN"")"),"一件白夹克的男人看着他表演。")</f>
        <v>一件白夹克的男人看着他表演。</v>
      </c>
    </row>
    <row r="2390">
      <c r="A2390" s="4" t="s">
        <v>2994</v>
      </c>
      <c r="B2390" s="4" t="s">
        <v>2998</v>
      </c>
      <c r="C2390" s="5" t="str">
        <f>IFERROR(__xludf.DUMMYFUNCTION("GOOGLETRANSLATE(B2390,""en"",""zh-CN"")"),"他翻转并降落在垫子上。")</f>
        <v>他翻转并降落在垫子上。</v>
      </c>
    </row>
    <row r="2391">
      <c r="A2391" s="4" t="s">
        <v>2994</v>
      </c>
      <c r="B2391" s="4" t="s">
        <v>2999</v>
      </c>
      <c r="C2391" s="5" t="str">
        <f>IFERROR(__xludf.DUMMYFUNCTION("GOOGLETRANSLATE(B2391,""en"",""zh-CN"")"),"他着陆后，人群为他鼓掌。")</f>
        <v>他着陆后，人群为他鼓掌。</v>
      </c>
    </row>
    <row r="2392">
      <c r="A2392" s="4" t="s">
        <v>3000</v>
      </c>
      <c r="B2392" s="4" t="s">
        <v>3001</v>
      </c>
      <c r="C2392" s="5" t="str">
        <f>IFERROR(__xludf.DUMMYFUNCTION("GOOGLETRANSLATE(B2392,""en"",""zh-CN"")"),"看到两个人在相机上说话，然后有几个人击球。")</f>
        <v>看到两个人在相机上说话，然后有几个人击球。</v>
      </c>
    </row>
    <row r="2393">
      <c r="A2393" s="4" t="s">
        <v>3000</v>
      </c>
      <c r="B2393" s="6" t="s">
        <v>3002</v>
      </c>
      <c r="C2393" s="5" t="str">
        <f>IFERROR(__xludf.DUMMYFUNCTION("GOOGLETRANSLATE(B2393,""en"",""zh-CN"")"),"显示了更多的镜头，人们拿着棍子，通过帮助和与镜头交谈，与另一名教练一起击球。")</f>
        <v>显示了更多的镜头，人们拿着棍子，通过帮助和与镜头交谈，与另一名教练一起击球。</v>
      </c>
    </row>
    <row r="2394">
      <c r="A2394" s="4" t="s">
        <v>3003</v>
      </c>
      <c r="B2394" s="4" t="s">
        <v>3004</v>
      </c>
      <c r="C2394" s="5" t="str">
        <f>IFERROR(__xludf.DUMMYFUNCTION("GOOGLETRANSLATE(B2394,""en"",""zh-CN"")"),"看到一个人坐在凳子上，将自行车的几个部分拼凑在一起。")</f>
        <v>看到一个人坐在凳子上，将自行车的几个部分拼凑在一起。</v>
      </c>
    </row>
    <row r="2395">
      <c r="A2395" s="4" t="s">
        <v>3003</v>
      </c>
      <c r="B2395" s="4" t="s">
        <v>3005</v>
      </c>
      <c r="C2395" s="5" t="str">
        <f>IFERROR(__xludf.DUMMYFUNCTION("GOOGLETRANSLATE(B2395,""en"",""zh-CN"")"),"该人继续将自行车拼凑在一起，最后在成品周围拼凑出来。")</f>
        <v>该人继续将自行车拼凑在一起，最后在成品周围拼凑出来。</v>
      </c>
    </row>
    <row r="2396">
      <c r="A2396" s="4" t="s">
        <v>3006</v>
      </c>
      <c r="B2396" s="4" t="s">
        <v>3007</v>
      </c>
      <c r="C2396" s="5" t="str">
        <f>IFERROR(__xludf.DUMMYFUNCTION("GOOGLETRANSLATE(B2396,""en"",""zh-CN"")"),"一艘绿色的船上有黑色和白色的口音，在水上滑行。")</f>
        <v>一艘绿色的船上有黑色和白色的口音，在水上滑行。</v>
      </c>
    </row>
    <row r="2397">
      <c r="A2397" s="4" t="s">
        <v>3006</v>
      </c>
      <c r="B2397" s="4" t="s">
        <v>3008</v>
      </c>
      <c r="C2397" s="5" t="str">
        <f>IFERROR(__xludf.DUMMYFUNCTION("GOOGLETRANSLATE(B2397,""en"",""zh-CN"")"),"一条蓝色和黑色的鞋子在甲板上放在右侧。")</f>
        <v>一条蓝色和黑色的鞋子在甲板上放在右侧。</v>
      </c>
    </row>
    <row r="2398">
      <c r="A2398" s="4" t="s">
        <v>3006</v>
      </c>
      <c r="B2398" s="6" t="s">
        <v>3009</v>
      </c>
      <c r="C2398" s="5" t="str">
        <f>IFERROR(__xludf.DUMMYFUNCTION("GOOGLETRANSLATE(B2398,""en"",""zh-CN"")"),"一个男人现在站在蓝色鞋子附着的水板上，他拿着一条蓝色的绳子，上面固定在三角形手柄上。")</f>
        <v>一个男人现在站在蓝色鞋子附着的水板上，他拿着一条蓝色的绳子，上面固定在三角形手柄上。</v>
      </c>
    </row>
    <row r="2399">
      <c r="A2399" s="4" t="s">
        <v>3006</v>
      </c>
      <c r="B2399" s="6" t="s">
        <v>3010</v>
      </c>
      <c r="C2399" s="5" t="str">
        <f>IFERROR(__xludf.DUMMYFUNCTION("GOOGLETRANSLATE(B2399,""en"",""zh-CN"")"),"黑屏上的白色单词出现并阅读Zucky Wakeboarding 2015 Summer，然后消失。")</f>
        <v>黑屏上的白色单词出现并阅读Zucky Wakeboarding 2015 Summer，然后消失。</v>
      </c>
    </row>
    <row r="2400">
      <c r="A2400" s="4" t="s">
        <v>3006</v>
      </c>
      <c r="B2400" s="6" t="s">
        <v>3011</v>
      </c>
      <c r="C2400" s="5" t="str">
        <f>IFERROR(__xludf.DUMMYFUNCTION("GOOGLETRANSLATE(B2400,""en"",""zh-CN"")"),"该男子再次被展示，现在他握住连接到绳索的手柄时，他正在运动唤醒，并且他正在从一侧到另一侧进行各种技巧，偶尔跳跃，旋转甚至一次。")</f>
        <v>该男子再次被展示，现在他握住连接到绳索的手柄时，他正在运动唤醒，并且他正在从一侧到另一侧进行各种技巧，偶尔跳跃，旋转甚至一次。</v>
      </c>
    </row>
    <row r="2401">
      <c r="A2401" s="4" t="s">
        <v>3006</v>
      </c>
      <c r="B2401" s="4" t="s">
        <v>3012</v>
      </c>
      <c r="C2401" s="5" t="str">
        <f>IFERROR(__xludf.DUMMYFUNCTION("GOOGLETRANSLATE(B2401,""en"",""zh-CN"")"),"视频以黑屏上的白色单词和数字结尾，读取 - 末端编辑器：05。")</f>
        <v>视频以黑屏上的白色单词和数字结尾，读取 - 末端编辑器：05。</v>
      </c>
    </row>
    <row r="2402">
      <c r="A2402" s="4" t="s">
        <v>3013</v>
      </c>
      <c r="B2402" s="4" t="s">
        <v>3014</v>
      </c>
      <c r="C2402" s="5" t="str">
        <f>IFERROR(__xludf.DUMMYFUNCTION("GOOGLETRANSLATE(B2402,""en"",""zh-CN"")"),"一个男人坐在旋转的椅子上，一条腿折叠在一起。")</f>
        <v>一个男人坐在旋转的椅子上，一条腿折叠在一起。</v>
      </c>
    </row>
    <row r="2403">
      <c r="A2403" s="4" t="s">
        <v>3013</v>
      </c>
      <c r="B2403" s="6" t="s">
        <v>3015</v>
      </c>
      <c r="C2403" s="5" t="str">
        <f>IFERROR(__xludf.DUMMYFUNCTION("GOOGLETRANSLATE(B2403,""en"",""zh-CN"")"),"另一个男人拿起一块布，开始用布打扫他的黑色皮鞋，使其发亮。")</f>
        <v>另一个男人拿起一块布，开始用布打扫他的黑色皮鞋，使其发亮。</v>
      </c>
    </row>
    <row r="2404">
      <c r="A2404" s="4" t="s">
        <v>3013</v>
      </c>
      <c r="B2404" s="4" t="s">
        <v>3016</v>
      </c>
      <c r="C2404" s="5" t="str">
        <f>IFERROR(__xludf.DUMMYFUNCTION("GOOGLETRANSLATE(B2404,""en"",""zh-CN"")"),"他用来回运动清洁鞋子。")</f>
        <v>他用来回运动清洁鞋子。</v>
      </c>
    </row>
    <row r="2405">
      <c r="A2405" s="4" t="s">
        <v>3017</v>
      </c>
      <c r="B2405" s="4" t="s">
        <v>3018</v>
      </c>
      <c r="C2405" s="5" t="str">
        <f>IFERROR(__xludf.DUMMYFUNCTION("GOOGLETRANSLATE(B2405,""en"",""zh-CN"")"),"一个有金发的女人正在解释如何制作迷迭香伏特加柠檬水。")</f>
        <v>一个有金发的女人正在解释如何制作迷迭香伏特加柠檬水。</v>
      </c>
    </row>
    <row r="2406">
      <c r="A2406" s="4" t="s">
        <v>3017</v>
      </c>
      <c r="B2406" s="4" t="s">
        <v>3019</v>
      </c>
      <c r="C2406" s="5" t="str">
        <f>IFERROR(__xludf.DUMMYFUNCTION("GOOGLETRANSLATE(B2406,""en"",""zh-CN"")"),"出现了两罐液体。")</f>
        <v>出现了两罐液体。</v>
      </c>
    </row>
    <row r="2407">
      <c r="A2407" s="4" t="s">
        <v>3017</v>
      </c>
      <c r="B2407" s="4" t="s">
        <v>3020</v>
      </c>
      <c r="C2407" s="5" t="str">
        <f>IFERROR(__xludf.DUMMYFUNCTION("GOOGLETRANSLATE(B2407,""en"",""zh-CN"")"),"女人喝了一口液体。")</f>
        <v>女人喝了一口液体。</v>
      </c>
    </row>
    <row r="2408">
      <c r="A2408" s="4" t="s">
        <v>3017</v>
      </c>
      <c r="B2408" s="4" t="s">
        <v>3021</v>
      </c>
      <c r="C2408" s="5" t="str">
        <f>IFERROR(__xludf.DUMMYFUNCTION("GOOGLETRANSLATE(B2408,""en"",""zh-CN"")"),"女人在碗中准备用草药和糖准备液体。")</f>
        <v>女人在碗中准备用草药和糖准备液体。</v>
      </c>
    </row>
    <row r="2409">
      <c r="A2409" s="4" t="s">
        <v>3017</v>
      </c>
      <c r="B2409" s="4" t="s">
        <v>3022</v>
      </c>
      <c r="C2409" s="5" t="str">
        <f>IFERROR(__xludf.DUMMYFUNCTION("GOOGLETRANSLATE(B2409,""en"",""zh-CN"")"),"女人将液体倒入玻璃杯中。")</f>
        <v>女人将液体倒入玻璃杯中。</v>
      </c>
    </row>
    <row r="2410">
      <c r="A2410" s="4" t="s">
        <v>3017</v>
      </c>
      <c r="B2410" s="4" t="s">
        <v>3023</v>
      </c>
      <c r="C2410" s="5" t="str">
        <f>IFERROR(__xludf.DUMMYFUNCTION("GOOGLETRANSLATE(B2410,""en"",""zh-CN"")"),"女人用冰倒入罐子里。")</f>
        <v>女人用冰倒入罐子里。</v>
      </c>
    </row>
    <row r="2411">
      <c r="A2411" s="4" t="s">
        <v>3017</v>
      </c>
      <c r="B2411" s="4" t="s">
        <v>3024</v>
      </c>
      <c r="C2411" s="5" t="str">
        <f>IFERROR(__xludf.DUMMYFUNCTION("GOOGLETRANSLATE(B2411,""en"",""zh-CN"")"),"女人混合混合物。")</f>
        <v>女人混合混合物。</v>
      </c>
    </row>
    <row r="2412">
      <c r="A2412" s="4" t="s">
        <v>3017</v>
      </c>
      <c r="B2412" s="4" t="s">
        <v>3025</v>
      </c>
      <c r="C2412" s="5" t="str">
        <f>IFERROR(__xludf.DUMMYFUNCTION("GOOGLETRANSLATE(B2412,""en"",""zh-CN"")"),"女人在罐子里喝液体。")</f>
        <v>女人在罐子里喝液体。</v>
      </c>
    </row>
    <row r="2413">
      <c r="A2413" s="4" t="s">
        <v>3017</v>
      </c>
      <c r="B2413" s="4" t="s">
        <v>3026</v>
      </c>
      <c r="C2413" s="5" t="str">
        <f>IFERROR(__xludf.DUMMYFUNCTION("GOOGLETRANSLATE(B2413,""en"",""zh-CN"")"),"视频以液体的罐子的景色结束。")</f>
        <v>视频以液体的罐子的景色结束。</v>
      </c>
    </row>
    <row r="2414">
      <c r="A2414" s="4" t="s">
        <v>3027</v>
      </c>
      <c r="B2414" s="6" t="s">
        <v>3028</v>
      </c>
      <c r="C2414" s="5" t="str">
        <f>IFERROR(__xludf.DUMMYFUNCTION("GOOGLETRANSLATE(B2414,""en"",""zh-CN"")"),"一名妇女向相机说话，并展示了坐在椅子上并在电视上表演的各种孩子的镜头。")</f>
        <v>一名妇女向相机说话，并展示了坐在椅子上并在电视上表演的各种孩子的镜头。</v>
      </c>
    </row>
    <row r="2415">
      <c r="A2415" s="4" t="s">
        <v>3027</v>
      </c>
      <c r="B2415" s="4" t="s">
        <v>3029</v>
      </c>
      <c r="C2415" s="5" t="str">
        <f>IFERROR(__xludf.DUMMYFUNCTION("GOOGLETRANSLATE(B2415,""en"",""zh-CN"")"),"该名女士对相机说话更多，并将接触到女孩的眼睛。")</f>
        <v>该名女士对相机说话更多，并将接触到女孩的眼睛。</v>
      </c>
    </row>
    <row r="2416">
      <c r="A2416" s="4" t="s">
        <v>3027</v>
      </c>
      <c r="B2416" s="6" t="s">
        <v>3030</v>
      </c>
      <c r="C2416" s="5" t="str">
        <f>IFERROR(__xludf.DUMMYFUNCTION("GOOGLETRANSLATE(B2416,""en"",""zh-CN"")"),"女孩笑着镜子，展示了她如何拿出联系人和手机上的提醒。")</f>
        <v>女孩笑着镜子，展示了她如何拿出联系人和手机上的提醒。</v>
      </c>
    </row>
    <row r="2417">
      <c r="A2417" s="4" t="s">
        <v>3027</v>
      </c>
      <c r="B2417" s="4" t="s">
        <v>3031</v>
      </c>
      <c r="C2417" s="5" t="str">
        <f>IFERROR(__xludf.DUMMYFUNCTION("GOOGLETRANSLATE(B2417,""en"",""zh-CN"")"),"最后一个女人对镜头说话，女孩再次欢呼和微笑。")</f>
        <v>最后一个女人对镜头说话，女孩再次欢呼和微笑。</v>
      </c>
    </row>
    <row r="2418">
      <c r="A2418" s="4" t="s">
        <v>3032</v>
      </c>
      <c r="B2418" s="4" t="s">
        <v>3033</v>
      </c>
      <c r="C2418" s="5" t="str">
        <f>IFERROR(__xludf.DUMMYFUNCTION("GOOGLETRANSLATE(B2418,""en"",""zh-CN"")"),"一个男孩坐在计算机显示器上的计时器前。")</f>
        <v>一个男孩坐在计算机显示器上的计时器前。</v>
      </c>
    </row>
    <row r="2419">
      <c r="A2419" s="4" t="s">
        <v>3032</v>
      </c>
      <c r="B2419" s="4" t="s">
        <v>3034</v>
      </c>
      <c r="C2419" s="5" t="str">
        <f>IFERROR(__xludf.DUMMYFUNCTION("GOOGLETRANSLATE(B2419,""en"",""zh-CN"")"),"他连续几个魔方。")</f>
        <v>他连续几个魔方。</v>
      </c>
    </row>
    <row r="2420">
      <c r="A2420" s="4" t="s">
        <v>3032</v>
      </c>
      <c r="B2420" s="4" t="s">
        <v>3035</v>
      </c>
      <c r="C2420" s="5" t="str">
        <f>IFERROR(__xludf.DUMMYFUNCTION("GOOGLETRANSLATE(B2420,""en"",""zh-CN"")"),"当他试图解决立方体时，他正在定时。")</f>
        <v>当他试图解决立方体时，他正在定时。</v>
      </c>
    </row>
    <row r="2421">
      <c r="A2421" s="4" t="s">
        <v>3032</v>
      </c>
      <c r="B2421" s="4" t="s">
        <v>3036</v>
      </c>
      <c r="C2421" s="5" t="str">
        <f>IFERROR(__xludf.DUMMYFUNCTION("GOOGLETRANSLATE(B2421,""en"",""zh-CN"")"),"他快速移动，在短时间内解决它们。")</f>
        <v>他快速移动，在短时间内解决它们。</v>
      </c>
    </row>
    <row r="2422">
      <c r="A2422" s="4" t="s">
        <v>3032</v>
      </c>
      <c r="B2422" s="4" t="s">
        <v>3037</v>
      </c>
      <c r="C2422" s="5" t="str">
        <f>IFERROR(__xludf.DUMMYFUNCTION("GOOGLETRANSLATE(B2422,""en"",""zh-CN"")"),"他高兴地握紧了拳头。")</f>
        <v>他高兴地握紧了拳头。</v>
      </c>
    </row>
    <row r="2423">
      <c r="A2423" s="4" t="s">
        <v>3038</v>
      </c>
      <c r="B2423" s="4" t="s">
        <v>3039</v>
      </c>
      <c r="C2423" s="5" t="str">
        <f>IFERROR(__xludf.DUMMYFUNCTION("GOOGLETRANSLATE(B2423,""en"",""zh-CN"")"),"人们用木鼓刀显示了人们的鼓声。")</f>
        <v>人们用木鼓刀显示了人们的鼓声。</v>
      </c>
    </row>
    <row r="2424">
      <c r="A2424" s="4" t="s">
        <v>3038</v>
      </c>
      <c r="B2424" s="4" t="s">
        <v>3040</v>
      </c>
      <c r="C2424" s="5" t="str">
        <f>IFERROR(__xludf.DUMMYFUNCTION("GOOGLETRANSLATE(B2424,""en"",""zh-CN"")"),"他们背后也有一些人玩金色的c。")</f>
        <v>他们背后也有一些人玩金色的c。</v>
      </c>
    </row>
    <row r="2425">
      <c r="A2425" s="4" t="s">
        <v>3038</v>
      </c>
      <c r="B2425" s="4" t="s">
        <v>3041</v>
      </c>
      <c r="C2425" s="5" t="str">
        <f>IFERROR(__xludf.DUMMYFUNCTION("GOOGLETRANSLATE(B2425,""en"",""zh-CN"")"),"过了一会儿，他们都停止玩耍并默默站立。")</f>
        <v>过了一会儿，他们都停止玩耍并默默站立。</v>
      </c>
    </row>
    <row r="2426">
      <c r="A2426" s="4" t="s">
        <v>3042</v>
      </c>
      <c r="B2426" s="4" t="s">
        <v>3043</v>
      </c>
      <c r="C2426" s="5" t="str">
        <f>IFERROR(__xludf.DUMMYFUNCTION("GOOGLETRANSLATE(B2426,""en"",""zh-CN"")"),"女人身着红色连衣裙。")</f>
        <v>女人身着红色连衣裙。</v>
      </c>
    </row>
    <row r="2427">
      <c r="A2427" s="4" t="s">
        <v>3042</v>
      </c>
      <c r="B2427" s="4" t="s">
        <v>3044</v>
      </c>
      <c r="C2427" s="5" t="str">
        <f>IFERROR(__xludf.DUMMYFUNCTION("GOOGLETRANSLATE(B2427,""en"",""zh-CN"")"),"她正在向董事会投掷飞镖。")</f>
        <v>她正在向董事会投掷飞镖。</v>
      </c>
    </row>
    <row r="2428">
      <c r="A2428" s="4" t="s">
        <v>3042</v>
      </c>
      <c r="B2428" s="4" t="s">
        <v>3045</v>
      </c>
      <c r="C2428" s="5" t="str">
        <f>IFERROR(__xludf.DUMMYFUNCTION("GOOGLETRANSLATE(B2428,""en"",""zh-CN"")"),"她向董事会投掷了几支飞镖。")</f>
        <v>她向董事会投掷了几支飞镖。</v>
      </c>
    </row>
    <row r="2429">
      <c r="A2429" s="4" t="s">
        <v>3042</v>
      </c>
      <c r="B2429" s="4" t="s">
        <v>3046</v>
      </c>
      <c r="C2429" s="5" t="str">
        <f>IFERROR(__xludf.DUMMYFUNCTION("GOOGLETRANSLATE(B2429,""en"",""zh-CN"")"),"她慢慢地投掷飞镖。")</f>
        <v>她慢慢地投掷飞镖。</v>
      </c>
    </row>
    <row r="2430">
      <c r="A2430" s="4" t="s">
        <v>3047</v>
      </c>
      <c r="B2430" s="4" t="s">
        <v>3048</v>
      </c>
      <c r="C2430" s="5" t="str">
        <f>IFERROR(__xludf.DUMMYFUNCTION("GOOGLETRANSLATE(B2430,""en"",""zh-CN"")"),"一名妇女正在在平衡梁上完成奥运会中的例行活动。")</f>
        <v>一名妇女正在在平衡梁上完成奥运会中的例行活动。</v>
      </c>
    </row>
    <row r="2431">
      <c r="A2431" s="4" t="s">
        <v>3047</v>
      </c>
      <c r="B2431" s="4" t="s">
        <v>3049</v>
      </c>
      <c r="C2431" s="5" t="str">
        <f>IFERROR(__xludf.DUMMYFUNCTION("GOOGLETRANSLATE(B2431,""en"",""zh-CN"")"),"她优雅地上下跳动，然后跌倒了一点扣除。")</f>
        <v>她优雅地上下跳动，然后跌倒了一点扣除。</v>
      </c>
    </row>
    <row r="2432">
      <c r="A2432" s="4" t="s">
        <v>3047</v>
      </c>
      <c r="B2432" s="4" t="s">
        <v>3050</v>
      </c>
      <c r="C2432" s="5" t="str">
        <f>IFERROR(__xludf.DUMMYFUNCTION("GOOGLETRANSLATE(B2432,""en"",""zh-CN"")"),"她完成了例行工作，并得到了教练的拥抱。")</f>
        <v>她完成了例行工作，并得到了教练的拥抱。</v>
      </c>
    </row>
    <row r="2433">
      <c r="A2433" s="4" t="s">
        <v>3051</v>
      </c>
      <c r="B2433" s="4" t="s">
        <v>3052</v>
      </c>
      <c r="C2433" s="5" t="str">
        <f>IFERROR(__xludf.DUMMYFUNCTION("GOOGLETRANSLATE(B2433,""en"",""zh-CN"")"),"在建筑物外面排队的各种各样的男性和女性。")</f>
        <v>在建筑物外面排队的各种各样的男性和女性。</v>
      </c>
    </row>
    <row r="2434">
      <c r="A2434" s="4" t="s">
        <v>3051</v>
      </c>
      <c r="B2434" s="4" t="s">
        <v>3053</v>
      </c>
      <c r="C2434" s="5" t="str">
        <f>IFERROR(__xludf.DUMMYFUNCTION("GOOGLETRANSLATE(B2434,""en"",""zh-CN"")"),"在建筑物中，有多个台球桌，一个人开始指导他们做什么。")</f>
        <v>在建筑物中，有多个台球桌，一个人开始指导他们做什么。</v>
      </c>
    </row>
    <row r="2435">
      <c r="A2435" s="4" t="s">
        <v>3051</v>
      </c>
      <c r="B2435" s="4" t="s">
        <v>3054</v>
      </c>
      <c r="C2435" s="5" t="str">
        <f>IFERROR(__xludf.DUMMYFUNCTION("GOOGLETRANSLATE(B2435,""en"",""zh-CN"")"),"不同的人开始击球，教练走过去来帮助他们。")</f>
        <v>不同的人开始击球，教练走过去来帮助他们。</v>
      </c>
    </row>
    <row r="2436">
      <c r="A2436" s="4" t="s">
        <v>3055</v>
      </c>
      <c r="B2436" s="4" t="s">
        <v>3056</v>
      </c>
      <c r="C2436" s="5" t="str">
        <f>IFERROR(__xludf.DUMMYFUNCTION("GOOGLETRANSLATE(B2436,""en"",""zh-CN"")"),"一群人聚集在舞台上。")</f>
        <v>一群人聚集在舞台上。</v>
      </c>
    </row>
    <row r="2437">
      <c r="A2437" s="4" t="s">
        <v>3055</v>
      </c>
      <c r="B2437" s="4" t="s">
        <v>3057</v>
      </c>
      <c r="C2437" s="5" t="str">
        <f>IFERROR(__xludf.DUMMYFUNCTION("GOOGLETRANSLATE(B2437,""en"",""zh-CN"")"),"观众鼓掌表演者。")</f>
        <v>观众鼓掌表演者。</v>
      </c>
    </row>
    <row r="2438">
      <c r="A2438" s="4" t="s">
        <v>3055</v>
      </c>
      <c r="B2438" s="4" t="s">
        <v>3058</v>
      </c>
      <c r="C2438" s="5" t="str">
        <f>IFERROR(__xludf.DUMMYFUNCTION("GOOGLETRANSLATE(B2438,""en"",""zh-CN"")"),"他们握手并拥抱随着信用的滚动。")</f>
        <v>他们握手并拥抱随着信用的滚动。</v>
      </c>
    </row>
    <row r="2439">
      <c r="A2439" s="4" t="s">
        <v>3059</v>
      </c>
      <c r="B2439" s="4" t="s">
        <v>3060</v>
      </c>
      <c r="C2439" s="5" t="str">
        <f>IFERROR(__xludf.DUMMYFUNCTION("GOOGLETRANSLATE(B2439,""en"",""zh-CN"")"),"一个女人在厨房里说话。")</f>
        <v>一个女人在厨房里说话。</v>
      </c>
    </row>
    <row r="2440">
      <c r="A2440" s="4" t="s">
        <v>3059</v>
      </c>
      <c r="B2440" s="4" t="s">
        <v>3061</v>
      </c>
      <c r="C2440" s="5" t="str">
        <f>IFERROR(__xludf.DUMMYFUNCTION("GOOGLETRANSLATE(B2440,""en"",""zh-CN"")"),"她正在炫耀一系列的三明治浇头。")</f>
        <v>她正在炫耀一系列的三明治浇头。</v>
      </c>
    </row>
    <row r="2441">
      <c r="A2441" s="4" t="s">
        <v>3059</v>
      </c>
      <c r="B2441" s="4" t="s">
        <v>3062</v>
      </c>
      <c r="C2441" s="5" t="str">
        <f>IFERROR(__xludf.DUMMYFUNCTION("GOOGLETRANSLATE(B2441,""en"",""zh-CN"")"),"她将肉和奶酪放在面包上，然后关闭三明治。")</f>
        <v>她将肉和奶酪放在面包上，然后关闭三明治。</v>
      </c>
    </row>
    <row r="2442">
      <c r="A2442" s="4" t="s">
        <v>3063</v>
      </c>
      <c r="B2442" s="4" t="s">
        <v>3064</v>
      </c>
      <c r="C2442" s="5" t="str">
        <f>IFERROR(__xludf.DUMMYFUNCTION("GOOGLETRANSLATE(B2442,""en"",""zh-CN"")"),"许多女性，有些是蓝色衬衫，有些是白衬衫，在玩游戏的田野上跑来跑去。")</f>
        <v>许多女性，有些是蓝色衬衫，有些是白衬衫，在玩游戏的田野上跑来跑去。</v>
      </c>
    </row>
    <row r="2443">
      <c r="A2443" s="4" t="s">
        <v>3063</v>
      </c>
      <c r="B2443" s="4" t="s">
        <v>3065</v>
      </c>
      <c r="C2443" s="5" t="str">
        <f>IFERROR(__xludf.DUMMYFUNCTION("GOOGLETRANSLATE(B2443,""en"",""zh-CN"")"),"一些人在背景中从看台上观看。")</f>
        <v>一些人在背景中从看台上观看。</v>
      </c>
    </row>
    <row r="2444">
      <c r="A2444" s="4" t="s">
        <v>3063</v>
      </c>
      <c r="B2444" s="4" t="s">
        <v>3066</v>
      </c>
      <c r="C2444" s="5" t="str">
        <f>IFERROR(__xludf.DUMMYFUNCTION("GOOGLETRANSLATE(B2444,""en"",""zh-CN"")"),"两名裁判与球员一起在场上和下面奔跑。")</f>
        <v>两名裁判与球员一起在场上和下面奔跑。</v>
      </c>
    </row>
    <row r="2445">
      <c r="A2445" s="4" t="s">
        <v>3063</v>
      </c>
      <c r="B2445" s="4" t="s">
        <v>3067</v>
      </c>
      <c r="C2445" s="5" t="str">
        <f>IFERROR(__xludf.DUMMYFUNCTION("GOOGLETRANSLATE(B2445,""en"",""zh-CN"")"),"其他玩家从围栏附近的边线观看。")</f>
        <v>其他玩家从围栏附近的边线观看。</v>
      </c>
    </row>
    <row r="2446">
      <c r="A2446" s="4" t="s">
        <v>3063</v>
      </c>
      <c r="B2446" s="4" t="s">
        <v>3068</v>
      </c>
      <c r="C2446" s="5" t="str">
        <f>IFERROR(__xludf.DUMMYFUNCTION("GOOGLETRANSLATE(B2446,""en"",""zh-CN"")"),"一群保持得分的人坐在边线的桌子旁。")</f>
        <v>一群保持得分的人坐在边线的桌子旁。</v>
      </c>
    </row>
    <row r="2447">
      <c r="A2447" s="4" t="s">
        <v>3063</v>
      </c>
      <c r="B2447" s="4" t="s">
        <v>3069</v>
      </c>
      <c r="C2447" s="5" t="str">
        <f>IFERROR(__xludf.DUMMYFUNCTION("GOOGLETRANSLATE(B2447,""en"",""zh-CN"")"),"从看台上观看的一些人现在站着。")</f>
        <v>从看台上观看的一些人现在站着。</v>
      </c>
    </row>
    <row r="2448">
      <c r="A2448" s="4" t="s">
        <v>3063</v>
      </c>
      <c r="B2448" s="4" t="s">
        <v>3070</v>
      </c>
      <c r="C2448" s="5" t="str">
        <f>IFERROR(__xludf.DUMMYFUNCTION("GOOGLETRANSLATE(B2448,""en"",""zh-CN"")"),"一个穿着蓝色运动衫的男人在边线上行走。")</f>
        <v>一个穿着蓝色运动衫的男人在边线上行走。</v>
      </c>
    </row>
    <row r="2449">
      <c r="A2449" s="4" t="s">
        <v>3071</v>
      </c>
      <c r="B2449" s="4" t="s">
        <v>3072</v>
      </c>
      <c r="C2449" s="5" t="str">
        <f>IFERROR(__xludf.DUMMYFUNCTION("GOOGLETRANSLATE(B2449,""en"",""zh-CN"")"),"在院子里的外面有一位女士打扮得像纸杯蛋糕一样，她正在玩板球比赛。")</f>
        <v>在院子里的外面有一位女士打扮得像纸杯蛋糕一样，她正在玩板球比赛。</v>
      </c>
    </row>
    <row r="2450">
      <c r="A2450" s="4" t="s">
        <v>3071</v>
      </c>
      <c r="B2450" s="4" t="s">
        <v>3073</v>
      </c>
      <c r="C2450" s="5" t="str">
        <f>IFERROR(__xludf.DUMMYFUNCTION("GOOGLETRANSLATE(B2450,""en"",""zh-CN"")"),"她击中了黄球，但根本没有移动。")</f>
        <v>她击中了黄球，但根本没有移动。</v>
      </c>
    </row>
    <row r="2451">
      <c r="A2451" s="4" t="s">
        <v>3071</v>
      </c>
      <c r="B2451" s="4" t="s">
        <v>3074</v>
      </c>
      <c r="C2451" s="5" t="str">
        <f>IFERROR(__xludf.DUMMYFUNCTION("GOOGLETRANSLATE(B2451,""en"",""zh-CN"")"),"她有点麻烦，试图获得良好的位置再次击球。")</f>
        <v>她有点麻烦，试图获得良好的位置再次击球。</v>
      </c>
    </row>
    <row r="2452">
      <c r="A2452" s="4" t="s">
        <v>3071</v>
      </c>
      <c r="B2452" s="6" t="s">
        <v>3075</v>
      </c>
      <c r="C2452" s="5" t="str">
        <f>IFERROR(__xludf.DUMMYFUNCTION("GOOGLETRANSLATE(B2452,""en"",""zh-CN"")"),"当她终于再次击中它时，它不会像她期望的那样经历整个课程，因此她感到失望。")</f>
        <v>当她终于再次击中它时，它不会像她期望的那样经历整个课程，因此她感到失望。</v>
      </c>
    </row>
    <row r="2453">
      <c r="A2453" s="4" t="s">
        <v>3076</v>
      </c>
      <c r="B2453" s="4" t="s">
        <v>3077</v>
      </c>
      <c r="C2453" s="5" t="str">
        <f>IFERROR(__xludf.DUMMYFUNCTION("GOOGLETRANSLATE(B2453,""en"",""zh-CN"")"),"有一个室内健身房，两名参赛者彼此围起来。")</f>
        <v>有一个室内健身房，两名参赛者彼此围起来。</v>
      </c>
    </row>
    <row r="2454">
      <c r="A2454" s="4" t="s">
        <v>3076</v>
      </c>
      <c r="B2454" s="4" t="s">
        <v>3078</v>
      </c>
      <c r="C2454" s="5" t="str">
        <f>IFERROR(__xludf.DUMMYFUNCTION("GOOGLETRANSLATE(B2454,""en"",""zh-CN"")"),"有一个穿着黑色的人是他们的裁判。")</f>
        <v>有一个穿着黑色的人是他们的裁判。</v>
      </c>
    </row>
    <row r="2455">
      <c r="A2455" s="4" t="s">
        <v>3076</v>
      </c>
      <c r="B2455" s="4" t="s">
        <v>3079</v>
      </c>
      <c r="C2455" s="5" t="str">
        <f>IFERROR(__xludf.DUMMYFUNCTION("GOOGLETRANSLATE(B2455,""en"",""zh-CN"")"),"另一对参赛者也在同一活动中围栏。")</f>
        <v>另一对参赛者也在同一活动中围栏。</v>
      </c>
    </row>
    <row r="2456">
      <c r="A2456" s="4" t="s">
        <v>3076</v>
      </c>
      <c r="B2456" s="4" t="s">
        <v>3080</v>
      </c>
      <c r="C2456" s="5" t="str">
        <f>IFERROR(__xludf.DUMMYFUNCTION("GOOGLETRANSLATE(B2456,""en"",""zh-CN"")"),"两名穿着栅栏装备的男子继续在健身房围栏。")</f>
        <v>两名穿着栅栏装备的男子继续在健身房围栏。</v>
      </c>
    </row>
    <row r="2457">
      <c r="A2457" s="4" t="s">
        <v>3081</v>
      </c>
      <c r="B2457" s="4" t="s">
        <v>3082</v>
      </c>
      <c r="C2457" s="5" t="str">
        <f>IFERROR(__xludf.DUMMYFUNCTION("GOOGLETRANSLATE(B2457,""en"",""zh-CN"")"),"一个女人用右手骑着骑着骑行的骆驼，而男人拉着骆驼。")</f>
        <v>一个女人用右手骑着骑着骑行的骆驼，而男人拉着骆驼。</v>
      </c>
    </row>
    <row r="2458">
      <c r="A2458" s="4" t="s">
        <v>3081</v>
      </c>
      <c r="B2458" s="4" t="s">
        <v>3083</v>
      </c>
      <c r="C2458" s="5" t="str">
        <f>IFERROR(__xludf.DUMMYFUNCTION("GOOGLETRANSLATE(B2458,""en"",""zh-CN"")"),"然后，骆驼停下来，女人从骆驼上下来。")</f>
        <v>然后，骆驼停下来，女人从骆驼上下来。</v>
      </c>
    </row>
    <row r="2459">
      <c r="A2459" s="4" t="s">
        <v>3084</v>
      </c>
      <c r="B2459" s="4" t="s">
        <v>3085</v>
      </c>
      <c r="C2459" s="5" t="str">
        <f>IFERROR(__xludf.DUMMYFUNCTION("GOOGLETRANSLATE(B2459,""en"",""zh-CN"")"),"两个人笑着鞠躬看着工作完成。")</f>
        <v>两个人笑着鞠躬看着工作完成。</v>
      </c>
    </row>
    <row r="2460">
      <c r="A2460" s="4" t="s">
        <v>3084</v>
      </c>
      <c r="B2460" s="4" t="s">
        <v>3086</v>
      </c>
      <c r="C2460" s="5" t="str">
        <f>IFERROR(__xludf.DUMMYFUNCTION("GOOGLETRANSLATE(B2460,""en"",""zh-CN"")"),"这个人给他们的朋友指甲。")</f>
        <v>这个人给他们的朋友指甲。</v>
      </c>
    </row>
    <row r="2461">
      <c r="A2461" s="4" t="s">
        <v>3084</v>
      </c>
      <c r="B2461" s="4" t="s">
        <v>3087</v>
      </c>
      <c r="C2461" s="5" t="str">
        <f>IFERROR(__xludf.DUMMYFUNCTION("GOOGLETRANSLATE(B2461,""en"",""zh-CN"")"),"该男子移走了他的朋友的手，继续工作。")</f>
        <v>该男子移走了他的朋友的手，继续工作。</v>
      </c>
    </row>
    <row r="2462">
      <c r="A2462" s="4" t="s">
        <v>3088</v>
      </c>
      <c r="B2462" s="4" t="s">
        <v>3089</v>
      </c>
      <c r="C2462" s="5" t="str">
        <f>IFERROR(__xludf.DUMMYFUNCTION("GOOGLETRANSLATE(B2462,""en"",""zh-CN"")"),"一个年轻的女孩穿过客厅，掉了鲜花，周围的污垢。")</f>
        <v>一个年轻的女孩穿过客厅，掉了鲜花，周围的污垢。</v>
      </c>
    </row>
    <row r="2463">
      <c r="A2463" s="4" t="s">
        <v>3088</v>
      </c>
      <c r="B2463" s="4" t="s">
        <v>3090</v>
      </c>
      <c r="C2463" s="5" t="str">
        <f>IFERROR(__xludf.DUMMYFUNCTION("GOOGLETRANSLATE(B2463,""en"",""zh-CN"")"),"一个女人抓住真空并真空地板。")</f>
        <v>一个女人抓住真空并真空地板。</v>
      </c>
    </row>
    <row r="2464">
      <c r="A2464" s="4" t="s">
        <v>3088</v>
      </c>
      <c r="B2464" s="4" t="s">
        <v>3091</v>
      </c>
      <c r="C2464" s="5" t="str">
        <f>IFERROR(__xludf.DUMMYFUNCTION("GOOGLETRANSLATE(B2464,""en"",""zh-CN"")"),"她将工具插入真空中，并沿踢脚线插入真空。")</f>
        <v>她将工具插入真空中，并沿踢脚线插入真空。</v>
      </c>
    </row>
    <row r="2465">
      <c r="A2465" s="4" t="s">
        <v>3088</v>
      </c>
      <c r="B2465" s="4" t="s">
        <v>3092</v>
      </c>
      <c r="C2465" s="5" t="str">
        <f>IFERROR(__xludf.DUMMYFUNCTION("GOOGLETRANSLATE(B2465,""en"",""zh-CN"")"),"她使用真空的特殊工具在沙发和楼梯地毯周围真空吸尘。")</f>
        <v>她使用真空的特殊工具在沙发和楼梯地毯周围真空吸尘。</v>
      </c>
    </row>
    <row r="2466">
      <c r="A2466" s="4" t="s">
        <v>3088</v>
      </c>
      <c r="B2466" s="4" t="s">
        <v>3093</v>
      </c>
      <c r="C2466" s="5" t="str">
        <f>IFERROR(__xludf.DUMMYFUNCTION("GOOGLETRANSLATE(B2466,""en"",""zh-CN"")"),"她使用真空的另一个工具将窗户吸尘器真空吸尘。")</f>
        <v>她使用真空的另一个工具将窗户吸尘器真空吸尘。</v>
      </c>
    </row>
    <row r="2467">
      <c r="A2467" s="4" t="s">
        <v>3088</v>
      </c>
      <c r="B2467" s="4" t="s">
        <v>3094</v>
      </c>
      <c r="C2467" s="5" t="str">
        <f>IFERROR(__xludf.DUMMYFUNCTION("GOOGLETRANSLATE(B2467,""en"",""zh-CN"")"),"她从真空中拉出一个托盘。")</f>
        <v>她从真空中拉出一个托盘。</v>
      </c>
    </row>
    <row r="2468">
      <c r="A2468" s="4" t="s">
        <v>3095</v>
      </c>
      <c r="B2468" s="4" t="s">
        <v>3096</v>
      </c>
      <c r="C2468" s="5" t="str">
        <f>IFERROR(__xludf.DUMMYFUNCTION("GOOGLETRANSLATE(B2468,""en"",""zh-CN"")"),"一群孩子在比赛时与教练教练一起打曲棍球。")</f>
        <v>一群孩子在比赛时与教练教练一起打曲棍球。</v>
      </c>
    </row>
    <row r="2469">
      <c r="A2469" s="4" t="s">
        <v>3095</v>
      </c>
      <c r="B2469" s="6" t="s">
        <v>3097</v>
      </c>
      <c r="C2469" s="5" t="str">
        <f>IFERROR(__xludf.DUMMYFUNCTION("GOOGLETRANSLATE(B2469,""en"",""zh-CN"")"),"一位教练演示了如何在一群年轻人面前阻止内部体育馆内部的进球。")</f>
        <v>一位教练演示了如何在一群年轻人面前阻止内部体育馆内部的进球。</v>
      </c>
    </row>
    <row r="2470">
      <c r="A2470" s="4" t="s">
        <v>3095</v>
      </c>
      <c r="B2470" s="4" t="s">
        <v>3098</v>
      </c>
      <c r="C2470" s="5" t="str">
        <f>IFERROR(__xludf.DUMMYFUNCTION("GOOGLETRANSLATE(B2470,""en"",""zh-CN"")"),"然后，当摄像机切入教练与镜头交谈时，孩子们效仿了训练。")</f>
        <v>然后，当摄像机切入教练与镜头交谈时，孩子们效仿了训练。</v>
      </c>
    </row>
    <row r="2471">
      <c r="A2471" s="4" t="s">
        <v>3095</v>
      </c>
      <c r="B2471" s="4" t="s">
        <v>3099</v>
      </c>
      <c r="C2471" s="5" t="str">
        <f>IFERROR(__xludf.DUMMYFUNCTION("GOOGLETRANSLATE(B2471,""en"",""zh-CN"")"),"孩子们继续打曲棍球，直到屏幕消失。")</f>
        <v>孩子们继续打曲棍球，直到屏幕消失。</v>
      </c>
    </row>
    <row r="2472">
      <c r="A2472" s="4" t="s">
        <v>3100</v>
      </c>
      <c r="B2472" s="4" t="s">
        <v>3101</v>
      </c>
      <c r="C2472" s="5" t="str">
        <f>IFERROR(__xludf.DUMMYFUNCTION("GOOGLETRANSLATE(B2472,""en"",""zh-CN"")"),"显示了一个带有线索和球的迷你台球桌的特写镜头。")</f>
        <v>显示了一个带有线索和球的迷你台球桌的特写镜头。</v>
      </c>
    </row>
    <row r="2473">
      <c r="A2473" s="4" t="s">
        <v>3100</v>
      </c>
      <c r="B2473" s="4" t="s">
        <v>3102</v>
      </c>
      <c r="C2473" s="5" t="str">
        <f>IFERROR(__xludf.DUMMYFUNCTION("GOOGLETRANSLATE(B2473,""en"",""zh-CN"")"),"一个人用线索将球射入口袋里。")</f>
        <v>一个人用线索将球射入口袋里。</v>
      </c>
    </row>
    <row r="2474">
      <c r="A2474" s="4" t="s">
        <v>3100</v>
      </c>
      <c r="B2474" s="4" t="s">
        <v>3103</v>
      </c>
      <c r="C2474" s="5" t="str">
        <f>IFERROR(__xludf.DUMMYFUNCTION("GOOGLETRANSLATE(B2474,""en"",""zh-CN"")"),"他坐在桌子上的一个洋娃娃以显示尺寸。")</f>
        <v>他坐在桌子上的一个洋娃娃以显示尺寸。</v>
      </c>
    </row>
    <row r="2475">
      <c r="A2475" s="4" t="s">
        <v>3100</v>
      </c>
      <c r="B2475" s="4" t="s">
        <v>3104</v>
      </c>
      <c r="C2475" s="5" t="str">
        <f>IFERROR(__xludf.DUMMYFUNCTION("GOOGLETRANSLATE(B2475,""en"",""zh-CN"")"),"他还在桌子上射出了一个雪橇球，并射出了大理石。")</f>
        <v>他还在桌子上射出了一个雪橇球，并射出了大理石。</v>
      </c>
    </row>
    <row r="2476">
      <c r="A2476" s="4" t="s">
        <v>3105</v>
      </c>
      <c r="B2476" s="4" t="s">
        <v>3106</v>
      </c>
      <c r="C2476" s="5" t="str">
        <f>IFERROR(__xludf.DUMMYFUNCTION("GOOGLETRANSLATE(B2476,""en"",""zh-CN"")"),"两个人在摔跤戒指内战斗。")</f>
        <v>两个人在摔跤戒指内战斗。</v>
      </c>
    </row>
    <row r="2477">
      <c r="A2477" s="4" t="s">
        <v>3105</v>
      </c>
      <c r="B2477" s="4" t="s">
        <v>3107</v>
      </c>
      <c r="C2477" s="5" t="str">
        <f>IFERROR(__xludf.DUMMYFUNCTION("GOOGLETRANSLATE(B2477,""en"",""zh-CN"")"),"他们翻转并互相翻滚。")</f>
        <v>他们翻转并互相翻滚。</v>
      </c>
    </row>
    <row r="2478">
      <c r="A2478" s="4" t="s">
        <v>3105</v>
      </c>
      <c r="B2478" s="4" t="s">
        <v>3108</v>
      </c>
      <c r="C2478" s="5" t="str">
        <f>IFERROR(__xludf.DUMMYFUNCTION("GOOGLETRANSLATE(B2478,""en"",""zh-CN"")"),"一名摔跤手钉在另一个，计数为三个。")</f>
        <v>一名摔跤手钉在另一个，计数为三个。</v>
      </c>
    </row>
    <row r="2479">
      <c r="A2479" s="4" t="s">
        <v>3109</v>
      </c>
      <c r="B2479" s="4" t="s">
        <v>3110</v>
      </c>
      <c r="C2479" s="5" t="str">
        <f>IFERROR(__xludf.DUMMYFUNCTION("GOOGLETRANSLATE(B2479,""en"",""zh-CN"")"),"有两个穿着水肺齿轮的人坐在船的边缘，背着水。")</f>
        <v>有两个穿着水肺齿轮的人坐在船的边缘，背着水。</v>
      </c>
    </row>
    <row r="2480">
      <c r="A2480" s="4" t="s">
        <v>3109</v>
      </c>
      <c r="B2480" s="4" t="s">
        <v>3111</v>
      </c>
      <c r="C2480" s="5" t="str">
        <f>IFERROR(__xludf.DUMMYFUNCTION("GOOGLETRANSLATE(B2480,""en"",""zh-CN"")"),"右边的人一直向后倾斜并溅入水中。")</f>
        <v>右边的人一直向后倾斜并溅入水中。</v>
      </c>
    </row>
    <row r="2481">
      <c r="A2481" s="4" t="s">
        <v>3109</v>
      </c>
      <c r="B2481" s="6" t="s">
        <v>3112</v>
      </c>
      <c r="C2481" s="5" t="str">
        <f>IFERROR(__xludf.DUMMYFUNCTION("GOOGLETRANSLATE(B2481,""en"",""zh-CN"")"),"下一个人也向后倾斜，但不能完全掉入水中，因为他们坚持在船上的东西，所以他们的腿挥舞着。")</f>
        <v>下一个人也向后倾斜，但不能完全掉入水中，因为他们坚持在船上的东西，所以他们的腿挥舞着。</v>
      </c>
    </row>
    <row r="2482">
      <c r="A2482" s="4" t="s">
        <v>3113</v>
      </c>
      <c r="B2482" s="6" t="s">
        <v>3114</v>
      </c>
      <c r="C2482" s="5" t="str">
        <f>IFERROR(__xludf.DUMMYFUNCTION("GOOGLETRANSLATE(B2482,""en"",""zh-CN"")"),"一个穿着红色救生背心的男人演示了如何通过手势划独木舟，并通过从独木舟的水中与相机交谈。")</f>
        <v>一个穿着红色救生背心的男人演示了如何通过手势划独木舟，并通过从独木舟的水中与相机交谈。</v>
      </c>
    </row>
    <row r="2483">
      <c r="A2483" s="4" t="s">
        <v>3113</v>
      </c>
      <c r="B2483" s="6" t="s">
        <v>3115</v>
      </c>
      <c r="C2483" s="5" t="str">
        <f>IFERROR(__xludf.DUMMYFUNCTION("GOOGLETRANSLATE(B2483,""en"",""zh-CN"")"),"一个穿着红色独木舟的人在与相机交谈时，在一小片水中划着一只桨。")</f>
        <v>一个穿着红色独木舟的人在与相机交谈时，在一小片水中划着一只桨。</v>
      </c>
    </row>
    <row r="2484">
      <c r="A2484" s="4" t="s">
        <v>3113</v>
      </c>
      <c r="B2484" s="6" t="s">
        <v>3116</v>
      </c>
      <c r="C2484" s="5" t="str">
        <f>IFERROR(__xludf.DUMMYFUNCTION("GOOGLETRANSLATE(B2484,""en"",""zh-CN"")"),"该男子用桨作为水中的锚点说话时略微漂移到侧面，似乎演示了如何使用桨和手势划桨，以解释如何在水中移动桨和独木舟。")</f>
        <v>该男子用桨作为水中的锚点说话时略微漂移到侧面，似乎演示了如何使用桨和手势划桨，以解释如何在水中移动桨和独木舟。</v>
      </c>
    </row>
    <row r="2485">
      <c r="A2485" s="4" t="s">
        <v>3113</v>
      </c>
      <c r="B2485" s="6" t="s">
        <v>3117</v>
      </c>
      <c r="C2485" s="5" t="str">
        <f>IFERROR(__xludf.DUMMYFUNCTION("GOOGLETRANSLATE(B2485,""en"",""zh-CN"")"),"然后，该名男子用桨向相机推开，然后漂流到水中，然后再次划船回到相机。")</f>
        <v>然后，该名男子用桨向相机推开，然后漂流到水中，然后再次划船回到相机。</v>
      </c>
    </row>
    <row r="2486">
      <c r="A2486" s="4" t="s">
        <v>3118</v>
      </c>
      <c r="B2486" s="4" t="s">
        <v>3119</v>
      </c>
      <c r="C2486" s="5" t="str">
        <f>IFERROR(__xludf.DUMMYFUNCTION("GOOGLETRANSLATE(B2486,""en"",""zh-CN"")"),"一个小孩子正在抽烟。")</f>
        <v>一个小孩子正在抽烟。</v>
      </c>
    </row>
    <row r="2487">
      <c r="A2487" s="4" t="s">
        <v>3118</v>
      </c>
      <c r="B2487" s="4" t="s">
        <v>3120</v>
      </c>
      <c r="C2487" s="5" t="str">
        <f>IFERROR(__xludf.DUMMYFUNCTION("GOOGLETRANSLATE(B2487,""en"",""zh-CN"")"),"孩子翻转香烟，试图将香烟的另一端放在他的嘴上。")</f>
        <v>孩子翻转香烟，试图将香烟的另一端放在他的嘴上。</v>
      </c>
    </row>
    <row r="2488">
      <c r="A2488" s="4" t="s">
        <v>3118</v>
      </c>
      <c r="B2488" s="4" t="s">
        <v>3121</v>
      </c>
      <c r="C2488" s="5" t="str">
        <f>IFERROR(__xludf.DUMMYFUNCTION("GOOGLETRANSLATE(B2488,""en"",""zh-CN"")"),"小孩子继续抽烟，他做面孔然后抽烟。")</f>
        <v>小孩子继续抽烟，他做面孔然后抽烟。</v>
      </c>
    </row>
    <row r="2489">
      <c r="A2489" s="4" t="s">
        <v>3122</v>
      </c>
      <c r="B2489" s="4" t="s">
        <v>3123</v>
      </c>
      <c r="C2489" s="5" t="str">
        <f>IFERROR(__xludf.DUMMYFUNCTION("GOOGLETRANSLATE(B2489,""en"",""zh-CN"")"),"看到一个小孩在拿着玻璃杯并步行到橱柜的同时与相机说话。")</f>
        <v>看到一个小孩在拿着玻璃杯并步行到橱柜的同时与相机说话。</v>
      </c>
    </row>
    <row r="2490">
      <c r="A2490" s="4" t="s">
        <v>3122</v>
      </c>
      <c r="B2490" s="4" t="s">
        <v>3124</v>
      </c>
      <c r="C2490" s="5" t="str">
        <f>IFERROR(__xludf.DUMMYFUNCTION("GOOGLETRANSLATE(B2490,""en"",""zh-CN"")"),"她装满玻璃杯，将柠檬剥入水中。")</f>
        <v>她装满玻璃杯，将柠檬剥入水中。</v>
      </c>
    </row>
    <row r="2491">
      <c r="A2491" s="4" t="s">
        <v>3122</v>
      </c>
      <c r="B2491" s="4" t="s">
        <v>3125</v>
      </c>
      <c r="C2491" s="5" t="str">
        <f>IFERROR(__xludf.DUMMYFUNCTION("GOOGLETRANSLATE(B2491,""en"",""zh-CN"")"),"然后，她用勺子喝水以及稻草，点头挥舞着头。")</f>
        <v>然后，她用勺子喝水以及稻草，点头挥舞着头。</v>
      </c>
    </row>
    <row r="2492">
      <c r="A2492" s="4" t="s">
        <v>3126</v>
      </c>
      <c r="B2492" s="4" t="s">
        <v>3127</v>
      </c>
      <c r="C2492" s="5" t="str">
        <f>IFERROR(__xludf.DUMMYFUNCTION("GOOGLETRANSLATE(B2492,""en"",""zh-CN"")"),"一个男人在健身房里说话。")</f>
        <v>一个男人在健身房里说话。</v>
      </c>
    </row>
    <row r="2493">
      <c r="A2493" s="4" t="s">
        <v>3126</v>
      </c>
      <c r="B2493" s="4" t="s">
        <v>3128</v>
      </c>
      <c r="C2493" s="5" t="str">
        <f>IFERROR(__xludf.DUMMYFUNCTION("GOOGLETRANSLATE(B2493,""en"",""zh-CN"")"),"一群女体操运动员组成一个集群，然后将一个女孩抬起头顶。")</f>
        <v>一群女体操运动员组成一个集群，然后将一个女孩抬起头顶。</v>
      </c>
    </row>
    <row r="2494">
      <c r="A2494" s="4" t="s">
        <v>3126</v>
      </c>
      <c r="B2494" s="4" t="s">
        <v>3129</v>
      </c>
      <c r="C2494" s="5" t="str">
        <f>IFERROR(__xludf.DUMMYFUNCTION("GOOGLETRANSLATE(B2494,""en"",""zh-CN"")"),"他们用一条腿抬起她，然后将她旋转回去并抓住她的怀抱。")</f>
        <v>他们用一条腿抬起她，然后将她旋转回去并抓住她的怀抱。</v>
      </c>
    </row>
    <row r="2495">
      <c r="A2495" s="4" t="s">
        <v>3130</v>
      </c>
      <c r="B2495" s="4" t="s">
        <v>3131</v>
      </c>
      <c r="C2495" s="5" t="str">
        <f>IFERROR(__xludf.DUMMYFUNCTION("GOOGLETRANSLATE(B2495,""en"",""zh-CN"")"),"女孩们只用一个球打道奇球。")</f>
        <v>女孩们只用一个球打道奇球。</v>
      </c>
    </row>
    <row r="2496">
      <c r="A2496" s="4" t="s">
        <v>3130</v>
      </c>
      <c r="B2496" s="4" t="s">
        <v>3132</v>
      </c>
      <c r="C2496" s="5" t="str">
        <f>IFERROR(__xludf.DUMMYFUNCTION("GOOGLETRANSLATE(B2496,""en"",""zh-CN"")"),"一个女孩被球击中。")</f>
        <v>一个女孩被球击中。</v>
      </c>
    </row>
    <row r="2497">
      <c r="A2497" s="4" t="s">
        <v>3130</v>
      </c>
      <c r="B2497" s="4" t="s">
        <v>3133</v>
      </c>
      <c r="C2497" s="5" t="str">
        <f>IFERROR(__xludf.DUMMYFUNCTION("GOOGLETRANSLATE(B2497,""en"",""zh-CN"")"),"这个女孩退出比赛，抓住服装系列。")</f>
        <v>这个女孩退出比赛，抓住服装系列。</v>
      </c>
    </row>
    <row r="2498">
      <c r="A2498" s="4" t="s">
        <v>3134</v>
      </c>
      <c r="B2498" s="4" t="s">
        <v>3135</v>
      </c>
      <c r="C2498" s="5" t="str">
        <f>IFERROR(__xludf.DUMMYFUNCTION("GOOGLETRANSLATE(B2498,""en"",""zh-CN"")"),"看到一名体操运动员在远处看着，将她的手揉在一起。")</f>
        <v>看到一名体操运动员在远处看着，将她的手揉在一起。</v>
      </c>
    </row>
    <row r="2499">
      <c r="A2499" s="4" t="s">
        <v>3134</v>
      </c>
      <c r="B2499" s="4" t="s">
        <v>3136</v>
      </c>
      <c r="C2499" s="5" t="str">
        <f>IFERROR(__xludf.DUMMYFUNCTION("GOOGLETRANSLATE(B2499,""en"",""zh-CN"")"),"她举起手，开始在梁上进行体操例行。")</f>
        <v>她举起手，开始在梁上进行体操例行。</v>
      </c>
    </row>
    <row r="2500">
      <c r="A2500" s="4" t="s">
        <v>3134</v>
      </c>
      <c r="B2500" s="4" t="s">
        <v>3137</v>
      </c>
      <c r="C2500" s="5" t="str">
        <f>IFERROR(__xludf.DUMMYFUNCTION("GOOGLETRANSLATE(B2500,""en"",""zh-CN"")"),"她一直沿着光束移动，并通过跳下来结束，其他人鼓掌。")</f>
        <v>她一直沿着光束移动，并通过跳下来结束，其他人鼓掌。</v>
      </c>
    </row>
    <row r="2501">
      <c r="A2501" s="4" t="s">
        <v>3138</v>
      </c>
      <c r="B2501" s="4" t="s">
        <v>3139</v>
      </c>
      <c r="C2501" s="5" t="str">
        <f>IFERROR(__xludf.DUMMYFUNCTION("GOOGLETRANSLATE(B2501,""en"",""zh-CN"")"),"两个老风笛玩家互相比赛。")</f>
        <v>两个老风笛玩家互相比赛。</v>
      </c>
    </row>
    <row r="2502">
      <c r="A2502" s="4" t="s">
        <v>3138</v>
      </c>
      <c r="B2502" s="4" t="s">
        <v>3140</v>
      </c>
      <c r="C2502" s="5" t="str">
        <f>IFERROR(__xludf.DUMMYFUNCTION("GOOGLETRANSLATE(B2502,""en"",""zh-CN"")"),"一名风笛玩家转身。")</f>
        <v>一名风笛玩家转身。</v>
      </c>
    </row>
    <row r="2503">
      <c r="A2503" s="4" t="s">
        <v>3138</v>
      </c>
      <c r="B2503" s="4" t="s">
        <v>3141</v>
      </c>
      <c r="C2503" s="5" t="str">
        <f>IFERROR(__xludf.DUMMYFUNCTION("GOOGLETRANSLATE(B2503,""en"",""zh-CN"")"),"风笛玩家完成了比赛。")</f>
        <v>风笛玩家完成了比赛。</v>
      </c>
    </row>
    <row r="2504">
      <c r="A2504" s="4" t="s">
        <v>3138</v>
      </c>
      <c r="B2504" s="4" t="s">
        <v>3142</v>
      </c>
      <c r="C2504" s="5" t="str">
        <f>IFERROR(__xludf.DUMMYFUNCTION("GOOGLETRANSLATE(B2504,""en"",""zh-CN"")"),"人群为球员拍照。")</f>
        <v>人群为球员拍照。</v>
      </c>
    </row>
    <row r="2505">
      <c r="A2505" s="4" t="s">
        <v>3143</v>
      </c>
      <c r="B2505" s="4" t="s">
        <v>3144</v>
      </c>
      <c r="C2505" s="5" t="str">
        <f>IFERROR(__xludf.DUMMYFUNCTION("GOOGLETRANSLATE(B2505,""en"",""zh-CN"")"),"当另一个男人在他身后扮演邦戈斯时，一个男人坐在椅子上。")</f>
        <v>当另一个男人在他身后扮演邦戈斯时，一个男人坐在椅子上。</v>
      </c>
    </row>
    <row r="2506">
      <c r="A2506" s="4" t="s">
        <v>3143</v>
      </c>
      <c r="B2506" s="4" t="s">
        <v>3145</v>
      </c>
      <c r="C2506" s="5" t="str">
        <f>IFERROR(__xludf.DUMMYFUNCTION("GOOGLETRANSLATE(B2506,""en"",""zh-CN"")"),"他们一起玩了很长时间。")</f>
        <v>他们一起玩了很长时间。</v>
      </c>
    </row>
    <row r="2507">
      <c r="A2507" s="4" t="s">
        <v>3146</v>
      </c>
      <c r="B2507" s="4" t="s">
        <v>3147</v>
      </c>
      <c r="C2507" s="5" t="str">
        <f>IFERROR(__xludf.DUMMYFUNCTION("GOOGLETRANSLATE(B2507,""en"",""zh-CN"")"),"我们看到产品的标题卡。")</f>
        <v>我们看到产品的标题卡。</v>
      </c>
    </row>
    <row r="2508">
      <c r="A2508" s="4" t="s">
        <v>3146</v>
      </c>
      <c r="B2508" s="4" t="s">
        <v>3148</v>
      </c>
      <c r="C2508" s="5" t="str">
        <f>IFERROR(__xludf.DUMMYFUNCTION("GOOGLETRANSLATE(B2508,""en"",""zh-CN"")"),"我们看到一位女士打扫她的地板。")</f>
        <v>我们看到一位女士打扫她的地板。</v>
      </c>
    </row>
    <row r="2509">
      <c r="A2509" s="4" t="s">
        <v>3146</v>
      </c>
      <c r="B2509" s="4" t="s">
        <v>3149</v>
      </c>
      <c r="C2509" s="5" t="str">
        <f>IFERROR(__xludf.DUMMYFUNCTION("GOOGLETRANSLATE(B2509,""en"",""zh-CN"")"),"我们看到了真空附件，并看到了行动中的产品。")</f>
        <v>我们看到了真空附件，并看到了行动中的产品。</v>
      </c>
    </row>
    <row r="2510">
      <c r="A2510" s="4" t="s">
        <v>3146</v>
      </c>
      <c r="B2510" s="4" t="s">
        <v>3150</v>
      </c>
      <c r="C2510" s="5" t="str">
        <f>IFERROR(__xludf.DUMMYFUNCTION("GOOGLETRANSLATE(B2510,""en"",""zh-CN"")"),"女士展示了双方，我们看到她附上了产品。")</f>
        <v>女士展示了双方，我们看到她附上了产品。</v>
      </c>
    </row>
    <row r="2511">
      <c r="A2511" s="4" t="s">
        <v>3146</v>
      </c>
      <c r="B2511" s="4" t="s">
        <v>3151</v>
      </c>
      <c r="C2511" s="5" t="str">
        <f>IFERROR(__xludf.DUMMYFUNCTION("GOOGLETRANSLATE(B2511,""en"",""zh-CN"")"),"我们看到女士的拖把。")</f>
        <v>我们看到女士的拖把。</v>
      </c>
    </row>
    <row r="2512">
      <c r="A2512" s="4" t="s">
        <v>3146</v>
      </c>
      <c r="B2512" s="4" t="s">
        <v>3152</v>
      </c>
      <c r="C2512" s="5" t="str">
        <f>IFERROR(__xludf.DUMMYFUNCTION("GOOGLETRANSLATE(B2512,""en"",""zh-CN"")"),"然后，我们看到使用附件的便利性。")</f>
        <v>然后，我们看到使用附件的便利性。</v>
      </c>
    </row>
    <row r="2513">
      <c r="A2513" s="4" t="s">
        <v>3146</v>
      </c>
      <c r="B2513" s="4" t="s">
        <v>3153</v>
      </c>
      <c r="C2513" s="5" t="str">
        <f>IFERROR(__xludf.DUMMYFUNCTION("GOOGLETRANSLATE(B2513,""en"",""zh-CN"")"),"我们看到那位女士在清洁后放松。")</f>
        <v>我们看到那位女士在清洁后放松。</v>
      </c>
    </row>
    <row r="2514">
      <c r="A2514" s="4" t="s">
        <v>3146</v>
      </c>
      <c r="B2514" s="4" t="s">
        <v>3154</v>
      </c>
      <c r="C2514" s="5" t="str">
        <f>IFERROR(__xludf.DUMMYFUNCTION("GOOGLETRANSLATE(B2514,""en"",""zh-CN"")"),"我们再次看到附件产品。")</f>
        <v>我们再次看到附件产品。</v>
      </c>
    </row>
    <row r="2515">
      <c r="A2515" s="4" t="s">
        <v>3146</v>
      </c>
      <c r="B2515" s="4" t="s">
        <v>3155</v>
      </c>
      <c r="C2515" s="5" t="str">
        <f>IFERROR(__xludf.DUMMYFUNCTION("GOOGLETRANSLATE(B2515,""en"",""zh-CN"")"),"我们看到那位女士竖起大拇指。")</f>
        <v>我们看到那位女士竖起大拇指。</v>
      </c>
    </row>
    <row r="2516">
      <c r="A2516" s="4" t="s">
        <v>3146</v>
      </c>
      <c r="B2516" s="4" t="s">
        <v>3156</v>
      </c>
      <c r="C2516" s="5" t="str">
        <f>IFERROR(__xludf.DUMMYFUNCTION("GOOGLETRANSLATE(B2516,""en"",""zh-CN"")"),"标题屏幕返回以结束视频。")</f>
        <v>标题屏幕返回以结束视频。</v>
      </c>
    </row>
    <row r="2517">
      <c r="A2517" s="4" t="s">
        <v>3157</v>
      </c>
      <c r="B2517" s="6" t="s">
        <v>3158</v>
      </c>
      <c r="C2517" s="5" t="str">
        <f>IFERROR(__xludf.DUMMYFUNCTION("GOOGLETRANSLATE(B2517,""en"",""zh-CN"")"),"显示一个人在一张纸上绘制了几条线，该纸会导致几个雪地的快速运动夹。")</f>
        <v>显示一个人在一张纸上绘制了几条线，该纸会导致几个雪地的快速运动夹。</v>
      </c>
    </row>
    <row r="2518">
      <c r="A2518" s="4" t="s">
        <v>3157</v>
      </c>
      <c r="B2518" s="4" t="s">
        <v>3159</v>
      </c>
      <c r="C2518" s="5" t="str">
        <f>IFERROR(__xludf.DUMMYFUNCTION("GOOGLETRANSLATE(B2518,""en"",""zh-CN"")"),"显示了更多的特写镜头，后面是一个骑着山上的人。")</f>
        <v>显示了更多的特写镜头，后面是一个骑着山上的人。</v>
      </c>
    </row>
    <row r="2519">
      <c r="A2519" s="4" t="s">
        <v>3157</v>
      </c>
      <c r="B2519" s="6" t="s">
        <v>3160</v>
      </c>
      <c r="C2519" s="5" t="str">
        <f>IFERROR(__xludf.DUMMYFUNCTION("GOOGLETRANSLATE(B2519,""en"",""zh-CN"")"),"越来越多的人显示出骑行的人，并导致了几张镜头，这些人在山上表演滑雪和单板滑雪的窍门。")</f>
        <v>越来越多的人显示出骑行的人，并导致了几张镜头，这些人在山上表演滑雪和单板滑雪的窍门。</v>
      </c>
    </row>
    <row r="2520">
      <c r="A2520" s="4" t="s">
        <v>3161</v>
      </c>
      <c r="B2520" s="4" t="s">
        <v>3162</v>
      </c>
      <c r="C2520" s="5" t="str">
        <f>IFERROR(__xludf.DUMMYFUNCTION("GOOGLETRANSLATE(B2520,""en"",""zh-CN"")"),"广告首先在屏幕上。")</f>
        <v>广告首先在屏幕上。</v>
      </c>
    </row>
    <row r="2521">
      <c r="A2521" s="4" t="s">
        <v>3161</v>
      </c>
      <c r="B2521" s="4" t="s">
        <v>3163</v>
      </c>
      <c r="C2521" s="5" t="str">
        <f>IFERROR(__xludf.DUMMYFUNCTION("GOOGLETRANSLATE(B2521,""en"",""zh-CN"")"),"当人们看着时，一个女孩正在跳绳。")</f>
        <v>当人们看着时，一个女孩正在跳绳。</v>
      </c>
    </row>
    <row r="2522">
      <c r="A2522" s="4" t="s">
        <v>3161</v>
      </c>
      <c r="B2522" s="4" t="s">
        <v>3164</v>
      </c>
      <c r="C2522" s="5" t="str">
        <f>IFERROR(__xludf.DUMMYFUNCTION("GOOGLETRANSLATE(B2522,""en"",""zh-CN"")"),"她跳跃时正在做技巧和翻转。")</f>
        <v>她跳跃时正在做技巧和翻转。</v>
      </c>
    </row>
    <row r="2523">
      <c r="A2523" s="4" t="s">
        <v>3161</v>
      </c>
      <c r="B2523" s="4" t="s">
        <v>3165</v>
      </c>
      <c r="C2523" s="5" t="str">
        <f>IFERROR(__xludf.DUMMYFUNCTION("GOOGLETRANSLATE(B2523,""en"",""zh-CN"")"),"视频以将视频放在一起的人的信用结束。")</f>
        <v>视频以将视频放在一起的人的信用结束。</v>
      </c>
    </row>
    <row r="2524">
      <c r="A2524" s="4" t="s">
        <v>3166</v>
      </c>
      <c r="B2524" s="4" t="s">
        <v>3167</v>
      </c>
      <c r="C2524" s="5" t="str">
        <f>IFERROR(__xludf.DUMMYFUNCTION("GOOGLETRANSLATE(B2524,""en"",""zh-CN"")"),"看到一个年轻的女孩坐在钢琴的前面，并用手指尖端弹奏乐器。")</f>
        <v>看到一个年轻的女孩坐在钢琴的前面，并用手指尖端弹奏乐器。</v>
      </c>
    </row>
    <row r="2525">
      <c r="A2525" s="4" t="s">
        <v>3166</v>
      </c>
      <c r="B2525" s="4" t="s">
        <v>3168</v>
      </c>
      <c r="C2525" s="5" t="str">
        <f>IFERROR(__xludf.DUMMYFUNCTION("GOOGLETRANSLATE(B2525,""en"",""zh-CN"")"),"当摄像机从远处抓住她时，她继续演奏。")</f>
        <v>当摄像机从远处抓住她时，她继续演奏。</v>
      </c>
    </row>
    <row r="2526">
      <c r="A2526" s="4" t="s">
        <v>3169</v>
      </c>
      <c r="B2526" s="4" t="s">
        <v>3170</v>
      </c>
      <c r="C2526" s="5" t="str">
        <f>IFERROR(__xludf.DUMMYFUNCTION("GOOGLETRANSLATE(B2526,""en"",""zh-CN"")"),"看到一个人在抽烟时说话，从嘴里吹出烟。")</f>
        <v>看到一个人在抽烟时说话，从嘴里吹出烟。</v>
      </c>
    </row>
    <row r="2527">
      <c r="A2527" s="4" t="s">
        <v>3169</v>
      </c>
      <c r="B2527" s="6" t="s">
        <v>3171</v>
      </c>
      <c r="C2527" s="5" t="str">
        <f>IFERROR(__xludf.DUMMYFUNCTION("GOOGLETRANSLATE(B2527,""en"",""zh-CN"")"),"该人在抽烟时继续讲话，并在她讲话时逐渐吹烟。")</f>
        <v>该人在抽烟时继续讲话，并在她讲话时逐渐吹烟。</v>
      </c>
    </row>
    <row r="2528">
      <c r="A2528" s="4" t="s">
        <v>3172</v>
      </c>
      <c r="B2528" s="4" t="s">
        <v>3173</v>
      </c>
      <c r="C2528" s="5" t="str">
        <f>IFERROR(__xludf.DUMMYFUNCTION("GOOGLETRANSLATE(B2528,""en"",""zh-CN"")"),"三个人站在健身房互相交谈。")</f>
        <v>三个人站在健身房互相交谈。</v>
      </c>
    </row>
    <row r="2529">
      <c r="A2529" s="4" t="s">
        <v>3172</v>
      </c>
      <c r="B2529" s="6" t="s">
        <v>3174</v>
      </c>
      <c r="C2529" s="5" t="str">
        <f>IFERROR(__xludf.DUMMYFUNCTION("GOOGLETRANSLATE(B2529,""en"",""zh-CN"")"),"男人打开木门，进入健身房，看着第一批男人，他们惊慌失措。")</f>
        <v>男人打开木门，进入健身房，看着第一批男人，他们惊慌失措。</v>
      </c>
    </row>
    <row r="2530">
      <c r="A2530" s="4" t="s">
        <v>3172</v>
      </c>
      <c r="B2530" s="4" t="s">
        <v>3175</v>
      </c>
      <c r="C2530" s="5" t="str">
        <f>IFERROR(__xludf.DUMMYFUNCTION("GOOGLETRANSLATE(B2530,""en"",""zh-CN"")"),"男子开始在球场上跑步，试图抓住粉红色的球并开始打躲避球。")</f>
        <v>男子开始在球场上跑步，试图抓住粉红色的球并开始打躲避球。</v>
      </c>
    </row>
    <row r="2531">
      <c r="A2531" s="4" t="s">
        <v>3172</v>
      </c>
      <c r="B2531" s="4" t="s">
        <v>3176</v>
      </c>
      <c r="C2531" s="5" t="str">
        <f>IFERROR(__xludf.DUMMYFUNCTION("GOOGLETRANSLATE(B2531,""en"",""zh-CN"")"),"男人正在用砖墙的字体与相机交谈。")</f>
        <v>男人正在用砖墙的字体与相机交谈。</v>
      </c>
    </row>
    <row r="2532">
      <c r="A2532" s="4" t="s">
        <v>3177</v>
      </c>
      <c r="B2532" s="6" t="s">
        <v>3178</v>
      </c>
      <c r="C2532" s="5" t="str">
        <f>IFERROR(__xludf.DUMMYFUNCTION("GOOGLETRANSLATE(B2532,""en"",""zh-CN"")"),"看到一个女人在相机上说话，并进入了她的练习课和摄影室的剪辑。")</f>
        <v>看到一个女人在相机上说话，并进入了她的练习课和摄影室的剪辑。</v>
      </c>
    </row>
    <row r="2533">
      <c r="A2533" s="4" t="s">
        <v>3177</v>
      </c>
      <c r="B2533" s="6" t="s">
        <v>3179</v>
      </c>
      <c r="C2533" s="5" t="str">
        <f>IFERROR(__xludf.DUMMYFUNCTION("GOOGLETRANSLATE(B2533,""en"",""zh-CN"")"),"该名女子在教课程并继续与镜头说话时继续骑锻炼自行车。")</f>
        <v>该名女子在教课程并继续与镜头说话时继续骑锻炼自行车。</v>
      </c>
    </row>
    <row r="2534">
      <c r="A2534" s="4" t="s">
        <v>3180</v>
      </c>
      <c r="B2534" s="4" t="s">
        <v>3181</v>
      </c>
      <c r="C2534" s="5" t="str">
        <f>IFERROR(__xludf.DUMMYFUNCTION("GOOGLETRANSLATE(B2534,""en"",""zh-CN"")"),"一个人将扑克卡和桌子上的扑克卡在前面的人的赌场中移动。")</f>
        <v>一个人将扑克卡和桌子上的扑克卡在前面的人的赌场中移动。</v>
      </c>
    </row>
    <row r="2535">
      <c r="A2535" s="4" t="s">
        <v>3180</v>
      </c>
      <c r="B2535" s="4" t="s">
        <v>3182</v>
      </c>
      <c r="C2535" s="5" t="str">
        <f>IFERROR(__xludf.DUMMYFUNCTION("GOOGLETRANSLATE(B2535,""en"",""zh-CN"")"),"客户用手指在正方形内敲击。")</f>
        <v>客户用手指在正方形内敲击。</v>
      </c>
    </row>
    <row r="2536">
      <c r="A2536" s="4" t="s">
        <v>3180</v>
      </c>
      <c r="B2536" s="4" t="s">
        <v>3183</v>
      </c>
      <c r="C2536" s="5" t="str">
        <f>IFERROR(__xludf.DUMMYFUNCTION("GOOGLETRANSLATE(B2536,""en"",""zh-CN"")"),"然后，该人堆叠所有卡片，并将令牌放入正方形。")</f>
        <v>然后，该人堆叠所有卡片，并将令牌放入正方形。</v>
      </c>
    </row>
    <row r="2537">
      <c r="A2537" s="4" t="s">
        <v>3180</v>
      </c>
      <c r="B2537" s="4" t="s">
        <v>3184</v>
      </c>
      <c r="C2537" s="5" t="str">
        <f>IFERROR(__xludf.DUMMYFUNCTION("GOOGLETRANSLATE(B2537,""en"",""zh-CN"")"),"然后，人们开始赌博，而女人分发卡片并拿起令牌。")</f>
        <v>然后，人们开始赌博，而女人分发卡片并拿起令牌。</v>
      </c>
    </row>
    <row r="2538">
      <c r="A2538" s="4" t="s">
        <v>3180</v>
      </c>
      <c r="B2538" s="6" t="s">
        <v>3185</v>
      </c>
      <c r="C2538" s="5" t="str">
        <f>IFERROR(__xludf.DUMMYFUNCTION("GOOGLETRANSLATE(B2538,""en"",""zh-CN"")"),"之后，客户用手表现出来，然后用手表现出手势。")</f>
        <v>之后，客户用手表现出来，然后用手表现出手势。</v>
      </c>
    </row>
    <row r="2539">
      <c r="A2539" s="4" t="s">
        <v>3180</v>
      </c>
      <c r="B2539" s="4" t="s">
        <v>3186</v>
      </c>
      <c r="C2539" s="5" t="str">
        <f>IFERROR(__xludf.DUMMYFUNCTION("GOOGLETRANSLATE(B2539,""en"",""zh-CN"")"),"接下来，女人拿起卡。")</f>
        <v>接下来，女人拿起卡。</v>
      </c>
    </row>
    <row r="2540">
      <c r="A2540" s="4" t="s">
        <v>3187</v>
      </c>
      <c r="B2540" s="4" t="s">
        <v>3188</v>
      </c>
      <c r="C2540" s="5" t="str">
        <f>IFERROR(__xludf.DUMMYFUNCTION("GOOGLETRANSLATE(B2540,""en"",""zh-CN"")"),"牛仔竞技表演显示出一个人从大门中冲出来，将绳子扔在婴儿小牛上。")</f>
        <v>牛仔竞技表演显示出一个人从大门中冲出来，将绳子扔在婴儿小牛上。</v>
      </c>
    </row>
    <row r="2541">
      <c r="A2541" s="4" t="s">
        <v>3187</v>
      </c>
      <c r="B2541" s="4" t="s">
        <v>3189</v>
      </c>
      <c r="C2541" s="5" t="str">
        <f>IFERROR(__xludf.DUMMYFUNCTION("GOOGLETRANSLATE(B2541,""en"",""zh-CN"")"),"他立即取得了成功，并回到了他的马上。")</f>
        <v>他立即取得了成功，并回到了他的马上。</v>
      </c>
    </row>
    <row r="2542">
      <c r="A2542" s="4" t="s">
        <v>3190</v>
      </c>
      <c r="B2542" s="4" t="s">
        <v>3191</v>
      </c>
      <c r="C2542" s="5" t="str">
        <f>IFERROR(__xludf.DUMMYFUNCTION("GOOGLETRANSLATE(B2542,""en"",""zh-CN"")"),"一个男人在酒吧里展示了如何制作饮料。")</f>
        <v>一个男人在酒吧里展示了如何制作饮料。</v>
      </c>
    </row>
    <row r="2543">
      <c r="A2543" s="4" t="s">
        <v>3190</v>
      </c>
      <c r="B2543" s="4" t="s">
        <v>3192</v>
      </c>
      <c r="C2543" s="5" t="str">
        <f>IFERROR(__xludf.DUMMYFUNCTION("GOOGLETRANSLATE(B2543,""en"",""zh-CN"")"),"他用冰装满了玻璃杯。")</f>
        <v>他用冰装满了玻璃杯。</v>
      </c>
    </row>
    <row r="2544">
      <c r="A2544" s="4" t="s">
        <v>3190</v>
      </c>
      <c r="B2544" s="4" t="s">
        <v>3193</v>
      </c>
      <c r="C2544" s="5" t="str">
        <f>IFERROR(__xludf.DUMMYFUNCTION("GOOGLETRANSLATE(B2544,""en"",""zh-CN"")"),"然后，他开始将各种酒量测量到杯子中，然后将其倒入玻璃杯中。")</f>
        <v>然后，他开始将各种酒量测量到杯子中，然后将其倒入玻璃杯中。</v>
      </c>
    </row>
    <row r="2545">
      <c r="A2545" s="4" t="s">
        <v>3190</v>
      </c>
      <c r="B2545" s="4" t="s">
        <v>3194</v>
      </c>
      <c r="C2545" s="5" t="str">
        <f>IFERROR(__xludf.DUMMYFUNCTION("GOOGLETRANSLATE(B2545,""en"",""zh-CN"")"),"他一起摇晃饮料，然后将混合物倒入射击眼镜中。")</f>
        <v>他一起摇晃饮料，然后将混合物倒入射击眼镜中。</v>
      </c>
    </row>
    <row r="2546">
      <c r="A2546" s="4" t="s">
        <v>3190</v>
      </c>
      <c r="B2546" s="4" t="s">
        <v>3195</v>
      </c>
      <c r="C2546" s="5" t="str">
        <f>IFERROR(__xludf.DUMMYFUNCTION("GOOGLETRANSLATE(B2546,""en"",""zh-CN"")"),"最终，他将另一种酒放入眼镜中。")</f>
        <v>最终，他将另一种酒放入眼镜中。</v>
      </c>
    </row>
    <row r="2547">
      <c r="A2547" s="4" t="s">
        <v>3190</v>
      </c>
      <c r="B2547" s="4" t="s">
        <v>3196</v>
      </c>
      <c r="C2547" s="5" t="str">
        <f>IFERROR(__xludf.DUMMYFUNCTION("GOOGLETRANSLATE(B2547,""en"",""zh-CN"")"),"视频结束时，男人拿着两个眼镜。")</f>
        <v>视频结束时，男人拿着两个眼镜。</v>
      </c>
    </row>
    <row r="2548">
      <c r="A2548" s="4" t="s">
        <v>3197</v>
      </c>
      <c r="B2548" s="6" t="s">
        <v>3198</v>
      </c>
      <c r="C2548" s="5" t="str">
        <f>IFERROR(__xludf.DUMMYFUNCTION("GOOGLETRANSLATE(B2548,""en"",""zh-CN"")"),"显示了几次运动跑者的镜头，然后是运动员跳远和庆祝的慢动作射击。")</f>
        <v>显示了几次运动跑者的镜头，然后是运动员跳远和庆祝的慢动作射击。</v>
      </c>
    </row>
    <row r="2549">
      <c r="A2549" s="4" t="s">
        <v>3197</v>
      </c>
      <c r="B2549" s="6" t="s">
        <v>3199</v>
      </c>
      <c r="C2549" s="5" t="str">
        <f>IFERROR(__xludf.DUMMYFUNCTION("GOOGLETRANSLATE(B2549,""en"",""zh-CN"")"),"摄像机奔向男人伸展和观看的场景，然后沿着跳远跳来跳去，为人群欢呼。")</f>
        <v>摄像机奔向男人伸展和观看的场景，然后沿着跳远跳来跳去，为人群欢呼。</v>
      </c>
    </row>
    <row r="2550">
      <c r="A2550" s="4" t="s">
        <v>3197</v>
      </c>
      <c r="B2550" s="6" t="s">
        <v>3200</v>
      </c>
      <c r="C2550" s="5" t="str">
        <f>IFERROR(__xludf.DUMMYFUNCTION("GOOGLETRANSLATE(B2550,""en"",""zh-CN"")"),"他的跳跃又显示了几次，然后他的跳跃在大人群面前表现出来。")</f>
        <v>他的跳跃又显示了几次，然后他的跳跃在大人群面前表现出来。</v>
      </c>
    </row>
    <row r="2551">
      <c r="A2551" s="4" t="s">
        <v>3201</v>
      </c>
      <c r="B2551" s="4" t="s">
        <v>3202</v>
      </c>
      <c r="C2551" s="5" t="str">
        <f>IFERROR(__xludf.DUMMYFUNCTION("GOOGLETRANSLATE(B2551,""en"",""zh-CN"")"),"男人的手在桌子上显示。")</f>
        <v>男人的手在桌子上显示。</v>
      </c>
    </row>
    <row r="2552">
      <c r="A2552" s="4" t="s">
        <v>3201</v>
      </c>
      <c r="B2552" s="4" t="s">
        <v>3203</v>
      </c>
      <c r="C2552" s="5" t="str">
        <f>IFERROR(__xludf.DUMMYFUNCTION("GOOGLETRANSLATE(B2552,""en"",""zh-CN"")"),"他将一个纸板箱放在包装纸上。")</f>
        <v>他将一个纸板箱放在包装纸上。</v>
      </c>
    </row>
    <row r="2553">
      <c r="A2553" s="4" t="s">
        <v>3201</v>
      </c>
      <c r="B2553" s="4" t="s">
        <v>3204</v>
      </c>
      <c r="C2553" s="5" t="str">
        <f>IFERROR(__xludf.DUMMYFUNCTION("GOOGLETRANSLATE(B2553,""en"",""zh-CN"")"),"他开始包裹盒子，演示了如何正确包裹礼物。")</f>
        <v>他开始包裹盒子，演示了如何正确包裹礼物。</v>
      </c>
    </row>
    <row r="2554">
      <c r="A2554" s="4" t="s">
        <v>3201</v>
      </c>
      <c r="B2554" s="4" t="s">
        <v>3205</v>
      </c>
      <c r="C2554" s="5" t="str">
        <f>IFERROR(__xludf.DUMMYFUNCTION("GOOGLETRANSLATE(B2554,""en"",""zh-CN"")"),"他将包裹纸贴在盒子上。")</f>
        <v>他将包裹纸贴在盒子上。</v>
      </c>
    </row>
    <row r="2555">
      <c r="A2555" s="4" t="s">
        <v>3201</v>
      </c>
      <c r="B2555" s="4" t="s">
        <v>3206</v>
      </c>
      <c r="C2555" s="5" t="str">
        <f>IFERROR(__xludf.DUMMYFUNCTION("GOOGLETRANSLATE(B2555,""en"",""zh-CN"")"),"当相机减慢运动时，该男子将弓箭绑在盒子上。")</f>
        <v>当相机减慢运动时，该男子将弓箭绑在盒子上。</v>
      </c>
    </row>
    <row r="2556">
      <c r="A2556" s="4" t="s">
        <v>3201</v>
      </c>
      <c r="B2556" s="4" t="s">
        <v>3207</v>
      </c>
      <c r="C2556" s="5" t="str">
        <f>IFERROR(__xludf.DUMMYFUNCTION("GOOGLETRANSLATE(B2556,""en"",""zh-CN"")"),"他把多余的弓箭砍掉了，我们看到一个贴有女人脸的贴纸。")</f>
        <v>他把多余的弓箭砍掉了，我们看到一个贴有女人脸的贴纸。</v>
      </c>
    </row>
    <row r="2557">
      <c r="A2557" s="4" t="s">
        <v>3208</v>
      </c>
      <c r="B2557" s="4" t="s">
        <v>3209</v>
      </c>
      <c r="C2557" s="5" t="str">
        <f>IFERROR(__xludf.DUMMYFUNCTION("GOOGLETRANSLATE(B2557,""en"",""zh-CN"")"),"一名妇女穿着汗水装备，看到试图用更轻的灯获得灯。")</f>
        <v>一名妇女穿着汗水装备，看到试图用更轻的灯获得灯。</v>
      </c>
    </row>
    <row r="2558">
      <c r="A2558" s="4" t="s">
        <v>3208</v>
      </c>
      <c r="B2558" s="4" t="s">
        <v>3210</v>
      </c>
      <c r="C2558" s="5" t="str">
        <f>IFERROR(__xludf.DUMMYFUNCTION("GOOGLETRANSLATE(B2558,""en"",""zh-CN"")"),"她没有这样做，开始朝相机走去。")</f>
        <v>她没有这样做，开始朝相机走去。</v>
      </c>
    </row>
    <row r="2559">
      <c r="A2559" s="4" t="s">
        <v>3211</v>
      </c>
      <c r="B2559" s="6" t="s">
        <v>3212</v>
      </c>
      <c r="C2559" s="5" t="str">
        <f>IFERROR(__xludf.DUMMYFUNCTION("GOOGLETRANSLATE(B2559,""en"",""zh-CN"")"),"显示了几张啦啦队的特写镜头，使他们互相表演和翻转。")</f>
        <v>显示了几张啦啦队的特写镜头，使他们互相表演和翻转。</v>
      </c>
    </row>
    <row r="2560">
      <c r="A2560" s="4" t="s">
        <v>3211</v>
      </c>
      <c r="B2560" s="6" t="s">
        <v>3213</v>
      </c>
      <c r="C2560" s="5" t="str">
        <f>IFERROR(__xludf.DUMMYFUNCTION("GOOGLETRANSLATE(B2560,""en"",""zh-CN"")"),"该视频继续进行了许多啦啦队的镜头，以慢动作并互相欺骗。")</f>
        <v>该视频继续进行了许多啦啦队的镜头，以慢动作并互相欺骗。</v>
      </c>
    </row>
    <row r="2561">
      <c r="A2561" s="4" t="s">
        <v>3214</v>
      </c>
      <c r="B2561" s="4" t="s">
        <v>3215</v>
      </c>
      <c r="C2561" s="5" t="str">
        <f>IFERROR(__xludf.DUMMYFUNCTION("GOOGLETRANSLATE(B2561,""en"",""zh-CN"")"),"一个绿色毛衣的金发女子正在说话。")</f>
        <v>一个绿色毛衣的金发女子正在说话。</v>
      </c>
    </row>
    <row r="2562">
      <c r="A2562" s="4" t="s">
        <v>3214</v>
      </c>
      <c r="B2562" s="4" t="s">
        <v>3216</v>
      </c>
      <c r="C2562" s="5" t="str">
        <f>IFERROR(__xludf.DUMMYFUNCTION("GOOGLETRANSLATE(B2562,""en"",""zh-CN"")"),"她炫耀了一个装满面食沙拉和蔬菜的盘子。")</f>
        <v>她炫耀了一个装满面食沙拉和蔬菜的盘子。</v>
      </c>
    </row>
    <row r="2563">
      <c r="A2563" s="4" t="s">
        <v>3214</v>
      </c>
      <c r="B2563" s="6" t="s">
        <v>3217</v>
      </c>
      <c r="C2563" s="5" t="str">
        <f>IFERROR(__xludf.DUMMYFUNCTION("GOOGLETRANSLATE(B2563,""en"",""zh-CN"")"),"她展示了如何在搅拌机中制作香蒜酱，然后将迷你西红柿与意大利面混合。")</f>
        <v>她展示了如何在搅拌机中制作香蒜酱，然后将迷你西红柿与意大利面混合。</v>
      </c>
    </row>
    <row r="2564">
      <c r="A2564" s="4" t="s">
        <v>3214</v>
      </c>
      <c r="B2564" s="4" t="s">
        <v>3218</v>
      </c>
      <c r="C2564" s="5" t="str">
        <f>IFERROR(__xludf.DUMMYFUNCTION("GOOGLETRANSLATE(B2564,""en"",""zh-CN"")"),"她回到镜头前，继续说话，然后我们看到面食的最后一幕。")</f>
        <v>她回到镜头前，继续说话，然后我们看到面食的最后一幕。</v>
      </c>
    </row>
    <row r="2565">
      <c r="A2565" s="4" t="s">
        <v>3219</v>
      </c>
      <c r="B2565" s="4" t="s">
        <v>3220</v>
      </c>
      <c r="C2565" s="5" t="str">
        <f>IFERROR(__xludf.DUMMYFUNCTION("GOOGLETRANSLATE(B2565,""en"",""zh-CN"")"),"几名男子穿着皮划艇制服，准备开始漂流。")</f>
        <v>几名男子穿着皮划艇制服，准备开始漂流。</v>
      </c>
    </row>
    <row r="2566">
      <c r="A2566" s="4" t="s">
        <v>3219</v>
      </c>
      <c r="B2566" s="4" t="s">
        <v>3221</v>
      </c>
      <c r="C2566" s="5" t="str">
        <f>IFERROR(__xludf.DUMMYFUNCTION("GOOGLETRANSLATE(B2566,""en"",""zh-CN"")"),"几个人开始漂流，他们在酒吧和公共汽车上显示。")</f>
        <v>几个人开始漂流，他们在酒吧和公共汽车上显示。</v>
      </c>
    </row>
    <row r="2567">
      <c r="A2567" s="4" t="s">
        <v>3219</v>
      </c>
      <c r="B2567" s="6" t="s">
        <v>3222</v>
      </c>
      <c r="C2567" s="5" t="str">
        <f>IFERROR(__xludf.DUMMYFUNCTION("GOOGLETRANSLATE(B2567,""en"",""zh-CN"")"),"当他们继续漂流时，每条筏子上显示了一个带有几条线的黑色圆圈的清晰桶，人们通过在上面抽烟来行走。")</f>
        <v>当他们继续漂流时，每条筏子上显示了一个带有几条线的黑色圆圈的清晰桶，人们通过在上面抽烟来行走。</v>
      </c>
    </row>
    <row r="2568">
      <c r="A2568" s="4" t="s">
        <v>3219</v>
      </c>
      <c r="B2568" s="6" t="s">
        <v>3223</v>
      </c>
      <c r="C2568" s="5" t="str">
        <f>IFERROR(__xludf.DUMMYFUNCTION("GOOGLETRANSLATE(B2568,""en"",""zh-CN"")"),"越来越多的人开始划皮划艇，最终将筏子翻转过来，直到一个人来开始说话。")</f>
        <v>越来越多的人开始划皮划艇，最终将筏子翻转过来，直到一个人来开始说话。</v>
      </c>
    </row>
    <row r="2569">
      <c r="A2569" s="4" t="s">
        <v>3224</v>
      </c>
      <c r="B2569" s="4" t="s">
        <v>3225</v>
      </c>
      <c r="C2569" s="5" t="str">
        <f>IFERROR(__xludf.DUMMYFUNCTION("GOOGLETRANSLATE(B2569,""en"",""zh-CN"")"),"戴头盔的人正在划一条充气的船上，沿着一块岩石的水划船。")</f>
        <v>戴头盔的人正在划一条充气的船上，沿着一块岩石的水划船。</v>
      </c>
    </row>
    <row r="2570">
      <c r="A2570" s="4" t="s">
        <v>3224</v>
      </c>
      <c r="B2570" s="4" t="s">
        <v>3226</v>
      </c>
      <c r="C2570" s="5" t="str">
        <f>IFERROR(__xludf.DUMMYFUNCTION("GOOGLETRANSLATE(B2570,""en"",""zh-CN"")"),"水溅入充气的船上。")</f>
        <v>水溅入充气的船上。</v>
      </c>
    </row>
    <row r="2571">
      <c r="A2571" s="4" t="s">
        <v>3224</v>
      </c>
      <c r="B2571" s="4" t="s">
        <v>3227</v>
      </c>
      <c r="C2571" s="5" t="str">
        <f>IFERROR(__xludf.DUMMYFUNCTION("GOOGLETRANSLATE(B2571,""en"",""zh-CN"")"),"人们停止划船，船仍然。")</f>
        <v>人们停止划船，船仍然。</v>
      </c>
    </row>
    <row r="2572">
      <c r="A2572" s="4" t="s">
        <v>3228</v>
      </c>
      <c r="B2572" s="4" t="s">
        <v>3229</v>
      </c>
      <c r="C2572" s="5" t="str">
        <f>IFERROR(__xludf.DUMMYFUNCTION("GOOGLETRANSLATE(B2572,""en"",""zh-CN"")"),"一个孩子用拖把洗净房屋的地板。")</f>
        <v>一个孩子用拖把洗净房屋的地板。</v>
      </c>
    </row>
    <row r="2573">
      <c r="A2573" s="4" t="s">
        <v>3228</v>
      </c>
      <c r="B2573" s="4" t="s">
        <v>3230</v>
      </c>
      <c r="C2573" s="5" t="str">
        <f>IFERROR(__xludf.DUMMYFUNCTION("GOOGLETRANSLATE(B2573,""en"",""zh-CN"")"),"孩子扭曲拖把将其翻转。")</f>
        <v>孩子扭曲拖把将其翻转。</v>
      </c>
    </row>
    <row r="2574">
      <c r="A2574" s="4" t="s">
        <v>3231</v>
      </c>
      <c r="B2574" s="4" t="s">
        <v>3232</v>
      </c>
      <c r="C2574" s="5" t="str">
        <f>IFERROR(__xludf.DUMMYFUNCTION("GOOGLETRANSLATE(B2574,""en"",""zh-CN"")"),"当她的名字在屏幕上闪烁时，一个小女孩走进健身房。")</f>
        <v>当她的名字在屏幕上闪烁时，一个小女孩走进健身房。</v>
      </c>
    </row>
    <row r="2575">
      <c r="A2575" s="4" t="s">
        <v>3231</v>
      </c>
      <c r="B2575" s="4" t="s">
        <v>3233</v>
      </c>
      <c r="C2575" s="5" t="str">
        <f>IFERROR(__xludf.DUMMYFUNCTION("GOOGLETRANSLATE(B2575,""en"",""zh-CN"")"),"这个小女孩用警棍表演了例行程序。")</f>
        <v>这个小女孩用警棍表演了例行程序。</v>
      </c>
    </row>
    <row r="2576">
      <c r="A2576" s="4" t="s">
        <v>3231</v>
      </c>
      <c r="B2576" s="4" t="s">
        <v>3234</v>
      </c>
      <c r="C2576" s="5" t="str">
        <f>IFERROR(__xludf.DUMMYFUNCTION("GOOGLETRANSLATE(B2576,""en"",""zh-CN"")"),"这个女孩翻转，扔了她的警棍并在地面上抓住它。")</f>
        <v>这个女孩翻转，扔了她的警棍并在地面上抓住它。</v>
      </c>
    </row>
    <row r="2577">
      <c r="A2577" s="4" t="s">
        <v>3231</v>
      </c>
      <c r="B2577" s="4" t="s">
        <v>3235</v>
      </c>
      <c r="C2577" s="5" t="str">
        <f>IFERROR(__xludf.DUMMYFUNCTION("GOOGLETRANSLATE(B2577,""en"",""zh-CN"")"),"女孩停了下来。")</f>
        <v>女孩停了下来。</v>
      </c>
    </row>
    <row r="2578">
      <c r="A2578" s="4" t="s">
        <v>3231</v>
      </c>
      <c r="B2578" s="4" t="s">
        <v>3236</v>
      </c>
      <c r="C2578" s="5" t="str">
        <f>IFERROR(__xludf.DUMMYFUNCTION("GOOGLETRANSLATE(B2578,""en"",""zh-CN"")"),"这个女孩分开了，将指挥棒放在地上。")</f>
        <v>这个女孩分开了，将指挥棒放在地上。</v>
      </c>
    </row>
    <row r="2579">
      <c r="A2579" s="4" t="s">
        <v>3237</v>
      </c>
      <c r="B2579" s="6" t="s">
        <v>3238</v>
      </c>
      <c r="C2579" s="5" t="str">
        <f>IFERROR(__xludf.DUMMYFUNCTION("GOOGLETRANSLATE(B2579,""en"",""zh-CN"")"),"看到一个男人在拿着窗户的相机上讲话，并开始弄湿窗户。")</f>
        <v>看到一个男人在拿着窗户的相机上讲话，并开始弄湿窗户。</v>
      </c>
    </row>
    <row r="2580">
      <c r="A2580" s="4" t="s">
        <v>3237</v>
      </c>
      <c r="B2580" s="4" t="s">
        <v>3239</v>
      </c>
      <c r="C2580" s="5" t="str">
        <f>IFERROR(__xludf.DUMMYFUNCTION("GOOGLETRANSLATE(B2580,""en"",""zh-CN"")"),"然后，他用各种工具一遍又一遍地擦拭窗口。")</f>
        <v>然后，他用各种工具一遍又一遍地擦拭窗口。</v>
      </c>
    </row>
    <row r="2581">
      <c r="A2581" s="4" t="s">
        <v>3240</v>
      </c>
      <c r="B2581" s="4" t="s">
        <v>3241</v>
      </c>
      <c r="C2581" s="5" t="str">
        <f>IFERROR(__xludf.DUMMYFUNCTION("GOOGLETRANSLATE(B2581,""en"",""zh-CN"")"),"一名体操运动员在末端准备就绪，然后将其翻转到梁上。")</f>
        <v>一名体操运动员在末端准备就绪，然后将其翻转到梁上。</v>
      </c>
    </row>
    <row r="2582">
      <c r="A2582" s="4" t="s">
        <v>3240</v>
      </c>
      <c r="B2582" s="4" t="s">
        <v>3242</v>
      </c>
      <c r="C2582" s="5" t="str">
        <f>IFERROR(__xludf.DUMMYFUNCTION("GOOGLETRANSLATE(B2582,""en"",""zh-CN"")"),"她表演了体操例程，而侧面的几个人看着她。")</f>
        <v>她表演了体操例程，而侧面的几个人看着她。</v>
      </c>
    </row>
    <row r="2583">
      <c r="A2583" s="4" t="s">
        <v>3240</v>
      </c>
      <c r="B2583" s="4" t="s">
        <v>3243</v>
      </c>
      <c r="C2583" s="5" t="str">
        <f>IFERROR(__xludf.DUMMYFUNCTION("GOOGLETRANSLATE(B2583,""en"",""zh-CN"")"),"她继续在横梁上翻转，并进行各种杂技技巧。")</f>
        <v>她继续在横梁上翻转，并进行各种杂技技巧。</v>
      </c>
    </row>
    <row r="2584">
      <c r="A2584" s="4" t="s">
        <v>3240</v>
      </c>
      <c r="B2584" s="6" t="s">
        <v>3244</v>
      </c>
      <c r="C2584" s="5" t="str">
        <f>IFERROR(__xludf.DUMMYFUNCTION("GOOGLETRANSLATE(B2584,""en"",""zh-CN"")"),"她跳下来，给教练一个拥抱，而相机以慢动作展示她的动作，她与一个女人说话。")</f>
        <v>她跳下来，给教练一个拥抱，而相机以慢动作展示她的动作，她与一个女人说话。</v>
      </c>
    </row>
    <row r="2585">
      <c r="A2585" s="4" t="s">
        <v>3245</v>
      </c>
      <c r="B2585" s="4" t="s">
        <v>3246</v>
      </c>
      <c r="C2585" s="5" t="str">
        <f>IFERROR(__xludf.DUMMYFUNCTION("GOOGLETRANSLATE(B2585,""en"",""zh-CN"")"),"唱歌并看着相机时，看到两个人在演奏一组Bongo鼓。")</f>
        <v>唱歌并看着相机时，看到两个人在演奏一组Bongo鼓。</v>
      </c>
    </row>
    <row r="2586">
      <c r="A2586" s="4" t="s">
        <v>3245</v>
      </c>
      <c r="B2586" s="4" t="s">
        <v>3247</v>
      </c>
      <c r="C2586" s="5" t="str">
        <f>IFERROR(__xludf.DUMMYFUNCTION("GOOGLETRANSLATE(B2586,""en"",""zh-CN"")"),"这些人不断地玩耍，结束并彼此微笑。")</f>
        <v>这些人不断地玩耍，结束并彼此微笑。</v>
      </c>
    </row>
    <row r="2587">
      <c r="A2587" s="4" t="s">
        <v>3248</v>
      </c>
      <c r="B2587" s="6" t="s">
        <v>3249</v>
      </c>
      <c r="C2587" s="5" t="str">
        <f>IFERROR(__xludf.DUMMYFUNCTION("GOOGLETRANSLATE(B2587,""en"",""zh-CN"")"),"在加速的特殊效果中，有3个人在车道上铲车，从车道右侧的汽车上卸下雪，而邻居和其他雪地也在后面移动。")</f>
        <v>在加速的特殊效果中，有3个人在车道上铲车，从车道右侧的汽车上卸下雪，而邻居和其他雪地也在后面移动。</v>
      </c>
    </row>
    <row r="2588">
      <c r="A2588" s="4" t="s">
        <v>3248</v>
      </c>
      <c r="B2588" s="6" t="s">
        <v>3250</v>
      </c>
      <c r="C2588" s="5" t="str">
        <f>IFERROR(__xludf.DUMMYFUNCTION("GOOGLETRANSLATE(B2588,""en"",""zh-CN"")"),"一个人将铲子放在车道上，然后跑到车道的尽头在雪地里玩耍，然后回去，然后再次将铲子送回铲子。")</f>
        <v>一个人将铲子放在车道上，然后跑到车道的尽头在雪地里玩耍，然后回去，然后再次将铲子送回铲子。</v>
      </c>
    </row>
    <row r="2589">
      <c r="A2589" s="4" t="s">
        <v>3248</v>
      </c>
      <c r="B2589" s="6" t="s">
        <v>3251</v>
      </c>
      <c r="C2589" s="5" t="str">
        <f>IFERROR(__xludf.DUMMYFUNCTION("GOOGLETRANSLATE(B2589,""en"",""zh-CN"")"),"一辆黑色的汽车将新铲的车道拉动，人们​​继续将雪铲到车道外的道路上。")</f>
        <v>一辆黑色的汽车将新铲的车道拉动，人们​​继续将雪铲到车道外的道路上。</v>
      </c>
    </row>
    <row r="2590">
      <c r="A2590" s="4" t="s">
        <v>3252</v>
      </c>
      <c r="B2590" s="4" t="s">
        <v>3253</v>
      </c>
      <c r="C2590" s="5" t="str">
        <f>IFERROR(__xludf.DUMMYFUNCTION("GOOGLETRANSLATE(B2590,""en"",""zh-CN"")"),"有一个女人，棕色头发短，做化妆教程。")</f>
        <v>有一个女人，棕色头发短，做化妆教程。</v>
      </c>
    </row>
    <row r="2591">
      <c r="A2591" s="4" t="s">
        <v>3252</v>
      </c>
      <c r="B2591" s="4" t="s">
        <v>3254</v>
      </c>
      <c r="C2591" s="5" t="str">
        <f>IFERROR(__xludf.DUMMYFUNCTION("GOOGLETRANSLATE(B2591,""en"",""zh-CN"")"),"她首先戴着头带使头发从脸上脱颖而出。")</f>
        <v>她首先戴着头带使头发从脸上脱颖而出。</v>
      </c>
    </row>
    <row r="2592">
      <c r="A2592" s="4" t="s">
        <v>3252</v>
      </c>
      <c r="B2592" s="4" t="s">
        <v>3255</v>
      </c>
      <c r="C2592" s="5" t="str">
        <f>IFERROR(__xludf.DUMMYFUNCTION("GOOGLETRANSLATE(B2592,""en"",""zh-CN"")"),"然后，她开始在脸上涂抹一些粉底并将其融合在一起。")</f>
        <v>然后，她开始在脸上涂抹一些粉底并将其融合在一起。</v>
      </c>
    </row>
    <row r="2593">
      <c r="A2593" s="4" t="s">
        <v>3252</v>
      </c>
      <c r="B2593" s="4" t="s">
        <v>3256</v>
      </c>
      <c r="C2593" s="5" t="str">
        <f>IFERROR(__xludf.DUMMYFUNCTION("GOOGLETRANSLATE(B2593,""en"",""zh-CN"")"),"然后，她拿着眼线笔，用刷子和眼皮上的刷子涂抹。")</f>
        <v>然后，她拿着眼线笔，用刷子和眼皮上的刷子涂抹。</v>
      </c>
    </row>
    <row r="2594">
      <c r="A2594" s="4" t="s">
        <v>3252</v>
      </c>
      <c r="B2594" s="4" t="s">
        <v>3257</v>
      </c>
      <c r="C2594" s="5" t="str">
        <f>IFERROR(__xludf.DUMMYFUNCTION("GOOGLETRANSLATE(B2594,""en"",""zh-CN"")"),"然后，她服用一些粉末紧凑，将其拍打在脸上，然后将其均匀地铺开。")</f>
        <v>然后，她服用一些粉末紧凑，将其拍打在脸上，然后将其均匀地铺开。</v>
      </c>
    </row>
    <row r="2595">
      <c r="A2595" s="4" t="s">
        <v>3252</v>
      </c>
      <c r="B2595" s="6" t="s">
        <v>3258</v>
      </c>
      <c r="C2595" s="5" t="str">
        <f>IFERROR(__xludf.DUMMYFUNCTION("GOOGLETRANSLATE(B2595,""en"",""zh-CN"")"),"然后用刷子涂在眼睑上，然后用眼线笔，然后用眼线笔在眼皮上和眼睛下面使用。")</f>
        <v>然后用刷子涂在眼睑上，然后用眼线笔，然后用眼线笔在眼皮上和眼睛下面使用。</v>
      </c>
    </row>
    <row r="2596">
      <c r="A2596" s="4" t="s">
        <v>3252</v>
      </c>
      <c r="B2596" s="6" t="s">
        <v>3259</v>
      </c>
      <c r="C2596" s="5" t="str">
        <f>IFERROR(__xludf.DUMMYFUNCTION("GOOGLETRANSLATE(B2596,""en"",""zh-CN"")"),"她拿起一双睫毛卷发器，卷曲睫毛，然后用刷子涂抹一些睫毛膏。")</f>
        <v>她拿起一双睫毛卷发器，卷曲睫毛，然后用刷子涂抹一些睫毛膏。</v>
      </c>
    </row>
    <row r="2597">
      <c r="A2597" s="4" t="s">
        <v>3252</v>
      </c>
      <c r="B2597" s="4" t="s">
        <v>3260</v>
      </c>
      <c r="C2597" s="5" t="str">
        <f>IFERROR(__xludf.DUMMYFUNCTION("GOOGLETRANSLATE(B2597,""en"",""zh-CN"")"),"她用唇膏放在上下嘴唇上的唇膏上完成化妆。")</f>
        <v>她用唇膏放在上下嘴唇上的唇膏上完成化妆。</v>
      </c>
    </row>
    <row r="2598">
      <c r="A2598" s="4" t="s">
        <v>3252</v>
      </c>
      <c r="B2598" s="4" t="s">
        <v>3261</v>
      </c>
      <c r="C2598" s="5" t="str">
        <f>IFERROR(__xludf.DUMMYFUNCTION("GOOGLETRANSLATE(B2598,""en"",""zh-CN"")"),"然后，她卸下头带并伸直头发，以完成外观。")</f>
        <v>然后，她卸下头带并伸直头发，以完成外观。</v>
      </c>
    </row>
    <row r="2599">
      <c r="A2599" s="4" t="s">
        <v>3252</v>
      </c>
      <c r="B2599" s="4" t="s">
        <v>3262</v>
      </c>
      <c r="C2599" s="5" t="str">
        <f>IFERROR(__xludf.DUMMYFUNCTION("GOOGLETRANSLATE(B2599,""en"",""zh-CN"")"),"她展示了之前的化妆和化妆图片以显示差异。")</f>
        <v>她展示了之前的化妆和化妆图片以显示差异。</v>
      </c>
    </row>
    <row r="2600">
      <c r="A2600" s="4" t="s">
        <v>3263</v>
      </c>
      <c r="B2600" s="4" t="s">
        <v>3264</v>
      </c>
      <c r="C2600" s="5" t="str">
        <f>IFERROR(__xludf.DUMMYFUNCTION("GOOGLETRANSLATE(B2600,""en"",""zh-CN"")"),"一个男人站在一对滑雪板上。")</f>
        <v>一个男人站在一对滑雪板上。</v>
      </c>
    </row>
    <row r="2601">
      <c r="A2601" s="4" t="s">
        <v>3263</v>
      </c>
      <c r="B2601" s="6" t="s">
        <v>3265</v>
      </c>
      <c r="C2601" s="5" t="str">
        <f>IFERROR(__xludf.DUMMYFUNCTION("GOOGLETRANSLATE(B2601,""en"",""zh-CN"")"),"然后，他迅速滑下了一个雪地的路堤，不小心撞到了他的小路上的滑雪者，并将她的自以为是右边。")</f>
        <v>然后，他迅速滑下了一个雪地的路堤，不小心撞到了他的小路上的滑雪者，并将她的自以为是右边。</v>
      </c>
    </row>
    <row r="2602">
      <c r="A2602" s="4" t="s">
        <v>3263</v>
      </c>
      <c r="B2602" s="4" t="s">
        <v>3266</v>
      </c>
      <c r="C2602" s="5" t="str">
        <f>IFERROR(__xludf.DUMMYFUNCTION("GOOGLETRANSLATE(B2602,""en"",""zh-CN"")"),"他们停下来交谈，检查以确保她还好。")</f>
        <v>他们停下来交谈，检查以确保她还好。</v>
      </c>
    </row>
    <row r="2603">
      <c r="A2603" s="4" t="s">
        <v>3267</v>
      </c>
      <c r="B2603" s="4" t="s">
        <v>3268</v>
      </c>
      <c r="C2603" s="5" t="str">
        <f>IFERROR(__xludf.DUMMYFUNCTION("GOOGLETRANSLATE(B2603,""en"",""zh-CN"")"),"看到一个男人在看着相机时抱着一个小孩。")</f>
        <v>看到一个男人在看着相机时抱着一个小孩。</v>
      </c>
    </row>
    <row r="2604">
      <c r="A2604" s="4" t="s">
        <v>3267</v>
      </c>
      <c r="B2604" s="4" t="s">
        <v>3269</v>
      </c>
      <c r="C2604" s="5" t="str">
        <f>IFERROR(__xludf.DUMMYFUNCTION("GOOGLETRANSLATE(B2604,""en"",""zh-CN"")"),"然后，两者爬上骆驼，挥舞着相机。")</f>
        <v>然后，两者爬上骆驼，挥舞着相机。</v>
      </c>
    </row>
    <row r="2605">
      <c r="A2605" s="4" t="s">
        <v>3267</v>
      </c>
      <c r="B2605" s="4" t="s">
        <v>3270</v>
      </c>
      <c r="C2605" s="5" t="str">
        <f>IFERROR(__xludf.DUMMYFUNCTION("GOOGLETRANSLATE(B2605,""en"",""zh-CN"")"),"两人和那个女人一起骑行。")</f>
        <v>两人和那个女人一起骑行。</v>
      </c>
    </row>
    <row r="2606">
      <c r="A2606" s="4" t="s">
        <v>3271</v>
      </c>
      <c r="B2606" s="4" t="s">
        <v>3272</v>
      </c>
      <c r="C2606" s="5" t="str">
        <f>IFERROR(__xludf.DUMMYFUNCTION("GOOGLETRANSLATE(B2606,""en"",""zh-CN"")"),"奥林匹克三级跳跃显示在体育场中。")</f>
        <v>奥林匹克三级跳跃显示在体育场中。</v>
      </c>
    </row>
    <row r="2607">
      <c r="A2607" s="4" t="s">
        <v>3271</v>
      </c>
      <c r="B2607" s="4" t="s">
        <v>3273</v>
      </c>
      <c r="C2607" s="5" t="str">
        <f>IFERROR(__xludf.DUMMYFUNCTION("GOOGLETRANSLATE(B2607,""en"",""zh-CN"")"),"黄色的第一个人超过17米。")</f>
        <v>黄色的第一个人超过17米。</v>
      </c>
    </row>
    <row r="2608">
      <c r="A2608" s="4" t="s">
        <v>3271</v>
      </c>
      <c r="B2608" s="4" t="s">
        <v>3274</v>
      </c>
      <c r="C2608" s="5" t="str">
        <f>IFERROR(__xludf.DUMMYFUNCTION("GOOGLETRANSLATE(B2608,""en"",""zh-CN"")"),"第二人称与第三人称差不多。")</f>
        <v>第二人称与第三人称差不多。</v>
      </c>
    </row>
    <row r="2609">
      <c r="A2609" s="4" t="s">
        <v>3275</v>
      </c>
      <c r="B2609" s="4" t="s">
        <v>3276</v>
      </c>
      <c r="C2609" s="5" t="str">
        <f>IFERROR(__xludf.DUMMYFUNCTION("GOOGLETRANSLATE(B2609,""en"",""zh-CN"")"),"一家商店的内部显示了几张照片，然后是一个拆箱自行车的人。")</f>
        <v>一家商店的内部显示了几张照片，然后是一个拆箱自行车的人。</v>
      </c>
    </row>
    <row r="2610">
      <c r="A2610" s="4" t="s">
        <v>3275</v>
      </c>
      <c r="B2610" s="6" t="s">
        <v>3277</v>
      </c>
      <c r="C2610" s="5" t="str">
        <f>IFERROR(__xludf.DUMMYFUNCTION("GOOGLETRANSLATE(B2610,""en"",""zh-CN"")"),"然后，该男子拿出工具并沿着自行车收紧工具，并用手兜售自行车并炫耀完成的自行车。")</f>
        <v>然后，该男子拿出工具并沿着自行车收紧工具，并用手兜售自行车并炫耀完成的自行车。</v>
      </c>
    </row>
    <row r="2611">
      <c r="A2611" s="4" t="s">
        <v>3278</v>
      </c>
      <c r="B2611" s="4" t="s">
        <v>3279</v>
      </c>
      <c r="C2611" s="5" t="str">
        <f>IFERROR(__xludf.DUMMYFUNCTION("GOOGLETRANSLATE(B2611,""en"",""zh-CN"")"),"一个女孩在低光束上，准备翻转。")</f>
        <v>一个女孩在低光束上，准备翻转。</v>
      </c>
    </row>
    <row r="2612">
      <c r="A2612" s="4" t="s">
        <v>3278</v>
      </c>
      <c r="B2612" s="4" t="s">
        <v>3280</v>
      </c>
      <c r="C2612" s="5" t="str">
        <f>IFERROR(__xludf.DUMMYFUNCTION("GOOGLETRANSLATE(B2612,""en"",""zh-CN"")"),"她向前翻转，然后伸出双臂向后转弯。")</f>
        <v>她向前翻转，然后伸出双臂向后转弯。</v>
      </c>
    </row>
    <row r="2613">
      <c r="A2613" s="4" t="s">
        <v>3281</v>
      </c>
      <c r="B2613" s="6" t="s">
        <v>3282</v>
      </c>
      <c r="C2613" s="5" t="str">
        <f>IFERROR(__xludf.DUMMYFUNCTION("GOOGLETRANSLATE(B2613,""en"",""zh-CN"")"),"一个男孩从左门口走进房间，抱着一个红填充的动物坐在桌子旁，然后把动物放下。")</f>
        <v>一个男孩从左门口走进房间，抱着一个红填充的动物坐在桌子旁，然后把动物放下。</v>
      </c>
    </row>
    <row r="2614">
      <c r="A2614" s="4" t="s">
        <v>3281</v>
      </c>
      <c r="B2614" s="4" t="s">
        <v>3283</v>
      </c>
      <c r="C2614" s="5" t="str">
        <f>IFERROR(__xludf.DUMMYFUNCTION("GOOGLETRANSLATE(B2614,""en"",""zh-CN"")"),"一个女孩在房间前右门口散步，坐在桌子旁。")</f>
        <v>一个女孩在房间前右门口散步，坐在桌子旁。</v>
      </c>
    </row>
    <row r="2615">
      <c r="A2615" s="4" t="s">
        <v>3281</v>
      </c>
      <c r="B2615" s="4" t="s">
        <v>3284</v>
      </c>
      <c r="C2615" s="5" t="str">
        <f>IFERROR(__xludf.DUMMYFUNCTION("GOOGLETRANSLATE(B2615,""en"",""zh-CN"")"),"他们开始摔跤，女孩获胜。")</f>
        <v>他们开始摔跤，女孩获胜。</v>
      </c>
    </row>
    <row r="2616">
      <c r="A2616" s="4" t="s">
        <v>3281</v>
      </c>
      <c r="B2616" s="6" t="s">
        <v>3285</v>
      </c>
      <c r="C2616" s="5" t="str">
        <f>IFERROR(__xludf.DUMMYFUNCTION("GOOGLETRANSLATE(B2616,""en"",""zh-CN"")"),"那个女孩对镜头微笑着看到她的胜利，然后他们俩都从他们进入的同一侧到达出口房间。")</f>
        <v>那个女孩对镜头微笑着看到她的胜利，然后他们俩都从他们进入的同一侧到达出口房间。</v>
      </c>
    </row>
    <row r="2617">
      <c r="A2617" s="4" t="s">
        <v>3286</v>
      </c>
      <c r="B2617" s="4" t="s">
        <v>3287</v>
      </c>
      <c r="C2617" s="5" t="str">
        <f>IFERROR(__xludf.DUMMYFUNCTION("GOOGLETRANSLATE(B2617,""en"",""zh-CN"")"),"屏幕显示公司赞助商参加冬季俱乐部活动。")</f>
        <v>屏幕显示公司赞助商参加冬季俱乐部活动。</v>
      </c>
    </row>
    <row r="2618">
      <c r="A2618" s="4" t="s">
        <v>3286</v>
      </c>
      <c r="B2618" s="4" t="s">
        <v>3288</v>
      </c>
      <c r="C2618" s="5" t="str">
        <f>IFERROR(__xludf.DUMMYFUNCTION("GOOGLETRANSLATE(B2618,""en"",""zh-CN"")"),"蓝色敞篷车驶过北岸冬季俱乐部。")</f>
        <v>蓝色敞篷车驶过北岸冬季俱乐部。</v>
      </c>
    </row>
    <row r="2619">
      <c r="A2619" s="4" t="s">
        <v>3286</v>
      </c>
      <c r="B2619" s="4" t="s">
        <v>3289</v>
      </c>
      <c r="C2619" s="5" t="str">
        <f>IFERROR(__xludf.DUMMYFUNCTION("GOOGLETRANSLATE(B2619,""en"",""zh-CN"")"),"一对夫妇进入俱乐部，一辆银色迷你货车停在外面。")</f>
        <v>一对夫妇进入俱乐部，一辆银色迷你货车停在外面。</v>
      </c>
    </row>
    <row r="2620">
      <c r="A2620" s="4" t="s">
        <v>3286</v>
      </c>
      <c r="B2620" s="4" t="s">
        <v>3290</v>
      </c>
      <c r="C2620" s="5" t="str">
        <f>IFERROR(__xludf.DUMMYFUNCTION("GOOGLETRANSLATE(B2620,""en"",""zh-CN"")"),"几个人进入俱乐部内的冰壶室。")</f>
        <v>几个人进入俱乐部内的冰壶室。</v>
      </c>
    </row>
    <row r="2621">
      <c r="A2621" s="4" t="s">
        <v>3286</v>
      </c>
      <c r="B2621" s="6" t="s">
        <v>3291</v>
      </c>
      <c r="C2621" s="5" t="str">
        <f>IFERROR(__xludf.DUMMYFUNCTION("GOOGLETRANSLATE(B2621,""en"",""zh-CN"")"),"代表巴西队的教练穿着绿色球衣正在向球员们指示。")</f>
        <v>代表巴西队的教练穿着绿色球衣正在向球员们指示。</v>
      </c>
    </row>
    <row r="2622">
      <c r="A2622" s="4" t="s">
        <v>3286</v>
      </c>
      <c r="B2622" s="4" t="s">
        <v>3292</v>
      </c>
      <c r="C2622" s="5" t="str">
        <f>IFERROR(__xludf.DUMMYFUNCTION("GOOGLETRANSLATE(B2622,""en"",""zh-CN"")"),"教练在准备自己的时候与球员交谈。")</f>
        <v>教练在准备自己的时候与球员交谈。</v>
      </c>
    </row>
    <row r="2623">
      <c r="A2623" s="4" t="s">
        <v>3286</v>
      </c>
      <c r="B2623" s="6" t="s">
        <v>3293</v>
      </c>
      <c r="C2623" s="5" t="str">
        <f>IFERROR(__xludf.DUMMYFUNCTION("GOOGLETRANSLATE(B2623,""en"",""zh-CN"")"),"当玩家将岩石推到地板上时，球员们开始玩棍子，其他几个玩家在滑过湿滑的表面时练习卷曲。")</f>
        <v>当玩家将岩石推到地板上时，球员们开始玩棍子，其他几个玩家在滑过湿滑的表面时练习卷曲。</v>
      </c>
    </row>
    <row r="2624">
      <c r="A2624" s="4" t="s">
        <v>3286</v>
      </c>
      <c r="B2624" s="4" t="s">
        <v>3294</v>
      </c>
      <c r="C2624" s="5" t="str">
        <f>IFERROR(__xludf.DUMMYFUNCTION("GOOGLETRANSLATE(B2624,""en"",""zh-CN"")"),"玩家在练习时继续玩和交换高弹力。")</f>
        <v>玩家在练习时继续玩和交换高弹力。</v>
      </c>
    </row>
    <row r="2625">
      <c r="A2625" s="4" t="s">
        <v>3286</v>
      </c>
      <c r="B2625" s="4" t="s">
        <v>3295</v>
      </c>
      <c r="C2625" s="5" t="str">
        <f>IFERROR(__xludf.DUMMYFUNCTION("GOOGLETRANSLATE(B2625,""en"",""zh-CN"")"),"大约9名参赛者获得了法官的胜利奖章。")</f>
        <v>大约9名参赛者获得了法官的胜利奖章。</v>
      </c>
    </row>
    <row r="2626">
      <c r="A2626" s="4" t="s">
        <v>3286</v>
      </c>
      <c r="B2626" s="4" t="s">
        <v>3296</v>
      </c>
      <c r="C2626" s="5" t="str">
        <f>IFERROR(__xludf.DUMMYFUNCTION("GOOGLETRANSLATE(B2626,""en"",""zh-CN"")"),"他们为自己和彼此的高击军表示赞赏，以表达自己的胜利。")</f>
        <v>他们为自己和彼此的高击军表示赞赏，以表达自己的胜利。</v>
      </c>
    </row>
    <row r="2627">
      <c r="A2627" s="4" t="s">
        <v>3286</v>
      </c>
      <c r="B2627" s="4" t="s">
        <v>3297</v>
      </c>
      <c r="C2627" s="5" t="str">
        <f>IFERROR(__xludf.DUMMYFUNCTION("GOOGLETRANSLATE(B2627,""en"",""zh-CN"")"),"视频以有关该活动负责的所有赞助商的详细信息结束。")</f>
        <v>视频以有关该活动负责的所有赞助商的详细信息结束。</v>
      </c>
    </row>
    <row r="2628">
      <c r="A2628" s="4" t="s">
        <v>3298</v>
      </c>
      <c r="B2628" s="6" t="s">
        <v>3299</v>
      </c>
      <c r="C2628" s="5" t="str">
        <f>IFERROR(__xludf.DUMMYFUNCTION("GOOGLETRANSLATE(B2628,""en"",""zh-CN"")"),"有一个小男孩和他的祖母一起穿着一件红色的Elmo衬衫，站在厨房的脚凳上。")</f>
        <v>有一个小男孩和他的祖母一起穿着一件红色的Elmo衬衫，站在厨房的脚凳上。</v>
      </c>
    </row>
    <row r="2629">
      <c r="A2629" s="4" t="s">
        <v>3298</v>
      </c>
      <c r="B2629" s="4" t="s">
        <v>3300</v>
      </c>
      <c r="C2629" s="5" t="str">
        <f>IFERROR(__xludf.DUMMYFUNCTION("GOOGLETRANSLATE(B2629,""en"",""zh-CN"")"),"他们正在将柠檬汁榨汁，该柠檬在水槽附近的厨房柜台上放置。")</f>
        <v>他们正在将柠檬汁榨汁，该柠檬在水槽附近的厨房柜台上放置。</v>
      </c>
    </row>
    <row r="2630">
      <c r="A2630" s="4" t="s">
        <v>3298</v>
      </c>
      <c r="B2630" s="4" t="s">
        <v>3301</v>
      </c>
      <c r="C2630" s="5" t="str">
        <f>IFERROR(__xludf.DUMMYFUNCTION("GOOGLETRANSLATE(B2630,""en"",""zh-CN"")"),"这个男孩似乎很高兴能帮助他的祖母果汁柠檬。")</f>
        <v>这个男孩似乎很高兴能帮助他的祖母果汁柠檬。</v>
      </c>
    </row>
    <row r="2631">
      <c r="A2631" s="4" t="s">
        <v>3298</v>
      </c>
      <c r="B2631" s="4" t="s">
        <v>3302</v>
      </c>
      <c r="C2631" s="5" t="str">
        <f>IFERROR(__xludf.DUMMYFUNCTION("GOOGLETRANSLATE(B2631,""en"",""zh-CN"")"),"当她给柠檬汁时，他将手放在她的手上。")</f>
        <v>当她给柠檬汁时，他将手放在她的手上。</v>
      </c>
    </row>
    <row r="2632">
      <c r="A2632" s="4" t="s">
        <v>3303</v>
      </c>
      <c r="B2632" s="4" t="s">
        <v>3304</v>
      </c>
      <c r="C2632" s="5" t="str">
        <f>IFERROR(__xludf.DUMMYFUNCTION("GOOGLETRANSLATE(B2632,""en"",""zh-CN"")"),"我们看到割草机和一个人的手。")</f>
        <v>我们看到割草机和一个人的手。</v>
      </c>
    </row>
    <row r="2633">
      <c r="A2633" s="4" t="s">
        <v>3303</v>
      </c>
      <c r="B2633" s="4" t="s">
        <v>3305</v>
      </c>
      <c r="C2633" s="5" t="str">
        <f>IFERROR(__xludf.DUMMYFUNCTION("GOOGLETRANSLATE(B2633,""en"",""zh-CN"")"),"一个人开始割草机，然后吸烟。")</f>
        <v>一个人开始割草机，然后吸烟。</v>
      </c>
    </row>
    <row r="2634">
      <c r="A2634" s="4" t="s">
        <v>3303</v>
      </c>
      <c r="B2634" s="4" t="s">
        <v>3306</v>
      </c>
      <c r="C2634" s="5" t="str">
        <f>IFERROR(__xludf.DUMMYFUNCTION("GOOGLETRANSLATE(B2634,""en"",""zh-CN"")"),"我们看到那个男人用吸烟割草机割草。")</f>
        <v>我们看到那个男人用吸烟割草机割草。</v>
      </c>
    </row>
    <row r="2635">
      <c r="A2635" s="4" t="s">
        <v>3303</v>
      </c>
      <c r="B2635" s="4" t="s">
        <v>3307</v>
      </c>
      <c r="C2635" s="5" t="str">
        <f>IFERROR(__xludf.DUMMYFUNCTION("GOOGLETRANSLATE(B2635,""en"",""zh-CN"")"),"我们从割草机的角度看割草机。")</f>
        <v>我们从割草机的角度看割草机。</v>
      </c>
    </row>
    <row r="2636">
      <c r="A2636" s="4" t="s">
        <v>3303</v>
      </c>
      <c r="B2636" s="4" t="s">
        <v>3308</v>
      </c>
      <c r="C2636" s="5" t="str">
        <f>IFERROR(__xludf.DUMMYFUNCTION("GOOGLETRANSLATE(B2636,""en"",""zh-CN"")"),"我们看到男孩再次开始割草机。")</f>
        <v>我们看到男孩再次开始割草机。</v>
      </c>
    </row>
    <row r="2637">
      <c r="A2637" s="4" t="s">
        <v>3303</v>
      </c>
      <c r="B2637" s="4" t="s">
        <v>3309</v>
      </c>
      <c r="C2637" s="5" t="str">
        <f>IFERROR(__xludf.DUMMYFUNCTION("GOOGLETRANSLATE(B2637,""en"",""zh-CN"")"),"男孩割草。")</f>
        <v>男孩割草。</v>
      </c>
    </row>
    <row r="2638">
      <c r="A2638" s="4" t="s">
        <v>3303</v>
      </c>
      <c r="B2638" s="4" t="s">
        <v>3310</v>
      </c>
      <c r="C2638" s="5" t="str">
        <f>IFERROR(__xludf.DUMMYFUNCTION("GOOGLETRANSLATE(B2638,""en"",""zh-CN"")"),"然后，我们看到男孩和割草机一起行走。")</f>
        <v>然后，我们看到男孩和割草机一起行走。</v>
      </c>
    </row>
    <row r="2639">
      <c r="A2639" s="4" t="s">
        <v>3311</v>
      </c>
      <c r="B2639" s="6" t="s">
        <v>3312</v>
      </c>
      <c r="C2639" s="5" t="str">
        <f>IFERROR(__xludf.DUMMYFUNCTION("GOOGLETRANSLATE(B2639,""en"",""zh-CN"")"),"介绍会导致几个剪辑夹子解决rubix立方体，而计时器则捕获了速度。")</f>
        <v>介绍会导致几个剪辑夹子解决rubix立方体，而计时器则捕获了速度。</v>
      </c>
    </row>
    <row r="2640">
      <c r="A2640" s="4" t="s">
        <v>3311</v>
      </c>
      <c r="B2640" s="4" t="s">
        <v>3313</v>
      </c>
      <c r="C2640" s="5" t="str">
        <f>IFERROR(__xludf.DUMMYFUNCTION("GOOGLETRANSLATE(B2640,""en"",""zh-CN"")"),"当相机从许多方面捕获它们时，越来越多的人继续解决难题。")</f>
        <v>当相机从许多方面捕获它们时，越来越多的人继续解决难题。</v>
      </c>
    </row>
    <row r="2641">
      <c r="A2641" s="4" t="s">
        <v>3314</v>
      </c>
      <c r="B2641" s="6" t="s">
        <v>3315</v>
      </c>
      <c r="C2641" s="5" t="str">
        <f>IFERROR(__xludf.DUMMYFUNCTION("GOOGLETRANSLATE(B2641,""en"",""zh-CN"")"),"一个四件打击乐器和弦乐队在舞台上演奏，主要的重点是舞台中央的邦戈斯人，在室内戴着阳光照射。")</f>
        <v>一个四件打击乐器和弦乐队在舞台上演奏，主要的重点是舞台中央的邦戈斯人，在室内戴着阳光照射。</v>
      </c>
    </row>
    <row r="2642">
      <c r="A2642" s="4" t="s">
        <v>3314</v>
      </c>
      <c r="B2642" s="6" t="s">
        <v>3316</v>
      </c>
      <c r="C2642" s="5" t="str">
        <f>IFERROR(__xludf.DUMMYFUNCTION("GOOGLETRANSLATE(B2642,""en"",""zh-CN"")"),"一个男人以动画方式扮演邦戈斯，而他旁边的一个女人弹键盘，后面的男人弹吉他。")</f>
        <v>一个男人以动画方式扮演邦戈斯，而他旁边的一个女人弹键盘，后面的男人弹吉他。</v>
      </c>
    </row>
    <row r="2643">
      <c r="A2643" s="4" t="s">
        <v>3314</v>
      </c>
      <c r="B2643" s="4" t="s">
        <v>3317</v>
      </c>
      <c r="C2643" s="5" t="str">
        <f>IFERROR(__xludf.DUMMYFUNCTION("GOOGLETRANSLATE(B2643,""en"",""zh-CN"")"),"他旁边的一个男人开始击中金属打击乐器。")</f>
        <v>他旁边的一个男人开始击中金属打击乐器。</v>
      </c>
    </row>
    <row r="2644">
      <c r="A2644" s="4" t="s">
        <v>3314</v>
      </c>
      <c r="B2644" s="6" t="s">
        <v>3318</v>
      </c>
      <c r="C2644" s="5" t="str">
        <f>IFERROR(__xludf.DUMMYFUNCTION("GOOGLETRANSLATE(B2644,""en"",""zh-CN"")"),"扮演Bongos的那个人将其中的一个击倒，那时他旁边的那个人再次将Bongo直立。")</f>
        <v>扮演Bongos的那个人将其中的一个击倒，那时他旁边的那个人再次将Bongo直立。</v>
      </c>
    </row>
    <row r="2645">
      <c r="A2645" s="4" t="s">
        <v>3319</v>
      </c>
      <c r="B2645" s="4" t="s">
        <v>3320</v>
      </c>
      <c r="C2645" s="5" t="str">
        <f>IFERROR(__xludf.DUMMYFUNCTION("GOOGLETRANSLATE(B2645,""en"",""zh-CN"")"),"艾尔（Al）用铁和海绵开始了他的滑雪技巧。")</f>
        <v>艾尔（Al）用铁和海绵开始了他的滑雪技巧。</v>
      </c>
    </row>
    <row r="2646">
      <c r="A2646" s="4" t="s">
        <v>3319</v>
      </c>
      <c r="B2646" s="4" t="s">
        <v>3321</v>
      </c>
      <c r="C2646" s="5" t="str">
        <f>IFERROR(__xludf.DUMMYFUNCTION("GOOGLETRANSLATE(B2646,""en"",""zh-CN"")"),"说明您将如何在滑雪板上使用它。")</f>
        <v>说明您将如何在滑雪板上使用它。</v>
      </c>
    </row>
    <row r="2647">
      <c r="A2647" s="4" t="s">
        <v>3319</v>
      </c>
      <c r="B2647" s="4" t="s">
        <v>3322</v>
      </c>
      <c r="C2647" s="5" t="str">
        <f>IFERROR(__xludf.DUMMYFUNCTION("GOOGLETRANSLATE(B2647,""en"",""zh-CN"")"),"他向您展示了滑雪的方式。")</f>
        <v>他向您展示了滑雪的方式。</v>
      </c>
    </row>
    <row r="2648">
      <c r="A2648" s="4" t="s">
        <v>3319</v>
      </c>
      <c r="B2648" s="4" t="s">
        <v>3323</v>
      </c>
      <c r="C2648" s="5" t="str">
        <f>IFERROR(__xludf.DUMMYFUNCTION("GOOGLETRANSLATE(B2648,""en"",""zh-CN"")"),"然后他对过程进行了更多解释。")</f>
        <v>然后他对过程进行了更多解释。</v>
      </c>
    </row>
    <row r="2649">
      <c r="A2649" s="4" t="s">
        <v>3324</v>
      </c>
      <c r="B2649" s="4" t="s">
        <v>3325</v>
      </c>
      <c r="C2649" s="5" t="str">
        <f>IFERROR(__xludf.DUMMYFUNCTION("GOOGLETRANSLATE(B2649,""en"",""zh-CN"")"),"看到一个人站在一条握着杆子的大轨道前。")</f>
        <v>看到一个人站在一条握着杆子的大轨道前。</v>
      </c>
    </row>
    <row r="2650">
      <c r="A2650" s="4" t="s">
        <v>3324</v>
      </c>
      <c r="B2650" s="4" t="s">
        <v>3326</v>
      </c>
      <c r="C2650" s="5" t="str">
        <f>IFERROR(__xludf.DUMMYFUNCTION("GOOGLETRANSLATE(B2650,""en"",""zh-CN"")"),"该人开始握住杆子的同时开始沿着赛道奔跑。")</f>
        <v>该人开始握住杆子的同时开始沿着赛道奔跑。</v>
      </c>
    </row>
    <row r="2651">
      <c r="A2651" s="4" t="s">
        <v>3324</v>
      </c>
      <c r="B2651" s="4" t="s">
        <v>3327</v>
      </c>
      <c r="C2651" s="5" t="str">
        <f>IFERROR(__xludf.DUMMYFUNCTION("GOOGLETRANSLATE(B2651,""en"",""zh-CN"")"),"然后，该男子跳过横梁并登上垫子。")</f>
        <v>然后，该男子跳过横梁并登上垫子。</v>
      </c>
    </row>
    <row r="2652">
      <c r="A2652" s="4" t="s">
        <v>3328</v>
      </c>
      <c r="B2652" s="4" t="s">
        <v>3329</v>
      </c>
      <c r="C2652" s="5" t="str">
        <f>IFERROR(__xludf.DUMMYFUNCTION("GOOGLETRANSLATE(B2652,""en"",""zh-CN"")"),"酒吧后面的女人解释了如何喝酒。")</f>
        <v>酒吧后面的女人解释了如何喝酒。</v>
      </c>
    </row>
    <row r="2653">
      <c r="A2653" s="4" t="s">
        <v>3328</v>
      </c>
      <c r="B2653" s="4" t="s">
        <v>3330</v>
      </c>
      <c r="C2653" s="5" t="str">
        <f>IFERROR(__xludf.DUMMYFUNCTION("GOOGLETRANSLATE(B2653,""en"",""zh-CN"")"),"她将几种成分倒入摇床中，然后摇动它。")</f>
        <v>她将几种成分倒入摇床中，然后摇动它。</v>
      </c>
    </row>
    <row r="2654">
      <c r="A2654" s="4" t="s">
        <v>3328</v>
      </c>
      <c r="B2654" s="4" t="s">
        <v>3331</v>
      </c>
      <c r="C2654" s="5" t="str">
        <f>IFERROR(__xludf.DUMMYFUNCTION("GOOGLETRANSLATE(B2654,""en"",""zh-CN"")"),"然后，她将饮料从振动器倒入射击玻璃杯中，然后将其固定。")</f>
        <v>然后，她将饮料从振动器倒入射击玻璃杯中，然后将其固定。</v>
      </c>
    </row>
    <row r="2655">
      <c r="A2655" s="4" t="s">
        <v>3332</v>
      </c>
      <c r="B2655" s="4" t="s">
        <v>3333</v>
      </c>
      <c r="C2655" s="5" t="str">
        <f>IFERROR(__xludf.DUMMYFUNCTION("GOOGLETRANSLATE(B2655,""en"",""zh-CN"")"),"狗被放入浴缸里。")</f>
        <v>狗被放入浴缸里。</v>
      </c>
    </row>
    <row r="2656">
      <c r="A2656" s="4" t="s">
        <v>3332</v>
      </c>
      <c r="B2656" s="4" t="s">
        <v>3334</v>
      </c>
      <c r="C2656" s="5" t="str">
        <f>IFERROR(__xludf.DUMMYFUNCTION("GOOGLETRANSLATE(B2656,""en"",""zh-CN"")"),"一个女孩将水从杯子里倒在狗身上。")</f>
        <v>一个女孩将水从杯子里倒在狗身上。</v>
      </c>
    </row>
    <row r="2657">
      <c r="A2657" s="4" t="s">
        <v>3332</v>
      </c>
      <c r="B2657" s="4" t="s">
        <v>3335</v>
      </c>
      <c r="C2657" s="5" t="str">
        <f>IFERROR(__xludf.DUMMYFUNCTION("GOOGLETRANSLATE(B2657,""en"",""zh-CN"")"),"她在狗的皮毛上擦洗发水。")</f>
        <v>她在狗的皮毛上擦洗发水。</v>
      </c>
    </row>
    <row r="2658">
      <c r="A2658" s="4" t="s">
        <v>3332</v>
      </c>
      <c r="B2658" s="4" t="s">
        <v>3336</v>
      </c>
      <c r="C2658" s="5" t="str">
        <f>IFERROR(__xludf.DUMMYFUNCTION("GOOGLETRANSLATE(B2658,""en"",""zh-CN"")"),"她用毛巾将狗擦干。")</f>
        <v>她用毛巾将狗擦干。</v>
      </c>
    </row>
    <row r="2659">
      <c r="A2659" s="4" t="s">
        <v>3337</v>
      </c>
      <c r="B2659" s="4" t="s">
        <v>3338</v>
      </c>
      <c r="C2659" s="5" t="str">
        <f>IFERROR(__xludf.DUMMYFUNCTION("GOOGLETRANSLATE(B2659,""en"",""zh-CN"")"),"三个孩子用球拍击球。")</f>
        <v>三个孩子用球拍击球。</v>
      </c>
    </row>
    <row r="2660">
      <c r="A2660" s="4" t="s">
        <v>3337</v>
      </c>
      <c r="B2660" s="4" t="s">
        <v>3339</v>
      </c>
      <c r="C2660" s="5" t="str">
        <f>IFERROR(__xludf.DUMMYFUNCTION("GOOGLETRANSLATE(B2660,""en"",""zh-CN"")"),"他们正在躲避，因此不会撞到他们的脑海。")</f>
        <v>他们正在躲避，因此不会撞到他们的脑海。</v>
      </c>
    </row>
    <row r="2661">
      <c r="A2661" s="4" t="s">
        <v>3337</v>
      </c>
      <c r="B2661" s="4" t="s">
        <v>3340</v>
      </c>
      <c r="C2661" s="5" t="str">
        <f>IFERROR(__xludf.DUMMYFUNCTION("GOOGLETRANSLATE(B2661,""en"",""zh-CN"")"),"他们每个人都轮流击球。")</f>
        <v>他们每个人都轮流击球。</v>
      </c>
    </row>
    <row r="2662">
      <c r="A2662" s="4" t="s">
        <v>3337</v>
      </c>
      <c r="B2662" s="4" t="s">
        <v>3341</v>
      </c>
      <c r="C2662" s="5" t="str">
        <f>IFERROR(__xludf.DUMMYFUNCTION("GOOGLETRANSLATE(B2662,""en"",""zh-CN"")"),"四处走动，试图抓住它。")</f>
        <v>四处走动，试图抓住它。</v>
      </c>
    </row>
    <row r="2663">
      <c r="A2663" s="4" t="s">
        <v>3342</v>
      </c>
      <c r="B2663" s="4" t="s">
        <v>3343</v>
      </c>
      <c r="C2663" s="5" t="str">
        <f>IFERROR(__xludf.DUMMYFUNCTION("GOOGLETRANSLATE(B2663,""en"",""zh-CN"")"),"一个穿着睡衣的女人正在聊天，站在星星装饰的舞台上。")</f>
        <v>一个穿着睡衣的女人正在聊天，站在星星装饰的舞台上。</v>
      </c>
    </row>
    <row r="2664">
      <c r="A2664" s="4" t="s">
        <v>3342</v>
      </c>
      <c r="B2664" s="4" t="s">
        <v>3344</v>
      </c>
      <c r="C2664" s="5" t="str">
        <f>IFERROR(__xludf.DUMMYFUNCTION("GOOGLETRANSLATE(B2664,""en"",""zh-CN"")"),"她讲话时展示了几个舞步。")</f>
        <v>她讲话时展示了几个舞步。</v>
      </c>
    </row>
    <row r="2665">
      <c r="A2665" s="4" t="s">
        <v>3342</v>
      </c>
      <c r="B2665" s="4" t="s">
        <v>3345</v>
      </c>
      <c r="C2665" s="5" t="str">
        <f>IFERROR(__xludf.DUMMYFUNCTION("GOOGLETRANSLATE(B2665,""en"",""zh-CN"")"),"她来回走动，转身像肚皮舞者一样摇动臀部。")</f>
        <v>她来回走动，转身像肚皮舞者一样摇动臀部。</v>
      </c>
    </row>
    <row r="2666">
      <c r="A2666" s="4" t="s">
        <v>3346</v>
      </c>
      <c r="B2666" s="6" t="s">
        <v>3347</v>
      </c>
      <c r="C2666" s="5" t="str">
        <f>IFERROR(__xludf.DUMMYFUNCTION("GOOGLETRANSLATE(B2666,""en"",""zh-CN"")"),"有一支穿着蓝色制服的男孩团队在室内健身房穿着蓝色条纹制服的另一支男孩队踢足球。")</f>
        <v>有一支穿着蓝色制服的男孩团队在室内健身房穿着蓝色条纹制服的另一支男孩队踢足球。</v>
      </c>
    </row>
    <row r="2667">
      <c r="A2667" s="4" t="s">
        <v>3346</v>
      </c>
      <c r="B2667" s="4" t="s">
        <v>3348</v>
      </c>
      <c r="C2667" s="5" t="str">
        <f>IFERROR(__xludf.DUMMYFUNCTION("GOOGLETRANSLATE(B2667,""en"",""zh-CN"")"),"旁边有几个观众，看着球员踢足球。")</f>
        <v>旁边有几个观众，看着球员踢足球。</v>
      </c>
    </row>
    <row r="2668">
      <c r="A2668" s="4" t="s">
        <v>3346</v>
      </c>
      <c r="B2668" s="4" t="s">
        <v>3349</v>
      </c>
      <c r="C2668" s="5" t="str">
        <f>IFERROR(__xludf.DUMMYFUNCTION("GOOGLETRANSLATE(B2668,""en"",""zh-CN"")"),"穿着黄色的守门员试图阻止对手的球。")</f>
        <v>穿着黄色的守门员试图阻止对手的球。</v>
      </c>
    </row>
    <row r="2669">
      <c r="A2669" s="4" t="s">
        <v>3346</v>
      </c>
      <c r="B2669" s="4" t="s">
        <v>3350</v>
      </c>
      <c r="C2669" s="5" t="str">
        <f>IFERROR(__xludf.DUMMYFUNCTION("GOOGLETRANSLATE(B2669,""en"",""zh-CN"")"),"一支穿着红色的球队和一支穿着蓝色团队的团队之间还有另一场足球比赛。")</f>
        <v>一支穿着红色的球队和一支穿着蓝色团队的团队之间还有另一场足球比赛。</v>
      </c>
    </row>
    <row r="2670">
      <c r="A2670" s="4" t="s">
        <v>3346</v>
      </c>
      <c r="B2670" s="4" t="s">
        <v>3351</v>
      </c>
      <c r="C2670" s="5" t="str">
        <f>IFERROR(__xludf.DUMMYFUNCTION("GOOGLETRANSLATE(B2670,""en"",""zh-CN"")"),"随着实心蓝色团队得分，第一组球队继续打比赛。")</f>
        <v>随着实心蓝色团队得分，第一组球队继续打比赛。</v>
      </c>
    </row>
    <row r="2671">
      <c r="A2671" s="4" t="s">
        <v>3352</v>
      </c>
      <c r="B2671" s="4" t="s">
        <v>3353</v>
      </c>
      <c r="C2671" s="5" t="str">
        <f>IFERROR(__xludf.DUMMYFUNCTION("GOOGLETRANSLATE(B2671,""en"",""zh-CN"")"),"一群人开始挖掘靠近海岸的结构。")</f>
        <v>一群人开始挖掘靠近海岸的结构。</v>
      </c>
    </row>
    <row r="2672">
      <c r="A2672" s="4" t="s">
        <v>3352</v>
      </c>
      <c r="B2672" s="4" t="s">
        <v>3354</v>
      </c>
      <c r="C2672" s="5" t="str">
        <f>IFERROR(__xludf.DUMMYFUNCTION("GOOGLETRANSLATE(B2672,""en"",""zh-CN"")"),"随着挖掘的继续，随着模式的发展，更多的人加入了挖掘。")</f>
        <v>随着挖掘的继续，随着模式的发展，更多的人加入了挖掘。</v>
      </c>
    </row>
    <row r="2673">
      <c r="A2673" s="4" t="s">
        <v>3352</v>
      </c>
      <c r="B2673" s="6" t="s">
        <v>3355</v>
      </c>
      <c r="C2673" s="5" t="str">
        <f>IFERROR(__xludf.DUMMYFUNCTION("GOOGLETRANSLATE(B2673,""en"",""zh-CN"")"),"挖掘仍在继续，人们开始在钻机周围以线性方式添加岩石，并在岩石旁边挖岩石，并最终用沙子覆盖岩石。")</f>
        <v>挖掘仍在继续，人们开始在钻机周围以线性方式添加岩石，并在岩石旁边挖岩石，并最终用沙子覆盖岩石。</v>
      </c>
    </row>
    <row r="2674">
      <c r="A2674" s="4" t="s">
        <v>3352</v>
      </c>
      <c r="B2674" s="4" t="s">
        <v>3356</v>
      </c>
      <c r="C2674" s="5" t="str">
        <f>IFERROR(__xludf.DUMMYFUNCTION("GOOGLETRANSLATE(B2674,""en"",""zh-CN"")"),"最后，在潮汐中，开始摧毁创建的结构。")</f>
        <v>最后，在潮汐中，开始摧毁创建的结构。</v>
      </c>
    </row>
    <row r="2675">
      <c r="A2675" s="4" t="s">
        <v>3352</v>
      </c>
      <c r="B2675" s="6" t="s">
        <v>3357</v>
      </c>
      <c r="C2675" s="5" t="str">
        <f>IFERROR(__xludf.DUMMYFUNCTION("GOOGLETRANSLATE(B2675,""en"",""zh-CN"")"),"最终，人们观察到失败的结构，然后离开时，当一个女孩站在中间，随着水的向上移动并完全摧毁了它。")</f>
        <v>最终，人们观察到失败的结构，然后离开时，当一个女孩站在中间，随着水的向上移动并完全摧毁了它。</v>
      </c>
    </row>
    <row r="2676">
      <c r="A2676" s="4" t="s">
        <v>3358</v>
      </c>
      <c r="B2676" s="6" t="s">
        <v>3359</v>
      </c>
      <c r="C2676" s="5" t="str">
        <f>IFERROR(__xludf.DUMMYFUNCTION("GOOGLETRANSLATE(B2676,""en"",""zh-CN"")"),"看到两个人在马上骑马，并导致更多的人骑马并四处走动。")</f>
        <v>看到两个人在马上骑马，并导致更多的人骑马并四处走动。</v>
      </c>
    </row>
    <row r="2677">
      <c r="A2677" s="4" t="s">
        <v>3358</v>
      </c>
      <c r="B2677" s="4" t="s">
        <v>3360</v>
      </c>
      <c r="C2677" s="5" t="str">
        <f>IFERROR(__xludf.DUMMYFUNCTION("GOOGLETRANSLATE(B2677,""en"",""zh-CN"")"),"一个男人带着一匹马在田野上带领另一匹，而一只狗在他身后跑来跑去。")</f>
        <v>一个男人带着一匹马在田野上带领另一匹，而一只狗在他身后跑来跑去。</v>
      </c>
    </row>
    <row r="2678">
      <c r="A2678" s="4" t="s">
        <v>3358</v>
      </c>
      <c r="B2678" s="4" t="s">
        <v>3361</v>
      </c>
      <c r="C2678" s="5" t="str">
        <f>IFERROR(__xludf.DUMMYFUNCTION("GOOGLETRANSLATE(B2678,""en"",""zh-CN"")"),"摄像机在拿着马时采访了一个男人与他人说话。")</f>
        <v>摄像机在拿着马时采访了一个男人与他人说话。</v>
      </c>
    </row>
    <row r="2679">
      <c r="A2679" s="4" t="s">
        <v>3362</v>
      </c>
      <c r="B2679" s="4" t="s">
        <v>3363</v>
      </c>
      <c r="C2679" s="5" t="str">
        <f>IFERROR(__xludf.DUMMYFUNCTION("GOOGLETRANSLATE(B2679,""en"",""zh-CN"")"),"看到一个男人在相机上说话，同时握住不同位置的皮带牵引。")</f>
        <v>看到一个男人在相机上说话，同时握住不同位置的皮带牵引。</v>
      </c>
    </row>
    <row r="2680">
      <c r="A2680" s="4" t="s">
        <v>3362</v>
      </c>
      <c r="B2680" s="6" t="s">
        <v>3364</v>
      </c>
      <c r="C2680" s="5" t="str">
        <f>IFERROR(__xludf.DUMMYFUNCTION("GOOGLETRANSLATE(B2680,""en"",""zh-CN"")"),"然后看到这个男人在狗周围走来走去，并带回他的里面，里面还在与镜头说话。")</f>
        <v>然后看到这个男人在狗周围走来走去，并带回他的里面，里面还在与镜头说话。</v>
      </c>
    </row>
    <row r="2681">
      <c r="A2681" s="4" t="s">
        <v>3362</v>
      </c>
      <c r="B2681" s="4" t="s">
        <v>3365</v>
      </c>
      <c r="C2681" s="5" t="str">
        <f>IFERROR(__xludf.DUMMYFUNCTION("GOOGLETRANSLATE(B2681,""en"",""zh-CN"")"),"他继续说话更多，一边握住绳索并与狗一起走来走去。")</f>
        <v>他继续说话更多，一边握住绳索并与狗一起走来走去。</v>
      </c>
    </row>
    <row r="2682">
      <c r="A2682" s="4" t="s">
        <v>3366</v>
      </c>
      <c r="B2682" s="6" t="s">
        <v>3367</v>
      </c>
      <c r="C2682" s="5" t="str">
        <f>IFERROR(__xludf.DUMMYFUNCTION("GOOGLETRANSLATE(B2682,""en"",""zh-CN"")"),"一个男人正在与镜头交谈，并导致一个运动的女孩在不平坦的酒吧摇摆。")</f>
        <v>一个男人正在与镜头交谈，并导致一个运动的女孩在不平坦的酒吧摇摆。</v>
      </c>
    </row>
    <row r="2683">
      <c r="A2683" s="4" t="s">
        <v>3366</v>
      </c>
      <c r="B2683" s="6" t="s">
        <v>3368</v>
      </c>
      <c r="C2683" s="5" t="str">
        <f>IFERROR(__xludf.DUMMYFUNCTION("GOOGLETRANSLATE(B2683,""en"",""zh-CN"")"),"当男人再次交谈时，她跳下来，转回他说话和表演。")</f>
        <v>当男人再次交谈时，她跳下来，转回他说话和表演。</v>
      </c>
    </row>
    <row r="2684">
      <c r="A2684" s="4" t="s">
        <v>3366</v>
      </c>
      <c r="B2684" s="6" t="s">
        <v>3369</v>
      </c>
      <c r="C2684" s="5" t="str">
        <f>IFERROR(__xludf.DUMMYFUNCTION("GOOGLETRANSLATE(B2684,""en"",""zh-CN"")"),"她把粉笔放在手上，继续在酒吧里翻转，男人说话。")</f>
        <v>她把粉笔放在手上，继续在酒吧里翻转，男人说话。</v>
      </c>
    </row>
    <row r="2685">
      <c r="A2685" s="4" t="s">
        <v>3370</v>
      </c>
      <c r="B2685" s="6" t="s">
        <v>3371</v>
      </c>
      <c r="C2685" s="5" t="str">
        <f>IFERROR(__xludf.DUMMYFUNCTION("GOOGLETRANSLATE(B2685,""en"",""zh-CN"")"),"一个相机在沙漠中的几个景观上以及夜空移动。")</f>
        <v>一个相机在沙漠中的几个景观上以及夜空移动。</v>
      </c>
    </row>
    <row r="2686">
      <c r="A2686" s="4" t="s">
        <v>3370</v>
      </c>
      <c r="B2686" s="4" t="s">
        <v>3372</v>
      </c>
      <c r="C2686" s="5" t="str">
        <f>IFERROR(__xludf.DUMMYFUNCTION("GOOGLETRANSLATE(B2686,""en"",""zh-CN"")"),"阳光升起和更多的景观镜头以及该地区的动物。")</f>
        <v>阳光升起和更多的景观镜头以及该地区的动物。</v>
      </c>
    </row>
    <row r="2687">
      <c r="A2687" s="4" t="s">
        <v>3370</v>
      </c>
      <c r="B2687" s="6" t="s">
        <v>3373</v>
      </c>
      <c r="C2687" s="5" t="str">
        <f>IFERROR(__xludf.DUMMYFUNCTION("GOOGLETRANSLATE(B2687,""en"",""zh-CN"")"),"然后看到人们在一条艰难的河流上乘船骑行，最后一架飞机飞过该地区。")</f>
        <v>然后看到人们在一条艰难的河流上乘船骑行，最后一架飞机飞过该地区。</v>
      </c>
    </row>
    <row r="2688">
      <c r="A2688" s="4" t="s">
        <v>3374</v>
      </c>
      <c r="B2688" s="4" t="s">
        <v>3375</v>
      </c>
      <c r="C2688" s="5" t="str">
        <f>IFERROR(__xludf.DUMMYFUNCTION("GOOGLETRANSLATE(B2688,""en"",""zh-CN"")"),"看到一个男人的脸近距离说话，并导致他抽烟。")</f>
        <v>看到一个男人的脸近距离说话，并导致他抽烟。</v>
      </c>
    </row>
    <row r="2689">
      <c r="A2689" s="4" t="s">
        <v>3374</v>
      </c>
      <c r="B2689" s="4" t="s">
        <v>3376</v>
      </c>
      <c r="C2689" s="5" t="str">
        <f>IFERROR(__xludf.DUMMYFUNCTION("GOOGLETRANSLATE(B2689,""en"",""zh-CN"")"),"该男子继续从香烟中拖出，同时将烟雾吹到远处。")</f>
        <v>该男子继续从香烟中拖出，同时将烟雾吹到远处。</v>
      </c>
    </row>
    <row r="2690">
      <c r="A2690" s="4" t="s">
        <v>3374</v>
      </c>
      <c r="B2690" s="4" t="s">
        <v>3377</v>
      </c>
      <c r="C2690" s="5" t="str">
        <f>IFERROR(__xludf.DUMMYFUNCTION("GOOGLETRANSLATE(B2690,""en"",""zh-CN"")"),"他上下移动着抽烟，将烟雾吹出。")</f>
        <v>他上下移动着抽烟，将烟雾吹出。</v>
      </c>
    </row>
    <row r="2691">
      <c r="A2691" s="4" t="s">
        <v>3378</v>
      </c>
      <c r="B2691" s="6" t="s">
        <v>3379</v>
      </c>
      <c r="C2691" s="5" t="str">
        <f>IFERROR(__xludf.DUMMYFUNCTION("GOOGLETRANSLATE(B2691,""en"",""zh-CN"")"),"看到一个男人在手中握着刀时在相机上说话，并开始沿着木板磨刀。")</f>
        <v>看到一个男人在手中握着刀时在相机上说话，并开始沿着木板磨刀。</v>
      </c>
    </row>
    <row r="2692">
      <c r="A2692" s="4" t="s">
        <v>3378</v>
      </c>
      <c r="B2692" s="4" t="s">
        <v>3380</v>
      </c>
      <c r="C2692" s="5" t="str">
        <f>IFERROR(__xludf.DUMMYFUNCTION("GOOGLETRANSLATE(B2692,""en"",""zh-CN"")"),"该男子继续锐化刀片，然后使用其他木板来锐化刀。")</f>
        <v>该男子继续锐化刀片，然后使用其他木板来锐化刀。</v>
      </c>
    </row>
    <row r="2693">
      <c r="A2693" s="4" t="s">
        <v>3381</v>
      </c>
      <c r="B2693" s="4" t="s">
        <v>3382</v>
      </c>
      <c r="C2693" s="5" t="str">
        <f>IFERROR(__xludf.DUMMYFUNCTION("GOOGLETRANSLATE(B2693,""en"",""zh-CN"")"),"该女子被绑在鞋子的同时，将脚放进鞋子。")</f>
        <v>该女子被绑在鞋子的同时，将脚放进鞋子。</v>
      </c>
    </row>
    <row r="2694">
      <c r="A2694" s="4" t="s">
        <v>3381</v>
      </c>
      <c r="B2694" s="6" t="s">
        <v>3383</v>
      </c>
      <c r="C2694" s="5" t="str">
        <f>IFERROR(__xludf.DUMMYFUNCTION("GOOGLETRANSLATE(B2694,""en"",""zh-CN"")"),"但是几分钟后，她将脚从地面上抬起，她不用双手将它们取下。")</f>
        <v>但是几分钟后，她将脚从地面上抬起，她不用双手将它们取下。</v>
      </c>
    </row>
    <row r="2695">
      <c r="A2695" s="4" t="s">
        <v>3381</v>
      </c>
      <c r="B2695" s="4" t="s">
        <v>3384</v>
      </c>
      <c r="C2695" s="5" t="str">
        <f>IFERROR(__xludf.DUMMYFUNCTION("GOOGLETRANSLATE(B2695,""en"",""zh-CN"")"),"然后她弯下腰将相机关闭。")</f>
        <v>然后她弯下腰将相机关闭。</v>
      </c>
    </row>
    <row r="2696">
      <c r="A2696" s="4" t="s">
        <v>3385</v>
      </c>
      <c r="B2696" s="6" t="s">
        <v>3386</v>
      </c>
      <c r="C2696" s="5" t="str">
        <f>IFERROR(__xludf.DUMMYFUNCTION("GOOGLETRANSLATE(B2696,""en"",""zh-CN"")"),"几名年轻人使用许多不同的行人环境展示了旱冰绝技，以展示特技，包括人行道，楼梯间，楼梯栏杆，墙壁和停车场。")</f>
        <v>几名年轻人使用许多不同的行人环境展示了旱冰绝技，以展示特技，包括人行道，楼梯间，楼梯栏杆，墙壁和停车场。</v>
      </c>
    </row>
    <row r="2697">
      <c r="A2697" s="4" t="s">
        <v>3385</v>
      </c>
      <c r="B2697" s="6" t="s">
        <v>3387</v>
      </c>
      <c r="C2697" s="5" t="str">
        <f>IFERROR(__xludf.DUMMYFUNCTION("GOOGLETRANSLATE(B2697,""en"",""zh-CN"")"),"一台摄像机捡起几次坦率的环境，捡起棕榈树的线条，以及一座充满建筑物和一些叶子的广阔的城市景观。")</f>
        <v>一台摄像机捡起几次坦率的环境，捡起棕榈树的线条，以及一座充满建筑物和一些叶子的广阔的城市景观。</v>
      </c>
    </row>
    <row r="2698">
      <c r="A2698" s="4" t="s">
        <v>3385</v>
      </c>
      <c r="B2698" s="6" t="s">
        <v>3388</v>
      </c>
      <c r="C2698" s="5" t="str">
        <f>IFERROR(__xludf.DUMMYFUNCTION("GOOGLETRANSLATE(B2698,""en"",""zh-CN"")"),"一群年轻人一一展示了一个屏幕名称模板，在楼梯和楼梯栏杆上铺设特技表演，在空中跳跃，在轨道上滑动并着陆。")</f>
        <v>一群年轻人一一展示了一个屏幕名称模板，在楼梯和楼梯栏杆上铺设特技表演，在空中跳跃，在轨道上滑动并着陆。</v>
      </c>
    </row>
    <row r="2699">
      <c r="A2699" s="4" t="s">
        <v>3385</v>
      </c>
      <c r="B2699" s="6" t="s">
        <v>3389</v>
      </c>
      <c r="C2699" s="5" t="str">
        <f>IFERROR(__xludf.DUMMYFUNCTION("GOOGLETRANSLATE(B2699,""en"",""zh-CN"")"),"这些人展示了他们在特技表演之后跌倒的一些事故，但随后成功地表现了更多的特技表演。")</f>
        <v>这些人展示了他们在特技表演之后跌倒的一些事故，但随后成功地表现了更多的特技表演。</v>
      </c>
    </row>
    <row r="2700">
      <c r="A2700" s="4" t="s">
        <v>3390</v>
      </c>
      <c r="B2700" s="4" t="s">
        <v>3391</v>
      </c>
      <c r="C2700" s="5" t="str">
        <f>IFERROR(__xludf.DUMMYFUNCTION("GOOGLETRANSLATE(B2700,""en"",""zh-CN"")"),"看到一名体操运动员看着远处，并伸进她的手臂。")</f>
        <v>看到一名体操运动员看着远处，并伸进她的手臂。</v>
      </c>
    </row>
    <row r="2701">
      <c r="A2701" s="4" t="s">
        <v>3390</v>
      </c>
      <c r="B2701" s="4" t="s">
        <v>3392</v>
      </c>
      <c r="C2701" s="5" t="str">
        <f>IFERROR(__xludf.DUMMYFUNCTION("GOOGLETRANSLATE(B2701,""en"",""zh-CN"")"),"她跳到光束上，开始执行各种翻转和技巧。")</f>
        <v>她跳到光束上，开始执行各种翻转和技巧。</v>
      </c>
    </row>
    <row r="2702">
      <c r="A2702" s="4" t="s">
        <v>3390</v>
      </c>
      <c r="B2702" s="6" t="s">
        <v>3393</v>
      </c>
      <c r="C2702" s="5" t="str">
        <f>IFERROR(__xludf.DUMMYFUNCTION("GOOGLETRANSLATE(B2702,""en"",""zh-CN"")"),"女孩在光束周围跳跃，结束，跳下并举起手臂向相机微笑。")</f>
        <v>女孩在光束周围跳跃，结束，跳下并举起手臂向相机微笑。</v>
      </c>
    </row>
    <row r="2703">
      <c r="A2703" s="4" t="s">
        <v>3394</v>
      </c>
      <c r="B2703" s="6" t="s">
        <v>3395</v>
      </c>
      <c r="C2703" s="5" t="str">
        <f>IFERROR(__xludf.DUMMYFUNCTION("GOOGLETRANSLATE(B2703,""en"",""zh-CN"")"),"一个女人用柠檬，水，糖浆和红辣椒在厨房的柜台在柜台上做一批主清洁饮料。")</f>
        <v>一个女人用柠檬，水，糖浆和红辣椒在厨房的柜台在柜台上做一批主清洁饮料。</v>
      </c>
    </row>
    <row r="2704">
      <c r="A2704" s="4" t="s">
        <v>3394</v>
      </c>
      <c r="B2704" s="4" t="s">
        <v>3396</v>
      </c>
      <c r="C2704" s="5" t="str">
        <f>IFERROR(__xludf.DUMMYFUNCTION("GOOGLETRANSLATE(B2704,""en"",""zh-CN"")"),"一个女人进入厨房，与镜头交谈，开始切割和榨汁柠檬。")</f>
        <v>一个女人进入厨房，与镜头交谈，开始切割和榨汁柠檬。</v>
      </c>
    </row>
    <row r="2705">
      <c r="A2705" s="4" t="s">
        <v>3394</v>
      </c>
      <c r="B2705" s="4" t="s">
        <v>3397</v>
      </c>
      <c r="C2705" s="5" t="str">
        <f>IFERROR(__xludf.DUMMYFUNCTION("GOOGLETRANSLATE(B2705,""en"",""zh-CN"")"),"然后，女人将柠檬汁倒入一瓶水中。")</f>
        <v>然后，女人将柠檬汁倒入一瓶水中。</v>
      </c>
    </row>
    <row r="2706">
      <c r="A2706" s="4" t="s">
        <v>3394</v>
      </c>
      <c r="B2706" s="6" t="s">
        <v>3398</v>
      </c>
      <c r="C2706" s="5" t="str">
        <f>IFERROR(__xludf.DUMMYFUNCTION("GOOGLETRANSLATE(B2706,""en"",""zh-CN"")"),"然后，该名女子将糖浆和红辣椒添加到混合物中，并用蓝色的测量汤匙和尺寸玻璃添加，然后她倾斜在柜台上，然后再与相机交谈。")</f>
        <v>然后，该名女子将糖浆和红辣椒添加到混合物中，并用蓝色的测量汤匙和尺寸玻璃添加，然后她倾斜在柜台上，然后再与相机交谈。</v>
      </c>
    </row>
    <row r="2707">
      <c r="A2707" s="4" t="s">
        <v>3399</v>
      </c>
      <c r="B2707" s="4" t="s">
        <v>3400</v>
      </c>
      <c r="C2707" s="5" t="str">
        <f>IFERROR(__xludf.DUMMYFUNCTION("GOOGLETRANSLATE(B2707,""en"",""zh-CN"")"),"看到一个男人坐在锻炼设备上，向后移动第四。")</f>
        <v>看到一个男人坐在锻炼设备上，向后移动第四。</v>
      </c>
    </row>
    <row r="2708">
      <c r="A2708" s="4" t="s">
        <v>3399</v>
      </c>
      <c r="B2708" s="4" t="s">
        <v>3401</v>
      </c>
      <c r="C2708" s="5" t="str">
        <f>IFERROR(__xludf.DUMMYFUNCTION("GOOGLETRANSLATE(B2708,""en"",""zh-CN"")"),"一条狗在那个男人的工作中漫步，并以面对面的相机结束。")</f>
        <v>一条狗在那个男人的工作中漫步，并以面对面的相机结束。</v>
      </c>
    </row>
    <row r="2709">
      <c r="A2709" s="4" t="s">
        <v>3402</v>
      </c>
      <c r="B2709" s="4" t="s">
        <v>3403</v>
      </c>
      <c r="C2709" s="5" t="str">
        <f>IFERROR(__xludf.DUMMYFUNCTION("GOOGLETRANSLATE(B2709,""en"",""zh-CN"")"),"有两支球队在健身房里玩拔河比赛。")</f>
        <v>有两支球队在健身房里玩拔河比赛。</v>
      </c>
    </row>
    <row r="2710">
      <c r="A2710" s="4" t="s">
        <v>3402</v>
      </c>
      <c r="B2710" s="4" t="s">
        <v>3404</v>
      </c>
      <c r="C2710" s="5" t="str">
        <f>IFERROR(__xludf.DUMMYFUNCTION("GOOGLETRANSLATE(B2710,""en"",""zh-CN"")"),"在健身房里有几个人看着他们玩游戏。")</f>
        <v>在健身房里有几个人看着他们玩游戏。</v>
      </c>
    </row>
    <row r="2711">
      <c r="A2711" s="4" t="s">
        <v>3402</v>
      </c>
      <c r="B2711" s="4" t="s">
        <v>3405</v>
      </c>
      <c r="C2711" s="5" t="str">
        <f>IFERROR(__xludf.DUMMYFUNCTION("GOOGLETRANSLATE(B2711,""en"",""zh-CN"")"),"裁判员继续更努力地拉绳子时，裁判正站在参赛者旁边。")</f>
        <v>裁判员继续更努力地拉绳子时，裁判正站在参赛者旁边。</v>
      </c>
    </row>
    <row r="2712">
      <c r="A2712" s="4" t="s">
        <v>3402</v>
      </c>
      <c r="B2712" s="4" t="s">
        <v>3406</v>
      </c>
      <c r="C2712" s="5" t="str">
        <f>IFERROR(__xludf.DUMMYFUNCTION("GOOGLETRANSLATE(B2712,""en"",""zh-CN"")"),"反对派的球队更加努力，白色的团队最终跌倒并输了。")</f>
        <v>反对派的球队更加努力，白色的团队最终跌倒并输了。</v>
      </c>
    </row>
    <row r="2713">
      <c r="A2713" s="4" t="s">
        <v>3407</v>
      </c>
      <c r="B2713" s="4" t="s">
        <v>3408</v>
      </c>
      <c r="C2713" s="5" t="str">
        <f>IFERROR(__xludf.DUMMYFUNCTION("GOOGLETRANSLATE(B2713,""en"",""zh-CN"")"),"一个男人坐在地面上，固定孩子的自行车。")</f>
        <v>一个男人坐在地面上，固定孩子的自行车。</v>
      </c>
    </row>
    <row r="2714">
      <c r="A2714" s="4" t="s">
        <v>3407</v>
      </c>
      <c r="B2714" s="4" t="s">
        <v>3409</v>
      </c>
      <c r="C2714" s="5" t="str">
        <f>IFERROR(__xludf.DUMMYFUNCTION("GOOGLETRANSLATE(B2714,""en"",""zh-CN"")"),"一件黄色衬衫的孩子站在他旁边看着。")</f>
        <v>一件黄色衬衫的孩子站在他旁边看着。</v>
      </c>
    </row>
    <row r="2715">
      <c r="A2715" s="4" t="s">
        <v>3407</v>
      </c>
      <c r="B2715" s="4" t="s">
        <v>3410</v>
      </c>
      <c r="C2715" s="5" t="str">
        <f>IFERROR(__xludf.DUMMYFUNCTION("GOOGLETRANSLATE(B2715,""en"",""zh-CN"")"),"一件蓝色衬衫的男孩正在将另一只自行车推在他身后。")</f>
        <v>一件蓝色衬衫的男孩正在将另一只自行车推在他身后。</v>
      </c>
    </row>
    <row r="2716">
      <c r="A2716" s="4" t="s">
        <v>3411</v>
      </c>
      <c r="B2716" s="4" t="s">
        <v>3412</v>
      </c>
      <c r="C2716" s="5" t="str">
        <f>IFERROR(__xludf.DUMMYFUNCTION("GOOGLETRANSLATE(B2716,""en"",""zh-CN"")"),"一个人将冰淇淋用棍子给男人，锥落在地板上。")</f>
        <v>一个人将冰淇淋用棍子给男人，锥落在地板上。</v>
      </c>
    </row>
    <row r="2717">
      <c r="A2717" s="4" t="s">
        <v>3411</v>
      </c>
      <c r="B2717" s="4" t="s">
        <v>3413</v>
      </c>
      <c r="C2717" s="5" t="str">
        <f>IFERROR(__xludf.DUMMYFUNCTION("GOOGLETRANSLATE(B2717,""en"",""zh-CN"")"),"这个人给了另一个圆锥，然后男人拿走了圆锥体，然后回馈了男人。")</f>
        <v>这个人给了另一个圆锥，然后男人拿走了圆锥体，然后回馈了男人。</v>
      </c>
    </row>
    <row r="2718">
      <c r="A2718" s="4" t="s">
        <v>3411</v>
      </c>
      <c r="B2718" s="6" t="s">
        <v>3414</v>
      </c>
      <c r="C2718" s="5" t="str">
        <f>IFERROR(__xludf.DUMMYFUNCTION("GOOGLETRANSLATE(B2718,""en"",""zh-CN"")"),"之后，该男子用餐巾给圆锥体，但在将冰淇淋放在嘴里后，他再次将圆锥体拿来。")</f>
        <v>之后，该男子用餐巾给圆锥体，但在将冰淇淋放在嘴里后，他再次将圆锥体拿来。</v>
      </c>
    </row>
    <row r="2719">
      <c r="A2719" s="4" t="s">
        <v>3411</v>
      </c>
      <c r="B2719" s="4" t="s">
        <v>3415</v>
      </c>
      <c r="C2719" s="5" t="str">
        <f>IFERROR(__xludf.DUMMYFUNCTION("GOOGLETRANSLATE(B2719,""en"",""zh-CN"")"),"最后，当人群观看时，男人将圆锥体给男人。")</f>
        <v>最后，当人群观看时，男人将圆锥体给男人。</v>
      </c>
    </row>
    <row r="2720">
      <c r="A2720" s="4" t="s">
        <v>3416</v>
      </c>
      <c r="B2720" s="4" t="s">
        <v>1251</v>
      </c>
      <c r="C2720" s="5" t="str">
        <f>IFERROR(__xludf.DUMMYFUNCTION("GOOGLETRANSLATE(B2720,""en"",""zh-CN"")"),"显示了剪辑的信用。")</f>
        <v>显示了剪辑的信用。</v>
      </c>
    </row>
    <row r="2721">
      <c r="A2721" s="4" t="s">
        <v>3416</v>
      </c>
      <c r="B2721" s="4" t="s">
        <v>3417</v>
      </c>
      <c r="C2721" s="5" t="str">
        <f>IFERROR(__xludf.DUMMYFUNCTION("GOOGLETRANSLATE(B2721,""en"",""zh-CN"")"),"一个人在屋顶上工作。")</f>
        <v>一个人在屋顶上工作。</v>
      </c>
    </row>
    <row r="2722">
      <c r="A2722" s="4" t="s">
        <v>3416</v>
      </c>
      <c r="B2722" s="4" t="s">
        <v>3418</v>
      </c>
      <c r="C2722" s="5" t="str">
        <f>IFERROR(__xludf.DUMMYFUNCTION("GOOGLETRANSLATE(B2722,""en"",""zh-CN"")"),"一个家伙卸下指甲和屋顶的碎片。")</f>
        <v>一个家伙卸下指甲和屋顶的碎片。</v>
      </c>
    </row>
    <row r="2723">
      <c r="A2723" s="4" t="s">
        <v>3416</v>
      </c>
      <c r="B2723" s="4" t="s">
        <v>3419</v>
      </c>
      <c r="C2723" s="5" t="str">
        <f>IFERROR(__xludf.DUMMYFUNCTION("GOOGLETRANSLATE(B2723,""en"",""zh-CN"")"),"一个家伙从屋顶的角落去除污垢和树枝。")</f>
        <v>一个家伙从屋顶的角落去除污垢和树枝。</v>
      </c>
    </row>
    <row r="2724">
      <c r="A2724" s="4" t="s">
        <v>3416</v>
      </c>
      <c r="B2724" s="4" t="s">
        <v>3420</v>
      </c>
      <c r="C2724" s="5" t="str">
        <f>IFERROR(__xludf.DUMMYFUNCTION("GOOGLETRANSLATE(B2724,""en"",""zh-CN"")"),"一个人衡量并切割了屋顶的碎片。")</f>
        <v>一个人衡量并切割了屋顶的碎片。</v>
      </c>
    </row>
    <row r="2725">
      <c r="A2725" s="4" t="s">
        <v>3416</v>
      </c>
      <c r="B2725" s="4" t="s">
        <v>573</v>
      </c>
      <c r="C2725" s="5" t="str">
        <f>IFERROR(__xludf.DUMMYFUNCTION("GOOGLETRANSLATE(B2725,""en"",""zh-CN"")"),"显示了视频的积分。")</f>
        <v>显示了视频的积分。</v>
      </c>
    </row>
    <row r="2726">
      <c r="A2726" s="4" t="s">
        <v>3421</v>
      </c>
      <c r="B2726" s="4" t="s">
        <v>3422</v>
      </c>
      <c r="C2726" s="5" t="str">
        <f>IFERROR(__xludf.DUMMYFUNCTION("GOOGLETRANSLATE(B2726,""en"",""zh-CN"")"),"一个煎锅在炉子上，柜台旁边有配料。")</f>
        <v>一个煎锅在炉子上，柜台旁边有配料。</v>
      </c>
    </row>
    <row r="2727">
      <c r="A2727" s="4" t="s">
        <v>3421</v>
      </c>
      <c r="B2727" s="6" t="s">
        <v>3423</v>
      </c>
      <c r="C2727" s="5" t="str">
        <f>IFERROR(__xludf.DUMMYFUNCTION("GOOGLETRANSLATE(B2727,""en"",""zh-CN"")"),"有人将洋葱放在煎锅中，然后将鸡蛋和其他成分打成碗中，然后再将其添加到煎锅中。")</f>
        <v>有人将洋葱放在煎锅中，然后将鸡蛋和其他成分打成碗中，然后再将其添加到煎锅中。</v>
      </c>
    </row>
    <row r="2728">
      <c r="A2728" s="4" t="s">
        <v>3421</v>
      </c>
      <c r="B2728" s="4" t="s">
        <v>3424</v>
      </c>
      <c r="C2728" s="5" t="str">
        <f>IFERROR(__xludf.DUMMYFUNCTION("GOOGLETRANSLATE(B2728,""en"",""zh-CN"")"),"他翻转鸡蛋，制作煎蛋。")</f>
        <v>他翻转鸡蛋，制作煎蛋。</v>
      </c>
    </row>
    <row r="2729">
      <c r="A2729" s="4" t="s">
        <v>3421</v>
      </c>
      <c r="B2729" s="4" t="s">
        <v>3425</v>
      </c>
      <c r="C2729" s="5" t="str">
        <f>IFERROR(__xludf.DUMMYFUNCTION("GOOGLETRANSLATE(B2729,""en"",""zh-CN"")"),"他将煎蛋轻轻地翻上盘子以供食。")</f>
        <v>他将煎蛋轻轻地翻上盘子以供食。</v>
      </c>
    </row>
    <row r="2730">
      <c r="A2730" s="4" t="s">
        <v>3426</v>
      </c>
      <c r="B2730" s="4" t="s">
        <v>3427</v>
      </c>
      <c r="C2730" s="5" t="str">
        <f>IFERROR(__xludf.DUMMYFUNCTION("GOOGLETRANSLATE(B2730,""en"",""zh-CN"")"),"一只白猫在陶土上睡觉。")</f>
        <v>一只白猫在陶土上睡觉。</v>
      </c>
    </row>
    <row r="2731">
      <c r="A2731" s="4" t="s">
        <v>3426</v>
      </c>
      <c r="B2731" s="4" t="s">
        <v>3428</v>
      </c>
      <c r="C2731" s="5" t="str">
        <f>IFERROR(__xludf.DUMMYFUNCTION("GOOGLETRANSLATE(B2731,""en"",""zh-CN"")"),"白色文字说明了如何夹住猫的指甲。")</f>
        <v>白色文字说明了如何夹住猫的指甲。</v>
      </c>
    </row>
    <row r="2732">
      <c r="A2732" s="4" t="s">
        <v>3426</v>
      </c>
      <c r="B2732" s="4" t="s">
        <v>3429</v>
      </c>
      <c r="C2732" s="5" t="str">
        <f>IFERROR(__xludf.DUMMYFUNCTION("GOOGLETRANSLATE(B2732,""en"",""zh-CN"")"),"一个女人拿起猫的爪子，用剪刀轻轻剪掉它们，直到完成。")</f>
        <v>一个女人拿起猫的爪子，用剪刀轻轻剪掉它们，直到完成。</v>
      </c>
    </row>
    <row r="2733">
      <c r="A2733" s="4" t="s">
        <v>3430</v>
      </c>
      <c r="B2733" s="4" t="s">
        <v>3431</v>
      </c>
      <c r="C2733" s="5" t="str">
        <f>IFERROR(__xludf.DUMMYFUNCTION("GOOGLETRANSLATE(B2733,""en"",""zh-CN"")"),"看到一大批人站在彼此之间打排球比赛的场上。")</f>
        <v>看到一大批人站在彼此之间打排球比赛的场上。</v>
      </c>
    </row>
    <row r="2734">
      <c r="A2734" s="4" t="s">
        <v>3430</v>
      </c>
      <c r="B2734" s="6" t="s">
        <v>3432</v>
      </c>
      <c r="C2734" s="5" t="str">
        <f>IFERROR(__xludf.DUMMYFUNCTION("GOOGLETRANSLATE(B2734,""en"",""zh-CN"")"),"相机在海滩周围摇晃，然后回到彼此玩的人们，传球。")</f>
        <v>相机在海滩周围摇晃，然后回到彼此玩的人们，传球。</v>
      </c>
    </row>
    <row r="2735">
      <c r="A2735" s="4" t="s">
        <v>3433</v>
      </c>
      <c r="B2735" s="4" t="s">
        <v>3434</v>
      </c>
      <c r="C2735" s="5" t="str">
        <f>IFERROR(__xludf.DUMMYFUNCTION("GOOGLETRANSLATE(B2735,""en"",""zh-CN"")"),"一个运行视频的介绍，该视频说正在屏幕上出现运行。")</f>
        <v>一个运行视频的介绍，该视频说正在屏幕上出现运行。</v>
      </c>
    </row>
    <row r="2736">
      <c r="A2736" s="4" t="s">
        <v>3433</v>
      </c>
      <c r="B2736" s="6" t="s">
        <v>3435</v>
      </c>
      <c r="C2736" s="5" t="str">
        <f>IFERROR(__xludf.DUMMYFUNCTION("GOOGLETRANSLATE(B2736,""en"",""zh-CN"")"),"一位女士对一段视频发表了评论，上面有很多人在纽约市完成马拉松比赛。")</f>
        <v>一位女士对一段视频发表了评论，上面有很多人在纽约市完成马拉松比赛。</v>
      </c>
    </row>
    <row r="2737">
      <c r="A2737" s="4" t="s">
        <v>3433</v>
      </c>
      <c r="B2737" s="6" t="s">
        <v>3436</v>
      </c>
      <c r="C2737" s="5" t="str">
        <f>IFERROR(__xludf.DUMMYFUNCTION("GOOGLETRANSLATE(B2737,""en"",""zh-CN"")"),"该视频显示了马拉松历史上的前5个事件，这位女士对每个事件进行了评论，因为在显示事件发生的情况下，视频计数从5到1次，她详细解释了每个事件。")</f>
        <v>该视频显示了马拉松历史上的前5个事件，这位女士对每个事件进行了评论，因为在显示事件发生的情况下，视频计数从5到1次，她详细解释了每个事件。</v>
      </c>
    </row>
    <row r="2738">
      <c r="A2738" s="4" t="s">
        <v>3433</v>
      </c>
      <c r="B2738" s="4" t="s">
        <v>3437</v>
      </c>
      <c r="C2738" s="5" t="str">
        <f>IFERROR(__xludf.DUMMYFUNCTION("GOOGLETRANSLATE(B2738,""en"",""zh-CN"")"),"该视频以截然不同的图像结束。")</f>
        <v>该视频以截然不同的图像结束。</v>
      </c>
    </row>
    <row r="2739">
      <c r="A2739" s="4" t="s">
        <v>3438</v>
      </c>
      <c r="B2739" s="4" t="s">
        <v>3439</v>
      </c>
      <c r="C2739" s="5" t="str">
        <f>IFERROR(__xludf.DUMMYFUNCTION("GOOGLETRANSLATE(B2739,""en"",""zh-CN"")"),"一个男人跪在蓝色垫子上，在他的头顶上方举起一条酒吧。")</f>
        <v>一个男人跪在蓝色垫子上，在他的头顶上方举起一条酒吧。</v>
      </c>
    </row>
    <row r="2740">
      <c r="A2740" s="4" t="s">
        <v>3438</v>
      </c>
      <c r="B2740" s="4" t="s">
        <v>3440</v>
      </c>
      <c r="C2740" s="5" t="str">
        <f>IFERROR(__xludf.DUMMYFUNCTION("GOOGLETRANSLATE(B2740,""en"",""zh-CN"")"),"他站起来走了。")</f>
        <v>他站起来走了。</v>
      </c>
    </row>
    <row r="2741">
      <c r="A2741" s="4" t="s">
        <v>3441</v>
      </c>
      <c r="B2741" s="4" t="s">
        <v>3442</v>
      </c>
      <c r="C2741" s="5" t="str">
        <f>IFERROR(__xludf.DUMMYFUNCTION("GOOGLETRANSLATE(B2741,""en"",""zh-CN"")"),"一个女人坐在椅子上。")</f>
        <v>一个女人坐在椅子上。</v>
      </c>
    </row>
    <row r="2742">
      <c r="A2742" s="4" t="s">
        <v>3441</v>
      </c>
      <c r="B2742" s="4" t="s">
        <v>3443</v>
      </c>
      <c r="C2742" s="5" t="str">
        <f>IFERROR(__xludf.DUMMYFUNCTION("GOOGLETRANSLATE(B2742,""en"",""zh-CN"")"),"一个人正在用手指画一些东西。")</f>
        <v>一个人正在用手指画一些东西。</v>
      </c>
    </row>
    <row r="2743">
      <c r="A2743" s="4" t="s">
        <v>3441</v>
      </c>
      <c r="B2743" s="4" t="s">
        <v>3444</v>
      </c>
      <c r="C2743" s="5" t="str">
        <f>IFERROR(__xludf.DUMMYFUNCTION("GOOGLETRANSLATE(B2743,""en"",""zh-CN"")"),"女人抬头看着相机。")</f>
        <v>女人抬头看着相机。</v>
      </c>
    </row>
    <row r="2744">
      <c r="A2744" s="4" t="s">
        <v>3445</v>
      </c>
      <c r="B2744" s="4" t="s">
        <v>3446</v>
      </c>
      <c r="C2744" s="5" t="str">
        <f>IFERROR(__xludf.DUMMYFUNCTION("GOOGLETRANSLATE(B2744,""en"",""zh-CN"")"),"雨落在一个大礼堂上。")</f>
        <v>雨落在一个大礼堂上。</v>
      </c>
    </row>
    <row r="2745">
      <c r="A2745" s="4" t="s">
        <v>3445</v>
      </c>
      <c r="B2745" s="4" t="s">
        <v>3447</v>
      </c>
      <c r="C2745" s="5" t="str">
        <f>IFERROR(__xludf.DUMMYFUNCTION("GOOGLETRANSLATE(B2745,""en"",""zh-CN"")"),"许多人在看台上。")</f>
        <v>许多人在看台上。</v>
      </c>
    </row>
    <row r="2746">
      <c r="A2746" s="4" t="s">
        <v>3445</v>
      </c>
      <c r="B2746" s="4" t="s">
        <v>3448</v>
      </c>
      <c r="C2746" s="5" t="str">
        <f>IFERROR(__xludf.DUMMYFUNCTION("GOOGLETRANSLATE(B2746,""en"",""zh-CN"")"),"几名运动员站在舞台上。")</f>
        <v>几名运动员站在舞台上。</v>
      </c>
    </row>
    <row r="2747">
      <c r="A2747" s="4" t="s">
        <v>3445</v>
      </c>
      <c r="B2747" s="4" t="s">
        <v>3449</v>
      </c>
      <c r="C2747" s="5" t="str">
        <f>IFERROR(__xludf.DUMMYFUNCTION("GOOGLETRANSLATE(B2747,""en"",""zh-CN"")"),"运动员在场上扔碟。")</f>
        <v>运动员在场上扔碟。</v>
      </c>
    </row>
    <row r="2748">
      <c r="A2748" s="4" t="s">
        <v>3450</v>
      </c>
      <c r="B2748" s="6" t="s">
        <v>3451</v>
      </c>
      <c r="C2748" s="5" t="str">
        <f>IFERROR(__xludf.DUMMYFUNCTION("GOOGLETRANSLATE(B2748,""en"",""zh-CN"")"),"一个小男孩的男孩在房子周围的院子里驾驶着一个小型拖拉机割草机，在障碍物周围操纵。")</f>
        <v>一个小男孩的男孩在房子周围的院子里驾驶着一个小型拖拉机割草机，在障碍物周围操纵。</v>
      </c>
    </row>
    <row r="2749">
      <c r="A2749" s="4" t="s">
        <v>3450</v>
      </c>
      <c r="B2749" s="4" t="s">
        <v>3452</v>
      </c>
      <c r="C2749" s="5" t="str">
        <f>IFERROR(__xludf.DUMMYFUNCTION("GOOGLETRANSLATE(B2749,""en"",""zh-CN"")"),"这个男孩在草地上割草了一些小花。")</f>
        <v>这个男孩在草地上割草了一些小花。</v>
      </c>
    </row>
    <row r="2750">
      <c r="A2750" s="4" t="s">
        <v>3453</v>
      </c>
      <c r="B2750" s="4" t="s">
        <v>3454</v>
      </c>
      <c r="C2750" s="5" t="str">
        <f>IFERROR(__xludf.DUMMYFUNCTION("GOOGLETRANSLATE(B2750,""en"",""zh-CN"")"),"一个有卷发和非常眉毛的女人正在从水烟中吮吸。")</f>
        <v>一个有卷发和非常眉毛的女人正在从水烟中吮吸。</v>
      </c>
    </row>
    <row r="2751">
      <c r="A2751" s="4" t="s">
        <v>3453</v>
      </c>
      <c r="B2751" s="4" t="s">
        <v>3455</v>
      </c>
      <c r="C2751" s="5" t="str">
        <f>IFERROR(__xludf.DUMMYFUNCTION("GOOGLETRANSLATE(B2751,""en"",""zh-CN"")"),"她炸毁了她吸入的所有烟雾，她自己放松躺在床上。")</f>
        <v>她炸毁了她吸入的所有烟雾，她自己放松躺在床上。</v>
      </c>
    </row>
    <row r="2752">
      <c r="A2752" s="4" t="s">
        <v>3453</v>
      </c>
      <c r="B2752" s="4" t="s">
        <v>3456</v>
      </c>
      <c r="C2752" s="5" t="str">
        <f>IFERROR(__xludf.DUMMYFUNCTION("GOOGLETRANSLATE(B2752,""en"",""zh-CN"")"),"她似乎很无聊，只是吹烟。")</f>
        <v>她似乎很无聊，只是吹烟。</v>
      </c>
    </row>
    <row r="2753">
      <c r="A2753" s="4" t="s">
        <v>3453</v>
      </c>
      <c r="B2753" s="6" t="s">
        <v>3457</v>
      </c>
      <c r="C2753" s="5" t="str">
        <f>IFERROR(__xludf.DUMMYFUNCTION("GOOGLETRANSLATE(B2753,""en"",""zh-CN"")"),"事实证明，房间里还有另一个人和她喂养她，她的微笑真的很大，继续呼出烟。")</f>
        <v>事实证明，房间里还有另一个人和她喂养她，她的微笑真的很大，继续呼出烟。</v>
      </c>
    </row>
    <row r="2754">
      <c r="A2754" s="4" t="s">
        <v>3458</v>
      </c>
      <c r="B2754" s="4" t="s">
        <v>3459</v>
      </c>
      <c r="C2754" s="5" t="str">
        <f>IFERROR(__xludf.DUMMYFUNCTION("GOOGLETRANSLATE(B2754,""en"",""zh-CN"")"),"一名跑步者正在一群人面前跑步。")</f>
        <v>一名跑步者正在一群人面前跑步。</v>
      </c>
    </row>
    <row r="2755">
      <c r="A2755" s="4" t="s">
        <v>3458</v>
      </c>
      <c r="B2755" s="4" t="s">
        <v>3460</v>
      </c>
      <c r="C2755" s="5" t="str">
        <f>IFERROR(__xludf.DUMMYFUNCTION("GOOGLETRANSLATE(B2755,""en"",""zh-CN"")"),"一个男人与相机交谈。")</f>
        <v>一个男人与相机交谈。</v>
      </c>
    </row>
    <row r="2756">
      <c r="A2756" s="4" t="s">
        <v>3458</v>
      </c>
      <c r="B2756" s="4" t="s">
        <v>3461</v>
      </c>
      <c r="C2756" s="5" t="str">
        <f>IFERROR(__xludf.DUMMYFUNCTION("GOOGLETRANSLATE(B2756,""en"",""zh-CN"")"),"跑步者在两侧的人群和其中一名跑步者跌跌撞撞的赛道上奔跑。")</f>
        <v>跑步者在两侧的人群和其中一名跑步者跌跌撞撞的赛道上奔跑。</v>
      </c>
    </row>
    <row r="2757">
      <c r="A2757" s="4" t="s">
        <v>3458</v>
      </c>
      <c r="B2757" s="4" t="s">
        <v>3462</v>
      </c>
      <c r="C2757" s="5" t="str">
        <f>IFERROR(__xludf.DUMMYFUNCTION("GOOGLETRANSLATE(B2757,""en"",""zh-CN"")"),"显示了另一个跑步者，并显示了一个男人与相机交谈。")</f>
        <v>显示了另一个跑步者，并显示了一个男人与相机交谈。</v>
      </c>
    </row>
    <row r="2758">
      <c r="A2758" s="4" t="s">
        <v>3458</v>
      </c>
      <c r="B2758" s="4" t="s">
        <v>3463</v>
      </c>
      <c r="C2758" s="5" t="str">
        <f>IFERROR(__xludf.DUMMYFUNCTION("GOOGLETRANSLATE(B2758,""en"",""zh-CN"")"),"当其他跑步者穿越终点线时，跑步者正在沿终点线爬行。")</f>
        <v>当其他跑步者穿越终点线时，跑步者正在沿终点线爬行。</v>
      </c>
    </row>
    <row r="2759">
      <c r="A2759" s="4" t="s">
        <v>3458</v>
      </c>
      <c r="B2759" s="4" t="s">
        <v>3464</v>
      </c>
      <c r="C2759" s="5" t="str">
        <f>IFERROR(__xludf.DUMMYFUNCTION("GOOGLETRANSLATE(B2759,""en"",""zh-CN"")"),"受苦的跑步者被带走了。")</f>
        <v>受苦的跑步者被带走了。</v>
      </c>
    </row>
    <row r="2760">
      <c r="A2760" s="4" t="s">
        <v>3458</v>
      </c>
      <c r="B2760" s="4" t="s">
        <v>3465</v>
      </c>
      <c r="C2760" s="5" t="str">
        <f>IFERROR(__xludf.DUMMYFUNCTION("GOOGLETRANSLATE(B2760,""en"",""zh-CN"")"),"显示了遇险的跑步者。")</f>
        <v>显示了遇险的跑步者。</v>
      </c>
    </row>
    <row r="2761">
      <c r="A2761" s="4" t="s">
        <v>3458</v>
      </c>
      <c r="B2761" s="4" t="s">
        <v>539</v>
      </c>
      <c r="C2761" s="5" t="str">
        <f>IFERROR(__xludf.DUMMYFUNCTION("GOOGLETRANSLATE(B2761,""en"",""zh-CN"")"),"一个男人正在和镜头说话。")</f>
        <v>一个男人正在和镜头说话。</v>
      </c>
    </row>
    <row r="2762">
      <c r="A2762" s="4" t="s">
        <v>3458</v>
      </c>
      <c r="B2762" s="4" t="s">
        <v>3466</v>
      </c>
      <c r="C2762" s="5" t="str">
        <f>IFERROR(__xludf.DUMMYFUNCTION("GOOGLETRANSLATE(B2762,""en"",""zh-CN"")"),"各种跑步者都表现出痛苦并与镜头交谈。")</f>
        <v>各种跑步者都表现出痛苦并与镜头交谈。</v>
      </c>
    </row>
    <row r="2763">
      <c r="A2763" s="4" t="s">
        <v>3458</v>
      </c>
      <c r="B2763" s="4" t="s">
        <v>3467</v>
      </c>
      <c r="C2763" s="5" t="str">
        <f>IFERROR(__xludf.DUMMYFUNCTION("GOOGLETRANSLATE(B2763,""en"",""zh-CN"")"),"显示了更多苦恼的跑步者。")</f>
        <v>显示了更多苦恼的跑步者。</v>
      </c>
    </row>
    <row r="2764">
      <c r="A2764" s="4" t="s">
        <v>3468</v>
      </c>
      <c r="B2764" s="4" t="s">
        <v>3469</v>
      </c>
      <c r="C2764" s="5" t="str">
        <f>IFERROR(__xludf.DUMMYFUNCTION("GOOGLETRANSLATE(B2764,""en"",""zh-CN"")"),"一个人正在尝试跳高。")</f>
        <v>一个人正在尝试跳高。</v>
      </c>
    </row>
    <row r="2765">
      <c r="A2765" s="4" t="s">
        <v>3468</v>
      </c>
      <c r="B2765" s="4" t="s">
        <v>3470</v>
      </c>
      <c r="C2765" s="5" t="str">
        <f>IFERROR(__xludf.DUMMYFUNCTION("GOOGLETRANSLATE(B2765,""en"",""zh-CN"")"),"前几次尝试很好。")</f>
        <v>前几次尝试很好。</v>
      </c>
    </row>
    <row r="2766">
      <c r="A2766" s="4" t="s">
        <v>3468</v>
      </c>
      <c r="B2766" s="4" t="s">
        <v>3471</v>
      </c>
      <c r="C2766" s="5" t="str">
        <f>IFERROR(__xludf.DUMMYFUNCTION("GOOGLETRANSLATE(B2766,""en"",""zh-CN"")"),"从未实现最终尝试。")</f>
        <v>从未实现最终尝试。</v>
      </c>
    </row>
    <row r="2767">
      <c r="A2767" s="4" t="s">
        <v>3472</v>
      </c>
      <c r="B2767" s="6" t="s">
        <v>3473</v>
      </c>
      <c r="C2767" s="5" t="str">
        <f>IFERROR(__xludf.DUMMYFUNCTION("GOOGLETRANSLATE(B2767,""en"",""zh-CN"")"),"显示了两名男子表演一场手臂摔跤比赛，许多人在场外观看，并打电话给冠军是谁。")</f>
        <v>显示了两名男子表演一场手臂摔跤比赛，许多人在场外观看，并打电话给冠军是谁。</v>
      </c>
    </row>
    <row r="2768">
      <c r="A2768" s="4" t="s">
        <v>3472</v>
      </c>
      <c r="B2768" s="6" t="s">
        <v>3474</v>
      </c>
      <c r="C2768" s="5" t="str">
        <f>IFERROR(__xludf.DUMMYFUNCTION("GOOGLETRANSLATE(B2768,""en"",""zh-CN"")"),"又有几个男人彼此战斗，第四名，更多的人踏入框架观看。")</f>
        <v>又有几个男人彼此战斗，第四名，更多的人踏入框架观看。</v>
      </c>
    </row>
    <row r="2769">
      <c r="A2769" s="4" t="s">
        <v>3475</v>
      </c>
      <c r="B2769" s="4" t="s">
        <v>3476</v>
      </c>
      <c r="C2769" s="5" t="str">
        <f>IFERROR(__xludf.DUMMYFUNCTION("GOOGLETRANSLATE(B2769,""en"",""zh-CN"")"),"人们表演艺术武术动手，站在头上旋转。")</f>
        <v>人们表演艺术武术动手，站在头上旋转。</v>
      </c>
    </row>
    <row r="2770">
      <c r="A2770" s="4" t="s">
        <v>3475</v>
      </c>
      <c r="B2770" s="4" t="s">
        <v>3477</v>
      </c>
      <c r="C2770" s="5" t="str">
        <f>IFERROR(__xludf.DUMMYFUNCTION("GOOGLETRANSLATE(B2770,""en"",""zh-CN"")"),"然后，一个男人和一个男孩跳了起来，然后孩子们站在头上旋转。")</f>
        <v>然后，一个男人和一个男孩跳了起来，然后孩子们站在头上旋转。</v>
      </c>
    </row>
    <row r="2771">
      <c r="A2771" s="4" t="s">
        <v>3475</v>
      </c>
      <c r="B2771" s="4" t="s">
        <v>3478</v>
      </c>
      <c r="C2771" s="5" t="str">
        <f>IFERROR(__xludf.DUMMYFUNCTION("GOOGLETRANSLATE(B2771,""en"",""zh-CN"")"),"男孩向后弯曲他的身体，直到脚到达地面。")</f>
        <v>男孩向后弯曲他的身体，直到脚到达地面。</v>
      </c>
    </row>
    <row r="2772">
      <c r="A2772" s="4" t="s">
        <v>3475</v>
      </c>
      <c r="B2772" s="4" t="s">
        <v>3479</v>
      </c>
      <c r="C2772" s="5" t="str">
        <f>IFERROR(__xludf.DUMMYFUNCTION("GOOGLETRANSLATE(B2772,""en"",""zh-CN"")"),"青少年扭动自己的身体，向另一端弯曲。")</f>
        <v>青少年扭动自己的身体，向另一端弯曲。</v>
      </c>
    </row>
    <row r="2773">
      <c r="A2773" s="4" t="s">
        <v>3480</v>
      </c>
      <c r="B2773" s="6" t="s">
        <v>3481</v>
      </c>
      <c r="C2773" s="5" t="str">
        <f>IFERROR(__xludf.DUMMYFUNCTION("GOOGLETRANSLATE(B2773,""en"",""zh-CN"")"),"一个女人修饰一个愤怒的贵宾犬，后者被扎在黑色美容桌上的杆子上。")</f>
        <v>一个女人修饰一个愤怒的贵宾犬，后者被扎在黑色美容桌上的杆子上。</v>
      </c>
    </row>
    <row r="2774">
      <c r="A2774" s="4" t="s">
        <v>3480</v>
      </c>
      <c r="B2774" s="4" t="s">
        <v>3482</v>
      </c>
      <c r="C2774" s="5" t="str">
        <f>IFERROR(__xludf.DUMMYFUNCTION("GOOGLETRANSLATE(B2774,""en"",""zh-CN"")"),"一只棕色的贵宾犬在黑色美容桌上的黄色墙壁房间里梳理了一个女人。")</f>
        <v>一只棕色的贵宾犬在黑色美容桌上的黄色墙壁房间里梳理了一个女人。</v>
      </c>
    </row>
    <row r="2775">
      <c r="A2775" s="4" t="s">
        <v>3480</v>
      </c>
      <c r="B2775" s="6" t="s">
        <v>3483</v>
      </c>
      <c r="C2775" s="5" t="str">
        <f>IFERROR(__xludf.DUMMYFUNCTION("GOOGLETRANSLATE(B2775,""en"",""zh-CN"")"),"女人拿出一个粉红色的塑料玩具，狗开始咬人，抓住和抓住，而女人combs毛皮毛皮。")</f>
        <v>女人拿出一个粉红色的塑料玩具，狗开始咬人，抓住和抓住，而女人combs毛皮毛皮。</v>
      </c>
    </row>
    <row r="2776">
      <c r="A2776" s="4" t="s">
        <v>3480</v>
      </c>
      <c r="B2776" s="4" t="s">
        <v>3484</v>
      </c>
      <c r="C2776" s="5" t="str">
        <f>IFERROR(__xludf.DUMMYFUNCTION("GOOGLETRANSLATE(B2776,""en"",""zh-CN"")"),"贵宾犬继续向粉红色的玩具，女人的手和梳子。")</f>
        <v>贵宾犬继续向粉红色的玩具，女人的手和梳子。</v>
      </c>
    </row>
    <row r="2777">
      <c r="A2777" s="4" t="s">
        <v>3485</v>
      </c>
      <c r="B2777" s="4" t="s">
        <v>3486</v>
      </c>
      <c r="C2777" s="5" t="str">
        <f>IFERROR(__xludf.DUMMYFUNCTION("GOOGLETRANSLATE(B2777,""en"",""zh-CN"")"),"体操运动员在健身房中安装低光束。")</f>
        <v>体操运动员在健身房中安装低光束。</v>
      </c>
    </row>
    <row r="2778">
      <c r="A2778" s="4" t="s">
        <v>3485</v>
      </c>
      <c r="B2778" s="4" t="s">
        <v>3487</v>
      </c>
      <c r="C2778" s="5" t="str">
        <f>IFERROR(__xludf.DUMMYFUNCTION("GOOGLETRANSLATE(B2778,""en"",""zh-CN"")"),"她在横梁上表演，做手弹和翻转。")</f>
        <v>她在横梁上表演，做手弹和翻转。</v>
      </c>
    </row>
    <row r="2779">
      <c r="A2779" s="4" t="s">
        <v>3485</v>
      </c>
      <c r="B2779" s="4" t="s">
        <v>3488</v>
      </c>
      <c r="C2779" s="5" t="str">
        <f>IFERROR(__xludf.DUMMYFUNCTION("GOOGLETRANSLATE(B2779,""en"",""zh-CN"")"),"然后，她用手在空中卸下。")</f>
        <v>然后，她用手在空中卸下。</v>
      </c>
    </row>
    <row r="2780">
      <c r="A2780" s="4" t="s">
        <v>3489</v>
      </c>
      <c r="B2780" s="4" t="s">
        <v>3490</v>
      </c>
      <c r="C2780" s="5" t="str">
        <f>IFERROR(__xludf.DUMMYFUNCTION("GOOGLETRANSLATE(B2780,""en"",""zh-CN"")"),"一个女人站在浴室的门旁说话。")</f>
        <v>一个女人站在浴室的门旁说话。</v>
      </c>
    </row>
    <row r="2781">
      <c r="A2781" s="4" t="s">
        <v>3489</v>
      </c>
      <c r="B2781" s="4" t="s">
        <v>3491</v>
      </c>
      <c r="C2781" s="5" t="str">
        <f>IFERROR(__xludf.DUMMYFUNCTION("GOOGLETRANSLATE(B2781,""en"",""zh-CN"")"),"现在，在一辆固定的自行车上教旋转课上的固定自行车上可以看到同一个女人。")</f>
        <v>现在，在一辆固定的自行车上教旋转课上的固定自行车上可以看到同一个女人。</v>
      </c>
    </row>
    <row r="2782">
      <c r="A2782" s="4" t="s">
        <v>3489</v>
      </c>
      <c r="B2782" s="6" t="s">
        <v>3492</v>
      </c>
      <c r="C2782" s="5" t="str">
        <f>IFERROR(__xludf.DUMMYFUNCTION("GOOGLETRANSLATE(B2782,""en"",""zh-CN"")"),"班上的其他几个人可以在讲师后面的镜子中的固定自行车上看到。")</f>
        <v>班上的其他几个人可以在讲师后面的镜子中的固定自行车上看到。</v>
      </c>
    </row>
    <row r="2783">
      <c r="A2783" s="4" t="s">
        <v>3489</v>
      </c>
      <c r="B2783" s="4" t="s">
        <v>3493</v>
      </c>
      <c r="C2783" s="5" t="str">
        <f>IFERROR(__xludf.DUMMYFUNCTION("GOOGLETRANSLATE(B2783,""en"",""zh-CN"")"),"然后在地面上显示该女人展示运动。")</f>
        <v>然后在地面上显示该女人展示运动。</v>
      </c>
    </row>
    <row r="2784">
      <c r="A2784" s="4" t="s">
        <v>3489</v>
      </c>
      <c r="B2784" s="4" t="s">
        <v>3494</v>
      </c>
      <c r="C2784" s="5" t="str">
        <f>IFERROR(__xludf.DUMMYFUNCTION("GOOGLETRANSLATE(B2784,""en"",""zh-CN"")"),"再次显示自旋类。")</f>
        <v>再次显示自旋类。</v>
      </c>
    </row>
    <row r="2785">
      <c r="A2785" s="4" t="s">
        <v>3489</v>
      </c>
      <c r="B2785" s="4" t="s">
        <v>3495</v>
      </c>
      <c r="C2785" s="5" t="str">
        <f>IFERROR(__xludf.DUMMYFUNCTION("GOOGLETRANSLATE(B2785,""en"",""zh-CN"")"),"然后，讲师在班上再次进行地板练习。")</f>
        <v>然后，讲师在班上再次进行地板练习。</v>
      </c>
    </row>
    <row r="2786">
      <c r="A2786" s="4" t="s">
        <v>3489</v>
      </c>
      <c r="B2786" s="4" t="s">
        <v>3496</v>
      </c>
      <c r="C2786" s="5" t="str">
        <f>IFERROR(__xludf.DUMMYFUNCTION("GOOGLETRANSLATE(B2786,""en"",""zh-CN"")"),"讲师和班级再次完成自行车。")</f>
        <v>讲师和班级再次完成自行车。</v>
      </c>
    </row>
    <row r="2787">
      <c r="A2787" s="4" t="s">
        <v>3497</v>
      </c>
      <c r="B2787" s="4" t="s">
        <v>3498</v>
      </c>
      <c r="C2787" s="5" t="str">
        <f>IFERROR(__xludf.DUMMYFUNCTION("GOOGLETRANSLATE(B2787,""en"",""zh-CN"")"),"一位女士站在健身房里说话。")</f>
        <v>一位女士站在健身房里说话。</v>
      </c>
    </row>
    <row r="2788">
      <c r="A2788" s="4" t="s">
        <v>3497</v>
      </c>
      <c r="B2788" s="4" t="s">
        <v>3499</v>
      </c>
      <c r="C2788" s="5" t="str">
        <f>IFERROR(__xludf.DUMMYFUNCTION("GOOGLETRANSLATE(B2788,""en"",""zh-CN"")"),"她指着腹部，然后躺在长凳上。")</f>
        <v>她指着腹部，然后躺在长凳上。</v>
      </c>
    </row>
    <row r="2789">
      <c r="A2789" s="4" t="s">
        <v>3497</v>
      </c>
      <c r="B2789" s="4" t="s">
        <v>3500</v>
      </c>
      <c r="C2789" s="5" t="str">
        <f>IFERROR(__xludf.DUMMYFUNCTION("GOOGLETRANSLATE(B2789,""en"",""zh-CN"")"),"这位女士拿着长凳，抬起腹部和腿。")</f>
        <v>这位女士拿着长凳，抬起腹部和腿。</v>
      </c>
    </row>
    <row r="2790">
      <c r="A2790" s="4" t="s">
        <v>3497</v>
      </c>
      <c r="B2790" s="4" t="s">
        <v>3501</v>
      </c>
      <c r="C2790" s="5" t="str">
        <f>IFERROR(__xludf.DUMMYFUNCTION("GOOGLETRANSLATE(B2790,""en"",""zh-CN"")"),"那位女士坐起来，踏上了边缘。")</f>
        <v>那位女士坐起来，踏上了边缘。</v>
      </c>
    </row>
    <row r="2791">
      <c r="A2791" s="4" t="s">
        <v>3497</v>
      </c>
      <c r="B2791" s="4" t="s">
        <v>3502</v>
      </c>
      <c r="C2791" s="5" t="str">
        <f>IFERROR(__xludf.DUMMYFUNCTION("GOOGLETRANSLATE(B2791,""en"",""zh-CN"")"),"这位女士的屁股悬挂在长凳上。")</f>
        <v>这位女士的屁股悬挂在长凳上。</v>
      </c>
    </row>
    <row r="2792">
      <c r="A2792" s="4" t="s">
        <v>3497</v>
      </c>
      <c r="B2792" s="4" t="s">
        <v>3503</v>
      </c>
      <c r="C2792" s="5" t="str">
        <f>IFERROR(__xludf.DUMMYFUNCTION("GOOGLETRANSLATE(B2792,""en"",""zh-CN"")"),"女士结束了，坐着直立并说话。")</f>
        <v>女士结束了，坐着直立并说话。</v>
      </c>
    </row>
    <row r="2793">
      <c r="A2793" s="4" t="s">
        <v>3504</v>
      </c>
      <c r="B2793" s="6" t="s">
        <v>3505</v>
      </c>
      <c r="C2793" s="5" t="str">
        <f>IFERROR(__xludf.DUMMYFUNCTION("GOOGLETRANSLATE(B2793,""en"",""zh-CN"")"),"看到一名妇女主持了一个新闻部门，该新闻部门将沿着街区奔跑的消防员剪辑，并在头上载着物体。")</f>
        <v>看到一名妇女主持了一个新闻部门，该新闻部门将沿着街区奔跑的消防员剪辑，并在头上载着物体。</v>
      </c>
    </row>
    <row r="2794">
      <c r="A2794" s="4" t="s">
        <v>3504</v>
      </c>
      <c r="B2794" s="6" t="s">
        <v>3506</v>
      </c>
      <c r="C2794" s="5" t="str">
        <f>IFERROR(__xludf.DUMMYFUNCTION("GOOGLETRANSLATE(B2794,""en"",""zh-CN"")"),"当他们继续跑来跑去时，人们看到更多的人在与镜头交谈。")</f>
        <v>当他们继续跑来跑去时，人们看到更多的人在与镜头交谈。</v>
      </c>
    </row>
    <row r="2795">
      <c r="A2795" s="4" t="s">
        <v>3507</v>
      </c>
      <c r="B2795" s="4" t="s">
        <v>3508</v>
      </c>
      <c r="C2795" s="5" t="str">
        <f>IFERROR(__xludf.DUMMYFUNCTION("GOOGLETRANSLATE(B2795,""en"",""zh-CN"")"),"一个人铲雪，但在相机上只能看到小腿和铲子。")</f>
        <v>一个人铲雪，但在相机上只能看到小腿和铲子。</v>
      </c>
    </row>
    <row r="2796">
      <c r="A2796" s="4" t="s">
        <v>3507</v>
      </c>
      <c r="B2796" s="4" t="s">
        <v>3509</v>
      </c>
      <c r="C2796" s="5" t="str">
        <f>IFERROR(__xludf.DUMMYFUNCTION("GOOGLETRANSLATE(B2796,""en"",""zh-CN"")"),"个人将铲子放在一边，走向相机。")</f>
        <v>个人将铲子放在一边，走向相机。</v>
      </c>
    </row>
    <row r="2797">
      <c r="A2797" s="4" t="s">
        <v>3507</v>
      </c>
      <c r="B2797" s="4" t="s">
        <v>3510</v>
      </c>
      <c r="C2797" s="5" t="str">
        <f>IFERROR(__xludf.DUMMYFUNCTION("GOOGLETRANSLATE(B2797,""en"",""zh-CN"")"),"相机再次显示单独的铲子。")</f>
        <v>相机再次显示单独的铲子。</v>
      </c>
    </row>
    <row r="2798">
      <c r="A2798" s="4" t="s">
        <v>3511</v>
      </c>
      <c r="B2798" s="4" t="s">
        <v>3512</v>
      </c>
      <c r="C2798" s="5" t="str">
        <f>IFERROR(__xludf.DUMMYFUNCTION("GOOGLETRANSLATE(B2798,""en"",""zh-CN"")"),"一个穿着灰色的热身西服练习的男人射击了网。")</f>
        <v>一个穿着灰色的热身西服练习的男人射击了网。</v>
      </c>
    </row>
    <row r="2799">
      <c r="A2799" s="4" t="s">
        <v>3511</v>
      </c>
      <c r="B2799" s="4" t="s">
        <v>3513</v>
      </c>
      <c r="C2799" s="5" t="str">
        <f>IFERROR(__xludf.DUMMYFUNCTION("GOOGLETRANSLATE(B2799,""en"",""zh-CN"")"),"另一个穿着绿色运动衫的男子练习了一张射门在净门后面的田野里投掷。")</f>
        <v>另一个穿着绿色运动衫的男子练习了一张射门在净门后面的田野里投掷。</v>
      </c>
    </row>
    <row r="2800">
      <c r="A2800" s="4" t="s">
        <v>3511</v>
      </c>
      <c r="B2800" s="4" t="s">
        <v>3514</v>
      </c>
      <c r="C2800" s="5" t="str">
        <f>IFERROR(__xludf.DUMMYFUNCTION("GOOGLETRANSLATE(B2800,""en"",""zh-CN"")"),"在练习他们的射门投掷的多个男人之间，仍然有照片。")</f>
        <v>在练习他们的射门投掷的多个男人之间，仍然有照片。</v>
      </c>
    </row>
    <row r="2801">
      <c r="A2801" s="4" t="s">
        <v>3511</v>
      </c>
      <c r="B2801" s="4" t="s">
        <v>3515</v>
      </c>
      <c r="C2801" s="5" t="str">
        <f>IFERROR(__xludf.DUMMYFUNCTION("GOOGLETRANSLATE(B2801,""en"",""zh-CN"")"),"连续投掷一系列投掷投掷。")</f>
        <v>连续投掷一系列投掷投掷。</v>
      </c>
    </row>
    <row r="2802">
      <c r="A2802" s="4" t="s">
        <v>3516</v>
      </c>
      <c r="B2802" s="4" t="s">
        <v>3517</v>
      </c>
      <c r="C2802" s="5" t="str">
        <f>IFERROR(__xludf.DUMMYFUNCTION("GOOGLETRANSLATE(B2802,""en"",""zh-CN"")"),"看到一个男人装饰蛋糕被蒙住眼睛，而一小群人看着。")</f>
        <v>看到一个男人装饰蛋糕被蒙住眼睛，而一小群人看着。</v>
      </c>
    </row>
    <row r="2803">
      <c r="A2803" s="4" t="s">
        <v>3516</v>
      </c>
      <c r="B2803" s="4" t="s">
        <v>3518</v>
      </c>
      <c r="C2803" s="5" t="str">
        <f>IFERROR(__xludf.DUMMYFUNCTION("GOOGLETRANSLATE(B2803,""en"",""zh-CN"")"),"该男子在蛋糕上增加了糖霜，而其他人则继续观看以及其他成分。")</f>
        <v>该男子在蛋糕上增加了糖霜，而其他人则继续观看以及其他成分。</v>
      </c>
    </row>
    <row r="2804">
      <c r="A2804" s="4" t="s">
        <v>3516</v>
      </c>
      <c r="B2804" s="6" t="s">
        <v>3519</v>
      </c>
      <c r="C2804" s="5" t="str">
        <f>IFERROR(__xludf.DUMMYFUNCTION("GOOGLETRANSLATE(B2804,""en"",""zh-CN"")"),"他脱下眼罩和欢呼声，并把夏威夷的服装放在所有人身上跳舞。")</f>
        <v>他脱下眼罩和欢呼声，并把夏威夷的服装放在所有人身上跳舞。</v>
      </c>
    </row>
    <row r="2805">
      <c r="A2805" s="4" t="s">
        <v>3520</v>
      </c>
      <c r="B2805" s="4" t="s">
        <v>3521</v>
      </c>
      <c r="C2805" s="5" t="str">
        <f>IFERROR(__xludf.DUMMYFUNCTION("GOOGLETRANSLATE(B2805,""en"",""zh-CN"")"),"一个男人在棚屋的屋顶上，有一个叶吹风机，准备清洁屋顶的叶子。")</f>
        <v>一个男人在棚屋的屋顶上，有一个叶吹风机，准备清洁屋顶的叶子。</v>
      </c>
    </row>
    <row r="2806">
      <c r="A2806" s="4" t="s">
        <v>3520</v>
      </c>
      <c r="B2806" s="6" t="s">
        <v>3522</v>
      </c>
      <c r="C2806" s="5" t="str">
        <f>IFERROR(__xludf.DUMMYFUNCTION("GOOGLETRANSLATE(B2806,""en"",""zh-CN"")"),"他展示了叶吹风机的特写，并解释了它的细节，素素机器，将相机放下并启动。")</f>
        <v>他展示了叶吹风机的特写，并解释了它的细节，素素机器，将相机放下并启动。</v>
      </c>
    </row>
    <row r="2807">
      <c r="A2807" s="4" t="s">
        <v>3520</v>
      </c>
      <c r="B2807" s="4" t="s">
        <v>3523</v>
      </c>
      <c r="C2807" s="5" t="str">
        <f>IFERROR(__xludf.DUMMYFUNCTION("GOOGLETRANSLATE(B2807,""en"",""zh-CN"")"),"他拿起相机，再次接近叶子鼓风机。")</f>
        <v>他拿起相机，再次接近叶子鼓风机。</v>
      </c>
    </row>
    <row r="2808">
      <c r="A2808" s="4" t="s">
        <v>3520</v>
      </c>
      <c r="B2808" s="4" t="s">
        <v>3524</v>
      </c>
      <c r="C2808" s="5" t="str">
        <f>IFERROR(__xludf.DUMMYFUNCTION("GOOGLETRANSLATE(B2808,""en"",""zh-CN"")"),"现在，他把叶子的叶子从棚屋的屋顶上吹走了。")</f>
        <v>现在，他把叶子的叶子从棚屋的屋顶上吹走了。</v>
      </c>
    </row>
    <row r="2809">
      <c r="A2809" s="4" t="s">
        <v>3525</v>
      </c>
      <c r="B2809" s="4" t="s">
        <v>3526</v>
      </c>
      <c r="C2809" s="5" t="str">
        <f>IFERROR(__xludf.DUMMYFUNCTION("GOOGLETRANSLATE(B2809,""en"",""zh-CN"")"),"一个男人在下雪中穿着滑雪。")</f>
        <v>一个男人在下雪中穿着滑雪。</v>
      </c>
    </row>
    <row r="2810">
      <c r="A2810" s="4" t="s">
        <v>3525</v>
      </c>
      <c r="B2810" s="4" t="s">
        <v>3527</v>
      </c>
      <c r="C2810" s="5" t="str">
        <f>IFERROR(__xludf.DUMMYFUNCTION("GOOGLETRANSLATE(B2810,""en"",""zh-CN"")"),"他正在和镜头谈论滑雪。")</f>
        <v>他正在和镜头谈论滑雪。</v>
      </c>
    </row>
    <row r="2811">
      <c r="A2811" s="4" t="s">
        <v>3525</v>
      </c>
      <c r="B2811" s="4" t="s">
        <v>3528</v>
      </c>
      <c r="C2811" s="5" t="str">
        <f>IFERROR(__xludf.DUMMYFUNCTION("GOOGLETRANSLATE(B2811,""en"",""zh-CN"")"),"然后看到他在空中，滑雪时沿着陡峭的斜坡沿着陡峭的斜坡。")</f>
        <v>然后看到他在空中，滑雪时沿着陡峭的斜坡沿着陡峭的斜坡。</v>
      </c>
    </row>
    <row r="2812">
      <c r="A2812" s="4" t="s">
        <v>3529</v>
      </c>
      <c r="B2812" s="6" t="s">
        <v>3530</v>
      </c>
      <c r="C2812" s="5" t="str">
        <f>IFERROR(__xludf.DUMMYFUNCTION("GOOGLETRANSLATE(B2812,""en"",""zh-CN"")"),"当一个男人坐在椅子上时，一个男人不时地抬起手臂。")</f>
        <v>当一个男人坐在椅子上时，一个男人不时地抬起手臂。</v>
      </c>
    </row>
    <row r="2813">
      <c r="A2813" s="4" t="s">
        <v>3529</v>
      </c>
      <c r="B2813" s="6" t="s">
        <v>3531</v>
      </c>
      <c r="C2813" s="5" t="str">
        <f>IFERROR(__xludf.DUMMYFUNCTION("GOOGLETRANSLATE(B2813,""en"",""zh-CN"")"),"然后，他扮演一个口琴四处移动，同时停下来与镜头说话，最终说话和指向。")</f>
        <v>然后，他扮演一个口琴四处移动，同时停下来与镜头说话，最终说话和指向。</v>
      </c>
    </row>
    <row r="2814">
      <c r="A2814" s="4" t="s">
        <v>3532</v>
      </c>
      <c r="B2814" s="4" t="s">
        <v>3533</v>
      </c>
      <c r="C2814" s="5" t="str">
        <f>IFERROR(__xludf.DUMMYFUNCTION("GOOGLETRANSLATE(B2814,""en"",""zh-CN"")"),"看到一个男人站在公牛旁边，举着红旗。")</f>
        <v>看到一个男人站在公牛旁边，举着红旗。</v>
      </c>
    </row>
    <row r="2815">
      <c r="A2815" s="4" t="s">
        <v>3532</v>
      </c>
      <c r="B2815" s="4" t="s">
        <v>3534</v>
      </c>
      <c r="C2815" s="5" t="str">
        <f>IFERROR(__xludf.DUMMYFUNCTION("GOOGLETRANSLATE(B2815,""en"",""zh-CN"")"),"然后显示公牛在许多剪辑中攻击几名男子。")</f>
        <v>然后显示公牛在许多剪辑中攻击几名男子。</v>
      </c>
    </row>
    <row r="2816">
      <c r="A2816" s="4" t="s">
        <v>3532</v>
      </c>
      <c r="B2816" s="4" t="s">
        <v>3535</v>
      </c>
      <c r="C2816" s="5" t="str">
        <f>IFERROR(__xludf.DUMMYFUNCTION("GOOGLETRANSLATE(B2816,""en"",""zh-CN"")"),"向更多的人展示了追逐公牛的追逐。")</f>
        <v>向更多的人展示了追逐公牛的追逐。</v>
      </c>
    </row>
    <row r="2817">
      <c r="A2817" s="4" t="s">
        <v>3536</v>
      </c>
      <c r="B2817" s="4" t="s">
        <v>3537</v>
      </c>
      <c r="C2817" s="5" t="str">
        <f>IFERROR(__xludf.DUMMYFUNCTION("GOOGLETRANSLATE(B2817,""en"",""zh-CN"")"),"一个女人坐在笔记本电脑前聊天。")</f>
        <v>一个女人坐在笔记本电脑前聊天。</v>
      </c>
    </row>
    <row r="2818">
      <c r="A2818" s="4" t="s">
        <v>3536</v>
      </c>
      <c r="B2818" s="4" t="s">
        <v>3538</v>
      </c>
      <c r="C2818" s="5" t="str">
        <f>IFERROR(__xludf.DUMMYFUNCTION("GOOGLETRANSLATE(B2818,""en"",""zh-CN"")"),"她站在一个家庭成员的房间前。")</f>
        <v>她站在一个家庭成员的房间前。</v>
      </c>
    </row>
    <row r="2819">
      <c r="A2819" s="4" t="s">
        <v>3536</v>
      </c>
      <c r="B2819" s="4" t="s">
        <v>3539</v>
      </c>
      <c r="C2819" s="5" t="str">
        <f>IFERROR(__xludf.DUMMYFUNCTION("GOOGLETRANSLATE(B2819,""en"",""zh-CN"")"),"她跳舞，在整个房间里闪闪发光时向人们展示了几步。")</f>
        <v>她跳舞，在整个房间里闪闪发光时向人们展示了几步。</v>
      </c>
    </row>
    <row r="2820">
      <c r="A2820" s="4" t="s">
        <v>3540</v>
      </c>
      <c r="B2820" s="4" t="s">
        <v>3541</v>
      </c>
      <c r="C2820" s="5" t="str">
        <f>IFERROR(__xludf.DUMMYFUNCTION("GOOGLETRANSLATE(B2820,""en"",""zh-CN"")"),"一个男人正站在他的沙漠中，像这样说话。")</f>
        <v>一个男人正站在他的沙漠中，像这样说话。</v>
      </c>
    </row>
    <row r="2821">
      <c r="A2821" s="4" t="s">
        <v>3540</v>
      </c>
      <c r="B2821" s="6" t="s">
        <v>3542</v>
      </c>
      <c r="C2821" s="5" t="str">
        <f>IFERROR(__xludf.DUMMYFUNCTION("GOOGLETRANSLATE(B2821,""en"",""zh-CN"")"),"当他说话时，他的几张视频围绕着跑道围绕驼峰的摩托车赛车展示。")</f>
        <v>当他说话时，他的几张视频围绕着跑道围绕驼峰的摩托车赛车展示。</v>
      </c>
    </row>
    <row r="2822">
      <c r="A2822" s="4" t="s">
        <v>3540</v>
      </c>
      <c r="B2822" s="6" t="s">
        <v>3543</v>
      </c>
      <c r="C2822" s="5" t="str">
        <f>IFERROR(__xludf.DUMMYFUNCTION("GOOGLETRANSLATE(B2822,""en"",""zh-CN"")"),"但是，他在细分市场期间回来，展示了他如何在某些跳跃中使用技术以及正确的方法。")</f>
        <v>但是，他在细分市场期间回来，展示了他如何在某些跳跃中使用技术以及正确的方法。</v>
      </c>
    </row>
    <row r="2823">
      <c r="A2823" s="4" t="s">
        <v>3544</v>
      </c>
      <c r="B2823" s="4" t="s">
        <v>3545</v>
      </c>
      <c r="C2823" s="5" t="str">
        <f>IFERROR(__xludf.DUMMYFUNCTION("GOOGLETRANSLATE(B2823,""en"",""zh-CN"")"),"一个小女孩正站在她客厅的啤酒花游戏前。")</f>
        <v>一个小女孩正站在她客厅的啤酒花游戏前。</v>
      </c>
    </row>
    <row r="2824">
      <c r="A2824" s="4" t="s">
        <v>3544</v>
      </c>
      <c r="B2824" s="4" t="s">
        <v>3546</v>
      </c>
      <c r="C2824" s="5" t="str">
        <f>IFERROR(__xludf.DUMMYFUNCTION("GOOGLETRANSLATE(B2824,""en"",""zh-CN"")"),"她在每个正方形上跳下来，然后转过身来。")</f>
        <v>她在每个正方形上跳下来，然后转过身来。</v>
      </c>
    </row>
    <row r="2825">
      <c r="A2825" s="4" t="s">
        <v>3544</v>
      </c>
      <c r="B2825" s="4" t="s">
        <v>3547</v>
      </c>
      <c r="C2825" s="5" t="str">
        <f>IFERROR(__xludf.DUMMYFUNCTION("GOOGLETRANSLATE(B2825,""en"",""zh-CN"")"),"她微笑着为相机鞠躬。")</f>
        <v>她微笑着为相机鞠躬。</v>
      </c>
    </row>
    <row r="2826">
      <c r="A2826" s="4" t="s">
        <v>3548</v>
      </c>
      <c r="B2826" s="4" t="s">
        <v>3549</v>
      </c>
      <c r="C2826" s="5" t="str">
        <f>IFERROR(__xludf.DUMMYFUNCTION("GOOGLETRANSLATE(B2826,""en"",""zh-CN"")"),"一个人将双腿固定在帆船的杆子上，一个躺在船边界的背上。")</f>
        <v>一个人将双腿固定在帆船的杆子上，一个躺在船边界的背上。</v>
      </c>
    </row>
    <row r="2827">
      <c r="A2827" s="4" t="s">
        <v>3548</v>
      </c>
      <c r="B2827" s="4" t="s">
        <v>3550</v>
      </c>
      <c r="C2827" s="5" t="str">
        <f>IFERROR(__xludf.DUMMYFUNCTION("GOOGLETRANSLATE(B2827,""en"",""zh-CN"")"),"然后，该名男子航行船拿着绳子，躺在船的边界上。")</f>
        <v>然后，该名男子航行船拿着绳子，躺在船的边界上。</v>
      </c>
    </row>
    <row r="2828">
      <c r="A2828" s="4" t="s">
        <v>3548</v>
      </c>
      <c r="B2828" s="4" t="s">
        <v>3551</v>
      </c>
      <c r="C2828" s="5" t="str">
        <f>IFERROR(__xludf.DUMMYFUNCTION("GOOGLETRANSLATE(B2828,""en"",""zh-CN"")"),"该男子掉进了水中，然后他上船，继续在他的背上航行。")</f>
        <v>该男子掉进了水中，然后他上船，继续在他的背上航行。</v>
      </c>
    </row>
    <row r="2829">
      <c r="A2829" s="4" t="s">
        <v>3548</v>
      </c>
      <c r="B2829" s="4" t="s">
        <v>3552</v>
      </c>
      <c r="C2829" s="5" t="str">
        <f>IFERROR(__xludf.DUMMYFUNCTION("GOOGLETRANSLATE(B2829,""en"",""zh-CN"")"),"帆板旁边的帆板通过。")</f>
        <v>帆板旁边的帆板通过。</v>
      </c>
    </row>
    <row r="2830">
      <c r="A2830" s="4" t="s">
        <v>3553</v>
      </c>
      <c r="B2830" s="4" t="s">
        <v>3554</v>
      </c>
      <c r="C2830" s="5" t="str">
        <f>IFERROR(__xludf.DUMMYFUNCTION("GOOGLETRANSLATE(B2830,""en"",""zh-CN"")"),"一个男人在等待从水中走出楼梯时，他似乎踩着水。")</f>
        <v>一个男人在等待从水中走出楼梯时，他似乎踩着水。</v>
      </c>
    </row>
    <row r="2831">
      <c r="A2831" s="4" t="s">
        <v>3553</v>
      </c>
      <c r="B2831" s="4" t="s">
        <v>3555</v>
      </c>
      <c r="C2831" s="5" t="str">
        <f>IFERROR(__xludf.DUMMYFUNCTION("GOOGLETRANSLATE(B2831,""en"",""zh-CN"")"),"他终于下了楼梯，加入了木制潜水板上的其他人。")</f>
        <v>他终于下了楼梯，加入了木制潜水板上的其他人。</v>
      </c>
    </row>
    <row r="2832">
      <c r="A2832" s="4" t="s">
        <v>3553</v>
      </c>
      <c r="B2832" s="4" t="s">
        <v>3556</v>
      </c>
      <c r="C2832" s="5" t="str">
        <f>IFERROR(__xludf.DUMMYFUNCTION("GOOGLETRANSLATE(B2832,""en"",""zh-CN"")"),"首先，一组三个女孩在他这样做之前跳下，并创造了一大波浪。")</f>
        <v>首先，一组三个女孩在他这样做之前跳下，并创造了一大波浪。</v>
      </c>
    </row>
    <row r="2833">
      <c r="A2833" s="4" t="s">
        <v>3557</v>
      </c>
      <c r="B2833" s="4" t="s">
        <v>3558</v>
      </c>
      <c r="C2833" s="5" t="str">
        <f>IFERROR(__xludf.DUMMYFUNCTION("GOOGLETRANSLATE(B2833,""en"",""zh-CN"")"),"显示了咖啡杯的图片以及放松音乐的勺子。")</f>
        <v>显示了咖啡杯的图片以及放松音乐的勺子。</v>
      </c>
    </row>
    <row r="2834">
      <c r="A2834" s="4" t="s">
        <v>3557</v>
      </c>
      <c r="B2834" s="6" t="s">
        <v>3559</v>
      </c>
      <c r="C2834" s="5" t="str">
        <f>IFERROR(__xludf.DUMMYFUNCTION("GOOGLETRANSLATE(B2834,""en"",""zh-CN"")"),"显示了各种标题屏幕，最终出现了相同的咖啡杯照片，而柔和的音乐则在背景中播放。")</f>
        <v>显示了各种标题屏幕，最终出现了相同的咖啡杯照片，而柔和的音乐则在背景中播放。</v>
      </c>
    </row>
    <row r="2835">
      <c r="A2835" s="4" t="s">
        <v>3560</v>
      </c>
      <c r="B2835" s="4" t="s">
        <v>3561</v>
      </c>
      <c r="C2835" s="5" t="str">
        <f>IFERROR(__xludf.DUMMYFUNCTION("GOOGLETRANSLATE(B2835,""en"",""zh-CN"")"),"显示了剪辑的信用。")</f>
        <v>显示了剪辑的信用。</v>
      </c>
    </row>
    <row r="2836">
      <c r="A2836" s="4" t="s">
        <v>3560</v>
      </c>
      <c r="B2836" s="4" t="s">
        <v>3562</v>
      </c>
      <c r="C2836" s="5" t="str">
        <f>IFERROR(__xludf.DUMMYFUNCTION("GOOGLETRANSLATE(B2836,""en"",""zh-CN"")"),"一个人在水体上登机。")</f>
        <v>一个人在水体上登机。</v>
      </c>
    </row>
    <row r="2837">
      <c r="A2837" s="4" t="s">
        <v>3560</v>
      </c>
      <c r="B2837" s="4" t="s">
        <v>3563</v>
      </c>
      <c r="C2837" s="5" t="str">
        <f>IFERROR(__xludf.DUMMYFUNCTION("GOOGLETRANSLATE(B2837,""en"",""zh-CN"")"),"人们乘船互动。")</f>
        <v>人们乘船互动。</v>
      </c>
    </row>
    <row r="2838">
      <c r="A2838" s="4" t="s">
        <v>3560</v>
      </c>
      <c r="B2838" s="4" t="s">
        <v>3564</v>
      </c>
      <c r="C2838" s="5" t="str">
        <f>IFERROR(__xludf.DUMMYFUNCTION("GOOGLETRANSLATE(B2838,""en"",""zh-CN"")"),"音乐上的呼啦圈。")</f>
        <v>音乐上的呼啦圈。</v>
      </c>
    </row>
    <row r="2839">
      <c r="A2839" s="4" t="s">
        <v>3560</v>
      </c>
      <c r="B2839" s="4" t="s">
        <v>3565</v>
      </c>
      <c r="C2839" s="5" t="str">
        <f>IFERROR(__xludf.DUMMYFUNCTION("GOOGLETRANSLATE(B2839,""en"",""zh-CN"")"),"一名雄性从岩石跳入水域。")</f>
        <v>一名雄性从岩石跳入水域。</v>
      </c>
    </row>
    <row r="2840">
      <c r="A2840" s="4" t="s">
        <v>3560</v>
      </c>
      <c r="B2840" s="4" t="s">
        <v>3566</v>
      </c>
      <c r="C2840" s="5" t="str">
        <f>IFERROR(__xludf.DUMMYFUNCTION("GOOGLETRANSLATE(B2840,""en"",""zh-CN"")"),"人们在岸上，有些人在船上。")</f>
        <v>人们在岸上，有些人在船上。</v>
      </c>
    </row>
    <row r="2841">
      <c r="A2841" s="4" t="s">
        <v>3560</v>
      </c>
      <c r="B2841" s="4" t="s">
        <v>3567</v>
      </c>
      <c r="C2841" s="5" t="str">
        <f>IFERROR(__xludf.DUMMYFUNCTION("GOOGLETRANSLATE(B2841,""en"",""zh-CN"")"),"一个男人用水板跳了起来。")</f>
        <v>一个男人用水板跳了起来。</v>
      </c>
    </row>
    <row r="2842">
      <c r="A2842" s="4" t="s">
        <v>3560</v>
      </c>
      <c r="B2842" s="4" t="s">
        <v>3568</v>
      </c>
      <c r="C2842" s="5" t="str">
        <f>IFERROR(__xludf.DUMMYFUNCTION("GOOGLETRANSLATE(B2842,""en"",""zh-CN"")"),"一个人使用呼啦圈作为跳绳。")</f>
        <v>一个人使用呼啦圈作为跳绳。</v>
      </c>
    </row>
    <row r="2843">
      <c r="A2843" s="4" t="s">
        <v>3560</v>
      </c>
      <c r="B2843" s="4" t="s">
        <v>3569</v>
      </c>
      <c r="C2843" s="5" t="str">
        <f>IFERROR(__xludf.DUMMYFUNCTION("GOOGLETRANSLATE(B2843,""en"",""zh-CN"")"),"女人在社交功能中跳舞音乐。")</f>
        <v>女人在社交功能中跳舞音乐。</v>
      </c>
    </row>
    <row r="2844">
      <c r="A2844" s="4" t="s">
        <v>3560</v>
      </c>
      <c r="B2844" s="4" t="s">
        <v>3570</v>
      </c>
      <c r="C2844" s="5" t="str">
        <f>IFERROR(__xludf.DUMMYFUNCTION("GOOGLETRANSLATE(B2844,""en"",""zh-CN"")"),"个体在水体中。")</f>
        <v>个体在水体中。</v>
      </c>
    </row>
    <row r="2845">
      <c r="A2845" s="4" t="s">
        <v>3560</v>
      </c>
      <c r="B2845" s="4" t="s">
        <v>3571</v>
      </c>
      <c r="C2845" s="5" t="str">
        <f>IFERROR(__xludf.DUMMYFUNCTION("GOOGLETRANSLATE(B2845,""en"",""zh-CN"")"),"两个成年人在一个木制的空心缸中运行。")</f>
        <v>两个成年人在一个木制的空心缸中运行。</v>
      </c>
    </row>
    <row r="2846">
      <c r="A2846" s="4" t="s">
        <v>3560</v>
      </c>
      <c r="B2846" s="4" t="s">
        <v>3572</v>
      </c>
      <c r="C2846" s="5" t="str">
        <f>IFERROR(__xludf.DUMMYFUNCTION("GOOGLETRANSLATE(B2846,""en"",""zh-CN"")"),"一个人的后背从船上翻转。")</f>
        <v>一个人的后背从船上翻转。</v>
      </c>
    </row>
    <row r="2847">
      <c r="A2847" s="4" t="s">
        <v>3560</v>
      </c>
      <c r="B2847" s="4" t="s">
        <v>3573</v>
      </c>
      <c r="C2847" s="5" t="str">
        <f>IFERROR(__xludf.DUMMYFUNCTION("GOOGLETRANSLATE(B2847,""en"",""zh-CN"")"),"一名雌性站在草地上的水板上。")</f>
        <v>一名雌性站在草地上的水板上。</v>
      </c>
    </row>
    <row r="2848">
      <c r="A2848" s="4" t="s">
        <v>3560</v>
      </c>
      <c r="B2848" s="4" t="s">
        <v>3574</v>
      </c>
      <c r="C2848" s="5" t="str">
        <f>IFERROR(__xludf.DUMMYFUNCTION("GOOGLETRANSLATE(B2848,""en"",""zh-CN"")"),"人们跳下一艘充气的船。")</f>
        <v>人们跳下一艘充气的船。</v>
      </c>
    </row>
    <row r="2849">
      <c r="A2849" s="4" t="s">
        <v>3560</v>
      </c>
      <c r="B2849" s="4" t="s">
        <v>3575</v>
      </c>
      <c r="C2849" s="5" t="str">
        <f>IFERROR(__xludf.DUMMYFUNCTION("GOOGLETRANSLATE(B2849,""en"",""zh-CN"")"),"视频的积分显示了剪辑。")</f>
        <v>视频的积分显示了剪辑。</v>
      </c>
    </row>
    <row r="2850">
      <c r="A2850" s="4" t="s">
        <v>3576</v>
      </c>
      <c r="B2850" s="4" t="s">
        <v>3577</v>
      </c>
      <c r="C2850" s="5" t="str">
        <f>IFERROR(__xludf.DUMMYFUNCTION("GOOGLETRANSLATE(B2850,""en"",""zh-CN"")"),"一个年轻人在家里说话，然后他走到家里。")</f>
        <v>一个年轻人在家里说话，然后他走到家里。</v>
      </c>
    </row>
    <row r="2851">
      <c r="A2851" s="4" t="s">
        <v>3576</v>
      </c>
      <c r="B2851" s="4" t="s">
        <v>3578</v>
      </c>
      <c r="C2851" s="5" t="str">
        <f>IFERROR(__xludf.DUMMYFUNCTION("GOOGLETRANSLATE(B2851,""en"",""zh-CN"")"),"一个男人和一个青少年站在前面的游泳池里说话，一个人躺在椅子上。")</f>
        <v>一个男人和一个青少年站在前面的游泳池里说话，一个人躺在椅子上。</v>
      </c>
    </row>
    <row r="2852">
      <c r="A2852" s="4" t="s">
        <v>3576</v>
      </c>
      <c r="B2852" s="4" t="s">
        <v>3579</v>
      </c>
      <c r="C2852" s="5" t="str">
        <f>IFERROR(__xludf.DUMMYFUNCTION("GOOGLETRANSLATE(B2852,""en"",""zh-CN"")"),"然后，该男子将这名少年推到了很难游泳的水上。")</f>
        <v>然后，该男子将这名少年推到了很难游泳的水上。</v>
      </c>
    </row>
    <row r="2853">
      <c r="A2853" s="4" t="s">
        <v>3576</v>
      </c>
      <c r="B2853" s="4" t="s">
        <v>3580</v>
      </c>
      <c r="C2853" s="5" t="str">
        <f>IFERROR(__xludf.DUMMYFUNCTION("GOOGLETRANSLATE(B2853,""en"",""zh-CN"")"),"之后，该男子进入水中并翻转这个少年。")</f>
        <v>之后，该男子进入水中并翻转这个少年。</v>
      </c>
    </row>
    <row r="2854">
      <c r="A2854" s="4" t="s">
        <v>3576</v>
      </c>
      <c r="B2854" s="4" t="s">
        <v>3581</v>
      </c>
      <c r="C2854" s="5" t="str">
        <f>IFERROR(__xludf.DUMMYFUNCTION("GOOGLETRANSLATE(B2854,""en"",""zh-CN"")"),"这名少年拿出游泳池，向男人扔椅子。")</f>
        <v>这名少年拿出游泳池，向男人扔椅子。</v>
      </c>
    </row>
    <row r="2855">
      <c r="A2855" s="4" t="s">
        <v>3576</v>
      </c>
      <c r="B2855" s="4" t="s">
        <v>3582</v>
      </c>
      <c r="C2855" s="5" t="str">
        <f>IFERROR(__xludf.DUMMYFUNCTION("GOOGLETRANSLATE(B2855,""en"",""zh-CN"")"),"接下来，这名少年生气了，男人和女人把椅子拿出游泳池。")</f>
        <v>接下来，这名少年生气了，男人和女人把椅子拿出游泳池。</v>
      </c>
    </row>
    <row r="2856">
      <c r="A2856" s="4" t="s">
        <v>3583</v>
      </c>
      <c r="B2856" s="4" t="s">
        <v>3584</v>
      </c>
      <c r="C2856" s="5" t="str">
        <f>IFERROR(__xludf.DUMMYFUNCTION("GOOGLETRANSLATE(B2856,""en"",""zh-CN"")"),"几个人在溜冰的一部分互相铺面。")</f>
        <v>几个人在溜冰的一部分互相铺面。</v>
      </c>
    </row>
    <row r="2857">
      <c r="A2857" s="4" t="s">
        <v>3583</v>
      </c>
      <c r="B2857" s="4" t="s">
        <v>3585</v>
      </c>
      <c r="C2857" s="5" t="str">
        <f>IFERROR(__xludf.DUMMYFUNCTION("GOOGLETRANSLATE(B2857,""en"",""zh-CN"")"),"然后，人们搬到了风景秀丽的地方，并开始在整个城市滚动叶片。")</f>
        <v>然后，人们搬到了风景秀丽的地方，并开始在整个城市滚动叶片。</v>
      </c>
    </row>
    <row r="2858">
      <c r="A2858" s="4" t="s">
        <v>3583</v>
      </c>
      <c r="B2858" s="6" t="s">
        <v>3586</v>
      </c>
      <c r="C2858" s="5" t="str">
        <f>IFERROR(__xludf.DUMMYFUNCTION("GOOGLETRANSLATE(B2858,""en"",""zh-CN"")"),"越来越多的人开始滑冰，他们开始以小巷的方式进行坡道，并在滑板公园里捣蛋。")</f>
        <v>越来越多的人开始滑冰，他们开始以小巷的方式进行坡道，并在滑板公园里捣蛋。</v>
      </c>
    </row>
    <row r="2859">
      <c r="A2859" s="4" t="s">
        <v>3587</v>
      </c>
      <c r="B2859" s="4" t="s">
        <v>3588</v>
      </c>
      <c r="C2859" s="5" t="str">
        <f>IFERROR(__xludf.DUMMYFUNCTION("GOOGLETRANSLATE(B2859,""en"",""zh-CN"")"),"显示了各种海滩的镜头，后面是摄像机在波浪的几镜头上平移。")</f>
        <v>显示了各种海滩的镜头，后面是摄像机在波浪的几镜头上平移。</v>
      </c>
    </row>
    <row r="2860">
      <c r="A2860" s="4" t="s">
        <v>3587</v>
      </c>
      <c r="B2860" s="4" t="s">
        <v>3589</v>
      </c>
      <c r="C2860" s="5" t="str">
        <f>IFERROR(__xludf.DUMMYFUNCTION("GOOGLETRANSLATE(B2860,""en"",""zh-CN"")"),"然后看到一个人通过相机中的各种镜头骑冲浪板。")</f>
        <v>然后看到一个人通过相机中的各种镜头骑冲浪板。</v>
      </c>
    </row>
    <row r="2861">
      <c r="A2861" s="4" t="s">
        <v>3587</v>
      </c>
      <c r="B2861" s="6" t="s">
        <v>3590</v>
      </c>
      <c r="C2861" s="5" t="str">
        <f>IFERROR(__xludf.DUMMYFUNCTION("GOOGLETRANSLATE(B2861,""en"",""zh-CN"")"),"当另一个人在董事会上坠毁几次时，人们会向相机说话。")</f>
        <v>当另一个人在董事会上坠毁几次时，人们会向相机说话。</v>
      </c>
    </row>
    <row r="2862">
      <c r="A2862" s="4" t="s">
        <v>3587</v>
      </c>
      <c r="B2862" s="4" t="s">
        <v>3591</v>
      </c>
      <c r="C2862" s="5" t="str">
        <f>IFERROR(__xludf.DUMMYFUNCTION("GOOGLETRANSLATE(B2862,""en"",""zh-CN"")"),"随着越来越多的冲浪者继续骑着海浪，人们看到越来越多的人走下去。")</f>
        <v>随着越来越多的冲浪者继续骑着海浪，人们看到越来越多的人走下去。</v>
      </c>
    </row>
    <row r="2863">
      <c r="A2863" s="4" t="s">
        <v>3592</v>
      </c>
      <c r="B2863" s="4" t="s">
        <v>3593</v>
      </c>
      <c r="C2863" s="5" t="str">
        <f>IFERROR(__xludf.DUMMYFUNCTION("GOOGLETRANSLATE(B2863,""en"",""zh-CN"")"),"一个女人在她旁边的女人用塑料梳子梳理头发时将婴儿抱在腿上。")</f>
        <v>一个女人在她旁边的女人用塑料梳子梳理头发时将婴儿抱在腿上。</v>
      </c>
    </row>
    <row r="2864">
      <c r="A2864" s="4" t="s">
        <v>3592</v>
      </c>
      <c r="B2864" s="4" t="s">
        <v>3594</v>
      </c>
      <c r="C2864" s="5" t="str">
        <f>IFERROR(__xludf.DUMMYFUNCTION("GOOGLETRANSLATE(B2864,""en"",""zh-CN"")"),"她在刷牙时与婴儿说话，婴儿专心地看着她。")</f>
        <v>她在刷牙时与婴儿说话，婴儿专心地看着她。</v>
      </c>
    </row>
    <row r="2865">
      <c r="A2865" s="4" t="s">
        <v>3595</v>
      </c>
      <c r="B2865" s="4" t="s">
        <v>3596</v>
      </c>
      <c r="C2865" s="5" t="str">
        <f>IFERROR(__xludf.DUMMYFUNCTION("GOOGLETRANSLATE(B2865,""en"",""zh-CN"")"),"一个男人将一个女孩抬起头，然后越过他的肩膀。")</f>
        <v>一个男人将一个女孩抬起头，然后越过他的肩膀。</v>
      </c>
    </row>
    <row r="2866">
      <c r="A2866" s="4" t="s">
        <v>3595</v>
      </c>
      <c r="B2866" s="4" t="s">
        <v>3597</v>
      </c>
      <c r="C2866" s="5" t="str">
        <f>IFERROR(__xludf.DUMMYFUNCTION("GOOGLETRANSLATE(B2866,""en"",""zh-CN"")"),"他站在她的手上，将她在空中与其他手表保持平衡。")</f>
        <v>他站在她的手上，将她在空中与其他手表保持平衡。</v>
      </c>
    </row>
    <row r="2867">
      <c r="A2867" s="4" t="s">
        <v>3595</v>
      </c>
      <c r="B2867" s="4" t="s">
        <v>3598</v>
      </c>
      <c r="C2867" s="5" t="str">
        <f>IFERROR(__xludf.DUMMYFUNCTION("GOOGLETRANSLATE(B2867,""en"",""zh-CN"")"),"他掉下来，然后再次举起她。")</f>
        <v>他掉下来，然后再次举起她。</v>
      </c>
    </row>
    <row r="2868">
      <c r="A2868" s="4" t="s">
        <v>3599</v>
      </c>
      <c r="B2868" s="4" t="s">
        <v>3600</v>
      </c>
      <c r="C2868" s="5" t="str">
        <f>IFERROR(__xludf.DUMMYFUNCTION("GOOGLETRANSLATE(B2868,""en"",""zh-CN"")"),"一个膝盖的男人在草坪的表面上运行一个小草刀。")</f>
        <v>一个膝盖的男人在草坪的表面上运行一个小草刀。</v>
      </c>
    </row>
    <row r="2869">
      <c r="A2869" s="4" t="s">
        <v>3599</v>
      </c>
      <c r="B2869" s="4" t="s">
        <v>3601</v>
      </c>
      <c r="C2869" s="5" t="str">
        <f>IFERROR(__xludf.DUMMYFUNCTION("GOOGLETRANSLATE(B2869,""en"",""zh-CN"")"),"那个男人割草了阴影的绿草。")</f>
        <v>那个男人割草了阴影的绿草。</v>
      </c>
    </row>
    <row r="2870">
      <c r="A2870" s="4" t="s">
        <v>3599</v>
      </c>
      <c r="B2870" s="4" t="s">
        <v>3602</v>
      </c>
      <c r="C2870" s="5" t="str">
        <f>IFERROR(__xludf.DUMMYFUNCTION("GOOGLETRANSLATE(B2870,""en"",""zh-CN"")"),"那个男人割草了太阳。")</f>
        <v>那个男人割草了太阳。</v>
      </c>
    </row>
    <row r="2871">
      <c r="A2871" s="4" t="s">
        <v>3603</v>
      </c>
      <c r="B2871" s="4" t="s">
        <v>3604</v>
      </c>
      <c r="C2871" s="5" t="str">
        <f>IFERROR(__xludf.DUMMYFUNCTION("GOOGLETRANSLATE(B2871,""en"",""zh-CN"")"),"我们看到标题屏幕飞起来。")</f>
        <v>我们看到标题屏幕飞起来。</v>
      </c>
    </row>
    <row r="2872">
      <c r="A2872" s="4" t="s">
        <v>3603</v>
      </c>
      <c r="B2872" s="4" t="s">
        <v>3605</v>
      </c>
      <c r="C2872" s="5" t="str">
        <f>IFERROR(__xludf.DUMMYFUNCTION("GOOGLETRANSLATE(B2872,""en"",""zh-CN"")"),"公牛在场上用完了。")</f>
        <v>公牛在场上用完了。</v>
      </c>
    </row>
    <row r="2873">
      <c r="A2873" s="4" t="s">
        <v>3603</v>
      </c>
      <c r="B2873" s="4" t="s">
        <v>3606</v>
      </c>
      <c r="C2873" s="5" t="str">
        <f>IFERROR(__xludf.DUMMYFUNCTION("GOOGLETRANSLATE(B2873,""en"",""zh-CN"")"),"公牛撞了斗牛士站着的墙壁。")</f>
        <v>公牛撞了斗牛士站着的墙壁。</v>
      </c>
    </row>
    <row r="2874">
      <c r="A2874" s="4" t="s">
        <v>3603</v>
      </c>
      <c r="B2874" s="4" t="s">
        <v>3607</v>
      </c>
      <c r="C2874" s="5" t="str">
        <f>IFERROR(__xludf.DUMMYFUNCTION("GOOGLETRANSLATE(B2874,""en"",""zh-CN"")"),"斗牛士用红布戏弄公牛。")</f>
        <v>斗牛士用红布戏弄公牛。</v>
      </c>
    </row>
    <row r="2875">
      <c r="A2875" s="4" t="s">
        <v>3603</v>
      </c>
      <c r="B2875" s="4" t="s">
        <v>3608</v>
      </c>
      <c r="C2875" s="5" t="str">
        <f>IFERROR(__xludf.DUMMYFUNCTION("GOOGLETRANSLATE(B2875,""en"",""zh-CN"")"),"我们看到结尾屏幕。")</f>
        <v>我们看到结尾屏幕。</v>
      </c>
    </row>
    <row r="2876">
      <c r="A2876" s="4" t="s">
        <v>3609</v>
      </c>
      <c r="B2876" s="4" t="s">
        <v>3610</v>
      </c>
      <c r="C2876" s="5" t="str">
        <f>IFERROR(__xludf.DUMMYFUNCTION("GOOGLETRANSLATE(B2876,""en"",""zh-CN"")"),"看到一个人沿着大型法院移动，然后是其他人在他旁边走来走去。")</f>
        <v>看到一个人沿着大型法院移动，然后是其他人在他旁边走来走去。</v>
      </c>
    </row>
    <row r="2877">
      <c r="A2877" s="4" t="s">
        <v>3609</v>
      </c>
      <c r="B2877" s="4" t="s">
        <v>3611</v>
      </c>
      <c r="C2877" s="5" t="str">
        <f>IFERROR(__xludf.DUMMYFUNCTION("GOOGLETRANSLATE(B2877,""en"",""zh-CN"")"),"看到几个人在球场上上下奔跑，而另一些人则在一边看。")</f>
        <v>看到几个人在球场上上下奔跑，而另一些人则在一边看。</v>
      </c>
    </row>
    <row r="2878">
      <c r="A2878" s="4" t="s">
        <v>3609</v>
      </c>
      <c r="B2878" s="4" t="s">
        <v>3612</v>
      </c>
      <c r="C2878" s="5" t="str">
        <f>IFERROR(__xludf.DUMMYFUNCTION("GOOGLETRANSLATE(B2878,""en"",""zh-CN"")"),"人们继续四处走动，而其他人则看着他们进行演习。")</f>
        <v>人们继续四处走动，而其他人则看着他们进行演习。</v>
      </c>
    </row>
    <row r="2879">
      <c r="A2879" s="4" t="s">
        <v>3613</v>
      </c>
      <c r="B2879" s="4" t="s">
        <v>3614</v>
      </c>
      <c r="C2879" s="5" t="str">
        <f>IFERROR(__xludf.DUMMYFUNCTION("GOOGLETRANSLATE(B2879,""en"",""zh-CN"")"),"一个人正在将沙拉放入一个透明的碗中。")</f>
        <v>一个人正在将沙拉放入一个透明的碗中。</v>
      </c>
    </row>
    <row r="2880">
      <c r="A2880" s="4" t="s">
        <v>3613</v>
      </c>
      <c r="B2880" s="4" t="s">
        <v>3615</v>
      </c>
      <c r="C2880" s="5" t="str">
        <f>IFERROR(__xludf.DUMMYFUNCTION("GOOGLETRANSLATE(B2880,""en"",""zh-CN"")"),"他们从一堆拿起橙胡椒粉。")</f>
        <v>他们从一堆拿起橙胡椒粉。</v>
      </c>
    </row>
    <row r="2881">
      <c r="A2881" s="4" t="s">
        <v>3613</v>
      </c>
      <c r="B2881" s="4" t="s">
        <v>3616</v>
      </c>
      <c r="C2881" s="5" t="str">
        <f>IFERROR(__xludf.DUMMYFUNCTION("GOOGLETRANSLATE(B2881,""en"",""zh-CN"")"),"他们将胡椒粉切成两半。")</f>
        <v>他们将胡椒粉切成两半。</v>
      </c>
    </row>
    <row r="2882">
      <c r="A2882" s="4" t="s">
        <v>3617</v>
      </c>
      <c r="B2882" s="4" t="s">
        <v>3618</v>
      </c>
      <c r="C2882" s="5" t="str">
        <f>IFERROR(__xludf.DUMMYFUNCTION("GOOGLETRANSLATE(B2882,""en"",""zh-CN"")"),"显示一个女人在相机上说话，并指向远处。")</f>
        <v>显示一个女人在相机上说话，并指向远处。</v>
      </c>
    </row>
    <row r="2883">
      <c r="A2883" s="4" t="s">
        <v>3617</v>
      </c>
      <c r="B2883" s="4" t="s">
        <v>3619</v>
      </c>
      <c r="C2883" s="5" t="str">
        <f>IFERROR(__xludf.DUMMYFUNCTION("GOOGLETRANSLATE(B2883,""en"",""zh-CN"")"),"摄像头倒入另一个站在球场上的男子，并显示了两个篮球。")</f>
        <v>摄像头倒入另一个站在球场上的男子，并显示了两个篮球。</v>
      </c>
    </row>
    <row r="2884">
      <c r="A2884" s="4" t="s">
        <v>3617</v>
      </c>
      <c r="B2884" s="4" t="s">
        <v>3620</v>
      </c>
      <c r="C2884" s="5" t="str">
        <f>IFERROR(__xludf.DUMMYFUNCTION("GOOGLETRANSLATE(B2884,""en"",""zh-CN"")"),"然后，男人和女人用球射击篮球，向后和第四次互相传递。")</f>
        <v>然后，男人和女人用球射击篮球，向后和第四次互相传递。</v>
      </c>
    </row>
    <row r="2885">
      <c r="A2885" s="4" t="s">
        <v>3621</v>
      </c>
      <c r="B2885" s="4" t="s">
        <v>3622</v>
      </c>
      <c r="C2885" s="5" t="str">
        <f>IFERROR(__xludf.DUMMYFUNCTION("GOOGLETRANSLATE(B2885,""en"",""zh-CN"")"),"一个女人坐在她的小沙发上，想着饼干。")</f>
        <v>一个女人坐在她的小沙发上，想着饼干。</v>
      </c>
    </row>
    <row r="2886">
      <c r="A2886" s="4" t="s">
        <v>3621</v>
      </c>
      <c r="B2886" s="6" t="s">
        <v>3623</v>
      </c>
      <c r="C2886" s="5" t="str">
        <f>IFERROR(__xludf.DUMMYFUNCTION("GOOGLETRANSLATE(B2886,""en"",""zh-CN"")"),"您被告知制作一批美味饼干所需的所有成分以及制造它们所需的设备。")</f>
        <v>您被告知制作一批美味饼干所需的所有成分以及制造它们所需的设备。</v>
      </c>
    </row>
    <row r="2887">
      <c r="A2887" s="4" t="s">
        <v>3621</v>
      </c>
      <c r="B2887" s="4" t="s">
        <v>3624</v>
      </c>
      <c r="C2887" s="5" t="str">
        <f>IFERROR(__xludf.DUMMYFUNCTION("GOOGLETRANSLATE(B2887,""en"",""zh-CN"")"),"她去厨房，打开烤箱，开始在KitchenAid中混合食材。")</f>
        <v>她去厨房，打开烤箱，开始在KitchenAid中混合食材。</v>
      </c>
    </row>
    <row r="2888">
      <c r="A2888" s="4" t="s">
        <v>3621</v>
      </c>
      <c r="B2888" s="6" t="s">
        <v>3625</v>
      </c>
      <c r="C2888" s="5" t="str">
        <f>IFERROR(__xludf.DUMMYFUNCTION("GOOGLETRANSLATE(B2888,""en"",""zh-CN"")"),"一旦混合在一起，她将饼干放在烤箱中，当它们完成后，她带着泰迪熊返回沙发，嚼着。")</f>
        <v>一旦混合在一起，她将饼干放在烤箱中，当它们完成后，她带着泰迪熊返回沙发，嚼着。</v>
      </c>
    </row>
    <row r="2889">
      <c r="A2889" s="4" t="s">
        <v>3626</v>
      </c>
      <c r="B2889" s="4" t="s">
        <v>3627</v>
      </c>
      <c r="C2889" s="5" t="str">
        <f>IFERROR(__xludf.DUMMYFUNCTION("GOOGLETRANSLATE(B2889,""en"",""zh-CN"")"),"可以看到一个巨大的游泳池。")</f>
        <v>可以看到一个巨大的游泳池。</v>
      </c>
    </row>
    <row r="2890">
      <c r="A2890" s="4" t="s">
        <v>3626</v>
      </c>
      <c r="B2890" s="4" t="s">
        <v>3628</v>
      </c>
      <c r="C2890" s="5" t="str">
        <f>IFERROR(__xludf.DUMMYFUNCTION("GOOGLETRANSLATE(B2890,""en"",""zh-CN"")"),"它延伸了很长的距离，人们在水中使用船只和筏子。")</f>
        <v>它延伸了很长的距离，人们在水中使用船只和筏子。</v>
      </c>
    </row>
    <row r="2891">
      <c r="A2891" s="4" t="s">
        <v>3626</v>
      </c>
      <c r="B2891" s="4" t="s">
        <v>3629</v>
      </c>
      <c r="C2891" s="5" t="str">
        <f>IFERROR(__xludf.DUMMYFUNCTION("GOOGLETRANSLATE(B2891,""en"",""zh-CN"")"),"它是一个广泛的水上乐园，位于印度尼西亚。")</f>
        <v>它是一个广泛的水上乐园，位于印度尼西亚。</v>
      </c>
    </row>
    <row r="2892">
      <c r="A2892" s="4" t="s">
        <v>3626</v>
      </c>
      <c r="B2892" s="4" t="s">
        <v>3630</v>
      </c>
      <c r="C2892" s="5" t="str">
        <f>IFERROR(__xludf.DUMMYFUNCTION("GOOGLETRANSLATE(B2892,""en"",""zh-CN"")"),"人们在晴朗的蓝色水域中显示滑雪。")</f>
        <v>人们在晴朗的蓝色水域中显示滑雪。</v>
      </c>
    </row>
    <row r="2893">
      <c r="A2893" s="4" t="s">
        <v>3631</v>
      </c>
      <c r="B2893" s="4" t="s">
        <v>3632</v>
      </c>
      <c r="C2893" s="5" t="str">
        <f>IFERROR(__xludf.DUMMYFUNCTION("GOOGLETRANSLATE(B2893,""en"",""zh-CN"")"),"简介导致几个较旧的奥运会表演者表演令人难以置信的行为。")</f>
        <v>简介导致几个较旧的奥运会表演者表演令人难以置信的行为。</v>
      </c>
    </row>
    <row r="2894">
      <c r="A2894" s="4" t="s">
        <v>3631</v>
      </c>
      <c r="B2894" s="6" t="s">
        <v>3633</v>
      </c>
      <c r="C2894" s="5" t="str">
        <f>IFERROR(__xludf.DUMMYFUNCTION("GOOGLETRANSLATE(B2894,""en"",""zh-CN"")"),"看到一群人游泳，而数百人欢呼，许多人看着相机并微笑。")</f>
        <v>看到一群人游泳，而数百人欢呼，许多人看着相机并微笑。</v>
      </c>
    </row>
    <row r="2895">
      <c r="A2895" s="4" t="s">
        <v>3631</v>
      </c>
      <c r="B2895" s="6" t="s">
        <v>3634</v>
      </c>
      <c r="C2895" s="5" t="str">
        <f>IFERROR(__xludf.DUMMYFUNCTION("GOOGLETRANSLATE(B2895,""en"",""zh-CN"")"),"另一个男人握手运动员的手，他挥舞着挥舞着他人的手和鼓掌。")</f>
        <v>另一个男人握手运动员的手，他挥舞着挥舞着他人的手和鼓掌。</v>
      </c>
    </row>
    <row r="2896">
      <c r="A2896" s="4" t="s">
        <v>3635</v>
      </c>
      <c r="B2896" s="6" t="s">
        <v>3636</v>
      </c>
      <c r="C2896" s="5" t="str">
        <f>IFERROR(__xludf.DUMMYFUNCTION("GOOGLETRANSLATE(B2896,""en"",""zh-CN"")"),"一个女人坐在沙发上，将橙色和黑白猫的前后爪子夹在她的腿上。")</f>
        <v>一个女人坐在沙发上，将橙色和黑白猫的前后爪子夹在她的腿上。</v>
      </c>
    </row>
    <row r="2897">
      <c r="A2897" s="4" t="s">
        <v>3635</v>
      </c>
      <c r="B2897" s="4" t="s">
        <v>3637</v>
      </c>
      <c r="C2897" s="5" t="str">
        <f>IFERROR(__xludf.DUMMYFUNCTION("GOOGLETRANSLATE(B2897,""en"",""zh-CN"")"),"一只橙色猫站在沙发上，嗅着垫子。")</f>
        <v>一只橙色猫站在沙发上，嗅着垫子。</v>
      </c>
    </row>
    <row r="2898">
      <c r="A2898" s="4" t="s">
        <v>3635</v>
      </c>
      <c r="B2898" s="6" t="s">
        <v>3638</v>
      </c>
      <c r="C2898" s="5" t="str">
        <f>IFERROR(__xludf.DUMMYFUNCTION("GOOGLETRANSLATE(B2898,""en"",""zh-CN"")"),"一个女人坐在沙发上，把橙色的猫放在她的腿上，开始夹住猫的前爪。")</f>
        <v>一个女人坐在沙发上，把橙色的猫放在她的腿上，开始夹住猫的前爪。</v>
      </c>
    </row>
    <row r="2899">
      <c r="A2899" s="4" t="s">
        <v>3635</v>
      </c>
      <c r="B2899" s="6" t="s">
        <v>3639</v>
      </c>
      <c r="C2899" s="5" t="str">
        <f>IFERROR(__xludf.DUMMYFUNCTION("GOOGLETRANSLATE(B2899,""en"",""zh-CN"")"),"那个女人把橙色的猫放下了，捡起一只黑白猫，她与她的前爪和黑色爪子进行了相同的剪裁，之后，黑白猫从沙发上逃走了。")</f>
        <v>那个女人把橙色的猫放下了，捡起一只黑白猫，她与她的前爪和黑色爪子进行了相同的剪裁，之后，黑白猫从沙发上逃走了。</v>
      </c>
    </row>
    <row r="2900">
      <c r="A2900" s="4" t="s">
        <v>3640</v>
      </c>
      <c r="B2900" s="6" t="s">
        <v>3641</v>
      </c>
      <c r="C2900" s="5" t="str">
        <f>IFERROR(__xludf.DUMMYFUNCTION("GOOGLETRANSLATE(B2900,""en"",""zh-CN"")"),"各种各样的图片显示了一个地区的人们以及骑着骆驼骑行的人。")</f>
        <v>各种各样的图片显示了一个地区的人们以及骑着骆驼骑行的人。</v>
      </c>
    </row>
    <row r="2901">
      <c r="A2901" s="4" t="s">
        <v>3640</v>
      </c>
      <c r="B2901" s="6" t="s">
        <v>3642</v>
      </c>
      <c r="C2901" s="5" t="str">
        <f>IFERROR(__xludf.DUMMYFUNCTION("GOOGLETRANSLATE(B2901,""en"",""zh-CN"")"),"人们继续在骆驼上骑行，一个人将他们带到前面，相机捕捉了更多人。")</f>
        <v>人们继续在骆驼上骑行，一个人将他们带到前面，相机捕捉了更多人。</v>
      </c>
    </row>
    <row r="2902">
      <c r="A2902" s="4" t="s">
        <v>3640</v>
      </c>
      <c r="B2902" s="6" t="s">
        <v>3643</v>
      </c>
      <c r="C2902" s="5" t="str">
        <f>IFERROR(__xludf.DUMMYFUNCTION("GOOGLETRANSLATE(B2902,""en"",""zh-CN"")"),"最后，看到骆驼互相徘徊，每个人都站在一起的照片。")</f>
        <v>最后，看到骆驼互相徘徊，每个人都站在一起的照片。</v>
      </c>
    </row>
    <row r="2903">
      <c r="A2903" s="4" t="s">
        <v>3644</v>
      </c>
      <c r="B2903" s="4" t="s">
        <v>3645</v>
      </c>
      <c r="C2903" s="5" t="str">
        <f>IFERROR(__xludf.DUMMYFUNCTION("GOOGLETRANSLATE(B2903,""en"",""zh-CN"")"),"看到一个男人在相机上说话，指着桌子并铺设卡片。")</f>
        <v>看到一个男人在相机上说话，指着桌子并铺设卡片。</v>
      </c>
    </row>
    <row r="2904">
      <c r="A2904" s="4" t="s">
        <v>3644</v>
      </c>
      <c r="B2904" s="6" t="s">
        <v>3646</v>
      </c>
      <c r="C2904" s="5" t="str">
        <f>IFERROR(__xludf.DUMMYFUNCTION("GOOGLETRANSLATE(B2904,""en"",""zh-CN"")"),"然后，他在仍在与相机交谈的同时，在移动卡片和骰子的同时，进行了一场黑插孔游戏。")</f>
        <v>然后，他在仍在与相机交谈的同时，在移动卡片和骰子的同时，进行了一场黑插孔游戏。</v>
      </c>
    </row>
    <row r="2905">
      <c r="A2905" s="4" t="s">
        <v>3647</v>
      </c>
      <c r="B2905" s="4" t="s">
        <v>3648</v>
      </c>
      <c r="C2905" s="5" t="str">
        <f>IFERROR(__xludf.DUMMYFUNCTION("GOOGLETRANSLATE(B2905,""en"",""zh-CN"")"),"一个女人说话时如何用蒸汽机清洁衬衫。")</f>
        <v>一个女人说话时如何用蒸汽机清洁衬衫。</v>
      </c>
    </row>
    <row r="2906">
      <c r="A2906" s="4" t="s">
        <v>3647</v>
      </c>
      <c r="B2906" s="4" t="s">
        <v>3649</v>
      </c>
      <c r="C2906" s="5" t="str">
        <f>IFERROR(__xludf.DUMMYFUNCTION("GOOGLETRANSLATE(B2906,""en"",""zh-CN"")"),"女人完成清洁衬衫并将其从衣架上取出并放在铁板上。")</f>
        <v>女人完成清洁衬衫并将其从衣架上取出并放在铁板上。</v>
      </c>
    </row>
    <row r="2907">
      <c r="A2907" s="4" t="s">
        <v>3647</v>
      </c>
      <c r="B2907" s="4" t="s">
        <v>3650</v>
      </c>
      <c r="C2907" s="5" t="str">
        <f>IFERROR(__xludf.DUMMYFUNCTION("GOOGLETRANSLATE(B2907,""en"",""zh-CN"")"),"之后，该名女士展示一个容器，然后在蒸汽机上插入并在交谈时展示。")</f>
        <v>之后，该名女士展示一个容器，然后在蒸汽机上插入并在交谈时展示。</v>
      </c>
    </row>
    <row r="2908">
      <c r="A2908" s="4" t="s">
        <v>3651</v>
      </c>
      <c r="B2908" s="4" t="s">
        <v>3652</v>
      </c>
      <c r="C2908" s="5" t="str">
        <f>IFERROR(__xludf.DUMMYFUNCTION("GOOGLETRANSLATE(B2908,""en"",""zh-CN"")"),"一个人是喷漆杆，它们被录制在一起。")</f>
        <v>一个人是喷漆杆，它们被录制在一起。</v>
      </c>
    </row>
    <row r="2909">
      <c r="A2909" s="4" t="s">
        <v>3651</v>
      </c>
      <c r="B2909" s="4" t="s">
        <v>3653</v>
      </c>
      <c r="C2909" s="5" t="str">
        <f>IFERROR(__xludf.DUMMYFUNCTION("GOOGLETRANSLATE(B2909,""en"",""zh-CN"")"),"他们在酒吧上贴上了单词贴纸。")</f>
        <v>他们在酒吧上贴上了单词贴纸。</v>
      </c>
    </row>
    <row r="2910">
      <c r="A2910" s="4" t="s">
        <v>3654</v>
      </c>
      <c r="B2910" s="4" t="s">
        <v>3655</v>
      </c>
      <c r="C2910" s="5" t="str">
        <f>IFERROR(__xludf.DUMMYFUNCTION("GOOGLETRANSLATE(B2910,""en"",""zh-CN"")"),"一个男人看着自行车时正在说话。")</f>
        <v>一个男人看着自行车时正在说话。</v>
      </c>
    </row>
    <row r="2911">
      <c r="A2911" s="4" t="s">
        <v>3654</v>
      </c>
      <c r="B2911" s="4" t="s">
        <v>3656</v>
      </c>
      <c r="C2911" s="5" t="str">
        <f>IFERROR(__xludf.DUMMYFUNCTION("GOOGLETRANSLATE(B2911,""en"",""zh-CN"")"),"他将速度控制工具放在自行车的车把上。")</f>
        <v>他将速度控制工具放在自行车的车把上。</v>
      </c>
    </row>
    <row r="2912">
      <c r="A2912" s="4" t="s">
        <v>3654</v>
      </c>
      <c r="B2912" s="4" t="s">
        <v>3657</v>
      </c>
      <c r="C2912" s="5" t="str">
        <f>IFERROR(__xludf.DUMMYFUNCTION("GOOGLETRANSLATE(B2912,""en"",""zh-CN"")"),"他继续讲话，直到他拥有酒吧。")</f>
        <v>他继续讲话，直到他拥有酒吧。</v>
      </c>
    </row>
    <row r="2913">
      <c r="A2913" s="4" t="s">
        <v>3658</v>
      </c>
      <c r="B2913" s="4" t="s">
        <v>3659</v>
      </c>
      <c r="C2913" s="5" t="str">
        <f>IFERROR(__xludf.DUMMYFUNCTION("GOOGLETRANSLATE(B2913,""en"",""zh-CN"")"),"看到一个男人坐在凳子上，一边将吉他夹在手中。")</f>
        <v>看到一个男人坐在凳子上，一边将吉他夹在手中。</v>
      </c>
    </row>
    <row r="2914">
      <c r="A2914" s="4" t="s">
        <v>3658</v>
      </c>
      <c r="B2914" s="4" t="s">
        <v>3660</v>
      </c>
      <c r="C2914" s="5" t="str">
        <f>IFERROR(__xludf.DUMMYFUNCTION("GOOGLETRANSLATE(B2914,""en"",""zh-CN"")"),"当男人继续讲话时，摄像机紧紧抓住吉他。")</f>
        <v>当男人继续讲话时，摄像机紧紧抓住吉他。</v>
      </c>
    </row>
    <row r="2915">
      <c r="A2915" s="4" t="s">
        <v>3658</v>
      </c>
      <c r="B2915" s="4" t="s">
        <v>3661</v>
      </c>
      <c r="C2915" s="5" t="str">
        <f>IFERROR(__xludf.DUMMYFUNCTION("GOOGLETRANSLATE(B2915,""en"",""zh-CN"")"),"然后，该男子弹奏吉他，将手在脖子上移动。")</f>
        <v>然后，该男子弹奏吉他，将手在脖子上移动。</v>
      </c>
    </row>
    <row r="2916">
      <c r="A2916" s="4" t="s">
        <v>3662</v>
      </c>
      <c r="B2916" s="4" t="s">
        <v>3663</v>
      </c>
      <c r="C2916" s="5" t="str">
        <f>IFERROR(__xludf.DUMMYFUNCTION("GOOGLETRANSLATE(B2916,""en"",""zh-CN"")"),"看到一个人在慢动作上骑马骑着马，而其他人则看着。")</f>
        <v>看到一个人在慢动作上骑马骑着马，而其他人则看着。</v>
      </c>
    </row>
    <row r="2917">
      <c r="A2917" s="4" t="s">
        <v>3662</v>
      </c>
      <c r="B2917" s="6" t="s">
        <v>3664</v>
      </c>
      <c r="C2917" s="5" t="str">
        <f>IFERROR(__xludf.DUMMYFUNCTION("GOOGLETRANSLATE(B2917,""en"",""zh-CN"")"),"随着越来越多的人跳过障碍，一个人对镜头说话，该视频的移动更快。")</f>
        <v>随着越来越多的人跳过障碍，一个人对镜头说话，该视频的移动更快。</v>
      </c>
    </row>
    <row r="2918">
      <c r="A2918" s="4" t="s">
        <v>3662</v>
      </c>
      <c r="B2918" s="6" t="s">
        <v>3665</v>
      </c>
      <c r="C2918" s="5" t="str">
        <f>IFERROR(__xludf.DUMMYFUNCTION("GOOGLETRANSLATE(B2918,""en"",""zh-CN"")"),"还显示了更多的剪辑，这些剪辑显示了骑马的人以及介于两者之间的图片和更多的马匹。")</f>
        <v>还显示了更多的剪辑，这些剪辑显示了骑马的人以及介于两者之间的图片和更多的马匹。</v>
      </c>
    </row>
    <row r="2919">
      <c r="A2919" s="4" t="s">
        <v>3666</v>
      </c>
      <c r="B2919" s="4" t="s">
        <v>3667</v>
      </c>
      <c r="C2919" s="5" t="str">
        <f>IFERROR(__xludf.DUMMYFUNCTION("GOOGLETRANSLATE(B2919,""en"",""zh-CN"")"),"一位女士在户外法庭上略微弯腰。")</f>
        <v>一位女士在户外法庭上略微弯腰。</v>
      </c>
    </row>
    <row r="2920">
      <c r="A2920" s="4" t="s">
        <v>3666</v>
      </c>
      <c r="B2920" s="4" t="s">
        <v>3668</v>
      </c>
      <c r="C2920" s="5" t="str">
        <f>IFERROR(__xludf.DUMMYFUNCTION("GOOGLETRANSLATE(B2920,""en"",""zh-CN"")"),"那位女士崛起。")</f>
        <v>那位女士崛起。</v>
      </c>
    </row>
    <row r="2921">
      <c r="A2921" s="4" t="s">
        <v>3666</v>
      </c>
      <c r="B2921" s="4" t="s">
        <v>3669</v>
      </c>
      <c r="C2921" s="5" t="str">
        <f>IFERROR(__xludf.DUMMYFUNCTION("GOOGLETRANSLATE(B2921,""en"",""zh-CN"")"),"那位女士从脖子上释放了她的手。")</f>
        <v>那位女士从脖子上释放了她的手。</v>
      </c>
    </row>
    <row r="2922">
      <c r="A2922" s="4" t="s">
        <v>3670</v>
      </c>
      <c r="B2922" s="4" t="s">
        <v>3671</v>
      </c>
      <c r="C2922" s="5" t="str">
        <f>IFERROR(__xludf.DUMMYFUNCTION("GOOGLETRANSLATE(B2922,""en"",""zh-CN"")"),"看到一个男人在游泳池里游泳，同时将球传给狗的回去和第四。")</f>
        <v>看到一个男人在游泳池里游泳，同时将球传给狗的回去和第四。</v>
      </c>
    </row>
    <row r="2923">
      <c r="A2923" s="4" t="s">
        <v>3670</v>
      </c>
      <c r="B2923" s="4" t="s">
        <v>3672</v>
      </c>
      <c r="C2923" s="5" t="str">
        <f>IFERROR(__xludf.DUMMYFUNCTION("GOOGLETRANSLATE(B2923,""en"",""zh-CN"")"),"该男子继续传球，而狗则直接向后击球。")</f>
        <v>该男子继续传球，而狗则直接向后击球。</v>
      </c>
    </row>
    <row r="2924">
      <c r="A2924" s="4" t="s">
        <v>3673</v>
      </c>
      <c r="B2924" s="4" t="s">
        <v>3674</v>
      </c>
      <c r="C2924" s="5" t="str">
        <f>IFERROR(__xludf.DUMMYFUNCTION("GOOGLETRANSLATE(B2924,""en"",""zh-CN"")"),"显示了男人头发的各种静止图像。")</f>
        <v>显示了男人头发的各种静止图像。</v>
      </c>
    </row>
    <row r="2925">
      <c r="A2925" s="4" t="s">
        <v>3673</v>
      </c>
      <c r="B2925" s="4" t="s">
        <v>3675</v>
      </c>
      <c r="C2925" s="5" t="str">
        <f>IFERROR(__xludf.DUMMYFUNCTION("GOOGLETRANSLATE(B2925,""en"",""zh-CN"")"),"显示一个男人在加速时间内收到剪发和造型。")</f>
        <v>显示一个男人在加速时间内收到剪发和造型。</v>
      </c>
    </row>
    <row r="2926">
      <c r="A2926" s="4" t="s">
        <v>3673</v>
      </c>
      <c r="B2926" s="4" t="s">
        <v>3676</v>
      </c>
      <c r="C2926" s="5" t="str">
        <f>IFERROR(__xludf.DUMMYFUNCTION("GOOGLETRANSLATE(B2926,""en"",""zh-CN"")"),"显示了造型后男人头发的静止图像。")</f>
        <v>显示了造型后男人头发的静止图像。</v>
      </c>
    </row>
    <row r="2927">
      <c r="A2927" s="4" t="s">
        <v>3677</v>
      </c>
      <c r="B2927" s="4" t="s">
        <v>3678</v>
      </c>
      <c r="C2927" s="5" t="str">
        <f>IFERROR(__xludf.DUMMYFUNCTION("GOOGLETRANSLATE(B2927,""en"",""zh-CN"")"),"一个人站在法庭上。")</f>
        <v>一个人站在法庭上。</v>
      </c>
    </row>
    <row r="2928">
      <c r="A2928" s="4" t="s">
        <v>3677</v>
      </c>
      <c r="B2928" s="4" t="s">
        <v>3679</v>
      </c>
      <c r="C2928" s="5" t="str">
        <f>IFERROR(__xludf.DUMMYFUNCTION("GOOGLETRANSLATE(B2928,""en"",""zh-CN"")"),"他用球拍击中了一个球。")</f>
        <v>他用球拍击中了一个球。</v>
      </c>
    </row>
    <row r="2929">
      <c r="A2929" s="4" t="s">
        <v>3677</v>
      </c>
      <c r="B2929" s="4" t="s">
        <v>3680</v>
      </c>
      <c r="C2929" s="5" t="str">
        <f>IFERROR(__xludf.DUMMYFUNCTION("GOOGLETRANSLATE(B2929,""en"",""zh-CN"")"),"显示了几名不同的运动员击球。")</f>
        <v>显示了几名不同的运动员击球。</v>
      </c>
    </row>
    <row r="2930">
      <c r="A2930" s="4" t="s">
        <v>3677</v>
      </c>
      <c r="B2930" s="4" t="s">
        <v>3681</v>
      </c>
      <c r="C2930" s="5" t="str">
        <f>IFERROR(__xludf.DUMMYFUNCTION("GOOGLETRANSLATE(B2930,""en"",""zh-CN"")"),"他们中的一些人最终欢呼。")</f>
        <v>他们中的一些人最终欢呼。</v>
      </c>
    </row>
    <row r="2931">
      <c r="A2931" s="4" t="s">
        <v>3682</v>
      </c>
      <c r="B2931" s="4" t="s">
        <v>3683</v>
      </c>
      <c r="C2931" s="5" t="str">
        <f>IFERROR(__xludf.DUMMYFUNCTION("GOOGLETRANSLATE(B2931,""en"",""zh-CN"")"),"一个男人在切菜板上用刀切洋葱。")</f>
        <v>一个男人在切菜板上用刀切洋葱。</v>
      </c>
    </row>
    <row r="2932">
      <c r="A2932" s="4" t="s">
        <v>3682</v>
      </c>
      <c r="B2932" s="6" t="s">
        <v>3684</v>
      </c>
      <c r="C2932" s="5" t="str">
        <f>IFERROR(__xludf.DUMMYFUNCTION("GOOGLETRANSLATE(B2932,""en"",""zh-CN"")"),"一个女人在和她说话时正在读附近的报纸，并向她展示了一些东西。")</f>
        <v>一个女人在和她说话时正在读附近的报纸，并向她展示了一些东西。</v>
      </c>
    </row>
    <row r="2933">
      <c r="A2933" s="4" t="s">
        <v>3682</v>
      </c>
      <c r="B2933" s="4" t="s">
        <v>3685</v>
      </c>
      <c r="C2933" s="5" t="str">
        <f>IFERROR(__xludf.DUMMYFUNCTION("GOOGLETRANSLATE(B2933,""en"",""zh-CN"")"),"该男子使用电动工具磨刀。")</f>
        <v>该男子使用电动工具磨刀。</v>
      </c>
    </row>
    <row r="2934">
      <c r="A2934" s="4" t="s">
        <v>3682</v>
      </c>
      <c r="B2934" s="4" t="s">
        <v>3686</v>
      </c>
      <c r="C2934" s="5" t="str">
        <f>IFERROR(__xludf.DUMMYFUNCTION("GOOGLETRANSLATE(B2934,""en"",""zh-CN"")"),"然后，他继续割伤洋葱。")</f>
        <v>然后，他继续割伤洋葱。</v>
      </c>
    </row>
    <row r="2935">
      <c r="A2935" s="4" t="s">
        <v>3687</v>
      </c>
      <c r="B2935" s="4" t="s">
        <v>3688</v>
      </c>
      <c r="C2935" s="5" t="str">
        <f>IFERROR(__xludf.DUMMYFUNCTION("GOOGLETRANSLATE(B2935,""en"",""zh-CN"")"),"一个女人站在潜水板上。")</f>
        <v>一个女人站在潜水板上。</v>
      </c>
    </row>
    <row r="2936">
      <c r="A2936" s="4" t="s">
        <v>3687</v>
      </c>
      <c r="B2936" s="4" t="s">
        <v>3689</v>
      </c>
      <c r="C2936" s="5" t="str">
        <f>IFERROR(__xludf.DUMMYFUNCTION("GOOGLETRANSLATE(B2936,""en"",""zh-CN"")"),"她跳入水中。")</f>
        <v>她跳入水中。</v>
      </c>
    </row>
    <row r="2937">
      <c r="A2937" s="4" t="s">
        <v>3687</v>
      </c>
      <c r="B2937" s="4" t="s">
        <v>3690</v>
      </c>
      <c r="C2937" s="5" t="str">
        <f>IFERROR(__xludf.DUMMYFUNCTION("GOOGLETRANSLATE(B2937,""en"",""zh-CN"")"),"人们站在潜水板下。")</f>
        <v>人们站在潜水板下。</v>
      </c>
    </row>
    <row r="2938">
      <c r="A2938" s="4" t="s">
        <v>3691</v>
      </c>
      <c r="B2938" s="4" t="s">
        <v>3692</v>
      </c>
      <c r="C2938" s="5" t="str">
        <f>IFERROR(__xludf.DUMMYFUNCTION("GOOGLETRANSLATE(B2938,""en"",""zh-CN"")"),"骑自行车比赛即将开始，人群已经准备好了。")</f>
        <v>骑自行车比赛即将开始，人群已经准备好了。</v>
      </c>
    </row>
    <row r="2939">
      <c r="A2939" s="4" t="s">
        <v>3691</v>
      </c>
      <c r="B2939" s="4" t="s">
        <v>3693</v>
      </c>
      <c r="C2939" s="5" t="str">
        <f>IFERROR(__xludf.DUMMYFUNCTION("GOOGLETRANSLATE(B2939,""en"",""zh-CN"")"),"骑手开始，在第一个大跳跃期间已经摔倒了。")</f>
        <v>骑手开始，在第一个大跳跃期间已经摔倒了。</v>
      </c>
    </row>
    <row r="2940">
      <c r="A2940" s="4" t="s">
        <v>3691</v>
      </c>
      <c r="B2940" s="4" t="s">
        <v>3694</v>
      </c>
      <c r="C2940" s="5" t="str">
        <f>IFERROR(__xludf.DUMMYFUNCTION("GOOGLETRANSLATE(B2940,""en"",""zh-CN"")"),"显示了尝试大跳跃的车手的各种亮点。")</f>
        <v>显示了尝试大跳跃的车手的各种亮点。</v>
      </c>
    </row>
    <row r="2941">
      <c r="A2941" s="4" t="s">
        <v>3691</v>
      </c>
      <c r="B2941" s="4" t="s">
        <v>3695</v>
      </c>
      <c r="C2941" s="5" t="str">
        <f>IFERROR(__xludf.DUMMYFUNCTION("GOOGLETRANSLATE(B2941,""en"",""zh-CN"")"),"在仪式结束时，三名获奖者被加冕。")</f>
        <v>在仪式结束时，三名获奖者被加冕。</v>
      </c>
    </row>
    <row r="2942">
      <c r="A2942" s="4" t="s">
        <v>3696</v>
      </c>
      <c r="B2942" s="4" t="s">
        <v>3697</v>
      </c>
      <c r="C2942" s="5" t="str">
        <f>IFERROR(__xludf.DUMMYFUNCTION("GOOGLETRANSLATE(B2942,""en"",""zh-CN"")"),"看到一个人拿着旗帜，而其他人则站在他周围，一名跑步者进入框架。")</f>
        <v>看到一个人拿着旗帜，而其他人则站在他周围，一名跑步者进入框架。</v>
      </c>
    </row>
    <row r="2943">
      <c r="A2943" s="4" t="s">
        <v>3696</v>
      </c>
      <c r="B2943" s="4" t="s">
        <v>3698</v>
      </c>
      <c r="C2943" s="5" t="str">
        <f>IFERROR(__xludf.DUMMYFUNCTION("GOOGLETRANSLATE(B2943,""en"",""zh-CN"")"),"跑步者以慢动作将几个跳跃和降落到一个坑中。")</f>
        <v>跑步者以慢动作将几个跳跃和降落到一个坑中。</v>
      </c>
    </row>
    <row r="2944">
      <c r="A2944" s="4" t="s">
        <v>3699</v>
      </c>
      <c r="B2944" s="4" t="s">
        <v>3700</v>
      </c>
      <c r="C2944" s="5" t="str">
        <f>IFERROR(__xludf.DUMMYFUNCTION("GOOGLETRANSLATE(B2944,""en"",""zh-CN"")"),"一个人正在使用真空附件来真空木地板。")</f>
        <v>一个人正在使用真空附件来真空木地板。</v>
      </c>
    </row>
    <row r="2945">
      <c r="A2945" s="4" t="s">
        <v>3699</v>
      </c>
      <c r="B2945" s="4" t="s">
        <v>3701</v>
      </c>
      <c r="C2945" s="5" t="str">
        <f>IFERROR(__xludf.DUMMYFUNCTION("GOOGLETRANSLATE(B2945,""en"",""zh-CN"")"),"然后，该人在地板上吸尘地毯。")</f>
        <v>然后，该人在地板上吸尘地毯。</v>
      </c>
    </row>
    <row r="2946">
      <c r="A2946" s="4" t="s">
        <v>3699</v>
      </c>
      <c r="B2946" s="4" t="s">
        <v>3702</v>
      </c>
      <c r="C2946" s="5" t="str">
        <f>IFERROR(__xludf.DUMMYFUNCTION("GOOGLETRANSLATE(B2946,""en"",""zh-CN"")"),"该人真空吸尘猫的背面躺在附近。")</f>
        <v>该人真空吸尘猫的背面躺在附近。</v>
      </c>
    </row>
    <row r="2947">
      <c r="A2947" s="4" t="s">
        <v>3699</v>
      </c>
      <c r="B2947" s="4" t="s">
        <v>3703</v>
      </c>
      <c r="C2947" s="5" t="str">
        <f>IFERROR(__xludf.DUMMYFUNCTION("GOOGLETRANSLATE(B2947,""en"",""zh-CN"")"),"该人返回吸尘木地板。")</f>
        <v>该人返回吸尘木地板。</v>
      </c>
    </row>
    <row r="2948">
      <c r="A2948" s="4" t="s">
        <v>3704</v>
      </c>
      <c r="B2948" s="4" t="s">
        <v>3705</v>
      </c>
      <c r="C2948" s="5" t="str">
        <f>IFERROR(__xludf.DUMMYFUNCTION("GOOGLETRANSLATE(B2948,""en"",""zh-CN"")"),"一个女人和她的两个孩子在博览会或某个活动中骑着骆驼骑行。")</f>
        <v>一个女人和她的两个孩子在博览会或某个活动中骑着骆驼骑行。</v>
      </c>
    </row>
    <row r="2949">
      <c r="A2949" s="4" t="s">
        <v>3704</v>
      </c>
      <c r="B2949" s="4" t="s">
        <v>3706</v>
      </c>
      <c r="C2949" s="5" t="str">
        <f>IFERROR(__xludf.DUMMYFUNCTION("GOOGLETRANSLATE(B2949,""en"",""zh-CN"")"),"有一个工人正在与他们一起行走，骑着绳子骑着绳子。")</f>
        <v>有一个工人正在与他们一起行走，骑着绳子骑着绳子。</v>
      </c>
    </row>
    <row r="2950">
      <c r="A2950" s="4" t="s">
        <v>3704</v>
      </c>
      <c r="B2950" s="4" t="s">
        <v>3707</v>
      </c>
      <c r="C2950" s="5" t="str">
        <f>IFERROR(__xludf.DUMMYFUNCTION("GOOGLETRANSLATE(B2950,""en"",""zh-CN"")"),"他们一次又一次地绕着一个小门口绕过一个圆圈。")</f>
        <v>他们一次又一次地绕着一个小门口绕过一个圆圈。</v>
      </c>
    </row>
    <row r="2951">
      <c r="A2951" s="4" t="s">
        <v>3704</v>
      </c>
      <c r="B2951" s="6" t="s">
        <v>3708</v>
      </c>
      <c r="C2951" s="5" t="str">
        <f>IFERROR(__xludf.DUMMYFUNCTION("GOOGLETRANSLATE(B2951,""en"",""zh-CN"")"),"完成后，他们停在红色栏杆上，工人在骑手下车时敲打骆驼在脸上。")</f>
        <v>完成后，他们停在红色栏杆上，工人在骑手下车时敲打骆驼在脸上。</v>
      </c>
    </row>
    <row r="2952">
      <c r="A2952" s="4" t="s">
        <v>3709</v>
      </c>
      <c r="B2952" s="4" t="s">
        <v>3710</v>
      </c>
      <c r="C2952" s="5" t="str">
        <f>IFERROR(__xludf.DUMMYFUNCTION("GOOGLETRANSLATE(B2952,""en"",""zh-CN"")"),"一个女人站在钢琴上。")</f>
        <v>一个女人站在钢琴上。</v>
      </c>
    </row>
    <row r="2953">
      <c r="A2953" s="4" t="s">
        <v>3709</v>
      </c>
      <c r="B2953" s="4" t="s">
        <v>3711</v>
      </c>
      <c r="C2953" s="5" t="str">
        <f>IFERROR(__xludf.DUMMYFUNCTION("GOOGLETRANSLATE(B2953,""en"",""zh-CN"")"),"一个人在弹钢琴。")</f>
        <v>一个人在弹钢琴。</v>
      </c>
    </row>
    <row r="2954">
      <c r="A2954" s="4" t="s">
        <v>3709</v>
      </c>
      <c r="B2954" s="4" t="s">
        <v>3712</v>
      </c>
      <c r="C2954" s="5" t="str">
        <f>IFERROR(__xludf.DUMMYFUNCTION("GOOGLETRANSLATE(B2954,""en"",""zh-CN"")"),"钢琴转身，一个女人站在后面。")</f>
        <v>钢琴转身，一个女人站在后面。</v>
      </c>
    </row>
    <row r="2955">
      <c r="A2955" s="4" t="s">
        <v>3713</v>
      </c>
      <c r="B2955" s="4" t="s">
        <v>3714</v>
      </c>
      <c r="C2955" s="5" t="str">
        <f>IFERROR(__xludf.DUMMYFUNCTION("GOOGLETRANSLATE(B2955,""en"",""zh-CN"")"),"我们看到一个黑暗的开放屏幕。")</f>
        <v>我们看到一个黑暗的开放屏幕。</v>
      </c>
    </row>
    <row r="2956">
      <c r="A2956" s="4" t="s">
        <v>3713</v>
      </c>
      <c r="B2956" s="4" t="s">
        <v>3715</v>
      </c>
      <c r="C2956" s="5" t="str">
        <f>IFERROR(__xludf.DUMMYFUNCTION("GOOGLETRANSLATE(B2956,""en"",""zh-CN"")"),"然后，我们看到人们表演嘻哈舞。")</f>
        <v>然后，我们看到人们表演嘻哈舞。</v>
      </c>
    </row>
    <row r="2957">
      <c r="A2957" s="4" t="s">
        <v>3713</v>
      </c>
      <c r="B2957" s="4" t="s">
        <v>3716</v>
      </c>
      <c r="C2957" s="5" t="str">
        <f>IFERROR(__xludf.DUMMYFUNCTION("GOOGLETRANSLATE(B2957,""en"",""zh-CN"")"),"我们看到了2004年活动的标志。")</f>
        <v>我们看到了2004年活动的标志。</v>
      </c>
    </row>
    <row r="2958">
      <c r="A2958" s="4" t="s">
        <v>3713</v>
      </c>
      <c r="B2958" s="4" t="s">
        <v>3717</v>
      </c>
      <c r="C2958" s="5" t="str">
        <f>IFERROR(__xludf.DUMMYFUNCTION("GOOGLETRANSLATE(B2958,""en"",""zh-CN"")"),"我们看到人们在观众跳舞的前面。")</f>
        <v>我们看到人们在观众跳舞的前面。</v>
      </c>
    </row>
    <row r="2959">
      <c r="A2959" s="4" t="s">
        <v>3713</v>
      </c>
      <c r="B2959" s="4" t="s">
        <v>3718</v>
      </c>
      <c r="C2959" s="5" t="str">
        <f>IFERROR(__xludf.DUMMYFUNCTION("GOOGLETRANSLATE(B2959,""en"",""zh-CN"")"),"我们看到一个男人旋转人群剪辑。")</f>
        <v>我们看到一个男人旋转人群剪辑。</v>
      </c>
    </row>
    <row r="2960">
      <c r="A2960" s="4" t="s">
        <v>3713</v>
      </c>
      <c r="B2960" s="4" t="s">
        <v>3719</v>
      </c>
      <c r="C2960" s="5" t="str">
        <f>IFERROR(__xludf.DUMMYFUNCTION("GOOGLETRANSLATE(B2960,""en"",""zh-CN"")"),"我们看到了2005年活动的标志。")</f>
        <v>我们看到了2005年活动的标志。</v>
      </c>
    </row>
    <row r="2961">
      <c r="A2961" s="4" t="s">
        <v>3713</v>
      </c>
      <c r="B2961" s="4" t="s">
        <v>3720</v>
      </c>
      <c r="C2961" s="5" t="str">
        <f>IFERROR(__xludf.DUMMYFUNCTION("GOOGLETRANSLATE(B2961,""en"",""zh-CN"")"),"两个人鞠躬。")</f>
        <v>两个人鞠躬。</v>
      </c>
    </row>
    <row r="2962">
      <c r="A2962" s="4" t="s">
        <v>3713</v>
      </c>
      <c r="B2962" s="4" t="s">
        <v>3721</v>
      </c>
      <c r="C2962" s="5" t="str">
        <f>IFERROR(__xludf.DUMMYFUNCTION("GOOGLETRANSLATE(B2962,""en"",""zh-CN"")"),"我们看到了2006年活动的屏幕。")</f>
        <v>我们看到了2006年活动的屏幕。</v>
      </c>
    </row>
    <row r="2963">
      <c r="A2963" s="4" t="s">
        <v>3713</v>
      </c>
      <c r="B2963" s="4" t="s">
        <v>3722</v>
      </c>
      <c r="C2963" s="5" t="str">
        <f>IFERROR(__xludf.DUMMYFUNCTION("GOOGLETRANSLATE(B2963,""en"",""zh-CN"")"),"一个红色的男人做了一堆动作。")</f>
        <v>一个红色的男人做了一堆动作。</v>
      </c>
    </row>
    <row r="2964">
      <c r="A2964" s="4" t="s">
        <v>3713</v>
      </c>
      <c r="B2964" s="4" t="s">
        <v>3723</v>
      </c>
      <c r="C2964" s="5" t="str">
        <f>IFERROR(__xludf.DUMMYFUNCTION("GOOGLETRANSLATE(B2964,""en"",""zh-CN"")"),"我们看到了2007年活动的标志。")</f>
        <v>我们看到了2007年活动的标志。</v>
      </c>
    </row>
    <row r="2965">
      <c r="A2965" s="4" t="s">
        <v>3724</v>
      </c>
      <c r="B2965" s="4" t="s">
        <v>3725</v>
      </c>
      <c r="C2965" s="5" t="str">
        <f>IFERROR(__xludf.DUMMYFUNCTION("GOOGLETRANSLATE(B2965,""en"",""zh-CN"")"),"蓝色水烟的特写显示为底部至顶部。")</f>
        <v>蓝色水烟的特写显示为底部至顶部。</v>
      </c>
    </row>
    <row r="2966">
      <c r="A2966" s="4" t="s">
        <v>3724</v>
      </c>
      <c r="B2966" s="4" t="s">
        <v>3726</v>
      </c>
      <c r="C2966" s="5" t="str">
        <f>IFERROR(__xludf.DUMMYFUNCTION("GOOGLETRANSLATE(B2966,""en"",""zh-CN"")"),"显示了碗，然后水烟充满了手套。")</f>
        <v>显示了碗，然后水烟充满了手套。</v>
      </c>
    </row>
    <row r="2967">
      <c r="A2967" s="4" t="s">
        <v>3724</v>
      </c>
      <c r="B2967" s="4" t="s">
        <v>3727</v>
      </c>
      <c r="C2967" s="5" t="str">
        <f>IFERROR(__xludf.DUMMYFUNCTION("GOOGLETRANSLATE(B2967,""en"",""zh-CN"")"),"软管附着在水烟上。")</f>
        <v>软管附着在水烟上。</v>
      </c>
    </row>
    <row r="2968">
      <c r="A2968" s="4" t="s">
        <v>3724</v>
      </c>
      <c r="B2968" s="4" t="s">
        <v>3728</v>
      </c>
      <c r="C2968" s="5" t="str">
        <f>IFERROR(__xludf.DUMMYFUNCTION("GOOGLETRANSLATE(B2968,""en"",""zh-CN"")"),"烟草被包装到碗中，然后用锡箔纸覆盖，并用牙签刺穿。")</f>
        <v>烟草被包装到碗中，然后用锡箔纸覆盖，并用牙签刺穿。</v>
      </c>
    </row>
    <row r="2969">
      <c r="A2969" s="4" t="s">
        <v>3724</v>
      </c>
      <c r="B2969" s="4" t="s">
        <v>3729</v>
      </c>
      <c r="C2969" s="5" t="str">
        <f>IFERROR(__xludf.DUMMYFUNCTION("GOOGLETRANSLATE(B2969,""en"",""zh-CN"")"),"一块煤炭被点燃，然后看不见的人在读书时抽烟。")</f>
        <v>一块煤炭被点燃，然后看不见的人在读书时抽烟。</v>
      </c>
    </row>
    <row r="2970">
      <c r="A2970" s="4" t="s">
        <v>3730</v>
      </c>
      <c r="B2970" s="4" t="s">
        <v>3731</v>
      </c>
      <c r="C2970" s="5" t="str">
        <f>IFERROR(__xludf.DUMMYFUNCTION("GOOGLETRANSLATE(B2970,""en"",""zh-CN"")"),"我们在田野里看到一个男人在果汁中榨汁以制成果汁。")</f>
        <v>我们在田野里看到一个男人在果汁中榨汁以制成果汁。</v>
      </c>
    </row>
    <row r="2971">
      <c r="A2971" s="4" t="s">
        <v>3730</v>
      </c>
      <c r="B2971" s="4" t="s">
        <v>3732</v>
      </c>
      <c r="C2971" s="5" t="str">
        <f>IFERROR(__xludf.DUMMYFUNCTION("GOOGLETRANSLATE(B2971,""en"",""zh-CN"")"),"男人2果实将糖放入两个眼镜中。")</f>
        <v>男人2果实将糖放入两个眼镜中。</v>
      </c>
    </row>
    <row r="2972">
      <c r="A2972" s="4" t="s">
        <v>3730</v>
      </c>
      <c r="B2972" s="4" t="s">
        <v>3733</v>
      </c>
      <c r="C2972" s="5" t="str">
        <f>IFERROR(__xludf.DUMMYFUNCTION("GOOGLETRANSLATE(B2972,""en"",""zh-CN"")"),"然后，该男子又切了四个水果。")</f>
        <v>然后，该男子又切了四个水果。</v>
      </c>
    </row>
    <row r="2973">
      <c r="A2973" s="4" t="s">
        <v>3730</v>
      </c>
      <c r="B2973" s="4" t="s">
        <v>3734</v>
      </c>
      <c r="C2973" s="5" t="str">
        <f>IFERROR(__xludf.DUMMYFUNCTION("GOOGLETRANSLATE(B2973,""en"",""zh-CN"")"),"该男子从水果下面的水桶中的眼镜和冰水中添加了更多的糖。")</f>
        <v>该男子从水果下面的水桶中的眼镜和冰水中添加了更多的糖。</v>
      </c>
    </row>
    <row r="2974">
      <c r="A2974" s="4" t="s">
        <v>3735</v>
      </c>
      <c r="B2974" s="6" t="s">
        <v>3736</v>
      </c>
      <c r="C2974" s="5" t="str">
        <f>IFERROR(__xludf.DUMMYFUNCTION("GOOGLETRANSLATE(B2974,""en"",""zh-CN"")"),"显示了几张家庭和物体的照片，后面是一个人将液体倒入水桶中。")</f>
        <v>显示了几张家庭和物体的照片，后面是一个人将液体倒入水桶中。</v>
      </c>
    </row>
    <row r="2975">
      <c r="A2975" s="4" t="s">
        <v>3735</v>
      </c>
      <c r="B2975" s="4" t="s">
        <v>3737</v>
      </c>
      <c r="C2975" s="5" t="str">
        <f>IFERROR(__xludf.DUMMYFUNCTION("GOOGLETRANSLATE(B2975,""en"",""zh-CN"")"),"他将更多的物体倒入水桶中，而另一个人则旋转。")</f>
        <v>他将更多的物体倒入水桶中，而另一个人则旋转。</v>
      </c>
    </row>
    <row r="2976">
      <c r="A2976" s="4" t="s">
        <v>3735</v>
      </c>
      <c r="B2976" s="4" t="s">
        <v>3738</v>
      </c>
      <c r="C2976" s="5" t="str">
        <f>IFERROR(__xludf.DUMMYFUNCTION("GOOGLETRANSLATE(B2976,""en"",""zh-CN"")"),"该男子打开一个装满石头的盒子，并在墙上放了一些石膏。")</f>
        <v>该男子打开一个装满石头的盒子，并在墙上放了一些石膏。</v>
      </c>
    </row>
    <row r="2977">
      <c r="A2977" s="4" t="s">
        <v>3735</v>
      </c>
      <c r="B2977" s="4" t="s">
        <v>3739</v>
      </c>
      <c r="C2977" s="5" t="str">
        <f>IFERROR(__xludf.DUMMYFUNCTION("GOOGLETRANSLATE(B2977,""en"",""zh-CN"")"),"他一遍又一遍地将石头推入墙壁，为房屋创建石墙。")</f>
        <v>他一遍又一遍地将石头推入墙壁，为房屋创建石墙。</v>
      </c>
    </row>
    <row r="2978">
      <c r="A2978" s="4" t="s">
        <v>3740</v>
      </c>
      <c r="B2978" s="4" t="s">
        <v>3741</v>
      </c>
      <c r="C2978" s="5" t="str">
        <f>IFERROR(__xludf.DUMMYFUNCTION("GOOGLETRANSLATE(B2978,""en"",""zh-CN"")"),"一个男孩坐在沙龙椅子上说话。")</f>
        <v>一个男孩坐在沙龙椅子上说话。</v>
      </c>
    </row>
    <row r="2979">
      <c r="A2979" s="4" t="s">
        <v>3740</v>
      </c>
      <c r="B2979" s="4" t="s">
        <v>3742</v>
      </c>
      <c r="C2979" s="5" t="str">
        <f>IFERROR(__xludf.DUMMYFUNCTION("GOOGLETRANSLATE(B2979,""en"",""zh-CN"")"),"造型师将他的头发剪成新的风格。")</f>
        <v>造型师将他的头发剪成新的风格。</v>
      </c>
    </row>
    <row r="2980">
      <c r="A2980" s="4" t="s">
        <v>3740</v>
      </c>
      <c r="B2980" s="4" t="s">
        <v>3743</v>
      </c>
      <c r="C2980" s="5" t="str">
        <f>IFERROR(__xludf.DUMMYFUNCTION("GOOGLETRANSLATE(B2980,""en"",""zh-CN"")"),"他干燥并将头发喷洒成尖式的外观。")</f>
        <v>他干燥并将头发喷洒成尖式的外观。</v>
      </c>
    </row>
    <row r="2981">
      <c r="A2981" s="4" t="s">
        <v>3744</v>
      </c>
      <c r="B2981" s="4" t="s">
        <v>3745</v>
      </c>
      <c r="C2981" s="5" t="str">
        <f>IFERROR(__xludf.DUMMYFUNCTION("GOOGLETRANSLATE(B2981,""en"",""zh-CN"")"),"我们在狂欢节上看到碰碰车的人。")</f>
        <v>我们在狂欢节上看到碰碰车的人。</v>
      </c>
    </row>
    <row r="2982">
      <c r="A2982" s="4" t="s">
        <v>3744</v>
      </c>
      <c r="B2982" s="4" t="s">
        <v>3746</v>
      </c>
      <c r="C2982" s="5" t="str">
        <f>IFERROR(__xludf.DUMMYFUNCTION("GOOGLETRANSLATE(B2982,""en"",""zh-CN"")"),"摄像机盘离开了，我们看到了驾驶场。")</f>
        <v>摄像机盘离开了，我们看到了驾驶场。</v>
      </c>
    </row>
    <row r="2983">
      <c r="A2983" s="4" t="s">
        <v>3744</v>
      </c>
      <c r="B2983" s="4" t="s">
        <v>3747</v>
      </c>
      <c r="C2983" s="5" t="str">
        <f>IFERROR(__xludf.DUMMYFUNCTION("GOOGLETRANSLATE(B2983,""en"",""zh-CN"")"),"一个紫色的人驱动着相机。")</f>
        <v>一个紫色的人驱动着相机。</v>
      </c>
    </row>
    <row r="2984">
      <c r="A2984" s="4" t="s">
        <v>3744</v>
      </c>
      <c r="B2984" s="4" t="s">
        <v>3748</v>
      </c>
      <c r="C2984" s="5" t="str">
        <f>IFERROR(__xludf.DUMMYFUNCTION("GOOGLETRANSLATE(B2984,""en"",""zh-CN"")"),"当她开车过去时，一个女孩对镜头微笑。")</f>
        <v>当她开车过去时，一个女孩对镜头微笑。</v>
      </c>
    </row>
    <row r="2985">
      <c r="A2985" s="4" t="s">
        <v>3749</v>
      </c>
      <c r="B2985" s="4" t="s">
        <v>3750</v>
      </c>
      <c r="C2985" s="5" t="str">
        <f>IFERROR(__xludf.DUMMYFUNCTION("GOOGLETRANSLATE(B2985,""en"",""zh-CN"")"),"一个女孩在海滩上玩沙子。")</f>
        <v>一个女孩在海滩上玩沙子。</v>
      </c>
    </row>
    <row r="2986">
      <c r="A2986" s="4" t="s">
        <v>3749</v>
      </c>
      <c r="B2986" s="4" t="s">
        <v>3751</v>
      </c>
      <c r="C2986" s="5" t="str">
        <f>IFERROR(__xludf.DUMMYFUNCTION("GOOGLETRANSLATE(B2986,""en"",""zh-CN"")"),"然后，她站起来看着其他人。")</f>
        <v>然后，她站起来看着其他人。</v>
      </c>
    </row>
    <row r="2987">
      <c r="A2987" s="4" t="s">
        <v>3752</v>
      </c>
      <c r="B2987" s="4" t="s">
        <v>3753</v>
      </c>
      <c r="C2987" s="5" t="str">
        <f>IFERROR(__xludf.DUMMYFUNCTION("GOOGLETRANSLATE(B2987,""en"",""zh-CN"")"),"人们站在乒乓球桌旁。")</f>
        <v>人们站在乒乓球桌旁。</v>
      </c>
    </row>
    <row r="2988">
      <c r="A2988" s="4" t="s">
        <v>3752</v>
      </c>
      <c r="B2988" s="4" t="s">
        <v>3754</v>
      </c>
      <c r="C2988" s="5" t="str">
        <f>IFERROR(__xludf.DUMMYFUNCTION("GOOGLETRANSLATE(B2988,""en"",""zh-CN"")"),"一个人正在演示如何在没有桨的情况下玩。")</f>
        <v>一个人正在演示如何在没有桨的情况下玩。</v>
      </c>
    </row>
    <row r="2989">
      <c r="A2989" s="4" t="s">
        <v>3752</v>
      </c>
      <c r="B2989" s="4" t="s">
        <v>3755</v>
      </c>
      <c r="C2989" s="5" t="str">
        <f>IFERROR(__xludf.DUMMYFUNCTION("GOOGLETRANSLATE(B2989,""en"",""zh-CN"")"),"两个人开始玩乒乓球游戏。")</f>
        <v>两个人开始玩乒乓球游戏。</v>
      </c>
    </row>
    <row r="2990">
      <c r="A2990" s="4" t="s">
        <v>3756</v>
      </c>
      <c r="B2990" s="4" t="s">
        <v>3757</v>
      </c>
      <c r="C2990" s="5" t="str">
        <f>IFERROR(__xludf.DUMMYFUNCTION("GOOGLETRANSLATE(B2990,""en"",""zh-CN"")"),"两个人坐在圆桌上说话。")</f>
        <v>两个人坐在圆桌上说话。</v>
      </c>
    </row>
    <row r="2991">
      <c r="A2991" s="4" t="s">
        <v>3756</v>
      </c>
      <c r="B2991" s="4" t="s">
        <v>3758</v>
      </c>
      <c r="C2991" s="5" t="str">
        <f>IFERROR(__xludf.DUMMYFUNCTION("GOOGLETRANSLATE(B2991,""en"",""zh-CN"")"),"男子正在大型足球场接受采访。")</f>
        <v>男子正在大型足球场接受采访。</v>
      </c>
    </row>
    <row r="2992">
      <c r="A2992" s="4" t="s">
        <v>3756</v>
      </c>
      <c r="B2992" s="4" t="s">
        <v>3759</v>
      </c>
      <c r="C2992" s="5" t="str">
        <f>IFERROR(__xludf.DUMMYFUNCTION("GOOGLETRANSLATE(B2992,""en"",""zh-CN"")"),"男人在体育场的Themiddle中玩乒乓球，而很多人聚集在一起。")</f>
        <v>男人在体育场的Themiddle中玩乒乓球，而很多人聚集在一起。</v>
      </c>
    </row>
    <row r="2993">
      <c r="A2993" s="4" t="s">
        <v>3760</v>
      </c>
      <c r="B2993" s="4" t="s">
        <v>3761</v>
      </c>
      <c r="C2993" s="5" t="str">
        <f>IFERROR(__xludf.DUMMYFUNCTION("GOOGLETRANSLATE(B2993,""en"",""zh-CN"")"),"我们看到迅速移动的白水流。")</f>
        <v>我们看到迅速移动的白水流。</v>
      </c>
    </row>
    <row r="2994">
      <c r="A2994" s="4" t="s">
        <v>3760</v>
      </c>
      <c r="B2994" s="4" t="s">
        <v>3762</v>
      </c>
      <c r="C2994" s="5" t="str">
        <f>IFERROR(__xludf.DUMMYFUNCTION("GOOGLETRANSLATE(B2994,""en"",""zh-CN"")"),"一个穿着蓝色漂流设备和头盔的男人正在从岩石的床上看。")</f>
        <v>一个穿着蓝色漂流设备和头盔的男人正在从岩石的床上看。</v>
      </c>
    </row>
    <row r="2995">
      <c r="A2995" s="4" t="s">
        <v>3760</v>
      </c>
      <c r="B2995" s="4" t="s">
        <v>3763</v>
      </c>
      <c r="C2995" s="5" t="str">
        <f>IFERROR(__xludf.DUMMYFUNCTION("GOOGLETRANSLATE(B2995,""en"",""zh-CN"")"),"我们注意到一个男人穿着皮划艇和左侧的黄色头盔。")</f>
        <v>我们注意到一个男人穿着皮划艇和左侧的黄色头盔。</v>
      </c>
    </row>
    <row r="2996">
      <c r="A2996" s="4" t="s">
        <v>3760</v>
      </c>
      <c r="B2996" s="4" t="s">
        <v>3764</v>
      </c>
      <c r="C2996" s="5" t="str">
        <f>IFERROR(__xludf.DUMMYFUNCTION("GOOGLETRANSLATE(B2996,""en"",""zh-CN"")"),"当他接近时，他的皮划艇颠倒了。")</f>
        <v>当他接近时，他的皮划艇颠倒了。</v>
      </c>
    </row>
    <row r="2997">
      <c r="A2997" s="4" t="s">
        <v>3760</v>
      </c>
      <c r="B2997" s="6" t="s">
        <v>3765</v>
      </c>
      <c r="C2997" s="5" t="str">
        <f>IFERROR(__xludf.DUMMYFUNCTION("GOOGLETRANSLATE(B2997,""en"",""zh-CN"")"),"当观点跟随他时，我们注意到另一个男人坐在右边的岩石上，戴着白色头盔。")</f>
        <v>当观点跟随他时，我们注意到另一个男人坐在右边的岩石上，戴着白色头盔。</v>
      </c>
    </row>
    <row r="2998">
      <c r="A2998" s="4" t="s">
        <v>3766</v>
      </c>
      <c r="B2998" s="4" t="s">
        <v>3767</v>
      </c>
      <c r="C2998" s="5" t="str">
        <f>IFERROR(__xludf.DUMMYFUNCTION("GOOGLETRANSLATE(B2998,""en"",""zh-CN"")"),"一个女人用几个辫子编织头发。")</f>
        <v>一个女人用几个辫子编织头发。</v>
      </c>
    </row>
    <row r="2999">
      <c r="A2999" s="4" t="s">
        <v>3766</v>
      </c>
      <c r="B2999" s="4" t="s">
        <v>3768</v>
      </c>
      <c r="C2999" s="5" t="str">
        <f>IFERROR(__xludf.DUMMYFUNCTION("GOOGLETRANSLATE(B2999,""en"",""zh-CN"")"),"她把它们绑在头后面。")</f>
        <v>她把它们绑在头后面。</v>
      </c>
    </row>
    <row r="3000">
      <c r="A3000" s="4" t="s">
        <v>3769</v>
      </c>
      <c r="B3000" s="4" t="s">
        <v>3770</v>
      </c>
      <c r="C3000" s="5" t="str">
        <f>IFERROR(__xludf.DUMMYFUNCTION("GOOGLETRANSLATE(B3000,""en"",""zh-CN"")"),"当人们观看时，一名体操运动员表现出不平衡的酒吧。")</f>
        <v>当人们观看时，一名体操运动员表现出不平衡的酒吧。</v>
      </c>
    </row>
    <row r="3001">
      <c r="A3001" s="4" t="s">
        <v>3769</v>
      </c>
      <c r="B3001" s="4" t="s">
        <v>3771</v>
      </c>
      <c r="C3001" s="5" t="str">
        <f>IFERROR(__xludf.DUMMYFUNCTION("GOOGLETRANSLATE(B3001,""en"",""zh-CN"")"),"法官监督体操运动员的常规。")</f>
        <v>法官监督体操运动员的常规。</v>
      </c>
    </row>
    <row r="3002">
      <c r="A3002" s="4" t="s">
        <v>3769</v>
      </c>
      <c r="B3002" s="4" t="s">
        <v>3772</v>
      </c>
      <c r="C3002" s="5" t="str">
        <f>IFERROR(__xludf.DUMMYFUNCTION("GOOGLETRANSLATE(B3002,""en"",""zh-CN"")"),"然后，体操运动员旋转握着更高的酒吧，跳在垫子上。")</f>
        <v>然后，体操运动员旋转握着更高的酒吧，跳在垫子上。</v>
      </c>
    </row>
    <row r="3003">
      <c r="A3003" s="4" t="s">
        <v>3773</v>
      </c>
      <c r="B3003" s="6" t="s">
        <v>3774</v>
      </c>
      <c r="C3003" s="5" t="str">
        <f>IFERROR(__xludf.DUMMYFUNCTION("GOOGLETRANSLATE(B3003,""en"",""zh-CN"")"),"看到两个人站在一个大房间周围，撞到一个带网球球拍的网球。")</f>
        <v>看到两个人站在一个大房间周围，撞到一个带网球球拍的网球。</v>
      </c>
    </row>
    <row r="3004">
      <c r="A3004" s="4" t="s">
        <v>3773</v>
      </c>
      <c r="B3004" s="4" t="s">
        <v>3775</v>
      </c>
      <c r="C3004" s="5" t="str">
        <f>IFERROR(__xludf.DUMMYFUNCTION("GOOGLETRANSLATE(B3004,""en"",""zh-CN"")"),"这些人将球向后击中，彼此击中，同时在房间里奔跑。")</f>
        <v>这些人将球向后击中，彼此击中，同时在房间里奔跑。</v>
      </c>
    </row>
    <row r="3005">
      <c r="A3005" s="4" t="s">
        <v>3776</v>
      </c>
      <c r="B3005" s="4" t="s">
        <v>3777</v>
      </c>
      <c r="C3005" s="5" t="str">
        <f>IFERROR(__xludf.DUMMYFUNCTION("GOOGLETRANSLATE(B3005,""en"",""zh-CN"")"),"我们在赌场看到两个开放屏幕。")</f>
        <v>我们在赌场看到两个开放屏幕。</v>
      </c>
    </row>
    <row r="3006">
      <c r="A3006" s="4" t="s">
        <v>3776</v>
      </c>
      <c r="B3006" s="4" t="s">
        <v>3778</v>
      </c>
      <c r="C3006" s="5" t="str">
        <f>IFERROR(__xludf.DUMMYFUNCTION("GOOGLETRANSLATE(B3006,""en"",""zh-CN"")"),"我们看到经销商讲话和交易卡。")</f>
        <v>我们看到经销商讲话和交易卡。</v>
      </c>
    </row>
    <row r="3007">
      <c r="A3007" s="4" t="s">
        <v>3776</v>
      </c>
      <c r="B3007" s="4" t="s">
        <v>3779</v>
      </c>
      <c r="C3007" s="5" t="str">
        <f>IFERROR(__xludf.DUMMYFUNCTION("GOOGLETRANSLATE(B3007,""en"",""zh-CN"")"),"我们看到一个大累积大奖。")</f>
        <v>我们看到一个大累积大奖。</v>
      </c>
    </row>
    <row r="3008">
      <c r="A3008" s="4" t="s">
        <v>3776</v>
      </c>
      <c r="B3008" s="4" t="s">
        <v>3780</v>
      </c>
      <c r="C3008" s="5" t="str">
        <f>IFERROR(__xludf.DUMMYFUNCTION("GOOGLETRANSLATE(B3008,""en"",""zh-CN"")"),"我们看到经销商洗牌。")</f>
        <v>我们看到经销商洗牌。</v>
      </c>
    </row>
    <row r="3009">
      <c r="A3009" s="4" t="s">
        <v>3776</v>
      </c>
      <c r="B3009" s="4" t="s">
        <v>3781</v>
      </c>
      <c r="C3009" s="5" t="str">
        <f>IFERROR(__xludf.DUMMYFUNCTION("GOOGLETRANSLATE(B3009,""en"",""zh-CN"")"),"我们看到男人窥视他的卡片。")</f>
        <v>我们看到男人窥视他的卡片。</v>
      </c>
    </row>
    <row r="3010">
      <c r="A3010" s="4" t="s">
        <v>3776</v>
      </c>
      <c r="B3010" s="4" t="s">
        <v>3782</v>
      </c>
      <c r="C3010" s="5" t="str">
        <f>IFERROR(__xludf.DUMMYFUNCTION("GOOGLETRANSLATE(B3010,""en"",""zh-CN"")"),"该男子再次窥视了他的卡片。")</f>
        <v>该男子再次窥视了他的卡片。</v>
      </c>
    </row>
    <row r="3011">
      <c r="A3011" s="4" t="s">
        <v>3776</v>
      </c>
      <c r="B3011" s="4" t="s">
        <v>3783</v>
      </c>
      <c r="C3011" s="5" t="str">
        <f>IFERROR(__xludf.DUMMYFUNCTION("GOOGLETRANSLATE(B3011,""en"",""zh-CN"")"),"经销商将玩家卡交换。")</f>
        <v>经销商将玩家卡交换。</v>
      </c>
    </row>
    <row r="3012">
      <c r="A3012" s="4" t="s">
        <v>3776</v>
      </c>
      <c r="B3012" s="4" t="s">
        <v>3784</v>
      </c>
      <c r="C3012" s="5" t="str">
        <f>IFERROR(__xludf.DUMMYFUNCTION("GOOGLETRANSLATE(B3012,""en"",""zh-CN"")"),"我们看到了赌场的关闭屏幕。")</f>
        <v>我们看到了赌场的关闭屏幕。</v>
      </c>
    </row>
    <row r="3013">
      <c r="A3013" s="4" t="s">
        <v>3785</v>
      </c>
      <c r="B3013" s="4" t="s">
        <v>3786</v>
      </c>
      <c r="C3013" s="5" t="str">
        <f>IFERROR(__xludf.DUMMYFUNCTION("GOOGLETRANSLATE(B3013,""en"",""zh-CN"")"),"一个穿着蓝色衬衫和短裤的男人在头上举起了很大的重量。")</f>
        <v>一个穿着蓝色衬衫和短裤的男人在头上举起了很大的重量。</v>
      </c>
    </row>
    <row r="3014">
      <c r="A3014" s="4" t="s">
        <v>3785</v>
      </c>
      <c r="B3014" s="4" t="s">
        <v>3787</v>
      </c>
      <c r="C3014" s="5" t="str">
        <f>IFERROR(__xludf.DUMMYFUNCTION("GOOGLETRANSLATE(B3014,""en"",""zh-CN"")"),"另一个人正在拍摄它。")</f>
        <v>另一个人正在拍摄它。</v>
      </c>
    </row>
    <row r="3015">
      <c r="A3015" s="4" t="s">
        <v>3785</v>
      </c>
      <c r="B3015" s="4" t="s">
        <v>3788</v>
      </c>
      <c r="C3015" s="5" t="str">
        <f>IFERROR(__xludf.DUMMYFUNCTION("GOOGLETRANSLATE(B3015,""en"",""zh-CN"")"),"同一个人回来了，再次举起他的头。")</f>
        <v>同一个人回来了，再次举起他的头。</v>
      </c>
    </row>
    <row r="3016">
      <c r="A3016" s="4" t="s">
        <v>3785</v>
      </c>
      <c r="B3016" s="4" t="s">
        <v>3789</v>
      </c>
      <c r="C3016" s="5" t="str">
        <f>IFERROR(__xludf.DUMMYFUNCTION("GOOGLETRANSLATE(B3016,""en"",""zh-CN"")"),"他把它放在地上，走开了。")</f>
        <v>他把它放在地上，走开了。</v>
      </c>
    </row>
    <row r="3017">
      <c r="A3017" s="4" t="s">
        <v>3790</v>
      </c>
      <c r="B3017" s="6" t="s">
        <v>3791</v>
      </c>
      <c r="C3017" s="5" t="str">
        <f>IFERROR(__xludf.DUMMYFUNCTION("GOOGLETRANSLATE(B3017,""en"",""zh-CN"")"),"假日礼物包装变得容易，这家玻璃商店提供了一个有关如何包装尴尬礼物的教程。")</f>
        <v>假日礼物包装变得容易，这家玻璃商店提供了一个有关如何包装尴尬礼物的教程。</v>
      </c>
    </row>
    <row r="3018">
      <c r="A3018" s="4" t="s">
        <v>3790</v>
      </c>
      <c r="B3018" s="4" t="s">
        <v>3792</v>
      </c>
      <c r="C3018" s="5" t="str">
        <f>IFERROR(__xludf.DUMMYFUNCTION("GOOGLETRANSLATE(B3018,""en"",""zh-CN"")"),"您将对象放在包装纸上开始。")</f>
        <v>您将对象放在包装纸上开始。</v>
      </c>
    </row>
    <row r="3019">
      <c r="A3019" s="4" t="s">
        <v>3790</v>
      </c>
      <c r="B3019" s="4" t="s">
        <v>3793</v>
      </c>
      <c r="C3019" s="5" t="str">
        <f>IFERROR(__xludf.DUMMYFUNCTION("GOOGLETRANSLATE(B3019,""en"",""zh-CN"")"),"之后，折叠纸的尖端，抓住剪刀并切条。")</f>
        <v>之后，折叠纸的尖端，抓住剪刀并切条。</v>
      </c>
    </row>
    <row r="3020">
      <c r="A3020" s="4" t="s">
        <v>3790</v>
      </c>
      <c r="B3020" s="4" t="s">
        <v>3794</v>
      </c>
      <c r="C3020" s="5" t="str">
        <f>IFERROR(__xludf.DUMMYFUNCTION("GOOGLETRANSLATE(B3020,""en"",""zh-CN"")"),"然后，您使用胶带将其固定下来，然后用弓上放上它。")</f>
        <v>然后，您使用胶带将其固定下来，然后用弓上放上它。</v>
      </c>
    </row>
    <row r="3021">
      <c r="A3021" s="4" t="s">
        <v>3795</v>
      </c>
      <c r="B3021" s="4" t="s">
        <v>3796</v>
      </c>
      <c r="C3021" s="5" t="str">
        <f>IFERROR(__xludf.DUMMYFUNCTION("GOOGLETRANSLATE(B3021,""en"",""zh-CN"")"),"该视频从标题屏幕开始。")</f>
        <v>该视频从标题屏幕开始。</v>
      </c>
    </row>
    <row r="3022">
      <c r="A3022" s="4" t="s">
        <v>3795</v>
      </c>
      <c r="B3022" s="6" t="s">
        <v>3797</v>
      </c>
      <c r="C3022" s="5" t="str">
        <f>IFERROR(__xludf.DUMMYFUNCTION("GOOGLETRANSLATE(B3022,""en"",""zh-CN"")"),"在男人在背景中打排球的时候，在体育馆里看到一个老人在健身房讲话。")</f>
        <v>在男人在背景中打排球的时候，在体育馆里看到一个老人在健身房讲话。</v>
      </c>
    </row>
    <row r="3023">
      <c r="A3023" s="4" t="s">
        <v>3795</v>
      </c>
      <c r="B3023" s="4" t="s">
        <v>3798</v>
      </c>
      <c r="C3023" s="5" t="str">
        <f>IFERROR(__xludf.DUMMYFUNCTION("GOOGLETRANSLATE(B3023,""en"",""zh-CN"")"),"一个模拟的屏幕显示排球法庭在他讲话时显示。")</f>
        <v>一个模拟的屏幕显示排球法庭在他讲话时显示。</v>
      </c>
    </row>
    <row r="3024">
      <c r="A3024" s="4" t="s">
        <v>3795</v>
      </c>
      <c r="B3024" s="4" t="s">
        <v>3799</v>
      </c>
      <c r="C3024" s="5" t="str">
        <f>IFERROR(__xludf.DUMMYFUNCTION("GOOGLETRANSLATE(B3024,""en"",""zh-CN"")"),"然后，该视频又回到了指导球员的年长男人身上。")</f>
        <v>然后，该视频又回到了指导球员的年长男人身上。</v>
      </c>
    </row>
    <row r="3025">
      <c r="A3025" s="4" t="s">
        <v>3795</v>
      </c>
      <c r="B3025" s="4" t="s">
        <v>3800</v>
      </c>
      <c r="C3025" s="5" t="str">
        <f>IFERROR(__xludf.DUMMYFUNCTION("GOOGLETRANSLATE(B3025,""en"",""zh-CN"")"),"这些人开始来回扔排球。")</f>
        <v>这些人开始来回扔排球。</v>
      </c>
    </row>
    <row r="3026">
      <c r="A3026" s="4" t="s">
        <v>3795</v>
      </c>
      <c r="B3026" s="4" t="s">
        <v>3801</v>
      </c>
      <c r="C3026" s="5" t="str">
        <f>IFERROR(__xludf.DUMMYFUNCTION("GOOGLETRANSLATE(B3026,""en"",""zh-CN"")"),"视频以最终标题屏幕结束。")</f>
        <v>视频以最终标题屏幕结束。</v>
      </c>
    </row>
    <row r="3027">
      <c r="A3027" s="4" t="s">
        <v>3802</v>
      </c>
      <c r="B3027" s="4" t="s">
        <v>3803</v>
      </c>
      <c r="C3027" s="5" t="str">
        <f>IFERROR(__xludf.DUMMYFUNCTION("GOOGLETRANSLATE(B3027,""en"",""zh-CN"")"),"一个坐在桌子上的亚洲女孩描述了手臂摔跤。")</f>
        <v>一个坐在桌子上的亚洲女孩描述了手臂摔跤。</v>
      </c>
    </row>
    <row r="3028">
      <c r="A3028" s="4" t="s">
        <v>3802</v>
      </c>
      <c r="B3028" s="4" t="s">
        <v>3804</v>
      </c>
      <c r="C3028" s="5" t="str">
        <f>IFERROR(__xludf.DUMMYFUNCTION("GOOGLETRANSLATE(B3028,""en"",""zh-CN"")"),"这个女孩介绍了一个亚洲男孩，他坐在亚洲女孩对面。")</f>
        <v>这个女孩介绍了一个亚洲男孩，他坐在亚洲女孩对面。</v>
      </c>
    </row>
    <row r="3029">
      <c r="A3029" s="4" t="s">
        <v>3802</v>
      </c>
      <c r="B3029" s="6" t="s">
        <v>3805</v>
      </c>
      <c r="C3029" s="5" t="str">
        <f>IFERROR(__xludf.DUMMYFUNCTION("GOOGLETRANSLATE(B3029,""en"",""zh-CN"")"),"当裁判站在女孩的手臂摔跤手上方时，女孩和男孩准备手臂摔跤，同时使用武器并朝错误的方向推动。")</f>
        <v>当裁判站在女孩的手臂摔跤手上方时，女孩和男孩准备手臂摔跤，同时使用武器并朝错误的方向推动。</v>
      </c>
    </row>
    <row r="3030">
      <c r="A3030" s="4" t="s">
        <v>3802</v>
      </c>
      <c r="B3030" s="6" t="s">
        <v>3806</v>
      </c>
      <c r="C3030" s="5" t="str">
        <f>IFERROR(__xludf.DUMMYFUNCTION("GOOGLETRANSLATE(B3030,""en"",""zh-CN"")"),"女孩和男孩的手臂摔跤手再次将他们设置为他们开始搏斗。")</f>
        <v>女孩和男孩的手臂摔跤手再次将他们设置为他们开始搏斗。</v>
      </c>
    </row>
    <row r="3031">
      <c r="A3031" s="4" t="s">
        <v>3802</v>
      </c>
      <c r="B3031" s="4" t="s">
        <v>3807</v>
      </c>
      <c r="C3031" s="5" t="str">
        <f>IFERROR(__xludf.DUMMYFUNCTION("GOOGLETRANSLATE(B3031,""en"",""zh-CN"")"),"女孩摔跤手试图用胳膊和她的身体摔跤，但落在地板上。")</f>
        <v>女孩摔跤手试图用胳膊和她的身体摔跤，但落在地板上。</v>
      </c>
    </row>
    <row r="3032">
      <c r="A3032" s="4" t="s">
        <v>3808</v>
      </c>
      <c r="B3032" s="6" t="s">
        <v>3809</v>
      </c>
      <c r="C3032" s="5" t="str">
        <f>IFERROR(__xludf.DUMMYFUNCTION("GOOGLETRANSLATE(B3032,""en"",""zh-CN"")"),"看到三名男子坐在一组Bongo鼓后面演奏，同时显示了几次相机闪光灯。")</f>
        <v>看到三名男子坐在一组Bongo鼓后面演奏，同时显示了几次相机闪光灯。</v>
      </c>
    </row>
    <row r="3033">
      <c r="A3033" s="4" t="s">
        <v>3808</v>
      </c>
      <c r="B3033" s="4" t="s">
        <v>3810</v>
      </c>
      <c r="C3033" s="5" t="str">
        <f>IFERROR(__xludf.DUMMYFUNCTION("GOOGLETRANSLATE(B3033,""en"",""zh-CN"")"),"这些人在笑着互相微笑时继续玩。")</f>
        <v>这些人在笑着互相微笑时继续玩。</v>
      </c>
    </row>
    <row r="3034">
      <c r="A3034" s="4" t="s">
        <v>3811</v>
      </c>
      <c r="B3034" s="6" t="s">
        <v>3812</v>
      </c>
      <c r="C3034" s="5" t="str">
        <f>IFERROR(__xludf.DUMMYFUNCTION("GOOGLETRANSLATE(B3034,""en"",""zh-CN"")"),"一个十几岁的男孩跳上滑板，在街道上滑冰，然后沿着车道溜进车道，然后回到街道上。")</f>
        <v>一个十几岁的男孩跳上滑板，在街道上滑冰，然后沿着车道溜进车道，然后回到街道上。</v>
      </c>
    </row>
    <row r="3035">
      <c r="A3035" s="4" t="s">
        <v>3811</v>
      </c>
      <c r="B3035" s="4" t="s">
        <v>3813</v>
      </c>
      <c r="C3035" s="5" t="str">
        <f>IFERROR(__xludf.DUMMYFUNCTION("GOOGLETRANSLATE(B3035,""en"",""zh-CN"")"),"他卸下董事会时说话，说话。")</f>
        <v>他卸下董事会时说话，说话。</v>
      </c>
    </row>
    <row r="3036">
      <c r="A3036" s="4" t="s">
        <v>3811</v>
      </c>
      <c r="B3036" s="4" t="s">
        <v>3814</v>
      </c>
      <c r="C3036" s="5" t="str">
        <f>IFERROR(__xludf.DUMMYFUNCTION("GOOGLETRANSLATE(B3036,""en"",""zh-CN"")"),"他戴着太阳镜对镜头微笑。")</f>
        <v>他戴着太阳镜对镜头微笑。</v>
      </c>
    </row>
    <row r="3037">
      <c r="A3037" s="4" t="s">
        <v>3815</v>
      </c>
      <c r="B3037" s="4" t="s">
        <v>3816</v>
      </c>
      <c r="C3037" s="5" t="str">
        <f>IFERROR(__xludf.DUMMYFUNCTION("GOOGLETRANSLATE(B3037,""en"",""zh-CN"")"),"一个青少年在房间里玩小提琴。")</f>
        <v>一个青少年在房间里玩小提琴。</v>
      </c>
    </row>
    <row r="3038">
      <c r="A3038" s="4" t="s">
        <v>3815</v>
      </c>
      <c r="B3038" s="4" t="s">
        <v>3817</v>
      </c>
      <c r="C3038" s="5" t="str">
        <f>IFERROR(__xludf.DUMMYFUNCTION("GOOGLETRANSLATE(B3038,""en"",""zh-CN"")"),"这名少年用左手握住小提琴，移动手指并用弓踢。")</f>
        <v>这名少年用左手握住小提琴，移动手指并用弓踢。</v>
      </c>
    </row>
    <row r="3039">
      <c r="A3039" s="4" t="s">
        <v>3815</v>
      </c>
      <c r="B3039" s="4" t="s">
        <v>3818</v>
      </c>
      <c r="C3039" s="5" t="str">
        <f>IFERROR(__xludf.DUMMYFUNCTION("GOOGLETRANSLATE(B3039,""en"",""zh-CN"")"),"然后，少年扮演小提琴。")</f>
        <v>然后，少年扮演小提琴。</v>
      </c>
    </row>
    <row r="3040">
      <c r="A3040" s="4" t="s">
        <v>3819</v>
      </c>
      <c r="B3040" s="4" t="s">
        <v>3820</v>
      </c>
      <c r="C3040" s="5" t="str">
        <f>IFERROR(__xludf.DUMMYFUNCTION("GOOGLETRANSLATE(B3040,""en"",""zh-CN"")"),"一个男人在海滩上骑自行车。")</f>
        <v>一个男人在海滩上骑自行车。</v>
      </c>
    </row>
    <row r="3041">
      <c r="A3041" s="4" t="s">
        <v>3819</v>
      </c>
      <c r="B3041" s="4" t="s">
        <v>3821</v>
      </c>
      <c r="C3041" s="5" t="str">
        <f>IFERROR(__xludf.DUMMYFUNCTION("GOOGLETRANSLATE(B3041,""en"",""zh-CN"")"),"他打磨了冲浪板。")</f>
        <v>他打磨了冲浪板。</v>
      </c>
    </row>
    <row r="3042">
      <c r="A3042" s="4" t="s">
        <v>3819</v>
      </c>
      <c r="B3042" s="4" t="s">
        <v>3822</v>
      </c>
      <c r="C3042" s="5" t="str">
        <f>IFERROR(__xludf.DUMMYFUNCTION("GOOGLETRANSLATE(B3042,""en"",""zh-CN"")"),"他在水中冲浪。")</f>
        <v>他在水中冲浪。</v>
      </c>
    </row>
    <row r="3043">
      <c r="A3043" s="4" t="s">
        <v>3823</v>
      </c>
      <c r="B3043" s="4" t="s">
        <v>3824</v>
      </c>
      <c r="C3043" s="5" t="str">
        <f>IFERROR(__xludf.DUMMYFUNCTION("GOOGLETRANSLATE(B3043,""en"",""zh-CN"")"),"人们正在海滩上的沙滩上玩排球比赛。")</f>
        <v>人们正在海滩上的沙滩上玩排球比赛。</v>
      </c>
    </row>
    <row r="3044">
      <c r="A3044" s="4" t="s">
        <v>3823</v>
      </c>
      <c r="B3044" s="4" t="s">
        <v>3825</v>
      </c>
      <c r="C3044" s="5" t="str">
        <f>IFERROR(__xludf.DUMMYFUNCTION("GOOGLETRANSLATE(B3044,""en"",""zh-CN"")"),"人们在海滩上打鼓。")</f>
        <v>人们在海滩上打鼓。</v>
      </c>
    </row>
    <row r="3045">
      <c r="A3045" s="4" t="s">
        <v>3823</v>
      </c>
      <c r="B3045" s="4" t="s">
        <v>3826</v>
      </c>
      <c r="C3045" s="5" t="str">
        <f>IFERROR(__xludf.DUMMYFUNCTION("GOOGLETRANSLATE(B3045,""en"",""zh-CN"")"),"一个穿着黄色服装的女人在跳舞。")</f>
        <v>一个穿着黄色服装的女人在跳舞。</v>
      </c>
    </row>
    <row r="3046">
      <c r="A3046" s="4" t="s">
        <v>3823</v>
      </c>
      <c r="B3046" s="4" t="s">
        <v>3827</v>
      </c>
      <c r="C3046" s="5" t="str">
        <f>IFERROR(__xludf.DUMMYFUNCTION("GOOGLETRANSLATE(B3046,""en"",""zh-CN"")"),"团队为横幅后面的照片摆姿势。")</f>
        <v>团队为横幅后面的照片摆姿势。</v>
      </c>
    </row>
    <row r="3047">
      <c r="A3047" s="4" t="s">
        <v>3828</v>
      </c>
      <c r="B3047" s="4" t="s">
        <v>3829</v>
      </c>
      <c r="C3047" s="5" t="str">
        <f>IFERROR(__xludf.DUMMYFUNCTION("GOOGLETRANSLATE(B3047,""en"",""zh-CN"")"),"穿着西装的男人出现在屏幕上。")</f>
        <v>穿着西装的男人出现在屏幕上。</v>
      </c>
    </row>
    <row r="3048">
      <c r="A3048" s="4" t="s">
        <v>3828</v>
      </c>
      <c r="B3048" s="4" t="s">
        <v>3830</v>
      </c>
      <c r="C3048" s="5" t="str">
        <f>IFERROR(__xludf.DUMMYFUNCTION("GOOGLETRANSLATE(B3048,""en"",""zh-CN"")"),"这个男人开始与另一个男人战斗。")</f>
        <v>这个男人开始与另一个男人战斗。</v>
      </c>
    </row>
    <row r="3049">
      <c r="A3049" s="4" t="s">
        <v>3828</v>
      </c>
      <c r="B3049" s="4" t="s">
        <v>3831</v>
      </c>
      <c r="C3049" s="5" t="str">
        <f>IFERROR(__xludf.DUMMYFUNCTION("GOOGLETRANSLATE(B3049,""en"",""zh-CN"")"),"穿着西装的男人重新安置了他的立场。")</f>
        <v>穿着西装的男人重新安置了他的立场。</v>
      </c>
    </row>
    <row r="3050">
      <c r="A3050" s="4" t="s">
        <v>3828</v>
      </c>
      <c r="B3050" s="4" t="s">
        <v>3832</v>
      </c>
      <c r="C3050" s="5" t="str">
        <f>IFERROR(__xludf.DUMMYFUNCTION("GOOGLETRANSLATE(B3050,""en"",""zh-CN"")"),"在战斗之后，穿着西装的男人再次重新安置了他的立场。")</f>
        <v>在战斗之后，穿着西装的男人再次重新安置了他的立场。</v>
      </c>
    </row>
    <row r="3051">
      <c r="A3051" s="4" t="s">
        <v>3828</v>
      </c>
      <c r="B3051" s="6" t="s">
        <v>3833</v>
      </c>
      <c r="C3051" s="5" t="str">
        <f>IFERROR(__xludf.DUMMYFUNCTION("GOOGLETRANSLATE(B3051,""en"",""zh-CN"")"),"战斗继续进行后，另一个男人出现在房间里，护送这名男子穿着西装。")</f>
        <v>战斗继续进行后，另一个男人出现在房间里，护送这名男子穿着西装。</v>
      </c>
    </row>
    <row r="3052">
      <c r="A3052" s="4" t="s">
        <v>3834</v>
      </c>
      <c r="B3052" s="4" t="s">
        <v>3835</v>
      </c>
      <c r="C3052" s="5" t="str">
        <f>IFERROR(__xludf.DUMMYFUNCTION("GOOGLETRANSLATE(B3052,""en"",""zh-CN"")"),"看到一个男人对镜头说话，然后将其扔回到钢琴上。")</f>
        <v>看到一个男人对镜头说话，然后将其扔回到钢琴上。</v>
      </c>
    </row>
    <row r="3053">
      <c r="A3053" s="4" t="s">
        <v>3834</v>
      </c>
      <c r="B3053" s="4" t="s">
        <v>3836</v>
      </c>
      <c r="C3053" s="5" t="str">
        <f>IFERROR(__xludf.DUMMYFUNCTION("GOOGLETRANSLATE(B3053,""en"",""zh-CN"")"),"然后，当相机捕捉他的动作时，该男子开始弹钢琴。")</f>
        <v>然后，当相机捕捉他的动作时，该男子开始弹钢琴。</v>
      </c>
    </row>
    <row r="3054">
      <c r="A3054" s="4" t="s">
        <v>3834</v>
      </c>
      <c r="B3054" s="4" t="s">
        <v>3837</v>
      </c>
      <c r="C3054" s="5" t="str">
        <f>IFERROR(__xludf.DUMMYFUNCTION("GOOGLETRANSLATE(B3054,""en"",""zh-CN"")"),"他通过关闭相机并望向远处而继续演奏和结束。")</f>
        <v>他通过关闭相机并望向远处而继续演奏和结束。</v>
      </c>
    </row>
    <row r="3055">
      <c r="A3055" s="4" t="s">
        <v>3838</v>
      </c>
      <c r="B3055" s="4" t="s">
        <v>3839</v>
      </c>
      <c r="C3055" s="5" t="str">
        <f>IFERROR(__xludf.DUMMYFUNCTION("GOOGLETRANSLATE(B3055,""en"",""zh-CN"")"),"一个女人把猫抱在桌子上。")</f>
        <v>一个女人把猫抱在桌子上。</v>
      </c>
    </row>
    <row r="3056">
      <c r="A3056" s="4" t="s">
        <v>3838</v>
      </c>
      <c r="B3056" s="4" t="s">
        <v>3840</v>
      </c>
      <c r="C3056" s="5" t="str">
        <f>IFERROR(__xludf.DUMMYFUNCTION("GOOGLETRANSLATE(B3056,""en"",""zh-CN"")"),"她开始用工具剪掉猫指甲。")</f>
        <v>她开始用工具剪掉猫指甲。</v>
      </c>
    </row>
    <row r="3057">
      <c r="A3057" s="4" t="s">
        <v>3838</v>
      </c>
      <c r="B3057" s="4" t="s">
        <v>3841</v>
      </c>
      <c r="C3057" s="5" t="str">
        <f>IFERROR(__xludf.DUMMYFUNCTION("GOOGLETRANSLATE(B3057,""en"",""zh-CN"")"),"她结束了猫，宠物。")</f>
        <v>她结束了猫，宠物。</v>
      </c>
    </row>
    <row r="3058">
      <c r="A3058" s="4" t="s">
        <v>3842</v>
      </c>
      <c r="B3058" s="4" t="s">
        <v>3843</v>
      </c>
      <c r="C3058" s="5" t="str">
        <f>IFERROR(__xludf.DUMMYFUNCTION("GOOGLETRANSLATE(B3058,""en"",""zh-CN"")"),"一个男人和一个男孩在海滩上制作一座沙城堡。")</f>
        <v>一个男人和一个男孩在海滩上制作一座沙城堡。</v>
      </c>
    </row>
    <row r="3059">
      <c r="A3059" s="4" t="s">
        <v>3842</v>
      </c>
      <c r="B3059" s="4" t="s">
        <v>3844</v>
      </c>
      <c r="C3059" s="5" t="str">
        <f>IFERROR(__xludf.DUMMYFUNCTION("GOOGLETRANSLATE(B3059,""en"",""zh-CN"")"),"人们接近观看城堡，并开始将小房子置于隔壁的沙城堡。")</f>
        <v>人们接近观看城堡，并开始将小房子置于隔壁的沙城堡。</v>
      </c>
    </row>
    <row r="3060">
      <c r="A3060" s="4" t="s">
        <v>3842</v>
      </c>
      <c r="B3060" s="4" t="s">
        <v>3845</v>
      </c>
      <c r="C3060" s="5" t="str">
        <f>IFERROR(__xludf.DUMMYFUNCTION("GOOGLETRANSLATE(B3060,""en"",""zh-CN"")"),"一个小女孩正在城堡旁边做更多的房子。")</f>
        <v>一个小女孩正在城堡旁边做更多的房子。</v>
      </c>
    </row>
    <row r="3061">
      <c r="A3061" s="4" t="s">
        <v>3842</v>
      </c>
      <c r="B3061" s="4" t="s">
        <v>3846</v>
      </c>
      <c r="C3061" s="5" t="str">
        <f>IFERROR(__xludf.DUMMYFUNCTION("GOOGLETRANSLATE(B3061,""en"",""zh-CN"")"),"该男子在中心挖一个洞，而男孩帮助延伸城堡。")</f>
        <v>该男子在中心挖一个洞，而男孩帮助延伸城堡。</v>
      </c>
    </row>
    <row r="3062">
      <c r="A3062" s="4" t="s">
        <v>3847</v>
      </c>
      <c r="B3062" s="4" t="s">
        <v>3848</v>
      </c>
      <c r="C3062" s="5" t="str">
        <f>IFERROR(__xludf.DUMMYFUNCTION("GOOGLETRANSLATE(B3062,""en"",""zh-CN"")"),"一个女人戴着帽子在街上行走。")</f>
        <v>一个女人戴着帽子在街上行走。</v>
      </c>
    </row>
    <row r="3063">
      <c r="A3063" s="4" t="s">
        <v>3847</v>
      </c>
      <c r="B3063" s="6" t="s">
        <v>3849</v>
      </c>
      <c r="C3063" s="5" t="str">
        <f>IFERROR(__xludf.DUMMYFUNCTION("GOOGLETRANSLATE(B3063,""en"",""zh-CN"")"),"一个城市在地图上放大，然后一个女孩在空中翻转时在船上拖着的水天空。")</f>
        <v>一个城市在地图上放大，然后一个女孩在空中翻转时在船上拖着的水天空。</v>
      </c>
    </row>
    <row r="3064">
      <c r="A3064" s="4" t="s">
        <v>3847</v>
      </c>
      <c r="B3064" s="6" t="s">
        <v>3850</v>
      </c>
      <c r="C3064" s="5" t="str">
        <f>IFERROR(__xludf.DUMMYFUNCTION("GOOGLETRANSLATE(B3064,""en"",""zh-CN"")"),"一条道路通往水滑雪站，然后一个女人在水上滑雪绳的水上滑行。")</f>
        <v>一条道路通往水滑雪站，然后一个女人在水上滑雪绳的水上滑行。</v>
      </c>
    </row>
    <row r="3065">
      <c r="A3065" s="4" t="s">
        <v>3847</v>
      </c>
      <c r="B3065" s="4" t="s">
        <v>3851</v>
      </c>
      <c r="C3065" s="5" t="str">
        <f>IFERROR(__xludf.DUMMYFUNCTION("GOOGLETRANSLATE(B3065,""en"",""zh-CN"")"),"一个男人给女孩拍照。")</f>
        <v>一个男人给女孩拍照。</v>
      </c>
    </row>
    <row r="3066">
      <c r="A3066" s="4" t="s">
        <v>3847</v>
      </c>
      <c r="B3066" s="4" t="s">
        <v>3852</v>
      </c>
      <c r="C3066" s="5" t="str">
        <f>IFERROR(__xludf.DUMMYFUNCTION("GOOGLETRANSLATE(B3066,""en"",""zh-CN"")"),"然后，女孩换衣服，站在卡车上拿着奖品。")</f>
        <v>然后，女孩换衣服，站在卡车上拿着奖品。</v>
      </c>
    </row>
    <row r="3067">
      <c r="A3067" s="4" t="s">
        <v>3853</v>
      </c>
      <c r="B3067" s="4" t="s">
        <v>3854</v>
      </c>
      <c r="C3067" s="5" t="str">
        <f>IFERROR(__xludf.DUMMYFUNCTION("GOOGLETRANSLATE(B3067,""en"",""zh-CN"")"),"女人正站在赛道上，开始跑步以跳远。")</f>
        <v>女人正站在赛道上，开始跑步以跳远。</v>
      </c>
    </row>
    <row r="3068">
      <c r="A3068" s="4" t="s">
        <v>3853</v>
      </c>
      <c r="B3068" s="4" t="s">
        <v>3855</v>
      </c>
      <c r="C3068" s="5" t="str">
        <f>IFERROR(__xludf.DUMMYFUNCTION("GOOGLETRANSLATE(B3068,""en"",""zh-CN"")"),"男人站着并标记了女人跳的空间。")</f>
        <v>男人站着并标记了女人跳的空间。</v>
      </c>
    </row>
    <row r="3069">
      <c r="A3069" s="4" t="s">
        <v>3853</v>
      </c>
      <c r="B3069" s="6" t="s">
        <v>3856</v>
      </c>
      <c r="C3069" s="5" t="str">
        <f>IFERROR(__xludf.DUMMYFUNCTION("GOOGLETRANSLATE(B3069,""en"",""zh-CN"")"),"跳远重复，一名新女人在赛道上奔跑，使跳远也是一名男子坐在旗帜上。")</f>
        <v>跳远重复，一名新女人在赛道上奔跑，使跳远也是一名男子坐在旗帜上。</v>
      </c>
    </row>
    <row r="3070">
      <c r="A3070" s="4" t="s">
        <v>3853</v>
      </c>
      <c r="B3070" s="6" t="s">
        <v>3857</v>
      </c>
      <c r="C3070" s="5" t="str">
        <f>IFERROR(__xludf.DUMMYFUNCTION("GOOGLETRANSLATE(B3070,""en"",""zh-CN"")"),"女人参加了trakc，而其他男人则在后台，而女人则在比赛中跳远，然后在结果中显示了重复。")</f>
        <v>女人参加了trakc，而其他男人则在后台，而女人则在比赛中跳远，然后在结果中显示了重复。</v>
      </c>
    </row>
    <row r="3071">
      <c r="A3071" s="4" t="s">
        <v>3858</v>
      </c>
      <c r="B3071" s="4" t="s">
        <v>3859</v>
      </c>
      <c r="C3071" s="5" t="str">
        <f>IFERROR(__xludf.DUMMYFUNCTION("GOOGLETRANSLATE(B3071,""en"",""zh-CN"")"),"我们看到一个开放标题屏幕。")</f>
        <v>我们看到一个开放标题屏幕。</v>
      </c>
    </row>
    <row r="3072">
      <c r="A3072" s="4" t="s">
        <v>3858</v>
      </c>
      <c r="B3072" s="4" t="s">
        <v>3860</v>
      </c>
      <c r="C3072" s="5" t="str">
        <f>IFERROR(__xludf.DUMMYFUNCTION("GOOGLETRANSLATE(B3072,""en"",""zh-CN"")"),"我们看到一个男人握着真空，并用真空拿着两个保龄球。")</f>
        <v>我们看到一个男人握着真空，并用真空拿着两个保龄球。</v>
      </c>
    </row>
    <row r="3073">
      <c r="A3073" s="4" t="s">
        <v>3858</v>
      </c>
      <c r="B3073" s="4" t="s">
        <v>3861</v>
      </c>
      <c r="C3073" s="5" t="str">
        <f>IFERROR(__xludf.DUMMYFUNCTION("GOOGLETRANSLATE(B3073,""en"",""zh-CN"")"),"该人真空楼梯和一个内部汽车。")</f>
        <v>该人真空楼梯和一个内部汽车。</v>
      </c>
    </row>
    <row r="3074">
      <c r="A3074" s="4" t="s">
        <v>3858</v>
      </c>
      <c r="B3074" s="4" t="s">
        <v>3862</v>
      </c>
      <c r="C3074" s="5" t="str">
        <f>IFERROR(__xludf.DUMMYFUNCTION("GOOGLETRANSLATE(B3074,""en"",""zh-CN"")"),"我们看到真空，那个人真空吸尘器，沙发，百叶窗和其他人。")</f>
        <v>我们看到真空，那个人真空吸尘器，沙发，百叶窗和其他人。</v>
      </c>
    </row>
    <row r="3075">
      <c r="A3075" s="4" t="s">
        <v>3858</v>
      </c>
      <c r="B3075" s="4" t="s">
        <v>3863</v>
      </c>
      <c r="C3075" s="5" t="str">
        <f>IFERROR(__xludf.DUMMYFUNCTION("GOOGLETRANSLATE(B3075,""en"",""zh-CN"")"),"我们看到那个人空着罐，并将真空放在壁橱里。")</f>
        <v>我们看到那个人空着罐，并将真空放在壁橱里。</v>
      </c>
    </row>
    <row r="3076">
      <c r="A3076" s="4" t="s">
        <v>3864</v>
      </c>
      <c r="B3076" s="6" t="s">
        <v>3865</v>
      </c>
      <c r="C3076" s="5" t="str">
        <f>IFERROR(__xludf.DUMMYFUNCTION("GOOGLETRANSLATE(B3076,""en"",""zh-CN"")"),"有两个小男孩，一个穿着红色衬衫，另一个穿着保龄球馆的条纹衬衫。")</f>
        <v>有两个小男孩，一个穿着红色衬衫，另一个穿着保龄球馆的条纹衬衫。</v>
      </c>
    </row>
    <row r="3077">
      <c r="A3077" s="4" t="s">
        <v>3864</v>
      </c>
      <c r="B3077" s="4" t="s">
        <v>3866</v>
      </c>
      <c r="C3077" s="5" t="str">
        <f>IFERROR(__xludf.DUMMYFUNCTION("GOOGLETRANSLATE(B3077,""en"",""zh-CN"")"),"那个男孩在红色衬衫碗上，上面有一个大绿球，击中了罢工。")</f>
        <v>那个男孩在红色衬衫碗上，上面有一个大绿球，击中了罢工。</v>
      </c>
    </row>
    <row r="3078">
      <c r="A3078" s="4" t="s">
        <v>3864</v>
      </c>
      <c r="B3078" s="4" t="s">
        <v>3867</v>
      </c>
      <c r="C3078" s="5" t="str">
        <f>IFERROR(__xludf.DUMMYFUNCTION("GOOGLETRANSLATE(B3078,""en"",""zh-CN"")"),"他赢得胜利后，他欣喜若狂，开始欢乐地跳跃。")</f>
        <v>他赢得胜利后，他欣喜若狂，开始欢乐地跳跃。</v>
      </c>
    </row>
    <row r="3079">
      <c r="A3079" s="4" t="s">
        <v>3868</v>
      </c>
      <c r="B3079" s="4" t="s">
        <v>3869</v>
      </c>
      <c r="C3079" s="5" t="str">
        <f>IFERROR(__xludf.DUMMYFUNCTION("GOOGLETRANSLATE(B3079,""en"",""zh-CN"")"),"一个女人在舞台上跳舞。")</f>
        <v>一个女人在舞台上跳舞。</v>
      </c>
    </row>
    <row r="3080">
      <c r="A3080" s="4" t="s">
        <v>3868</v>
      </c>
      <c r="B3080" s="4" t="s">
        <v>3870</v>
      </c>
      <c r="C3080" s="5" t="str">
        <f>IFERROR(__xludf.DUMMYFUNCTION("GOOGLETRANSLATE(B3080,""en"",""zh-CN"")"),"她拿起麦克风并开始唱歌。")</f>
        <v>她拿起麦克风并开始唱歌。</v>
      </c>
    </row>
    <row r="3081">
      <c r="A3081" s="4" t="s">
        <v>3868</v>
      </c>
      <c r="B3081" s="4" t="s">
        <v>3871</v>
      </c>
      <c r="C3081" s="5" t="str">
        <f>IFERROR(__xludf.DUMMYFUNCTION("GOOGLETRANSLATE(B3081,""en"",""zh-CN"")"),"她开始在她面前演奏鼓。")</f>
        <v>她开始在她面前演奏鼓。</v>
      </c>
    </row>
    <row r="3082">
      <c r="A3082" s="4" t="s">
        <v>3872</v>
      </c>
      <c r="B3082" s="4" t="s">
        <v>3873</v>
      </c>
      <c r="C3082" s="5" t="str">
        <f>IFERROR(__xludf.DUMMYFUNCTION("GOOGLETRANSLATE(B3082,""en"",""zh-CN"")"),"年轻人携带充气船并进入水中。")</f>
        <v>年轻人携带充气船并进入水中。</v>
      </c>
    </row>
    <row r="3083">
      <c r="A3083" s="4" t="s">
        <v>3872</v>
      </c>
      <c r="B3083" s="4" t="s">
        <v>3874</v>
      </c>
      <c r="C3083" s="5" t="str">
        <f>IFERROR(__xludf.DUMMYFUNCTION("GOOGLETRANSLATE(B3083,""en"",""zh-CN"")"),"然后，年轻人面向船上，在河里航行。")</f>
        <v>然后，年轻人面向船上，在河里航行。</v>
      </c>
    </row>
    <row r="3084">
      <c r="A3084" s="4" t="s">
        <v>3872</v>
      </c>
      <c r="B3084" s="4" t="s">
        <v>3875</v>
      </c>
      <c r="C3084" s="5" t="str">
        <f>IFERROR(__xludf.DUMMYFUNCTION("GOOGLETRANSLATE(B3084,""en"",""zh-CN"")"),"之后，这些人在水中前进，移动手以帮助前进。")</f>
        <v>之后，这些人在水中前进，移动手以帮助前进。</v>
      </c>
    </row>
    <row r="3085">
      <c r="A3085" s="4" t="s">
        <v>3876</v>
      </c>
      <c r="B3085" s="4" t="s">
        <v>3877</v>
      </c>
      <c r="C3085" s="5" t="str">
        <f>IFERROR(__xludf.DUMMYFUNCTION("GOOGLETRANSLATE(B3085,""en"",""zh-CN"")"),"一个女人站在柜台前的厨房里。")</f>
        <v>一个女人站在柜台前的厨房里。</v>
      </c>
    </row>
    <row r="3086">
      <c r="A3086" s="4" t="s">
        <v>3876</v>
      </c>
      <c r="B3086" s="4" t="s">
        <v>3878</v>
      </c>
      <c r="C3086" s="5" t="str">
        <f>IFERROR(__xludf.DUMMYFUNCTION("GOOGLETRANSLATE(B3086,""en"",""zh-CN"")"),"她展示了一盘食物和几种成分。")</f>
        <v>她展示了一盘食物和几种成分。</v>
      </c>
    </row>
    <row r="3087">
      <c r="A3087" s="4" t="s">
        <v>3876</v>
      </c>
      <c r="B3087" s="4" t="s">
        <v>3879</v>
      </c>
      <c r="C3087" s="5" t="str">
        <f>IFERROR(__xludf.DUMMYFUNCTION("GOOGLETRANSLATE(B3087,""en"",""zh-CN"")"),"她在锅里煮意大利面，排干。")</f>
        <v>她在锅里煮意大利面，排干。</v>
      </c>
    </row>
    <row r="3088">
      <c r="A3088" s="4" t="s">
        <v>3876</v>
      </c>
      <c r="B3088" s="4" t="s">
        <v>3880</v>
      </c>
      <c r="C3088" s="5" t="str">
        <f>IFERROR(__xludf.DUMMYFUNCTION("GOOGLETRANSLATE(B3088,""en"",""zh-CN"")"),"然后，她混合奶酪，orzo和蔬菜，制成orzo面食沙拉。")</f>
        <v>然后，她混合奶酪，orzo和蔬菜，制成orzo面食沙拉。</v>
      </c>
    </row>
    <row r="3089">
      <c r="A3089" s="4" t="s">
        <v>3876</v>
      </c>
      <c r="B3089" s="4" t="s">
        <v>3881</v>
      </c>
      <c r="C3089" s="5" t="str">
        <f>IFERROR(__xludf.DUMMYFUNCTION("GOOGLETRANSLATE(B3089,""en"",""zh-CN"")"),"她咬了一口食物。")</f>
        <v>她咬了一口食物。</v>
      </c>
    </row>
    <row r="3090">
      <c r="A3090" s="4" t="s">
        <v>3882</v>
      </c>
      <c r="B3090" s="4" t="s">
        <v>3883</v>
      </c>
      <c r="C3090" s="5" t="str">
        <f>IFERROR(__xludf.DUMMYFUNCTION("GOOGLETRANSLATE(B3090,""en"",""zh-CN"")"),"一个女士和一个孩子在泥土上洗碗。")</f>
        <v>一个女士和一个孩子在泥土上洗碗。</v>
      </c>
    </row>
    <row r="3091">
      <c r="A3091" s="4" t="s">
        <v>3882</v>
      </c>
      <c r="B3091" s="4" t="s">
        <v>3884</v>
      </c>
      <c r="C3091" s="5" t="str">
        <f>IFERROR(__xludf.DUMMYFUNCTION("GOOGLETRANSLATE(B3091,""en"",""zh-CN"")"),"小女孩走开了。")</f>
        <v>小女孩走开了。</v>
      </c>
    </row>
    <row r="3092">
      <c r="A3092" s="4" t="s">
        <v>3882</v>
      </c>
      <c r="B3092" s="4" t="s">
        <v>3885</v>
      </c>
      <c r="C3092" s="5" t="str">
        <f>IFERROR(__xludf.DUMMYFUNCTION("GOOGLETRANSLATE(B3092,""en"",""zh-CN"")"),"那位女士冲洗菜，把它们放在架子上。")</f>
        <v>那位女士冲洗菜，把它们放在架子上。</v>
      </c>
    </row>
    <row r="3093">
      <c r="A3093" s="4" t="s">
        <v>3882</v>
      </c>
      <c r="B3093" s="4" t="s">
        <v>3886</v>
      </c>
      <c r="C3093" s="5" t="str">
        <f>IFERROR(__xludf.DUMMYFUNCTION("GOOGLETRANSLATE(B3093,""en"",""zh-CN"")"),"我们看到男孩站在那位女士身后。")</f>
        <v>我们看到男孩站在那位女士身后。</v>
      </c>
    </row>
    <row r="3094">
      <c r="A3094" s="4" t="s">
        <v>3882</v>
      </c>
      <c r="B3094" s="4" t="s">
        <v>3887</v>
      </c>
      <c r="C3094" s="5" t="str">
        <f>IFERROR(__xludf.DUMMYFUNCTION("GOOGLETRANSLATE(B3094,""en"",""zh-CN"")"),"我们看到架子和菜肴。")</f>
        <v>我们看到架子和菜肴。</v>
      </c>
    </row>
    <row r="3095">
      <c r="A3095" s="4" t="s">
        <v>3882</v>
      </c>
      <c r="B3095" s="4" t="s">
        <v>3888</v>
      </c>
      <c r="C3095" s="5" t="str">
        <f>IFERROR(__xludf.DUMMYFUNCTION("GOOGLETRANSLATE(B3095,""en"",""zh-CN"")"),"然后，我们查看关闭信用屏幕。")</f>
        <v>然后，我们查看关闭信用屏幕。</v>
      </c>
    </row>
    <row r="3096">
      <c r="A3096" s="4" t="s">
        <v>3889</v>
      </c>
      <c r="B3096" s="4" t="s">
        <v>3890</v>
      </c>
      <c r="C3096" s="5" t="str">
        <f>IFERROR(__xludf.DUMMYFUNCTION("GOOGLETRANSLATE(B3096,""en"",""zh-CN"")"),"一群人站在瑜伽士大师后面。")</f>
        <v>一群人站在瑜伽士大师后面。</v>
      </c>
    </row>
    <row r="3097">
      <c r="A3097" s="4" t="s">
        <v>3889</v>
      </c>
      <c r="B3097" s="4" t="s">
        <v>3891</v>
      </c>
      <c r="C3097" s="5" t="str">
        <f>IFERROR(__xludf.DUMMYFUNCTION("GOOGLETRANSLATE(B3097,""en"",""zh-CN"")"),"在带领他们进入瑜伽之前，他指示他们处于位置。")</f>
        <v>在带领他们进入瑜伽之前，他指示他们处于位置。</v>
      </c>
    </row>
    <row r="3098">
      <c r="A3098" s="4" t="s">
        <v>3889</v>
      </c>
      <c r="B3098" s="4" t="s">
        <v>3892</v>
      </c>
      <c r="C3098" s="5" t="str">
        <f>IFERROR(__xludf.DUMMYFUNCTION("GOOGLETRANSLATE(B3098,""en"",""zh-CN"")"),"他们慢慢而优雅地执行了多项动作。")</f>
        <v>他们慢慢而优雅地执行了多项动作。</v>
      </c>
    </row>
    <row r="3099">
      <c r="A3099" s="4" t="s">
        <v>3893</v>
      </c>
      <c r="B3099" s="4" t="s">
        <v>3894</v>
      </c>
      <c r="C3099" s="5" t="str">
        <f>IFERROR(__xludf.DUMMYFUNCTION("GOOGLETRANSLATE(B3099,""en"",""zh-CN"")"),"看到一个男人坐在皮划艇上的水中，对着镜头说话。")</f>
        <v>看到一个男人坐在皮划艇上的水中，对着镜头说话。</v>
      </c>
    </row>
    <row r="3100">
      <c r="A3100" s="4" t="s">
        <v>3893</v>
      </c>
      <c r="B3100" s="4" t="s">
        <v>3895</v>
      </c>
      <c r="C3100" s="5" t="str">
        <f>IFERROR(__xludf.DUMMYFUNCTION("GOOGLETRANSLATE(B3100,""en"",""zh-CN"")"),"该男子继续握着桨的同时继续说话。")</f>
        <v>该男子继续握着桨的同时继续说话。</v>
      </c>
    </row>
    <row r="3101">
      <c r="A3101" s="4" t="s">
        <v>3893</v>
      </c>
      <c r="B3101" s="4" t="s">
        <v>3896</v>
      </c>
      <c r="C3101" s="5" t="str">
        <f>IFERROR(__xludf.DUMMYFUNCTION("GOOGLETRANSLATE(B3101,""en"",""zh-CN"")"),"他在水中有点移动，沿着水划船。")</f>
        <v>他在水中有点移动，沿着水划船。</v>
      </c>
    </row>
    <row r="3102">
      <c r="A3102" s="4" t="s">
        <v>3897</v>
      </c>
      <c r="B3102" s="6" t="s">
        <v>3898</v>
      </c>
      <c r="C3102" s="5" t="str">
        <f>IFERROR(__xludf.DUMMYFUNCTION("GOOGLETRANSLATE(B3102,""en"",""zh-CN"")"),"一个女人解释了如何在厨房里制作蛋糕，然后她将四个鸡蛋和糖放在碗中，然后用电动搅拌机搅拌，并添加更多成分以形成潮湿的混合物。")</f>
        <v>一个女人解释了如何在厨房里制作蛋糕，然后她将四个鸡蛋和糖放在碗中，然后用电动搅拌机搅拌，并添加更多成分以形成潮湿的混合物。</v>
      </c>
    </row>
    <row r="3103">
      <c r="A3103" s="4" t="s">
        <v>3897</v>
      </c>
      <c r="B3103" s="6" t="s">
        <v>3899</v>
      </c>
      <c r="C3103" s="5" t="str">
        <f>IFERROR(__xludf.DUMMYFUNCTION("GOOGLETRANSLATE(B3103,""en"",""zh-CN"")"),"该名女子将固体放在一个大碗上，然后加入湿的混合物，油和牛奶，然后与刮铲混合。")</f>
        <v>该名女子将固体放在一个大碗上，然后加入湿的混合物，油和牛奶，然后与刮铲混合。</v>
      </c>
    </row>
    <row r="3104">
      <c r="A3104" s="4" t="s">
        <v>3897</v>
      </c>
      <c r="B3104" s="6" t="s">
        <v>3900</v>
      </c>
      <c r="C3104" s="5" t="str">
        <f>IFERROR(__xludf.DUMMYFUNCTION("GOOGLETRANSLATE(B3104,""en"",""zh-CN"")"),"之后，该名女子将混合物放入涂有油脂的烤盘中，然后在锅中用橙汁制成糖浆。")</f>
        <v>之后，该名女子将混合物放入涂有油脂的烤盘中，然后在锅中用橙汁制成糖浆。</v>
      </c>
    </row>
    <row r="3105">
      <c r="A3105" s="4" t="s">
        <v>3897</v>
      </c>
      <c r="B3105" s="4" t="s">
        <v>3901</v>
      </c>
      <c r="C3105" s="5" t="str">
        <f>IFERROR(__xludf.DUMMYFUNCTION("GOOGLETRANSLATE(B3105,""en"",""zh-CN"")"),"接下来，她把烤蛋糕放在盘子上，将糖浆放在上面。")</f>
        <v>接下来，她把烤蛋糕放在盘子上，将糖浆放在上面。</v>
      </c>
    </row>
    <row r="3106">
      <c r="A3106" s="4" t="s">
        <v>3902</v>
      </c>
      <c r="B3106" s="6" t="s">
        <v>3903</v>
      </c>
      <c r="C3106" s="5" t="str">
        <f>IFERROR(__xludf.DUMMYFUNCTION("GOOGLETRANSLATE(B3106,""en"",""zh-CN"")"),"一个老人站在一个小房间里，正在抹灰天花板，在房间中间开始。")</f>
        <v>一个老人站在一个小房间里，正在抹灰天花板，在房间中间开始。</v>
      </c>
    </row>
    <row r="3107">
      <c r="A3107" s="4" t="s">
        <v>3902</v>
      </c>
      <c r="B3107" s="4" t="s">
        <v>3904</v>
      </c>
      <c r="C3107" s="5" t="str">
        <f>IFERROR(__xludf.DUMMYFUNCTION("GOOGLETRANSLATE(B3107,""en"",""zh-CN"")"),"然后，他向左移动，开始在天花板的拐角处抹灰。")</f>
        <v>然后，他向左移动，开始在天花板的拐角处抹灰。</v>
      </c>
    </row>
    <row r="3108">
      <c r="A3108" s="4" t="s">
        <v>3902</v>
      </c>
      <c r="B3108" s="6" t="s">
        <v>3905</v>
      </c>
      <c r="C3108" s="5" t="str">
        <f>IFERROR(__xludf.DUMMYFUNCTION("GOOGLETRANSLATE(B3108,""en"",""zh-CN"")"),"然后，该男子停止抹灰，在仍然说话的同时，他面对相机的方向。")</f>
        <v>然后，该男子停止抹灰，在仍然说话的同时，他面对相机的方向。</v>
      </c>
    </row>
    <row r="3109">
      <c r="A3109" s="4" t="s">
        <v>3906</v>
      </c>
      <c r="B3109" s="4" t="s">
        <v>3907</v>
      </c>
      <c r="C3109" s="5" t="str">
        <f>IFERROR(__xludf.DUMMYFUNCTION("GOOGLETRANSLATE(B3109,""en"",""zh-CN"")"),"一个带有橙色衬衫和戴着眼镜的黑色帽子的人站在绿树前。")</f>
        <v>一个带有橙色衬衫和戴着眼镜的黑色帽子的人站在绿树前。</v>
      </c>
    </row>
    <row r="3110">
      <c r="A3110" s="4" t="s">
        <v>3906</v>
      </c>
      <c r="B3110" s="4" t="s">
        <v>3908</v>
      </c>
      <c r="C3110" s="5" t="str">
        <f>IFERROR(__xludf.DUMMYFUNCTION("GOOGLETRANSLATE(B3110,""en"",""zh-CN"")"),"展示了草坪，然后该男子开始修剪草坪。")</f>
        <v>展示了草坪，然后该男子开始修剪草坪。</v>
      </c>
    </row>
    <row r="3111">
      <c r="A3111" s="4" t="s">
        <v>3906</v>
      </c>
      <c r="B3111" s="4" t="s">
        <v>3909</v>
      </c>
      <c r="C3111" s="5" t="str">
        <f>IFERROR(__xludf.DUMMYFUNCTION("GOOGLETRANSLATE(B3111,""en"",""zh-CN"")"),"男人完成后，他回到镜头前开始说话。")</f>
        <v>男人完成后，他回到镜头前开始说话。</v>
      </c>
    </row>
    <row r="3112">
      <c r="A3112" s="4" t="s">
        <v>3910</v>
      </c>
      <c r="B3112" s="6" t="s">
        <v>3911</v>
      </c>
      <c r="C3112" s="5" t="str">
        <f>IFERROR(__xludf.DUMMYFUNCTION("GOOGLETRANSLATE(B3112,""en"",""zh-CN"")"),"一个男人站着或坐在切碎的板后面，上面放着蔬菜，使一把安装的刀子装备。")</f>
        <v>一个男人站着或坐在切碎的板后面，上面放着蔬菜，使一把安装的刀子装备。</v>
      </c>
    </row>
    <row r="3113">
      <c r="A3113" s="4" t="s">
        <v>3910</v>
      </c>
      <c r="B3113" s="4" t="s">
        <v>3912</v>
      </c>
      <c r="C3113" s="5" t="str">
        <f>IFERROR(__xludf.DUMMYFUNCTION("GOOGLETRANSLATE(B3113,""en"",""zh-CN"")"),"该男子在将刀子指向相机的同时与相机交谈。")</f>
        <v>该男子在将刀子指向相机的同时与相机交谈。</v>
      </c>
    </row>
    <row r="3114">
      <c r="A3114" s="4" t="s">
        <v>3910</v>
      </c>
      <c r="B3114" s="4" t="s">
        <v>3913</v>
      </c>
      <c r="C3114" s="5" t="str">
        <f>IFERROR(__xludf.DUMMYFUNCTION("GOOGLETRANSLATE(B3114,""en"",""zh-CN"")"),"该男子用刀片在加速视频中用刀片上斩首各种类型的物品。")</f>
        <v>该男子用刀片在加速视频中用刀片上斩首各种类型的物品。</v>
      </c>
    </row>
    <row r="3115">
      <c r="A3115" s="4" t="s">
        <v>3910</v>
      </c>
      <c r="B3115" s="4" t="s">
        <v>3914</v>
      </c>
      <c r="C3115" s="5" t="str">
        <f>IFERROR(__xludf.DUMMYFUNCTION("GOOGLETRANSLATE(B3115,""en"",""zh-CN"")"),"该男子卸下刀，操纵周围的食材容器。")</f>
        <v>该男子卸下刀，操纵周围的食材容器。</v>
      </c>
    </row>
    <row r="3116">
      <c r="A3116" s="4" t="s">
        <v>3910</v>
      </c>
      <c r="B3116" s="4" t="s">
        <v>3915</v>
      </c>
      <c r="C3116" s="5" t="str">
        <f>IFERROR(__xludf.DUMMYFUNCTION("GOOGLETRANSLATE(B3116,""en"",""zh-CN"")"),"该男子重新装饰刀并恢复切碎。")</f>
        <v>该男子重新装饰刀并恢复切碎。</v>
      </c>
    </row>
    <row r="3117">
      <c r="A3117" s="4" t="s">
        <v>3910</v>
      </c>
      <c r="B3117" s="4" t="s">
        <v>3916</v>
      </c>
      <c r="C3117" s="5" t="str">
        <f>IFERROR(__xludf.DUMMYFUNCTION("GOOGLETRANSLATE(B3117,""en"",""zh-CN"")"),"该男子卸下刀，再次操纵他周围的成分。")</f>
        <v>该男子卸下刀，再次操纵他周围的成分。</v>
      </c>
    </row>
    <row r="3118">
      <c r="A3118" s="4" t="s">
        <v>3910</v>
      </c>
      <c r="B3118" s="4" t="s">
        <v>3917</v>
      </c>
      <c r="C3118" s="5" t="str">
        <f>IFERROR(__xludf.DUMMYFUNCTION("GOOGLETRANSLATE(B3118,""en"",""zh-CN"")"),"该男子重新装备刀，再次砍伐。")</f>
        <v>该男子重新装备刀，再次砍伐。</v>
      </c>
    </row>
    <row r="3119">
      <c r="A3119" s="4" t="s">
        <v>3910</v>
      </c>
      <c r="B3119" s="4" t="s">
        <v>3918</v>
      </c>
      <c r="C3119" s="5" t="str">
        <f>IFERROR(__xludf.DUMMYFUNCTION("GOOGLETRANSLATE(B3119,""en"",""zh-CN"")"),"该男子卸下刀并清理了他的工作区域。")</f>
        <v>该男子卸下刀并清理了他的工作区域。</v>
      </c>
    </row>
    <row r="3120">
      <c r="A3120" s="4" t="s">
        <v>3919</v>
      </c>
      <c r="B3120" s="4" t="s">
        <v>3920</v>
      </c>
      <c r="C3120" s="5" t="str">
        <f>IFERROR(__xludf.DUMMYFUNCTION("GOOGLETRANSLATE(B3120,""en"",""zh-CN"")"),"一个女人准备好蹦极从缆车跳下来。")</f>
        <v>一个女人准备好蹦极从缆车跳下来。</v>
      </c>
    </row>
    <row r="3121">
      <c r="A3121" s="4" t="s">
        <v>3919</v>
      </c>
      <c r="B3121" s="4" t="s">
        <v>3921</v>
      </c>
      <c r="C3121" s="5" t="str">
        <f>IFERROR(__xludf.DUMMYFUNCTION("GOOGLETRANSLATE(B3121,""en"",""zh-CN"")"),"她被两个穿着黄色衬衫的男人包围。")</f>
        <v>她被两个穿着黄色衬衫的男人包围。</v>
      </c>
    </row>
    <row r="3122">
      <c r="A3122" s="4" t="s">
        <v>3919</v>
      </c>
      <c r="B3122" s="4" t="s">
        <v>3922</v>
      </c>
      <c r="C3122" s="5" t="str">
        <f>IFERROR(__xludf.DUMMYFUNCTION("GOOGLETRANSLATE(B3122,""en"",""zh-CN"")"),"其中一名男子手里拿着电话摄像头，在她跳跃时录像她。")</f>
        <v>其中一名男子手里拿着电话摄像头，在她跳跃时录像她。</v>
      </c>
    </row>
    <row r="3123">
      <c r="A3123" s="4" t="s">
        <v>3919</v>
      </c>
      <c r="B3123" s="4" t="s">
        <v>3923</v>
      </c>
      <c r="C3123" s="5" t="str">
        <f>IFERROR(__xludf.DUMMYFUNCTION("GOOGLETRANSLATE(B3123,""en"",""zh-CN"")"),"这些人开始唱歌以欢呼并鼓励她跳。")</f>
        <v>这些人开始唱歌以欢呼并鼓励她跳。</v>
      </c>
    </row>
    <row r="3124">
      <c r="A3124" s="4" t="s">
        <v>3919</v>
      </c>
      <c r="B3124" s="4" t="s">
        <v>3924</v>
      </c>
      <c r="C3124" s="5" t="str">
        <f>IFERROR(__xludf.DUMMYFUNCTION("GOOGLETRANSLATE(B3124,""en"",""zh-CN"")"),"经过很多犹豫之后，女人终于跳了起来并从绳索上悬挂。")</f>
        <v>经过很多犹豫之后，女人终于跳了起来并从绳索上悬挂。</v>
      </c>
    </row>
    <row r="3125">
      <c r="A3125" s="4" t="s">
        <v>3919</v>
      </c>
      <c r="B3125" s="4" t="s">
        <v>3925</v>
      </c>
      <c r="C3125" s="5" t="str">
        <f>IFERROR(__xludf.DUMMYFUNCTION("GOOGLETRANSLATE(B3125,""en"",""zh-CN"")"),"缆车上有另一个女人准备跳下。")</f>
        <v>缆车上有另一个女人准备跳下。</v>
      </c>
    </row>
    <row r="3126">
      <c r="A3126" s="4" t="s">
        <v>3919</v>
      </c>
      <c r="B3126" s="4" t="s">
        <v>3926</v>
      </c>
      <c r="C3126" s="5" t="str">
        <f>IFERROR(__xludf.DUMMYFUNCTION("GOOGLETRANSLATE(B3126,""en"",""zh-CN"")"),"桥上有一群人的人群，抬头看着缆车。")</f>
        <v>桥上有一群人的人群，抬头看着缆车。</v>
      </c>
    </row>
    <row r="3127">
      <c r="A3127" s="4" t="s">
        <v>3927</v>
      </c>
      <c r="B3127" s="4" t="s">
        <v>3928</v>
      </c>
      <c r="C3127" s="5" t="str">
        <f>IFERROR(__xludf.DUMMYFUNCTION("GOOGLETRANSLATE(B3127,""en"",""zh-CN"")"),"一个男孩坐在岩石上，然后沿着海岸线行走。")</f>
        <v>一个男孩坐在岩石上，然后沿着海岸线行走。</v>
      </c>
    </row>
    <row r="3128">
      <c r="A3128" s="4" t="s">
        <v>3927</v>
      </c>
      <c r="B3128" s="4" t="s">
        <v>3929</v>
      </c>
      <c r="C3128" s="5" t="str">
        <f>IFERROR(__xludf.DUMMYFUNCTION("GOOGLETRANSLATE(B3128,""en"",""zh-CN"")"),"这位年轻人在海滩小镇周围沿着山坡骑着滑板。")</f>
        <v>这位年轻人在海滩小镇周围沿着山坡骑着滑板。</v>
      </c>
    </row>
    <row r="3129">
      <c r="A3129" s="4" t="s">
        <v>3927</v>
      </c>
      <c r="B3129" s="4" t="s">
        <v>3930</v>
      </c>
      <c r="C3129" s="5" t="str">
        <f>IFERROR(__xludf.DUMMYFUNCTION("GOOGLETRANSLATE(B3129,""en"",""zh-CN"")"),"年轻人去当地餐厅吃饭。")</f>
        <v>年轻人去当地餐厅吃饭。</v>
      </c>
    </row>
    <row r="3130">
      <c r="A3130" s="4" t="s">
        <v>3927</v>
      </c>
      <c r="B3130" s="4" t="s">
        <v>3931</v>
      </c>
      <c r="C3130" s="5" t="str">
        <f>IFERROR(__xludf.DUMMYFUNCTION("GOOGLETRANSLATE(B3130,""en"",""zh-CN"")"),"看到了港口，年轻人在日落时沿着火车轨道行走。")</f>
        <v>看到了港口，年轻人在日落时沿着火车轨道行走。</v>
      </c>
    </row>
    <row r="3131">
      <c r="A3131" s="4" t="s">
        <v>3932</v>
      </c>
      <c r="B3131" s="4" t="s">
        <v>3933</v>
      </c>
      <c r="C3131" s="5" t="str">
        <f>IFERROR(__xludf.DUMMYFUNCTION("GOOGLETRANSLATE(B3131,""en"",""zh-CN"")"),"一群人在一个大型室内游泳池里游泳。")</f>
        <v>一群人在一个大型室内游泳池里游泳。</v>
      </c>
    </row>
    <row r="3132">
      <c r="A3132" s="4" t="s">
        <v>3932</v>
      </c>
      <c r="B3132" s="4" t="s">
        <v>3934</v>
      </c>
      <c r="C3132" s="5" t="str">
        <f>IFERROR(__xludf.DUMMYFUNCTION("GOOGLETRANSLATE(B3132,""en"",""zh-CN"")"),"他们走时来回游泳。")</f>
        <v>他们走时来回游泳。</v>
      </c>
    </row>
    <row r="3133">
      <c r="A3133" s="4" t="s">
        <v>3932</v>
      </c>
      <c r="B3133" s="4" t="s">
        <v>3935</v>
      </c>
      <c r="C3133" s="5" t="str">
        <f>IFERROR(__xludf.DUMMYFUNCTION("GOOGLETRANSLATE(B3133,""en"",""zh-CN"")"),"他们试图竞争，最快到达另一端。")</f>
        <v>他们试图竞争，最快到达另一端。</v>
      </c>
    </row>
    <row r="3134">
      <c r="A3134" s="4" t="s">
        <v>3936</v>
      </c>
      <c r="B3134" s="4" t="s">
        <v>3937</v>
      </c>
      <c r="C3134" s="5" t="str">
        <f>IFERROR(__xludf.DUMMYFUNCTION("GOOGLETRANSLATE(B3134,""en"",""zh-CN"")"),"一个人使用软管和薄仪器清洁鞋子。")</f>
        <v>一个人使用软管和薄仪器清洁鞋子。</v>
      </c>
    </row>
    <row r="3135">
      <c r="A3135" s="4" t="s">
        <v>3936</v>
      </c>
      <c r="B3135" s="4" t="s">
        <v>3938</v>
      </c>
      <c r="C3135" s="5" t="str">
        <f>IFERROR(__xludf.DUMMYFUNCTION("GOOGLETRANSLATE(B3135,""en"",""zh-CN"")"),"个人放在鞋子旁，转过另一只鞋子。")</f>
        <v>个人放在鞋子旁，转过另一只鞋子。</v>
      </c>
    </row>
    <row r="3136">
      <c r="A3136" s="4" t="s">
        <v>3936</v>
      </c>
      <c r="B3136" s="4" t="s">
        <v>3939</v>
      </c>
      <c r="C3136" s="5" t="str">
        <f>IFERROR(__xludf.DUMMYFUNCTION("GOOGLETRANSLATE(B3136,""en"",""zh-CN"")"),"个人使用薄工具来挖掘鞋底的图案。")</f>
        <v>个人使用薄工具来挖掘鞋底的图案。</v>
      </c>
    </row>
    <row r="3137">
      <c r="A3137" s="4" t="s">
        <v>3940</v>
      </c>
      <c r="B3137" s="4" t="s">
        <v>3941</v>
      </c>
      <c r="C3137" s="5" t="str">
        <f>IFERROR(__xludf.DUMMYFUNCTION("GOOGLETRANSLATE(B3137,""en"",""zh-CN"")"),"一个男人坐在沙发上喝啤酒。")</f>
        <v>一个男人坐在沙发上喝啤酒。</v>
      </c>
    </row>
    <row r="3138">
      <c r="A3138" s="4" t="s">
        <v>3940</v>
      </c>
      <c r="B3138" s="4" t="s">
        <v>3942</v>
      </c>
      <c r="C3138" s="5" t="str">
        <f>IFERROR(__xludf.DUMMYFUNCTION("GOOGLETRANSLATE(B3138,""en"",""zh-CN"")"),"他站起来走出门。")</f>
        <v>他站起来走出门。</v>
      </c>
    </row>
    <row r="3139">
      <c r="A3139" s="4" t="s">
        <v>3940</v>
      </c>
      <c r="B3139" s="4" t="s">
        <v>3943</v>
      </c>
      <c r="C3139" s="5" t="str">
        <f>IFERROR(__xludf.DUMMYFUNCTION("GOOGLETRANSLATE(B3139,""en"",""zh-CN"")"),"有人走进厨房。")</f>
        <v>有人走进厨房。</v>
      </c>
    </row>
    <row r="3140">
      <c r="A3140" s="4" t="s">
        <v>3940</v>
      </c>
      <c r="B3140" s="4" t="s">
        <v>3944</v>
      </c>
      <c r="C3140" s="5" t="str">
        <f>IFERROR(__xludf.DUMMYFUNCTION("GOOGLETRANSLATE(B3140,""en"",""zh-CN"")"),"他们打开冰箱，喝啤酒。")</f>
        <v>他们打开冰箱，喝啤酒。</v>
      </c>
    </row>
    <row r="3141">
      <c r="A3141" s="4" t="s">
        <v>3940</v>
      </c>
      <c r="B3141" s="4" t="s">
        <v>3945</v>
      </c>
      <c r="C3141" s="5" t="str">
        <f>IFERROR(__xludf.DUMMYFUNCTION("GOOGLETRANSLATE(B3141,""en"",""zh-CN"")"),"他们把它带到床上的男人。")</f>
        <v>他们把它带到床上的男人。</v>
      </c>
    </row>
    <row r="3142">
      <c r="A3142" s="4" t="s">
        <v>3940</v>
      </c>
      <c r="B3142" s="4" t="s">
        <v>3946</v>
      </c>
      <c r="C3142" s="5" t="str">
        <f>IFERROR(__xludf.DUMMYFUNCTION("GOOGLETRANSLATE(B3142,""en"",""zh-CN"")"),"他坐起来开始喝啤酒。")</f>
        <v>他坐起来开始喝啤酒。</v>
      </c>
    </row>
    <row r="3143">
      <c r="A3143" s="4" t="s">
        <v>3940</v>
      </c>
      <c r="B3143" s="4" t="s">
        <v>3947</v>
      </c>
      <c r="C3143" s="5" t="str">
        <f>IFERROR(__xludf.DUMMYFUNCTION("GOOGLETRANSLATE(B3143,""en"",""zh-CN"")"),"一个人在床上拿起手机。")</f>
        <v>一个人在床上拿起手机。</v>
      </c>
    </row>
    <row r="3144">
      <c r="A3144" s="4" t="s">
        <v>3948</v>
      </c>
      <c r="B3144" s="4" t="s">
        <v>3949</v>
      </c>
      <c r="C3144" s="5" t="str">
        <f>IFERROR(__xludf.DUMMYFUNCTION("GOOGLETRANSLATE(B3144,""en"",""zh-CN"")"),"自行车特写的各种镜头和一个指向各个地方自行车的人。")</f>
        <v>自行车特写的各种镜头和一个指向各个地方自行车的人。</v>
      </c>
    </row>
    <row r="3145">
      <c r="A3145" s="4" t="s">
        <v>3948</v>
      </c>
      <c r="B3145" s="4" t="s">
        <v>3950</v>
      </c>
      <c r="C3145" s="5" t="str">
        <f>IFERROR(__xludf.DUMMYFUNCTION("GOOGLETRANSLATE(B3145,""en"",""zh-CN"")"),"该人不断调整自行车，并最终将相机全部刷。")</f>
        <v>该人不断调整自行车，并最终将相机全部刷。</v>
      </c>
    </row>
    <row r="3146">
      <c r="A3146" s="4" t="s">
        <v>3951</v>
      </c>
      <c r="B3146" s="4" t="s">
        <v>3952</v>
      </c>
      <c r="C3146" s="5" t="str">
        <f>IFERROR(__xludf.DUMMYFUNCTION("GOOGLETRANSLATE(B3146,""en"",""zh-CN"")"),"一个男孩弯腰在他的卧室里。")</f>
        <v>一个男孩弯腰在他的卧室里。</v>
      </c>
    </row>
    <row r="3147">
      <c r="A3147" s="4" t="s">
        <v>3951</v>
      </c>
      <c r="B3147" s="4" t="s">
        <v>3953</v>
      </c>
      <c r="C3147" s="5" t="str">
        <f>IFERROR(__xludf.DUMMYFUNCTION("GOOGLETRANSLATE(B3147,""en"",""zh-CN"")"),"他正试图穿鞋子。")</f>
        <v>他正试图穿鞋子。</v>
      </c>
    </row>
    <row r="3148">
      <c r="A3148" s="4" t="s">
        <v>3951</v>
      </c>
      <c r="B3148" s="4" t="s">
        <v>3954</v>
      </c>
      <c r="C3148" s="5" t="str">
        <f>IFERROR(__xludf.DUMMYFUNCTION("GOOGLETRANSLATE(B3148,""en"",""zh-CN"")"),"他坐下来，玩蕾丝破裂。")</f>
        <v>他坐下来，玩蕾丝破裂。</v>
      </c>
    </row>
    <row r="3149">
      <c r="A3149" s="4" t="s">
        <v>3951</v>
      </c>
      <c r="B3149" s="4" t="s">
        <v>3955</v>
      </c>
      <c r="C3149" s="5" t="str">
        <f>IFERROR(__xludf.DUMMYFUNCTION("GOOGLETRANSLATE(B3149,""en"",""zh-CN"")"),"他继续与鞋带合作，直到将其绑在一起为止。")</f>
        <v>他继续与鞋带合作，直到将其绑在一起为止。</v>
      </c>
    </row>
    <row r="3150">
      <c r="A3150" s="4" t="s">
        <v>3956</v>
      </c>
      <c r="B3150" s="4" t="s">
        <v>3957</v>
      </c>
      <c r="C3150" s="5" t="str">
        <f>IFERROR(__xludf.DUMMYFUNCTION("GOOGLETRANSLATE(B3150,""en"",""zh-CN"")"),"一个男人在说话并显示脏零件时拿着一双靴子。")</f>
        <v>一个男人在说话并显示脏零件时拿着一双靴子。</v>
      </c>
    </row>
    <row r="3151">
      <c r="A3151" s="4" t="s">
        <v>3956</v>
      </c>
      <c r="B3151" s="4" t="s">
        <v>3958</v>
      </c>
      <c r="C3151" s="5" t="str">
        <f>IFERROR(__xludf.DUMMYFUNCTION("GOOGLETRANSLATE(B3151,""en"",""zh-CN"")"),"然后，该男子在靴子里放一套衣服，并彻底刷靴子的轴。")</f>
        <v>然后，该男子在靴子里放一套衣服，并彻底刷靴子的轴。</v>
      </c>
    </row>
    <row r="3152">
      <c r="A3152" s="4" t="s">
        <v>3959</v>
      </c>
      <c r="B3152" s="4" t="s">
        <v>3960</v>
      </c>
      <c r="C3152" s="5" t="str">
        <f>IFERROR(__xludf.DUMMYFUNCTION("GOOGLETRANSLATE(B3152,""en"",""zh-CN"")"),"看到一个男人跪在屋顶上，与相机说话。")</f>
        <v>看到一个男人跪在屋顶上，与相机说话。</v>
      </c>
    </row>
    <row r="3153">
      <c r="A3153" s="4" t="s">
        <v>3959</v>
      </c>
      <c r="B3153" s="4" t="s">
        <v>3961</v>
      </c>
      <c r="C3153" s="5" t="str">
        <f>IFERROR(__xludf.DUMMYFUNCTION("GOOGLETRANSLATE(B3153,""en"",""zh-CN"")"),"当看到男人坐着而仍然说话时，相机在屋顶周围竖起。")</f>
        <v>当看到男人坐着而仍然说话时，相机在屋顶周围竖起。</v>
      </c>
    </row>
    <row r="3154">
      <c r="A3154" s="4" t="s">
        <v>3959</v>
      </c>
      <c r="B3154" s="4" t="s">
        <v>3962</v>
      </c>
      <c r="C3154" s="5" t="str">
        <f>IFERROR(__xludf.DUMMYFUNCTION("GOOGLETRANSLATE(B3154,""en"",""zh-CN"")"),"相机在屋顶周围竖起，并显示该男子仍在坐着。")</f>
        <v>相机在屋顶周围竖起，并显示该男子仍在坐着。</v>
      </c>
    </row>
    <row r="3155">
      <c r="A3155" s="4" t="s">
        <v>3963</v>
      </c>
      <c r="B3155" s="4" t="s">
        <v>3964</v>
      </c>
      <c r="C3155" s="5" t="str">
        <f>IFERROR(__xludf.DUMMYFUNCTION("GOOGLETRANSLATE(B3155,""en"",""zh-CN"")"),"一个女人走路，然后用标枪奔跑。")</f>
        <v>一个女人走路，然后用标枪奔跑。</v>
      </c>
    </row>
    <row r="3156">
      <c r="A3156" s="4" t="s">
        <v>3963</v>
      </c>
      <c r="B3156" s="4" t="s">
        <v>3965</v>
      </c>
      <c r="C3156" s="5" t="str">
        <f>IFERROR(__xludf.DUMMYFUNCTION("GOOGLETRANSLATE(B3156,""en"",""zh-CN"")"),"她把它扔到了球场上，降落在目标附近。")</f>
        <v>她把它扔到了球场上，降落在目标附近。</v>
      </c>
    </row>
    <row r="3157">
      <c r="A3157" s="4" t="s">
        <v>3963</v>
      </c>
      <c r="B3157" s="4" t="s">
        <v>3966</v>
      </c>
      <c r="C3157" s="5" t="str">
        <f>IFERROR(__xludf.DUMMYFUNCTION("GOOGLETRANSLATE(B3157,""en"",""zh-CN"")"),"其他一些队友也执行该表演，然后我们看到了最终的记分牌。")</f>
        <v>其他一些队友也执行该表演，然后我们看到了最终的记分牌。</v>
      </c>
    </row>
    <row r="3158">
      <c r="A3158" s="4" t="s">
        <v>3967</v>
      </c>
      <c r="B3158" s="4" t="s">
        <v>3968</v>
      </c>
      <c r="C3158" s="5" t="str">
        <f>IFERROR(__xludf.DUMMYFUNCTION("GOOGLETRANSLATE(B3158,""en"",""zh-CN"")"),"一个男人在前面的灌木丛上说话，而其他人则站在他的右侧。")</f>
        <v>一个男人在前面的灌木丛上说话，而其他人则站在他的右侧。</v>
      </c>
    </row>
    <row r="3159">
      <c r="A3159" s="4" t="s">
        <v>3967</v>
      </c>
      <c r="B3159" s="4" t="s">
        <v>3969</v>
      </c>
      <c r="C3159" s="5" t="str">
        <f>IFERROR(__xludf.DUMMYFUNCTION("GOOGLETRANSLATE(B3159,""en"",""zh-CN"")"),"然后，那个男人说话时砍下了灌木丛的死花。")</f>
        <v>然后，那个男人说话时砍下了灌木丛的死花。</v>
      </c>
    </row>
    <row r="3160">
      <c r="A3160" s="4" t="s">
        <v>3967</v>
      </c>
      <c r="B3160" s="4" t="s">
        <v>3970</v>
      </c>
      <c r="C3160" s="5" t="str">
        <f>IFERROR(__xludf.DUMMYFUNCTION("GOOGLETRANSLATE(B3160,""en"",""zh-CN"")"),"另外，该人剪了灌木丛的死花。")</f>
        <v>另外，该人剪了灌木丛的死花。</v>
      </c>
    </row>
    <row r="3161">
      <c r="A3161" s="4" t="s">
        <v>3971</v>
      </c>
      <c r="B3161" s="4" t="s">
        <v>3972</v>
      </c>
      <c r="C3161" s="5" t="str">
        <f>IFERROR(__xludf.DUMMYFUNCTION("GOOGLETRANSLATE(B3161,""en"",""zh-CN"")"),"这个年轻女子手里拿着警棍跳舞。")</f>
        <v>这个年轻女子手里拿着警棍跳舞。</v>
      </c>
    </row>
    <row r="3162">
      <c r="A3162" s="4" t="s">
        <v>3971</v>
      </c>
      <c r="B3162" s="4" t="s">
        <v>3973</v>
      </c>
      <c r="C3162" s="5" t="str">
        <f>IFERROR(__xludf.DUMMYFUNCTION("GOOGLETRANSLATE(B3162,""en"",""zh-CN"")"),"她穿着红色油罐，短裤和人字拖在街上。")</f>
        <v>她穿着红色油罐，短裤和人字拖在街上。</v>
      </c>
    </row>
    <row r="3163">
      <c r="A3163" s="4" t="s">
        <v>3971</v>
      </c>
      <c r="B3163" s="4" t="s">
        <v>3974</v>
      </c>
      <c r="C3163" s="5" t="str">
        <f>IFERROR(__xludf.DUMMYFUNCTION("GOOGLETRANSLATE(B3163,""en"",""zh-CN"")"),"当她在外面做警棍时，有很多人在看着她。")</f>
        <v>当她在外面做警棍时，有很多人在看着她。</v>
      </c>
    </row>
    <row r="3164">
      <c r="A3164" s="4" t="s">
        <v>3971</v>
      </c>
      <c r="B3164" s="4" t="s">
        <v>3975</v>
      </c>
      <c r="C3164" s="5" t="str">
        <f>IFERROR(__xludf.DUMMYFUNCTION("GOOGLETRANSLATE(B3164,""en"",""zh-CN"")"),"当她完成后，音乐停止播放，几个人为她的表演鼓掌。")</f>
        <v>当她完成后，音乐停止播放，几个人为她的表演鼓掌。</v>
      </c>
    </row>
    <row r="3165">
      <c r="A3165" s="4" t="s">
        <v>3976</v>
      </c>
      <c r="B3165" s="4" t="s">
        <v>3977</v>
      </c>
      <c r="C3165" s="5" t="str">
        <f>IFERROR(__xludf.DUMMYFUNCTION("GOOGLETRANSLATE(B3165,""en"",""zh-CN"")"),"小孩正在大蹦床上弹跳。")</f>
        <v>小孩正在大蹦床上弹跳。</v>
      </c>
    </row>
    <row r="3166">
      <c r="A3166" s="4" t="s">
        <v>3976</v>
      </c>
      <c r="B3166" s="4" t="s">
        <v>3978</v>
      </c>
      <c r="C3166" s="5" t="str">
        <f>IFERROR(__xludf.DUMMYFUNCTION("GOOGLETRANSLATE(B3166,""en"",""zh-CN"")"),"当他避开球时，这个小男孩摔倒了。")</f>
        <v>当他避开球时，这个小男孩摔倒了。</v>
      </c>
    </row>
    <row r="3167">
      <c r="A3167" s="4" t="s">
        <v>3976</v>
      </c>
      <c r="B3167" s="4" t="s">
        <v>3979</v>
      </c>
      <c r="C3167" s="5" t="str">
        <f>IFERROR(__xludf.DUMMYFUNCTION("GOOGLETRANSLATE(B3167,""en"",""zh-CN"")"),"当孩子们扔球时，孩子们戴着头盔，孩子们的另一侧躲开了球。")</f>
        <v>当孩子们扔球时，孩子们戴着头盔，孩子们的另一侧躲开了球。</v>
      </c>
    </row>
    <row r="3168">
      <c r="A3168" s="4" t="s">
        <v>3976</v>
      </c>
      <c r="B3168" s="4" t="s">
        <v>3980</v>
      </c>
      <c r="C3168" s="5" t="str">
        <f>IFERROR(__xludf.DUMMYFUNCTION("GOOGLETRANSLATE(B3168,""en"",""zh-CN"")"),"两个成年人去蹦床看孩子。")</f>
        <v>两个成年人去蹦床看孩子。</v>
      </c>
    </row>
    <row r="3169">
      <c r="A3169" s="4" t="s">
        <v>3981</v>
      </c>
      <c r="B3169" s="4" t="s">
        <v>3982</v>
      </c>
      <c r="C3169" s="5" t="str">
        <f>IFERROR(__xludf.DUMMYFUNCTION("GOOGLETRANSLATE(B3169,""en"",""zh-CN"")"),"一群年幼的孩子在公园游乐场上玩。")</f>
        <v>一群年幼的孩子在公园游乐场上玩。</v>
      </c>
    </row>
    <row r="3170">
      <c r="A3170" s="4" t="s">
        <v>3981</v>
      </c>
      <c r="B3170" s="4" t="s">
        <v>3983</v>
      </c>
      <c r="C3170" s="5" t="str">
        <f>IFERROR(__xludf.DUMMYFUNCTION("GOOGLETRANSLATE(B3170,""en"",""zh-CN"")"),"一个小男孩在猴子酒吧来回爬。")</f>
        <v>一个小男孩在猴子酒吧来回爬。</v>
      </c>
    </row>
    <row r="3171">
      <c r="A3171" s="4" t="s">
        <v>3981</v>
      </c>
      <c r="B3171" s="4" t="s">
        <v>3984</v>
      </c>
      <c r="C3171" s="5" t="str">
        <f>IFERROR(__xludf.DUMMYFUNCTION("GOOGLETRANSLATE(B3171,""en"",""zh-CN"")"),"然后，另一个孩子也加入了酒吧。")</f>
        <v>然后，另一个孩子也加入了酒吧。</v>
      </c>
    </row>
    <row r="3172">
      <c r="A3172" s="4" t="s">
        <v>3985</v>
      </c>
      <c r="B3172" s="4" t="s">
        <v>3986</v>
      </c>
      <c r="C3172" s="5" t="str">
        <f>IFERROR(__xludf.DUMMYFUNCTION("GOOGLETRANSLATE(B3172,""en"",""zh-CN"")"),"一个穿着黄色救生背心的男人坐在独木舟中。")</f>
        <v>一个穿着黄色救生背心的男人坐在独木舟中。</v>
      </c>
    </row>
    <row r="3173">
      <c r="A3173" s="4" t="s">
        <v>3985</v>
      </c>
      <c r="B3173" s="4" t="s">
        <v>3987</v>
      </c>
      <c r="C3173" s="5" t="str">
        <f>IFERROR(__xludf.DUMMYFUNCTION("GOOGLETRANSLATE(B3173,""en"",""zh-CN"")"),"他从一侧到另一侧划船。")</f>
        <v>他从一侧到另一侧划船。</v>
      </c>
    </row>
    <row r="3174">
      <c r="A3174" s="4" t="s">
        <v>3985</v>
      </c>
      <c r="B3174" s="4" t="s">
        <v>3988</v>
      </c>
      <c r="C3174" s="5" t="str">
        <f>IFERROR(__xludf.DUMMYFUNCTION("GOOGLETRANSLATE(B3174,""en"",""zh-CN"")"),"摄像机在独木舟旁边的水下变为水下。")</f>
        <v>摄像机在独木舟旁边的水下变为水下。</v>
      </c>
    </row>
    <row r="3175">
      <c r="A3175" s="4" t="s">
        <v>3989</v>
      </c>
      <c r="B3175" s="4" t="s">
        <v>3990</v>
      </c>
      <c r="C3175" s="5" t="str">
        <f>IFERROR(__xludf.DUMMYFUNCTION("GOOGLETRANSLATE(B3175,""en"",""zh-CN"")"),"三明治显示在幻灯片中。")</f>
        <v>三明治显示在幻灯片中。</v>
      </c>
    </row>
    <row r="3176">
      <c r="A3176" s="4" t="s">
        <v>3989</v>
      </c>
      <c r="B3176" s="6" t="s">
        <v>3991</v>
      </c>
      <c r="C3176" s="5" t="str">
        <f>IFERROR(__xludf.DUMMYFUNCTION("GOOGLETRANSLATE(B3176,""en"",""zh-CN"")"),"一个人将芥末酱撒在面包片上，然后穿上顶级瑞士奶酪，果酱，酸菜和顶部的面包。")</f>
        <v>一个人将芥末酱撒在面包片上，然后穿上顶级瑞士奶酪，果酱，酸菜和顶部的面包。</v>
      </c>
    </row>
    <row r="3177">
      <c r="A3177" s="4" t="s">
        <v>3989</v>
      </c>
      <c r="B3177" s="6" t="s">
        <v>3992</v>
      </c>
      <c r="C3177" s="5" t="str">
        <f>IFERROR(__xludf.DUMMYFUNCTION("GOOGLETRANSLATE(B3177,""en"",""zh-CN"")"),"之后，该人将黄油撒在三明治上，然后将其放在热表面上，然后将三明治切成两半。")</f>
        <v>之后，该人将黄油撒在三明治上，然后将其放在热表面上，然后将三明治切成两半。</v>
      </c>
    </row>
    <row r="3178">
      <c r="A3178" s="4" t="s">
        <v>3993</v>
      </c>
      <c r="B3178" s="4" t="s">
        <v>3994</v>
      </c>
      <c r="C3178" s="5" t="str">
        <f>IFERROR(__xludf.DUMMYFUNCTION("GOOGLETRANSLATE(B3178,""en"",""zh-CN"")"),"一个白人的中年男子站在一群演奏萨克斯管的人群中。")</f>
        <v>一个白人的中年男子站在一群演奏萨克斯管的人群中。</v>
      </c>
    </row>
    <row r="3179">
      <c r="A3179" s="4" t="s">
        <v>3993</v>
      </c>
      <c r="B3179" s="6" t="s">
        <v>3995</v>
      </c>
      <c r="C3179" s="5" t="str">
        <f>IFERROR(__xludf.DUMMYFUNCTION("GOOGLETRANSLATE(B3179,""en"",""zh-CN"")"),"随着他的继续，视频扑灭了，其他几个人和他一起演奏了萨克斯管，据透露，其他人在吹入乐器时正在按下该男子的按钮。")</f>
        <v>随着他的继续，视频扑灭了，其他几个人和他一起演奏了萨克斯管，据透露，其他人在吹入乐器时正在按下该男子的按钮。</v>
      </c>
    </row>
    <row r="3180">
      <c r="A3180" s="4" t="s">
        <v>3993</v>
      </c>
      <c r="B3180" s="4" t="s">
        <v>3996</v>
      </c>
      <c r="C3180" s="5" t="str">
        <f>IFERROR(__xludf.DUMMYFUNCTION("GOOGLETRANSLATE(B3180,""en"",""zh-CN"")"),"然后，摄像机向后摇晃，人群开始为观众鼓掌。")</f>
        <v>然后，摄像机向后摇晃，人群开始为观众鼓掌。</v>
      </c>
    </row>
    <row r="3181">
      <c r="A3181" s="4" t="s">
        <v>3997</v>
      </c>
      <c r="B3181" s="4" t="s">
        <v>3998</v>
      </c>
      <c r="C3181" s="5" t="str">
        <f>IFERROR(__xludf.DUMMYFUNCTION("GOOGLETRANSLATE(B3181,""en"",""zh-CN"")"),"室内网球场穿着一件白衬衫的女人，在球场上击球。")</f>
        <v>室内网球场穿着一件白衬衫的女人，在球场上击球。</v>
      </c>
    </row>
    <row r="3182">
      <c r="A3182" s="4" t="s">
        <v>3997</v>
      </c>
      <c r="B3182" s="4" t="s">
        <v>3999</v>
      </c>
      <c r="C3182" s="5" t="str">
        <f>IFERROR(__xludf.DUMMYFUNCTION("GOOGLETRANSLATE(B3182,""en"",""zh-CN"")"),"她在地面上弹跳球，然后将球越过网。")</f>
        <v>她在地面上弹跳球，然后将球越过网。</v>
      </c>
    </row>
    <row r="3183">
      <c r="A3183" s="4" t="s">
        <v>4000</v>
      </c>
      <c r="B3183" s="4" t="s">
        <v>4001</v>
      </c>
      <c r="C3183" s="5" t="str">
        <f>IFERROR(__xludf.DUMMYFUNCTION("GOOGLETRANSLATE(B3183,""en"",""zh-CN"")"),"一个男人沿着大雪走过一些大雪。")</f>
        <v>一个男人沿着大雪走过一些大雪。</v>
      </c>
    </row>
    <row r="3184">
      <c r="A3184" s="4" t="s">
        <v>4000</v>
      </c>
      <c r="B3184" s="4" t="s">
        <v>4002</v>
      </c>
      <c r="C3184" s="5" t="str">
        <f>IFERROR(__xludf.DUMMYFUNCTION("GOOGLETRANSLATE(B3184,""en"",""zh-CN"")"),"该男子推了一条漫长的雪道。")</f>
        <v>该男子推了一条漫长的雪道。</v>
      </c>
    </row>
    <row r="3185">
      <c r="A3185" s="4" t="s">
        <v>4000</v>
      </c>
      <c r="B3185" s="4" t="s">
        <v>4003</v>
      </c>
      <c r="C3185" s="5" t="str">
        <f>IFERROR(__xludf.DUMMYFUNCTION("GOOGLETRANSLATE(B3185,""en"",""zh-CN"")"),"该男子转过身，再次铲出一条漫长的雪道。")</f>
        <v>该男子转过身，再次铲出一条漫长的雪道。</v>
      </c>
    </row>
    <row r="3186">
      <c r="A3186" s="4" t="s">
        <v>4000</v>
      </c>
      <c r="B3186" s="4" t="s">
        <v>4004</v>
      </c>
      <c r="C3186" s="5" t="str">
        <f>IFERROR(__xludf.DUMMYFUNCTION("GOOGLETRANSLATE(B3186,""en"",""zh-CN"")"),"该男子第三次将雪铲。")</f>
        <v>该男子第三次将雪铲。</v>
      </c>
    </row>
    <row r="3187">
      <c r="A3187" s="4" t="s">
        <v>4000</v>
      </c>
      <c r="B3187" s="4" t="s">
        <v>4005</v>
      </c>
      <c r="C3187" s="5" t="str">
        <f>IFERROR(__xludf.DUMMYFUNCTION("GOOGLETRANSLATE(B3187,""en"",""zh-CN"")"),"该男子在另一个位置推动了一条非常漫长的雪道。")</f>
        <v>该男子在另一个位置推动了一条非常漫长的雪道。</v>
      </c>
    </row>
    <row r="3188">
      <c r="A3188" s="4" t="s">
        <v>4000</v>
      </c>
      <c r="B3188" s="6" t="s">
        <v>4006</v>
      </c>
      <c r="C3188" s="5" t="str">
        <f>IFERROR(__xludf.DUMMYFUNCTION("GOOGLETRANSLATE(B3188,""en"",""zh-CN"")"),"该男子转过身，铲下了第二条雪道，就在最近的铲雪小径旁边。")</f>
        <v>该男子转过身，铲下了第二条雪道，就在最近的铲雪小径旁边。</v>
      </c>
    </row>
    <row r="3189">
      <c r="A3189" s="4" t="s">
        <v>4007</v>
      </c>
      <c r="B3189" s="6" t="s">
        <v>4008</v>
      </c>
      <c r="C3189" s="5" t="str">
        <f>IFERROR(__xludf.DUMMYFUNCTION("GOOGLETRANSLATE(B3189,""en"",""zh-CN"")"),"一个女人展示了一道蔬菜，并展示卡路里，食材和准备菜的准备。")</f>
        <v>一个女人展示了一道蔬菜，并展示卡路里，食材和准备菜的准备。</v>
      </c>
    </row>
    <row r="3190">
      <c r="A3190" s="4" t="s">
        <v>4007</v>
      </c>
      <c r="B3190" s="4" t="s">
        <v>4009</v>
      </c>
      <c r="C3190" s="5" t="str">
        <f>IFERROR(__xludf.DUMMYFUNCTION("GOOGLETRANSLATE(B3190,""en"",""zh-CN"")"),"然后，女人把蔬菜放在碗里，然后她炸一休，然后把它放在碗里。")</f>
        <v>然后，女人把蔬菜放在碗里，然后她炸一休，然后把它放在碗里。</v>
      </c>
    </row>
    <row r="3191">
      <c r="A3191" s="4" t="s">
        <v>4007</v>
      </c>
      <c r="B3191" s="4" t="s">
        <v>4010</v>
      </c>
      <c r="C3191" s="5" t="str">
        <f>IFERROR(__xludf.DUMMYFUNCTION("GOOGLETRANSLATE(B3191,""en"",""zh-CN"")"),"然后，女人混合蔬菜并将其食用在盘子上。")</f>
        <v>然后，女人混合蔬菜并将其食用在盘子上。</v>
      </c>
    </row>
    <row r="3192">
      <c r="A3192" s="4" t="s">
        <v>4011</v>
      </c>
      <c r="B3192" s="4" t="s">
        <v>4012</v>
      </c>
      <c r="C3192" s="5" t="str">
        <f>IFERROR(__xludf.DUMMYFUNCTION("GOOGLETRANSLATE(B3192,""en"",""zh-CN"")"),"两名妇女试图洗两只狗。")</f>
        <v>两名妇女试图洗两只狗。</v>
      </c>
    </row>
    <row r="3193">
      <c r="A3193" s="4" t="s">
        <v>4011</v>
      </c>
      <c r="B3193" s="4" t="s">
        <v>4013</v>
      </c>
      <c r="C3193" s="5" t="str">
        <f>IFERROR(__xludf.DUMMYFUNCTION("GOOGLETRANSLATE(B3193,""en"",""zh-CN"")"),"他们与狗一起进入浴缸，做洗发水，肥皂，然后冲洗狗。")</f>
        <v>他们与狗一起进入浴缸，做洗发水，肥皂，然后冲洗狗。</v>
      </c>
    </row>
    <row r="3194">
      <c r="A3194" s="4" t="s">
        <v>4011</v>
      </c>
      <c r="B3194" s="4" t="s">
        <v>4014</v>
      </c>
      <c r="C3194" s="5" t="str">
        <f>IFERROR(__xludf.DUMMYFUNCTION("GOOGLETRANSLATE(B3194,""en"",""zh-CN"")"),"他们干狗，狗更快乐。")</f>
        <v>他们干狗，狗更快乐。</v>
      </c>
    </row>
    <row r="3195">
      <c r="A3195" s="4" t="s">
        <v>4015</v>
      </c>
      <c r="B3195" s="4" t="s">
        <v>4016</v>
      </c>
      <c r="C3195" s="5" t="str">
        <f>IFERROR(__xludf.DUMMYFUNCTION("GOOGLETRANSLATE(B3195,""en"",""zh-CN"")"),"一个人站在桥梁上，用安全带站在桥梁上，而另一个男人则握住他。")</f>
        <v>一个人站在桥梁上，用安全带站在桥梁上，而另一个男人则握住他。</v>
      </c>
    </row>
    <row r="3196">
      <c r="A3196" s="4" t="s">
        <v>4015</v>
      </c>
      <c r="B3196" s="4" t="s">
        <v>4017</v>
      </c>
      <c r="C3196" s="5" t="str">
        <f>IFERROR(__xludf.DUMMYFUNCTION("GOOGLETRANSLATE(B3196,""en"",""zh-CN"")"),"该男子从下面的河上跳下桥。")</f>
        <v>该男子从下面的河上跳下桥。</v>
      </c>
    </row>
    <row r="3197">
      <c r="A3197" s="4" t="s">
        <v>4015</v>
      </c>
      <c r="B3197" s="4" t="s">
        <v>4018</v>
      </c>
      <c r="C3197" s="5" t="str">
        <f>IFERROR(__xludf.DUMMYFUNCTION("GOOGLETRANSLATE(B3197,""en"",""zh-CN"")"),"该男子在急流上来回摆动。")</f>
        <v>该男子在急流上来回摆动。</v>
      </c>
    </row>
    <row r="3198">
      <c r="A3198" s="4" t="s">
        <v>4019</v>
      </c>
      <c r="B3198" s="4" t="s">
        <v>4020</v>
      </c>
      <c r="C3198" s="5" t="str">
        <f>IFERROR(__xludf.DUMMYFUNCTION("GOOGLETRANSLATE(B3198,""en"",""zh-CN"")"),"一个戴着绿色头发的绿色的女人正在大力擦洗一些衣服。")</f>
        <v>一个戴着绿色头发的绿色的女人正在大力擦洗一些衣服。</v>
      </c>
    </row>
    <row r="3199">
      <c r="A3199" s="4" t="s">
        <v>4019</v>
      </c>
      <c r="B3199" s="6" t="s">
        <v>4021</v>
      </c>
      <c r="C3199" s="5" t="str">
        <f>IFERROR(__xludf.DUMMYFUNCTION("GOOGLETRANSLATE(B3199,""en"",""zh-CN"")"),"水和肥皂将其溅到墙上/她捡起一块布，将其撞在看台上。")</f>
        <v>水和肥皂将其溅到墙上/她捡起一块布，将其撞在看台上。</v>
      </c>
    </row>
    <row r="3200">
      <c r="A3200" s="4" t="s">
        <v>4019</v>
      </c>
      <c r="B3200" s="4" t="s">
        <v>4022</v>
      </c>
      <c r="C3200" s="5" t="str">
        <f>IFERROR(__xludf.DUMMYFUNCTION("GOOGLETRANSLATE(B3200,""en"",""zh-CN"")"),"然后，她从水桶里取了一些水，然后将其倒入。")</f>
        <v>然后，她从水桶里取了一些水，然后将其倒入。</v>
      </c>
    </row>
    <row r="3201">
      <c r="A3201" s="4" t="s">
        <v>4019</v>
      </c>
      <c r="B3201" s="4" t="s">
        <v>4023</v>
      </c>
      <c r="C3201" s="5" t="str">
        <f>IFERROR(__xludf.DUMMYFUNCTION("GOOGLETRANSLATE(B3201,""en"",""zh-CN"")"),"她将其挤出，然后将布放入一桶肥皂水中。")</f>
        <v>她将其挤出，然后将布放入一桶肥皂水中。</v>
      </c>
    </row>
    <row r="3202">
      <c r="A3202" s="4" t="s">
        <v>4024</v>
      </c>
      <c r="B3202" s="4" t="s">
        <v>4025</v>
      </c>
      <c r="C3202" s="5" t="str">
        <f>IFERROR(__xludf.DUMMYFUNCTION("GOOGLETRANSLATE(B3202,""en"",""zh-CN"")"),"有一个开放的陆地区域，周围有绿色植物和草皮的表面积。")</f>
        <v>有一个开放的陆地区域，周围有绿色植物和草皮的表面积。</v>
      </c>
    </row>
    <row r="3203">
      <c r="A3203" s="4" t="s">
        <v>4024</v>
      </c>
      <c r="B3203" s="4" t="s">
        <v>4026</v>
      </c>
      <c r="C3203" s="5" t="str">
        <f>IFERROR(__xludf.DUMMYFUNCTION("GOOGLETRANSLATE(B3203,""en"",""zh-CN"")"),"地面上有一个草坪修剪器，附近有一些成年的草丛。")</f>
        <v>地面上有一个草坪修剪器，附近有一些成年的草丛。</v>
      </c>
    </row>
    <row r="3204">
      <c r="A3204" s="4" t="s">
        <v>4024</v>
      </c>
      <c r="B3204" s="4" t="s">
        <v>4027</v>
      </c>
      <c r="C3204" s="5" t="str">
        <f>IFERROR(__xludf.DUMMYFUNCTION("GOOGLETRANSLATE(B3204,""en"",""zh-CN"")"),"一个穿着灰色裤子和手套的人使用草坪修剪器来修剪草丛。")</f>
        <v>一个穿着灰色裤子和手套的人使用草坪修剪器来修剪草丛。</v>
      </c>
    </row>
    <row r="3205">
      <c r="A3205" s="4" t="s">
        <v>4024</v>
      </c>
      <c r="B3205" s="6" t="s">
        <v>4028</v>
      </c>
      <c r="C3205" s="5" t="str">
        <f>IFERROR(__xludf.DUMMYFUNCTION("GOOGLETRANSLATE(B3205,""en"",""zh-CN"")"),"他正在来回运动中修剪草坪，水平地将修剪器移动到草地上。")</f>
        <v>他正在来回运动中修剪草坪，水平地将修剪器移动到草地上。</v>
      </c>
    </row>
    <row r="3206">
      <c r="A3206" s="4" t="s">
        <v>4029</v>
      </c>
      <c r="B3206" s="4" t="s">
        <v>4030</v>
      </c>
      <c r="C3206" s="5" t="str">
        <f>IFERROR(__xludf.DUMMYFUNCTION("GOOGLETRANSLATE(B3206,""en"",""zh-CN"")"),"一条破裂的沥青路显示了特写。")</f>
        <v>一条破裂的沥青路显示了特写。</v>
      </c>
    </row>
    <row r="3207">
      <c r="A3207" s="4" t="s">
        <v>4029</v>
      </c>
      <c r="B3207" s="4" t="s">
        <v>4031</v>
      </c>
      <c r="C3207" s="5" t="str">
        <f>IFERROR(__xludf.DUMMYFUNCTION("GOOGLETRANSLATE(B3207,""en"",""zh-CN"")"),"然后，我们看到一个男人走路，拿着一条直列溜冰鞋。")</f>
        <v>然后，我们看到一个男人走路，拿着一条直列溜冰鞋。</v>
      </c>
    </row>
    <row r="3208">
      <c r="A3208" s="4" t="s">
        <v>4029</v>
      </c>
      <c r="B3208" s="6" t="s">
        <v>4032</v>
      </c>
      <c r="C3208" s="5" t="str">
        <f>IFERROR(__xludf.DUMMYFUNCTION("GOOGLETRANSLATE(B3208,""en"",""zh-CN"")"),"该男子表演特技表演，沿着楼梯和骑行中值走，向后翻转和骑行。")</f>
        <v>该男子表演特技表演，沿着楼梯和骑行中值走，向后翻转和骑行。</v>
      </c>
    </row>
    <row r="3209">
      <c r="A3209" s="4" t="s">
        <v>4029</v>
      </c>
      <c r="B3209" s="4" t="s">
        <v>4033</v>
      </c>
      <c r="C3209" s="5" t="str">
        <f>IFERROR(__xludf.DUMMYFUNCTION("GOOGLETRANSLATE(B3209,""en"",""zh-CN"")"),"完成后，他骑了。")</f>
        <v>完成后，他骑了。</v>
      </c>
    </row>
    <row r="3210">
      <c r="A3210" s="4" t="s">
        <v>4034</v>
      </c>
      <c r="B3210" s="4" t="s">
        <v>4035</v>
      </c>
      <c r="C3210" s="5" t="str">
        <f>IFERROR(__xludf.DUMMYFUNCTION("GOOGLETRANSLATE(B3210,""en"",""zh-CN"")"),"一个孩子在法庭上踢网球，一个男孩站在她旁边。")</f>
        <v>一个孩子在法庭上踢网球，一个男孩站在她旁边。</v>
      </c>
    </row>
    <row r="3211">
      <c r="A3211" s="4" t="s">
        <v>4034</v>
      </c>
      <c r="B3211" s="4" t="s">
        <v>4036</v>
      </c>
      <c r="C3211" s="5" t="str">
        <f>IFERROR(__xludf.DUMMYFUNCTION("GOOGLETRANSLATE(B3211,""en"",""zh-CN"")"),"当孩子继续返回球时，男孩离开了法庭，然后男孩返回。")</f>
        <v>当孩子继续返回球时，男孩离开了法庭，然后男孩返回。</v>
      </c>
    </row>
    <row r="3212">
      <c r="A3212" s="4" t="s">
        <v>4034</v>
      </c>
      <c r="B3212" s="4" t="s">
        <v>4037</v>
      </c>
      <c r="C3212" s="5" t="str">
        <f>IFERROR(__xludf.DUMMYFUNCTION("GOOGLETRANSLATE(B3212,""en"",""zh-CN"")"),"然后，男孩再次离开球场，然后他带着球拍和球回来。")</f>
        <v>然后，男孩再次离开球场，然后他带着球拍和球回来。</v>
      </c>
    </row>
    <row r="3213">
      <c r="A3213" s="4" t="s">
        <v>4034</v>
      </c>
      <c r="B3213" s="4" t="s">
        <v>4038</v>
      </c>
      <c r="C3213" s="5" t="str">
        <f>IFERROR(__xludf.DUMMYFUNCTION("GOOGLETRANSLATE(B3213,""en"",""zh-CN"")"),"孩子为球服务，男孩接下来帮助她看着她。")</f>
        <v>孩子为球服务，男孩接下来帮助她看着她。</v>
      </c>
    </row>
    <row r="3214">
      <c r="A3214" s="4" t="s">
        <v>4039</v>
      </c>
      <c r="B3214" s="6" t="s">
        <v>4040</v>
      </c>
      <c r="C3214" s="5" t="str">
        <f>IFERROR(__xludf.DUMMYFUNCTION("GOOGLETRANSLATE(B3214,""en"",""zh-CN"")"),"看到一个男人在相机上说话，并导致了几张人说话和戴高跟鞋的镜头。")</f>
        <v>看到一个男人在相机上说话，并导致了几张人说话和戴高跟鞋的镜头。</v>
      </c>
    </row>
    <row r="3215">
      <c r="A3215" s="4" t="s">
        <v>4039</v>
      </c>
      <c r="B3215" s="6" t="s">
        <v>4041</v>
      </c>
      <c r="C3215" s="5" t="str">
        <f>IFERROR(__xludf.DUMMYFUNCTION("GOOGLETRANSLATE(B3215,""en"",""zh-CN"")"),"妇女在一条街上走在地面上时，许多人看着，然后全都沿着高跟鞋奔跑。")</f>
        <v>妇女在一条街上走在地面上时，许多人看着，然后全都沿着高跟鞋奔跑。</v>
      </c>
    </row>
    <row r="3216">
      <c r="A3216" s="4" t="s">
        <v>4042</v>
      </c>
      <c r="B3216" s="4" t="s">
        <v>4043</v>
      </c>
      <c r="C3216" s="5" t="str">
        <f>IFERROR(__xludf.DUMMYFUNCTION("GOOGLETRANSLATE(B3216,""en"",""zh-CN"")"),"看到一名运动女人站在轨道前，开始沿着侧面奔跑。")</f>
        <v>看到一名运动女人站在轨道前，开始沿着侧面奔跑。</v>
      </c>
    </row>
    <row r="3217">
      <c r="A3217" s="4" t="s">
        <v>4042</v>
      </c>
      <c r="B3217" s="4" t="s">
        <v>4044</v>
      </c>
      <c r="C3217" s="5" t="str">
        <f>IFERROR(__xludf.DUMMYFUNCTION("GOOGLETRANSLATE(B3217,""en"",""zh-CN"")"),"当一个男人记录自己的得分时，她跑去并跳入沙坑。")</f>
        <v>当一个男人记录自己的得分时，她跑去并跳入沙坑。</v>
      </c>
    </row>
    <row r="3218">
      <c r="A3218" s="4" t="s">
        <v>4042</v>
      </c>
      <c r="B3218" s="4" t="s">
        <v>4045</v>
      </c>
      <c r="C3218" s="5" t="str">
        <f>IFERROR(__xludf.DUMMYFUNCTION("GOOGLETRANSLATE(B3218,""en"",""zh-CN"")"),"还显示了几个剪辑，其中有女性从赛道上奔跑并跳入坑中。")</f>
        <v>还显示了几个剪辑，其中有女性从赛道上奔跑并跳入坑中。</v>
      </c>
    </row>
    <row r="3219">
      <c r="A3219" s="4" t="s">
        <v>4046</v>
      </c>
      <c r="B3219" s="4" t="s">
        <v>4047</v>
      </c>
      <c r="C3219" s="5" t="str">
        <f>IFERROR(__xludf.DUMMYFUNCTION("GOOGLETRANSLATE(B3219,""en"",""zh-CN"")"),"看到几个人一起玩游戏。")</f>
        <v>看到几个人一起玩游戏。</v>
      </c>
    </row>
    <row r="3220">
      <c r="A3220" s="4" t="s">
        <v>4046</v>
      </c>
      <c r="B3220" s="4" t="s">
        <v>4048</v>
      </c>
      <c r="C3220" s="5" t="str">
        <f>IFERROR(__xludf.DUMMYFUNCTION("GOOGLETRANSLATE(B3220,""en"",""zh-CN"")"),"球员们欢呼雀跃，互相讲话，并展示更多游戏的亮点。")</f>
        <v>球员们欢呼雀跃，互相讲话，并展示更多游戏的亮点。</v>
      </c>
    </row>
    <row r="3221">
      <c r="A3221" s="4" t="s">
        <v>4046</v>
      </c>
      <c r="B3221" s="4" t="s">
        <v>4049</v>
      </c>
      <c r="C3221" s="5" t="str">
        <f>IFERROR(__xludf.DUMMYFUNCTION("GOOGLETRANSLATE(B3221,""en"",""zh-CN"")"),"显示了更多人走开和玩游戏的剪辑。")</f>
        <v>显示了更多人走开和玩游戏的剪辑。</v>
      </c>
    </row>
    <row r="3222">
      <c r="A3222" s="4" t="s">
        <v>4050</v>
      </c>
      <c r="B3222" s="4" t="s">
        <v>1251</v>
      </c>
      <c r="C3222" s="5" t="str">
        <f>IFERROR(__xludf.DUMMYFUNCTION("GOOGLETRANSLATE(B3222,""en"",""zh-CN"")"),"显示了剪辑的信用。")</f>
        <v>显示了剪辑的信用。</v>
      </c>
    </row>
    <row r="3223">
      <c r="A3223" s="4" t="s">
        <v>4050</v>
      </c>
      <c r="B3223" s="4" t="s">
        <v>4051</v>
      </c>
      <c r="C3223" s="5" t="str">
        <f>IFERROR(__xludf.DUMMYFUNCTION("GOOGLETRANSLATE(B3223,""en"",""zh-CN"")"),"一个人在倾斜结构的帮助下，在山上或污垢堆上骑越野车。")</f>
        <v>一个人在倾斜结构的帮助下，在山上或污垢堆上骑越野车。</v>
      </c>
    </row>
    <row r="3224">
      <c r="A3224" s="4" t="s">
        <v>4050</v>
      </c>
      <c r="B3224" s="4" t="s">
        <v>4052</v>
      </c>
      <c r="C3224" s="5" t="str">
        <f>IFERROR(__xludf.DUMMYFUNCTION("GOOGLETRANSLATE(B3224,""en"",""zh-CN"")"),"一个人站着，摇了摇头，骑着泥土自行车。")</f>
        <v>一个人站着，摇了摇头，骑着泥土自行车。</v>
      </c>
    </row>
    <row r="3225">
      <c r="A3225" s="4" t="s">
        <v>4050</v>
      </c>
      <c r="B3225" s="4" t="s">
        <v>4053</v>
      </c>
      <c r="C3225" s="5" t="str">
        <f>IFERROR(__xludf.DUMMYFUNCTION("GOOGLETRANSLATE(B3225,""en"",""zh-CN"")"),"两个家伙坐在他们的越野自行车上进行讨论。")</f>
        <v>两个家伙坐在他们的越野自行车上进行讨论。</v>
      </c>
    </row>
    <row r="3226">
      <c r="A3226" s="4" t="s">
        <v>4050</v>
      </c>
      <c r="B3226" s="4" t="s">
        <v>4054</v>
      </c>
      <c r="C3226" s="5" t="str">
        <f>IFERROR(__xludf.DUMMYFUNCTION("GOOGLETRANSLATE(B3226,""en"",""zh-CN"")"),"一个人用他的后轮胎使污垢喷洒。")</f>
        <v>一个人用他的后轮胎使污垢喷洒。</v>
      </c>
    </row>
    <row r="3227">
      <c r="A3227" s="4" t="s">
        <v>4050</v>
      </c>
      <c r="B3227" s="4" t="s">
        <v>573</v>
      </c>
      <c r="C3227" s="5" t="str">
        <f>IFERROR(__xludf.DUMMYFUNCTION("GOOGLETRANSLATE(B3227,""en"",""zh-CN"")"),"显示了视频的积分。")</f>
        <v>显示了视频的积分。</v>
      </c>
    </row>
    <row r="3228">
      <c r="A3228" s="4" t="s">
        <v>4055</v>
      </c>
      <c r="B3228" s="4" t="s">
        <v>4056</v>
      </c>
      <c r="C3228" s="5" t="str">
        <f>IFERROR(__xludf.DUMMYFUNCTION("GOOGLETRANSLATE(B3228,""en"",""zh-CN"")"),"屏幕上有一本名为Windmills的黑本书。")</f>
        <v>屏幕上有一本名为Windmills的黑本书。</v>
      </c>
    </row>
    <row r="3229">
      <c r="A3229" s="4" t="s">
        <v>4055</v>
      </c>
      <c r="B3229" s="4" t="s">
        <v>4057</v>
      </c>
      <c r="C3229" s="5" t="str">
        <f>IFERROR(__xludf.DUMMYFUNCTION("GOOGLETRANSLATE(B3229,""en"",""zh-CN"")"),"相机放大了舞者。")</f>
        <v>相机放大了舞者。</v>
      </c>
    </row>
    <row r="3230">
      <c r="A3230" s="4" t="s">
        <v>4055</v>
      </c>
      <c r="B3230" s="4" t="s">
        <v>4058</v>
      </c>
      <c r="C3230" s="5" t="str">
        <f>IFERROR(__xludf.DUMMYFUNCTION("GOOGLETRANSLATE(B3230,""en"",""zh-CN"")"),"Vincanitv出现在屏幕上。")</f>
        <v>Vincanitv出现在屏幕上。</v>
      </c>
    </row>
    <row r="3231">
      <c r="A3231" s="4" t="s">
        <v>4055</v>
      </c>
      <c r="B3231" s="4" t="s">
        <v>4059</v>
      </c>
      <c r="C3231" s="5" t="str">
        <f>IFERROR(__xludf.DUMMYFUNCTION("GOOGLETRANSLATE(B3231,""en"",""zh-CN"")"),"讲师在说话。")</f>
        <v>讲师在说话。</v>
      </c>
    </row>
    <row r="3232">
      <c r="A3232" s="4" t="s">
        <v>4055</v>
      </c>
      <c r="B3232" s="4" t="s">
        <v>4060</v>
      </c>
      <c r="C3232" s="5" t="str">
        <f>IFERROR(__xludf.DUMMYFUNCTION("GOOGLETRANSLATE(B3232,""en"",""zh-CN"")"),"讲师坐在地板上介绍了这一举动。")</f>
        <v>讲师坐在地板上介绍了这一举动。</v>
      </c>
    </row>
    <row r="3233">
      <c r="A3233" s="4" t="s">
        <v>4055</v>
      </c>
      <c r="B3233" s="4" t="s">
        <v>4061</v>
      </c>
      <c r="C3233" s="5" t="str">
        <f>IFERROR(__xludf.DUMMYFUNCTION("GOOGLETRANSLATE(B3233,""en"",""zh-CN"")"),"显示了动作的镜头，然后讲师展示了如何做。")</f>
        <v>显示了动作的镜头，然后讲师展示了如何做。</v>
      </c>
    </row>
    <row r="3234">
      <c r="A3234" s="4" t="s">
        <v>4055</v>
      </c>
      <c r="B3234" s="4" t="s">
        <v>4062</v>
      </c>
      <c r="C3234" s="5" t="str">
        <f>IFERROR(__xludf.DUMMYFUNCTION("GOOGLETRANSLATE(B3234,""en"",""zh-CN"")"),"他将自己推向手，并采取了另一项行动。")</f>
        <v>他将自己推向手，并采取了另一项行动。</v>
      </c>
    </row>
    <row r="3235">
      <c r="A3235" s="4" t="s">
        <v>4055</v>
      </c>
      <c r="B3235" s="4" t="s">
        <v>4063</v>
      </c>
      <c r="C3235" s="5" t="str">
        <f>IFERROR(__xludf.DUMMYFUNCTION("GOOGLETRANSLATE(B3235,""en"",""zh-CN"")"),"他膝盖伸出另一个举动。")</f>
        <v>他膝盖伸出另一个举动。</v>
      </c>
    </row>
    <row r="3236">
      <c r="A3236" s="4" t="s">
        <v>4055</v>
      </c>
      <c r="B3236" s="4" t="s">
        <v>4064</v>
      </c>
      <c r="C3236" s="5" t="str">
        <f>IFERROR(__xludf.DUMMYFUNCTION("GOOGLETRANSLATE(B3236,""en"",""zh-CN"")"),"屏幕转到了同一动作的另一个镜头，但这次速度更快。")</f>
        <v>屏幕转到了同一动作的另一个镜头，但这次速度更快。</v>
      </c>
    </row>
    <row r="3237">
      <c r="A3237" s="4" t="s">
        <v>4055</v>
      </c>
      <c r="B3237" s="4" t="s">
        <v>4065</v>
      </c>
      <c r="C3237" s="5" t="str">
        <f>IFERROR(__xludf.DUMMYFUNCTION("GOOGLETRANSLATE(B3237,""en"",""zh-CN"")"),"讲师站着说话。")</f>
        <v>讲师站着说话。</v>
      </c>
    </row>
    <row r="3238">
      <c r="A3238" s="4" t="s">
        <v>4055</v>
      </c>
      <c r="B3238" s="4" t="s">
        <v>4066</v>
      </c>
      <c r="C3238" s="5" t="str">
        <f>IFERROR(__xludf.DUMMYFUNCTION("GOOGLETRANSLATE(B3238,""en"",""zh-CN"")"),"屏幕以Vincanitv促销结束。")</f>
        <v>屏幕以Vincanitv促销结束。</v>
      </c>
    </row>
    <row r="3239">
      <c r="A3239" s="4" t="s">
        <v>4067</v>
      </c>
      <c r="B3239" s="4" t="s">
        <v>4068</v>
      </c>
      <c r="C3239" s="5" t="str">
        <f>IFERROR(__xludf.DUMMYFUNCTION("GOOGLETRANSLATE(B3239,""en"",""zh-CN"")"),"一个女人站在营地。")</f>
        <v>一个女人站在营地。</v>
      </c>
    </row>
    <row r="3240">
      <c r="A3240" s="4" t="s">
        <v>4067</v>
      </c>
      <c r="B3240" s="4" t="s">
        <v>4069</v>
      </c>
      <c r="C3240" s="5" t="str">
        <f>IFERROR(__xludf.DUMMYFUNCTION("GOOGLETRANSLATE(B3240,""en"",""zh-CN"")"),"她的灯光匹配并将它们扔进一堆木头。")</f>
        <v>她的灯光匹配并将它们扔进一堆木头。</v>
      </c>
    </row>
    <row r="3241">
      <c r="A3241" s="4" t="s">
        <v>4070</v>
      </c>
      <c r="B3241" s="6" t="s">
        <v>4071</v>
      </c>
      <c r="C3241" s="5" t="str">
        <f>IFERROR(__xludf.DUMMYFUNCTION("GOOGLETRANSLATE(B3241,""en"",""zh-CN"")"),"一群人在海滩上移动时彼此之间互相玩游戏。")</f>
        <v>一群人在海滩上移动时彼此之间互相玩游戏。</v>
      </c>
    </row>
    <row r="3242">
      <c r="A3242" s="4" t="s">
        <v>4070</v>
      </c>
      <c r="B3242" s="6" t="s">
        <v>4072</v>
      </c>
      <c r="C3242" s="5" t="str">
        <f>IFERROR(__xludf.DUMMYFUNCTION("GOOGLETRANSLATE(B3242,""en"",""zh-CN"")"),"显示了几张镜头，那些人相互徘徊的人在反向比赛中徘徊，第四次在网上进行比赛，并互相帮助。")</f>
        <v>显示了几张镜头，那些人相互徘徊的人在反向比赛中徘徊，第四次在网上进行比赛，并互相帮助。</v>
      </c>
    </row>
    <row r="3243">
      <c r="A3243" s="4" t="s">
        <v>4073</v>
      </c>
      <c r="B3243" s="4" t="s">
        <v>4074</v>
      </c>
      <c r="C3243" s="5" t="str">
        <f>IFERROR(__xludf.DUMMYFUNCTION("GOOGLETRANSLATE(B3243,""en"",""zh-CN"")"),"显示了Howcast的广告。")</f>
        <v>显示了Howcast的广告。</v>
      </c>
    </row>
    <row r="3244">
      <c r="A3244" s="4" t="s">
        <v>4073</v>
      </c>
      <c r="B3244" s="6" t="s">
        <v>4075</v>
      </c>
      <c r="C3244" s="5" t="str">
        <f>IFERROR(__xludf.DUMMYFUNCTION("GOOGLETRANSLATE(B3244,""en"",""zh-CN"")"),"紧随其后的是一个坐在椅子上的女人，她为相机微笑，还有一个讲话的辫子的女人。")</f>
        <v>紧随其后的是一个坐在椅子上的女人，她为相机微笑，还有一个讲话的辫子的女人。</v>
      </c>
    </row>
    <row r="3245">
      <c r="A3245" s="4" t="s">
        <v>4073</v>
      </c>
      <c r="B3245" s="6" t="s">
        <v>4076</v>
      </c>
      <c r="C3245" s="5" t="str">
        <f>IFERROR(__xludf.DUMMYFUNCTION("GOOGLETRANSLATE(B3245,""en"",""zh-CN"")"),"红色的女人对坐在的女人进行了各种妆容，并在她走的过程中解释了这一过程。")</f>
        <v>红色的女人对坐在的女人进行了各种妆容，并在她走的过程中解释了这一过程。</v>
      </c>
    </row>
    <row r="3246">
      <c r="A3246" s="4" t="s">
        <v>4073</v>
      </c>
      <c r="B3246" s="4" t="s">
        <v>4077</v>
      </c>
      <c r="C3246" s="5" t="str">
        <f>IFERROR(__xludf.DUMMYFUNCTION("GOOGLETRANSLATE(B3246,""en"",""zh-CN"")"),"完成后，她再次在相机上说话。")</f>
        <v>完成后，她再次在相机上说话。</v>
      </c>
    </row>
    <row r="3247">
      <c r="A3247" s="4" t="s">
        <v>4078</v>
      </c>
      <c r="B3247" s="4" t="s">
        <v>4079</v>
      </c>
      <c r="C3247" s="5" t="str">
        <f>IFERROR(__xludf.DUMMYFUNCTION("GOOGLETRANSLATE(B3247,""en"",""zh-CN"")"),"一个男人喝咖啡，然后在室内弹吉他。")</f>
        <v>一个男人喝咖啡，然后在室内弹吉他。</v>
      </c>
    </row>
    <row r="3248">
      <c r="A3248" s="4" t="s">
        <v>4078</v>
      </c>
      <c r="B3248" s="4" t="s">
        <v>4080</v>
      </c>
      <c r="C3248" s="5" t="str">
        <f>IFERROR(__xludf.DUMMYFUNCTION("GOOGLETRANSLATE(B3248,""en"",""zh-CN"")"),"这个男人停下来喝咖啡。")</f>
        <v>这个男人停下来喝咖啡。</v>
      </c>
    </row>
    <row r="3249">
      <c r="A3249" s="4" t="s">
        <v>4078</v>
      </c>
      <c r="B3249" s="4" t="s">
        <v>4081</v>
      </c>
      <c r="C3249" s="5" t="str">
        <f>IFERROR(__xludf.DUMMYFUNCTION("GOOGLETRANSLATE(B3249,""en"",""zh-CN"")"),"然后，那个男人在街上喝了一杯咖啡和一把吉他。")</f>
        <v>然后，那个男人在街上喝了一杯咖啡和一把吉他。</v>
      </c>
    </row>
    <row r="3250">
      <c r="A3250" s="4" t="s">
        <v>4078</v>
      </c>
      <c r="B3250" s="4" t="s">
        <v>4082</v>
      </c>
      <c r="C3250" s="5" t="str">
        <f>IFERROR(__xludf.DUMMYFUNCTION("GOOGLETRANSLATE(B3250,""en"",""zh-CN"")"),"之后，该男子在室内弹奏吉他。")</f>
        <v>之后，该男子在室内弹奏吉他。</v>
      </c>
    </row>
    <row r="3251">
      <c r="A3251" s="4" t="s">
        <v>4078</v>
      </c>
      <c r="B3251" s="4" t="s">
        <v>4083</v>
      </c>
      <c r="C3251" s="5" t="str">
        <f>IFERROR(__xludf.DUMMYFUNCTION("GOOGLETRANSLATE(B3251,""en"",""zh-CN"")"),"接下来，该男子同时弹口琴和吉他。")</f>
        <v>接下来，该男子同时弹口琴和吉他。</v>
      </c>
    </row>
    <row r="3252">
      <c r="A3252" s="4" t="s">
        <v>4084</v>
      </c>
      <c r="B3252" s="6" t="s">
        <v>4085</v>
      </c>
      <c r="C3252" s="5" t="str">
        <f>IFERROR(__xludf.DUMMYFUNCTION("GOOGLETRANSLATE(B3252,""en"",""zh-CN"")"),"看到一个男孩在拿着两个篮球的相机上说话，并带领他把他们抬到他的脸上。")</f>
        <v>看到一个男孩在拿着两个篮球的相机上说话，并带领他把他们抬到他的脸上。</v>
      </c>
    </row>
    <row r="3253">
      <c r="A3253" s="4" t="s">
        <v>4084</v>
      </c>
      <c r="B3253" s="6" t="s">
        <v>4086</v>
      </c>
      <c r="C3253" s="5" t="str">
        <f>IFERROR(__xludf.DUMMYFUNCTION("GOOGLETRANSLATE(B3253,""en"",""zh-CN"")"),"然后，这个男孩在打球并最终射出篮筐时上下球场上下移动。")</f>
        <v>然后，这个男孩在打球并最终射出篮筐时上下球场上下移动。</v>
      </c>
    </row>
    <row r="3254">
      <c r="A3254" s="4" t="s">
        <v>4087</v>
      </c>
      <c r="B3254" s="6" t="s">
        <v>4088</v>
      </c>
      <c r="C3254" s="5" t="str">
        <f>IFERROR(__xludf.DUMMYFUNCTION("GOOGLETRANSLATE(B3254,""en"",""zh-CN"")"),"简介将几个人站在一个圆圈中，将物体扔到远处并通过走开结束。")</f>
        <v>简介将几个人站在一个圆圈中，将物体扔到远处并通过走开结束。</v>
      </c>
    </row>
    <row r="3255">
      <c r="A3255" s="4" t="s">
        <v>4087</v>
      </c>
      <c r="B3255" s="6" t="s">
        <v>4089</v>
      </c>
      <c r="C3255" s="5" t="str">
        <f>IFERROR(__xludf.DUMMYFUNCTION("GOOGLETRANSLATE(B3255,""en"",""zh-CN"")"),"看到更多的人被浸入圆圈中，将物体扔到远处并彼此欢呼。")</f>
        <v>看到更多的人被浸入圆圈中，将物体扔到远处并彼此欢呼。</v>
      </c>
    </row>
    <row r="3256">
      <c r="A3256" s="4" t="s">
        <v>4090</v>
      </c>
      <c r="B3256" s="4" t="s">
        <v>4091</v>
      </c>
      <c r="C3256" s="5" t="str">
        <f>IFERROR(__xludf.DUMMYFUNCTION("GOOGLETRANSLATE(B3256,""en"",""zh-CN"")"),"看到一个男人握住绳索并在相机上说话。")</f>
        <v>看到一个男人握住绳索并在相机上说话。</v>
      </c>
    </row>
    <row r="3257">
      <c r="A3257" s="4" t="s">
        <v>4090</v>
      </c>
      <c r="B3257" s="4" t="s">
        <v>4092</v>
      </c>
      <c r="C3257" s="5" t="str">
        <f>IFERROR(__xludf.DUMMYFUNCTION("GOOGLETRANSLATE(B3257,""en"",""zh-CN"")"),"他在镜头说话时抬起皮带，开始爬上墙壁。")</f>
        <v>他在镜头说话时抬起皮带，开始爬上墙壁。</v>
      </c>
    </row>
    <row r="3258">
      <c r="A3258" s="4" t="s">
        <v>4090</v>
      </c>
      <c r="B3258" s="4" t="s">
        <v>4093</v>
      </c>
      <c r="C3258" s="5" t="str">
        <f>IFERROR(__xludf.DUMMYFUNCTION("GOOGLETRANSLATE(B3258,""en"",""zh-CN"")"),"该男子一直爬上墙壁，并从相机上望去。")</f>
        <v>该男子一直爬上墙壁，并从相机上望去。</v>
      </c>
    </row>
    <row r="3259">
      <c r="A3259" s="4" t="s">
        <v>4094</v>
      </c>
      <c r="B3259" s="4" t="s">
        <v>4095</v>
      </c>
      <c r="C3259" s="5" t="str">
        <f>IFERROR(__xludf.DUMMYFUNCTION("GOOGLETRANSLATE(B3259,""en"",""zh-CN"")"),"我们看到一个蓝色的屏幕，上面有一杯饮料。")</f>
        <v>我们看到一个蓝色的屏幕，上面有一杯饮料。</v>
      </c>
    </row>
    <row r="3260">
      <c r="A3260" s="4" t="s">
        <v>4094</v>
      </c>
      <c r="B3260" s="4" t="s">
        <v>4096</v>
      </c>
      <c r="C3260" s="5" t="str">
        <f>IFERROR(__xludf.DUMMYFUNCTION("GOOGLETRANSLATE(B3260,""en"",""zh-CN"")"),"我们看到一位女士在酒吧后面混合饮料。")</f>
        <v>我们看到一位女士在酒吧后面混合饮料。</v>
      </c>
    </row>
    <row r="3261">
      <c r="A3261" s="4" t="s">
        <v>4094</v>
      </c>
      <c r="B3261" s="4" t="s">
        <v>4097</v>
      </c>
      <c r="C3261" s="5" t="str">
        <f>IFERROR(__xludf.DUMMYFUNCTION("GOOGLETRANSLATE(B3261,""en"",""zh-CN"")"),"女士在玻璃杯中添加冰和三枪。")</f>
        <v>女士在玻璃杯中添加冰和三枪。</v>
      </c>
    </row>
    <row r="3262">
      <c r="A3262" s="4" t="s">
        <v>4094</v>
      </c>
      <c r="B3262" s="4" t="s">
        <v>4098</v>
      </c>
      <c r="C3262" s="5" t="str">
        <f>IFERROR(__xludf.DUMMYFUNCTION("GOOGLETRANSLATE(B3262,""en"",""zh-CN"")"),"那位女士在玻璃杯中倒了一些红色。")</f>
        <v>那位女士在玻璃杯中倒了一些红色。</v>
      </c>
    </row>
    <row r="3263">
      <c r="A3263" s="4" t="s">
        <v>4094</v>
      </c>
      <c r="B3263" s="4" t="s">
        <v>4099</v>
      </c>
      <c r="C3263" s="5" t="str">
        <f>IFERROR(__xludf.DUMMYFUNCTION("GOOGLETRANSLATE(B3263,""en"",""zh-CN"")"),"女士添加了一些形成分配器和罐子的东西。")</f>
        <v>女士添加了一些形成分配器和罐子的东西。</v>
      </c>
    </row>
    <row r="3264">
      <c r="A3264" s="4" t="s">
        <v>4094</v>
      </c>
      <c r="B3264" s="4" t="s">
        <v>4100</v>
      </c>
      <c r="C3264" s="5" t="str">
        <f>IFERROR(__xludf.DUMMYFUNCTION("GOOGLETRANSLATE(B3264,""en"",""zh-CN"")"),"那位女士然后搅拌将饮料推向前进。")</f>
        <v>那位女士然后搅拌将饮料推向前进。</v>
      </c>
    </row>
    <row r="3265">
      <c r="A3265" s="4" t="s">
        <v>4094</v>
      </c>
      <c r="B3265" s="4" t="s">
        <v>4101</v>
      </c>
      <c r="C3265" s="5" t="str">
        <f>IFERROR(__xludf.DUMMYFUNCTION("GOOGLETRANSLATE(B3265,""en"",""zh-CN"")"),"我们看到一个红色的关闭屏幕和一个长长的黑屏。")</f>
        <v>我们看到一个红色的关闭屏幕和一个长长的黑屏。</v>
      </c>
    </row>
    <row r="3266">
      <c r="A3266" s="4" t="s">
        <v>4102</v>
      </c>
      <c r="B3266" s="6" t="s">
        <v>4103</v>
      </c>
      <c r="C3266" s="5" t="str">
        <f>IFERROR(__xludf.DUMMYFUNCTION("GOOGLETRANSLATE(B3266,""en"",""zh-CN"")"),"展示了奖杯的各种镜头，女孩正在采访相机以及表演体操动作。")</f>
        <v>展示了奖杯的各种镜头，女孩正在采访相机以及表演体操动作。</v>
      </c>
    </row>
    <row r="3267">
      <c r="A3267" s="4" t="s">
        <v>4102</v>
      </c>
      <c r="B3267" s="6" t="s">
        <v>4104</v>
      </c>
      <c r="C3267" s="5" t="str">
        <f>IFERROR(__xludf.DUMMYFUNCTION("GOOGLETRANSLATE(B3267,""en"",""zh-CN"")"),"然后，一位讲师向女孩展示了如何正确执行特技表演，并让另一个女孩爬到手上。")</f>
        <v>然后，一位讲师向女孩展示了如何正确执行特技表演，并让另一个女孩爬到手上。</v>
      </c>
    </row>
    <row r="3268">
      <c r="A3268" s="4" t="s">
        <v>4102</v>
      </c>
      <c r="B3268" s="6" t="s">
        <v>4105</v>
      </c>
      <c r="C3268" s="5" t="str">
        <f>IFERROR(__xludf.DUMMYFUNCTION("GOOGLETRANSLATE(B3268,""en"",""zh-CN"")"),"这个女孩不断向讲师的帮助，向镜头讲话。")</f>
        <v>这个女孩不断向讲师的帮助，向镜头讲话。</v>
      </c>
    </row>
    <row r="3269">
      <c r="A3269" s="4" t="s">
        <v>4106</v>
      </c>
      <c r="B3269" s="6" t="s">
        <v>4107</v>
      </c>
      <c r="C3269" s="5" t="str">
        <f>IFERROR(__xludf.DUMMYFUNCTION("GOOGLETRANSLATE(B3269,""en"",""zh-CN"")"),"有一位新闻记者穿着粉红色的花卉连衣裙和一件白色夹克，可更新体育新闻。")</f>
        <v>有一位新闻记者穿着粉红色的花卉连衣裙和一件白色夹克，可更新体育新闻。</v>
      </c>
    </row>
    <row r="3270">
      <c r="A3270" s="4" t="s">
        <v>4106</v>
      </c>
      <c r="B3270" s="4" t="s">
        <v>4108</v>
      </c>
      <c r="C3270" s="5" t="str">
        <f>IFERROR(__xludf.DUMMYFUNCTION("GOOGLETRANSLATE(B3270,""en"",""zh-CN"")"),"她展示了伦敦残奥会的事件。")</f>
        <v>她展示了伦敦残奥会的事件。</v>
      </c>
    </row>
    <row r="3271">
      <c r="A3271" s="4" t="s">
        <v>4106</v>
      </c>
      <c r="B3271" s="6" t="s">
        <v>4109</v>
      </c>
      <c r="C3271" s="5" t="str">
        <f>IFERROR(__xludf.DUMMYFUNCTION("GOOGLETRANSLATE(B3271,""en"",""zh-CN"")"),"她向观众展示了不同的事件，例如拍摄，游泳和跑步，以及在这些活动中赢得的金牌。")</f>
        <v>她向观众展示了不同的事件，例如拍摄，游泳和跑步，以及在这些活动中赢得的金牌。</v>
      </c>
    </row>
    <row r="3272">
      <c r="A3272" s="4" t="s">
        <v>4106</v>
      </c>
      <c r="B3272" s="4" t="s">
        <v>4110</v>
      </c>
      <c r="C3272" s="5" t="str">
        <f>IFERROR(__xludf.DUMMYFUNCTION("GOOGLETRANSLATE(B3272,""en"",""zh-CN"")"),"当新闻是电视广播时，底部有有关当前事件的标题。")</f>
        <v>当新闻是电视广播时，底部有有关当前事件的标题。</v>
      </c>
    </row>
    <row r="3273">
      <c r="A3273" s="4" t="s">
        <v>4106</v>
      </c>
      <c r="B3273" s="6" t="s">
        <v>4111</v>
      </c>
      <c r="C3273" s="5" t="str">
        <f>IFERROR(__xludf.DUMMYFUNCTION("GOOGLETRANSLATE(B3273,""en"",""zh-CN"")"),"她还向观众展示了所有参与残奥会的国家赢得的奖牌。")</f>
        <v>她还向观众展示了所有参与残奥会的国家赢得的奖牌。</v>
      </c>
    </row>
    <row r="3274">
      <c r="A3274" s="4" t="s">
        <v>4112</v>
      </c>
      <c r="B3274" s="4" t="s">
        <v>4113</v>
      </c>
      <c r="C3274" s="5" t="str">
        <f>IFERROR(__xludf.DUMMYFUNCTION("GOOGLETRANSLATE(B3274,""en"",""zh-CN"")"),"一个女人沿着一条土路跑。")</f>
        <v>一个女人沿着一条土路跑。</v>
      </c>
    </row>
    <row r="3275">
      <c r="A3275" s="4" t="s">
        <v>4112</v>
      </c>
      <c r="B3275" s="4" t="s">
        <v>4114</v>
      </c>
      <c r="C3275" s="5" t="str">
        <f>IFERROR(__xludf.DUMMYFUNCTION("GOOGLETRANSLATE(B3275,""en"",""zh-CN"")"),"她用杆子在远光灯上拱起。")</f>
        <v>她用杆子在远光灯上拱起。</v>
      </c>
    </row>
    <row r="3276">
      <c r="A3276" s="4" t="s">
        <v>4115</v>
      </c>
      <c r="B3276" s="4" t="s">
        <v>4116</v>
      </c>
      <c r="C3276" s="5" t="str">
        <f>IFERROR(__xludf.DUMMYFUNCTION("GOOGLETRANSLATE(B3276,""en"",""zh-CN"")"),"一个人在后院的围栏上以快速运动喷洒液体。")</f>
        <v>一个人在后院的围栏上以快速运动喷洒液体。</v>
      </c>
    </row>
    <row r="3277">
      <c r="A3277" s="4" t="s">
        <v>4115</v>
      </c>
      <c r="B3277" s="4" t="s">
        <v>4117</v>
      </c>
      <c r="C3277" s="5" t="str">
        <f>IFERROR(__xludf.DUMMYFUNCTION("GOOGLETRANSLATE(B3277,""en"",""zh-CN"")"),"该人继续喷洒并以相机褪色为黑色。")</f>
        <v>该人继续喷洒并以相机褪色为黑色。</v>
      </c>
    </row>
    <row r="3278">
      <c r="A3278" s="4" t="s">
        <v>4118</v>
      </c>
      <c r="B3278" s="4" t="s">
        <v>4119</v>
      </c>
      <c r="C3278" s="5" t="str">
        <f>IFERROR(__xludf.DUMMYFUNCTION("GOOGLETRANSLATE(B3278,""en"",""zh-CN"")"),"该视频以标题幻灯片开头。")</f>
        <v>该视频以标题幻灯片开头。</v>
      </c>
    </row>
    <row r="3279">
      <c r="A3279" s="4" t="s">
        <v>4118</v>
      </c>
      <c r="B3279" s="4" t="s">
        <v>4120</v>
      </c>
      <c r="C3279" s="5" t="str">
        <f>IFERROR(__xludf.DUMMYFUNCTION("GOOGLETRANSLATE(B3279,""en"",""zh-CN"")"),"一个女人和孩子在一个带有跳绳的公园里。")</f>
        <v>一个女人和孩子在一个带有跳绳的公园里。</v>
      </c>
    </row>
    <row r="3280">
      <c r="A3280" s="4" t="s">
        <v>4118</v>
      </c>
      <c r="B3280" s="6" t="s">
        <v>4121</v>
      </c>
      <c r="C3280" s="5" t="str">
        <f>IFERROR(__xludf.DUMMYFUNCTION("GOOGLETRANSLATE(B3280,""en"",""zh-CN"")"),"当孩子试图复制她时，这个女人开始演示如何使用跳绳。")</f>
        <v>当孩子试图复制她时，这个女人开始演示如何使用跳绳。</v>
      </c>
    </row>
    <row r="3281">
      <c r="A3281" s="4" t="s">
        <v>4118</v>
      </c>
      <c r="B3281" s="4" t="s">
        <v>4122</v>
      </c>
      <c r="C3281" s="5" t="str">
        <f>IFERROR(__xludf.DUMMYFUNCTION("GOOGLETRANSLATE(B3281,""en"",""zh-CN"")"),"有一次，背景中的另一个女人在跳绳时在屏幕上奔跑。")</f>
        <v>有一次，背景中的另一个女人在跳绳时在屏幕上奔跑。</v>
      </c>
    </row>
    <row r="3282">
      <c r="A3282" s="4" t="s">
        <v>4118</v>
      </c>
      <c r="B3282" s="4" t="s">
        <v>4123</v>
      </c>
      <c r="C3282" s="5" t="str">
        <f>IFERROR(__xludf.DUMMYFUNCTION("GOOGLETRANSLATE(B3282,""en"",""zh-CN"")"),"视频以两位妇女在相机上讲话和最终标题序列结尾。")</f>
        <v>视频以两位妇女在相机上讲话和最终标题序列结尾。</v>
      </c>
    </row>
    <row r="3283">
      <c r="A3283" s="4" t="s">
        <v>4124</v>
      </c>
      <c r="B3283" s="4" t="s">
        <v>4125</v>
      </c>
      <c r="C3283" s="5" t="str">
        <f>IFERROR(__xludf.DUMMYFUNCTION("GOOGLETRANSLATE(B3283,""en"",""zh-CN"")"),"一个婴儿坐在秋千上。")</f>
        <v>一个婴儿坐在秋千上。</v>
      </c>
    </row>
    <row r="3284">
      <c r="A3284" s="4" t="s">
        <v>4124</v>
      </c>
      <c r="B3284" s="4" t="s">
        <v>4126</v>
      </c>
      <c r="C3284" s="5" t="str">
        <f>IFERROR(__xludf.DUMMYFUNCTION("GOOGLETRANSLATE(B3284,""en"",""zh-CN"")"),"婴儿在笑，摇着脚。")</f>
        <v>婴儿在笑，摇着脚。</v>
      </c>
    </row>
    <row r="3285">
      <c r="A3285" s="4" t="s">
        <v>4124</v>
      </c>
      <c r="B3285" s="4" t="s">
        <v>4127</v>
      </c>
      <c r="C3285" s="5" t="str">
        <f>IFERROR(__xludf.DUMMYFUNCTION("GOOGLETRANSLATE(B3285,""en"",""zh-CN"")"),"婴儿转向秋千的一侧。")</f>
        <v>婴儿转向秋千的一侧。</v>
      </c>
    </row>
    <row r="3286">
      <c r="A3286" s="4" t="s">
        <v>4128</v>
      </c>
      <c r="B3286" s="4" t="s">
        <v>4129</v>
      </c>
      <c r="C3286" s="5" t="str">
        <f>IFERROR(__xludf.DUMMYFUNCTION("GOOGLETRANSLATE(B3286,""en"",""zh-CN"")"),"几名游泳者互相走过，握手。")</f>
        <v>几名游泳者互相走过，握手。</v>
      </c>
    </row>
    <row r="3287">
      <c r="A3287" s="4" t="s">
        <v>4128</v>
      </c>
      <c r="B3287" s="4" t="s">
        <v>4130</v>
      </c>
      <c r="C3287" s="5" t="str">
        <f>IFERROR(__xludf.DUMMYFUNCTION("GOOGLETRANSLATE(B3287,""en"",""zh-CN"")"),"他们聚集在游泳池里，然后参加水球比赛。")</f>
        <v>他们聚集在游泳池里，然后参加水球比赛。</v>
      </c>
    </row>
    <row r="3288">
      <c r="A3288" s="4" t="s">
        <v>4128</v>
      </c>
      <c r="B3288" s="4" t="s">
        <v>4131</v>
      </c>
      <c r="C3288" s="5" t="str">
        <f>IFERROR(__xludf.DUMMYFUNCTION("GOOGLETRANSLATE(B3288,""en"",""zh-CN"")"),"他们来回击球，试图将球进入网。")</f>
        <v>他们来回击球，试图将球进入网。</v>
      </c>
    </row>
    <row r="3289">
      <c r="A3289" s="4" t="s">
        <v>4132</v>
      </c>
      <c r="B3289" s="4" t="s">
        <v>4133</v>
      </c>
      <c r="C3289" s="5" t="str">
        <f>IFERROR(__xludf.DUMMYFUNCTION("GOOGLETRANSLATE(B3289,""en"",""zh-CN"")"),"一个穿着红色衬衫的男人正在和镜头说话。")</f>
        <v>一个穿着红色衬衫的男人正在和镜头说话。</v>
      </c>
    </row>
    <row r="3290">
      <c r="A3290" s="4" t="s">
        <v>4132</v>
      </c>
      <c r="B3290" s="4" t="s">
        <v>4134</v>
      </c>
      <c r="C3290" s="5" t="str">
        <f>IFERROR(__xludf.DUMMYFUNCTION("GOOGLETRANSLATE(B3290,""en"",""zh-CN"")"),"他开始在他面前的墙上撞到一个球。")</f>
        <v>他开始在他面前的墙上撞到一个球。</v>
      </c>
    </row>
    <row r="3291">
      <c r="A3291" s="4" t="s">
        <v>4132</v>
      </c>
      <c r="B3291" s="4" t="s">
        <v>4135</v>
      </c>
      <c r="C3291" s="5" t="str">
        <f>IFERROR(__xludf.DUMMYFUNCTION("GOOGLETRANSLATE(B3291,""en"",""zh-CN"")"),"他停下来走向镜头。")</f>
        <v>他停下来走向镜头。</v>
      </c>
    </row>
    <row r="3292">
      <c r="A3292" s="4" t="s">
        <v>4136</v>
      </c>
      <c r="B3292" s="4" t="s">
        <v>4137</v>
      </c>
      <c r="C3292" s="5" t="str">
        <f>IFERROR(__xludf.DUMMYFUNCTION("GOOGLETRANSLATE(B3292,""en"",""zh-CN"")"),"显示标志的特写镜头，后面是浸油漆的人。")</f>
        <v>显示标志的特写镜头，后面是浸油漆的人。</v>
      </c>
    </row>
    <row r="3293">
      <c r="A3293" s="4" t="s">
        <v>4136</v>
      </c>
      <c r="B3293" s="4" t="s">
        <v>4138</v>
      </c>
      <c r="C3293" s="5" t="str">
        <f>IFERROR(__xludf.DUMMYFUNCTION("GOOGLETRANSLATE(B3293,""en"",""zh-CN"")"),"然后看到该人在整个地区散布油漆，而另一个人则向相机微笑。")</f>
        <v>然后看到该人在整个地区散布油漆，而另一个人则向相机微笑。</v>
      </c>
    </row>
    <row r="3294">
      <c r="A3294" s="4" t="s">
        <v>4136</v>
      </c>
      <c r="B3294" s="4" t="s">
        <v>4139</v>
      </c>
      <c r="C3294" s="5" t="str">
        <f>IFERROR(__xludf.DUMMYFUNCTION("GOOGLETRANSLATE(B3294,""en"",""zh-CN"")"),"这些人继续将石膏放在墙上。")</f>
        <v>这些人继续将石膏放在墙上。</v>
      </c>
    </row>
    <row r="3295">
      <c r="A3295" s="4" t="s">
        <v>4140</v>
      </c>
      <c r="B3295" s="4" t="s">
        <v>4141</v>
      </c>
      <c r="C3295" s="5" t="str">
        <f>IFERROR(__xludf.DUMMYFUNCTION("GOOGLETRANSLATE(B3295,""en"",""zh-CN"")"),"一个男人正在清洁落在汽车上的雪。")</f>
        <v>一个男人正在清洁落在汽车上的雪。</v>
      </c>
    </row>
    <row r="3296">
      <c r="A3296" s="4" t="s">
        <v>4140</v>
      </c>
      <c r="B3296" s="4" t="s">
        <v>4142</v>
      </c>
      <c r="C3296" s="5" t="str">
        <f>IFERROR(__xludf.DUMMYFUNCTION("GOOGLETRANSLATE(B3296,""en"",""zh-CN"")"),"他站在车停在的道路上。")</f>
        <v>他站在车停在的道路上。</v>
      </c>
    </row>
    <row r="3297">
      <c r="A3297" s="4" t="s">
        <v>4140</v>
      </c>
      <c r="B3297" s="4" t="s">
        <v>4143</v>
      </c>
      <c r="C3297" s="5" t="str">
        <f>IFERROR(__xludf.DUMMYFUNCTION("GOOGLETRANSLATE(B3297,""en"",""zh-CN"")"),"他通过刮擦从汽车顶部清除了雪。")</f>
        <v>他通过刮擦从汽车顶部清除了雪。</v>
      </c>
    </row>
    <row r="3298">
      <c r="A3298" s="4" t="s">
        <v>4140</v>
      </c>
      <c r="B3298" s="4" t="s">
        <v>4144</v>
      </c>
      <c r="C3298" s="5" t="str">
        <f>IFERROR(__xludf.DUMMYFUNCTION("GOOGLETRANSLATE(B3298,""en"",""zh-CN"")"),"然后，他清洁了汽车的侧面。")</f>
        <v>然后，他清洁了汽车的侧面。</v>
      </c>
    </row>
    <row r="3299">
      <c r="A3299" s="4" t="s">
        <v>4140</v>
      </c>
      <c r="B3299" s="4" t="s">
        <v>4145</v>
      </c>
      <c r="C3299" s="5" t="str">
        <f>IFERROR(__xludf.DUMMYFUNCTION("GOOGLETRANSLATE(B3299,""en"",""zh-CN"")"),"他清洗汽车时，他给某人竖起大拇指。")</f>
        <v>他清洗汽车时，他给某人竖起大拇指。</v>
      </c>
    </row>
    <row r="3300">
      <c r="A3300" s="4" t="s">
        <v>4140</v>
      </c>
      <c r="B3300" s="4" t="s">
        <v>4146</v>
      </c>
      <c r="C3300" s="5" t="str">
        <f>IFERROR(__xludf.DUMMYFUNCTION("GOOGLETRANSLATE(B3300,""en"",""zh-CN"")"),"然后，他移动到汽车的前面以清洁挡风玻璃。")</f>
        <v>然后，他移动到汽车的前面以清洁挡风玻璃。</v>
      </c>
    </row>
    <row r="3301">
      <c r="A3301" s="4" t="s">
        <v>4147</v>
      </c>
      <c r="B3301" s="4" t="s">
        <v>4148</v>
      </c>
      <c r="C3301" s="5" t="str">
        <f>IFERROR(__xludf.DUMMYFUNCTION("GOOGLETRANSLATE(B3301,""en"",""zh-CN"")"),"可以看到一个水烟的特写，导致了另一个男人。")</f>
        <v>可以看到一个水烟的特写，导致了另一个男人。</v>
      </c>
    </row>
    <row r="3302">
      <c r="A3302" s="4" t="s">
        <v>4147</v>
      </c>
      <c r="B3302" s="4" t="s">
        <v>4149</v>
      </c>
      <c r="C3302" s="5" t="str">
        <f>IFERROR(__xludf.DUMMYFUNCTION("GOOGLETRANSLATE(B3302,""en"",""zh-CN"")"),"该男子抓住软管，并从水烟中受到打击。")</f>
        <v>该男子抓住软管，并从水烟中受到打击。</v>
      </c>
    </row>
    <row r="3303">
      <c r="A3303" s="4" t="s">
        <v>4147</v>
      </c>
      <c r="B3303" s="4" t="s">
        <v>4150</v>
      </c>
      <c r="C3303" s="5" t="str">
        <f>IFERROR(__xludf.DUMMYFUNCTION("GOOGLETRANSLATE(B3303,""en"",""zh-CN"")"),"然后，该男子将烟雾吹入相机镜头。")</f>
        <v>然后，该男子将烟雾吹入相机镜头。</v>
      </c>
    </row>
    <row r="3304">
      <c r="A3304" s="4" t="s">
        <v>4151</v>
      </c>
      <c r="B3304" s="4" t="s">
        <v>4152</v>
      </c>
      <c r="C3304" s="5" t="str">
        <f>IFERROR(__xludf.DUMMYFUNCTION("GOOGLETRANSLATE(B3304,""en"",""zh-CN"")"),"该男子弹跳球并用球拍击中。")</f>
        <v>该男子弹跳球并用球拍击中。</v>
      </c>
    </row>
    <row r="3305">
      <c r="A3305" s="4" t="s">
        <v>4151</v>
      </c>
      <c r="B3305" s="4" t="s">
        <v>4153</v>
      </c>
      <c r="C3305" s="5" t="str">
        <f>IFERROR(__xludf.DUMMYFUNCTION("GOOGLETRANSLATE(B3305,""en"",""zh-CN"")"),"该男子弹跳球并在球场上击中。")</f>
        <v>该男子弹跳球并在球场上击中。</v>
      </c>
    </row>
    <row r="3306">
      <c r="A3306" s="4" t="s">
        <v>4151</v>
      </c>
      <c r="B3306" s="4" t="s">
        <v>4154</v>
      </c>
      <c r="C3306" s="5" t="str">
        <f>IFERROR(__xludf.DUMMYFUNCTION("GOOGLETRANSLATE(B3306,""en"",""zh-CN"")"),"然后，该男子弹跳并击中一个球。")</f>
        <v>然后，该男子弹跳并击中一个球。</v>
      </c>
    </row>
    <row r="3307">
      <c r="A3307" s="4" t="s">
        <v>4155</v>
      </c>
      <c r="B3307" s="6" t="s">
        <v>4156</v>
      </c>
      <c r="C3307" s="5" t="str">
        <f>IFERROR(__xludf.DUMMYFUNCTION("GOOGLETRANSLATE(B3307,""en"",""zh-CN"")"),"当相机绕着他的身体移动时，看到一个运动员在慢速运动中奔跑。")</f>
        <v>当相机绕着他的身体移动时，看到一个运动员在慢速运动中奔跑。</v>
      </c>
    </row>
    <row r="3308">
      <c r="A3308" s="4" t="s">
        <v>4155</v>
      </c>
      <c r="B3308" s="4" t="s">
        <v>4157</v>
      </c>
      <c r="C3308" s="5" t="str">
        <f>IFERROR(__xludf.DUMMYFUNCTION("GOOGLETRANSLATE(B3308,""en"",""zh-CN"")"),"然后，视频在他的脚上冻结以显示文字，并以他将手臂抬起空中结束。")</f>
        <v>然后，视频在他的脚上冻结以显示文字，并以他将手臂抬起空中结束。</v>
      </c>
    </row>
    <row r="3309">
      <c r="A3309" s="4" t="s">
        <v>4158</v>
      </c>
      <c r="B3309" s="4" t="s">
        <v>4159</v>
      </c>
      <c r="C3309" s="5" t="str">
        <f>IFERROR(__xludf.DUMMYFUNCTION("GOOGLETRANSLATE(B3309,""en"",""zh-CN"")"),"看到一个女人在举起盒子和报纸时在相机上说话。")</f>
        <v>看到一个女人在举起盒子和报纸时在相机上说话。</v>
      </c>
    </row>
    <row r="3310">
      <c r="A3310" s="4" t="s">
        <v>4158</v>
      </c>
      <c r="B3310" s="4" t="s">
        <v>4160</v>
      </c>
      <c r="C3310" s="5" t="str">
        <f>IFERROR(__xludf.DUMMYFUNCTION("GOOGLETRANSLATE(B3310,""en"",""zh-CN"")"),"然后，该名女子开始切割新闻纸，然后将盒子放在中间。")</f>
        <v>然后，该名女子开始切割新闻纸，然后将盒子放在中间。</v>
      </c>
    </row>
    <row r="3311">
      <c r="A3311" s="4" t="s">
        <v>4158</v>
      </c>
      <c r="B3311" s="4" t="s">
        <v>4161</v>
      </c>
      <c r="C3311" s="5" t="str">
        <f>IFERROR(__xludf.DUMMYFUNCTION("GOOGLETRANSLATE(B3311,""en"",""zh-CN"")"),"女人们用新闻报纸包裹了盒子，并将其贴在侧面。")</f>
        <v>女人们用新闻报纸包裹了盒子，并将其贴在侧面。</v>
      </c>
    </row>
    <row r="3312">
      <c r="A3312" s="4" t="s">
        <v>4162</v>
      </c>
      <c r="B3312" s="4" t="s">
        <v>4163</v>
      </c>
      <c r="C3312" s="5" t="str">
        <f>IFERROR(__xludf.DUMMYFUNCTION("GOOGLETRANSLATE(B3312,""en"",""zh-CN"")"),"看到一个男人在相机上说话，开始剃掉他的面部头发。")</f>
        <v>看到一个男人在相机上说话，开始剃掉他的面部头发。</v>
      </c>
    </row>
    <row r="3313">
      <c r="A3313" s="4" t="s">
        <v>4162</v>
      </c>
      <c r="B3313" s="4" t="s">
        <v>4164</v>
      </c>
      <c r="C3313" s="5" t="str">
        <f>IFERROR(__xludf.DUMMYFUNCTION("GOOGLETRANSLATE(B3313,""en"",""zh-CN"")"),"该男子继续剃剃，炫耀他的前后照片。")</f>
        <v>该男子继续剃剃，炫耀他的前后照片。</v>
      </c>
    </row>
    <row r="3314">
      <c r="A3314" s="4" t="s">
        <v>4165</v>
      </c>
      <c r="B3314" s="4" t="s">
        <v>4166</v>
      </c>
      <c r="C3314" s="5" t="str">
        <f>IFERROR(__xludf.DUMMYFUNCTION("GOOGLETRANSLATE(B3314,""en"",""zh-CN"")"),"看到一个女人在相机上说话，并向相机展示了各种工具。")</f>
        <v>看到一个女人在相机上说话，并向相机展示了各种工具。</v>
      </c>
    </row>
    <row r="3315">
      <c r="A3315" s="4" t="s">
        <v>4165</v>
      </c>
      <c r="B3315" s="4" t="s">
        <v>4167</v>
      </c>
      <c r="C3315" s="5" t="str">
        <f>IFERROR(__xludf.DUMMYFUNCTION("GOOGLETRANSLATE(B3315,""en"",""zh-CN"")"),"她解释了每个工具如何用于清洁马匹，并通过微笑到相机结束。")</f>
        <v>她解释了每个工具如何用于清洁马匹，并通过微笑到相机结束。</v>
      </c>
    </row>
    <row r="3316">
      <c r="A3316" s="4" t="s">
        <v>4168</v>
      </c>
      <c r="B3316" s="4" t="s">
        <v>4169</v>
      </c>
      <c r="C3316" s="5" t="str">
        <f>IFERROR(__xludf.DUMMYFUNCTION("GOOGLETRANSLATE(B3316,""en"",""zh-CN"")"),"显示了描述事件的文本简介。")</f>
        <v>显示了描述事件的文本简介。</v>
      </c>
    </row>
    <row r="3317">
      <c r="A3317" s="4" t="s">
        <v>4168</v>
      </c>
      <c r="B3317" s="4" t="s">
        <v>4170</v>
      </c>
      <c r="C3317" s="5" t="str">
        <f>IFERROR(__xludf.DUMMYFUNCTION("GOOGLETRANSLATE(B3317,""en"",""zh-CN"")"),"一名女士在不平衡的酒吧上表演体操，而许多观众则观看。")</f>
        <v>一名女士在不平衡的酒吧上表演体操，而许多观众则观看。</v>
      </c>
    </row>
    <row r="3318">
      <c r="A3318" s="4" t="s">
        <v>4168</v>
      </c>
      <c r="B3318" s="4" t="s">
        <v>4171</v>
      </c>
      <c r="C3318" s="5" t="str">
        <f>IFERROR(__xludf.DUMMYFUNCTION("GOOGLETRANSLATE(B3318,""en"",""zh-CN"")"),"那个女人从酒吧卸下。")</f>
        <v>那个女人从酒吧卸下。</v>
      </c>
    </row>
    <row r="3319">
      <c r="A3319" s="4" t="s">
        <v>4172</v>
      </c>
      <c r="B3319" s="4" t="s">
        <v>4173</v>
      </c>
      <c r="C3319" s="5" t="str">
        <f>IFERROR(__xludf.DUMMYFUNCTION("GOOGLETRANSLATE(B3319,""en"",""zh-CN"")"),"有一个穿着红色衬衫的年轻人和蓝豆豆帽子扮演口琴。")</f>
        <v>有一个穿着红色衬衫的年轻人和蓝豆豆帽子扮演口琴。</v>
      </c>
    </row>
    <row r="3320">
      <c r="A3320" s="4" t="s">
        <v>4172</v>
      </c>
      <c r="B3320" s="4" t="s">
        <v>4174</v>
      </c>
      <c r="C3320" s="5" t="str">
        <f>IFERROR(__xludf.DUMMYFUNCTION("GOOGLETRANSLATE(B3320,""en"",""zh-CN"")"),"当他迅速通过嘴里移动口琴以演奏快速曲调时，他会节奏地发挥作用。")</f>
        <v>当他迅速通过嘴里移动口琴以演奏快速曲调时，他会节奏地发挥作用。</v>
      </c>
    </row>
    <row r="3321">
      <c r="A3321" s="4" t="s">
        <v>4172</v>
      </c>
      <c r="B3321" s="4" t="s">
        <v>4175</v>
      </c>
      <c r="C3321" s="5" t="str">
        <f>IFERROR(__xludf.DUMMYFUNCTION("GOOGLETRANSLATE(B3321,""en"",""zh-CN"")"),"当他深深地闭上眼睛时，他继续演奏曲调。")</f>
        <v>当他深深地闭上眼睛时，他继续演奏曲调。</v>
      </c>
    </row>
    <row r="3322">
      <c r="A3322" s="4" t="s">
        <v>4172</v>
      </c>
      <c r="B3322" s="4" t="s">
        <v>4176</v>
      </c>
      <c r="C3322" s="5" t="str">
        <f>IFERROR(__xludf.DUMMYFUNCTION("GOOGLETRANSLATE(B3322,""en"",""zh-CN"")"),"当他继续演奏之前，他移动了口琴的方式，直到他结束。")</f>
        <v>当他继续演奏之前，他移动了口琴的方式，直到他结束。</v>
      </c>
    </row>
    <row r="3323">
      <c r="A3323" s="4" t="s">
        <v>4177</v>
      </c>
      <c r="B3323" s="4" t="s">
        <v>4178</v>
      </c>
      <c r="C3323" s="5" t="str">
        <f>IFERROR(__xludf.DUMMYFUNCTION("GOOGLETRANSLATE(B3323,""en"",""zh-CN"")"),"一群老人走进溜冰场。")</f>
        <v>一群老人走进溜冰场。</v>
      </c>
    </row>
    <row r="3324">
      <c r="A3324" s="4" t="s">
        <v>4177</v>
      </c>
      <c r="B3324" s="4" t="s">
        <v>4179</v>
      </c>
      <c r="C3324" s="5" t="str">
        <f>IFERROR(__xludf.DUMMYFUNCTION("GOOGLETRANSLATE(B3324,""en"",""zh-CN"")"),"一群人聚集在一起，准备玩冰壶。")</f>
        <v>一群人聚集在一起，准备玩冰壶。</v>
      </c>
    </row>
    <row r="3325">
      <c r="A3325" s="4" t="s">
        <v>4177</v>
      </c>
      <c r="B3325" s="4" t="s">
        <v>4180</v>
      </c>
      <c r="C3325" s="5" t="str">
        <f>IFERROR(__xludf.DUMMYFUNCTION("GOOGLETRANSLATE(B3325,""en"",""zh-CN"")"),"一个年轻的男人和一个年长的人作为一个团队工作，以移动卷发。")</f>
        <v>一个年轻的男人和一个年长的人作为一个团队工作，以移动卷发。</v>
      </c>
    </row>
    <row r="3326">
      <c r="A3326" s="4" t="s">
        <v>4177</v>
      </c>
      <c r="B3326" s="4" t="s">
        <v>4181</v>
      </c>
      <c r="C3326" s="5" t="str">
        <f>IFERROR(__xludf.DUMMYFUNCTION("GOOGLETRANSLATE(B3326,""en"",""zh-CN"")"),"一位年长的绅士将冰壶棍握在头上时，对镜头微笑。")</f>
        <v>一位年长的绅士将冰壶棍握在头上时，对镜头微笑。</v>
      </c>
    </row>
    <row r="3327">
      <c r="A3327" s="4" t="s">
        <v>4177</v>
      </c>
      <c r="B3327" s="4" t="s">
        <v>4182</v>
      </c>
      <c r="C3327" s="5" t="str">
        <f>IFERROR(__xludf.DUMMYFUNCTION("GOOGLETRANSLATE(B3327,""en"",""zh-CN"")"),"然后，一群人开始显示数字并笑。")</f>
        <v>然后，一群人开始显示数字并笑。</v>
      </c>
    </row>
    <row r="3328">
      <c r="A3328" s="4" t="s">
        <v>4183</v>
      </c>
      <c r="B3328" s="4" t="s">
        <v>4184</v>
      </c>
      <c r="C3328" s="5" t="str">
        <f>IFERROR(__xludf.DUMMYFUNCTION("GOOGLETRANSLATE(B3328,""en"",""zh-CN"")"),"人们在田野上玩曲棍球。")</f>
        <v>人们在田野上玩曲棍球。</v>
      </c>
    </row>
    <row r="3329">
      <c r="A3329" s="4" t="s">
        <v>4183</v>
      </c>
      <c r="B3329" s="4" t="s">
        <v>4185</v>
      </c>
      <c r="C3329" s="5" t="str">
        <f>IFERROR(__xludf.DUMMYFUNCTION("GOOGLETRANSLATE(B3329,""en"",""zh-CN"")"),"他们得分进入网。")</f>
        <v>他们得分进入网。</v>
      </c>
    </row>
    <row r="3330">
      <c r="A3330" s="4" t="s">
        <v>4183</v>
      </c>
      <c r="B3330" s="4" t="s">
        <v>4186</v>
      </c>
      <c r="C3330" s="5" t="str">
        <f>IFERROR(__xludf.DUMMYFUNCTION("GOOGLETRANSLATE(B3330,""en"",""zh-CN"")"),"两名男子在场上高五。")</f>
        <v>两名男子在场上高五。</v>
      </c>
    </row>
    <row r="3331">
      <c r="A3331" s="4" t="s">
        <v>4187</v>
      </c>
      <c r="B3331" s="4" t="s">
        <v>4188</v>
      </c>
      <c r="C3331" s="5" t="str">
        <f>IFERROR(__xludf.DUMMYFUNCTION("GOOGLETRANSLATE(B3331,""en"",""zh-CN"")"),"显示了一个水急流的特写，后面是一群试图划在木筏上的人。")</f>
        <v>显示了一个水急流的特写，后面是一群试图划在木筏上的人。</v>
      </c>
    </row>
    <row r="3332">
      <c r="A3332" s="4" t="s">
        <v>4187</v>
      </c>
      <c r="B3332" s="4" t="s">
        <v>4189</v>
      </c>
      <c r="C3332" s="5" t="str">
        <f>IFERROR(__xludf.DUMMYFUNCTION("GOOGLETRANSLATE(B3332,""en"",""zh-CN"")"),"人们在河上骑着全部骑着河上的人在一起。")</f>
        <v>人们在河上骑着全部骑着河上的人在一起。</v>
      </c>
    </row>
    <row r="3333">
      <c r="A3333" s="4" t="s">
        <v>4190</v>
      </c>
      <c r="B3333" s="6" t="s">
        <v>4191</v>
      </c>
      <c r="C3333" s="5" t="str">
        <f>IFERROR(__xludf.DUMMYFUNCTION("GOOGLETRANSLATE(B3333,""en"",""zh-CN"")"),"大约有十个或更多的人穿着运动服，做同步的运动形式。")</f>
        <v>大约有十个或更多的人穿着运动服，做同步的运动形式。</v>
      </c>
    </row>
    <row r="3334">
      <c r="A3334" s="4" t="s">
        <v>4190</v>
      </c>
      <c r="B3334" s="4" t="s">
        <v>4192</v>
      </c>
      <c r="C3334" s="5" t="str">
        <f>IFERROR(__xludf.DUMMYFUNCTION("GOOGLETRANSLATE(B3334,""en"",""zh-CN"")"),"他们正在为在健身中心播放的歌曲节拍以节奏地做出步骤。")</f>
        <v>他们正在为在健身中心播放的歌曲节拍以节奏地做出步骤。</v>
      </c>
    </row>
    <row r="3335">
      <c r="A3335" s="4" t="s">
        <v>4190</v>
      </c>
      <c r="B3335" s="4" t="s">
        <v>4193</v>
      </c>
      <c r="C3335" s="5" t="str">
        <f>IFERROR(__xludf.DUMMYFUNCTION("GOOGLETRANSLATE(B3335,""en"",""zh-CN"")"),"健身中心有迪斯科灯光闪烁。")</f>
        <v>健身中心有迪斯科灯光闪烁。</v>
      </c>
    </row>
    <row r="3336">
      <c r="A3336" s="4" t="s">
        <v>4190</v>
      </c>
      <c r="B3336" s="4" t="s">
        <v>4194</v>
      </c>
      <c r="C3336" s="5" t="str">
        <f>IFERROR(__xludf.DUMMYFUNCTION("GOOGLETRANSLATE(B3336,""en"",""zh-CN"")"),"当他们在步骤之间拍手时，他们继续采取步骤。")</f>
        <v>当他们在步骤之间拍手时，他们继续采取步骤。</v>
      </c>
    </row>
    <row r="3337">
      <c r="A3337" s="4" t="s">
        <v>4190</v>
      </c>
      <c r="B3337" s="4" t="s">
        <v>4195</v>
      </c>
      <c r="C3337" s="5" t="str">
        <f>IFERROR(__xludf.DUMMYFUNCTION("GOOGLETRANSLATE(B3337,""en"",""zh-CN"")"),"他们还在继续脚步时踏上脚凳。")</f>
        <v>他们还在继续脚步时踏上脚凳。</v>
      </c>
    </row>
    <row r="3338">
      <c r="A3338" s="4" t="s">
        <v>4196</v>
      </c>
      <c r="B3338" s="4" t="s">
        <v>4197</v>
      </c>
      <c r="C3338" s="5" t="str">
        <f>IFERROR(__xludf.DUMMYFUNCTION("GOOGLETRANSLATE(B3338,""en"",""zh-CN"")"),"看到一个人弯腰弯腰，里面装满了水和水桶里洗衣服。")</f>
        <v>看到一个人弯腰弯腰，里面装满了水和水桶里洗衣服。</v>
      </c>
    </row>
    <row r="3339">
      <c r="A3339" s="4" t="s">
        <v>4196</v>
      </c>
      <c r="B3339" s="6" t="s">
        <v>4198</v>
      </c>
      <c r="C3339" s="5" t="str">
        <f>IFERROR(__xludf.DUMMYFUNCTION("GOOGLETRANSLATE(B3339,""en"",""zh-CN"")"),"当另一个人介入以帮助洗衣服并与镜头交谈时，男孩继续洗。")</f>
        <v>当另一个人介入以帮助洗衣服并与镜头交谈时，男孩继续洗。</v>
      </c>
    </row>
    <row r="3340">
      <c r="A3340" s="4" t="s">
        <v>4199</v>
      </c>
      <c r="B3340" s="4" t="s">
        <v>4200</v>
      </c>
      <c r="C3340" s="5" t="str">
        <f>IFERROR(__xludf.DUMMYFUNCTION("GOOGLETRANSLATE(B3340,""en"",""zh-CN"")"),"一个穿着棕色毛衣的男人坐下来聊天。")</f>
        <v>一个穿着棕色毛衣的男人坐下来聊天。</v>
      </c>
    </row>
    <row r="3341">
      <c r="A3341" s="4" t="s">
        <v>4199</v>
      </c>
      <c r="B3341" s="4" t="s">
        <v>4201</v>
      </c>
      <c r="C3341" s="5" t="str">
        <f>IFERROR(__xludf.DUMMYFUNCTION("GOOGLETRANSLATE(B3341,""en"",""zh-CN"")"),"一个穿着黑白毛衣的女人坐在他身后。")</f>
        <v>一个穿着黑白毛衣的女人坐在他身后。</v>
      </c>
    </row>
    <row r="3342">
      <c r="A3342" s="4" t="s">
        <v>4199</v>
      </c>
      <c r="B3342" s="4" t="s">
        <v>4202</v>
      </c>
      <c r="C3342" s="5" t="str">
        <f>IFERROR(__xludf.DUMMYFUNCTION("GOOGLETRANSLATE(B3342,""en"",""zh-CN"")"),"她脱下毛衣，把它放在他身后的椅子上。")</f>
        <v>她脱下毛衣，把它放在他身后的椅子上。</v>
      </c>
    </row>
    <row r="3343">
      <c r="A3343" s="4" t="s">
        <v>4199</v>
      </c>
      <c r="B3343" s="4" t="s">
        <v>4203</v>
      </c>
      <c r="C3343" s="5" t="str">
        <f>IFERROR(__xludf.DUMMYFUNCTION("GOOGLETRANSLATE(B3343,""en"",""zh-CN"")"),"一个穿着蓝色衬衫的男孩在他身后撞到。")</f>
        <v>一个穿着蓝色衬衫的男孩在他身后撞到。</v>
      </c>
    </row>
    <row r="3344">
      <c r="A3344" s="4" t="s">
        <v>4204</v>
      </c>
      <c r="B3344" s="4" t="s">
        <v>4205</v>
      </c>
      <c r="C3344" s="5" t="str">
        <f>IFERROR(__xludf.DUMMYFUNCTION("GOOGLETRANSLATE(B3344,""en"",""zh-CN"")"),"看到一个女人在相机上说话，并进入跑步的剪辑。")</f>
        <v>看到一个女人在相机上说话，并进入跑步的剪辑。</v>
      </c>
    </row>
    <row r="3345">
      <c r="A3345" s="4" t="s">
        <v>4204</v>
      </c>
      <c r="B3345" s="4" t="s">
        <v>4206</v>
      </c>
      <c r="C3345" s="5" t="str">
        <f>IFERROR(__xludf.DUMMYFUNCTION("GOOGLETRANSLATE(B3345,""en"",""zh-CN"")"),"她的脚关闭镜头以及她的演讲和跑步片段。")</f>
        <v>她的脚关闭镜头以及她的演讲和跑步片段。</v>
      </c>
    </row>
    <row r="3346">
      <c r="A3346" s="4" t="s">
        <v>4204</v>
      </c>
      <c r="B3346" s="6" t="s">
        <v>4207</v>
      </c>
      <c r="C3346" s="5" t="str">
        <f>IFERROR(__xludf.DUMMYFUNCTION("GOOGLETRANSLATE(B3346,""en"",""zh-CN"")"),"她展示了打包汽车，展示她的工具以及她的装备，同时仍在路上跑步。")</f>
        <v>她展示了打包汽车，展示她的工具以及她的装备，同时仍在路上跑步。</v>
      </c>
    </row>
    <row r="3347">
      <c r="A3347" s="4" t="s">
        <v>4208</v>
      </c>
      <c r="B3347" s="4" t="s">
        <v>4209</v>
      </c>
      <c r="C3347" s="5" t="str">
        <f>IFERROR(__xludf.DUMMYFUNCTION("GOOGLETRANSLATE(B3347,""en"",""zh-CN"")"),"看到一个女人坐在凳子上抽烟，看着远处。")</f>
        <v>看到一个女人坐在凳子上抽烟，看着远处。</v>
      </c>
    </row>
    <row r="3348">
      <c r="A3348" s="4" t="s">
        <v>4208</v>
      </c>
      <c r="B3348" s="6" t="s">
        <v>4210</v>
      </c>
      <c r="C3348" s="5" t="str">
        <f>IFERROR(__xludf.DUMMYFUNCTION("GOOGLETRANSLATE(B3348,""en"",""zh-CN"")"),"当相机从几个角度捕获她时，女人将烟雾吹向空中。")</f>
        <v>当相机从几个角度捕获她时，女人将烟雾吹向空中。</v>
      </c>
    </row>
    <row r="3349">
      <c r="A3349" s="4" t="s">
        <v>4211</v>
      </c>
      <c r="B3349" s="4" t="s">
        <v>4212</v>
      </c>
      <c r="C3349" s="5" t="str">
        <f>IFERROR(__xludf.DUMMYFUNCTION("GOOGLETRANSLATE(B3349,""en"",""zh-CN"")"),"头衔的介绍最终导致一名运动员在头上举起大量的体重。")</f>
        <v>头衔的介绍最终导致一名运动员在头上举起大量的体重。</v>
      </c>
    </row>
    <row r="3350">
      <c r="A3350" s="4" t="s">
        <v>4211</v>
      </c>
      <c r="B3350" s="4" t="s">
        <v>4213</v>
      </c>
      <c r="C3350" s="5" t="str">
        <f>IFERROR(__xludf.DUMMYFUNCTION("GOOGLETRANSLATE(B3350,""en"",""zh-CN"")"),"同一个人再次用自己的体重照亮，而另一个男人在背景中观看。")</f>
        <v>同一个人再次用自己的体重照亮，而另一个男人在背景中观看。</v>
      </c>
    </row>
    <row r="3351">
      <c r="A3351" s="4" t="s">
        <v>4211</v>
      </c>
      <c r="B3351" s="4" t="s">
        <v>4214</v>
      </c>
      <c r="C3351" s="5" t="str">
        <f>IFERROR(__xludf.DUMMYFUNCTION("GOOGLETRANSLATE(B3351,""en"",""zh-CN"")"),"他将举重投下，将手臂伸向空中以庆祝。")</f>
        <v>他将举重投下，将手臂伸向空中以庆祝。</v>
      </c>
    </row>
    <row r="3352">
      <c r="A3352" s="4" t="s">
        <v>4215</v>
      </c>
      <c r="B3352" s="6" t="s">
        <v>4216</v>
      </c>
      <c r="C3352" s="5" t="str">
        <f>IFERROR(__xludf.DUMMYFUNCTION("GOOGLETRANSLATE(B3352,""en"",""zh-CN"")"),"一个短发和白色背心的女人正坐在她的浴室里，谈论的是骑自行车的人，他要剃光双腿。")</f>
        <v>一个短发和白色背心的女人正坐在她的浴室里，谈论的是骑自行车的人，他要剃光双腿。</v>
      </c>
    </row>
    <row r="3353">
      <c r="A3353" s="4" t="s">
        <v>4215</v>
      </c>
      <c r="B3353" s="4" t="s">
        <v>4217</v>
      </c>
      <c r="C3353" s="5" t="str">
        <f>IFERROR(__xludf.DUMMYFUNCTION("GOOGLETRANSLATE(B3353,""en"",""zh-CN"")"),"她站起来，展示了骑自行车队印在她的背心上。")</f>
        <v>她站起来，展示了骑自行车队印在她的背心上。</v>
      </c>
    </row>
    <row r="3354">
      <c r="A3354" s="4" t="s">
        <v>4215</v>
      </c>
      <c r="B3354" s="4" t="s">
        <v>4218</v>
      </c>
      <c r="C3354" s="5" t="str">
        <f>IFERROR(__xludf.DUMMYFUNCTION("GOOGLETRANSLATE(B3354,""en"",""zh-CN"")"),"她向观众展示了她将使用的剃须刀的类型。")</f>
        <v>她向观众展示了她将使用的剃须刀的类型。</v>
      </c>
    </row>
    <row r="3355">
      <c r="A3355" s="4" t="s">
        <v>4215</v>
      </c>
      <c r="B3355" s="4" t="s">
        <v>4219</v>
      </c>
      <c r="C3355" s="5" t="str">
        <f>IFERROR(__xludf.DUMMYFUNCTION("GOOGLETRANSLATE(B3355,""en"",""zh-CN"")"),"有一个年轻人和女人一起坐在浴缸上。")</f>
        <v>有一个年轻人和女人一起坐在浴缸上。</v>
      </c>
    </row>
    <row r="3356">
      <c r="A3356" s="4" t="s">
        <v>4215</v>
      </c>
      <c r="B3356" s="4" t="s">
        <v>4220</v>
      </c>
      <c r="C3356" s="5" t="str">
        <f>IFERROR(__xludf.DUMMYFUNCTION("GOOGLETRANSLATE(B3356,""en"",""zh-CN"")"),"他用婴儿肥皂和水洗手，开始剃光双腿。")</f>
        <v>他用婴儿肥皂和水洗手，开始剃光双腿。</v>
      </c>
    </row>
    <row r="3357">
      <c r="A3357" s="4" t="s">
        <v>4215</v>
      </c>
      <c r="B3357" s="4" t="s">
        <v>4221</v>
      </c>
      <c r="C3357" s="5" t="str">
        <f>IFERROR(__xludf.DUMMYFUNCTION("GOOGLETRANSLATE(B3357,""en"",""zh-CN"")"),"然后那个女人拿起剃刀，帮助她的丈夫剃光双腿。")</f>
        <v>然后那个女人拿起剃刀，帮助她的丈夫剃光双腿。</v>
      </c>
    </row>
    <row r="3358">
      <c r="A3358" s="4" t="s">
        <v>4222</v>
      </c>
      <c r="B3358" s="6" t="s">
        <v>4223</v>
      </c>
      <c r="C3358" s="5" t="str">
        <f>IFERROR(__xludf.DUMMYFUNCTION("GOOGLETRANSLATE(B3358,""en"",""zh-CN"")"),"许多黑色的家伙都在草地上带有音乐乐器，并在其他坐在草地上的人面前进行同步表演。")</f>
        <v>许多黑色的家伙都在草地上带有音乐乐器，并在其他坐在草地上的人面前进行同步表演。</v>
      </c>
    </row>
    <row r="3359">
      <c r="A3359" s="4" t="s">
        <v>4222</v>
      </c>
      <c r="B3359" s="6" t="s">
        <v>4224</v>
      </c>
      <c r="C3359" s="5" t="str">
        <f>IFERROR(__xludf.DUMMYFUNCTION("GOOGLETRANSLATE(B3359,""en"",""zh-CN"")"),"当他们演奏与身体相连的鼓时，他们演奏鼓并来回动作。")</f>
        <v>当他们演奏与身体相连的鼓时，他们演奏鼓并来回动作。</v>
      </c>
    </row>
    <row r="3360">
      <c r="A3360" s="4" t="s">
        <v>4222</v>
      </c>
      <c r="B3360" s="4" t="s">
        <v>4225</v>
      </c>
      <c r="C3360" s="5" t="str">
        <f>IFERROR(__xludf.DUMMYFUNCTION("GOOGLETRANSLATE(B3360,""en"",""zh-CN"")"),"这些家伙在表演的一部分中轻轻地手动动作并踩踏脚。")</f>
        <v>这些家伙在表演的一部分中轻轻地手动动作并踩踏脚。</v>
      </c>
    </row>
    <row r="3361">
      <c r="A3361" s="4" t="s">
        <v>4226</v>
      </c>
      <c r="B3361" s="4" t="s">
        <v>4227</v>
      </c>
      <c r="C3361" s="5" t="str">
        <f>IFERROR(__xludf.DUMMYFUNCTION("GOOGLETRANSLATE(B3361,""en"",""zh-CN"")"),"风帆冲浪者在360中转过身来。")</f>
        <v>风帆冲浪者在360中转过身来。</v>
      </c>
    </row>
    <row r="3362">
      <c r="A3362" s="4" t="s">
        <v>4226</v>
      </c>
      <c r="B3362" s="4" t="s">
        <v>4228</v>
      </c>
      <c r="C3362" s="5" t="str">
        <f>IFERROR(__xludf.DUMMYFUNCTION("GOOGLETRANSLATE(B3362,""en"",""zh-CN"")"),"风脉冲慢慢向前行驶。")</f>
        <v>风脉冲慢慢向前行驶。</v>
      </c>
    </row>
    <row r="3363">
      <c r="A3363" s="4" t="s">
        <v>4226</v>
      </c>
      <c r="B3363" s="4" t="s">
        <v>4229</v>
      </c>
      <c r="C3363" s="5" t="str">
        <f>IFERROR(__xludf.DUMMYFUNCTION("GOOGLETRANSLATE(B3363,""en"",""zh-CN"")"),"人在镜头前行走。")</f>
        <v>人在镜头前行走。</v>
      </c>
    </row>
    <row r="3364">
      <c r="A3364" s="4" t="s">
        <v>4226</v>
      </c>
      <c r="B3364" s="4" t="s">
        <v>4230</v>
      </c>
      <c r="C3364" s="5" t="str">
        <f>IFERROR(__xludf.DUMMYFUNCTION("GOOGLETRANSLATE(B3364,""en"",""zh-CN"")"),"风潮迅速旋转着帆。")</f>
        <v>风潮迅速旋转着帆。</v>
      </c>
    </row>
    <row r="3365">
      <c r="A3365" s="4" t="s">
        <v>4226</v>
      </c>
      <c r="B3365" s="4" t="s">
        <v>4231</v>
      </c>
      <c r="C3365" s="5" t="str">
        <f>IFERROR(__xludf.DUMMYFUNCTION("GOOGLETRANSLATE(B3365,""en"",""zh-CN"")"),"风冲浪者落入海洋。")</f>
        <v>风冲浪者落入海洋。</v>
      </c>
    </row>
    <row r="3366">
      <c r="A3366" s="4" t="s">
        <v>4232</v>
      </c>
      <c r="B3366" s="4" t="s">
        <v>4233</v>
      </c>
      <c r="C3366" s="5" t="str">
        <f>IFERROR(__xludf.DUMMYFUNCTION("GOOGLETRANSLATE(B3366,""en"",""zh-CN"")"),"人们在滑雪的斜坡上非常缓慢而优雅。")</f>
        <v>人们在滑雪的斜坡上非常缓慢而优雅。</v>
      </c>
    </row>
    <row r="3367">
      <c r="A3367" s="4" t="s">
        <v>4232</v>
      </c>
      <c r="B3367" s="4" t="s">
        <v>4234</v>
      </c>
      <c r="C3367" s="5" t="str">
        <f>IFERROR(__xludf.DUMMYFUNCTION("GOOGLETRANSLATE(B3367,""en"",""zh-CN"")"),"一个小男孩正在努力追求更多的速度，他非常擅长滑雪。")</f>
        <v>一个小男孩正在努力追求更多的速度，他非常擅长滑雪。</v>
      </c>
    </row>
    <row r="3368">
      <c r="A3368" s="4" t="s">
        <v>4232</v>
      </c>
      <c r="B3368" s="4" t="s">
        <v>4235</v>
      </c>
      <c r="C3368" s="5" t="str">
        <f>IFERROR(__xludf.DUMMYFUNCTION("GOOGLETRANSLATE(B3368,""en"",""zh-CN"")"),"他们继续非常缓慢地前进，并享受经历。")</f>
        <v>他们继续非常缓慢地前进，并享受经历。</v>
      </c>
    </row>
    <row r="3369">
      <c r="A3369" s="4" t="s">
        <v>4232</v>
      </c>
      <c r="B3369" s="4" t="s">
        <v>4236</v>
      </c>
      <c r="C3369" s="5" t="str">
        <f>IFERROR(__xludf.DUMMYFUNCTION("GOOGLETRANSLATE(B3369,""en"",""zh-CN"")"),"他们开始减慢一些速度几乎停止，但随后又恢复并继续进行。")</f>
        <v>他们开始减慢一些速度几乎停止，但随后又恢复并继续进行。</v>
      </c>
    </row>
    <row r="3370">
      <c r="A3370" s="4" t="s">
        <v>4237</v>
      </c>
      <c r="B3370" s="4" t="s">
        <v>4238</v>
      </c>
      <c r="C3370" s="5" t="str">
        <f>IFERROR(__xludf.DUMMYFUNCTION("GOOGLETRANSLATE(B3370,""en"",""zh-CN"")"),"一个人在室内，迅速将木瓷砖放在地板上，因为相机的演奏非常快。")</f>
        <v>一个人在室内，迅速将木瓷砖放在地板上，因为相机的演奏非常快。</v>
      </c>
    </row>
    <row r="3371">
      <c r="A3371" s="4" t="s">
        <v>4237</v>
      </c>
      <c r="B3371" s="4" t="s">
        <v>4239</v>
      </c>
      <c r="C3371" s="5" t="str">
        <f>IFERROR(__xludf.DUMMYFUNCTION("GOOGLETRANSLATE(B3371,""en"",""zh-CN"")"),"他使用平整器和切割机，然后在走出去之前用灌浆完成房间。")</f>
        <v>他使用平整器和切割机，然后在走出去之前用灌浆完成房间。</v>
      </c>
    </row>
    <row r="3372">
      <c r="A3372" s="4" t="s">
        <v>4240</v>
      </c>
      <c r="B3372" s="4" t="s">
        <v>4241</v>
      </c>
      <c r="C3372" s="5" t="str">
        <f>IFERROR(__xludf.DUMMYFUNCTION("GOOGLETRANSLATE(B3372,""en"",""zh-CN"")"),"汽车在路边的标牌上行驶。")</f>
        <v>汽车在路边的标牌上行驶。</v>
      </c>
    </row>
    <row r="3373">
      <c r="A3373" s="4" t="s">
        <v>4240</v>
      </c>
      <c r="B3373" s="4" t="s">
        <v>4242</v>
      </c>
      <c r="C3373" s="5" t="str">
        <f>IFERROR(__xludf.DUMMYFUNCTION("GOOGLETRANSLATE(B3373,""en"",""zh-CN"")"),"几名妇女在准备编织的桌子周围显示。")</f>
        <v>几名妇女在准备编织的桌子周围显示。</v>
      </c>
    </row>
    <row r="3374">
      <c r="A3374" s="4" t="s">
        <v>4240</v>
      </c>
      <c r="B3374" s="4" t="s">
        <v>4243</v>
      </c>
      <c r="C3374" s="5" t="str">
        <f>IFERROR(__xludf.DUMMYFUNCTION("GOOGLETRANSLATE(B3374,""en"",""zh-CN"")"),"一个女人以采访方式与镜头交谈。")</f>
        <v>一个女人以采访方式与镜头交谈。</v>
      </c>
    </row>
    <row r="3375">
      <c r="A3375" s="4" t="s">
        <v>4240</v>
      </c>
      <c r="B3375" s="4" t="s">
        <v>4244</v>
      </c>
      <c r="C3375" s="5" t="str">
        <f>IFERROR(__xludf.DUMMYFUNCTION("GOOGLETRANSLATE(B3375,""en"",""zh-CN"")"),"桌子周围的妇女从事与编织有关的活动。")</f>
        <v>桌子周围的妇女从事与编织有关的活动。</v>
      </c>
    </row>
    <row r="3376">
      <c r="A3376" s="4" t="s">
        <v>4240</v>
      </c>
      <c r="B3376" s="4" t="s">
        <v>4245</v>
      </c>
      <c r="C3376" s="5" t="str">
        <f>IFERROR(__xludf.DUMMYFUNCTION("GOOGLETRANSLATE(B3376,""en"",""zh-CN"")"),"一辆公共汽车停在建筑物外面。")</f>
        <v>一辆公共汽车停在建筑物外面。</v>
      </c>
    </row>
    <row r="3377">
      <c r="A3377" s="4" t="s">
        <v>4240</v>
      </c>
      <c r="B3377" s="4" t="s">
        <v>4246</v>
      </c>
      <c r="C3377" s="5" t="str">
        <f>IFERROR(__xludf.DUMMYFUNCTION("GOOGLETRANSLATE(B3377,""en"",""zh-CN"")"),"面试现场的女人再次与镜头交谈。")</f>
        <v>面试现场的女人再次与镜头交谈。</v>
      </c>
    </row>
    <row r="3378">
      <c r="A3378" s="4" t="s">
        <v>4240</v>
      </c>
      <c r="B3378" s="4" t="s">
        <v>4247</v>
      </c>
      <c r="C3378" s="5" t="str">
        <f>IFERROR(__xludf.DUMMYFUNCTION("GOOGLETRANSLATE(B3378,""en"",""zh-CN"")"),"桌子上的女性已编织。")</f>
        <v>桌子上的女性已编织。</v>
      </c>
    </row>
    <row r="3379">
      <c r="A3379" s="4" t="s">
        <v>4240</v>
      </c>
      <c r="B3379" s="4" t="s">
        <v>4248</v>
      </c>
      <c r="C3379" s="5" t="str">
        <f>IFERROR(__xludf.DUMMYFUNCTION("GOOGLETRANSLATE(B3379,""en"",""zh-CN"")"),"显示了建筑物区域的几个外部镜头。")</f>
        <v>显示了建筑物区域的几个外部镜头。</v>
      </c>
    </row>
    <row r="3380">
      <c r="A3380" s="4" t="s">
        <v>4240</v>
      </c>
      <c r="B3380" s="4" t="s">
        <v>4249</v>
      </c>
      <c r="C3380" s="5" t="str">
        <f>IFERROR(__xludf.DUMMYFUNCTION("GOOGLETRANSLATE(B3380,""en"",""zh-CN"")"),"桌子上的女人再次编织。")</f>
        <v>桌子上的女人再次编织。</v>
      </c>
    </row>
    <row r="3381">
      <c r="A3381" s="4" t="s">
        <v>4250</v>
      </c>
      <c r="B3381" s="4" t="s">
        <v>4251</v>
      </c>
      <c r="C3381" s="5" t="str">
        <f>IFERROR(__xludf.DUMMYFUNCTION("GOOGLETRANSLATE(B3381,""en"",""zh-CN"")"),"看到一个人用抹布擦拭婴儿的脸，婴儿伸出舌头。")</f>
        <v>看到一个人用抹布擦拭婴儿的脸，婴儿伸出舌头。</v>
      </c>
    </row>
    <row r="3382">
      <c r="A3382" s="4" t="s">
        <v>4250</v>
      </c>
      <c r="B3382" s="4" t="s">
        <v>4252</v>
      </c>
      <c r="C3382" s="5" t="str">
        <f>IFERROR(__xludf.DUMMYFUNCTION("GOOGLETRANSLATE(B3382,""en"",""zh-CN"")"),"女人继续清洁婴儿，向相机微笑并挥手。")</f>
        <v>女人继续清洁婴儿，向相机微笑并挥手。</v>
      </c>
    </row>
    <row r="3383">
      <c r="A3383" s="4" t="s">
        <v>4253</v>
      </c>
      <c r="B3383" s="4" t="s">
        <v>4254</v>
      </c>
      <c r="C3383" s="5" t="str">
        <f>IFERROR(__xludf.DUMMYFUNCTION("GOOGLETRANSLATE(B3383,""en"",""zh-CN"")"),"看到两个男人互相玩岩石剪刀，击中了失去的人。")</f>
        <v>看到两个男人互相玩岩石剪刀，击中了失去的人。</v>
      </c>
    </row>
    <row r="3384">
      <c r="A3384" s="4" t="s">
        <v>4253</v>
      </c>
      <c r="B3384" s="6" t="s">
        <v>4255</v>
      </c>
      <c r="C3384" s="5" t="str">
        <f>IFERROR(__xludf.DUMMYFUNCTION("GOOGLETRANSLATE(B3384,""en"",""zh-CN"")"),"这些人继续反击和第四次比赛，而其他人则看着彼此的头。")</f>
        <v>这些人继续反击和第四次比赛，而其他人则看着彼此的头。</v>
      </c>
    </row>
    <row r="3385">
      <c r="A3385" s="4" t="s">
        <v>4256</v>
      </c>
      <c r="B3385" s="4" t="s">
        <v>4257</v>
      </c>
      <c r="C3385" s="5" t="str">
        <f>IFERROR(__xludf.DUMMYFUNCTION("GOOGLETRANSLATE(B3385,""en"",""zh-CN"")"),"一名运动员用他的身体几次旋转一次重球。")</f>
        <v>一名运动员用他的身体几次旋转一次重球。</v>
      </c>
    </row>
    <row r="3386">
      <c r="A3386" s="4" t="s">
        <v>4256</v>
      </c>
      <c r="B3386" s="4" t="s">
        <v>4258</v>
      </c>
      <c r="C3386" s="5" t="str">
        <f>IFERROR(__xludf.DUMMYFUNCTION("GOOGLETRANSLATE(B3386,""en"",""zh-CN"")"),"然后，运动员将球扔到场上。")</f>
        <v>然后，运动员将球扔到场上。</v>
      </c>
    </row>
    <row r="3387">
      <c r="A3387" s="4" t="s">
        <v>4259</v>
      </c>
      <c r="B3387" s="4" t="s">
        <v>4260</v>
      </c>
      <c r="C3387" s="5" t="str">
        <f>IFERROR(__xludf.DUMMYFUNCTION("GOOGLETRANSLATE(B3387,""en"",""zh-CN"")"),"一个女人坐在椅子上说话。")</f>
        <v>一个女人坐在椅子上说话。</v>
      </c>
    </row>
    <row r="3388">
      <c r="A3388" s="4" t="s">
        <v>4259</v>
      </c>
      <c r="B3388" s="4" t="s">
        <v>4261</v>
      </c>
      <c r="C3388" s="5" t="str">
        <f>IFERROR(__xludf.DUMMYFUNCTION("GOOGLETRANSLATE(B3388,""en"",""zh-CN"")"),"一个人的手正在用机器人玩岩石剪刀。")</f>
        <v>一个人的手正在用机器人玩岩石剪刀。</v>
      </c>
    </row>
    <row r="3389">
      <c r="A3389" s="4" t="s">
        <v>4259</v>
      </c>
      <c r="B3389" s="4" t="s">
        <v>4262</v>
      </c>
      <c r="C3389" s="5" t="str">
        <f>IFERROR(__xludf.DUMMYFUNCTION("GOOGLETRANSLATE(B3389,""en"",""zh-CN"")"),"一个穿着白衬衫的男人正在和那个女人说话。")</f>
        <v>一个穿着白衬衫的男人正在和那个女人说话。</v>
      </c>
    </row>
    <row r="3390">
      <c r="A3390" s="4" t="s">
        <v>4263</v>
      </c>
      <c r="B3390" s="4" t="s">
        <v>4264</v>
      </c>
      <c r="C3390" s="5" t="str">
        <f>IFERROR(__xludf.DUMMYFUNCTION("GOOGLETRANSLATE(B3390,""en"",""zh-CN"")"),"一群人穿着滑雪装备，骑着升降机。")</f>
        <v>一群人穿着滑雪装备，骑着升降机。</v>
      </c>
    </row>
    <row r="3391">
      <c r="A3391" s="4" t="s">
        <v>4263</v>
      </c>
      <c r="B3391" s="4" t="s">
        <v>4265</v>
      </c>
      <c r="C3391" s="5" t="str">
        <f>IFERROR(__xludf.DUMMYFUNCTION("GOOGLETRANSLATE(B3391,""en"",""zh-CN"")"),"看到他们沿着山上走，滑雪并把雪投向空中。")</f>
        <v>看到他们沿着山上走，滑雪并把雪投向空中。</v>
      </c>
    </row>
    <row r="3392">
      <c r="A3392" s="4" t="s">
        <v>4266</v>
      </c>
      <c r="B3392" s="6" t="s">
        <v>4267</v>
      </c>
      <c r="C3392" s="5" t="str">
        <f>IFERROR(__xludf.DUMMYFUNCTION("GOOGLETRANSLATE(B3392,""en"",""zh-CN"")"),"在以色列举行的2011年舞蹈比赛与一名女士在她身后有霓虹灯的女性舞蹈独奏。")</f>
        <v>在以色列举行的2011年舞蹈比赛与一名女士在她身后有霓虹灯的女性舞蹈独奏。</v>
      </c>
    </row>
    <row r="3393">
      <c r="A3393" s="4" t="s">
        <v>4266</v>
      </c>
      <c r="B3393" s="4" t="s">
        <v>4268</v>
      </c>
      <c r="C3393" s="5" t="str">
        <f>IFERROR(__xludf.DUMMYFUNCTION("GOOGLETRANSLATE(B3393,""en"",""zh-CN"")"),"她将她转向观众，以表现出她的动作的不同角度。")</f>
        <v>她将她转向观众，以表现出她的动作的不同角度。</v>
      </c>
    </row>
    <row r="3394">
      <c r="A3394" s="4" t="s">
        <v>4266</v>
      </c>
      <c r="B3394" s="4" t="s">
        <v>4269</v>
      </c>
      <c r="C3394" s="5" t="str">
        <f>IFERROR(__xludf.DUMMYFUNCTION("GOOGLETRANSLATE(B3394,""en"",""zh-CN"")"),"最后，随着歌曲的结尾，她巧妙地倒在地板上。")</f>
        <v>最后，随着歌曲的结尾，她巧妙地倒在地板上。</v>
      </c>
    </row>
    <row r="3395">
      <c r="A3395" s="4" t="s">
        <v>4270</v>
      </c>
      <c r="B3395" s="4" t="s">
        <v>4271</v>
      </c>
      <c r="C3395" s="5" t="str">
        <f>IFERROR(__xludf.DUMMYFUNCTION("GOOGLETRANSLATE(B3395,""en"",""zh-CN"")"),"一个男孩站在柜台后面。")</f>
        <v>一个男孩站在柜台后面。</v>
      </c>
    </row>
    <row r="3396">
      <c r="A3396" s="4" t="s">
        <v>4270</v>
      </c>
      <c r="B3396" s="4" t="s">
        <v>4272</v>
      </c>
      <c r="C3396" s="5" t="str">
        <f>IFERROR(__xludf.DUMMYFUNCTION("GOOGLETRANSLATE(B3396,""en"",""zh-CN"")"),"他在墙上扔飞镖。")</f>
        <v>他在墙上扔飞镖。</v>
      </c>
    </row>
    <row r="3397">
      <c r="A3397" s="4" t="s">
        <v>4270</v>
      </c>
      <c r="B3397" s="4" t="s">
        <v>4273</v>
      </c>
      <c r="C3397" s="5" t="str">
        <f>IFERROR(__xludf.DUMMYFUNCTION("GOOGLETRANSLATE(B3397,""en"",""zh-CN"")"),"一个女人站在他旁边。")</f>
        <v>一个女人站在他旁边。</v>
      </c>
    </row>
    <row r="3398">
      <c r="A3398" s="4" t="s">
        <v>4274</v>
      </c>
      <c r="B3398" s="6" t="s">
        <v>4275</v>
      </c>
      <c r="C3398" s="5" t="str">
        <f>IFERROR(__xludf.DUMMYFUNCTION("GOOGLETRANSLATE(B3398,""en"",""zh-CN"")"),"穿着彩虹毛衣的小女孩坐在沙滩上坐着，做一块巨大的沙子。")</f>
        <v>穿着彩虹毛衣的小女孩坐在沙滩上坐着，做一块巨大的沙子。</v>
      </c>
    </row>
    <row r="3399">
      <c r="A3399" s="4" t="s">
        <v>4274</v>
      </c>
      <c r="B3399" s="4" t="s">
        <v>4276</v>
      </c>
      <c r="C3399" s="5" t="str">
        <f>IFERROR(__xludf.DUMMYFUNCTION("GOOGLETRANSLATE(B3399,""en"",""zh-CN"")"),"接下来，她抬头说些什么。")</f>
        <v>接下来，她抬头说些什么。</v>
      </c>
    </row>
    <row r="3400">
      <c r="A3400" s="4" t="s">
        <v>4274</v>
      </c>
      <c r="B3400" s="4" t="s">
        <v>4277</v>
      </c>
      <c r="C3400" s="5" t="str">
        <f>IFERROR(__xludf.DUMMYFUNCTION("GOOGLETRANSLATE(B3400,""en"",""zh-CN"")"),"然后，她不断在山上增加沙子。")</f>
        <v>然后，她不断在山上增加沙子。</v>
      </c>
    </row>
    <row r="3401">
      <c r="A3401" s="4" t="s">
        <v>4274</v>
      </c>
      <c r="B3401" s="4" t="s">
        <v>4278</v>
      </c>
      <c r="C3401" s="5" t="str">
        <f>IFERROR(__xludf.DUMMYFUNCTION("GOOGLETRANSLATE(B3401,""en"",""zh-CN"")"),"然后一个小男孩加入她，只碰到山，但走开了。")</f>
        <v>然后一个小男孩加入她，只碰到山，但走开了。</v>
      </c>
    </row>
    <row r="3402">
      <c r="A3402" s="4" t="s">
        <v>4274</v>
      </c>
      <c r="B3402" s="4" t="s">
        <v>4279</v>
      </c>
      <c r="C3402" s="5" t="str">
        <f>IFERROR(__xludf.DUMMYFUNCTION("GOOGLETRANSLATE(B3402,""en"",""zh-CN"")"),"然后，他再次回来指向山上。")</f>
        <v>然后，他再次回来指向山上。</v>
      </c>
    </row>
    <row r="3403">
      <c r="A3403" s="4" t="s">
        <v>4280</v>
      </c>
      <c r="B3403" s="4" t="s">
        <v>4281</v>
      </c>
      <c r="C3403" s="5" t="str">
        <f>IFERROR(__xludf.DUMMYFUNCTION("GOOGLETRANSLATE(B3403,""en"",""zh-CN"")"),"看到一个女人在过渡到狗的镜头时在相机上说话。")</f>
        <v>看到一个女人在过渡到狗的镜头时在相机上说话。</v>
      </c>
    </row>
    <row r="3404">
      <c r="A3404" s="4" t="s">
        <v>4280</v>
      </c>
      <c r="B3404" s="4" t="s">
        <v>4282</v>
      </c>
      <c r="C3404" s="5" t="str">
        <f>IFERROR(__xludf.DUMMYFUNCTION("GOOGLETRANSLATE(B3404,""en"",""zh-CN"")"),"看到那个女孩洗狗，并吹干它们并修剪毛皮。")</f>
        <v>看到那个女孩洗狗，并吹干它们并修剪毛皮。</v>
      </c>
    </row>
    <row r="3405">
      <c r="A3405" s="4" t="s">
        <v>4280</v>
      </c>
      <c r="B3405" s="4" t="s">
        <v>4283</v>
      </c>
      <c r="C3405" s="5" t="str">
        <f>IFERROR(__xludf.DUMMYFUNCTION("GOOGLETRANSLATE(B3405,""en"",""zh-CN"")"),"她继续讲话，同时炫耀自己的干净的狗和其他人在侧面行走。")</f>
        <v>她继续讲话，同时炫耀自己的干净的狗和其他人在侧面行走。</v>
      </c>
    </row>
    <row r="3406">
      <c r="A3406" s="4" t="s">
        <v>4284</v>
      </c>
      <c r="B3406" s="4" t="s">
        <v>4285</v>
      </c>
      <c r="C3406" s="5" t="str">
        <f>IFERROR(__xludf.DUMMYFUNCTION("GOOGLETRANSLATE(B3406,""en"",""zh-CN"")"),"一个人在湖上的船后滑水。")</f>
        <v>一个人在湖上的船后滑水。</v>
      </c>
    </row>
    <row r="3407">
      <c r="A3407" s="4" t="s">
        <v>4284</v>
      </c>
      <c r="B3407" s="4" t="s">
        <v>4286</v>
      </c>
      <c r="C3407" s="5" t="str">
        <f>IFERROR(__xludf.DUMMYFUNCTION("GOOGLETRANSLATE(B3407,""en"",""zh-CN"")"),"有些人出现在屏幕上，他们正在观看和录制。")</f>
        <v>有些人出现在屏幕上，他们正在观看和录制。</v>
      </c>
    </row>
    <row r="3408">
      <c r="A3408" s="4" t="s">
        <v>4284</v>
      </c>
      <c r="B3408" s="4" t="s">
        <v>4287</v>
      </c>
      <c r="C3408" s="5" t="str">
        <f>IFERROR(__xludf.DUMMYFUNCTION("GOOGLETRANSLATE(B3408,""en"",""zh-CN"")"),"滑水者试图翻转，最终撞到水中。")</f>
        <v>滑水者试图翻转，最终撞到水中。</v>
      </c>
    </row>
    <row r="3409">
      <c r="A3409" s="4" t="s">
        <v>4288</v>
      </c>
      <c r="B3409" s="4" t="s">
        <v>4289</v>
      </c>
      <c r="C3409" s="5" t="str">
        <f>IFERROR(__xludf.DUMMYFUNCTION("GOOGLETRANSLATE(B3409,""en"",""zh-CN"")"),"带有白色写作的蓝色页面解释说，该视频是关于如何包装礼物的。")</f>
        <v>带有白色写作的蓝色页面解释说，该视频是关于如何包装礼物的。</v>
      </c>
    </row>
    <row r="3410">
      <c r="A3410" s="4" t="s">
        <v>4288</v>
      </c>
      <c r="B3410" s="4" t="s">
        <v>4290</v>
      </c>
      <c r="C3410" s="5" t="str">
        <f>IFERROR(__xludf.DUMMYFUNCTION("GOOGLETRANSLATE(B3410,""en"",""zh-CN"")"),"显示了剪刀和不同类型的胶带，以及一卷包装纸。")</f>
        <v>显示了剪刀和不同类型的胶带，以及一卷包装纸。</v>
      </c>
    </row>
    <row r="3411">
      <c r="A3411" s="4" t="s">
        <v>4288</v>
      </c>
      <c r="B3411" s="4" t="s">
        <v>4291</v>
      </c>
      <c r="C3411" s="5" t="str">
        <f>IFERROR(__xludf.DUMMYFUNCTION("GOOGLETRANSLATE(B3411,""en"",""zh-CN"")"),"一个女人用盒子在地板上。")</f>
        <v>一个女人用盒子在地板上。</v>
      </c>
    </row>
    <row r="3412">
      <c r="A3412" s="4" t="s">
        <v>4288</v>
      </c>
      <c r="B3412" s="4" t="s">
        <v>4292</v>
      </c>
      <c r="C3412" s="5" t="str">
        <f>IFERROR(__xludf.DUMMYFUNCTION("GOOGLETRANSLATE(B3412,""en"",""zh-CN"")"),"她演示了如何将纸切成和折叠到现在。")</f>
        <v>她演示了如何将纸切成和折叠到现在。</v>
      </c>
    </row>
    <row r="3413">
      <c r="A3413" s="4" t="s">
        <v>4288</v>
      </c>
      <c r="B3413" s="4" t="s">
        <v>4293</v>
      </c>
      <c r="C3413" s="5" t="str">
        <f>IFERROR(__xludf.DUMMYFUNCTION("GOOGLETRANSLATE(B3413,""en"",""zh-CN"")"),"她录制了现在的关闭。")</f>
        <v>她录制了现在的关闭。</v>
      </c>
    </row>
    <row r="3414">
      <c r="A3414" s="4" t="s">
        <v>4288</v>
      </c>
      <c r="B3414" s="4" t="s">
        <v>4294</v>
      </c>
      <c r="C3414" s="5" t="str">
        <f>IFERROR(__xludf.DUMMYFUNCTION("GOOGLETRANSLATE(B3414,""en"",""zh-CN"")"),"然后，她在礼物上放了一个半透明的弓。")</f>
        <v>然后，她在礼物上放了一个半透明的弓。</v>
      </c>
    </row>
    <row r="3415">
      <c r="A3415" s="4" t="s">
        <v>4295</v>
      </c>
      <c r="B3415" s="4" t="s">
        <v>4296</v>
      </c>
      <c r="C3415" s="5" t="str">
        <f>IFERROR(__xludf.DUMMYFUNCTION("GOOGLETRANSLATE(B3415,""en"",""zh-CN"")"),"男人在浴室里表现愚蠢。")</f>
        <v>男人在浴室里表现愚蠢。</v>
      </c>
    </row>
    <row r="3416">
      <c r="A3416" s="4" t="s">
        <v>4295</v>
      </c>
      <c r="B3416" s="4" t="s">
        <v>4297</v>
      </c>
      <c r="C3416" s="5" t="str">
        <f>IFERROR(__xludf.DUMMYFUNCTION("GOOGLETRANSLATE(B3416,""en"",""zh-CN"")"),"一个人向相机炫耀自己的腿。")</f>
        <v>一个人向相机炫耀自己的腿。</v>
      </c>
    </row>
    <row r="3417">
      <c r="A3417" s="4" t="s">
        <v>4295</v>
      </c>
      <c r="B3417" s="4" t="s">
        <v>4298</v>
      </c>
      <c r="C3417" s="5" t="str">
        <f>IFERROR(__xludf.DUMMYFUNCTION("GOOGLETRANSLATE(B3417,""en"",""zh-CN"")"),"两个男人在水槽附近跳舞并剃了腿。")</f>
        <v>两个男人在水槽附近跳舞并剃了腿。</v>
      </c>
    </row>
    <row r="3418">
      <c r="A3418" s="4" t="s">
        <v>4295</v>
      </c>
      <c r="B3418" s="4" t="s">
        <v>4299</v>
      </c>
      <c r="C3418" s="5" t="str">
        <f>IFERROR(__xludf.DUMMYFUNCTION("GOOGLETRANSLATE(B3418,""en"",""zh-CN"")"),"另一个男人加入了水槽附近的男人，以帮助剃须。")</f>
        <v>另一个男人加入了水槽附近的男人，以帮助剃须。</v>
      </c>
    </row>
    <row r="3419">
      <c r="A3419" s="4" t="s">
        <v>4300</v>
      </c>
      <c r="B3419" s="4" t="s">
        <v>4301</v>
      </c>
      <c r="C3419" s="5" t="str">
        <f>IFERROR(__xludf.DUMMYFUNCTION("GOOGLETRANSLATE(B3419,""en"",""zh-CN"")"),"一个男人走到他狗前面的田野上。")</f>
        <v>一个男人走到他狗前面的田野上。</v>
      </c>
    </row>
    <row r="3420">
      <c r="A3420" s="4" t="s">
        <v>4300</v>
      </c>
      <c r="B3420" s="4" t="s">
        <v>4302</v>
      </c>
      <c r="C3420" s="5" t="str">
        <f>IFERROR(__xludf.DUMMYFUNCTION("GOOGLETRANSLATE(B3420,""en"",""zh-CN"")"),"他扔了一个飞盘，狗抓住了它。")</f>
        <v>他扔了一个飞盘，狗抓住了它。</v>
      </c>
    </row>
    <row r="3421">
      <c r="A3421" s="4" t="s">
        <v>4300</v>
      </c>
      <c r="B3421" s="4" t="s">
        <v>4303</v>
      </c>
      <c r="C3421" s="5" t="str">
        <f>IFERROR(__xludf.DUMMYFUNCTION("GOOGLETRANSLATE(B3421,""en"",""zh-CN"")"),"他用飞盘和狗做了几个技巧。")</f>
        <v>他用飞盘和狗做了几个技巧。</v>
      </c>
    </row>
    <row r="3422">
      <c r="A3422" s="4" t="s">
        <v>4304</v>
      </c>
      <c r="B3422" s="4" t="s">
        <v>4305</v>
      </c>
      <c r="C3422" s="5" t="str">
        <f>IFERROR(__xludf.DUMMYFUNCTION("GOOGLETRANSLATE(B3422,""en"",""zh-CN"")"),"看到一个女人在原木上向下摆动斧头，而另一个男人则在侧面看。")</f>
        <v>看到一个女人在原木上向下摆动斧头，而另一个男人则在侧面看。</v>
      </c>
    </row>
    <row r="3423">
      <c r="A3423" s="4" t="s">
        <v>4304</v>
      </c>
      <c r="B3423" s="4" t="s">
        <v>4306</v>
      </c>
      <c r="C3423" s="5" t="str">
        <f>IFERROR(__xludf.DUMMYFUNCTION("GOOGLETRANSLATE(B3423,""en"",""zh-CN"")"),"另一个女人摘下原木，女孩准备摆动。")</f>
        <v>另一个女人摘下原木，女孩准备摆动。</v>
      </c>
    </row>
    <row r="3424">
      <c r="A3424" s="4" t="s">
        <v>4304</v>
      </c>
      <c r="B3424" s="4" t="s">
        <v>4307</v>
      </c>
      <c r="C3424" s="5" t="str">
        <f>IFERROR(__xludf.DUMMYFUNCTION("GOOGLETRANSLATE(B3424,""en"",""zh-CN"")"),"她再次摆动斧头，然后回头微笑着相机。")</f>
        <v>她再次摆动斧头，然后回头微笑着相机。</v>
      </c>
    </row>
    <row r="3425">
      <c r="A3425" s="4" t="s">
        <v>4308</v>
      </c>
      <c r="B3425" s="4" t="s">
        <v>4309</v>
      </c>
      <c r="C3425" s="5" t="str">
        <f>IFERROR(__xludf.DUMMYFUNCTION("GOOGLETRANSLATE(B3425,""en"",""zh-CN"")"),"一个人站在柜台后面，将食物放在托盘上。")</f>
        <v>一个人站在柜台后面，将食物放在托盘上。</v>
      </c>
    </row>
    <row r="3426">
      <c r="A3426" s="4" t="s">
        <v>4308</v>
      </c>
      <c r="B3426" s="4" t="s">
        <v>4310</v>
      </c>
      <c r="C3426" s="5" t="str">
        <f>IFERROR(__xludf.DUMMYFUNCTION("GOOGLETRANSLATE(B3426,""en"",""zh-CN"")"),"他们将托盘放入烤箱中。")</f>
        <v>他们将托盘放入烤箱中。</v>
      </c>
    </row>
    <row r="3427">
      <c r="A3427" s="4" t="s">
        <v>4308</v>
      </c>
      <c r="B3427" s="4" t="s">
        <v>4311</v>
      </c>
      <c r="C3427" s="5" t="str">
        <f>IFERROR(__xludf.DUMMYFUNCTION("GOOGLETRANSLATE(B3427,""en"",""zh-CN"")"),"他们将托盘从烤箱中取出，将饼干抬到盘子上。")</f>
        <v>他们将托盘从烤箱中取出，将饼干抬到盘子上。</v>
      </c>
    </row>
    <row r="3428">
      <c r="A3428" s="4" t="s">
        <v>4308</v>
      </c>
      <c r="B3428" s="4" t="s">
        <v>4312</v>
      </c>
      <c r="C3428" s="5" t="str">
        <f>IFERROR(__xludf.DUMMYFUNCTION("GOOGLETRANSLATE(B3428,""en"",""zh-CN"")"),"他们洗掉水槽中的垫子。")</f>
        <v>他们洗掉水槽中的垫子。</v>
      </c>
    </row>
    <row r="3429">
      <c r="A3429" s="4" t="s">
        <v>4313</v>
      </c>
      <c r="B3429" s="4" t="s">
        <v>4314</v>
      </c>
      <c r="C3429" s="5" t="str">
        <f>IFERROR(__xludf.DUMMYFUNCTION("GOOGLETRANSLATE(B3429,""en"",""zh-CN"")"),"我们看到一位女士在杂志上手中。")</f>
        <v>我们看到一位女士在杂志上手中。</v>
      </c>
    </row>
    <row r="3430">
      <c r="A3430" s="4" t="s">
        <v>4313</v>
      </c>
      <c r="B3430" s="4" t="s">
        <v>4315</v>
      </c>
      <c r="C3430" s="5" t="str">
        <f>IFERROR(__xludf.DUMMYFUNCTION("GOOGLETRANSLATE(B3430,""en"",""zh-CN"")"),"女士切了一篇文章的切片。")</f>
        <v>女士切了一篇文章的切片。</v>
      </c>
    </row>
    <row r="3431">
      <c r="A3431" s="4" t="s">
        <v>4313</v>
      </c>
      <c r="B3431" s="6" t="s">
        <v>4316</v>
      </c>
      <c r="C3431" s="5" t="str">
        <f>IFERROR(__xludf.DUMMYFUNCTION("GOOGLETRANSLATE(B3431,""en"",""zh-CN"")"),"她把纸放在水中，然后放在白色指甲上，将纸剥下来，字母粘住。")</f>
        <v>她把纸放在水中，然后放在白色指甲上，将纸剥下来，字母粘住。</v>
      </c>
    </row>
    <row r="3432">
      <c r="A3432" s="4" t="s">
        <v>4313</v>
      </c>
      <c r="B3432" s="4" t="s">
        <v>4317</v>
      </c>
      <c r="C3432" s="5" t="str">
        <f>IFERROR(__xludf.DUMMYFUNCTION("GOOGLETRANSLATE(B3432,""en"",""zh-CN"")"),"这位女士在指甲上涂了清晰的抛光剂。")</f>
        <v>这位女士在指甲上涂了清晰的抛光剂。</v>
      </c>
    </row>
    <row r="3433">
      <c r="A3433" s="4" t="s">
        <v>4313</v>
      </c>
      <c r="B3433" s="4" t="s">
        <v>4318</v>
      </c>
      <c r="C3433" s="5" t="str">
        <f>IFERROR(__xludf.DUMMYFUNCTION("GOOGLETRANSLATE(B3433,""en"",""zh-CN"")"),"女士将水钻贴在指甲上。")</f>
        <v>女士将水钻贴在指甲上。</v>
      </c>
    </row>
    <row r="3434">
      <c r="A3434" s="4" t="s">
        <v>4313</v>
      </c>
      <c r="B3434" s="4" t="s">
        <v>4319</v>
      </c>
      <c r="C3434" s="5" t="str">
        <f>IFERROR(__xludf.DUMMYFUNCTION("GOOGLETRANSLATE(B3434,""en"",""zh-CN"")"),"这位女士在装饰的指甲上涂了清晰的抛光剂。")</f>
        <v>这位女士在装饰的指甲上涂了清晰的抛光剂。</v>
      </c>
    </row>
    <row r="3435">
      <c r="A3435" s="4" t="s">
        <v>4313</v>
      </c>
      <c r="B3435" s="4" t="s">
        <v>4320</v>
      </c>
      <c r="C3435" s="5" t="str">
        <f>IFERROR(__xludf.DUMMYFUNCTION("GOOGLETRANSLATE(B3435,""en"",""zh-CN"")"),"我们看到女士在杂志上翻页。")</f>
        <v>我们看到女士在杂志上翻页。</v>
      </c>
    </row>
    <row r="3436">
      <c r="A3436" s="4" t="s">
        <v>4313</v>
      </c>
      <c r="B3436" s="4" t="s">
        <v>4321</v>
      </c>
      <c r="C3436" s="5" t="str">
        <f>IFERROR(__xludf.DUMMYFUNCTION("GOOGLETRANSLATE(B3436,""en"",""zh-CN"")"),"我们看到白色结尾屏幕。")</f>
        <v>我们看到白色结尾屏幕。</v>
      </c>
    </row>
    <row r="3437">
      <c r="A3437" s="4" t="s">
        <v>4322</v>
      </c>
      <c r="B3437" s="4" t="s">
        <v>4323</v>
      </c>
      <c r="C3437" s="5" t="str">
        <f>IFERROR(__xludf.DUMMYFUNCTION("GOOGLETRANSLATE(B3437,""en"",""zh-CN"")"),"人们正在滑下冰。")</f>
        <v>人们正在滑下冰。</v>
      </c>
    </row>
    <row r="3438">
      <c r="A3438" s="4" t="s">
        <v>4322</v>
      </c>
      <c r="B3438" s="4" t="s">
        <v>4324</v>
      </c>
      <c r="C3438" s="5" t="str">
        <f>IFERROR(__xludf.DUMMYFUNCTION("GOOGLETRANSLATE(B3438,""en"",""zh-CN"")"),"他们拿着冰壶和一个球。")</f>
        <v>他们拿着冰壶和一个球。</v>
      </c>
    </row>
    <row r="3439">
      <c r="A3439" s="4" t="s">
        <v>4322</v>
      </c>
      <c r="B3439" s="4" t="s">
        <v>4325</v>
      </c>
      <c r="C3439" s="5" t="str">
        <f>IFERROR(__xludf.DUMMYFUNCTION("GOOGLETRANSLATE(B3439,""en"",""zh-CN"")"),"两名穿着白衬衫的男人在滑行旁边跑。")</f>
        <v>两名穿着白衬衫的男人在滑行旁边跑。</v>
      </c>
    </row>
    <row r="3440">
      <c r="A3440" s="4" t="s">
        <v>4326</v>
      </c>
      <c r="B3440" s="6" t="s">
        <v>4327</v>
      </c>
      <c r="C3440" s="5" t="str">
        <f>IFERROR(__xludf.DUMMYFUNCTION("GOOGLETRANSLATE(B3440,""en"",""zh-CN"")"),"看到一个男人在相机上说话，然后他放下几种成分并将其煮在一些水中。")</f>
        <v>看到一个男人在相机上说话，然后他放下几种成分并将其煮在一些水中。</v>
      </c>
    </row>
    <row r="3441">
      <c r="A3441" s="4" t="s">
        <v>4326</v>
      </c>
      <c r="B3441" s="4" t="s">
        <v>4328</v>
      </c>
      <c r="C3441" s="5" t="str">
        <f>IFERROR(__xludf.DUMMYFUNCTION("GOOGLETRANSLATE(B3441,""en"",""zh-CN"")"),"然后，他将更多的食品倒在水下，然后倒入充满水的锅中。")</f>
        <v>然后，他将更多的食品倒在水下，然后倒入充满水的锅中。</v>
      </c>
    </row>
    <row r="3442">
      <c r="A3442" s="4" t="s">
        <v>4329</v>
      </c>
      <c r="B3442" s="4" t="s">
        <v>4330</v>
      </c>
      <c r="C3442" s="5" t="str">
        <f>IFERROR(__xludf.DUMMYFUNCTION("GOOGLETRANSLATE(B3442,""en"",""zh-CN"")"),"看到一大批人站在垫子上，彼此表演。")</f>
        <v>看到一大批人站在垫子上，彼此表演。</v>
      </c>
    </row>
    <row r="3443">
      <c r="A3443" s="4" t="s">
        <v>4329</v>
      </c>
      <c r="B3443" s="6" t="s">
        <v>4331</v>
      </c>
      <c r="C3443" s="5" t="str">
        <f>IFERROR(__xludf.DUMMYFUNCTION("GOOGLETRANSLATE(B3443,""en"",""zh-CN"")"),"人们在垫子周围进行各种翻转和窍门，并以姿势和向观众挥舞。")</f>
        <v>人们在垫子周围进行各种翻转和窍门，并以姿势和向观众挥舞。</v>
      </c>
    </row>
    <row r="3444">
      <c r="A3444" s="4" t="s">
        <v>4332</v>
      </c>
      <c r="B3444" s="4" t="s">
        <v>4333</v>
      </c>
      <c r="C3444" s="5" t="str">
        <f>IFERROR(__xludf.DUMMYFUNCTION("GOOGLETRANSLATE(B3444,""en"",""zh-CN"")"),"显示了叶吹响器的特写，后面是围绕该区域的相机。")</f>
        <v>显示了叶吹响器的特写，后面是围绕该区域的相机。</v>
      </c>
    </row>
    <row r="3445">
      <c r="A3445" s="4" t="s">
        <v>4332</v>
      </c>
      <c r="B3445" s="4" t="s">
        <v>4334</v>
      </c>
      <c r="C3445" s="5" t="str">
        <f>IFERROR(__xludf.DUMMYFUNCTION("GOOGLETRANSLATE(B3445,""en"",""zh-CN"")"),"然后看到一只手启动机器并将机器推在院子周围。")</f>
        <v>然后看到一只手启动机器并将机器推在院子周围。</v>
      </c>
    </row>
    <row r="3446">
      <c r="A3446" s="4" t="s">
        <v>4332</v>
      </c>
      <c r="B3446" s="6" t="s">
        <v>4335</v>
      </c>
      <c r="C3446" s="5" t="str">
        <f>IFERROR(__xludf.DUMMYFUNCTION("GOOGLETRANSLATE(B3446,""en"",""zh-CN"")"),"该男子关闭机器，指向机器顶部时环绕着前面。")</f>
        <v>该男子关闭机器，指向机器顶部时环绕着前面。</v>
      </c>
    </row>
    <row r="3447">
      <c r="A3447" s="4" t="s">
        <v>4332</v>
      </c>
      <c r="B3447" s="4" t="s">
        <v>4336</v>
      </c>
      <c r="C3447" s="5" t="str">
        <f>IFERROR(__xludf.DUMMYFUNCTION("GOOGLETRANSLATE(B3447,""en"",""zh-CN"")"),"相机在机器周围摇晃，并显示了男人的大拇指。")</f>
        <v>相机在机器周围摇晃，并显示了男人的大拇指。</v>
      </c>
    </row>
    <row r="3448">
      <c r="A3448" s="4" t="s">
        <v>4337</v>
      </c>
      <c r="B3448" s="4" t="s">
        <v>4338</v>
      </c>
      <c r="C3448" s="5" t="str">
        <f>IFERROR(__xludf.DUMMYFUNCTION("GOOGLETRANSLATE(B3448,""en"",""zh-CN"")"),"一位女士坐在沙发上讨论。")</f>
        <v>一位女士坐在沙发上讨论。</v>
      </c>
    </row>
    <row r="3449">
      <c r="A3449" s="4" t="s">
        <v>4337</v>
      </c>
      <c r="B3449" s="4" t="s">
        <v>4339</v>
      </c>
      <c r="C3449" s="5" t="str">
        <f>IFERROR(__xludf.DUMMYFUNCTION("GOOGLETRANSLATE(B3449,""en"",""zh-CN"")"),"女士航行一条船。")</f>
        <v>女士航行一条船。</v>
      </c>
    </row>
    <row r="3450">
      <c r="A3450" s="4" t="s">
        <v>4337</v>
      </c>
      <c r="B3450" s="4" t="s">
        <v>4340</v>
      </c>
      <c r="C3450" s="5" t="str">
        <f>IFERROR(__xludf.DUMMYFUNCTION("GOOGLETRANSLATE(B3450,""en"",""zh-CN"")"),"女士去登机。")</f>
        <v>女士去登机。</v>
      </c>
    </row>
    <row r="3451">
      <c r="A3451" s="4" t="s">
        <v>4341</v>
      </c>
      <c r="B3451" s="4" t="s">
        <v>4342</v>
      </c>
      <c r="C3451" s="5" t="str">
        <f>IFERROR(__xludf.DUMMYFUNCTION("GOOGLETRANSLATE(B3451,""en"",""zh-CN"")"),"人们在一条未铺设的道路上骑马经过树林和海洋前。")</f>
        <v>人们在一条未铺设的道路上骑马经过树林和海洋前。</v>
      </c>
    </row>
    <row r="3452">
      <c r="A3452" s="4" t="s">
        <v>4341</v>
      </c>
      <c r="B3452" s="6" t="s">
        <v>4343</v>
      </c>
      <c r="C3452" s="5" t="str">
        <f>IFERROR(__xludf.DUMMYFUNCTION("GOOGLETRANSLATE(B3452,""en"",""zh-CN"")"),"人们到达了一个地方，下马，然后继续骑行经过的树林，河流，海洋和美丽的景观。")</f>
        <v>人们到达了一个地方，下马，然后继续骑行经过的树林，河流，海洋和美丽的景观。</v>
      </c>
    </row>
    <row r="3453">
      <c r="A3453" s="4" t="s">
        <v>4341</v>
      </c>
      <c r="B3453" s="4" t="s">
        <v>4344</v>
      </c>
      <c r="C3453" s="5" t="str">
        <f>IFERROR(__xludf.DUMMYFUNCTION("GOOGLETRANSLATE(B3453,""en"",""zh-CN"")"),"然后，人们到达一个露营地，然后他们在海面前奔跑。")</f>
        <v>然后，人们到达一个露营地，然后他们在海面前奔跑。</v>
      </c>
    </row>
    <row r="3454">
      <c r="A3454" s="4" t="s">
        <v>4345</v>
      </c>
      <c r="B3454" s="4" t="s">
        <v>4346</v>
      </c>
      <c r="C3454" s="5" t="str">
        <f>IFERROR(__xludf.DUMMYFUNCTION("GOOGLETRANSLATE(B3454,""en"",""zh-CN"")"),"一些男孩在游泳池里玩排球。")</f>
        <v>一些男孩在游泳池里玩排球。</v>
      </c>
    </row>
    <row r="3455">
      <c r="A3455" s="4" t="s">
        <v>4345</v>
      </c>
      <c r="B3455" s="6" t="s">
        <v>4347</v>
      </c>
      <c r="C3455" s="5" t="str">
        <f>IFERROR(__xludf.DUMMYFUNCTION("GOOGLETRANSLATE(B3455,""en"",""zh-CN"")"),"有一个大型游泳队游泳，将球扔给他们的队友，得分。")</f>
        <v>有一个大型游泳队游泳，将球扔给他们的队友，得分。</v>
      </c>
    </row>
    <row r="3456">
      <c r="A3456" s="4" t="s">
        <v>4345</v>
      </c>
      <c r="B3456" s="4" t="s">
        <v>4348</v>
      </c>
      <c r="C3456" s="5" t="str">
        <f>IFERROR(__xludf.DUMMYFUNCTION("GOOGLETRANSLATE(B3456,""en"",""zh-CN"")"),"然后，在提交的旗足球比赛中有一支球队。")</f>
        <v>然后，在提交的旗足球比赛中有一支球队。</v>
      </c>
    </row>
    <row r="3457">
      <c r="A3457" s="4" t="s">
        <v>4345</v>
      </c>
      <c r="B3457" s="4" t="s">
        <v>4349</v>
      </c>
      <c r="C3457" s="5" t="str">
        <f>IFERROR(__xludf.DUMMYFUNCTION("GOOGLETRANSLATE(B3457,""en"",""zh-CN"")"),"他们正在四处奔波，试图为他们的团队得分。")</f>
        <v>他们正在四处奔波，试图为他们的团队得分。</v>
      </c>
    </row>
    <row r="3458">
      <c r="A3458" s="4" t="s">
        <v>4350</v>
      </c>
      <c r="B3458" s="6" t="s">
        <v>4351</v>
      </c>
      <c r="C3458" s="5" t="str">
        <f>IFERROR(__xludf.DUMMYFUNCTION("GOOGLETRANSLATE(B3458,""en"",""zh-CN"")"),"显示了一个银色水槽，底部有一个带有洗涤器的黑色软管开始清洁水槽，蒸汽从中散发出来。")</f>
        <v>显示了一个银色水槽，底部有一个带有洗涤器的黑色软管开始清洁水槽，蒸汽从中散发出来。</v>
      </c>
    </row>
    <row r="3459">
      <c r="A3459" s="4" t="s">
        <v>4350</v>
      </c>
      <c r="B3459" s="6" t="s">
        <v>4352</v>
      </c>
      <c r="C3459" s="5" t="str">
        <f>IFERROR(__xludf.DUMMYFUNCTION("GOOGLETRANSLATE(B3459,""en"",""zh-CN"")"),"完成后，该人会占据白色的抹布，进入水槽中，从蒸汽中洗净水分。")</f>
        <v>完成后，该人会占据白色的抹布，进入水槽中，从蒸汽中洗净水分。</v>
      </c>
    </row>
    <row r="3460">
      <c r="A3460" s="4" t="s">
        <v>4353</v>
      </c>
      <c r="B3460" s="4" t="s">
        <v>4354</v>
      </c>
      <c r="C3460" s="5" t="str">
        <f>IFERROR(__xludf.DUMMYFUNCTION("GOOGLETRANSLATE(B3460,""en"",""zh-CN"")"),"一个人前往日本学习如何成为相扑摔跤手。")</f>
        <v>一个人前往日本学习如何成为相扑摔跤手。</v>
      </c>
    </row>
    <row r="3461">
      <c r="A3461" s="4" t="s">
        <v>4353</v>
      </c>
      <c r="B3461" s="4" t="s">
        <v>4355</v>
      </c>
      <c r="C3461" s="5" t="str">
        <f>IFERROR(__xludf.DUMMYFUNCTION("GOOGLETRANSLATE(B3461,""en"",""zh-CN"")"),"该男子接受训练并学习相扑的技术。")</f>
        <v>该男子接受训练并学习相扑的技术。</v>
      </c>
    </row>
    <row r="3462">
      <c r="A3462" s="4" t="s">
        <v>4356</v>
      </c>
      <c r="B3462" s="4" t="s">
        <v>4357</v>
      </c>
      <c r="C3462" s="5" t="str">
        <f>IFERROR(__xludf.DUMMYFUNCTION("GOOGLETRANSLATE(B3462,""en"",""zh-CN"")"),"有几个运动员在室外戒指上投掷铁饼。")</f>
        <v>有几个运动员在室外戒指上投掷铁饼。</v>
      </c>
    </row>
    <row r="3463">
      <c r="A3463" s="4" t="s">
        <v>4356</v>
      </c>
      <c r="B3463" s="6" t="s">
        <v>4358</v>
      </c>
      <c r="C3463" s="5" t="str">
        <f>IFERROR(__xludf.DUMMYFUNCTION("GOOGLETRANSLATE(B3463,""en"",""zh-CN"")"),"第一位穿着红色和白色衬衫的运动员开始使用一个半公斤的铁饼比赛。")</f>
        <v>第一位穿着红色和白色衬衫的运动员开始使用一个半公斤的铁饼比赛。</v>
      </c>
    </row>
    <row r="3464">
      <c r="A3464" s="4" t="s">
        <v>4356</v>
      </c>
      <c r="B3464" s="4" t="s">
        <v>4359</v>
      </c>
      <c r="C3464" s="5" t="str">
        <f>IFERROR(__xludf.DUMMYFUNCTION("GOOGLETRANSLATE(B3464,""en"",""zh-CN"")"),"他在现场旋转并旋转并扔了铁饼。")</f>
        <v>他在现场旋转并旋转并扔了铁饼。</v>
      </c>
    </row>
    <row r="3465">
      <c r="A3465" s="4" t="s">
        <v>4356</v>
      </c>
      <c r="B3465" s="4" t="s">
        <v>4360</v>
      </c>
      <c r="C3465" s="5" t="str">
        <f>IFERROR(__xludf.DUMMYFUNCTION("GOOGLETRANSLATE(B3465,""en"",""zh-CN"")"),"然后，另一位运动员抛出了铁饼，但没有成功。")</f>
        <v>然后，另一位运动员抛出了铁饼，但没有成功。</v>
      </c>
    </row>
    <row r="3466">
      <c r="A3466" s="4" t="s">
        <v>4356</v>
      </c>
      <c r="B3466" s="6" t="s">
        <v>4361</v>
      </c>
      <c r="C3466" s="5" t="str">
        <f>IFERROR(__xludf.DUMMYFUNCTION("GOOGLETRANSLATE(B3466,""en"",""zh-CN"")"),"然后，蓝色的运动员在挥动和旋转以扔碟片时尝试了铁饼比赛。")</f>
        <v>然后，蓝色的运动员在挥动和旋转以扔碟片时尝试了铁饼比赛。</v>
      </c>
    </row>
    <row r="3467">
      <c r="A3467" s="4" t="s">
        <v>4356</v>
      </c>
      <c r="B3467" s="4" t="s">
        <v>4362</v>
      </c>
      <c r="C3467" s="5" t="str">
        <f>IFERROR(__xludf.DUMMYFUNCTION("GOOGLETRANSLATE(B3467,""en"",""zh-CN"")"),"然后，另一位赢得第三名的运动员成功地抛出了铁饼。")</f>
        <v>然后，另一位赢得第三名的运动员成功地抛出了铁饼。</v>
      </c>
    </row>
    <row r="3468">
      <c r="A3468" s="4" t="s">
        <v>4356</v>
      </c>
      <c r="B3468" s="4" t="s">
        <v>4363</v>
      </c>
      <c r="C3468" s="5" t="str">
        <f>IFERROR(__xludf.DUMMYFUNCTION("GOOGLETRANSLATE(B3468,""en"",""zh-CN"")"),"更多的运动员来了，扔了铁饼。")</f>
        <v>更多的运动员来了，扔了铁饼。</v>
      </c>
    </row>
    <row r="3469">
      <c r="A3469" s="4" t="s">
        <v>4356</v>
      </c>
      <c r="B3469" s="4" t="s">
        <v>4364</v>
      </c>
      <c r="C3469" s="5" t="str">
        <f>IFERROR(__xludf.DUMMYFUNCTION("GOOGLETRANSLATE(B3469,""en"",""zh-CN"")"),"由于安全原因，体育场看台没有足够的观众。")</f>
        <v>由于安全原因，体育场看台没有足够的观众。</v>
      </c>
    </row>
    <row r="3470">
      <c r="A3470" s="4" t="s">
        <v>4365</v>
      </c>
      <c r="B3470" s="4" t="s">
        <v>4366</v>
      </c>
      <c r="C3470" s="5" t="str">
        <f>IFERROR(__xludf.DUMMYFUNCTION("GOOGLETRANSLATE(B3470,""en"",""zh-CN"")"),"显示了剪辑的信用。")</f>
        <v>显示了剪辑的信用。</v>
      </c>
    </row>
    <row r="3471">
      <c r="A3471" s="4" t="s">
        <v>4365</v>
      </c>
      <c r="B3471" s="4" t="s">
        <v>4367</v>
      </c>
      <c r="C3471" s="5" t="str">
        <f>IFERROR(__xludf.DUMMYFUNCTION("GOOGLETRANSLATE(B3471,""en"",""zh-CN"")"),"一个人裂开双手。")</f>
        <v>一个人裂开双手。</v>
      </c>
    </row>
    <row r="3472">
      <c r="A3472" s="4" t="s">
        <v>4365</v>
      </c>
      <c r="B3472" s="4" t="s">
        <v>4368</v>
      </c>
      <c r="C3472" s="5" t="str">
        <f>IFERROR(__xludf.DUMMYFUNCTION("GOOGLETRANSLATE(B3472,""en"",""zh-CN"")"),"鸟类涌向泥土轨道上方。")</f>
        <v>鸟类涌向泥土轨道上方。</v>
      </c>
    </row>
    <row r="3473">
      <c r="A3473" s="4" t="s">
        <v>4365</v>
      </c>
      <c r="B3473" s="4" t="s">
        <v>4369</v>
      </c>
      <c r="C3473" s="5" t="str">
        <f>IFERROR(__xludf.DUMMYFUNCTION("GOOGLETRANSLATE(B3473,""en"",""zh-CN"")"),"一个人的阴影在白色拖车的表面上移动。")</f>
        <v>一个人的阴影在白色拖车的表面上移动。</v>
      </c>
    </row>
    <row r="3474">
      <c r="A3474" s="4" t="s">
        <v>4365</v>
      </c>
      <c r="B3474" s="4" t="s">
        <v>4370</v>
      </c>
      <c r="C3474" s="5" t="str">
        <f>IFERROR(__xludf.DUMMYFUNCTION("GOOGLETRANSLATE(B3474,""en"",""zh-CN"")"),"一个人骑越野车。")</f>
        <v>一个人骑越野车。</v>
      </c>
    </row>
    <row r="3475">
      <c r="A3475" s="4" t="s">
        <v>4365</v>
      </c>
      <c r="B3475" s="4" t="s">
        <v>4371</v>
      </c>
      <c r="C3475" s="5" t="str">
        <f>IFERROR(__xludf.DUMMYFUNCTION("GOOGLETRANSLATE(B3475,""en"",""zh-CN"")"),"一个人铲土。")</f>
        <v>一个人铲土。</v>
      </c>
    </row>
    <row r="3476">
      <c r="A3476" s="4" t="s">
        <v>4365</v>
      </c>
      <c r="B3476" s="4" t="s">
        <v>4372</v>
      </c>
      <c r="C3476" s="5" t="str">
        <f>IFERROR(__xludf.DUMMYFUNCTION("GOOGLETRANSLATE(B3476,""en"",""zh-CN"")"),"一个人站在泥土赛道尽头的标志。")</f>
        <v>一个人站在泥土赛道尽头的标志。</v>
      </c>
    </row>
    <row r="3477">
      <c r="A3477" s="4" t="s">
        <v>4365</v>
      </c>
      <c r="B3477" s="4" t="s">
        <v>4373</v>
      </c>
      <c r="C3477" s="5" t="str">
        <f>IFERROR(__xludf.DUMMYFUNCTION("GOOGLETRANSLATE(B3477,""en"",""zh-CN"")"),"一个人抬起一辆越野车，放在凳子上。")</f>
        <v>一个人抬起一辆越野车，放在凳子上。</v>
      </c>
    </row>
    <row r="3478">
      <c r="A3478" s="4" t="s">
        <v>4365</v>
      </c>
      <c r="B3478" s="4" t="s">
        <v>4374</v>
      </c>
      <c r="C3478" s="5" t="str">
        <f>IFERROR(__xludf.DUMMYFUNCTION("GOOGLETRANSLATE(B3478,""en"",""zh-CN"")"),"一个男孩奔跑和微笑。")</f>
        <v>一个男孩奔跑和微笑。</v>
      </c>
    </row>
    <row r="3479">
      <c r="A3479" s="4" t="s">
        <v>4365</v>
      </c>
      <c r="B3479" s="4" t="s">
        <v>4375</v>
      </c>
      <c r="C3479" s="5" t="str">
        <f>IFERROR(__xludf.DUMMYFUNCTION("GOOGLETRANSLATE(B3479,""en"",""zh-CN"")"),"直升机徘徊在赛道上。")</f>
        <v>直升机徘徊在赛道上。</v>
      </c>
    </row>
    <row r="3480">
      <c r="A3480" s="4" t="s">
        <v>4365</v>
      </c>
      <c r="B3480" s="4" t="s">
        <v>4376</v>
      </c>
      <c r="C3480" s="5" t="str">
        <f>IFERROR(__xludf.DUMMYFUNCTION("GOOGLETRANSLATE(B3480,""en"",""zh-CN"")"),"一位女士戴上骑手的头盔。")</f>
        <v>一位女士戴上骑手的头盔。</v>
      </c>
    </row>
    <row r="3481">
      <c r="A3481" s="4" t="s">
        <v>4365</v>
      </c>
      <c r="B3481" s="4" t="s">
        <v>573</v>
      </c>
      <c r="C3481" s="5" t="str">
        <f>IFERROR(__xludf.DUMMYFUNCTION("GOOGLETRANSLATE(B3481,""en"",""zh-CN"")"),"显示了视频的积分。")</f>
        <v>显示了视频的积分。</v>
      </c>
    </row>
    <row r="3482">
      <c r="A3482" s="4" t="s">
        <v>4377</v>
      </c>
      <c r="B3482" s="4" t="s">
        <v>4378</v>
      </c>
      <c r="C3482" s="5" t="str">
        <f>IFERROR(__xludf.DUMMYFUNCTION("GOOGLETRANSLATE(B3482,""en"",""zh-CN"")"),"一个男人凝视着远处，而另一个人则在啤酒乒乓球桌上握住球。")</f>
        <v>一个男人凝视着远处，而另一个人则在啤酒乒乓球桌上握住球。</v>
      </c>
    </row>
    <row r="3483">
      <c r="A3483" s="4" t="s">
        <v>4377</v>
      </c>
      <c r="B3483" s="4" t="s">
        <v>4379</v>
      </c>
      <c r="C3483" s="5" t="str">
        <f>IFERROR(__xludf.DUMMYFUNCTION("GOOGLETRANSLATE(B3483,""en"",""zh-CN"")"),"相机显示球击中桌子，降落在另一侧的杯子中。")</f>
        <v>相机显示球击中桌子，降落在另一侧的杯子中。</v>
      </c>
    </row>
    <row r="3484">
      <c r="A3484" s="4" t="s">
        <v>4377</v>
      </c>
      <c r="B3484" s="4" t="s">
        <v>4380</v>
      </c>
      <c r="C3484" s="5" t="str">
        <f>IFERROR(__xludf.DUMMYFUNCTION("GOOGLETRANSLATE(B3484,""en"",""zh-CN"")"),"第一个男人低头看着杯子和grimace，他看到的东西。")</f>
        <v>第一个男人低头看着杯子和grimace，他看到的东西。</v>
      </c>
    </row>
    <row r="3485">
      <c r="A3485" s="4" t="s">
        <v>4381</v>
      </c>
      <c r="B3485" s="4" t="s">
        <v>4382</v>
      </c>
      <c r="C3485" s="5" t="str">
        <f>IFERROR(__xludf.DUMMYFUNCTION("GOOGLETRANSLATE(B3485,""en"",""zh-CN"")"),"有一个男人穿着黑色运动服，穿着射门射门射击。")</f>
        <v>有一个男人穿着黑色运动服，穿着射门射门射击。</v>
      </c>
    </row>
    <row r="3486">
      <c r="A3486" s="4" t="s">
        <v>4381</v>
      </c>
      <c r="B3486" s="4" t="s">
        <v>4383</v>
      </c>
      <c r="C3486" s="5" t="str">
        <f>IFERROR(__xludf.DUMMYFUNCTION("GOOGLETRANSLATE(B3486,""en"",""zh-CN"")"),"他首先将球握在手中，将球握在脖子上。")</f>
        <v>他首先将球握在手中，将球握在脖子上。</v>
      </c>
    </row>
    <row r="3487">
      <c r="A3487" s="4" t="s">
        <v>4381</v>
      </c>
      <c r="B3487" s="4" t="s">
        <v>4384</v>
      </c>
      <c r="C3487" s="5" t="str">
        <f>IFERROR(__xludf.DUMMYFUNCTION("GOOGLETRANSLATE(B3487,""en"",""zh-CN"")"),"然后他旋转，将球扔到远处。")</f>
        <v>然后他旋转，将球扔到远处。</v>
      </c>
    </row>
    <row r="3488">
      <c r="A3488" s="4" t="s">
        <v>4385</v>
      </c>
      <c r="B3488" s="4" t="s">
        <v>4386</v>
      </c>
      <c r="C3488" s="5" t="str">
        <f>IFERROR(__xludf.DUMMYFUNCTION("GOOGLETRANSLATE(B3488,""en"",""zh-CN"")"),"我们看到一个男人割草。")</f>
        <v>我们看到一个男人割草。</v>
      </c>
    </row>
    <row r="3489">
      <c r="A3489" s="4" t="s">
        <v>4385</v>
      </c>
      <c r="B3489" s="4" t="s">
        <v>4387</v>
      </c>
      <c r="C3489" s="5" t="str">
        <f>IFERROR(__xludf.DUMMYFUNCTION("GOOGLETRANSLATE(B3489,""en"",""zh-CN"")"),"他站在楼梯上割草。")</f>
        <v>他站在楼梯上割草。</v>
      </c>
    </row>
    <row r="3490">
      <c r="A3490" s="4" t="s">
        <v>4385</v>
      </c>
      <c r="B3490" s="4" t="s">
        <v>4388</v>
      </c>
      <c r="C3490" s="5" t="str">
        <f>IFERROR(__xludf.DUMMYFUNCTION("GOOGLETRANSLATE(B3490,""en"",""zh-CN"")"),"它切换到女人的割草。")</f>
        <v>它切换到女人的割草。</v>
      </c>
    </row>
    <row r="3491">
      <c r="A3491" s="4" t="s">
        <v>4385</v>
      </c>
      <c r="B3491" s="4" t="s">
        <v>4389</v>
      </c>
      <c r="C3491" s="5" t="str">
        <f>IFERROR(__xludf.DUMMYFUNCTION("GOOGLETRANSLATE(B3491,""en"",""zh-CN"")"),"它可以追溯到男人的割草。")</f>
        <v>它可以追溯到男人的割草。</v>
      </c>
    </row>
    <row r="3492">
      <c r="A3492" s="4" t="s">
        <v>4385</v>
      </c>
      <c r="B3492" s="4" t="s">
        <v>4390</v>
      </c>
      <c r="C3492" s="5" t="str">
        <f>IFERROR(__xludf.DUMMYFUNCTION("GOOGLETRANSLATE(B3492,""en"",""zh-CN"")"),"该男子把割草机放在棚子里，进入房子。")</f>
        <v>该男子把割草机放在棚子里，进入房子。</v>
      </c>
    </row>
    <row r="3493">
      <c r="A3493" s="4" t="s">
        <v>4391</v>
      </c>
      <c r="B3493" s="4" t="s">
        <v>4392</v>
      </c>
      <c r="C3493" s="5" t="str">
        <f>IFERROR(__xludf.DUMMYFUNCTION("GOOGLETRANSLATE(B3493,""en"",""zh-CN"")"),"一个介绍进入屏幕上，以获取有关卸下覆盖物的视频。")</f>
        <v>一个介绍进入屏幕上，以获取有关卸下覆盖物的视频。</v>
      </c>
    </row>
    <row r="3494">
      <c r="A3494" s="4" t="s">
        <v>4391</v>
      </c>
      <c r="B3494" s="4" t="s">
        <v>4393</v>
      </c>
      <c r="C3494" s="5" t="str">
        <f>IFERROR(__xludf.DUMMYFUNCTION("GOOGLETRANSLATE(B3494,""en"",""zh-CN"")"),"一个男人将脚跟挖到一棵树的底部，以推开覆盖物。")</f>
        <v>一个男人将脚跟挖到一棵树的底部，以推开覆盖物。</v>
      </c>
    </row>
    <row r="3495">
      <c r="A3495" s="4" t="s">
        <v>4391</v>
      </c>
      <c r="B3495" s="6" t="s">
        <v>4394</v>
      </c>
      <c r="C3495" s="5" t="str">
        <f>IFERROR(__xludf.DUMMYFUNCTION("GOOGLETRANSLATE(B3495,""en"",""zh-CN"")"),"他跪下来，通过将覆盖物从树的底部推进去，开始手工移开覆盖物。")</f>
        <v>他跪下来，通过将覆盖物从树的底部推进去，开始手工移开覆盖物。</v>
      </c>
    </row>
    <row r="3496">
      <c r="A3496" s="4" t="s">
        <v>4391</v>
      </c>
      <c r="B3496" s="4" t="s">
        <v>4395</v>
      </c>
      <c r="C3496" s="5" t="str">
        <f>IFERROR(__xludf.DUMMYFUNCTION("GOOGLETRANSLATE(B3496,""en"",""zh-CN"")"),"他拿出一些快船，并剪裁一些根。")</f>
        <v>他拿出一些快船，并剪裁一些根。</v>
      </c>
    </row>
    <row r="3497">
      <c r="A3497" s="4" t="s">
        <v>4391</v>
      </c>
      <c r="B3497" s="4" t="s">
        <v>4396</v>
      </c>
      <c r="C3497" s="5" t="str">
        <f>IFERROR(__xludf.DUMMYFUNCTION("GOOGLETRANSLATE(B3497,""en"",""zh-CN"")"),"最后，视频以结束标题结尾。")</f>
        <v>最后，视频以结束标题结尾。</v>
      </c>
    </row>
    <row r="3498">
      <c r="A3498" s="4" t="s">
        <v>4397</v>
      </c>
      <c r="B3498" s="4" t="s">
        <v>4398</v>
      </c>
      <c r="C3498" s="5" t="str">
        <f>IFERROR(__xludf.DUMMYFUNCTION("GOOGLETRANSLATE(B3498,""en"",""zh-CN"")"),"一个女人坐在电脑键盘前时，正在编织看起来像是围巾。")</f>
        <v>一个女人坐在电脑键盘前时，正在编织看起来像是围巾。</v>
      </c>
    </row>
    <row r="3499">
      <c r="A3499" s="4" t="s">
        <v>4397</v>
      </c>
      <c r="B3499" s="4" t="s">
        <v>4399</v>
      </c>
      <c r="C3499" s="5" t="str">
        <f>IFERROR(__xludf.DUMMYFUNCTION("GOOGLETRANSLATE(B3499,""en"",""zh-CN"")"),"她正在使用针头制作围巾。")</f>
        <v>她正在使用针头制作围巾。</v>
      </c>
    </row>
    <row r="3500">
      <c r="A3500" s="4" t="s">
        <v>4397</v>
      </c>
      <c r="B3500" s="4" t="s">
        <v>4400</v>
      </c>
      <c r="C3500" s="5" t="str">
        <f>IFERROR(__xludf.DUMMYFUNCTION("GOOGLETRANSLATE(B3500,""en"",""zh-CN"")"),"她用循环拉动纱线几次。")</f>
        <v>她用循环拉动纱线几次。</v>
      </c>
    </row>
    <row r="3501">
      <c r="A3501" s="4" t="s">
        <v>4401</v>
      </c>
      <c r="B3501" s="4" t="s">
        <v>4402</v>
      </c>
      <c r="C3501" s="5" t="str">
        <f>IFERROR(__xludf.DUMMYFUNCTION("GOOGLETRANSLATE(B3501,""en"",""zh-CN"")"),"看到一个人的手在房间另一侧的木板上扔了几个飞镖。")</f>
        <v>看到一个人的手在房间另一侧的木板上扔了几个飞镖。</v>
      </c>
    </row>
    <row r="3502">
      <c r="A3502" s="4" t="s">
        <v>4401</v>
      </c>
      <c r="B3502" s="6" t="s">
        <v>4403</v>
      </c>
      <c r="C3502" s="5" t="str">
        <f>IFERROR(__xludf.DUMMYFUNCTION("GOOGLETRANSLATE(B3502,""en"",""zh-CN"")"),"然后，摄像机靠近板，放大了飞镖扔的位置。")</f>
        <v>然后，摄像机靠近板，放大了飞镖扔的位置。</v>
      </c>
    </row>
    <row r="3503">
      <c r="A3503" s="4" t="s">
        <v>4404</v>
      </c>
      <c r="B3503" s="4" t="s">
        <v>4405</v>
      </c>
      <c r="C3503" s="5" t="str">
        <f>IFERROR(__xludf.DUMMYFUNCTION("GOOGLETRANSLATE(B3503,""en"",""zh-CN"")"),"一群人在一个网球场上看到，有4个人一起玩。")</f>
        <v>一群人在一个网球场上看到，有4个人一起玩。</v>
      </c>
    </row>
    <row r="3504">
      <c r="A3504" s="4" t="s">
        <v>4404</v>
      </c>
      <c r="B3504" s="6" t="s">
        <v>4406</v>
      </c>
      <c r="C3504" s="5" t="str">
        <f>IFERROR(__xludf.DUMMYFUNCTION("GOOGLETRANSLATE(B3504,""en"",""zh-CN"")"),"他们继续反击游戏，而其他人则在背景中玩耍。")</f>
        <v>他们继续反击游戏，而其他人则在背景中玩耍。</v>
      </c>
    </row>
    <row r="3505">
      <c r="A3505" s="4" t="s">
        <v>4407</v>
      </c>
      <c r="B3505" s="4" t="s">
        <v>4408</v>
      </c>
      <c r="C3505" s="5" t="str">
        <f>IFERROR(__xludf.DUMMYFUNCTION("GOOGLETRANSLATE(B3505,""en"",""zh-CN"")"),"看到两个男人握住对方的手，将一只手移到另一侧手臂摔跤。")</f>
        <v>看到两个男人握住对方的手，将一只手移到另一侧手臂摔跤。</v>
      </c>
    </row>
    <row r="3506">
      <c r="A3506" s="4" t="s">
        <v>4407</v>
      </c>
      <c r="B3506" s="4" t="s">
        <v>4409</v>
      </c>
      <c r="C3506" s="5" t="str">
        <f>IFERROR(__xludf.DUMMYFUNCTION("GOOGLETRANSLATE(B3506,""en"",""zh-CN"")"),"这些人有点挣扎，最后一个猛击了另一个人。")</f>
        <v>这些人有点挣扎，最后一个猛击了另一个人。</v>
      </c>
    </row>
    <row r="3507">
      <c r="A3507" s="4" t="s">
        <v>4410</v>
      </c>
      <c r="B3507" s="4" t="s">
        <v>4411</v>
      </c>
      <c r="C3507" s="5" t="str">
        <f>IFERROR(__xludf.DUMMYFUNCTION("GOOGLETRANSLATE(B3507,""en"",""zh-CN"")"),"一个年轻人戴着耳机时扮演小提琴。")</f>
        <v>一个年轻人戴着耳机时扮演小提琴。</v>
      </c>
    </row>
    <row r="3508">
      <c r="A3508" s="4" t="s">
        <v>4410</v>
      </c>
      <c r="B3508" s="4" t="s">
        <v>4412</v>
      </c>
      <c r="C3508" s="5" t="str">
        <f>IFERROR(__xludf.DUMMYFUNCTION("GOOGLETRANSLATE(B3508,""en"",""zh-CN"")"),"然后，年轻人完成了比赛并脱下耳机。")</f>
        <v>然后，年轻人完成了比赛并脱下耳机。</v>
      </c>
    </row>
    <row r="3509">
      <c r="A3509" s="4" t="s">
        <v>4413</v>
      </c>
      <c r="B3509" s="4" t="s">
        <v>4414</v>
      </c>
      <c r="C3509" s="5" t="str">
        <f>IFERROR(__xludf.DUMMYFUNCTION("GOOGLETRANSLATE(B3509,""en"",""zh-CN"")"),"几名越野车骑自行车站在准备比赛后面的车库下。")</f>
        <v>几名越野车骑自行车站在准备比赛后面的车库下。</v>
      </c>
    </row>
    <row r="3510">
      <c r="A3510" s="4" t="s">
        <v>4413</v>
      </c>
      <c r="B3510" s="4" t="s">
        <v>4415</v>
      </c>
      <c r="C3510" s="5" t="str">
        <f>IFERROR(__xludf.DUMMYFUNCTION("GOOGLETRANSLATE(B3510,""en"",""zh-CN"")"),"有人打电话给标记，他们都站在准备被释放的踏板上。")</f>
        <v>有人打电话给标记，他们都站在准备被释放的踏板上。</v>
      </c>
    </row>
    <row r="3511">
      <c r="A3511" s="4" t="s">
        <v>4413</v>
      </c>
      <c r="B3511" s="6" t="s">
        <v>4416</v>
      </c>
      <c r="C3511" s="5" t="str">
        <f>IFERROR(__xludf.DUMMYFUNCTION("GOOGLETRANSLATE(B3511,""en"",""zh-CN"")"),"酒吧终于让人失望，男孩们开始在整个山丘上赛车，当时人们一直在山丘上观看他们。")</f>
        <v>酒吧终于让人失望，男孩们开始在整个山丘上赛车，当时人们一直在山丘上观看他们。</v>
      </c>
    </row>
    <row r="3512">
      <c r="A3512" s="4" t="s">
        <v>4417</v>
      </c>
      <c r="B3512" s="4" t="s">
        <v>4418</v>
      </c>
      <c r="C3512" s="5" t="str">
        <f>IFERROR(__xludf.DUMMYFUNCTION("GOOGLETRANSLATE(B3512,""en"",""zh-CN"")"),"一个男人试图在绳子上平衡自己，他走在绳子上，然后翻转。")</f>
        <v>一个男人试图在绳子上平衡自己，他走在绳子上，然后翻转。</v>
      </c>
    </row>
    <row r="3513">
      <c r="A3513" s="4" t="s">
        <v>4417</v>
      </c>
      <c r="B3513" s="4" t="s">
        <v>4419</v>
      </c>
      <c r="C3513" s="5" t="str">
        <f>IFERROR(__xludf.DUMMYFUNCTION("GOOGLETRANSLATE(B3513,""en"",""zh-CN"")"),"他回到绳子上，再回去。")</f>
        <v>他回到绳子上，再回去。</v>
      </c>
    </row>
    <row r="3514">
      <c r="A3514" s="4" t="s">
        <v>4417</v>
      </c>
      <c r="B3514" s="4" t="s">
        <v>4420</v>
      </c>
      <c r="C3514" s="5" t="str">
        <f>IFERROR(__xludf.DUMMYFUNCTION("GOOGLETRANSLATE(B3514,""en"",""zh-CN"")"),"当他走过时，他用脚超级紧紧地握住绳索。")</f>
        <v>当他走过时，他用脚超级紧紧地握住绳索。</v>
      </c>
    </row>
    <row r="3515">
      <c r="A3515" s="4" t="s">
        <v>4417</v>
      </c>
      <c r="B3515" s="4" t="s">
        <v>4421</v>
      </c>
      <c r="C3515" s="5" t="str">
        <f>IFERROR(__xludf.DUMMYFUNCTION("GOOGLETRANSLATE(B3515,""en"",""zh-CN"")"),"他很难平衡，开始倒退。")</f>
        <v>他很难平衡，开始倒退。</v>
      </c>
    </row>
    <row r="3516">
      <c r="A3516" s="4" t="s">
        <v>4422</v>
      </c>
      <c r="B3516" s="4" t="s">
        <v>4423</v>
      </c>
      <c r="C3516" s="5" t="str">
        <f>IFERROR(__xludf.DUMMYFUNCTION("GOOGLETRANSLATE(B3516,""en"",""zh-CN"")"),"人们在雪上滑雪。")</f>
        <v>人们在雪上滑雪。</v>
      </c>
    </row>
    <row r="3517">
      <c r="A3517" s="4" t="s">
        <v>4422</v>
      </c>
      <c r="B3517" s="4" t="s">
        <v>4424</v>
      </c>
      <c r="C3517" s="5" t="str">
        <f>IFERROR(__xludf.DUMMYFUNCTION("GOOGLETRANSLATE(B3517,""en"",""zh-CN"")"),"一个红色护目镜的男人站在雪地上。")</f>
        <v>一个红色护目镜的男人站在雪地上。</v>
      </c>
    </row>
    <row r="3518">
      <c r="A3518" s="4" t="s">
        <v>4422</v>
      </c>
      <c r="B3518" s="4" t="s">
        <v>4425</v>
      </c>
      <c r="C3518" s="5" t="str">
        <f>IFERROR(__xludf.DUMMYFUNCTION("GOOGLETRANSLATE(B3518,""en"",""zh-CN"")"),"人们骑滑雪抬起山上。")</f>
        <v>人们骑滑雪抬起山上。</v>
      </c>
    </row>
    <row r="3519">
      <c r="A3519" s="4" t="s">
        <v>4426</v>
      </c>
      <c r="B3519" s="6" t="s">
        <v>4427</v>
      </c>
      <c r="C3519" s="5" t="str">
        <f>IFERROR(__xludf.DUMMYFUNCTION("GOOGLETRANSLATE(B3519,""en"",""zh-CN"")"),"有一个男人穿着正式服装，搭配衬衫和领带，演示了如何制作一个叫做Pimms的鸡尾酒。")</f>
        <v>有一个男人穿着正式服装，搭配衬衫和领带，演示了如何制作一个叫做Pimms的鸡尾酒。</v>
      </c>
    </row>
    <row r="3520">
      <c r="A3520" s="4" t="s">
        <v>4426</v>
      </c>
      <c r="B3520" s="4" t="s">
        <v>4428</v>
      </c>
      <c r="C3520" s="5" t="str">
        <f>IFERROR(__xludf.DUMMYFUNCTION("GOOGLETRANSLATE(B3520,""en"",""zh-CN"")"),"他将一些冰块放入高玻璃杯中，然后在其中添加一些PIMM。")</f>
        <v>他将一些冰块放入高玻璃杯中，然后在其中添加一些PIMM。</v>
      </c>
    </row>
    <row r="3521">
      <c r="A3521" s="4" t="s">
        <v>4426</v>
      </c>
      <c r="B3521" s="4" t="s">
        <v>4429</v>
      </c>
      <c r="C3521" s="5" t="str">
        <f>IFERROR(__xludf.DUMMYFUNCTION("GOOGLETRANSLATE(B3521,""en"",""zh-CN"")"),"他切一些柠檬，将柠檬和樱桃一起放在牙签上。")</f>
        <v>他切一些柠檬，将柠檬和樱桃一起放在牙签上。</v>
      </c>
    </row>
    <row r="3522">
      <c r="A3522" s="4" t="s">
        <v>4426</v>
      </c>
      <c r="B3522" s="4" t="s">
        <v>4430</v>
      </c>
      <c r="C3522" s="5" t="str">
        <f>IFERROR(__xludf.DUMMYFUNCTION("GOOGLETRANSLATE(B3522,""en"",""zh-CN"")"),"然后，他将一片黄瓜切成薄片，将纵向切入鸡尾酒。")</f>
        <v>然后，他将一片黄瓜切成薄片，将纵向切入鸡尾酒。</v>
      </c>
    </row>
    <row r="3523">
      <c r="A3523" s="4" t="s">
        <v>4431</v>
      </c>
      <c r="B3523" s="6" t="s">
        <v>4432</v>
      </c>
      <c r="C3523" s="5" t="str">
        <f>IFERROR(__xludf.DUMMYFUNCTION("GOOGLETRANSLATE(B3523,""en"",""zh-CN"")"),"当人们观看时，两个团队在绳索上彼此之间，两个人正在拍照。")</f>
        <v>当人们观看时，两个团队在绳索上彼此之间，两个人正在拍照。</v>
      </c>
    </row>
    <row r="3524">
      <c r="A3524" s="4" t="s">
        <v>4431</v>
      </c>
      <c r="B3524" s="4" t="s">
        <v>4433</v>
      </c>
      <c r="C3524" s="5" t="str">
        <f>IFERROR(__xludf.DUMMYFUNCTION("GOOGLETRANSLATE(B3524,""en"",""zh-CN"")"),"两支球队开始拉绳子。")</f>
        <v>两支球队开始拉绳子。</v>
      </c>
    </row>
    <row r="3525">
      <c r="A3525" s="4" t="s">
        <v>4431</v>
      </c>
      <c r="B3525" s="6" t="s">
        <v>4434</v>
      </c>
      <c r="C3525" s="5" t="str">
        <f>IFERROR(__xludf.DUMMYFUNCTION("GOOGLETRANSLATE(B3525,""en"",""zh-CN"")"),"穿着黄色衬衫的球队获胜，然后两支球队握手，互相拥抱，然后鞠躬。")</f>
        <v>穿着黄色衬衫的球队获胜，然后两支球队握手，互相拥抱，然后鞠躬。</v>
      </c>
    </row>
    <row r="3526">
      <c r="A3526" s="4" t="s">
        <v>4435</v>
      </c>
      <c r="B3526" s="4" t="s">
        <v>4436</v>
      </c>
      <c r="C3526" s="5" t="str">
        <f>IFERROR(__xludf.DUMMYFUNCTION("GOOGLETRANSLATE(B3526,""en"",""zh-CN"")"),"一个女人在厨房里说话，然后她展示了刷子。")</f>
        <v>一个女人在厨房里说话，然后她展示了刷子。</v>
      </c>
    </row>
    <row r="3527">
      <c r="A3527" s="4" t="s">
        <v>4435</v>
      </c>
      <c r="B3527" s="6" t="s">
        <v>4437</v>
      </c>
      <c r="C3527" s="5" t="str">
        <f>IFERROR(__xludf.DUMMYFUNCTION("GOOGLETRANSLATE(B3527,""en"",""zh-CN"")"),"女人打开龙头并用刷子洗碗，然后在解释时刷了手。")</f>
        <v>女人打开龙头并用刷子洗碗，然后在解释时刷了手。</v>
      </c>
    </row>
    <row r="3528">
      <c r="A3528" s="4" t="s">
        <v>4435</v>
      </c>
      <c r="B3528" s="4" t="s">
        <v>4438</v>
      </c>
      <c r="C3528" s="5" t="str">
        <f>IFERROR(__xludf.DUMMYFUNCTION("GOOGLETRANSLATE(B3528,""en"",""zh-CN"")"),"然后，她用刷子洗盘子，然后解释说展示了刷子。")</f>
        <v>然后，她用刷子洗盘子，然后解释说展示了刷子。</v>
      </c>
    </row>
    <row r="3529">
      <c r="A3529" s="4" t="s">
        <v>4439</v>
      </c>
      <c r="B3529" s="4" t="s">
        <v>4440</v>
      </c>
      <c r="C3529" s="5" t="str">
        <f>IFERROR(__xludf.DUMMYFUNCTION("GOOGLETRANSLATE(B3529,""en"",""zh-CN"")"),"舞者将自己定位为开始舞蹈。")</f>
        <v>舞者将自己定位为开始舞蹈。</v>
      </c>
    </row>
    <row r="3530">
      <c r="A3530" s="4" t="s">
        <v>4439</v>
      </c>
      <c r="B3530" s="4" t="s">
        <v>4441</v>
      </c>
      <c r="C3530" s="5" t="str">
        <f>IFERROR(__xludf.DUMMYFUNCTION("GOOGLETRANSLATE(B3530,""en"",""zh-CN"")"),"这位舞者表演舞蹈棒的舞蹈。")</f>
        <v>这位舞者表演舞蹈棒的舞蹈。</v>
      </c>
    </row>
    <row r="3531">
      <c r="A3531" s="4" t="s">
        <v>4439</v>
      </c>
      <c r="B3531" s="6" t="s">
        <v>4442</v>
      </c>
      <c r="C3531" s="5" t="str">
        <f>IFERROR(__xludf.DUMMYFUNCTION("GOOGLETRANSLATE(B3531,""en"",""zh-CN"")"),"这个女人将魔杖扔在舞蹈的一部分中，并竭尽全力抓住它并恢复表演。")</f>
        <v>这个女人将魔杖扔在舞蹈的一部分中，并竭尽全力抓住它并恢复表演。</v>
      </c>
    </row>
    <row r="3532">
      <c r="A3532" s="4" t="s">
        <v>4439</v>
      </c>
      <c r="B3532" s="4" t="s">
        <v>4443</v>
      </c>
      <c r="C3532" s="5" t="str">
        <f>IFERROR(__xludf.DUMMYFUNCTION("GOOGLETRANSLATE(B3532,""en"",""zh-CN"")"),"女人鞠躬，完成了舞蹈。")</f>
        <v>女人鞠躬，完成了舞蹈。</v>
      </c>
    </row>
    <row r="3533">
      <c r="A3533" s="4" t="s">
        <v>4444</v>
      </c>
      <c r="B3533" s="6" t="s">
        <v>4445</v>
      </c>
      <c r="C3533" s="5" t="str">
        <f>IFERROR(__xludf.DUMMYFUNCTION("GOOGLETRANSLATE(B3533,""en"",""zh-CN"")"),"一名穿着白色衬衫和白色短裤的男人拿着一只鳄鱼蝙蝠，他弯腰并在击中蓝色球之前慢慢挥舞蝙蝠。")</f>
        <v>一名穿着白色衬衫和白色短裤的男人拿着一只鳄鱼蝙蝠，他弯腰并在击中蓝色球之前慢慢挥舞蝙蝠。</v>
      </c>
    </row>
    <row r="3534">
      <c r="A3534" s="4" t="s">
        <v>4444</v>
      </c>
      <c r="B3534" s="4" t="s">
        <v>4446</v>
      </c>
      <c r="C3534" s="5" t="str">
        <f>IFERROR(__xludf.DUMMYFUNCTION("GOOGLETRANSLATE(B3534,""en"",""zh-CN"")"),"球在一个小矩形孔中飞出球，然后撞到地面。")</f>
        <v>球在一个小矩形孔中飞出球，然后撞到地面。</v>
      </c>
    </row>
    <row r="3535">
      <c r="A3535" s="4" t="s">
        <v>4447</v>
      </c>
      <c r="B3535" s="4" t="s">
        <v>4448</v>
      </c>
      <c r="C3535" s="5" t="str">
        <f>IFERROR(__xludf.DUMMYFUNCTION("GOOGLETRANSLATE(B3535,""en"",""zh-CN"")"),"我们看到开头标题屏幕。")</f>
        <v>我们看到开头标题屏幕。</v>
      </c>
    </row>
    <row r="3536">
      <c r="A3536" s="4" t="s">
        <v>4447</v>
      </c>
      <c r="B3536" s="4" t="s">
        <v>4449</v>
      </c>
      <c r="C3536" s="5" t="str">
        <f>IFERROR(__xludf.DUMMYFUNCTION("GOOGLETRANSLATE(B3536,""en"",""zh-CN"")"),"我们看到地板材料的静止图。")</f>
        <v>我们看到地板材料的静止图。</v>
      </c>
    </row>
    <row r="3537">
      <c r="A3537" s="4" t="s">
        <v>4447</v>
      </c>
      <c r="B3537" s="4" t="s">
        <v>4450</v>
      </c>
      <c r="C3537" s="5" t="str">
        <f>IFERROR(__xludf.DUMMYFUNCTION("GOOGLETRANSLATE(B3537,""en"",""zh-CN"")"),"一个男人切断并将上层地板放在地板上。")</f>
        <v>一个男人切断并将上层地板放在地板上。</v>
      </c>
    </row>
    <row r="3538">
      <c r="A3538" s="4" t="s">
        <v>4447</v>
      </c>
      <c r="B3538" s="4" t="s">
        <v>4451</v>
      </c>
      <c r="C3538" s="5" t="str">
        <f>IFERROR(__xludf.DUMMYFUNCTION("GOOGLETRANSLATE(B3538,""en"",""zh-CN"")"),"然后，那个男人将地毯展开在上层地板上。")</f>
        <v>然后，那个男人将地毯展开在上层地板上。</v>
      </c>
    </row>
    <row r="3539">
      <c r="A3539" s="4" t="s">
        <v>4447</v>
      </c>
      <c r="B3539" s="4" t="s">
        <v>4452</v>
      </c>
      <c r="C3539" s="5" t="str">
        <f>IFERROR(__xludf.DUMMYFUNCTION("GOOGLETRANSLATE(B3539,""en"",""zh-CN"")"),"然后，我们看到结尾屏幕。")</f>
        <v>然后，我们看到结尾屏幕。</v>
      </c>
    </row>
    <row r="3540">
      <c r="A3540" s="4" t="s">
        <v>4453</v>
      </c>
      <c r="B3540" s="6" t="s">
        <v>4454</v>
      </c>
      <c r="C3540" s="5" t="str">
        <f>IFERROR(__xludf.DUMMYFUNCTION("GOOGLETRANSLATE(B3540,""en"",""zh-CN"")"),"一个女人拿着狗，带浴室在浴缸里洗个澡，同时用肥皂擦尸体。")</f>
        <v>一个女人拿着狗，带浴室在浴缸里洗个澡，同时用肥皂擦尸体。</v>
      </c>
    </row>
    <row r="3541">
      <c r="A3541" s="4" t="s">
        <v>4453</v>
      </c>
      <c r="B3541" s="4" t="s">
        <v>4455</v>
      </c>
      <c r="C3541" s="5" t="str">
        <f>IFERROR(__xludf.DUMMYFUNCTION("GOOGLETRANSLATE(B3541,""en"",""zh-CN"")"),"狗一直等到女人抓住毛巾将狗的身体干燥。")</f>
        <v>狗一直等到女人抓住毛巾将狗的身体干燥。</v>
      </c>
    </row>
    <row r="3542">
      <c r="A3542" s="4" t="s">
        <v>4453</v>
      </c>
      <c r="B3542" s="4" t="s">
        <v>4456</v>
      </c>
      <c r="C3542" s="5" t="str">
        <f>IFERROR(__xludf.DUMMYFUNCTION("GOOGLETRANSLATE(B3542,""en"",""zh-CN"")"),"狗看起来很生气，露出牙齿。")</f>
        <v>狗看起来很生气，露出牙齿。</v>
      </c>
    </row>
    <row r="3543">
      <c r="A3543" s="4" t="s">
        <v>4453</v>
      </c>
      <c r="B3543" s="4" t="s">
        <v>4457</v>
      </c>
      <c r="C3543" s="5" t="str">
        <f>IFERROR(__xludf.DUMMYFUNCTION("GOOGLETRANSLATE(B3543,""en"",""zh-CN"")"),"然后，女人给狗一个吻。")</f>
        <v>然后，女人给狗一个吻。</v>
      </c>
    </row>
    <row r="3544">
      <c r="A3544" s="4" t="s">
        <v>4458</v>
      </c>
      <c r="B3544" s="6" t="s">
        <v>4459</v>
      </c>
      <c r="C3544" s="5" t="str">
        <f>IFERROR(__xludf.DUMMYFUNCTION("GOOGLETRANSLATE(B3544,""en"",""zh-CN"")"),"一些男人和一个女人在室内玩羽毛球，他们非常喜欢它并在激烈的比赛中竞争。")</f>
        <v>一些男人和一个女人在室内玩羽毛球，他们非常喜欢它并在激烈的比赛中竞争。</v>
      </c>
    </row>
    <row r="3545">
      <c r="A3545" s="4" t="s">
        <v>4458</v>
      </c>
      <c r="B3545" s="4" t="s">
        <v>4460</v>
      </c>
      <c r="C3545" s="5" t="str">
        <f>IFERROR(__xludf.DUMMYFUNCTION("GOOGLETRANSLATE(B3545,""en"",""zh-CN"")"),"这些人来回走去，试图得分并且非常专注。")</f>
        <v>这些人来回走去，试图得分并且非常专注。</v>
      </c>
    </row>
    <row r="3546">
      <c r="A3546" s="4" t="s">
        <v>4458</v>
      </c>
      <c r="B3546" s="4" t="s">
        <v>4461</v>
      </c>
      <c r="C3546" s="5" t="str">
        <f>IFERROR(__xludf.DUMMYFUNCTION("GOOGLETRANSLATE(B3546,""en"",""zh-CN"")"),"动作显示了快速运动和慢动作中的各种镜头。")</f>
        <v>动作显示了快速运动和慢动作中的各种镜头。</v>
      </c>
    </row>
    <row r="3547">
      <c r="A3547" s="4" t="s">
        <v>4462</v>
      </c>
      <c r="B3547" s="6" t="s">
        <v>4463</v>
      </c>
      <c r="C3547" s="5" t="str">
        <f>IFERROR(__xludf.DUMMYFUNCTION("GOOGLETRANSLATE(B3547,""en"",""zh-CN"")"),"一个穿着蓝色衬衫和牛仔裤的男人戴着黑色的手套，用橙色修剪机修剪树篱，首先要侧面，然后在前面和另一侧修剪。")</f>
        <v>一个穿着蓝色衬衫和牛仔裤的男人戴着黑色的手套，用橙色修剪机修剪树篱，首先要侧面，然后在前面和另一侧修剪。</v>
      </c>
    </row>
    <row r="3548">
      <c r="A3548" s="4" t="s">
        <v>4462</v>
      </c>
      <c r="B3548" s="6" t="s">
        <v>4464</v>
      </c>
      <c r="C3548" s="5" t="str">
        <f>IFERROR(__xludf.DUMMYFUNCTION("GOOGLETRANSLATE(B3548,""en"",""zh-CN"")"),"他爬上蓝绿色的梯子来修剪树篱的顶部，他移动了梯子，以伸出树篱的中间。")</f>
        <v>他爬上蓝绿色的梯子来修剪树篱的顶部，他移动了梯子，以伸出树篱的中间。</v>
      </c>
    </row>
    <row r="3549">
      <c r="A3549" s="4" t="s">
        <v>4462</v>
      </c>
      <c r="B3549" s="4" t="s">
        <v>4465</v>
      </c>
      <c r="C3549" s="5" t="str">
        <f>IFERROR(__xludf.DUMMYFUNCTION("GOOGLETRANSLATE(B3549,""en"",""zh-CN"")"),"该男子修剪了圆形的低灌木丛，用梯子修剪了圆形树篱的顶部。")</f>
        <v>该男子修剪了圆形的低灌木丛，用梯子修剪了圆形树篱的顶部。</v>
      </c>
    </row>
    <row r="3550">
      <c r="A3550" s="4" t="s">
        <v>4466</v>
      </c>
      <c r="B3550" s="6" t="s">
        <v>4467</v>
      </c>
      <c r="C3550" s="5" t="str">
        <f>IFERROR(__xludf.DUMMYFUNCTION("GOOGLETRANSLATE(B3550,""en"",""zh-CN"")"),"在屏幕中间，Menards徽标在房屋周围显示了几个厨房。")</f>
        <v>在屏幕中间，Menards徽标在房屋周围显示了几个厨房。</v>
      </c>
    </row>
    <row r="3551">
      <c r="A3551" s="4" t="s">
        <v>4466</v>
      </c>
      <c r="B3551" s="6" t="s">
        <v>4468</v>
      </c>
      <c r="C3551" s="5" t="str">
        <f>IFERROR(__xludf.DUMMYFUNCTION("GOOGLETRANSLATE(B3551,""en"",""zh-CN"")"),"之后，一个蓝色马球的男人在厨房墙壁的后部粘贴了瓷砖，以翻新房屋。")</f>
        <v>之后，一个蓝色马球的男人在厨房墙壁的后部粘贴了瓷砖，以翻新房屋。</v>
      </c>
    </row>
    <row r="3552">
      <c r="A3552" s="4" t="s">
        <v>4466</v>
      </c>
      <c r="B3552" s="4" t="s">
        <v>4469</v>
      </c>
      <c r="C3552" s="5" t="str">
        <f>IFERROR(__xludf.DUMMYFUNCTION("GOOGLETRANSLATE(B3552,""en"",""zh-CN"")"),"向另一个男人展示了打磨和绘画墙壁，并翻新了另一所房子。")</f>
        <v>向另一个男人展示了打磨和绘画墙壁，并翻新了另一所房子。</v>
      </c>
    </row>
    <row r="3553">
      <c r="A3553" s="4" t="s">
        <v>4466</v>
      </c>
      <c r="B3553" s="4" t="s">
        <v>4470</v>
      </c>
      <c r="C3553" s="5" t="str">
        <f>IFERROR(__xludf.DUMMYFUNCTION("GOOGLETRANSLATE(B3553,""en"",""zh-CN"")"),"再次显示一块瓷砖，但它被翻转过来以查看其背面的网。")</f>
        <v>再次显示一块瓷砖，但它被翻转过来以查看其背面的网。</v>
      </c>
    </row>
    <row r="3554">
      <c r="A3554" s="4" t="s">
        <v>4466</v>
      </c>
      <c r="B3554" s="6" t="s">
        <v>4471</v>
      </c>
      <c r="C3554" s="5" t="str">
        <f>IFERROR(__xludf.DUMMYFUNCTION("GOOGLETRANSLATE(B3554,""en"",""zh-CN"")"),"这些人继续对房屋进行翻新，测量墙壁，固定灯光并将瓷砖粘贴在墙上。")</f>
        <v>这些人继续对房屋进行翻新，测量墙壁，固定灯光并将瓷砖粘贴在墙上。</v>
      </c>
    </row>
    <row r="3555">
      <c r="A3555" s="4" t="s">
        <v>4466</v>
      </c>
      <c r="B3555" s="4" t="s">
        <v>4472</v>
      </c>
      <c r="C3555" s="5" t="str">
        <f>IFERROR(__xludf.DUMMYFUNCTION("GOOGLETRANSLATE(B3555,""en"",""zh-CN"")"),"最后，显示了墙壁的成品。")</f>
        <v>最后，显示了墙壁的成品。</v>
      </c>
    </row>
    <row r="3556">
      <c r="A3556" s="4" t="s">
        <v>4473</v>
      </c>
      <c r="B3556" s="4" t="s">
        <v>4474</v>
      </c>
      <c r="C3556" s="5" t="str">
        <f>IFERROR(__xludf.DUMMYFUNCTION("GOOGLETRANSLATE(B3556,""en"",""zh-CN"")"),"一张男子洗车的照片被显示，并导致几名男子洗了同一辆汽车。")</f>
        <v>一张男子洗车的照片被显示，并导致几名男子洗了同一辆汽车。</v>
      </c>
    </row>
    <row r="3557">
      <c r="A3557" s="4" t="s">
        <v>4473</v>
      </c>
      <c r="B3557" s="4" t="s">
        <v>4475</v>
      </c>
      <c r="C3557" s="5" t="str">
        <f>IFERROR(__xludf.DUMMYFUNCTION("GOOGLETRANSLATE(B3557,""en"",""zh-CN"")"),"这些人在内部进行吸尘，并清洁仪表板，整个内部和外部。")</f>
        <v>这些人在内部进行吸尘，并清洁仪表板，整个内部和外部。</v>
      </c>
    </row>
    <row r="3558">
      <c r="A3558" s="4" t="s">
        <v>4473</v>
      </c>
      <c r="B3558" s="4" t="s">
        <v>4476</v>
      </c>
      <c r="C3558" s="5" t="str">
        <f>IFERROR(__xludf.DUMMYFUNCTION("GOOGLETRANSLATE(B3558,""en"",""zh-CN"")"),"最终再次显示汽车。")</f>
        <v>最终再次显示汽车。</v>
      </c>
    </row>
    <row r="3559">
      <c r="A3559" s="4" t="s">
        <v>4477</v>
      </c>
      <c r="B3559" s="4" t="s">
        <v>4478</v>
      </c>
      <c r="C3559" s="5" t="str">
        <f>IFERROR(__xludf.DUMMYFUNCTION("GOOGLETRANSLATE(B3559,""en"",""zh-CN"")"),"一个男人站着玩风笛。")</f>
        <v>一个男人站着玩风笛。</v>
      </c>
    </row>
    <row r="3560">
      <c r="A3560" s="4" t="s">
        <v>4477</v>
      </c>
      <c r="B3560" s="4" t="s">
        <v>4479</v>
      </c>
      <c r="C3560" s="5" t="str">
        <f>IFERROR(__xludf.DUMMYFUNCTION("GOOGLETRANSLATE(B3560,""en"",""zh-CN"")"),"人们坐在沙发上嘲笑他。")</f>
        <v>人们坐在沙发上嘲笑他。</v>
      </c>
    </row>
    <row r="3561">
      <c r="A3561" s="4" t="s">
        <v>4480</v>
      </c>
      <c r="B3561" s="4" t="s">
        <v>4481</v>
      </c>
      <c r="C3561" s="5" t="str">
        <f>IFERROR(__xludf.DUMMYFUNCTION("GOOGLETRANSLATE(B3561,""en"",""zh-CN"")"),"我们在工作室里看到两个人。")</f>
        <v>我们在工作室里看到两个人。</v>
      </c>
    </row>
    <row r="3562">
      <c r="A3562" s="4" t="s">
        <v>4480</v>
      </c>
      <c r="B3562" s="6" t="s">
        <v>4482</v>
      </c>
      <c r="C3562" s="5" t="str">
        <f>IFERROR(__xludf.DUMMYFUNCTION("GOOGLETRANSLATE(B3562,""en"",""zh-CN"")"),"然后，我们看到一个穿着保龄球馆的男人和一个穿着保龄球销服装的男人在相机上交谈。")</f>
        <v>然后，我们看到一个穿着保龄球馆的男人和一个穿着保龄球销服装的男人在相机上交谈。</v>
      </c>
    </row>
    <row r="3563">
      <c r="A3563" s="4" t="s">
        <v>4480</v>
      </c>
      <c r="B3563" s="4" t="s">
        <v>4483</v>
      </c>
      <c r="C3563" s="5" t="str">
        <f>IFERROR(__xludf.DUMMYFUNCTION("GOOGLETRANSLATE(B3563,""en"",""zh-CN"")"),"然后，该男子采访了一个穿着黑色外套的男人。")</f>
        <v>然后，该男子采访了一个穿着黑色外套的男人。</v>
      </c>
    </row>
    <row r="3564">
      <c r="A3564" s="4" t="s">
        <v>4480</v>
      </c>
      <c r="B3564" s="4" t="s">
        <v>4484</v>
      </c>
      <c r="C3564" s="5" t="str">
        <f>IFERROR(__xludf.DUMMYFUNCTION("GOOGLETRANSLATE(B3564,""en"",""zh-CN"")"),"我们看到保龄球销扔了一个绿色的保龄球。")</f>
        <v>我们看到保龄球销扔了一个绿色的保龄球。</v>
      </c>
    </row>
    <row r="3565">
      <c r="A3565" s="4" t="s">
        <v>4480</v>
      </c>
      <c r="B3565" s="6" t="s">
        <v>4485</v>
      </c>
      <c r="C3565" s="5" t="str">
        <f>IFERROR(__xludf.DUMMYFUNCTION("GOOGLETRANSLATE(B3565,""en"",""zh-CN"")"),"然后，新闻快报将蓝色的球从车道上扔下，而在保龄球吉祥物的另一个球上摔倒了。")</f>
        <v>然后，新闻快报将蓝色的球从车道上扔下，而在保龄球吉祥物的另一个球上摔倒了。</v>
      </c>
    </row>
    <row r="3566">
      <c r="A3566" s="4" t="s">
        <v>4480</v>
      </c>
      <c r="B3566" s="6" t="s">
        <v>4486</v>
      </c>
      <c r="C3566" s="5" t="str">
        <f>IFERROR(__xludf.DUMMYFUNCTION("GOOGLETRANSLATE(B3566,""en"",""zh-CN"")"),"然后，我们看到一个拆分屏幕，新闻记者后面的销钉和左上角的工作室里的人们都在。")</f>
        <v>然后，我们看到一个拆分屏幕，新闻记者后面的销钉和左上角的工作室里的人们都在。</v>
      </c>
    </row>
    <row r="3567">
      <c r="A3567" s="4" t="s">
        <v>4480</v>
      </c>
      <c r="B3567" s="4" t="s">
        <v>4487</v>
      </c>
      <c r="C3567" s="5" t="str">
        <f>IFERROR(__xludf.DUMMYFUNCTION("GOOGLETRANSLATE(B3567,""en"",""zh-CN"")"),"该销在新闻播音员扔了一个球，我们返回工作室。")</f>
        <v>该销在新闻播音员扔了一个球，我们返回工作室。</v>
      </c>
    </row>
    <row r="3568">
      <c r="A3568" s="4" t="s">
        <v>4488</v>
      </c>
      <c r="B3568" s="6" t="s">
        <v>4489</v>
      </c>
      <c r="C3568" s="5" t="str">
        <f>IFERROR(__xludf.DUMMYFUNCTION("GOOGLETRANSLATE(B3568,""en"",""zh-CN"")"),"一个说话和微笑的男人站在室内区域，然后向右运动，一个女人向他走去，她开始和他说话和微笑。")</f>
        <v>一个说话和微笑的男人站在室内区域，然后向右运动，一个女人向他走去，她开始和他说话和微笑。</v>
      </c>
    </row>
    <row r="3569">
      <c r="A3569" s="4" t="s">
        <v>4488</v>
      </c>
      <c r="B3569" s="6" t="s">
        <v>4490</v>
      </c>
      <c r="C3569" s="5" t="str">
        <f>IFERROR(__xludf.DUMMYFUNCTION("GOOGLETRANSLATE(B3569,""en"",""zh-CN"")"),"该名女子现在独自跳上蹦床，然后她站在跳跃板上，模拟跳水板跳下来，直接向下走进游泳池，但她降落在一个大而柔软的黑色着陆垫上。")</f>
        <v>该名女子现在独自跳上蹦床，然后她站在跳跃板上，模拟跳水板跳下来，直接向下走进游泳池，但她降落在一个大而柔软的黑色着陆垫上。</v>
      </c>
    </row>
    <row r="3570">
      <c r="A3570" s="4" t="s">
        <v>4488</v>
      </c>
      <c r="B3570" s="6" t="s">
        <v>4491</v>
      </c>
      <c r="C3570" s="5" t="str">
        <f>IFERROR(__xludf.DUMMYFUNCTION("GOOGLETRANSLATE(B3570,""en"",""zh-CN"")"),"这个男人现在跳上蹦床，他做的与女人完全一样的事情。")</f>
        <v>这个男人现在跳上蹦床，他做的与女人完全一样的事情。</v>
      </c>
    </row>
    <row r="3571">
      <c r="A3571" s="4" t="s">
        <v>4488</v>
      </c>
      <c r="B3571" s="6" t="s">
        <v>4492</v>
      </c>
      <c r="C3571" s="5" t="str">
        <f>IFERROR(__xludf.DUMMYFUNCTION("GOOGLETRANSLATE(B3571,""en"",""zh-CN"")"),"现在，那个女人站在一个室外泳池里，她首先跳下跳水板，进行了几次翻转，然后降落在水中。")</f>
        <v>现在，那个女人站在一个室外泳池里，她首先跳下跳水板，进行了几次翻转，然后降落在水中。</v>
      </c>
    </row>
    <row r="3572">
      <c r="A3572" s="4" t="s">
        <v>4488</v>
      </c>
      <c r="B3572" s="6" t="s">
        <v>4493</v>
      </c>
      <c r="C3572" s="5" t="str">
        <f>IFERROR(__xludf.DUMMYFUNCTION("GOOGLETRANSLATE(B3572,""en"",""zh-CN"")"),"该男子出现在相机前，拿着一个小的速度，他不赞成Speedos，将其扔到相机上，并向他展示他穿着一条长长的游泳短裤，向他展示了腿部热身。")</f>
        <v>该男子出现在相机前，拿着一个小的速度，他不赞成Speedos，将其扔到相机上，并向他展示他穿着一条长长的游泳短裤，向他展示了腿部热身。</v>
      </c>
    </row>
    <row r="3573">
      <c r="A3573" s="4" t="s">
        <v>4488</v>
      </c>
      <c r="B3573" s="6" t="s">
        <v>4494</v>
      </c>
      <c r="C3573" s="5" t="str">
        <f>IFERROR(__xludf.DUMMYFUNCTION("GOOGLETRANSLATE(B3573,""en"",""zh-CN"")"),"然后，人进入潜水板，将手揉在一起，然后跳下潜水板4次，然后在他降落在水中之前进行各种翻转。")</f>
        <v>然后，人进入潜水板，将手揉在一起，然后跳下潜水板4次，然后在他降落在水中之前进行各种翻转。</v>
      </c>
    </row>
    <row r="3574">
      <c r="A3574" s="4" t="s">
        <v>4488</v>
      </c>
      <c r="B3574" s="6" t="s">
        <v>4495</v>
      </c>
      <c r="C3574" s="5" t="str">
        <f>IFERROR(__xludf.DUMMYFUNCTION("GOOGLETRANSLATE(B3574,""en"",""zh-CN"")"),"男人和女人现在在地面上说话，他们转身看着最高的潜水板，最高的潜水板的快速射门显示得很高，然后又回到了男人和仍然站在旁边的女人游泳池和说话。")</f>
        <v>男人和女人现在在地面上说话，他们转身看着最高的潜水板，最高的潜水板的快速射门显示得很高，然后又回到了男人和仍然站在旁边的女人游泳池和说话。</v>
      </c>
    </row>
    <row r="3575">
      <c r="A3575" s="4" t="s">
        <v>4496</v>
      </c>
      <c r="B3575" s="4" t="s">
        <v>4497</v>
      </c>
      <c r="C3575" s="5" t="str">
        <f>IFERROR(__xludf.DUMMYFUNCTION("GOOGLETRANSLATE(B3575,""en"",""zh-CN"")"),"看到一头公牛的特写以及另一个躺在地面上。")</f>
        <v>看到一头公牛的特写以及另一个躺在地面上。</v>
      </c>
    </row>
    <row r="3576">
      <c r="A3576" s="4" t="s">
        <v>4496</v>
      </c>
      <c r="B3576" s="4" t="s">
        <v>4498</v>
      </c>
      <c r="C3576" s="5" t="str">
        <f>IFERROR(__xludf.DUMMYFUNCTION("GOOGLETRANSLATE(B3576,""en"",""zh-CN"")"),"看到另一只公牛逃到远处并追逐一个人。")</f>
        <v>看到另一只公牛逃到远处并追逐一个人。</v>
      </c>
    </row>
    <row r="3577">
      <c r="A3577" s="4" t="s">
        <v>4496</v>
      </c>
      <c r="B3577" s="4" t="s">
        <v>4499</v>
      </c>
      <c r="C3577" s="5" t="str">
        <f>IFERROR(__xludf.DUMMYFUNCTION("GOOGLETRANSLATE(B3577,""en"",""zh-CN"")"),"当他们追逐他们时，有几个人在许多镜头上逃离了公牛。")</f>
        <v>当他们追逐他们时，有几个人在许多镜头上逃离了公牛。</v>
      </c>
    </row>
    <row r="3578">
      <c r="A3578" s="4" t="s">
        <v>4500</v>
      </c>
      <c r="B3578" s="4" t="s">
        <v>4501</v>
      </c>
      <c r="C3578" s="5" t="str">
        <f>IFERROR(__xludf.DUMMYFUNCTION("GOOGLETRANSLATE(B3578,""en"",""zh-CN"")"),"一个男人跪在冰上。")</f>
        <v>一个男人跪在冰上。</v>
      </c>
    </row>
    <row r="3579">
      <c r="A3579" s="4" t="s">
        <v>4500</v>
      </c>
      <c r="B3579" s="4" t="s">
        <v>4502</v>
      </c>
      <c r="C3579" s="5" t="str">
        <f>IFERROR(__xludf.DUMMYFUNCTION("GOOGLETRANSLATE(B3579,""en"",""zh-CN"")"),"他开始玩冰壶游戏。")</f>
        <v>他开始玩冰壶游戏。</v>
      </c>
    </row>
    <row r="3580">
      <c r="A3580" s="4" t="s">
        <v>4500</v>
      </c>
      <c r="B3580" s="4" t="s">
        <v>4503</v>
      </c>
      <c r="C3580" s="5" t="str">
        <f>IFERROR(__xludf.DUMMYFUNCTION("GOOGLETRANSLATE(B3580,""en"",""zh-CN"")"),"两个人在冰壶球前擦洗冰。")</f>
        <v>两个人在冰壶球前擦洗冰。</v>
      </c>
    </row>
    <row r="3581">
      <c r="A3581" s="4" t="s">
        <v>4504</v>
      </c>
      <c r="B3581" s="4" t="s">
        <v>4505</v>
      </c>
      <c r="C3581" s="5" t="str">
        <f>IFERROR(__xludf.DUMMYFUNCTION("GOOGLETRANSLATE(B3581,""en"",""zh-CN"")"),"看到一个男人爬上骆驼，开始和一个男人走来走去。")</f>
        <v>看到一个男人爬上骆驼，开始和一个男人走来走去。</v>
      </c>
    </row>
    <row r="3582">
      <c r="A3582" s="4" t="s">
        <v>4504</v>
      </c>
      <c r="B3582" s="6" t="s">
        <v>4506</v>
      </c>
      <c r="C3582" s="5" t="str">
        <f>IFERROR(__xludf.DUMMYFUNCTION("GOOGLETRANSLATE(B3582,""en"",""zh-CN"")"),"该男子在上面说话，并让骆驼拍打一巴掌，同时回头与镜头说话。")</f>
        <v>该男子在上面说话，并让骆驼拍打一巴掌，同时回头与镜头说话。</v>
      </c>
    </row>
    <row r="3583">
      <c r="A3583" s="4" t="s">
        <v>4507</v>
      </c>
      <c r="B3583" s="4" t="s">
        <v>1487</v>
      </c>
      <c r="C3583" s="5" t="str">
        <f>IFERROR(__xludf.DUMMYFUNCTION("GOOGLETRANSLATE(B3583,""en"",""zh-CN"")"),"我们看到一个开放标题屏幕。")</f>
        <v>我们看到一个开放标题屏幕。</v>
      </c>
    </row>
    <row r="3584">
      <c r="A3584" s="4" t="s">
        <v>4507</v>
      </c>
      <c r="B3584" s="4" t="s">
        <v>4508</v>
      </c>
      <c r="C3584" s="5" t="str">
        <f>IFERROR(__xludf.DUMMYFUNCTION("GOOGLETRANSLATE(B3584,""en"",""zh-CN"")"),"我们看到积雪覆盖的滑雪坡和标题屏幕。")</f>
        <v>我们看到积雪覆盖的滑雪坡和标题屏幕。</v>
      </c>
    </row>
    <row r="3585">
      <c r="A3585" s="4" t="s">
        <v>4507</v>
      </c>
      <c r="B3585" s="4" t="s">
        <v>4509</v>
      </c>
      <c r="C3585" s="5" t="str">
        <f>IFERROR(__xludf.DUMMYFUNCTION("GOOGLETRANSLATE(B3585,""en"",""zh-CN"")"),"我们看到人们在山上滑雪和滑雪板。")</f>
        <v>我们看到人们在山上滑雪和滑雪板。</v>
      </c>
    </row>
    <row r="3586">
      <c r="A3586" s="4" t="s">
        <v>4507</v>
      </c>
      <c r="B3586" s="4" t="s">
        <v>4510</v>
      </c>
      <c r="C3586" s="5" t="str">
        <f>IFERROR(__xludf.DUMMYFUNCTION("GOOGLETRANSLATE(B3586,""en"",""zh-CN"")"),"名称显示在上方的蓝色条中。")</f>
        <v>名称显示在上方的蓝色条中。</v>
      </c>
    </row>
    <row r="3587">
      <c r="A3587" s="4" t="s">
        <v>4507</v>
      </c>
      <c r="B3587" s="4" t="s">
        <v>4511</v>
      </c>
      <c r="C3587" s="5" t="str">
        <f>IFERROR(__xludf.DUMMYFUNCTION("GOOGLETRANSLATE(B3587,""en"",""zh-CN"")"),"我们看到一个男人拿着自拍照的棍子在山上。")</f>
        <v>我们看到一个男人拿着自拍照的棍子在山上。</v>
      </c>
    </row>
    <row r="3588">
      <c r="A3588" s="4" t="s">
        <v>4507</v>
      </c>
      <c r="B3588" s="4" t="s">
        <v>4512</v>
      </c>
      <c r="C3588" s="5" t="str">
        <f>IFERROR(__xludf.DUMMYFUNCTION("GOOGLETRANSLATE(B3588,""en"",""zh-CN"")"),"我们看到一个穿着单板滑雪的人穿着茂密的树林。")</f>
        <v>我们看到一个穿着单板滑雪的人穿着茂密的树林。</v>
      </c>
    </row>
    <row r="3589">
      <c r="A3589" s="4" t="s">
        <v>4507</v>
      </c>
      <c r="B3589" s="4" t="s">
        <v>4513</v>
      </c>
      <c r="C3589" s="5" t="str">
        <f>IFERROR(__xludf.DUMMYFUNCTION("GOOGLETRANSLATE(B3589,""en"",""zh-CN"")"),"我们看到了结局。")</f>
        <v>我们看到了结局。</v>
      </c>
    </row>
    <row r="3590">
      <c r="A3590" s="4" t="s">
        <v>4514</v>
      </c>
      <c r="B3590" s="4" t="s">
        <v>4515</v>
      </c>
      <c r="C3590" s="5" t="str">
        <f>IFERROR(__xludf.DUMMYFUNCTION("GOOGLETRANSLATE(B3590,""en"",""zh-CN"")"),"两个亚洲人，一个男人和一个女性坐在桌子旁，然后去健身房内部。")</f>
        <v>两个亚洲人，一个男人和一个女性坐在桌子旁，然后去健身房内部。</v>
      </c>
    </row>
    <row r="3591">
      <c r="A3591" s="4" t="s">
        <v>4514</v>
      </c>
      <c r="B3591" s="6" t="s">
        <v>4516</v>
      </c>
      <c r="C3591" s="5" t="str">
        <f>IFERROR(__xludf.DUMMYFUNCTION("GOOGLETRANSLATE(B3591,""en"",""zh-CN"")"),"在体育馆里，几个年轻女孩开始做体操和表演，然后回来与记者进行采访。")</f>
        <v>在体育馆里，几个年轻女孩开始做体操和表演，然后回来与记者进行采访。</v>
      </c>
    </row>
    <row r="3592">
      <c r="A3592" s="4" t="s">
        <v>4514</v>
      </c>
      <c r="B3592" s="4" t="s">
        <v>4517</v>
      </c>
      <c r="C3592" s="5" t="str">
        <f>IFERROR(__xludf.DUMMYFUNCTION("GOOGLETRANSLATE(B3592,""en"",""zh-CN"")"),"接下来，一个年轻人接近酒吧，做他的例行工作，然后回到他的采访中。")</f>
        <v>接下来，一个年轻人接近酒吧，做他的例行工作，然后回到他的采访中。</v>
      </c>
    </row>
    <row r="3593">
      <c r="A3593" s="4" t="s">
        <v>4518</v>
      </c>
      <c r="B3593" s="4" t="s">
        <v>4519</v>
      </c>
      <c r="C3593" s="5" t="str">
        <f>IFERROR(__xludf.DUMMYFUNCTION("GOOGLETRANSLATE(B3593,""en"",""zh-CN"")"),"一个戴着红色头盔的高加索人坐在水中的船上和水中说话。")</f>
        <v>一个戴着红色头盔的高加索人坐在水中的船上和水中说话。</v>
      </c>
    </row>
    <row r="3594">
      <c r="A3594" s="4" t="s">
        <v>4518</v>
      </c>
      <c r="B3594" s="4" t="s">
        <v>4520</v>
      </c>
      <c r="C3594" s="5" t="str">
        <f>IFERROR(__xludf.DUMMYFUNCTION("GOOGLETRANSLATE(B3594,""en"",""zh-CN"")"),"显示了岩石的水，然后该男子在整个白色水域中划艇。")</f>
        <v>显示了岩石的水，然后该男子在整个白色水域中划艇。</v>
      </c>
    </row>
    <row r="3595">
      <c r="A3595" s="4" t="s">
        <v>4518</v>
      </c>
      <c r="B3595" s="6" t="s">
        <v>4521</v>
      </c>
      <c r="C3595" s="5" t="str">
        <f>IFERROR(__xludf.DUMMYFUNCTION("GOOGLETRANSLATE(B3595,""en"",""zh-CN"")"),"显示了一片空置的水，然后将一群十人组成的划皮艇在岩石和水上一起划艇，并最终被大浪推出皮划艇。")</f>
        <v>显示了一片空置的水，然后将一群十人组成的划皮艇在岩石和水上一起划艇，并最终被大浪推出皮划艇。</v>
      </c>
    </row>
    <row r="3596">
      <c r="A3596" s="4" t="s">
        <v>4518</v>
      </c>
      <c r="B3596" s="4" t="s">
        <v>4522</v>
      </c>
      <c r="C3596" s="5" t="str">
        <f>IFERROR(__xludf.DUMMYFUNCTION("GOOGLETRANSLATE(B3596,""en"",""zh-CN"")"),"一群人继续在水中游泳，试图找到土地。")</f>
        <v>一群人继续在水中游泳，试图找到土地。</v>
      </c>
    </row>
    <row r="3597">
      <c r="A3597" s="4" t="s">
        <v>4518</v>
      </c>
      <c r="B3597" s="6" t="s">
        <v>4523</v>
      </c>
      <c r="C3597" s="5" t="str">
        <f>IFERROR(__xludf.DUMMYFUNCTION("GOOGLETRANSLATE(B3597,""en"",""zh-CN"")"),"他们最终下车，每个人都开始谈论相机有关他们刚刚经历的事情。")</f>
        <v>他们最终下车，每个人都开始谈论相机有关他们刚刚经历的事情。</v>
      </c>
    </row>
    <row r="3598">
      <c r="A3598" s="4" t="s">
        <v>4524</v>
      </c>
      <c r="B3598" s="4" t="s">
        <v>4525</v>
      </c>
      <c r="C3598" s="5" t="str">
        <f>IFERROR(__xludf.DUMMYFUNCTION("GOOGLETRANSLATE(B3598,""en"",""zh-CN"")"),"球员们用蝙蝠在场上奔跑。")</f>
        <v>球员们用蝙蝠在场上奔跑。</v>
      </c>
    </row>
    <row r="3599">
      <c r="A3599" s="4" t="s">
        <v>4524</v>
      </c>
      <c r="B3599" s="4" t="s">
        <v>4526</v>
      </c>
      <c r="C3599" s="5" t="str">
        <f>IFERROR(__xludf.DUMMYFUNCTION("GOOGLETRANSLATE(B3599,""en"",""zh-CN"")"),"衬衫的球员与红色衬衫一起奔跑。")</f>
        <v>衬衫的球员与红色衬衫一起奔跑。</v>
      </c>
    </row>
    <row r="3600">
      <c r="A3600" s="4" t="s">
        <v>4524</v>
      </c>
      <c r="B3600" s="4" t="s">
        <v>4527</v>
      </c>
      <c r="C3600" s="5" t="str">
        <f>IFERROR(__xludf.DUMMYFUNCTION("GOOGLETRANSLATE(B3600,""en"",""zh-CN"")"),"两名球员开始行走。")</f>
        <v>两名球员开始行走。</v>
      </c>
    </row>
    <row r="3601">
      <c r="A3601" s="4" t="s">
        <v>4528</v>
      </c>
      <c r="B3601" s="4" t="s">
        <v>4529</v>
      </c>
      <c r="C3601" s="5" t="str">
        <f>IFERROR(__xludf.DUMMYFUNCTION("GOOGLETRANSLATE(B3601,""en"",""zh-CN"")"),"出现白屏，特殊影响揭示了“ Howcast Original”一词。")</f>
        <v>出现白屏，特殊影响揭示了“ Howcast Original”一词。</v>
      </c>
    </row>
    <row r="3602">
      <c r="A3602" s="4" t="s">
        <v>4528</v>
      </c>
      <c r="B3602" s="6" t="s">
        <v>4530</v>
      </c>
      <c r="C3602" s="5" t="str">
        <f>IFERROR(__xludf.DUMMYFUNCTION("GOOGLETRANSLATE(B3602,""en"",""zh-CN"")"),"一个男人在说话时，当各种曲面戏剧和一个屏幕弹出时，他正在弹出屏幕，这表明他正在提供有关“滚筒基础知识的技巧：如何控制滚筒上的速度”，他拿起一双滚筒，并指向车轮，然后更多他的剪辑剪辑并显示了例子。")</f>
        <v>一个男人在说话时，当各种曲面戏剧和一个屏幕弹出时，他正在弹出屏幕，这表明他正在提供有关“滚筒基础知识的技巧：如何控制滚筒上的速度”，他拿起一双滚筒，并指向车轮，然后更多他的剪辑剪辑并显示了例子。</v>
      </c>
    </row>
    <row r="3603">
      <c r="A3603" s="4" t="s">
        <v>4528</v>
      </c>
      <c r="B3603" s="6" t="s">
        <v>4531</v>
      </c>
      <c r="C3603" s="5" t="str">
        <f>IFERROR(__xludf.DUMMYFUNCTION("GOOGLETRANSLATE(B3603,""en"",""zh-CN"")"),"出现了遥控器，是介绍中的白屏，其中包括“ Howcast Original”一词。")</f>
        <v>出现了遥控器，是介绍中的白屏，其中包括“ Howcast Original”一词。</v>
      </c>
    </row>
    <row r="3604">
      <c r="A3604" s="4" t="s">
        <v>4532</v>
      </c>
      <c r="B3604" s="6" t="s">
        <v>4533</v>
      </c>
      <c r="C3604" s="5" t="str">
        <f>IFERROR(__xludf.DUMMYFUNCTION("GOOGLETRANSLATE(B3604,""en"",""zh-CN"")"),"肚皮舞学院的成员在学校的广告中进行了编排的例行程序。")</f>
        <v>肚皮舞学院的成员在学校的广告中进行了编排的例行程序。</v>
      </c>
    </row>
    <row r="3605">
      <c r="A3605" s="4" t="s">
        <v>4532</v>
      </c>
      <c r="B3605" s="4" t="s">
        <v>4534</v>
      </c>
      <c r="C3605" s="5" t="str">
        <f>IFERROR(__xludf.DUMMYFUNCTION("GOOGLETRANSLATE(B3605,""en"",""zh-CN"")"),"他们在舞台上移动，然后展示自己的肚子。")</f>
        <v>他们在舞台上移动，然后展示自己的肚子。</v>
      </c>
    </row>
    <row r="3606">
      <c r="A3606" s="4" t="s">
        <v>4535</v>
      </c>
      <c r="B3606" s="4" t="s">
        <v>4536</v>
      </c>
      <c r="C3606" s="5" t="str">
        <f>IFERROR(__xludf.DUMMYFUNCTION("GOOGLETRANSLATE(B3606,""en"",""zh-CN"")"),"人们在雪橇上下雪。")</f>
        <v>人们在雪橇上下雪。</v>
      </c>
    </row>
    <row r="3607">
      <c r="A3607" s="4" t="s">
        <v>4535</v>
      </c>
      <c r="B3607" s="4" t="s">
        <v>4537</v>
      </c>
      <c r="C3607" s="5" t="str">
        <f>IFERROR(__xludf.DUMMYFUNCTION("GOOGLETRANSLATE(B3607,""en"",""zh-CN"")"),"人们站在山坡上看着他们。")</f>
        <v>人们站在山坡上看着他们。</v>
      </c>
    </row>
    <row r="3608">
      <c r="A3608" s="4" t="s">
        <v>4535</v>
      </c>
      <c r="B3608" s="4" t="s">
        <v>4538</v>
      </c>
      <c r="C3608" s="5" t="str">
        <f>IFERROR(__xludf.DUMMYFUNCTION("GOOGLETRANSLATE(B3608,""en"",""zh-CN"")"),"人们在雪地里做一个雪人。")</f>
        <v>人们在雪地里做一个雪人。</v>
      </c>
    </row>
    <row r="3609">
      <c r="A3609" s="4" t="s">
        <v>4539</v>
      </c>
      <c r="B3609" s="4" t="s">
        <v>4540</v>
      </c>
      <c r="C3609" s="5" t="str">
        <f>IFERROR(__xludf.DUMMYFUNCTION("GOOGLETRANSLATE(B3609,""en"",""zh-CN"")"),"相机在淋浴周围竖起，放大一个人剃光双腿。")</f>
        <v>相机在淋浴周围竖起，放大一个人剃光双腿。</v>
      </c>
    </row>
    <row r="3610">
      <c r="A3610" s="4" t="s">
        <v>4539</v>
      </c>
      <c r="B3610" s="4" t="s">
        <v>4541</v>
      </c>
      <c r="C3610" s="5" t="str">
        <f>IFERROR(__xludf.DUMMYFUNCTION("GOOGLETRANSLATE(B3610,""en"",""zh-CN"")"),"相机看着她的手臂在水流下方时，将手臂移动到双腿周围。")</f>
        <v>相机看着她的手臂在水流下方时，将手臂移动到双腿周围。</v>
      </c>
    </row>
    <row r="3611">
      <c r="A3611" s="4" t="s">
        <v>4542</v>
      </c>
      <c r="B3611" s="4" t="s">
        <v>4543</v>
      </c>
      <c r="C3611" s="5" t="str">
        <f>IFERROR(__xludf.DUMMYFUNCTION("GOOGLETRANSLATE(B3611,""en"",""zh-CN"")"),"一位厨师站在一个装满烹饪食材的桌子上时说话。")</f>
        <v>一位厨师站在一个装满烹饪食材的桌子上时说话。</v>
      </c>
    </row>
    <row r="3612">
      <c r="A3612" s="4" t="s">
        <v>4542</v>
      </c>
      <c r="B3612" s="4" t="s">
        <v>4544</v>
      </c>
      <c r="C3612" s="5" t="str">
        <f>IFERROR(__xludf.DUMMYFUNCTION("GOOGLETRANSLATE(B3612,""en"",""zh-CN"")"),"她抓住油和盐，然后将其倒入一个搅拌碗中。")</f>
        <v>她抓住油和盐，然后将其倒入一个搅拌碗中。</v>
      </c>
    </row>
    <row r="3613">
      <c r="A3613" s="4" t="s">
        <v>4542</v>
      </c>
      <c r="B3613" s="4" t="s">
        <v>4545</v>
      </c>
      <c r="C3613" s="5" t="str">
        <f>IFERROR(__xludf.DUMMYFUNCTION("GOOGLETRANSLATE(B3613,""en"",""zh-CN"")"),"她用一些钳子搅动成分。")</f>
        <v>她用一些钳子搅动成分。</v>
      </c>
    </row>
    <row r="3614">
      <c r="A3614" s="4" t="s">
        <v>4542</v>
      </c>
      <c r="B3614" s="4" t="s">
        <v>4546</v>
      </c>
      <c r="C3614" s="5" t="str">
        <f>IFERROR(__xludf.DUMMYFUNCTION("GOOGLETRANSLATE(B3614,""en"",""zh-CN"")"),"她将一些西红柿，西葫芦和红洋葱倒入搅拌碗中。")</f>
        <v>她将一些西红柿，西葫芦和红洋葱倒入搅拌碗中。</v>
      </c>
    </row>
    <row r="3615">
      <c r="A3615" s="4" t="s">
        <v>4542</v>
      </c>
      <c r="B3615" s="4" t="s">
        <v>4547</v>
      </c>
      <c r="C3615" s="5" t="str">
        <f>IFERROR(__xludf.DUMMYFUNCTION("GOOGLETRANSLATE(B3615,""en"",""zh-CN"")"),"她切了一些香菜。")</f>
        <v>她切了一些香菜。</v>
      </c>
    </row>
    <row r="3616">
      <c r="A3616" s="4" t="s">
        <v>4542</v>
      </c>
      <c r="B3616" s="4" t="s">
        <v>4548</v>
      </c>
      <c r="C3616" s="5" t="str">
        <f>IFERROR(__xludf.DUMMYFUNCTION("GOOGLETRANSLATE(B3616,""en"",""zh-CN"")"),"她把香菜扔进了搅拌碗中。")</f>
        <v>她把香菜扔进了搅拌碗中。</v>
      </c>
    </row>
    <row r="3617">
      <c r="A3617" s="4" t="s">
        <v>4542</v>
      </c>
      <c r="B3617" s="4" t="s">
        <v>4549</v>
      </c>
      <c r="C3617" s="5" t="str">
        <f>IFERROR(__xludf.DUMMYFUNCTION("GOOGLETRANSLATE(B3617,""en"",""zh-CN"")"),"她将蔬菜与钳子混合在一起。")</f>
        <v>她将蔬菜与钳子混合在一起。</v>
      </c>
    </row>
    <row r="3618">
      <c r="A3618" s="4" t="s">
        <v>4542</v>
      </c>
      <c r="B3618" s="4" t="s">
        <v>4550</v>
      </c>
      <c r="C3618" s="5" t="str">
        <f>IFERROR(__xludf.DUMMYFUNCTION("GOOGLETRANSLATE(B3618,""en"",""zh-CN"")"),"她将蔬菜放在盘子上的一些芝麻菜上。")</f>
        <v>她将蔬菜放在盘子上的一些芝麻菜上。</v>
      </c>
    </row>
    <row r="3619">
      <c r="A3619" s="4" t="s">
        <v>4542</v>
      </c>
      <c r="B3619" s="4" t="s">
        <v>4551</v>
      </c>
      <c r="C3619" s="5" t="str">
        <f>IFERROR(__xludf.DUMMYFUNCTION("GOOGLETRANSLATE(B3619,""en"",""zh-CN"")"),"她炫耀沙拉。")</f>
        <v>她炫耀沙拉。</v>
      </c>
    </row>
    <row r="3620">
      <c r="A3620" s="4" t="s">
        <v>4552</v>
      </c>
      <c r="B3620" s="4" t="s">
        <v>4553</v>
      </c>
      <c r="C3620" s="5" t="str">
        <f>IFERROR(__xludf.DUMMYFUNCTION("GOOGLETRANSLATE(B3620,""en"",""zh-CN"")"),"一件红夹克的人站在车道的侧面。")</f>
        <v>一件红夹克的人站在车道的侧面。</v>
      </c>
    </row>
    <row r="3621">
      <c r="A3621" s="4" t="s">
        <v>4552</v>
      </c>
      <c r="B3621" s="4" t="s">
        <v>4554</v>
      </c>
      <c r="C3621" s="5" t="str">
        <f>IFERROR(__xludf.DUMMYFUNCTION("GOOGLETRANSLATE(B3621,""en"",""zh-CN"")"),"有两个人滑下被雪覆盖的车道。")</f>
        <v>有两个人滑下被雪覆盖的车道。</v>
      </c>
    </row>
    <row r="3622">
      <c r="A3622" s="4" t="s">
        <v>4552</v>
      </c>
      <c r="B3622" s="4" t="s">
        <v>4555</v>
      </c>
      <c r="C3622" s="5" t="str">
        <f>IFERROR(__xludf.DUMMYFUNCTION("GOOGLETRANSLATE(B3622,""en"",""zh-CN"")"),"试管中的女人在挥动手臂时走上车道。")</f>
        <v>试管中的女人在挥动手臂时走上车道。</v>
      </c>
    </row>
    <row r="3623">
      <c r="A3623" s="4" t="s">
        <v>4556</v>
      </c>
      <c r="B3623" s="4" t="s">
        <v>4557</v>
      </c>
      <c r="C3623" s="5" t="str">
        <f>IFERROR(__xludf.DUMMYFUNCTION("GOOGLETRANSLATE(B3623,""en"",""zh-CN"")"),"一个女人站在拿着皮带的骆驼旁边。")</f>
        <v>一个女人站在拿着皮带的骆驼旁边。</v>
      </c>
    </row>
    <row r="3624">
      <c r="A3624" s="4" t="s">
        <v>4556</v>
      </c>
      <c r="B3624" s="4" t="s">
        <v>4558</v>
      </c>
      <c r="C3624" s="5" t="str">
        <f>IFERROR(__xludf.DUMMYFUNCTION("GOOGLETRANSLATE(B3624,""en"",""zh-CN"")"),"女人爬上骆驼，骆驼站起来。")</f>
        <v>女人爬上骆驼，骆驼站起来。</v>
      </c>
    </row>
    <row r="3625">
      <c r="A3625" s="4" t="s">
        <v>4556</v>
      </c>
      <c r="B3625" s="6" t="s">
        <v>4559</v>
      </c>
      <c r="C3625" s="5" t="str">
        <f>IFERROR(__xludf.DUMMYFUNCTION("GOOGLETRANSLATE(B3625,""en"",""zh-CN"")"),"骆驼走来走去，停了下来，当女人拉皮带牵引，骆驼坐下，女人从骆驼上下来。")</f>
        <v>骆驼走来走去，停了下来，当女人拉皮带牵引，骆驼坐下，女人从骆驼上下来。</v>
      </c>
    </row>
    <row r="3626">
      <c r="A3626" s="4" t="s">
        <v>4560</v>
      </c>
      <c r="B3626" s="4" t="s">
        <v>4561</v>
      </c>
      <c r="C3626" s="5" t="str">
        <f>IFERROR(__xludf.DUMMYFUNCTION("GOOGLETRANSLATE(B3626,""en"",""zh-CN"")"),"该视频显示了代表东部山体育赛事的顶篷。")</f>
        <v>该视频显示了代表东部山体育赛事的顶篷。</v>
      </c>
    </row>
    <row r="3627">
      <c r="A3627" s="4" t="s">
        <v>4560</v>
      </c>
      <c r="B3627" s="6" t="s">
        <v>4562</v>
      </c>
      <c r="C3627" s="5" t="str">
        <f>IFERROR(__xludf.DUMMYFUNCTION("GOOGLETRANSLATE(B3627,""en"",""zh-CN"")"),"在明亮的晴天，有几名球员正在为体育赛事做准备。")</f>
        <v>在明亮的晴天，有几名球员正在为体育赛事做准备。</v>
      </c>
    </row>
    <row r="3628">
      <c r="A3628" s="4" t="s">
        <v>4560</v>
      </c>
      <c r="B3628" s="4" t="s">
        <v>4563</v>
      </c>
      <c r="C3628" s="5" t="str">
        <f>IFERROR(__xludf.DUMMYFUNCTION("GOOGLETRANSLATE(B3628,""en"",""zh-CN"")"),"有一个男孩在紧身的绳索上保持平衡。")</f>
        <v>有一个男孩在紧身的绳索上保持平衡。</v>
      </c>
    </row>
    <row r="3629">
      <c r="A3629" s="4" t="s">
        <v>4560</v>
      </c>
      <c r="B3629" s="4" t="s">
        <v>4564</v>
      </c>
      <c r="C3629" s="5" t="str">
        <f>IFERROR(__xludf.DUMMYFUNCTION("GOOGLETRANSLATE(B3629,""en"",""zh-CN"")"),"还有其他几名参赛者在紧身的绳索上行走。")</f>
        <v>还有其他几名参赛者在紧身的绳索上行走。</v>
      </c>
    </row>
    <row r="3630">
      <c r="A3630" s="4" t="s">
        <v>4560</v>
      </c>
      <c r="B3630" s="4" t="s">
        <v>4565</v>
      </c>
      <c r="C3630" s="5" t="str">
        <f>IFERROR(__xludf.DUMMYFUNCTION("GOOGLETRANSLATE(B3630,""en"",""zh-CN"")"),"几个人观看参赛者表演。")</f>
        <v>几个人观看参赛者表演。</v>
      </c>
    </row>
    <row r="3631">
      <c r="A3631" s="4" t="s">
        <v>4560</v>
      </c>
      <c r="B3631" s="4" t="s">
        <v>4566</v>
      </c>
      <c r="C3631" s="5" t="str">
        <f>IFERROR(__xludf.DUMMYFUNCTION("GOOGLETRANSLATE(B3631,""en"",""zh-CN"")"),"当一个人走在绳子上时，有两个人正在玩飞盘。")</f>
        <v>当一个人走在绳子上时，有两个人正在玩飞盘。</v>
      </c>
    </row>
    <row r="3632">
      <c r="A3632" s="4" t="s">
        <v>4560</v>
      </c>
      <c r="B3632" s="4" t="s">
        <v>4567</v>
      </c>
      <c r="C3632" s="5" t="str">
        <f>IFERROR(__xludf.DUMMYFUNCTION("GOOGLETRANSLATE(B3632,""en"",""zh-CN"")"),"一个女孩和男孩一起尝试紧绷的绳索。")</f>
        <v>一个女孩和男孩一起尝试紧绷的绳索。</v>
      </c>
    </row>
    <row r="3633">
      <c r="A3633" s="4" t="s">
        <v>4560</v>
      </c>
      <c r="B3633" s="4" t="s">
        <v>4568</v>
      </c>
      <c r="C3633" s="5" t="str">
        <f>IFERROR(__xludf.DUMMYFUNCTION("GOOGLETRANSLATE(B3633,""en"",""zh-CN"")"),"有人在吊床上开心。")</f>
        <v>有人在吊床上开心。</v>
      </c>
    </row>
    <row r="3634">
      <c r="A3634" s="4" t="s">
        <v>4560</v>
      </c>
      <c r="B3634" s="4" t="s">
        <v>4569</v>
      </c>
      <c r="C3634" s="5" t="str">
        <f>IFERROR(__xludf.DUMMYFUNCTION("GOOGLETRANSLATE(B3634,""en"",""zh-CN"")"),"最终学分感谢活动的人民和组织者。")</f>
        <v>最终学分感谢活动的人民和组织者。</v>
      </c>
    </row>
    <row r="3635">
      <c r="A3635" s="4" t="s">
        <v>4570</v>
      </c>
      <c r="B3635" s="4" t="s">
        <v>4571</v>
      </c>
      <c r="C3635" s="5" t="str">
        <f>IFERROR(__xludf.DUMMYFUNCTION("GOOGLETRANSLATE(B3635,""en"",""zh-CN"")"),"一辆灰色的汽车停在车道上，然后一个人洗车。")</f>
        <v>一辆灰色的汽车停在车道上，然后一个人洗车。</v>
      </c>
    </row>
    <row r="3636">
      <c r="A3636" s="4" t="s">
        <v>4570</v>
      </c>
      <c r="B3636" s="6" t="s">
        <v>4572</v>
      </c>
      <c r="C3636" s="5" t="str">
        <f>IFERROR(__xludf.DUMMYFUNCTION("GOOGLETRANSLATE(B3636,""en"",""zh-CN"")"),"之后，该人将肥皂用瓶子的关节涂在汽车上，然后刷后，将汽车的前灯涂在软管上。")</f>
        <v>之后，该人将肥皂用瓶子的关节涂在汽车上，然后刷后，将汽车的前灯涂在软管上。</v>
      </c>
    </row>
    <row r="3637">
      <c r="A3637" s="4" t="s">
        <v>4570</v>
      </c>
      <c r="B3637" s="4" t="s">
        <v>4573</v>
      </c>
      <c r="C3637" s="5" t="str">
        <f>IFERROR(__xludf.DUMMYFUNCTION("GOOGLETRANSLATE(B3637,""en"",""zh-CN"")"),"然后，该人用布清洗引擎盖。")</f>
        <v>然后，该人用布清洗引擎盖。</v>
      </c>
    </row>
    <row r="3638">
      <c r="A3638" s="4" t="s">
        <v>4570</v>
      </c>
      <c r="B3638" s="4" t="s">
        <v>4574</v>
      </c>
      <c r="C3638" s="5" t="str">
        <f>IFERROR(__xludf.DUMMYFUNCTION("GOOGLETRANSLATE(B3638,""en"",""zh-CN"")"),"接下来，人冲洗并干燥汽车。")</f>
        <v>接下来，人冲洗并干燥汽车。</v>
      </c>
    </row>
    <row r="3639">
      <c r="A3639" s="4" t="s">
        <v>4575</v>
      </c>
      <c r="B3639" s="4" t="s">
        <v>4576</v>
      </c>
      <c r="C3639" s="5" t="str">
        <f>IFERROR(__xludf.DUMMYFUNCTION("GOOGLETRANSLATE(B3639,""en"",""zh-CN"")"),"看到一个人在田野上拿着网球球拍，并在球场上击球。")</f>
        <v>看到一个人在田野上拿着网球球拍，并在球场上击球。</v>
      </c>
    </row>
    <row r="3640">
      <c r="A3640" s="4" t="s">
        <v>4575</v>
      </c>
      <c r="B3640" s="4" t="s">
        <v>4577</v>
      </c>
      <c r="C3640" s="5" t="str">
        <f>IFERROR(__xludf.DUMMYFUNCTION("GOOGLETRANSLATE(B3640,""en"",""zh-CN"")"),"然后，他微笑着，指着距离并撞到拳头时走到相机上。")</f>
        <v>然后，他微笑着，指着距离并撞到拳头时走到相机上。</v>
      </c>
    </row>
    <row r="3641">
      <c r="A3641" s="4" t="s">
        <v>4578</v>
      </c>
      <c r="B3641" s="4" t="s">
        <v>4579</v>
      </c>
      <c r="C3641" s="5" t="str">
        <f>IFERROR(__xludf.DUMMYFUNCTION("GOOGLETRANSLATE(B3641,""en"",""zh-CN"")"),"一群击剑手与讲师合影。")</f>
        <v>一群击剑手与讲师合影。</v>
      </c>
    </row>
    <row r="3642">
      <c r="A3642" s="4" t="s">
        <v>4578</v>
      </c>
      <c r="B3642" s="4" t="s">
        <v>4580</v>
      </c>
      <c r="C3642" s="5" t="str">
        <f>IFERROR(__xludf.DUMMYFUNCTION("GOOGLETRANSLATE(B3642,""en"",""zh-CN"")"),"击剑手在健身房内显示。")</f>
        <v>击剑手在健身房内显示。</v>
      </c>
    </row>
    <row r="3643">
      <c r="A3643" s="4" t="s">
        <v>4578</v>
      </c>
      <c r="B3643" s="4" t="s">
        <v>4581</v>
      </c>
      <c r="C3643" s="5" t="str">
        <f>IFERROR(__xludf.DUMMYFUNCTION("GOOGLETRANSLATE(B3643,""en"",""zh-CN"")"),"他们在比赛期间戳戳并彼此进行各种动作。")</f>
        <v>他们在比赛期间戳戳并彼此进行各种动作。</v>
      </c>
    </row>
    <row r="3644">
      <c r="A3644" s="4" t="s">
        <v>4582</v>
      </c>
      <c r="B3644" s="4" t="s">
        <v>4583</v>
      </c>
      <c r="C3644" s="5" t="str">
        <f>IFERROR(__xludf.DUMMYFUNCTION("GOOGLETRANSLATE(B3644,""en"",""zh-CN"")"),"看到一个人坐在顶部滑梯，开始沿着滑梯骑行。")</f>
        <v>看到一个人坐在顶部滑梯，开始沿着滑梯骑行。</v>
      </c>
    </row>
    <row r="3645">
      <c r="A3645" s="4" t="s">
        <v>4582</v>
      </c>
      <c r="B3645" s="6" t="s">
        <v>4584</v>
      </c>
      <c r="C3645" s="5" t="str">
        <f>IFERROR(__xludf.DUMMYFUNCTION("GOOGLETRANSLATE(B3645,""en"",""zh-CN"")"),"她在笑着的同时遇到了另一个人，另一个人跑进了相机。")</f>
        <v>她在笑着的同时遇到了另一个人，另一个人跑进了相机。</v>
      </c>
    </row>
    <row r="3646">
      <c r="A3646" s="4" t="s">
        <v>4585</v>
      </c>
      <c r="B3646" s="4" t="s">
        <v>4586</v>
      </c>
      <c r="C3646" s="5" t="str">
        <f>IFERROR(__xludf.DUMMYFUNCTION("GOOGLETRANSLATE(B3646,""en"",""zh-CN"")"),"一个人站在潜水板上。")</f>
        <v>一个人站在潜水板上。</v>
      </c>
    </row>
    <row r="3647">
      <c r="A3647" s="4" t="s">
        <v>4585</v>
      </c>
      <c r="B3647" s="4" t="s">
        <v>4587</v>
      </c>
      <c r="C3647" s="5" t="str">
        <f>IFERROR(__xludf.DUMMYFUNCTION("GOOGLETRANSLATE(B3647,""en"",""zh-CN"")"),"他们跳出跳水板进入游泳池。")</f>
        <v>他们跳出跳水板进入游泳池。</v>
      </c>
    </row>
    <row r="3648">
      <c r="A3648" s="4" t="s">
        <v>4585</v>
      </c>
      <c r="B3648" s="4" t="s">
        <v>4588</v>
      </c>
      <c r="C3648" s="5" t="str">
        <f>IFERROR(__xludf.DUMMYFUNCTION("GOOGLETRANSLATE(B3648,""en"",""zh-CN"")"),"他向后倒入水中。")</f>
        <v>他向后倒入水中。</v>
      </c>
    </row>
    <row r="3649">
      <c r="A3649" s="4" t="s">
        <v>4585</v>
      </c>
      <c r="B3649" s="4" t="s">
        <v>4589</v>
      </c>
      <c r="C3649" s="5" t="str">
        <f>IFERROR(__xludf.DUMMYFUNCTION("GOOGLETRANSLATE(B3649,""en"",""zh-CN"")"),"有人从跳水板上跳入水中。")</f>
        <v>有人从跳水板上跳入水中。</v>
      </c>
    </row>
    <row r="3650">
      <c r="A3650" s="4" t="s">
        <v>4585</v>
      </c>
      <c r="B3650" s="4" t="s">
        <v>4590</v>
      </c>
      <c r="C3650" s="5" t="str">
        <f>IFERROR(__xludf.DUMMYFUNCTION("GOOGLETRANSLATE(B3650,""en"",""zh-CN"")"),"一个人跳下水下。")</f>
        <v>一个人跳下水下。</v>
      </c>
    </row>
    <row r="3651">
      <c r="A3651" s="4" t="s">
        <v>4585</v>
      </c>
      <c r="B3651" s="4" t="s">
        <v>4591</v>
      </c>
      <c r="C3651" s="5" t="str">
        <f>IFERROR(__xludf.DUMMYFUNCTION("GOOGLETRANSLATE(B3651,""en"",""zh-CN"")"),"一个男人跳高，然后从跳水板上翻滚。")</f>
        <v>一个男人跳高，然后从跳水板上翻滚。</v>
      </c>
    </row>
    <row r="3652">
      <c r="A3652" s="4" t="s">
        <v>4585</v>
      </c>
      <c r="B3652" s="4" t="s">
        <v>4592</v>
      </c>
      <c r="C3652" s="5" t="str">
        <f>IFERROR(__xludf.DUMMYFUNCTION("GOOGLETRANSLATE(B3652,""en"",""zh-CN"")"),"一个人将黑色翻转在潜水板上的水中。")</f>
        <v>一个人将黑色翻转在潜水板上的水中。</v>
      </c>
    </row>
    <row r="3653">
      <c r="A3653" s="4" t="s">
        <v>4593</v>
      </c>
      <c r="B3653" s="6" t="s">
        <v>4594</v>
      </c>
      <c r="C3653" s="5" t="str">
        <f>IFERROR(__xludf.DUMMYFUNCTION("GOOGLETRANSLATE(B3653,""en"",""zh-CN"")"),"看到一小部分人站在棒球场上，彼此之间。")</f>
        <v>看到一小部分人站在棒球场上，彼此之间。</v>
      </c>
    </row>
    <row r="3654">
      <c r="A3654" s="4" t="s">
        <v>4593</v>
      </c>
      <c r="B3654" s="4" t="s">
        <v>4595</v>
      </c>
      <c r="C3654" s="5" t="str">
        <f>IFERROR(__xludf.DUMMYFUNCTION("GOOGLETRANSLATE(B3654,""en"",""zh-CN"")"),"突然，一些人开始跳舞，一个将球握在中间。")</f>
        <v>突然，一些人开始跳舞，一个将球握在中间。</v>
      </c>
    </row>
    <row r="3655">
      <c r="A3655" s="4" t="s">
        <v>4596</v>
      </c>
      <c r="B3655" s="4" t="s">
        <v>4597</v>
      </c>
      <c r="C3655" s="5" t="str">
        <f>IFERROR(__xludf.DUMMYFUNCTION("GOOGLETRANSLATE(B3655,""en"",""zh-CN"")"),"小孩子正站在柜台前，罐子和食材在她面前。")</f>
        <v>小孩子正站在柜台前，罐子和食材在她面前。</v>
      </c>
    </row>
    <row r="3656">
      <c r="A3656" s="4" t="s">
        <v>4596</v>
      </c>
      <c r="B3656" s="6" t="s">
        <v>4598</v>
      </c>
      <c r="C3656" s="5" t="str">
        <f>IFERROR(__xludf.DUMMYFUNCTION("GOOGLETRANSLATE(B3656,""en"",""zh-CN"")"),"女人将糖放入锅中加水，然后加热，将水和柠檬汁加热，然后将所有成分混合在罐子里。")</f>
        <v>女人将糖放入锅中加水，然后加热，将水和柠檬汁加热，然后将所有成分混合在罐子里。</v>
      </c>
    </row>
    <row r="3657">
      <c r="A3657" s="4" t="s">
        <v>4599</v>
      </c>
      <c r="B3657" s="4" t="s">
        <v>4600</v>
      </c>
      <c r="C3657" s="5" t="str">
        <f>IFERROR(__xludf.DUMMYFUNCTION("GOOGLETRANSLATE(B3657,""en"",""zh-CN"")"),"一个男孩在玩球。")</f>
        <v>一个男孩在玩球。</v>
      </c>
    </row>
    <row r="3658">
      <c r="A3658" s="4" t="s">
        <v>4599</v>
      </c>
      <c r="B3658" s="4" t="s">
        <v>4601</v>
      </c>
      <c r="C3658" s="5" t="str">
        <f>IFERROR(__xludf.DUMMYFUNCTION("GOOGLETRANSLATE(B3658,""en"",""zh-CN"")"),"孩子们在草地上练习曲棍球。")</f>
        <v>孩子们在草地上练习曲棍球。</v>
      </c>
    </row>
    <row r="3659">
      <c r="A3659" s="4" t="s">
        <v>4599</v>
      </c>
      <c r="B3659" s="4" t="s">
        <v>4602</v>
      </c>
      <c r="C3659" s="5" t="str">
        <f>IFERROR(__xludf.DUMMYFUNCTION("GOOGLETRANSLATE(B3659,""en"",""zh-CN"")"),"一件黑色外套的男人正在看着他们玩。")</f>
        <v>一件黑色外套的男人正在看着他们玩。</v>
      </c>
    </row>
    <row r="3660">
      <c r="A3660" s="4" t="s">
        <v>4603</v>
      </c>
      <c r="B3660" s="4" t="s">
        <v>4604</v>
      </c>
      <c r="C3660" s="5" t="str">
        <f>IFERROR(__xludf.DUMMYFUNCTION("GOOGLETRANSLATE(B3660,""en"",""zh-CN"")"),"有很多人站在户外走来走去聊天。")</f>
        <v>有很多人站在户外走来走去聊天。</v>
      </c>
    </row>
    <row r="3661">
      <c r="A3661" s="4" t="s">
        <v>4603</v>
      </c>
      <c r="B3661" s="4" t="s">
        <v>4605</v>
      </c>
      <c r="C3661" s="5" t="str">
        <f>IFERROR(__xludf.DUMMYFUNCTION("GOOGLETRANSLATE(B3661,""en"",""zh-CN"")"),"一个小男孩走在梯子后面，其他人不断走动。")</f>
        <v>一个小男孩走在梯子后面，其他人不断走动。</v>
      </c>
    </row>
    <row r="3662">
      <c r="A3662" s="4" t="s">
        <v>4603</v>
      </c>
      <c r="B3662" s="6" t="s">
        <v>4606</v>
      </c>
      <c r="C3662" s="5" t="str">
        <f>IFERROR(__xludf.DUMMYFUNCTION("GOOGLETRANSLATE(B3662,""en"",""zh-CN"")"),"皮纳塔（Pinata）从高高的高处掉落，他用一根棍子击中了皮纳塔（Pinata），然后有人拿着一个装满袋子的碗。")</f>
        <v>皮纳塔（Pinata）从高高的高处掉落，他用一根棍子击中了皮纳塔（Pinata），然后有人拿着一个装满袋子的碗。</v>
      </c>
    </row>
    <row r="3663">
      <c r="A3663" s="4" t="s">
        <v>4607</v>
      </c>
      <c r="B3663" s="4" t="s">
        <v>4608</v>
      </c>
      <c r="C3663" s="5" t="str">
        <f>IFERROR(__xludf.DUMMYFUNCTION("GOOGLETRANSLATE(B3663,""en"",""zh-CN"")"),"澳大利亚内陆地区的地面上有一条骆驼线。")</f>
        <v>澳大利亚内陆地区的地面上有一条骆驼线。</v>
      </c>
    </row>
    <row r="3664">
      <c r="A3664" s="4" t="s">
        <v>4607</v>
      </c>
      <c r="B3664" s="4" t="s">
        <v>4609</v>
      </c>
      <c r="C3664" s="5" t="str">
        <f>IFERROR(__xludf.DUMMYFUNCTION("GOOGLETRANSLATE(B3664,""en"",""zh-CN"")"),"有游客在等待骆驼享受骆驼的后退。")</f>
        <v>有游客在等待骆驼享受骆驼的后退。</v>
      </c>
    </row>
    <row r="3665">
      <c r="A3665" s="4" t="s">
        <v>4607</v>
      </c>
      <c r="B3665" s="4" t="s">
        <v>4610</v>
      </c>
      <c r="C3665" s="5" t="str">
        <f>IFERROR(__xludf.DUMMYFUNCTION("GOOGLETRANSLATE(B3665,""en"",""zh-CN"")"),"穿着红色衬衫和牛仔帽子的男人正在帮助游客挡住骆驼的背部。")</f>
        <v>穿着红色衬衫和牛仔帽子的男人正在帮助游客挡住骆驼的背部。</v>
      </c>
    </row>
    <row r="3666">
      <c r="A3666" s="4" t="s">
        <v>4607</v>
      </c>
      <c r="B3666" s="4" t="s">
        <v>4611</v>
      </c>
      <c r="C3666" s="5" t="str">
        <f>IFERROR(__xludf.DUMMYFUNCTION("GOOGLETRANSLATE(B3666,""en"",""zh-CN"")"),"骆驼慢慢地举起自己，开始与游客背上走来走去。")</f>
        <v>骆驼慢慢地举起自己，开始与游客背上走来走去。</v>
      </c>
    </row>
    <row r="3667">
      <c r="A3667" s="4" t="s">
        <v>4607</v>
      </c>
      <c r="B3667" s="4" t="s">
        <v>4612</v>
      </c>
      <c r="C3667" s="5" t="str">
        <f>IFERROR(__xludf.DUMMYFUNCTION("GOOGLETRANSLATE(B3667,""en"",""zh-CN"")"),"游客在欣赏骆驼骑行时向相机挥手时很高兴。")</f>
        <v>游客在欣赏骆驼骑行时向相机挥手时很高兴。</v>
      </c>
    </row>
    <row r="3668">
      <c r="A3668" s="4" t="s">
        <v>4607</v>
      </c>
      <c r="B3668" s="4" t="s">
        <v>4613</v>
      </c>
      <c r="C3668" s="5" t="str">
        <f>IFERROR(__xludf.DUMMYFUNCTION("GOOGLETRANSLATE(B3668,""en"",""zh-CN"")"),"骆驼缓慢地穿过干燥的泥泞草原。")</f>
        <v>骆驼缓慢地穿过干燥的泥泞草原。</v>
      </c>
    </row>
    <row r="3669">
      <c r="A3669" s="4" t="s">
        <v>4607</v>
      </c>
      <c r="B3669" s="6" t="s">
        <v>4614</v>
      </c>
      <c r="C3669" s="5" t="str">
        <f>IFERROR(__xludf.DUMMYFUNCTION("GOOGLETRANSLATE(B3669,""en"",""zh-CN"")"),"然后，游客从骆驼下车，走向一个户外用餐区，在那里有几张桌子和白色的桌布和餐具。")</f>
        <v>然后，游客从骆驼下车，走向一个户外用餐区，在那里有几张桌子和白色的桌布和餐具。</v>
      </c>
    </row>
    <row r="3670">
      <c r="A3670" s="4" t="s">
        <v>4615</v>
      </c>
      <c r="B3670" s="4" t="s">
        <v>4616</v>
      </c>
      <c r="C3670" s="5" t="str">
        <f>IFERROR(__xludf.DUMMYFUNCTION("GOOGLETRANSLATE(B3670,""en"",""zh-CN"")"),"马提尼酒杯充满了伏特加酒。")</f>
        <v>马提尼酒杯充满了伏特加酒。</v>
      </c>
    </row>
    <row r="3671">
      <c r="A3671" s="4" t="s">
        <v>4615</v>
      </c>
      <c r="B3671" s="4" t="s">
        <v>4617</v>
      </c>
      <c r="C3671" s="5" t="str">
        <f>IFERROR(__xludf.DUMMYFUNCTION("GOOGLETRANSLATE(B3671,""en"",""zh-CN"")"),"一个女人被显示在带有不同酒精瓶的酒吧后面。")</f>
        <v>一个女人被显示在带有不同酒精瓶的酒吧后面。</v>
      </c>
    </row>
    <row r="3672">
      <c r="A3672" s="4" t="s">
        <v>4615</v>
      </c>
      <c r="B3672" s="4" t="s">
        <v>4618</v>
      </c>
      <c r="C3672" s="5" t="str">
        <f>IFERROR(__xludf.DUMMYFUNCTION("GOOGLETRANSLATE(B3672,""en"",""zh-CN"")"),"她将它们混合在一起，然后装饰最后的饮料。")</f>
        <v>她将它们混合在一起，然后装饰最后的饮料。</v>
      </c>
    </row>
    <row r="3673">
      <c r="A3673" s="4" t="s">
        <v>4619</v>
      </c>
      <c r="B3673" s="4" t="s">
        <v>4620</v>
      </c>
      <c r="C3673" s="5" t="str">
        <f>IFERROR(__xludf.DUMMYFUNCTION("GOOGLETRANSLATE(B3673,""en"",""zh-CN"")"),"一个人显示如何清洁大窗户。")</f>
        <v>一个人显示如何清洁大窗户。</v>
      </c>
    </row>
    <row r="3674">
      <c r="A3674" s="4" t="s">
        <v>4619</v>
      </c>
      <c r="B3674" s="4" t="s">
        <v>4621</v>
      </c>
      <c r="C3674" s="5" t="str">
        <f>IFERROR(__xludf.DUMMYFUNCTION("GOOGLETRANSLATE(B3674,""en"",""zh-CN"")"),"首先，施加肥皂，然后将其刮掉。")</f>
        <v>首先，施加肥皂，然后将其刮掉。</v>
      </c>
    </row>
    <row r="3675">
      <c r="A3675" s="4" t="s">
        <v>4619</v>
      </c>
      <c r="B3675" s="4" t="s">
        <v>4622</v>
      </c>
      <c r="C3675" s="5" t="str">
        <f>IFERROR(__xludf.DUMMYFUNCTION("GOOGLETRANSLATE(B3675,""en"",""zh-CN"")"),"该过程重复并完成。")</f>
        <v>该过程重复并完成。</v>
      </c>
    </row>
    <row r="3676">
      <c r="A3676" s="4" t="s">
        <v>4623</v>
      </c>
      <c r="B3676" s="4" t="s">
        <v>4624</v>
      </c>
      <c r="C3676" s="5" t="str">
        <f>IFERROR(__xludf.DUMMYFUNCTION("GOOGLETRANSLATE(B3676,""en"",""zh-CN"")"),"看到一个男人在锅中旋转一根棍子，而旁边的一个小男孩看着他工作。")</f>
        <v>看到一个男人在锅中旋转一根棍子，而旁边的一个小男孩看着他工作。</v>
      </c>
    </row>
    <row r="3677">
      <c r="A3677" s="4" t="s">
        <v>4623</v>
      </c>
      <c r="B3677" s="4" t="s">
        <v>4625</v>
      </c>
      <c r="C3677" s="5" t="str">
        <f>IFERROR(__xludf.DUMMYFUNCTION("GOOGLETRANSLATE(B3677,""en"",""zh-CN"")"),"该男子用一个圆锥形嘲笑男孩，让男孩有它，然后再次被带走。")</f>
        <v>该男子用一个圆锥形嘲笑男孩，让男孩有它，然后再次被带走。</v>
      </c>
    </row>
    <row r="3678">
      <c r="A3678" s="4" t="s">
        <v>4623</v>
      </c>
      <c r="B3678" s="6" t="s">
        <v>4626</v>
      </c>
      <c r="C3678" s="5" t="str">
        <f>IFERROR(__xludf.DUMMYFUNCTION("GOOGLETRANSLATE(B3678,""en"",""zh-CN"")"),"然后，该男子走开时，将冰淇淋放在锥体上，然后对男孩微笑。")</f>
        <v>然后，该男子走开时，将冰淇淋放在锥体上，然后对男孩微笑。</v>
      </c>
    </row>
    <row r="3679">
      <c r="A3679" s="4" t="s">
        <v>4627</v>
      </c>
      <c r="B3679" s="6" t="s">
        <v>4628</v>
      </c>
      <c r="C3679" s="5" t="str">
        <f>IFERROR(__xludf.DUMMYFUNCTION("GOOGLETRANSLATE(B3679,""en"",""zh-CN"")"),"看到一名篮球运动员在篮球球网下跳跃，并在网上连续开球。")</f>
        <v>看到一名篮球运动员在篮球球网下跳跃，并在网上连续开球。</v>
      </c>
    </row>
    <row r="3680">
      <c r="A3680" s="4" t="s">
        <v>4627</v>
      </c>
      <c r="B3680" s="4" t="s">
        <v>4629</v>
      </c>
      <c r="C3680" s="5" t="str">
        <f>IFERROR(__xludf.DUMMYFUNCTION("GOOGLETRANSLATE(B3680,""en"",""zh-CN"")"),"她继续拍摄，视频在屏幕上以各种文字结束。")</f>
        <v>她继续拍摄，视频在屏幕上以各种文字结束。</v>
      </c>
    </row>
    <row r="3681">
      <c r="A3681" s="4" t="s">
        <v>4630</v>
      </c>
      <c r="B3681" s="4" t="s">
        <v>4631</v>
      </c>
      <c r="C3681" s="5" t="str">
        <f>IFERROR(__xludf.DUMMYFUNCTION("GOOGLETRANSLATE(B3681,""en"",""zh-CN"")"),"一个人拿出清洁产品和一个带有混合物的喷雾瓶。")</f>
        <v>一个人拿出清洁产品和一个带有混合物的喷雾瓶。</v>
      </c>
    </row>
    <row r="3682">
      <c r="A3682" s="4" t="s">
        <v>4630</v>
      </c>
      <c r="B3682" s="4" t="s">
        <v>4632</v>
      </c>
      <c r="C3682" s="5" t="str">
        <f>IFERROR(__xludf.DUMMYFUNCTION("GOOGLETRANSLATE(B3682,""en"",""zh-CN"")"),"该人在喷雾瓶中用洗涤剂将不锈钢水槽散发出来。")</f>
        <v>该人在喷雾瓶中用洗涤剂将不锈钢水槽散发出来。</v>
      </c>
    </row>
    <row r="3683">
      <c r="A3683" s="4" t="s">
        <v>4630</v>
      </c>
      <c r="B3683" s="4" t="s">
        <v>4633</v>
      </c>
      <c r="C3683" s="5" t="str">
        <f>IFERROR(__xludf.DUMMYFUNCTION("GOOGLETRANSLATE(B3683,""en"",""zh-CN"")"),"海绵用于用清洁溶液擦洗唱片。")</f>
        <v>海绵用于用清洁溶液擦洗唱片。</v>
      </c>
    </row>
    <row r="3684">
      <c r="A3684" s="4" t="s">
        <v>4630</v>
      </c>
      <c r="B3684" s="4" t="s">
        <v>4634</v>
      </c>
      <c r="C3684" s="5" t="str">
        <f>IFERROR(__xludf.DUMMYFUNCTION("GOOGLETRANSLATE(B3684,""en"",""zh-CN"")"),"水龙头已打开，用于冲洗水槽。")</f>
        <v>水龙头已打开，用于冲洗水槽。</v>
      </c>
    </row>
    <row r="3685">
      <c r="A3685" s="4" t="s">
        <v>4635</v>
      </c>
      <c r="B3685" s="4" t="s">
        <v>4636</v>
      </c>
      <c r="C3685" s="5" t="str">
        <f>IFERROR(__xludf.DUMMYFUNCTION("GOOGLETRANSLATE(B3685,""en"",""zh-CN"")"),"显示了屏幕上的婴儿，有人用锤子击中屏幕。")</f>
        <v>显示了屏幕上的婴儿，有人用锤子击中屏幕。</v>
      </c>
    </row>
    <row r="3686">
      <c r="A3686" s="4" t="s">
        <v>4635</v>
      </c>
      <c r="B3686" s="4" t="s">
        <v>4637</v>
      </c>
      <c r="C3686" s="5" t="str">
        <f>IFERROR(__xludf.DUMMYFUNCTION("GOOGLETRANSLATE(B3686,""en"",""zh-CN"")"),"男人正在做滑板，并在不同地方击倒董事会。")</f>
        <v>男人正在做滑板，并在不同地方击倒董事会。</v>
      </c>
    </row>
    <row r="3687">
      <c r="A3687" s="4" t="s">
        <v>4635</v>
      </c>
      <c r="B3687" s="4" t="s">
        <v>4638</v>
      </c>
      <c r="C3687" s="5" t="str">
        <f>IFERROR(__xludf.DUMMYFUNCTION("GOOGLETRANSLATE(B3687,""en"",""zh-CN"")"),"男人正在滑板上走大楼楼梯和摔倒。")</f>
        <v>男人正在滑板上走大楼楼梯和摔倒。</v>
      </c>
    </row>
    <row r="3688">
      <c r="A3688" s="4" t="s">
        <v>4635</v>
      </c>
      <c r="B3688" s="4" t="s">
        <v>4639</v>
      </c>
      <c r="C3688" s="5" t="str">
        <f>IFERROR(__xludf.DUMMYFUNCTION("GOOGLETRANSLATE(B3688,""en"",""zh-CN"")"),"男子正在沿楼梯上的水泥轨道滑板。")</f>
        <v>男子正在沿楼梯上的水泥轨道滑板。</v>
      </c>
    </row>
    <row r="3689">
      <c r="A3689" s="4" t="s">
        <v>4640</v>
      </c>
      <c r="B3689" s="4" t="s">
        <v>4641</v>
      </c>
      <c r="C3689" s="5" t="str">
        <f>IFERROR(__xludf.DUMMYFUNCTION("GOOGLETRANSLATE(B3689,""en"",""zh-CN"")"),"记者采访了两个男孩和一个小男孩。")</f>
        <v>记者采访了两个男孩和一个小男孩。</v>
      </c>
    </row>
    <row r="3690">
      <c r="A3690" s="4" t="s">
        <v>4640</v>
      </c>
      <c r="B3690" s="4" t="s">
        <v>4642</v>
      </c>
      <c r="C3690" s="5" t="str">
        <f>IFERROR(__xludf.DUMMYFUNCTION("GOOGLETRANSLATE(B3690,""en"",""zh-CN"")"),"然后，大男孩和小男孩踢足球桌，而记者继续采访。")</f>
        <v>然后，大男孩和小男孩踢足球桌，而记者继续采访。</v>
      </c>
    </row>
    <row r="3691">
      <c r="A3691" s="4" t="s">
        <v>4643</v>
      </c>
      <c r="B3691" s="4" t="s">
        <v>4644</v>
      </c>
      <c r="C3691" s="5" t="str">
        <f>IFERROR(__xludf.DUMMYFUNCTION("GOOGLETRANSLATE(B3691,""en"",""zh-CN"")"),"年轻的女性球员在球场上跑来跑去，互相扔球。")</f>
        <v>年轻的女性球员在球场上跑来跑去，互相扔球。</v>
      </c>
    </row>
    <row r="3692">
      <c r="A3692" s="4" t="s">
        <v>4643</v>
      </c>
      <c r="B3692" s="4" t="s">
        <v>4645</v>
      </c>
      <c r="C3692" s="5" t="str">
        <f>IFERROR(__xludf.DUMMYFUNCTION("GOOGLETRANSLATE(B3692,""en"",""zh-CN"")"),"一些球员正在避开球，因此他们继续四处奔跑。")</f>
        <v>一些球员正在避开球，因此他们继续四处奔跑。</v>
      </c>
    </row>
    <row r="3693">
      <c r="A3693" s="4" t="s">
        <v>4643</v>
      </c>
      <c r="B3693" s="4" t="s">
        <v>4646</v>
      </c>
      <c r="C3693" s="5" t="str">
        <f>IFERROR(__xludf.DUMMYFUNCTION("GOOGLETRANSLATE(B3693,""en"",""zh-CN"")"),"女性球员从一侧踢球时走路。")</f>
        <v>女性球员从一侧踢球时走路。</v>
      </c>
    </row>
    <row r="3694">
      <c r="A3694" s="4" t="s">
        <v>4643</v>
      </c>
      <c r="B3694" s="4" t="s">
        <v>4647</v>
      </c>
      <c r="C3694" s="5" t="str">
        <f>IFERROR(__xludf.DUMMYFUNCTION("GOOGLETRANSLATE(B3694,""en"",""zh-CN"")"),"球员将球踢到球场另一侧的下一个人。")</f>
        <v>球员将球踢到球场另一侧的下一个人。</v>
      </c>
    </row>
    <row r="3695">
      <c r="A3695" s="4" t="s">
        <v>4648</v>
      </c>
      <c r="B3695" s="6" t="s">
        <v>4649</v>
      </c>
      <c r="C3695" s="5" t="str">
        <f>IFERROR(__xludf.DUMMYFUNCTION("GOOGLETRANSLATE(B3695,""en"",""zh-CN"")"),"一小群人彼此骑自行车骑自行车，而女人站在中间激励他们。")</f>
        <v>一小群人彼此骑自行车骑自行车，而女人站在中间激励他们。</v>
      </c>
    </row>
    <row r="3696">
      <c r="A3696" s="4" t="s">
        <v>4648</v>
      </c>
      <c r="B3696" s="6" t="s">
        <v>4650</v>
      </c>
      <c r="C3696" s="5" t="str">
        <f>IFERROR(__xludf.DUMMYFUNCTION("GOOGLETRANSLATE(B3696,""en"",""zh-CN"")"),"人们继续骑着自行车，有些挣扎，有些人继续兜售。")</f>
        <v>人们继续骑着自行车，有些挣扎，有些人继续兜售。</v>
      </c>
    </row>
    <row r="3697">
      <c r="A3697" s="4" t="s">
        <v>4651</v>
      </c>
      <c r="B3697" s="6" t="s">
        <v>4652</v>
      </c>
      <c r="C3697" s="5" t="str">
        <f>IFERROR(__xludf.DUMMYFUNCTION("GOOGLETRANSLATE(B3697,""en"",""zh-CN"")"),"看到一个女人从狗的身体上刷掉大量的头发，并收集了手中的皮毛。")</f>
        <v>看到一个女人从狗的身体上刷掉大量的头发，并收集了手中的皮毛。</v>
      </c>
    </row>
    <row r="3698">
      <c r="A3698" s="4" t="s">
        <v>4651</v>
      </c>
      <c r="B3698" s="4" t="s">
        <v>4653</v>
      </c>
      <c r="C3698" s="5" t="str">
        <f>IFERROR(__xludf.DUMMYFUNCTION("GOOGLETRANSLATE(B3698,""en"",""zh-CN"")"),"当女人继续刷牙并回头看她的刷子时，狗有点移动他的腿。")</f>
        <v>当女人继续刷牙并回头看她的刷子时，狗有点移动他的腿。</v>
      </c>
    </row>
    <row r="3699">
      <c r="A3699" s="4" t="s">
        <v>4654</v>
      </c>
      <c r="B3699" s="4" t="s">
        <v>4655</v>
      </c>
      <c r="C3699" s="5" t="str">
        <f>IFERROR(__xludf.DUMMYFUNCTION("GOOGLETRANSLATE(B3699,""en"",""zh-CN"")"),"一个人沿着轨道奔跑并投掷标枪。")</f>
        <v>一个人沿着轨道奔跑并投掷标枪。</v>
      </c>
    </row>
    <row r="3700">
      <c r="A3700" s="4" t="s">
        <v>4654</v>
      </c>
      <c r="B3700" s="4" t="s">
        <v>4656</v>
      </c>
      <c r="C3700" s="5" t="str">
        <f>IFERROR(__xludf.DUMMYFUNCTION("GOOGLETRANSLATE(B3700,""en"",""zh-CN"")"),"另一个人沿着赛道奔跑并投掷标枪。")</f>
        <v>另一个人沿着赛道奔跑并投掷标枪。</v>
      </c>
    </row>
    <row r="3701">
      <c r="A3701" s="4" t="s">
        <v>4657</v>
      </c>
      <c r="B3701" s="4" t="s">
        <v>1251</v>
      </c>
      <c r="C3701" s="5" t="str">
        <f>IFERROR(__xludf.DUMMYFUNCTION("GOOGLETRANSLATE(B3701,""en"",""zh-CN"")"),"显示了剪辑的信用。")</f>
        <v>显示了剪辑的信用。</v>
      </c>
    </row>
    <row r="3702">
      <c r="A3702" s="4" t="s">
        <v>4657</v>
      </c>
      <c r="B3702" s="4" t="s">
        <v>4658</v>
      </c>
      <c r="C3702" s="5" t="str">
        <f>IFERROR(__xludf.DUMMYFUNCTION("GOOGLETRANSLATE(B3702,""en"",""zh-CN"")"),"那位女士从一侧到另一侧鞭打头发。")</f>
        <v>那位女士从一侧到另一侧鞭打头发。</v>
      </c>
    </row>
    <row r="3703">
      <c r="A3703" s="4" t="s">
        <v>4657</v>
      </c>
      <c r="B3703" s="4" t="s">
        <v>4659</v>
      </c>
      <c r="C3703" s="5" t="str">
        <f>IFERROR(__xludf.DUMMYFUNCTION("GOOGLETRANSLATE(B3703,""en"",""zh-CN"")"),"那位女士分开她的头发。")</f>
        <v>那位女士分开她的头发。</v>
      </c>
    </row>
    <row r="3704">
      <c r="A3704" s="4" t="s">
        <v>4657</v>
      </c>
      <c r="B3704" s="4" t="s">
        <v>4660</v>
      </c>
      <c r="C3704" s="5" t="str">
        <f>IFERROR(__xludf.DUMMYFUNCTION("GOOGLETRANSLATE(B3704,""en"",""zh-CN"")"),"那位女士梳理头发，将凝胶涂在分开的头发上，并开始编织她的头发。")</f>
        <v>那位女士梳理头发，将凝胶涂在分开的头发上，并开始编织她的头发。</v>
      </c>
    </row>
    <row r="3705">
      <c r="A3705" s="4" t="s">
        <v>4657</v>
      </c>
      <c r="B3705" s="4" t="s">
        <v>4661</v>
      </c>
      <c r="C3705" s="5" t="str">
        <f>IFERROR(__xludf.DUMMYFUNCTION("GOOGLETRANSLATE(B3705,""en"",""zh-CN"")"),"这位女士在两个辫子周围绑着头发。")</f>
        <v>这位女士在两个辫子周围绑着头发。</v>
      </c>
    </row>
    <row r="3706">
      <c r="A3706" s="4" t="s">
        <v>4657</v>
      </c>
      <c r="B3706" s="4" t="s">
        <v>4662</v>
      </c>
      <c r="C3706" s="5" t="str">
        <f>IFERROR(__xludf.DUMMYFUNCTION("GOOGLETRANSLATE(B3706,""en"",""zh-CN"")"),"那位女士戴着帽子。")</f>
        <v>那位女士戴着帽子。</v>
      </c>
    </row>
    <row r="3707">
      <c r="A3707" s="4" t="s">
        <v>4657</v>
      </c>
      <c r="B3707" s="4" t="s">
        <v>4663</v>
      </c>
      <c r="C3707" s="5" t="str">
        <f>IFERROR(__xludf.DUMMYFUNCTION("GOOGLETRANSLATE(B3707,""en"",""zh-CN"")"),"这位女士给出了和平的标志和浪潮。")</f>
        <v>这位女士给出了和平的标志和浪潮。</v>
      </c>
    </row>
    <row r="3708">
      <c r="A3708" s="4" t="s">
        <v>4657</v>
      </c>
      <c r="B3708" s="4" t="s">
        <v>573</v>
      </c>
      <c r="C3708" s="5" t="str">
        <f>IFERROR(__xludf.DUMMYFUNCTION("GOOGLETRANSLATE(B3708,""en"",""zh-CN"")"),"显示了视频的积分。")</f>
        <v>显示了视频的积分。</v>
      </c>
    </row>
    <row r="3709">
      <c r="A3709" s="4" t="s">
        <v>4664</v>
      </c>
      <c r="B3709" s="4" t="s">
        <v>4665</v>
      </c>
      <c r="C3709" s="5" t="str">
        <f>IFERROR(__xludf.DUMMYFUNCTION("GOOGLETRANSLATE(B3709,""en"",""zh-CN"")"),"人们正在跳舞和编舞常规。")</f>
        <v>人们正在跳舞和编舞常规。</v>
      </c>
    </row>
    <row r="3710">
      <c r="A3710" s="4" t="s">
        <v>4664</v>
      </c>
      <c r="B3710" s="4" t="s">
        <v>4666</v>
      </c>
      <c r="C3710" s="5" t="str">
        <f>IFERROR(__xludf.DUMMYFUNCTION("GOOGLETRANSLATE(B3710,""en"",""zh-CN"")"),"他们跳来跳去并在最后拍手。")</f>
        <v>他们跳来跳去并在最后拍手。</v>
      </c>
    </row>
    <row r="3711">
      <c r="A3711" s="4" t="s">
        <v>4667</v>
      </c>
      <c r="B3711" s="4" t="s">
        <v>4668</v>
      </c>
      <c r="C3711" s="5" t="str">
        <f>IFERROR(__xludf.DUMMYFUNCTION("GOOGLETRANSLATE(B3711,""en"",""zh-CN"")"),"看到一个男人跪在小树木周围的大田野中，握着一根棍子。")</f>
        <v>看到一个男人跪在小树木周围的大田野中，握着一根棍子。</v>
      </c>
    </row>
    <row r="3712">
      <c r="A3712" s="4" t="s">
        <v>4667</v>
      </c>
      <c r="B3712" s="4" t="s">
        <v>4669</v>
      </c>
      <c r="C3712" s="5" t="str">
        <f>IFERROR(__xludf.DUMMYFUNCTION("GOOGLETRANSLATE(B3712,""en"",""zh-CN"")"),"然后，那个男人沿着草地砸碎了棍子，将手臂向后移动第四。")</f>
        <v>然后，那个男人沿着草地砸碎了棍子，将手臂向后移动第四。</v>
      </c>
    </row>
    <row r="3713">
      <c r="A3713" s="4" t="s">
        <v>4670</v>
      </c>
      <c r="B3713" s="4" t="s">
        <v>4671</v>
      </c>
      <c r="C3713" s="5" t="str">
        <f>IFERROR(__xludf.DUMMYFUNCTION("GOOGLETRANSLATE(B3713,""en"",""zh-CN"")"),"一个坐在独木舟中的人正在慢慢流下河流。")</f>
        <v>一个坐在独木舟中的人正在慢慢流下河流。</v>
      </c>
    </row>
    <row r="3714">
      <c r="A3714" s="4" t="s">
        <v>4670</v>
      </c>
      <c r="B3714" s="4" t="s">
        <v>4672</v>
      </c>
      <c r="C3714" s="5" t="str">
        <f>IFERROR(__xludf.DUMMYFUNCTION("GOOGLETRANSLATE(B3714,""en"",""zh-CN"")"),"在远处看到了一只鸟的镜头，还有另一只鸟。")</f>
        <v>在远处看到了一只鸟的镜头，还有另一只鸟。</v>
      </c>
    </row>
    <row r="3715">
      <c r="A3715" s="4" t="s">
        <v>4670</v>
      </c>
      <c r="B3715" s="4" t="s">
        <v>4673</v>
      </c>
      <c r="C3715" s="5" t="str">
        <f>IFERROR(__xludf.DUMMYFUNCTION("GOOGLETRANSLATE(B3715,""en"",""zh-CN"")"),"独木舟持续漂浮，而各种鸟则坐在水中以及树木中。")</f>
        <v>独木舟持续漂浮，而各种鸟则坐在水中以及树木中。</v>
      </c>
    </row>
    <row r="3716">
      <c r="A3716" s="4" t="s">
        <v>4674</v>
      </c>
      <c r="B3716" s="4" t="s">
        <v>4675</v>
      </c>
      <c r="C3716" s="5" t="str">
        <f>IFERROR(__xludf.DUMMYFUNCTION("GOOGLETRANSLATE(B3716,""en"",""zh-CN"")"),"一个年轻人正坐在一个房间里，与其他三个人担任新闻主播。")</f>
        <v>一个年轻人正坐在一个房间里，与其他三个人担任新闻主播。</v>
      </c>
    </row>
    <row r="3717">
      <c r="A3717" s="4" t="s">
        <v>4674</v>
      </c>
      <c r="B3717" s="4" t="s">
        <v>4676</v>
      </c>
      <c r="C3717" s="5" t="str">
        <f>IFERROR(__xludf.DUMMYFUNCTION("GOOGLETRANSLATE(B3717,""en"",""zh-CN"")"),"然后，视频翻转到酒吧，并显示奥巴马在玩游泳池游戏。")</f>
        <v>然后，视频翻转到酒吧，并显示奥巴马在玩游泳池游戏。</v>
      </c>
    </row>
    <row r="3718">
      <c r="A3718" s="4" t="s">
        <v>4674</v>
      </c>
      <c r="B3718" s="4" t="s">
        <v>4677</v>
      </c>
      <c r="C3718" s="5" t="str">
        <f>IFERROR(__xludf.DUMMYFUNCTION("GOOGLETRANSLATE(B3718,""en"",""zh-CN"")"),"之后，这四个人再次开始谈论前总统及其服装。")</f>
        <v>之后，这四个人再次开始谈论前总统及其服装。</v>
      </c>
    </row>
    <row r="3719">
      <c r="A3719" s="4" t="s">
        <v>4678</v>
      </c>
      <c r="B3719" s="4" t="s">
        <v>4679</v>
      </c>
      <c r="C3719" s="5" t="str">
        <f>IFERROR(__xludf.DUMMYFUNCTION("GOOGLETRANSLATE(B3719,""en"",""zh-CN"")"),"一个后院出现在外面的几个人。")</f>
        <v>一个后院出现在外面的几个人。</v>
      </c>
    </row>
    <row r="3720">
      <c r="A3720" s="4" t="s">
        <v>4678</v>
      </c>
      <c r="B3720" s="4" t="s">
        <v>4680</v>
      </c>
      <c r="C3720" s="5" t="str">
        <f>IFERROR(__xludf.DUMMYFUNCTION("GOOGLETRANSLATE(B3720,""en"",""zh-CN"")"),"人们正在玩炸弹比赛，轮流击球并击球。")</f>
        <v>人们正在玩炸弹比赛，轮流击球并击球。</v>
      </c>
    </row>
    <row r="3721">
      <c r="A3721" s="4" t="s">
        <v>4681</v>
      </c>
      <c r="B3721" s="4" t="s">
        <v>4682</v>
      </c>
      <c r="C3721" s="5" t="str">
        <f>IFERROR(__xludf.DUMMYFUNCTION("GOOGLETRANSLATE(B3721,""en"",""zh-CN"")"),"人们一边潜入游泳池。")</f>
        <v>人们一边潜入游泳池。</v>
      </c>
    </row>
    <row r="3722">
      <c r="A3722" s="4" t="s">
        <v>4681</v>
      </c>
      <c r="B3722" s="4" t="s">
        <v>4683</v>
      </c>
      <c r="C3722" s="5" t="str">
        <f>IFERROR(__xludf.DUMMYFUNCTION("GOOGLETRANSLATE(B3722,""en"",""zh-CN"")"),"人们站在游泳池里。")</f>
        <v>人们站在游泳池里。</v>
      </c>
    </row>
    <row r="3723">
      <c r="A3723" s="4" t="s">
        <v>4681</v>
      </c>
      <c r="B3723" s="4" t="s">
        <v>4684</v>
      </c>
      <c r="C3723" s="5" t="str">
        <f>IFERROR(__xludf.DUMMYFUNCTION("GOOGLETRANSLATE(B3723,""en"",""zh-CN"")"),"女孩们穿着泳衣在草坪上跳舞。")</f>
        <v>女孩们穿着泳衣在草坪上跳舞。</v>
      </c>
    </row>
    <row r="3724">
      <c r="A3724" s="4" t="s">
        <v>4681</v>
      </c>
      <c r="B3724" s="4" t="s">
        <v>4685</v>
      </c>
      <c r="C3724" s="5" t="str">
        <f>IFERROR(__xludf.DUMMYFUNCTION("GOOGLETRANSLATE(B3724,""en"",""zh-CN"")"),"人们在游泳池里跳来跳去，双臂互相围绕。")</f>
        <v>人们在游泳池里跳来跳去，双臂互相围绕。</v>
      </c>
    </row>
    <row r="3725">
      <c r="A3725" s="4" t="s">
        <v>4681</v>
      </c>
      <c r="B3725" s="4" t="s">
        <v>4686</v>
      </c>
      <c r="C3725" s="5" t="str">
        <f>IFERROR(__xludf.DUMMYFUNCTION("GOOGLETRANSLATE(B3725,""en"",""zh-CN"")"),"人们开始在游泳池里打水马球。")</f>
        <v>人们开始在游泳池里打水马球。</v>
      </c>
    </row>
    <row r="3726">
      <c r="A3726" s="4" t="s">
        <v>4687</v>
      </c>
      <c r="B3726" s="4" t="s">
        <v>4688</v>
      </c>
      <c r="C3726" s="5" t="str">
        <f>IFERROR(__xludf.DUMMYFUNCTION("GOOGLETRANSLATE(B3726,""en"",""zh-CN"")"),"柠檬坐在切菜板上。")</f>
        <v>柠檬坐在切菜板上。</v>
      </c>
    </row>
    <row r="3727">
      <c r="A3727" s="4" t="s">
        <v>4687</v>
      </c>
      <c r="B3727" s="4" t="s">
        <v>4689</v>
      </c>
      <c r="C3727" s="5" t="str">
        <f>IFERROR(__xludf.DUMMYFUNCTION("GOOGLETRANSLATE(B3727,""en"",""zh-CN"")"),"有人将柠檬碎，然后将其挤入玻璃杯中。")</f>
        <v>有人将柠檬碎，然后将其挤入玻璃杯中。</v>
      </c>
    </row>
    <row r="3728">
      <c r="A3728" s="4" t="s">
        <v>4687</v>
      </c>
      <c r="B3728" s="4" t="s">
        <v>4690</v>
      </c>
      <c r="C3728" s="5" t="str">
        <f>IFERROR(__xludf.DUMMYFUNCTION("GOOGLETRANSLATE(B3728,""en"",""zh-CN"")"),"另一半被挤进去。")</f>
        <v>另一半被挤进去。</v>
      </c>
    </row>
    <row r="3729">
      <c r="A3729" s="4" t="s">
        <v>4687</v>
      </c>
      <c r="B3729" s="4" t="s">
        <v>4691</v>
      </c>
      <c r="C3729" s="5" t="str">
        <f>IFERROR(__xludf.DUMMYFUNCTION("GOOGLETRANSLATE(B3729,""en"",""zh-CN"")"),"然后，他们将糖加入混合物中。")</f>
        <v>然后，他们将糖加入混合物中。</v>
      </c>
    </row>
    <row r="3730">
      <c r="A3730" s="4" t="s">
        <v>4692</v>
      </c>
      <c r="B3730" s="4" t="s">
        <v>4693</v>
      </c>
      <c r="C3730" s="5" t="str">
        <f>IFERROR(__xludf.DUMMYFUNCTION("GOOGLETRANSLATE(B3730,""en"",""zh-CN"")"),"看到一台大型起重机坐在地面上，并用墙上的工具通向一个人。")</f>
        <v>看到一台大型起重机坐在地面上，并用墙上的工具通向一个人。</v>
      </c>
    </row>
    <row r="3731">
      <c r="A3731" s="4" t="s">
        <v>4692</v>
      </c>
      <c r="B3731" s="4" t="s">
        <v>4694</v>
      </c>
      <c r="C3731" s="5" t="str">
        <f>IFERROR(__xludf.DUMMYFUNCTION("GOOGLETRANSLATE(B3731,""en"",""zh-CN"")"),"当相机使用该工具在墙上创建火花时，相机继续观看该人的工作。")</f>
        <v>当相机使用该工具在墙上创建火花时，相机继续观看该人的工作。</v>
      </c>
    </row>
    <row r="3732">
      <c r="A3732" s="4" t="s">
        <v>4695</v>
      </c>
      <c r="B3732" s="4" t="s">
        <v>4696</v>
      </c>
      <c r="C3732" s="5" t="str">
        <f>IFERROR(__xludf.DUMMYFUNCTION("GOOGLETRANSLATE(B3732,""en"",""zh-CN"")"),"妇女穿着橡胶滑下一座白雪皑皑的山丘。")</f>
        <v>妇女穿着橡胶滑下一座白雪皑皑的山丘。</v>
      </c>
    </row>
    <row r="3733">
      <c r="A3733" s="4" t="s">
        <v>4695</v>
      </c>
      <c r="B3733" s="4" t="s">
        <v>4697</v>
      </c>
      <c r="C3733" s="5" t="str">
        <f>IFERROR(__xludf.DUMMYFUNCTION("GOOGLETRANSLATE(B3733,""en"",""zh-CN"")"),"女人站着笑着走。")</f>
        <v>女人站着笑着走。</v>
      </c>
    </row>
    <row r="3734">
      <c r="A3734" s="4" t="s">
        <v>4698</v>
      </c>
      <c r="B3734" s="6" t="s">
        <v>4699</v>
      </c>
      <c r="C3734" s="5" t="str">
        <f>IFERROR(__xludf.DUMMYFUNCTION("GOOGLETRANSLATE(B3734,""en"",""zh-CN"")"),"当一个男人骑马和摇摆绳子开始追逐他时，看到一只小牛在沙坑周围奔跑。")</f>
        <v>当一个男人骑马和摇摆绳子开始追逐他时，看到一只小牛在沙坑周围奔跑。</v>
      </c>
    </row>
    <row r="3735">
      <c r="A3735" s="4" t="s">
        <v>4698</v>
      </c>
      <c r="B3735" s="6" t="s">
        <v>4700</v>
      </c>
      <c r="C3735" s="5" t="str">
        <f>IFERROR(__xludf.DUMMYFUNCTION("GOOGLETRANSLATE(B3735,""en"",""zh-CN"")"),"该男子绑住小腿并骑行，而视频则导致一匹马的镜头将骑手踢出后背。")</f>
        <v>该男子绑住小腿并骑行，而视频则导致一匹马的镜头将骑手踢出后背。</v>
      </c>
    </row>
    <row r="3736">
      <c r="A3736" s="4" t="s">
        <v>4698</v>
      </c>
      <c r="B3736" s="4" t="s">
        <v>4701</v>
      </c>
      <c r="C3736" s="5" t="str">
        <f>IFERROR(__xludf.DUMMYFUNCTION("GOOGLETRANSLATE(B3736,""en"",""zh-CN"")"),"当人们最终抓住马时，显示了更多的镜头。")</f>
        <v>当人们最终抓住马时，显示了更多的镜头。</v>
      </c>
    </row>
    <row r="3737">
      <c r="A3737" s="4" t="s">
        <v>4702</v>
      </c>
      <c r="B3737" s="4" t="s">
        <v>4703</v>
      </c>
      <c r="C3737" s="5" t="str">
        <f>IFERROR(__xludf.DUMMYFUNCTION("GOOGLETRANSLATE(B3737,""en"",""zh-CN"")"),"人们正在四处跑去打道奇球。")</f>
        <v>人们正在四处跑去打道奇球。</v>
      </c>
    </row>
    <row r="3738">
      <c r="A3738" s="4" t="s">
        <v>4702</v>
      </c>
      <c r="B3738" s="4" t="s">
        <v>4704</v>
      </c>
      <c r="C3738" s="5" t="str">
        <f>IFERROR(__xludf.DUMMYFUNCTION("GOOGLETRANSLATE(B3738,""en"",""zh-CN"")"),"一个女人拿着照相机拍照。")</f>
        <v>一个女人拿着照相机拍照。</v>
      </c>
    </row>
    <row r="3739">
      <c r="A3739" s="4" t="s">
        <v>4702</v>
      </c>
      <c r="B3739" s="4" t="s">
        <v>4705</v>
      </c>
      <c r="C3739" s="5" t="str">
        <f>IFERROR(__xludf.DUMMYFUNCTION("GOOGLETRANSLATE(B3739,""en"",""zh-CN"")"),"穿着蓝色衬衫的女人与男人合影。")</f>
        <v>穿着蓝色衬衫的女人与男人合影。</v>
      </c>
    </row>
    <row r="3740">
      <c r="A3740" s="4" t="s">
        <v>4706</v>
      </c>
      <c r="B3740" s="4" t="s">
        <v>4707</v>
      </c>
      <c r="C3740" s="5" t="str">
        <f>IFERROR(__xludf.DUMMYFUNCTION("GOOGLETRANSLATE(B3740,""en"",""zh-CN"")"),"一个人站在山顶上。")</f>
        <v>一个人站在山顶上。</v>
      </c>
    </row>
    <row r="3741">
      <c r="A3741" s="4" t="s">
        <v>4706</v>
      </c>
      <c r="B3741" s="4" t="s">
        <v>4708</v>
      </c>
      <c r="C3741" s="5" t="str">
        <f>IFERROR(__xludf.DUMMYFUNCTION("GOOGLETRANSLATE(B3741,""en"",""zh-CN"")"),"一个女人坐在雪橇上。")</f>
        <v>一个女人坐在雪橇上。</v>
      </c>
    </row>
    <row r="3742">
      <c r="A3742" s="4" t="s">
        <v>4706</v>
      </c>
      <c r="B3742" s="4" t="s">
        <v>4709</v>
      </c>
      <c r="C3742" s="5" t="str">
        <f>IFERROR(__xludf.DUMMYFUNCTION("GOOGLETRANSLATE(B3742,""en"",""zh-CN"")"),"然后，她被释放到山下，迅速移动。")</f>
        <v>然后，她被释放到山下，迅速移动。</v>
      </c>
    </row>
    <row r="3743">
      <c r="A3743" s="4" t="s">
        <v>4710</v>
      </c>
      <c r="B3743" s="4" t="s">
        <v>4711</v>
      </c>
      <c r="C3743" s="5" t="str">
        <f>IFERROR(__xludf.DUMMYFUNCTION("GOOGLETRANSLATE(B3743,""en"",""zh-CN"")"),"几个人在网球场上看着一个戴着白帽子的男人。")</f>
        <v>几个人在网球场上看着一个戴着白帽子的男人。</v>
      </c>
    </row>
    <row r="3744">
      <c r="A3744" s="4" t="s">
        <v>4710</v>
      </c>
      <c r="B3744" s="4" t="s">
        <v>4712</v>
      </c>
      <c r="C3744" s="5" t="str">
        <f>IFERROR(__xludf.DUMMYFUNCTION("GOOGLETRANSLATE(B3744,""en"",""zh-CN"")"),"戴着白帽子的那个人握住他的手。")</f>
        <v>戴着白帽子的那个人握住他的手。</v>
      </c>
    </row>
    <row r="3745">
      <c r="A3745" s="4" t="s">
        <v>4710</v>
      </c>
      <c r="B3745" s="4" t="s">
        <v>4713</v>
      </c>
      <c r="C3745" s="5" t="str">
        <f>IFERROR(__xludf.DUMMYFUNCTION("GOOGLETRANSLATE(B3745,""en"",""zh-CN"")"),"球被送达，它在球场外。")</f>
        <v>球被送达，它在球场外。</v>
      </c>
    </row>
    <row r="3746">
      <c r="A3746" s="4" t="s">
        <v>4710</v>
      </c>
      <c r="B3746" s="4" t="s">
        <v>4714</v>
      </c>
      <c r="C3746" s="5" t="str">
        <f>IFERROR(__xludf.DUMMYFUNCTION("GOOGLETRANSLATE(B3746,""en"",""zh-CN"")"),"球被扔给白帽子的男人。")</f>
        <v>球被扔给白帽子的男人。</v>
      </c>
    </row>
    <row r="3747">
      <c r="A3747" s="4" t="s">
        <v>4710</v>
      </c>
      <c r="B3747" s="4" t="s">
        <v>4715</v>
      </c>
      <c r="C3747" s="5" t="str">
        <f>IFERROR(__xludf.DUMMYFUNCTION("GOOGLETRANSLATE(B3747,""en"",""zh-CN"")"),"戴着白帽的男人准备给球。")</f>
        <v>戴着白帽的男人准备给球。</v>
      </c>
    </row>
    <row r="3748">
      <c r="A3748" s="4" t="s">
        <v>4716</v>
      </c>
      <c r="B3748" s="4" t="s">
        <v>4717</v>
      </c>
      <c r="C3748" s="5" t="str">
        <f>IFERROR(__xludf.DUMMYFUNCTION("GOOGLETRANSLATE(B3748,""en"",""zh-CN"")"),"一个男人在外面和他的朋友一起抽烟。")</f>
        <v>一个男人在外面和他的朋友一起抽烟。</v>
      </c>
    </row>
    <row r="3749">
      <c r="A3749" s="4" t="s">
        <v>4716</v>
      </c>
      <c r="B3749" s="4" t="s">
        <v>4718</v>
      </c>
      <c r="C3749" s="5" t="str">
        <f>IFERROR(__xludf.DUMMYFUNCTION("GOOGLETRANSLATE(B3749,""en"",""zh-CN"")"),"他们只是坐着放松的吹烟。")</f>
        <v>他们只是坐着放松的吹烟。</v>
      </c>
    </row>
    <row r="3750">
      <c r="A3750" s="4" t="s">
        <v>4716</v>
      </c>
      <c r="B3750" s="4" t="s">
        <v>4719</v>
      </c>
      <c r="C3750" s="5" t="str">
        <f>IFERROR(__xludf.DUMMYFUNCTION("GOOGLETRANSLATE(B3750,""en"",""zh-CN"")"),"另一个带相机的人坐着聊天。")</f>
        <v>另一个带相机的人坐着聊天。</v>
      </c>
    </row>
    <row r="3751">
      <c r="A3751" s="4" t="s">
        <v>4716</v>
      </c>
      <c r="B3751" s="4" t="s">
        <v>4720</v>
      </c>
      <c r="C3751" s="5" t="str">
        <f>IFERROR(__xludf.DUMMYFUNCTION("GOOGLETRANSLATE(B3751,""en"",""zh-CN"")"),"这是放松身心并与朋友一起抽烟的好日子。")</f>
        <v>这是放松身心并与朋友一起抽烟的好日子。</v>
      </c>
    </row>
    <row r="3752">
      <c r="A3752" s="4" t="s">
        <v>4721</v>
      </c>
      <c r="B3752" s="4" t="s">
        <v>4722</v>
      </c>
      <c r="C3752" s="5" t="str">
        <f>IFERROR(__xludf.DUMMYFUNCTION("GOOGLETRANSLATE(B3752,""en"",""zh-CN"")"),"两个人在棒球场上奔跑。")</f>
        <v>两个人在棒球场上奔跑。</v>
      </c>
    </row>
    <row r="3753">
      <c r="A3753" s="4" t="s">
        <v>4721</v>
      </c>
      <c r="B3753" s="4" t="s">
        <v>4723</v>
      </c>
      <c r="C3753" s="5" t="str">
        <f>IFERROR(__xludf.DUMMYFUNCTION("GOOGLETRANSLATE(B3753,""en"",""zh-CN"")"),"一个球出现，落在本垒板上的地面上，一个人踢了它。")</f>
        <v>一个球出现，落在本垒板上的地面上，一个人踢了它。</v>
      </c>
    </row>
    <row r="3754">
      <c r="A3754" s="4" t="s">
        <v>4721</v>
      </c>
      <c r="B3754" s="4" t="s">
        <v>4724</v>
      </c>
      <c r="C3754" s="5" t="str">
        <f>IFERROR(__xludf.DUMMYFUNCTION("GOOGLETRANSLATE(B3754,""en"",""zh-CN"")"),"球场上的另一个男人接球。")</f>
        <v>球场上的另一个男人接球。</v>
      </c>
    </row>
    <row r="3755">
      <c r="A3755" s="4" t="s">
        <v>4721</v>
      </c>
      <c r="B3755" s="4" t="s">
        <v>4725</v>
      </c>
      <c r="C3755" s="5" t="str">
        <f>IFERROR(__xludf.DUMMYFUNCTION("GOOGLETRANSLATE(B3755,""en"",""zh-CN"")"),"带球队的那个人跑到了他身上。")</f>
        <v>带球队的那个人跑到了他身上。</v>
      </c>
    </row>
    <row r="3756">
      <c r="A3756" s="4" t="s">
        <v>4721</v>
      </c>
      <c r="B3756" s="4" t="s">
        <v>4726</v>
      </c>
      <c r="C3756" s="5" t="str">
        <f>IFERROR(__xludf.DUMMYFUNCTION("GOOGLETRANSLATE(B3756,""en"",""zh-CN"")"),"我们再次看到剧本慢动作。")</f>
        <v>我们再次看到剧本慢动作。</v>
      </c>
    </row>
    <row r="3757">
      <c r="A3757" s="4" t="s">
        <v>4727</v>
      </c>
      <c r="B3757" s="4" t="s">
        <v>4728</v>
      </c>
      <c r="C3757" s="5" t="str">
        <f>IFERROR(__xludf.DUMMYFUNCTION("GOOGLETRANSLATE(B3757,""en"",""zh-CN"")"),"我们看到一个带有辫子的女孩，然后在她的头发上颤抖卷发。")</f>
        <v>我们看到一个带有辫子的女孩，然后在她的头发上颤抖卷发。</v>
      </c>
    </row>
    <row r="3758">
      <c r="A3758" s="4" t="s">
        <v>4727</v>
      </c>
      <c r="B3758" s="4" t="s">
        <v>4729</v>
      </c>
      <c r="C3758" s="5" t="str">
        <f>IFERROR(__xludf.DUMMYFUNCTION("GOOGLETRANSLATE(B3758,""en"",""zh-CN"")"),"我们看着女孩卷曲并编织头发时。")</f>
        <v>我们看着女孩卷曲并编织头发时。</v>
      </c>
    </row>
    <row r="3759">
      <c r="A3759" s="4" t="s">
        <v>4727</v>
      </c>
      <c r="B3759" s="4" t="s">
        <v>4730</v>
      </c>
      <c r="C3759" s="5" t="str">
        <f>IFERROR(__xludf.DUMMYFUNCTION("GOOGLETRANSLATE(B3759,""en"",""zh-CN"")"),"那个女孩用卷发熨斗并卷曲头发。")</f>
        <v>那个女孩用卷发熨斗并卷曲头发。</v>
      </c>
    </row>
    <row r="3760">
      <c r="A3760" s="4" t="s">
        <v>4727</v>
      </c>
      <c r="B3760" s="4" t="s">
        <v>4731</v>
      </c>
      <c r="C3760" s="5" t="str">
        <f>IFERROR(__xludf.DUMMYFUNCTION("GOOGLETRANSLATE(B3760,""en"",""zh-CN"")"),"然后，她辫子，将头发扭成辫子。")</f>
        <v>然后，她辫子，将头发扭成辫子。</v>
      </c>
    </row>
    <row r="3761">
      <c r="A3761" s="4" t="s">
        <v>4727</v>
      </c>
      <c r="B3761" s="4" t="s">
        <v>4732</v>
      </c>
      <c r="C3761" s="5" t="str">
        <f>IFERROR(__xludf.DUMMYFUNCTION("GOOGLETRANSLATE(B3761,""en"",""zh-CN"")"),"这个女孩向我们展示了她的头发后部，然后用卷发的铁卷曲底部。")</f>
        <v>这个女孩向我们展示了她的头发后部，然后用卷发的铁卷曲底部。</v>
      </c>
    </row>
    <row r="3762">
      <c r="A3762" s="4" t="s">
        <v>4727</v>
      </c>
      <c r="B3762" s="4" t="s">
        <v>4733</v>
      </c>
      <c r="C3762" s="5" t="str">
        <f>IFERROR(__xludf.DUMMYFUNCTION("GOOGLETRANSLATE(B3762,""en"",""zh-CN"")"),"女孩做面孔，结束标题屏幕随后加载。")</f>
        <v>女孩做面孔，结束标题屏幕随后加载。</v>
      </c>
    </row>
    <row r="3763">
      <c r="A3763" s="4" t="s">
        <v>4734</v>
      </c>
      <c r="B3763" s="4" t="s">
        <v>4735</v>
      </c>
      <c r="C3763" s="5" t="str">
        <f>IFERROR(__xludf.DUMMYFUNCTION("GOOGLETRANSLATE(B3763,""en"",""zh-CN"")"),"摄像机竖起了住所的院子。")</f>
        <v>摄像机竖起了住所的院子。</v>
      </c>
    </row>
    <row r="3764">
      <c r="A3764" s="4" t="s">
        <v>4734</v>
      </c>
      <c r="B3764" s="6" t="s">
        <v>4736</v>
      </c>
      <c r="C3764" s="5" t="str">
        <f>IFERROR(__xludf.DUMMYFUNCTION("GOOGLETRANSLATE(B3764,""en"",""zh-CN"")"),"一个戴着白色连帽衫和黑色连衣裙的男人用白色条纹割草，用割草机割草。")</f>
        <v>一个戴着白色连帽衫和黑色连衣裙的男人用白色条纹割草，用割草机割草。</v>
      </c>
    </row>
    <row r="3765">
      <c r="A3765" s="4" t="s">
        <v>4734</v>
      </c>
      <c r="B3765" s="6" t="s">
        <v>4737</v>
      </c>
      <c r="C3765" s="5" t="str">
        <f>IFERROR(__xludf.DUMMYFUNCTION("GOOGLETRANSLATE(B3765,""en"",""zh-CN"")"),"当男人继续割草院子时，摄像机捕获了一场暴风雨开始，在院子里下雨。")</f>
        <v>当男人继续割草院子时，摄像机捕获了一场暴风雨开始，在院子里下雨。</v>
      </c>
    </row>
    <row r="3766">
      <c r="A3766" s="4" t="s">
        <v>4738</v>
      </c>
      <c r="B3766" s="4" t="s">
        <v>4739</v>
      </c>
      <c r="C3766" s="5" t="str">
        <f>IFERROR(__xludf.DUMMYFUNCTION("GOOGLETRANSLATE(B3766,""en"",""zh-CN"")"),"一个女人正在编织她的头发。")</f>
        <v>一个女人正在编织她的头发。</v>
      </c>
    </row>
    <row r="3767">
      <c r="A3767" s="4" t="s">
        <v>4738</v>
      </c>
      <c r="B3767" s="4" t="s">
        <v>4740</v>
      </c>
      <c r="C3767" s="5" t="str">
        <f>IFERROR(__xludf.DUMMYFUNCTION("GOOGLETRANSLATE(B3767,""en"",""zh-CN"")"),"她正在跨越链。")</f>
        <v>她正在跨越链。</v>
      </c>
    </row>
    <row r="3768">
      <c r="A3768" s="4" t="s">
        <v>4738</v>
      </c>
      <c r="B3768" s="4" t="s">
        <v>4741</v>
      </c>
      <c r="C3768" s="5" t="str">
        <f>IFERROR(__xludf.DUMMYFUNCTION("GOOGLETRANSLATE(B3768,""en"",""zh-CN"")"),"她的辫子在一侧完成，下一侧继续。")</f>
        <v>她的辫子在一侧完成，下一侧继续。</v>
      </c>
    </row>
    <row r="3769">
      <c r="A3769" s="4" t="s">
        <v>4738</v>
      </c>
      <c r="B3769" s="4" t="s">
        <v>4742</v>
      </c>
      <c r="C3769" s="5" t="str">
        <f>IFERROR(__xludf.DUMMYFUNCTION("GOOGLETRANSLATE(B3769,""en"",""zh-CN"")"),"交叉并在辫子上添加头发。")</f>
        <v>交叉并在辫子上添加头发。</v>
      </c>
    </row>
    <row r="3770">
      <c r="A3770" s="4" t="s">
        <v>4738</v>
      </c>
      <c r="B3770" s="4" t="s">
        <v>4743</v>
      </c>
      <c r="C3770" s="5" t="str">
        <f>IFERROR(__xludf.DUMMYFUNCTION("GOOGLETRANSLATE(B3770,""en"",""zh-CN"")"),"她结束并转过身，将背部放回马尾辫中。")</f>
        <v>她结束并转过身，将背部放回马尾辫中。</v>
      </c>
    </row>
    <row r="3771">
      <c r="A3771" s="4" t="s">
        <v>4744</v>
      </c>
      <c r="B3771" s="4" t="s">
        <v>4745</v>
      </c>
      <c r="C3771" s="5" t="str">
        <f>IFERROR(__xludf.DUMMYFUNCTION("GOOGLETRANSLATE(B3771,""en"",""zh-CN"")"),"一个男人和一个女人坐在桌子后面。")</f>
        <v>一个男人和一个女人坐在桌子后面。</v>
      </c>
    </row>
    <row r="3772">
      <c r="A3772" s="4" t="s">
        <v>4744</v>
      </c>
      <c r="B3772" s="4" t="s">
        <v>4746</v>
      </c>
      <c r="C3772" s="5" t="str">
        <f>IFERROR(__xludf.DUMMYFUNCTION("GOOGLETRANSLATE(B3772,""en"",""zh-CN"")"),"该男子将饮料倒入桌子上的几杯眼镜中。")</f>
        <v>该男子将饮料倒入桌子上的几杯眼镜中。</v>
      </c>
    </row>
    <row r="3773">
      <c r="A3773" s="4" t="s">
        <v>4744</v>
      </c>
      <c r="B3773" s="4" t="s">
        <v>4747</v>
      </c>
      <c r="C3773" s="5" t="str">
        <f>IFERROR(__xludf.DUMMYFUNCTION("GOOGLETRANSLATE(B3773,""en"",""zh-CN"")"),"一个女人在桌上喝一杯。")</f>
        <v>一个女人在桌上喝一杯。</v>
      </c>
    </row>
    <row r="3774">
      <c r="A3774" s="4" t="s">
        <v>4744</v>
      </c>
      <c r="B3774" s="4" t="s">
        <v>4748</v>
      </c>
      <c r="C3774" s="5" t="str">
        <f>IFERROR(__xludf.DUMMYFUNCTION("GOOGLETRANSLATE(B3774,""en"",""zh-CN"")"),"她将一个蓝色的瓶子倒入饮料中。")</f>
        <v>她将一个蓝色的瓶子倒入饮料中。</v>
      </c>
    </row>
    <row r="3775">
      <c r="A3775" s="4" t="s">
        <v>4744</v>
      </c>
      <c r="B3775" s="4" t="s">
        <v>4749</v>
      </c>
      <c r="C3775" s="5" t="str">
        <f>IFERROR(__xludf.DUMMYFUNCTION("GOOGLETRANSLATE(B3775,""en"",""zh-CN"")"),"她将饮料倒入桌子上的较小眼镜中。")</f>
        <v>她将饮料倒入桌子上的较小眼镜中。</v>
      </c>
    </row>
    <row r="3776">
      <c r="A3776" s="4" t="s">
        <v>4750</v>
      </c>
      <c r="B3776" s="6" t="s">
        <v>4751</v>
      </c>
      <c r="C3776" s="5" t="str">
        <f>IFERROR(__xludf.DUMMYFUNCTION("GOOGLETRANSLATE(B3776,""en"",""zh-CN"")"),"穿着黑色背心的男人独自与另一个跪在地板上的男人一起摔跤。")</f>
        <v>穿着黑色背心的男人独自与另一个跪在地板上的男人一起摔跤。</v>
      </c>
    </row>
    <row r="3777">
      <c r="A3777" s="4" t="s">
        <v>4750</v>
      </c>
      <c r="B3777" s="4" t="s">
        <v>4752</v>
      </c>
      <c r="C3777" s="5" t="str">
        <f>IFERROR(__xludf.DUMMYFUNCTION("GOOGLETRANSLATE(B3777,""en"",""zh-CN"")"),"另外两个人进入了戒指，正在为中心摔跤。")</f>
        <v>另外两个人进入了戒指，正在为中心摔跤。</v>
      </c>
    </row>
    <row r="3778">
      <c r="A3778" s="4" t="s">
        <v>4750</v>
      </c>
      <c r="B3778" s="4" t="s">
        <v>4753</v>
      </c>
      <c r="C3778" s="5" t="str">
        <f>IFERROR(__xludf.DUMMYFUNCTION("GOOGLETRANSLATE(B3778,""en"",""zh-CN"")"),"人们围着摔跤。")</f>
        <v>人们围着摔跤。</v>
      </c>
    </row>
    <row r="3779">
      <c r="A3779" s="4" t="s">
        <v>4750</v>
      </c>
      <c r="B3779" s="4" t="s">
        <v>4754</v>
      </c>
      <c r="C3779" s="5" t="str">
        <f>IFERROR(__xludf.DUMMYFUNCTION("GOOGLETRANSLATE(B3779,""en"",""zh-CN"")"),"三名新闻记者正穿着西装，看着男人。")</f>
        <v>三名新闻记者正穿着西装，看着男人。</v>
      </c>
    </row>
    <row r="3780">
      <c r="A3780" s="4" t="s">
        <v>4755</v>
      </c>
      <c r="B3780" s="4" t="s">
        <v>4756</v>
      </c>
      <c r="C3780" s="5" t="str">
        <f>IFERROR(__xludf.DUMMYFUNCTION("GOOGLETRANSLATE(B3780,""en"",""zh-CN"")"),"介绍出现在屏幕上，以获取有关包装礼物的视频。")</f>
        <v>介绍出现在屏幕上，以获取有关包装礼物的视频。</v>
      </c>
    </row>
    <row r="3781">
      <c r="A3781" s="4" t="s">
        <v>4755</v>
      </c>
      <c r="B3781" s="4" t="s">
        <v>4757</v>
      </c>
      <c r="C3781" s="5" t="str">
        <f>IFERROR(__xludf.DUMMYFUNCTION("GOOGLETRANSLATE(B3781,""en"",""zh-CN"")"),"几个不同的特写镜头是包装礼物和礼品包装用品的表演。")</f>
        <v>几个不同的特写镜头是包装礼物和礼品包装用品的表演。</v>
      </c>
    </row>
    <row r="3782">
      <c r="A3782" s="4" t="s">
        <v>4755</v>
      </c>
      <c r="B3782" s="4" t="s">
        <v>4758</v>
      </c>
      <c r="C3782" s="5" t="str">
        <f>IFERROR(__xludf.DUMMYFUNCTION("GOOGLETRANSLATE(B3782,""en"",""zh-CN"")"),"一个人来到屏幕上，开始包裹礼物。")</f>
        <v>一个人来到屏幕上，开始包裹礼物。</v>
      </c>
    </row>
    <row r="3783">
      <c r="A3783" s="4" t="s">
        <v>4755</v>
      </c>
      <c r="B3783" s="4" t="s">
        <v>4759</v>
      </c>
      <c r="C3783" s="5" t="str">
        <f>IFERROR(__xludf.DUMMYFUNCTION("GOOGLETRANSLATE(B3783,""en"",""zh-CN"")"),"她用丝带和附件来装饰礼物。")</f>
        <v>她用丝带和附件来装饰礼物。</v>
      </c>
    </row>
    <row r="3784">
      <c r="A3784" s="4" t="s">
        <v>4755</v>
      </c>
      <c r="B3784" s="4" t="s">
        <v>4760</v>
      </c>
      <c r="C3784" s="5" t="str">
        <f>IFERROR(__xludf.DUMMYFUNCTION("GOOGLETRANSLATE(B3784,""en"",""zh-CN"")"),"然后，其他几个礼物包装的想法将在一个接一个地显示。")</f>
        <v>然后，其他几个礼物包装的想法将在一个接一个地显示。</v>
      </c>
    </row>
    <row r="3785">
      <c r="A3785" s="4" t="s">
        <v>4755</v>
      </c>
      <c r="B3785" s="4" t="s">
        <v>4761</v>
      </c>
      <c r="C3785" s="5" t="str">
        <f>IFERROR(__xludf.DUMMYFUNCTION("GOOGLETRANSLATE(B3785,""en"",""zh-CN"")"),"视频以屏幕上显示的结尾学分结束。")</f>
        <v>视频以屏幕上显示的结尾学分结束。</v>
      </c>
    </row>
    <row r="3786">
      <c r="A3786" s="4" t="s">
        <v>4762</v>
      </c>
      <c r="B3786" s="4" t="s">
        <v>4763</v>
      </c>
      <c r="C3786" s="5" t="str">
        <f>IFERROR(__xludf.DUMMYFUNCTION("GOOGLETRANSLATE(B3786,""en"",""zh-CN"")"),"一个摄像机沿着一长串清单，进入一群男人，一个人与他们交谈。")</f>
        <v>一个摄像机沿着一长串清单，进入一群男人，一个人与他们交谈。</v>
      </c>
    </row>
    <row r="3787">
      <c r="A3787" s="4" t="s">
        <v>4762</v>
      </c>
      <c r="B3787" s="4" t="s">
        <v>4764</v>
      </c>
      <c r="C3787" s="5" t="str">
        <f>IFERROR(__xludf.DUMMYFUNCTION("GOOGLETRANSLATE(B3787,""en"",""zh-CN"")"),"两个男人握手，开始沿着长纸滚动油漆。")</f>
        <v>两个男人握手，开始沿着长纸滚动油漆。</v>
      </c>
    </row>
    <row r="3788">
      <c r="A3788" s="4" t="s">
        <v>4762</v>
      </c>
      <c r="B3788" s="4" t="s">
        <v>4765</v>
      </c>
      <c r="C3788" s="5" t="str">
        <f>IFERROR(__xludf.DUMMYFUNCTION("GOOGLETRANSLATE(B3788,""en"",""zh-CN"")"),"他们竞争将纸放在长墙上，并随后尺寸的墙壁尺寸。")</f>
        <v>他们竞争将纸放在长墙上，并随后尺寸的墙壁尺寸。</v>
      </c>
    </row>
    <row r="3789">
      <c r="A3789" s="4" t="s">
        <v>4762</v>
      </c>
      <c r="B3789" s="6" t="s">
        <v>4766</v>
      </c>
      <c r="C3789" s="5" t="str">
        <f>IFERROR(__xludf.DUMMYFUNCTION("GOOGLETRANSLATE(B3789,""en"",""zh-CN"")"),"当人们继续写下记录和高分的图片时，这些人拳头撞另一个，握手。")</f>
        <v>当人们继续写下记录和高分的图片时，这些人拳头撞另一个，握手。</v>
      </c>
    </row>
    <row r="3790">
      <c r="A3790" s="4" t="s">
        <v>4767</v>
      </c>
      <c r="B3790" s="4" t="s">
        <v>4768</v>
      </c>
      <c r="C3790" s="5" t="str">
        <f>IFERROR(__xludf.DUMMYFUNCTION("GOOGLETRANSLATE(B3790,""en"",""zh-CN"")"),"一个女人坐在家里外面，用充满水和肥皂的浴缸里洗衣服。")</f>
        <v>一个女人坐在家里外面，用充满水和肥皂的浴缸里洗衣服。</v>
      </c>
    </row>
    <row r="3791">
      <c r="A3791" s="4" t="s">
        <v>4767</v>
      </c>
      <c r="B3791" s="4" t="s">
        <v>4769</v>
      </c>
      <c r="C3791" s="5" t="str">
        <f>IFERROR(__xludf.DUMMYFUNCTION("GOOGLETRANSLATE(B3791,""en"",""zh-CN"")"),"她从浴缸里取出衣服，然后将它们浸入另一个装满水的浴缸中。")</f>
        <v>她从浴缸里取出衣服，然后将它们浸入另一个装满水的浴缸中。</v>
      </c>
    </row>
    <row r="3792">
      <c r="A3792" s="4" t="s">
        <v>4767</v>
      </c>
      <c r="B3792" s="4" t="s">
        <v>4770</v>
      </c>
      <c r="C3792" s="5" t="str">
        <f>IFERROR(__xludf.DUMMYFUNCTION("GOOGLETRANSLATE(B3792,""en"",""zh-CN"")"),"她将水管放入水桶中。")</f>
        <v>她将水管放入水桶中。</v>
      </c>
    </row>
    <row r="3793">
      <c r="A3793" s="4" t="s">
        <v>4767</v>
      </c>
      <c r="B3793" s="4" t="s">
        <v>4771</v>
      </c>
      <c r="C3793" s="5" t="str">
        <f>IFERROR(__xludf.DUMMYFUNCTION("GOOGLETRANSLATE(B3793,""en"",""zh-CN"")"),"她在肥皂水中增加了更多的衣服，并继续洗衣服。")</f>
        <v>她在肥皂水中增加了更多的衣服，并继续洗衣服。</v>
      </c>
    </row>
    <row r="3794">
      <c r="A3794" s="4" t="s">
        <v>4772</v>
      </c>
      <c r="B3794" s="4" t="s">
        <v>4773</v>
      </c>
      <c r="C3794" s="5" t="str">
        <f>IFERROR(__xludf.DUMMYFUNCTION("GOOGLETRANSLATE(B3794,""en"",""zh-CN"")"),"老人正站在一个年轻人面前和他说话。")</f>
        <v>老人正站在一个年轻人面前和他说话。</v>
      </c>
    </row>
    <row r="3795">
      <c r="A3795" s="4" t="s">
        <v>4772</v>
      </c>
      <c r="B3795" s="6" t="s">
        <v>4774</v>
      </c>
      <c r="C3795" s="5" t="str">
        <f>IFERROR(__xludf.DUMMYFUNCTION("GOOGLETRANSLATE(B3795,""en"",""zh-CN"")"),"年轻人正处于舞台的中间，它的手上散布着白色的cram，走路做了深刻的berath。")</f>
        <v>年轻人正处于舞台的中间，它的手上散布着白色的cram，走路做了深刻的berath。</v>
      </c>
    </row>
    <row r="3796">
      <c r="A3796" s="4" t="s">
        <v>4772</v>
      </c>
      <c r="B3796" s="4" t="s">
        <v>4775</v>
      </c>
      <c r="C3796" s="5" t="str">
        <f>IFERROR(__xludf.DUMMYFUNCTION("GOOGLETRANSLATE(B3796,""en"",""zh-CN"")"),"人准备在白色舞台中举起重量，吉姆背后的人鼓掌。")</f>
        <v>人准备在白色舞台中举起重量，吉姆背后的人鼓掌。</v>
      </c>
    </row>
    <row r="3797">
      <c r="A3797" s="4" t="s">
        <v>4776</v>
      </c>
      <c r="B3797" s="6" t="s">
        <v>4777</v>
      </c>
      <c r="C3797" s="5" t="str">
        <f>IFERROR(__xludf.DUMMYFUNCTION("GOOGLETRANSLATE(B3797,""en"",""zh-CN"")"),"一个穿着紫色紧身衣裤的女人在她的背上戴围兜，在大量观众面前靠近木制平衡梁，为她加油打气。")</f>
        <v>一个穿着紫色紧身衣裤的女人在她的背上戴围兜，在大量观众面前靠近木制平衡梁，为她加油打气。</v>
      </c>
    </row>
    <row r="3798">
      <c r="A3798" s="4" t="s">
        <v>4776</v>
      </c>
      <c r="B3798" s="6" t="s">
        <v>4778</v>
      </c>
      <c r="C3798" s="5" t="str">
        <f>IFERROR(__xludf.DUMMYFUNCTION("GOOGLETRANSLATE(B3798,""en"",""zh-CN"")"),"女人跳到平衡梁上，一个男人迅速抓住了她用来跳到平衡梁并将其从该区域中取出的坡道。")</f>
        <v>女人跳到平衡梁上，一个男人迅速抓住了她用来跳到平衡梁并将其从该区域中取出的坡道。</v>
      </c>
    </row>
    <row r="3799">
      <c r="A3799" s="4" t="s">
        <v>4776</v>
      </c>
      <c r="B3799" s="4" t="s">
        <v>4779</v>
      </c>
      <c r="C3799" s="5" t="str">
        <f>IFERROR(__xludf.DUMMYFUNCTION("GOOGLETRANSLATE(B3799,""en"",""zh-CN"")"),"女人开始了她的日常工作，其中包括跳跃，翻转和小型舞蹈动作。")</f>
        <v>女人开始了她的日常工作，其中包括跳跃，翻转和小型舞蹈动作。</v>
      </c>
    </row>
    <row r="3800">
      <c r="A3800" s="4" t="s">
        <v>4776</v>
      </c>
      <c r="B3800" s="6" t="s">
        <v>4780</v>
      </c>
      <c r="C3800" s="5" t="str">
        <f>IFERROR(__xludf.DUMMYFUNCTION("GOOGLETRANSLATE(B3800,""en"",""zh-CN"")"),"在例行过程中，女人会翻转，稍微失去了平衡，但迅速恢复并保持在平衡梁上。")</f>
        <v>在例行过程中，女人会翻转，稍微失去了平衡，但迅速恢复并保持在平衡梁上。</v>
      </c>
    </row>
    <row r="3801">
      <c r="A3801" s="4" t="s">
        <v>4776</v>
      </c>
      <c r="B3801" s="6" t="s">
        <v>4781</v>
      </c>
      <c r="C3801" s="5" t="str">
        <f>IFERROR(__xludf.DUMMYFUNCTION("GOOGLETRANSLATE(B3801,""en"",""zh-CN"")"),"女人走到平衡束的最远的一端，脸上有一个非常集中的外观，她迅速从平衡梁上进行了一系列翻转，落在她的脚上，将她的两只手臂扔在空中，然后挥手向观众欢呼雀跃。")</f>
        <v>女人走到平衡束的最远的一端，脸上有一个非常集中的外观，她迅速从平衡梁上进行了一系列翻转，落在她的脚上，将她的两只手臂扔在空中，然后挥手向观众欢呼雀跃。</v>
      </c>
    </row>
    <row r="3802">
      <c r="A3802" s="4" t="s">
        <v>4782</v>
      </c>
      <c r="B3802" s="4" t="s">
        <v>4783</v>
      </c>
      <c r="C3802" s="5" t="str">
        <f>IFERROR(__xludf.DUMMYFUNCTION("GOOGLETRANSLATE(B3802,""en"",""zh-CN"")"),"人们在草地上打棒球。")</f>
        <v>人们在草地上打棒球。</v>
      </c>
    </row>
    <row r="3803">
      <c r="A3803" s="4" t="s">
        <v>4782</v>
      </c>
      <c r="B3803" s="4" t="s">
        <v>4784</v>
      </c>
      <c r="C3803" s="5" t="str">
        <f>IFERROR(__xludf.DUMMYFUNCTION("GOOGLETRANSLATE(B3803,""en"",""zh-CN"")"),"穿着蓝色衬衫的人摔倒了棒球。")</f>
        <v>穿着蓝色衬衫的人摔倒了棒球。</v>
      </c>
    </row>
    <row r="3804">
      <c r="A3804" s="4" t="s">
        <v>4782</v>
      </c>
      <c r="B3804" s="4" t="s">
        <v>4785</v>
      </c>
      <c r="C3804" s="5" t="str">
        <f>IFERROR(__xludf.DUMMYFUNCTION("GOOGLETRANSLATE(B3804,""en"",""zh-CN"")"),"观众在场地上跳舞。")</f>
        <v>观众在场地上跳舞。</v>
      </c>
    </row>
    <row r="3805">
      <c r="A3805" s="4" t="s">
        <v>4786</v>
      </c>
      <c r="B3805" s="6" t="s">
        <v>4787</v>
      </c>
      <c r="C3805" s="5" t="str">
        <f>IFERROR(__xludf.DUMMYFUNCTION("GOOGLETRANSLATE(B3805,""en"",""zh-CN"")"),"看到一个人站在海滩上，他的面前有足球，一个人站在进球中。")</f>
        <v>看到一个人站在海滩上，他的面前有足球，一个人站在进球中。</v>
      </c>
    </row>
    <row r="3806">
      <c r="A3806" s="4" t="s">
        <v>4786</v>
      </c>
      <c r="B3806" s="4" t="s">
        <v>4788</v>
      </c>
      <c r="C3806" s="5" t="str">
        <f>IFERROR(__xludf.DUMMYFUNCTION("GOOGLETRANSLATE(B3806,""en"",""zh-CN"")"),"然后，该人将球几次踢向守门员。")</f>
        <v>然后，该人将球几次踢向守门员。</v>
      </c>
    </row>
    <row r="3807">
      <c r="A3807" s="4" t="s">
        <v>4786</v>
      </c>
      <c r="B3807" s="4" t="s">
        <v>4789</v>
      </c>
      <c r="C3807" s="5" t="str">
        <f>IFERROR(__xludf.DUMMYFUNCTION("GOOGLETRANSLATE(B3807,""en"",""zh-CN"")"),"守门员试图阻止针对网的射门。")</f>
        <v>守门员试图阻止针对网的射门。</v>
      </c>
    </row>
    <row r="3808">
      <c r="A3808" s="4" t="s">
        <v>4790</v>
      </c>
      <c r="B3808" s="4" t="s">
        <v>4791</v>
      </c>
      <c r="C3808" s="5" t="str">
        <f>IFERROR(__xludf.DUMMYFUNCTION("GOOGLETRANSLATE(B3808,""en"",""zh-CN"")"),"一个男人躺在床上醒来。")</f>
        <v>一个男人躺在床上醒来。</v>
      </c>
    </row>
    <row r="3809">
      <c r="A3809" s="4" t="s">
        <v>4790</v>
      </c>
      <c r="B3809" s="4" t="s">
        <v>4792</v>
      </c>
      <c r="C3809" s="5" t="str">
        <f>IFERROR(__xludf.DUMMYFUNCTION("GOOGLETRANSLATE(B3809,""en"",""zh-CN"")"),"该男子喝一杯咖啡。")</f>
        <v>该男子喝一杯咖啡。</v>
      </c>
    </row>
    <row r="3810">
      <c r="A3810" s="4" t="s">
        <v>4790</v>
      </c>
      <c r="B3810" s="4" t="s">
        <v>4793</v>
      </c>
      <c r="C3810" s="5" t="str">
        <f>IFERROR(__xludf.DUMMYFUNCTION("GOOGLETRANSLATE(B3810,""en"",""zh-CN"")"),"该男子从杯子里喝酒，当他降低杯子时，该男子是美国队长的衣服。")</f>
        <v>该男子从杯子里喝酒，当他降低杯子时，该男子是美国队长的衣服。</v>
      </c>
    </row>
    <row r="3811">
      <c r="A3811" s="4" t="s">
        <v>4794</v>
      </c>
      <c r="B3811" s="4" t="s">
        <v>4795</v>
      </c>
      <c r="C3811" s="5" t="str">
        <f>IFERROR(__xludf.DUMMYFUNCTION("GOOGLETRANSLATE(B3811,""en"",""zh-CN"")"),"看到一个年轻的女孩在一群人面前表演腹部舞蹈。")</f>
        <v>看到一个年轻的女孩在一群人面前表演腹部舞蹈。</v>
      </c>
    </row>
    <row r="3812">
      <c r="A3812" s="4" t="s">
        <v>4794</v>
      </c>
      <c r="B3812" s="6" t="s">
        <v>4796</v>
      </c>
      <c r="C3812" s="5" t="str">
        <f>IFERROR(__xludf.DUMMYFUNCTION("GOOGLETRANSLATE(B3812,""en"",""zh-CN"")"),"女孩继续在观众面前挥舞着胳膊和腿，并通过鞠躬和吹一个吻结束。")</f>
        <v>女孩继续在观众面前挥舞着胳膊和腿，并通过鞠躬和吹一个吻结束。</v>
      </c>
    </row>
    <row r="3813">
      <c r="A3813" s="4" t="s">
        <v>4797</v>
      </c>
      <c r="B3813" s="4" t="s">
        <v>4798</v>
      </c>
      <c r="C3813" s="5" t="str">
        <f>IFERROR(__xludf.DUMMYFUNCTION("GOOGLETRANSLATE(B3813,""en"",""zh-CN"")"),"一个站在熨衣板后面的女人抓住了一条裤子。")</f>
        <v>一个站在熨衣板后面的女人抓住了一条裤子。</v>
      </c>
    </row>
    <row r="3814">
      <c r="A3814" s="4" t="s">
        <v>4797</v>
      </c>
      <c r="B3814" s="4" t="s">
        <v>4799</v>
      </c>
      <c r="C3814" s="5" t="str">
        <f>IFERROR(__xludf.DUMMYFUNCTION("GOOGLETRANSLATE(B3814,""en"",""zh-CN"")"),"她开始将裤子从内而外熨烫。")</f>
        <v>她开始将裤子从内而外熨烫。</v>
      </c>
    </row>
    <row r="3815">
      <c r="A3815" s="4" t="s">
        <v>4797</v>
      </c>
      <c r="B3815" s="4" t="s">
        <v>4800</v>
      </c>
      <c r="C3815" s="5" t="str">
        <f>IFERROR(__xludf.DUMMYFUNCTION("GOOGLETRANSLATE(B3815,""en"",""zh-CN"")"),"她以正确的方式将裤子转回原处，并继续熨烫它们。")</f>
        <v>她以正确的方式将裤子转回原处，并继续熨烫它们。</v>
      </c>
    </row>
    <row r="3816">
      <c r="A3816" s="4" t="s">
        <v>4801</v>
      </c>
      <c r="B3816" s="4" t="s">
        <v>4802</v>
      </c>
      <c r="C3816" s="5" t="str">
        <f>IFERROR(__xludf.DUMMYFUNCTION("GOOGLETRANSLATE(B3816,""en"",""zh-CN"")"),"一个男人在独木舟上拿着桨在游泳池里。")</f>
        <v>一个男人在独木舟上拿着桨在游泳池里。</v>
      </c>
    </row>
    <row r="3817">
      <c r="A3817" s="4" t="s">
        <v>4801</v>
      </c>
      <c r="B3817" s="4" t="s">
        <v>4803</v>
      </c>
      <c r="C3817" s="5" t="str">
        <f>IFERROR(__xludf.DUMMYFUNCTION("GOOGLETRANSLATE(B3817,""en"",""zh-CN"")"),"一个人枢转独木舟帮助桨。")</f>
        <v>一个人枢转独木舟帮助桨。</v>
      </c>
    </row>
    <row r="3818">
      <c r="A3818" s="4" t="s">
        <v>4804</v>
      </c>
      <c r="B3818" s="4" t="s">
        <v>4805</v>
      </c>
      <c r="C3818" s="5" t="str">
        <f>IFERROR(__xludf.DUMMYFUNCTION("GOOGLETRANSLATE(B3818,""en"",""zh-CN"")"),"一只伸出杯子的狗跳到沙发上。")</f>
        <v>一只伸出杯子的狗跳到沙发上。</v>
      </c>
    </row>
    <row r="3819">
      <c r="A3819" s="4" t="s">
        <v>4804</v>
      </c>
      <c r="B3819" s="4" t="s">
        <v>4806</v>
      </c>
      <c r="C3819" s="5" t="str">
        <f>IFERROR(__xludf.DUMMYFUNCTION("GOOGLETRANSLATE(B3819,""en"",""zh-CN"")"),"狗继续在杯子里吃东西。")</f>
        <v>狗继续在杯子里吃东西。</v>
      </c>
    </row>
    <row r="3820">
      <c r="A3820" s="4" t="s">
        <v>4807</v>
      </c>
      <c r="B3820" s="4" t="s">
        <v>4808</v>
      </c>
      <c r="C3820" s="5" t="str">
        <f>IFERROR(__xludf.DUMMYFUNCTION("GOOGLETRANSLATE(B3820,""en"",""zh-CN"")"),"人们坐在保险杠上。")</f>
        <v>人们坐在保险杠上。</v>
      </c>
    </row>
    <row r="3821">
      <c r="A3821" s="4" t="s">
        <v>4807</v>
      </c>
      <c r="B3821" s="4" t="s">
        <v>4809</v>
      </c>
      <c r="C3821" s="5" t="str">
        <f>IFERROR(__xludf.DUMMYFUNCTION("GOOGLETRANSLATE(B3821,""en"",""zh-CN"")"),"一侧的一个人抓住了其中一辆汽车的一侧。")</f>
        <v>一侧的一个人抓住了其中一辆汽车的一侧。</v>
      </c>
    </row>
    <row r="3822">
      <c r="A3822" s="4" t="s">
        <v>4807</v>
      </c>
      <c r="B3822" s="4" t="s">
        <v>4810</v>
      </c>
      <c r="C3822" s="5" t="str">
        <f>IFERROR(__xludf.DUMMYFUNCTION("GOOGLETRANSLATE(B3822,""en"",""zh-CN"")"),"他跳到侧面。")</f>
        <v>他跳到侧面。</v>
      </c>
    </row>
    <row r="3823">
      <c r="A3823" s="4" t="s">
        <v>4811</v>
      </c>
      <c r="B3823" s="4" t="s">
        <v>4812</v>
      </c>
      <c r="C3823" s="5" t="str">
        <f>IFERROR(__xludf.DUMMYFUNCTION("GOOGLETRANSLATE(B3823,""en"",""zh-CN"")"),"一个人开始从汽车上的挡风玻璃上清除雪。")</f>
        <v>一个人开始从汽车上的挡风玻璃上清除雪。</v>
      </c>
    </row>
    <row r="3824">
      <c r="A3824" s="4" t="s">
        <v>4811</v>
      </c>
      <c r="B3824" s="4" t="s">
        <v>4813</v>
      </c>
      <c r="C3824" s="5" t="str">
        <f>IFERROR(__xludf.DUMMYFUNCTION("GOOGLETRANSLATE(B3824,""en"",""zh-CN"")"),"然后，他们清理了汽车门上的雪。")</f>
        <v>然后，他们清理了汽车门上的雪。</v>
      </c>
    </row>
    <row r="3825">
      <c r="A3825" s="4" t="s">
        <v>4811</v>
      </c>
      <c r="B3825" s="4" t="s">
        <v>4814</v>
      </c>
      <c r="C3825" s="5" t="str">
        <f>IFERROR(__xludf.DUMMYFUNCTION("GOOGLETRANSLATE(B3825,""en"",""zh-CN"")"),"然后，他们清洁了汽车的后窗。")</f>
        <v>然后，他们清洁了汽车的后窗。</v>
      </c>
    </row>
    <row r="3826">
      <c r="A3826" s="4" t="s">
        <v>4815</v>
      </c>
      <c r="B3826" s="4" t="s">
        <v>4816</v>
      </c>
      <c r="C3826" s="5" t="str">
        <f>IFERROR(__xludf.DUMMYFUNCTION("GOOGLETRANSLATE(B3826,""en"",""zh-CN"")"),"一个穿着红色衬衫的男人正在演奏鼓组。")</f>
        <v>一个穿着红色衬衫的男人正在演奏鼓组。</v>
      </c>
    </row>
    <row r="3827">
      <c r="A3827" s="4" t="s">
        <v>4815</v>
      </c>
      <c r="B3827" s="4" t="s">
        <v>4817</v>
      </c>
      <c r="C3827" s="5" t="str">
        <f>IFERROR(__xludf.DUMMYFUNCTION("GOOGLETRANSLATE(B3827,""en"",""zh-CN"")"),"一个穿着蓝色衬衫的男人坐在聊天。")</f>
        <v>一个穿着蓝色衬衫的男人坐在聊天。</v>
      </c>
    </row>
    <row r="3828">
      <c r="A3828" s="4" t="s">
        <v>4818</v>
      </c>
      <c r="B3828" s="4" t="s">
        <v>940</v>
      </c>
      <c r="C3828" s="5" t="str">
        <f>IFERROR(__xludf.DUMMYFUNCTION("GOOGLETRANSLATE(B3828,""en"",""zh-CN"")"),"一个女人和相机说话。")</f>
        <v>一个女人和相机说话。</v>
      </c>
    </row>
    <row r="3829">
      <c r="A3829" s="4" t="s">
        <v>4818</v>
      </c>
      <c r="B3829" s="4" t="s">
        <v>4819</v>
      </c>
      <c r="C3829" s="5" t="str">
        <f>IFERROR(__xludf.DUMMYFUNCTION("GOOGLETRANSLATE(B3829,""en"",""zh-CN"")"),"女人在熨衣板上熨烫一件衣服。")</f>
        <v>女人在熨衣板上熨烫一件衣服。</v>
      </c>
    </row>
    <row r="3830">
      <c r="A3830" s="4" t="s">
        <v>4818</v>
      </c>
      <c r="B3830" s="4" t="s">
        <v>4820</v>
      </c>
      <c r="C3830" s="5" t="str">
        <f>IFERROR(__xludf.DUMMYFUNCTION("GOOGLETRANSLATE(B3830,""en"",""zh-CN"")"),"女人翻转那件衣服。")</f>
        <v>女人翻转那件衣服。</v>
      </c>
    </row>
    <row r="3831">
      <c r="A3831" s="4" t="s">
        <v>4818</v>
      </c>
      <c r="B3831" s="4" t="s">
        <v>4821</v>
      </c>
      <c r="C3831" s="5" t="str">
        <f>IFERROR(__xludf.DUMMYFUNCTION("GOOGLETRANSLATE(B3831,""en"",""zh-CN"")"),"女人继续熨烫衣服。")</f>
        <v>女人继续熨烫衣服。</v>
      </c>
    </row>
    <row r="3832">
      <c r="A3832" s="4" t="s">
        <v>4822</v>
      </c>
      <c r="B3832" s="6" t="s">
        <v>4823</v>
      </c>
      <c r="C3832" s="5" t="str">
        <f>IFERROR(__xludf.DUMMYFUNCTION("GOOGLETRANSLATE(B3832,""en"",""zh-CN"")"),"一名男运动员在一个被人们包围的田野里外面，开始旋转并投掷铅球。")</f>
        <v>一名男运动员在一个被人们包围的田野里外面，开始旋转并投掷铅球。</v>
      </c>
    </row>
    <row r="3833">
      <c r="A3833" s="4" t="s">
        <v>4822</v>
      </c>
      <c r="B3833" s="4" t="s">
        <v>4824</v>
      </c>
      <c r="C3833" s="5" t="str">
        <f>IFERROR(__xludf.DUMMYFUNCTION("GOOGLETRANSLATE(B3833,""en"",""zh-CN"")"),"人群开始欢呼，男人伸出双手跳来跳去。")</f>
        <v>人群开始欢呼，男人伸出双手跳来跳去。</v>
      </c>
    </row>
    <row r="3834">
      <c r="A3834" s="4" t="s">
        <v>4825</v>
      </c>
      <c r="B3834" s="4" t="s">
        <v>4826</v>
      </c>
      <c r="C3834" s="5" t="str">
        <f>IFERROR(__xludf.DUMMYFUNCTION("GOOGLETRANSLATE(B3834,""en"",""zh-CN"")"),"一位女士站在浴室里说话。")</f>
        <v>一位女士站在浴室里说话。</v>
      </c>
    </row>
    <row r="3835">
      <c r="A3835" s="4" t="s">
        <v>4825</v>
      </c>
      <c r="B3835" s="4" t="s">
        <v>4827</v>
      </c>
      <c r="C3835" s="5" t="str">
        <f>IFERROR(__xludf.DUMMYFUNCTION("GOOGLETRANSLATE(B3835,""en"",""zh-CN"")"),"那位女士向相机展示了她的刷子和吹干机。")</f>
        <v>那位女士向相机展示了她的刷子和吹干机。</v>
      </c>
    </row>
    <row r="3836">
      <c r="A3836" s="4" t="s">
        <v>4825</v>
      </c>
      <c r="B3836" s="4" t="s">
        <v>4828</v>
      </c>
      <c r="C3836" s="5" t="str">
        <f>IFERROR(__xludf.DUMMYFUNCTION("GOOGLETRANSLATE(B3836,""en"",""zh-CN"")"),"女士刷她的头发。")</f>
        <v>女士刷她的头发。</v>
      </c>
    </row>
    <row r="3837">
      <c r="A3837" s="4" t="s">
        <v>4825</v>
      </c>
      <c r="B3837" s="4" t="s">
        <v>4829</v>
      </c>
      <c r="C3837" s="5" t="str">
        <f>IFERROR(__xludf.DUMMYFUNCTION("GOOGLETRANSLATE(B3837,""en"",""zh-CN"")"),"那位女士吹着头发，吹着头发。")</f>
        <v>那位女士吹着头发，吹着头发。</v>
      </c>
    </row>
    <row r="3838">
      <c r="A3838" s="4" t="s">
        <v>4825</v>
      </c>
      <c r="B3838" s="4" t="s">
        <v>4830</v>
      </c>
      <c r="C3838" s="5" t="str">
        <f>IFERROR(__xludf.DUMMYFUNCTION("GOOGLETRANSLATE(B3838,""en"",""zh-CN"")"),"这位女士在调整头发的同时关闭了吹风机，然后与相机交谈。")</f>
        <v>这位女士在调整头发的同时关闭了吹风机，然后与相机交谈。</v>
      </c>
    </row>
    <row r="3839">
      <c r="A3839" s="4" t="s">
        <v>4825</v>
      </c>
      <c r="B3839" s="4" t="s">
        <v>4831</v>
      </c>
      <c r="C3839" s="5" t="str">
        <f>IFERROR(__xludf.DUMMYFUNCTION("GOOGLETRANSLATE(B3839,""en"",""zh-CN"")"),"那位女士放下刷子，与镜头交谈。")</f>
        <v>那位女士放下刷子，与镜头交谈。</v>
      </c>
    </row>
    <row r="3840">
      <c r="A3840" s="4" t="s">
        <v>4832</v>
      </c>
      <c r="B3840" s="4" t="s">
        <v>4833</v>
      </c>
      <c r="C3840" s="5" t="str">
        <f>IFERROR(__xludf.DUMMYFUNCTION("GOOGLETRANSLATE(B3840,""en"",""zh-CN"")"),"人们聚集在健身房的看台上。")</f>
        <v>人们聚集在健身房的看台上。</v>
      </c>
    </row>
    <row r="3841">
      <c r="A3841" s="4" t="s">
        <v>4832</v>
      </c>
      <c r="B3841" s="4" t="s">
        <v>4834</v>
      </c>
      <c r="C3841" s="5" t="str">
        <f>IFERROR(__xludf.DUMMYFUNCTION("GOOGLETRANSLATE(B3841,""en"",""zh-CN"")"),"队友出来挥舞着白旗。")</f>
        <v>队友出来挥舞着白旗。</v>
      </c>
    </row>
    <row r="3842">
      <c r="A3842" s="4" t="s">
        <v>4832</v>
      </c>
      <c r="B3842" s="4" t="s">
        <v>4835</v>
      </c>
      <c r="C3842" s="5" t="str">
        <f>IFERROR(__xludf.DUMMYFUNCTION("GOOGLETRANSLATE(B3842,""en"",""zh-CN"")"),"篮球比赛开始，试图制作篮子。")</f>
        <v>篮球比赛开始，试图制作篮子。</v>
      </c>
    </row>
    <row r="3843">
      <c r="A3843" s="4" t="s">
        <v>4836</v>
      </c>
      <c r="B3843" s="4" t="s">
        <v>4837</v>
      </c>
      <c r="C3843" s="5" t="str">
        <f>IFERROR(__xludf.DUMMYFUNCTION("GOOGLETRANSLATE(B3843,""en"",""zh-CN"")"),"一个牛仔竞技表演的男人正在表演特技。")</f>
        <v>一个牛仔竞技表演的男人正在表演特技。</v>
      </c>
    </row>
    <row r="3844">
      <c r="A3844" s="4" t="s">
        <v>4836</v>
      </c>
      <c r="B3844" s="4" t="s">
        <v>4838</v>
      </c>
      <c r="C3844" s="5" t="str">
        <f>IFERROR(__xludf.DUMMYFUNCTION("GOOGLETRANSLATE(B3844,""en"",""zh-CN"")"),"一个男人正在骑牛仔竞技表演中骑马。")</f>
        <v>一个男人正在骑牛仔竞技表演中骑马。</v>
      </c>
    </row>
    <row r="3845">
      <c r="A3845" s="4" t="s">
        <v>4836</v>
      </c>
      <c r="B3845" s="4" t="s">
        <v>4839</v>
      </c>
      <c r="C3845" s="5" t="str">
        <f>IFERROR(__xludf.DUMMYFUNCTION("GOOGLETRANSLATE(B3845,""en"",""zh-CN"")"),"那个男人抚摸牛，将其扔到地上。")</f>
        <v>那个男人抚摸牛，将其扔到地上。</v>
      </c>
    </row>
    <row r="3846">
      <c r="A3846" s="4" t="s">
        <v>4836</v>
      </c>
      <c r="B3846" s="4" t="s">
        <v>4840</v>
      </c>
      <c r="C3846" s="5" t="str">
        <f>IFERROR(__xludf.DUMMYFUNCTION("GOOGLETRANSLATE(B3846,""en"",""zh-CN"")"),"然后，男人养牛就绑了牛。")</f>
        <v>然后，男人养牛就绑了牛。</v>
      </c>
    </row>
    <row r="3847">
      <c r="A3847" s="4" t="s">
        <v>4836</v>
      </c>
      <c r="B3847" s="4" t="s">
        <v>4841</v>
      </c>
      <c r="C3847" s="5" t="str">
        <f>IFERROR(__xludf.DUMMYFUNCTION("GOOGLETRANSLATE(B3847,""en"",""zh-CN"")"),"该男子回到他的马上，我们振作起来，看看记分牌。")</f>
        <v>该男子回到他的马上，我们振作起来，看看记分牌。</v>
      </c>
    </row>
    <row r="3848">
      <c r="A3848" s="4" t="s">
        <v>4842</v>
      </c>
      <c r="B3848" s="4" t="s">
        <v>4843</v>
      </c>
      <c r="C3848" s="5" t="str">
        <f>IFERROR(__xludf.DUMMYFUNCTION("GOOGLETRANSLATE(B3848,""en"",""zh-CN"")"),"两个小孩在麦当劳吃冰淇淋蛋筒。")</f>
        <v>两个小孩在麦当劳吃冰淇淋蛋筒。</v>
      </c>
    </row>
    <row r="3849">
      <c r="A3849" s="4" t="s">
        <v>4842</v>
      </c>
      <c r="B3849" s="4" t="s">
        <v>4844</v>
      </c>
      <c r="C3849" s="5" t="str">
        <f>IFERROR(__xludf.DUMMYFUNCTION("GOOGLETRANSLATE(B3849,""en"",""zh-CN"")"),"他们在舔，很高兴有冰淇淋。")</f>
        <v>他们在舔，很高兴有冰淇淋。</v>
      </c>
    </row>
    <row r="3850">
      <c r="A3850" s="4" t="s">
        <v>4842</v>
      </c>
      <c r="B3850" s="4" t="s">
        <v>4845</v>
      </c>
      <c r="C3850" s="5" t="str">
        <f>IFERROR(__xludf.DUMMYFUNCTION("GOOGLETRANSLATE(B3850,""en"",""zh-CN"")"),"小女孩正在和某人一起玩嘘声，他们的两个脸上都有冰淇淋。")</f>
        <v>小女孩正在和某人一起玩嘘声，他们的两个脸上都有冰淇淋。</v>
      </c>
    </row>
    <row r="3851">
      <c r="A3851" s="4" t="s">
        <v>4842</v>
      </c>
      <c r="B3851" s="4" t="s">
        <v>4846</v>
      </c>
      <c r="C3851" s="5" t="str">
        <f>IFERROR(__xludf.DUMMYFUNCTION("GOOGLETRANSLATE(B3851,""en"",""zh-CN"")"),"他们只是非常喜欢冰淇淋。")</f>
        <v>他们只是非常喜欢冰淇淋。</v>
      </c>
    </row>
    <row r="3852">
      <c r="A3852" s="4" t="s">
        <v>4847</v>
      </c>
      <c r="B3852" s="4" t="s">
        <v>4848</v>
      </c>
      <c r="C3852" s="5" t="str">
        <f>IFERROR(__xludf.DUMMYFUNCTION("GOOGLETRANSLATE(B3852,""en"",""zh-CN"")"),"显示了一个体操运动员，在不平坦的条上向后摇摆。")</f>
        <v>显示了一个体操运动员，在不平坦的条上向后摇摆。</v>
      </c>
    </row>
    <row r="3853">
      <c r="A3853" s="4" t="s">
        <v>4847</v>
      </c>
      <c r="B3853" s="4" t="s">
        <v>4849</v>
      </c>
      <c r="C3853" s="5" t="str">
        <f>IFERROR(__xludf.DUMMYFUNCTION("GOOGLETRANSLATE(B3853,""en"",""zh-CN"")"),"当数百人看着时，他表演了一个例行的摇摆。")</f>
        <v>当数百人看着时，他表演了一个例行的摇摆。</v>
      </c>
    </row>
    <row r="3854">
      <c r="A3854" s="4" t="s">
        <v>4847</v>
      </c>
      <c r="B3854" s="4" t="s">
        <v>4850</v>
      </c>
      <c r="C3854" s="5" t="str">
        <f>IFERROR(__xludf.DUMMYFUNCTION("GOOGLETRANSLATE(B3854,""en"",""zh-CN"")"),"他通过将手臂伸向空中并向观众鞠躬结束。")</f>
        <v>他通过将手臂伸向空中并向观众鞠躬结束。</v>
      </c>
    </row>
    <row r="3855">
      <c r="A3855" s="4" t="s">
        <v>4851</v>
      </c>
      <c r="B3855" s="4" t="s">
        <v>4852</v>
      </c>
      <c r="C3855" s="5" t="str">
        <f>IFERROR(__xludf.DUMMYFUNCTION("GOOGLETRANSLATE(B3855,""en"",""zh-CN"")"),"两名男子在一条安静的街道的人行道上滚石。")</f>
        <v>两名男子在一条安静的街道的人行道上滚石。</v>
      </c>
    </row>
    <row r="3856">
      <c r="A3856" s="4" t="s">
        <v>4851</v>
      </c>
      <c r="B3856" s="4" t="s">
        <v>4853</v>
      </c>
      <c r="C3856" s="5" t="str">
        <f>IFERROR(__xludf.DUMMYFUNCTION("GOOGLETRANSLATE(B3856,""en"",""zh-CN"")"),"有四个年轻男子和女人在一条有很多树木的街道上铺路。")</f>
        <v>有四个年轻男子和女人在一条有很多树木的街道上铺路。</v>
      </c>
    </row>
    <row r="3857">
      <c r="A3857" s="4" t="s">
        <v>4851</v>
      </c>
      <c r="B3857" s="4" t="s">
        <v>4854</v>
      </c>
      <c r="C3857" s="5" t="str">
        <f>IFERROR(__xludf.DUMMYFUNCTION("GOOGLETRANSLATE(B3857,""en"",""zh-CN"")"),"有一些专业人士在体育场和喷泉的人行道上铺上旱冰性。")</f>
        <v>有一些专业人士在体育场和喷泉的人行道上铺上旱冰性。</v>
      </c>
    </row>
    <row r="3858">
      <c r="A3858" s="4" t="s">
        <v>4851</v>
      </c>
      <c r="B3858" s="4" t="s">
        <v>4855</v>
      </c>
      <c r="C3858" s="5" t="str">
        <f>IFERROR(__xludf.DUMMYFUNCTION("GOOGLETRANSLATE(B3858,""en"",""zh-CN"")"),"一名男子在滚筒时跳过锁链的人行道。")</f>
        <v>一名男子在滚筒时跳过锁链的人行道。</v>
      </c>
    </row>
    <row r="3859">
      <c r="A3859" s="4" t="s">
        <v>4851</v>
      </c>
      <c r="B3859" s="6" t="s">
        <v>4856</v>
      </c>
      <c r="C3859" s="5" t="str">
        <f>IFERROR(__xludf.DUMMYFUNCTION("GOOGLETRANSLATE(B3859,""en"",""zh-CN"")"),"一对夫妇在人行道上铺上了旱冰性，另一个男人跳过路障到人行道。")</f>
        <v>一对夫妇在人行道上铺上了旱冰性，另一个男人跳过路障到人行道。</v>
      </c>
    </row>
    <row r="3860">
      <c r="A3860" s="4" t="s">
        <v>4851</v>
      </c>
      <c r="B3860" s="4" t="s">
        <v>4857</v>
      </c>
      <c r="C3860" s="5" t="str">
        <f>IFERROR(__xludf.DUMMYFUNCTION("GOOGLETRANSLATE(B3860,""en"",""zh-CN"")"),"有几个人在人行道上滚石。")</f>
        <v>有几个人在人行道上滚石。</v>
      </c>
    </row>
    <row r="3861">
      <c r="A3861" s="4" t="s">
        <v>4851</v>
      </c>
      <c r="B3861" s="4" t="s">
        <v>4858</v>
      </c>
      <c r="C3861" s="5" t="str">
        <f>IFERROR(__xludf.DUMMYFUNCTION("GOOGLETRANSLATE(B3861,""en"",""zh-CN"")"),"有些人参加了旱冰比赛。")</f>
        <v>有些人参加了旱冰比赛。</v>
      </c>
    </row>
    <row r="3862">
      <c r="A3862" s="4" t="s">
        <v>4851</v>
      </c>
      <c r="B3862" s="4" t="s">
        <v>4859</v>
      </c>
      <c r="C3862" s="5" t="str">
        <f>IFERROR(__xludf.DUMMYFUNCTION("GOOGLETRANSLATE(B3862,""en"",""zh-CN"")"),"有些人以非常高速的街道穿过街道。")</f>
        <v>有些人以非常高速的街道穿过街道。</v>
      </c>
    </row>
    <row r="3863">
      <c r="A3863" s="4" t="s">
        <v>4851</v>
      </c>
      <c r="B3863" s="4" t="s">
        <v>4860</v>
      </c>
      <c r="C3863" s="5" t="str">
        <f>IFERROR(__xludf.DUMMYFUNCTION("GOOGLETRANSLATE(B3863,""en"",""zh-CN"")"),"他们中的一些人正在用滚筒攀登楼梯。")</f>
        <v>他们中的一些人正在用滚筒攀登楼梯。</v>
      </c>
    </row>
    <row r="3864">
      <c r="A3864" s="4" t="s">
        <v>4851</v>
      </c>
      <c r="B3864" s="4" t="s">
        <v>4861</v>
      </c>
      <c r="C3864" s="5" t="str">
        <f>IFERROR(__xludf.DUMMYFUNCTION("GOOGLETRANSLATE(B3864,""en"",""zh-CN"")"),"有些人在繁忙的城市和桥梁上溜冰。")</f>
        <v>有些人在繁忙的城市和桥梁上溜冰。</v>
      </c>
    </row>
    <row r="3865">
      <c r="A3865" s="4" t="s">
        <v>4851</v>
      </c>
      <c r="B3865" s="4" t="s">
        <v>4862</v>
      </c>
      <c r="C3865" s="5" t="str">
        <f>IFERROR(__xludf.DUMMYFUNCTION("GOOGLETRANSLATE(B3865,""en"",""zh-CN"")"),"有一群年幼的孩子一起铺路。")</f>
        <v>有一群年幼的孩子一起铺路。</v>
      </c>
    </row>
    <row r="3866">
      <c r="A3866" s="4" t="s">
        <v>4851</v>
      </c>
      <c r="B3866" s="4" t="s">
        <v>4863</v>
      </c>
      <c r="C3866" s="5" t="str">
        <f>IFERROR(__xludf.DUMMYFUNCTION("GOOGLETRANSLATE(B3866,""en"",""zh-CN"")"),"一名男子在旱冰时跳过墙壁。")</f>
        <v>一名男子在旱冰时跳过墙壁。</v>
      </c>
    </row>
    <row r="3867">
      <c r="A3867" s="4" t="s">
        <v>4851</v>
      </c>
      <c r="B3867" s="4" t="s">
        <v>4864</v>
      </c>
      <c r="C3867" s="5" t="str">
        <f>IFERROR(__xludf.DUMMYFUNCTION("GOOGLETRANSLATE(B3867,""en"",""zh-CN"")"),"当他高速滚石管时，一个人直接潜入水中。")</f>
        <v>当他高速滚石管时，一个人直接潜入水中。</v>
      </c>
    </row>
    <row r="3868">
      <c r="A3868" s="4" t="s">
        <v>4851</v>
      </c>
      <c r="B3868" s="4" t="s">
        <v>4865</v>
      </c>
      <c r="C3868" s="5" t="str">
        <f>IFERROR(__xludf.DUMMYFUNCTION("GOOGLETRANSLATE(B3868,""en"",""zh-CN"")"),"人们正在穿过城市，沿着楼梯，甚至在人行道上行驶。")</f>
        <v>人们正在穿过城市，沿着楼梯，甚至在人行道上行驶。</v>
      </c>
    </row>
    <row r="3869">
      <c r="A3869" s="4" t="s">
        <v>4851</v>
      </c>
      <c r="B3869" s="4" t="s">
        <v>4866</v>
      </c>
      <c r="C3869" s="5" t="str">
        <f>IFERROR(__xludf.DUMMYFUNCTION("GOOGLETRANSLATE(B3869,""en"",""zh-CN"")"),"两个男孩在滚筒时跳入S形结构。")</f>
        <v>两个男孩在滚筒时跳入S形结构。</v>
      </c>
    </row>
    <row r="3870">
      <c r="A3870" s="4" t="s">
        <v>4851</v>
      </c>
      <c r="B3870" s="4" t="s">
        <v>4867</v>
      </c>
      <c r="C3870" s="5" t="str">
        <f>IFERROR(__xludf.DUMMYFUNCTION("GOOGLETRANSLATE(B3870,""en"",""zh-CN"")"),"两人在滚动刀片时在桥上八杆。")</f>
        <v>两人在滚动刀片时在桥上八杆。</v>
      </c>
    </row>
    <row r="3871">
      <c r="A3871" s="4" t="s">
        <v>4851</v>
      </c>
      <c r="B3871" s="4" t="s">
        <v>4868</v>
      </c>
      <c r="C3871" s="5" t="str">
        <f>IFERROR(__xludf.DUMMYFUNCTION("GOOGLETRANSLATE(B3871,""en"",""zh-CN"")"),"一个人在旱冰时稳定地走。")</f>
        <v>一个人在旱冰时稳定地走。</v>
      </c>
    </row>
    <row r="3872">
      <c r="A3872" s="4" t="s">
        <v>4869</v>
      </c>
      <c r="B3872" s="4" t="s">
        <v>4870</v>
      </c>
      <c r="C3872" s="5" t="str">
        <f>IFERROR(__xludf.DUMMYFUNCTION("GOOGLETRANSLATE(B3872,""en"",""zh-CN"")"),"首先，这个女人向我们展示了她在制作虫子面包之前与非洲人的样子。")</f>
        <v>首先，这个女人向我们展示了她在制作虫子面包之前与非洲人的样子。</v>
      </c>
    </row>
    <row r="3873">
      <c r="A3873" s="4" t="s">
        <v>4869</v>
      </c>
      <c r="B3873" s="4" t="s">
        <v>4871</v>
      </c>
      <c r="C3873" s="5" t="str">
        <f>IFERROR(__xludf.DUMMYFUNCTION("GOOGLETRANSLATE(B3873,""en"",""zh-CN"")"),"首先，她用喷雾瓶中的水喷洒头发。")</f>
        <v>首先，她用喷雾瓶中的水喷洒头发。</v>
      </c>
    </row>
    <row r="3874">
      <c r="A3874" s="4" t="s">
        <v>4869</v>
      </c>
      <c r="B3874" s="4" t="s">
        <v>4872</v>
      </c>
      <c r="C3874" s="5" t="str">
        <f>IFERROR(__xludf.DUMMYFUNCTION("GOOGLETRANSLATE(B3874,""en"",""zh-CN"")"),"然后，她在头发上添加保湿霜，并将马尾辫架绑在头发上。")</f>
        <v>然后，她在头发上添加保湿霜，并将马尾辫架绑在头发上。</v>
      </c>
    </row>
    <row r="3875">
      <c r="A3875" s="4" t="s">
        <v>4869</v>
      </c>
      <c r="B3875" s="4" t="s">
        <v>4873</v>
      </c>
      <c r="C3875" s="5" t="str">
        <f>IFERROR(__xludf.DUMMYFUNCTION("GOOGLETRANSLATE(B3875,""en"",""zh-CN"")"),"然后，她扭动头发的末端制成一个小面包，并将其包裹起来以使其安全。")</f>
        <v>然后，她扭动头发的末端制成一个小面包，并将其包裹起来以使其安全。</v>
      </c>
    </row>
    <row r="3876">
      <c r="A3876" s="4" t="s">
        <v>4869</v>
      </c>
      <c r="B3876" s="4" t="s">
        <v>4874</v>
      </c>
      <c r="C3876" s="5" t="str">
        <f>IFERROR(__xludf.DUMMYFUNCTION("GOOGLETRANSLATE(B3876,""en"",""zh-CN"")"),"然后，她轻轻扭曲编织的头发，并根据需要使用尽可能多的鲍比销。")</f>
        <v>然后，她轻轻扭曲编织的头发，并根据需要使用尽可能多的鲍比销。</v>
      </c>
    </row>
    <row r="3877">
      <c r="A3877" s="4" t="s">
        <v>4869</v>
      </c>
      <c r="B3877" s="4" t="s">
        <v>4875</v>
      </c>
      <c r="C3877" s="5" t="str">
        <f>IFERROR(__xludf.DUMMYFUNCTION("GOOGLETRANSLATE(B3877,""en"",""zh-CN"")"),"最终，她将凝胶放在边缘放下，然后在边缘上放一个手巾。")</f>
        <v>最终，她将凝胶放在边缘放下，然后在边缘上放一个手巾。</v>
      </c>
    </row>
    <row r="3878">
      <c r="A3878" s="4" t="s">
        <v>4869</v>
      </c>
      <c r="B3878" s="4" t="s">
        <v>4876</v>
      </c>
      <c r="C3878" s="5" t="str">
        <f>IFERROR(__xludf.DUMMYFUNCTION("GOOGLETRANSLATE(B3878,""en"",""zh-CN"")"),"然后她脱掉了，一切都完成了。")</f>
        <v>然后她脱掉了，一切都完成了。</v>
      </c>
    </row>
    <row r="3879">
      <c r="A3879" s="4" t="s">
        <v>4877</v>
      </c>
      <c r="B3879" s="4" t="s">
        <v>4878</v>
      </c>
      <c r="C3879" s="5" t="str">
        <f>IFERROR(__xludf.DUMMYFUNCTION("GOOGLETRANSLATE(B3879,""en"",""zh-CN"")"),"看到一个人在大量观众中间的轨道上行走。")</f>
        <v>看到一个人在大量观众中间的轨道上行走。</v>
      </c>
    </row>
    <row r="3880">
      <c r="A3880" s="4" t="s">
        <v>4877</v>
      </c>
      <c r="B3880" s="4" t="s">
        <v>4879</v>
      </c>
      <c r="C3880" s="5" t="str">
        <f>IFERROR(__xludf.DUMMYFUNCTION("GOOGLETRANSLATE(B3880,""en"",""zh-CN"")"),"然后，运动员坐下，而另一个则站在他旁边并准备。")</f>
        <v>然后，运动员坐下，而另一个则站在他旁边并准备。</v>
      </c>
    </row>
    <row r="3881">
      <c r="A3881" s="4" t="s">
        <v>4877</v>
      </c>
      <c r="B3881" s="4" t="s">
        <v>4880</v>
      </c>
      <c r="C3881" s="5" t="str">
        <f>IFERROR(__xludf.DUMMYFUNCTION("GOOGLETRANSLATE(B3881,""en"",""zh-CN"")"),"然后看到该男子跳过酒吧，然后再次显示同一枪。")</f>
        <v>然后看到该男子跳过酒吧，然后再次显示同一枪。</v>
      </c>
    </row>
    <row r="3882">
      <c r="A3882" s="4" t="s">
        <v>4881</v>
      </c>
      <c r="B3882" s="4" t="s">
        <v>4882</v>
      </c>
      <c r="C3882" s="5" t="str">
        <f>IFERROR(__xludf.DUMMYFUNCTION("GOOGLETRANSLATE(B3882,""en"",""zh-CN"")"),"皮划艇沿着懒惰的河流划船。")</f>
        <v>皮划艇沿着懒惰的河流划船。</v>
      </c>
    </row>
    <row r="3883">
      <c r="A3883" s="4" t="s">
        <v>4881</v>
      </c>
      <c r="B3883" s="4" t="s">
        <v>4883</v>
      </c>
      <c r="C3883" s="5" t="str">
        <f>IFERROR(__xludf.DUMMYFUNCTION("GOOGLETRANSLATE(B3883,""en"",""zh-CN"")"),"他们使用桨来沿着水移动皮划艇。")</f>
        <v>他们使用桨来沿着水移动皮划艇。</v>
      </c>
    </row>
    <row r="3884">
      <c r="A3884" s="4" t="s">
        <v>4881</v>
      </c>
      <c r="B3884" s="4" t="s">
        <v>4884</v>
      </c>
      <c r="C3884" s="5" t="str">
        <f>IFERROR(__xludf.DUMMYFUNCTION("GOOGLETRANSLATE(B3884,""en"",""zh-CN"")"),"两人互相看着，好像在说话。")</f>
        <v>两人互相看着，好像在说话。</v>
      </c>
    </row>
    <row r="3885">
      <c r="A3885" s="4" t="s">
        <v>4885</v>
      </c>
      <c r="B3885" s="4" t="s">
        <v>4886</v>
      </c>
      <c r="C3885" s="5" t="str">
        <f>IFERROR(__xludf.DUMMYFUNCTION("GOOGLETRANSLATE(B3885,""en"",""zh-CN"")"),"显示了倒入玻璃杯的镜头，并导致一个女人在相机上说话。")</f>
        <v>显示了倒入玻璃杯的镜头，并导致一个女人在相机上说话。</v>
      </c>
    </row>
    <row r="3886">
      <c r="A3886" s="4" t="s">
        <v>4885</v>
      </c>
      <c r="B3886" s="4" t="s">
        <v>4887</v>
      </c>
      <c r="C3886" s="5" t="str">
        <f>IFERROR(__xludf.DUMMYFUNCTION("GOOGLETRANSLATE(B3886,""en"",""zh-CN"")"),"该名女子拿着玻璃杯，将各种液体混合到玻璃杯中。")</f>
        <v>该名女子拿着玻璃杯，将各种液体混合到玻璃杯中。</v>
      </c>
    </row>
    <row r="3887">
      <c r="A3887" s="4" t="s">
        <v>4885</v>
      </c>
      <c r="B3887" s="4" t="s">
        <v>4888</v>
      </c>
      <c r="C3887" s="5" t="str">
        <f>IFERROR(__xludf.DUMMYFUNCTION("GOOGLETRANSLATE(B3887,""en"",""zh-CN"")"),"用柠檬将其顶部放在上面，然后将饮料滑倒，然后说话。")</f>
        <v>用柠檬将其顶部放在上面，然后将饮料滑倒，然后说话。</v>
      </c>
    </row>
    <row r="3888">
      <c r="A3888" s="4" t="s">
        <v>4889</v>
      </c>
      <c r="B3888" s="6" t="s">
        <v>4890</v>
      </c>
      <c r="C3888" s="5" t="str">
        <f>IFERROR(__xludf.DUMMYFUNCTION("GOOGLETRANSLATE(B3888,""en"",""zh-CN"")"),"看到一个女人站在相机前，开始将乳液放在她的手上，并在脸上擦乳液。")</f>
        <v>看到一个女人站在相机前，开始将乳液放在她的手上，并在脸上擦乳液。</v>
      </c>
    </row>
    <row r="3889">
      <c r="A3889" s="4" t="s">
        <v>4889</v>
      </c>
      <c r="B3889" s="4" t="s">
        <v>4891</v>
      </c>
      <c r="C3889" s="5" t="str">
        <f>IFERROR(__xludf.DUMMYFUNCTION("GOOGLETRANSLATE(B3889,""en"",""zh-CN"")"),"女人不断地将乳液擦到她的脸上，并通过看相机结束。")</f>
        <v>女人不断地将乳液擦到她的脸上，并通过看相机结束。</v>
      </c>
    </row>
    <row r="3890">
      <c r="A3890" s="4" t="s">
        <v>4892</v>
      </c>
      <c r="B3890" s="4" t="s">
        <v>4893</v>
      </c>
      <c r="C3890" s="5" t="str">
        <f>IFERROR(__xludf.DUMMYFUNCTION("GOOGLETRANSLATE(B3890,""en"",""zh-CN"")"),"当一个大的灰狗身后走去时，这个男人被割草了。")</f>
        <v>当一个大的灰狗身后走去时，这个男人被割草了。</v>
      </c>
    </row>
    <row r="3891">
      <c r="A3891" s="4" t="s">
        <v>4892</v>
      </c>
      <c r="B3891" s="4" t="s">
        <v>4894</v>
      </c>
      <c r="C3891" s="5" t="str">
        <f>IFERROR(__xludf.DUMMYFUNCTION("GOOGLETRANSLATE(B3891,""en"",""zh-CN"")"),"院子里还有另一只小狗，他只是坐在一个地方。")</f>
        <v>院子里还有另一只小狗，他只是坐在一个地方。</v>
      </c>
    </row>
    <row r="3892">
      <c r="A3892" s="4" t="s">
        <v>4895</v>
      </c>
      <c r="B3892" s="6" t="s">
        <v>4896</v>
      </c>
      <c r="C3892" s="5" t="str">
        <f>IFERROR(__xludf.DUMMYFUNCTION("GOOGLETRANSLATE(B3892,""en"",""zh-CN"")"),"该视频使观众能够听到使用Pro Roofing Service的客户的证词。")</f>
        <v>该视频使观众能够听到使用Pro Roofing Service的客户的证词。</v>
      </c>
    </row>
    <row r="3893">
      <c r="A3893" s="4" t="s">
        <v>4895</v>
      </c>
      <c r="B3893" s="4" t="s">
        <v>4897</v>
      </c>
      <c r="C3893" s="5" t="str">
        <f>IFERROR(__xludf.DUMMYFUNCTION("GOOGLETRANSLATE(B3893,""en"",""zh-CN"")"),"首先，这个人告诉他如何听到这项服务以及它的伟大。")</f>
        <v>首先，这个人告诉他如何听到这项服务以及它的伟大。</v>
      </c>
    </row>
    <row r="3894">
      <c r="A3894" s="4" t="s">
        <v>4895</v>
      </c>
      <c r="B3894" s="6" t="s">
        <v>4898</v>
      </c>
      <c r="C3894" s="5" t="str">
        <f>IFERROR(__xludf.DUMMYFUNCTION("GOOGLETRANSLATE(B3894,""en"",""zh-CN"")"),"他还说，他之所以选择专业屋顶，是因为邻居选择了它，并说服了他的服务多么出色。")</f>
        <v>他还说，他之所以选择专业屋顶，是因为邻居选择了它，并说服了他的服务多么出色。</v>
      </c>
    </row>
    <row r="3895">
      <c r="A3895" s="4" t="s">
        <v>4899</v>
      </c>
      <c r="B3895" s="4" t="s">
        <v>4900</v>
      </c>
      <c r="C3895" s="5" t="str">
        <f>IFERROR(__xludf.DUMMYFUNCTION("GOOGLETRANSLATE(B3895,""en"",""zh-CN"")"),"白水球队挤在一起。")</f>
        <v>白水球队挤在一起。</v>
      </c>
    </row>
    <row r="3896">
      <c r="A3896" s="4" t="s">
        <v>4899</v>
      </c>
      <c r="B3896" s="4" t="s">
        <v>4901</v>
      </c>
      <c r="C3896" s="5" t="str">
        <f>IFERROR(__xludf.DUMMYFUNCTION("GOOGLETRANSLATE(B3896,""en"",""zh-CN"")"),"比赛开始时，蓝色得分是在白色防守深处绑定比赛的同时。")</f>
        <v>比赛开始时，蓝色得分是在白色防守深处绑定比赛的同时。</v>
      </c>
    </row>
    <row r="3897">
      <c r="A3897" s="4" t="s">
        <v>4899</v>
      </c>
      <c r="B3897" s="4" t="s">
        <v>4902</v>
      </c>
      <c r="C3897" s="5" t="str">
        <f>IFERROR(__xludf.DUMMYFUNCTION("GOOGLETRANSLATE(B3897,""en"",""zh-CN"")"),"白色答案具有强大的目标，可以夺回领先优势。")</f>
        <v>白色答案具有强大的目标，可以夺回领先优势。</v>
      </c>
    </row>
    <row r="3898">
      <c r="A3898" s="4" t="s">
        <v>4899</v>
      </c>
      <c r="B3898" s="4" t="s">
        <v>4903</v>
      </c>
      <c r="C3898" s="5" t="str">
        <f>IFERROR(__xludf.DUMMYFUNCTION("GOOGLETRANSLATE(B3898,""en"",""zh-CN"")"),"蓝色移入和之后，几次传球将游戏备份。")</f>
        <v>蓝色移入和之后，几次传球将游戏备份。</v>
      </c>
    </row>
    <row r="3899">
      <c r="A3899" s="4" t="s">
        <v>4899</v>
      </c>
      <c r="B3899" s="4" t="s">
        <v>4904</v>
      </c>
      <c r="C3899" s="5" t="str">
        <f>IFERROR(__xludf.DUMMYFUNCTION("GOOGLETRANSLATE(B3899,""en"",""zh-CN"")"),"白色得分以领先，蓝色再次回来领带。")</f>
        <v>白色得分以领先，蓝色再次回来领带。</v>
      </c>
    </row>
    <row r="3900">
      <c r="A3900" s="4" t="s">
        <v>4899</v>
      </c>
      <c r="B3900" s="4" t="s">
        <v>4905</v>
      </c>
      <c r="C3900" s="5" t="str">
        <f>IFERROR(__xludf.DUMMYFUNCTION("GOOGLETRANSLATE(B3900,""en"",""zh-CN"")"),"争夺球导致白色获得2对1的优势和目标。")</f>
        <v>争夺球导致白色获得2对1的优势和目标。</v>
      </c>
    </row>
    <row r="3901">
      <c r="A3901" s="4" t="s">
        <v>4899</v>
      </c>
      <c r="B3901" s="4" t="s">
        <v>4906</v>
      </c>
      <c r="C3901" s="5" t="str">
        <f>IFERROR(__xludf.DUMMYFUNCTION("GOOGLETRANSLATE(B3901,""en"",""zh-CN"")"),"他们进一步推动了领先优势，并将比赛脱颖而出，赢得了14-10。")</f>
        <v>他们进一步推动了领先优势，并将比赛脱颖而出，赢得了14-10。</v>
      </c>
    </row>
    <row r="3902">
      <c r="A3902" s="4" t="s">
        <v>4899</v>
      </c>
      <c r="B3902" s="4" t="s">
        <v>4907</v>
      </c>
      <c r="C3902" s="5" t="str">
        <f>IFERROR(__xludf.DUMMYFUNCTION("GOOGLETRANSLATE(B3902,""en"",""zh-CN"")"),"团队在水中一起庆祝。")</f>
        <v>团队在水中一起庆祝。</v>
      </c>
    </row>
    <row r="3903">
      <c r="A3903" s="4" t="s">
        <v>4899</v>
      </c>
      <c r="B3903" s="4" t="s">
        <v>4908</v>
      </c>
      <c r="C3903" s="5" t="str">
        <f>IFERROR(__xludf.DUMMYFUNCTION("GOOGLETRANSLATE(B3903,""en"",""zh-CN"")"),"团队在领奖台上庆祝他们的金属。")</f>
        <v>团队在领奖台上庆祝他们的金属。</v>
      </c>
    </row>
    <row r="3904">
      <c r="A3904" s="4" t="s">
        <v>4909</v>
      </c>
      <c r="B3904" s="4" t="s">
        <v>4910</v>
      </c>
      <c r="C3904" s="5" t="str">
        <f>IFERROR(__xludf.DUMMYFUNCTION("GOOGLETRANSLATE(B3904,""en"",""zh-CN"")"),"一个女孩和一只狗在野外。")</f>
        <v>一个女孩和一只狗在野外。</v>
      </c>
    </row>
    <row r="3905">
      <c r="A3905" s="4" t="s">
        <v>4909</v>
      </c>
      <c r="B3905" s="6" t="s">
        <v>4911</v>
      </c>
      <c r="C3905" s="5" t="str">
        <f>IFERROR(__xludf.DUMMYFUNCTION("GOOGLETRANSLATE(B3905,""en"",""zh-CN"")"),"这个女孩拿着两个飞盘，然后她走路，并排转过身，狗在她的面前滚过来，狗碰到了女孩的膝盖，女孩抬起双手走动，狗和他的两个前爪走路向上。")</f>
        <v>这个女孩拿着两个飞盘，然后她走路，并排转过身，狗在她的面前滚过来，狗碰到了女孩的膝盖，女孩抬起双手走动，狗和他的两个前爪走路向上。</v>
      </c>
    </row>
    <row r="3906">
      <c r="A3906" s="4" t="s">
        <v>4909</v>
      </c>
      <c r="B3906" s="4" t="s">
        <v>4912</v>
      </c>
      <c r="C3906" s="5" t="str">
        <f>IFERROR(__xludf.DUMMYFUNCTION("GOOGLETRANSLATE(B3906,""en"",""zh-CN"")"),"女孩把飞盘扔了，狗追了它，将其放在地上。")</f>
        <v>女孩把飞盘扔了，狗追了它，将其放在地上。</v>
      </c>
    </row>
    <row r="3907">
      <c r="A3907" s="4" t="s">
        <v>4913</v>
      </c>
      <c r="B3907" s="4" t="s">
        <v>4914</v>
      </c>
      <c r="C3907" s="5" t="str">
        <f>IFERROR(__xludf.DUMMYFUNCTION("GOOGLETRANSLATE(B3907,""en"",""zh-CN"")"),"女人正在玩冰壶游戏。")</f>
        <v>女人正在玩冰壶游戏。</v>
      </c>
    </row>
    <row r="3908">
      <c r="A3908" s="4" t="s">
        <v>4913</v>
      </c>
      <c r="B3908" s="4" t="s">
        <v>4915</v>
      </c>
      <c r="C3908" s="5" t="str">
        <f>IFERROR(__xludf.DUMMYFUNCTION("GOOGLETRANSLATE(B3908,""en"",""zh-CN"")"),"观众看着他们欢呼和鼓掌。")</f>
        <v>观众看着他们欢呼和鼓掌。</v>
      </c>
    </row>
    <row r="3909">
      <c r="A3909" s="4" t="s">
        <v>4916</v>
      </c>
      <c r="B3909" s="6" t="s">
        <v>4917</v>
      </c>
      <c r="C3909" s="5" t="str">
        <f>IFERROR(__xludf.DUMMYFUNCTION("GOOGLETRANSLATE(B3909,""en"",""zh-CN"")"),"一个男人从汽车后部抓起轮胎，迅速跑到汽车的右侧，将其扔在草地上，然后跑到仍然在汽车上的轮胎上，开始用千斤顶抬起汽车，然后卸下凸耳，轮辋和轮胎，将它们扔在草地上。")</f>
        <v>一个男人从汽车后部抓起轮胎，迅速跑到汽车的右侧，将其扔在草地上，然后跑到仍然在汽车上的轮胎上，开始用千斤顶抬起汽车，然后卸下凸耳，轮辋和轮胎，将它们扔在草地上。</v>
      </c>
    </row>
    <row r="3910">
      <c r="A3910" s="4" t="s">
        <v>4916</v>
      </c>
      <c r="B3910" s="6" t="s">
        <v>4918</v>
      </c>
      <c r="C3910" s="5" t="str">
        <f>IFERROR(__xludf.DUMMYFUNCTION("GOOGLETRANSLATE(B3910,""en"",""zh-CN"")"),"然后，那个男人抓住他从汽车后部拉出的轮胎，将其放在汽车上，将轮辋放在上面，用手将凸耳紧紧抓住凸耳，然后他拿起工具并用它拧紧凸耳。")</f>
        <v>然后，那个男人抓住他从汽车后部拉出的轮胎，将其放在汽车上，将轮辋放在上面，用手将凸耳紧紧抓住凸耳，然后他拿起工具并用它拧紧凸耳。</v>
      </c>
    </row>
    <row r="3911">
      <c r="A3911" s="4" t="s">
        <v>4916</v>
      </c>
      <c r="B3911" s="6" t="s">
        <v>4919</v>
      </c>
      <c r="C3911" s="5" t="str">
        <f>IFERROR(__xludf.DUMMYFUNCTION("GOOGLETRANSLATE(B3911,""en"",""zh-CN"")"),"然后，该名男子从车下卸下千斤顶，并用工具再次收紧凸耳，他喘不过气来。")</f>
        <v>然后，该名男子从车下卸下千斤顶，并用工具再次收紧凸耳，他喘不过气来。</v>
      </c>
    </row>
    <row r="3912">
      <c r="A3912" s="4" t="s">
        <v>4920</v>
      </c>
      <c r="B3912" s="4" t="s">
        <v>4921</v>
      </c>
      <c r="C3912" s="5" t="str">
        <f>IFERROR(__xludf.DUMMYFUNCTION("GOOGLETRANSLATE(B3912,""en"",""zh-CN"")"),"一个杂工站在门廊前说话。")</f>
        <v>一个杂工站在门廊前说话。</v>
      </c>
    </row>
    <row r="3913">
      <c r="A3913" s="4" t="s">
        <v>4920</v>
      </c>
      <c r="B3913" s="4" t="s">
        <v>4922</v>
      </c>
      <c r="C3913" s="5" t="str">
        <f>IFERROR(__xludf.DUMMYFUNCTION("GOOGLETRANSLATE(B3913,""en"",""zh-CN"")"),"该男子同时使用两个挤压器清洁两个窗户。")</f>
        <v>该男子同时使用两个挤压器清洁两个窗户。</v>
      </c>
    </row>
    <row r="3914">
      <c r="A3914" s="4" t="s">
        <v>4920</v>
      </c>
      <c r="B3914" s="4" t="s">
        <v>4923</v>
      </c>
      <c r="C3914" s="5" t="str">
        <f>IFERROR(__xludf.DUMMYFUNCTION("GOOGLETRANSLATE(B3914,""en"",""zh-CN"")"),"该男子完成并将其工具放在工具带中。")</f>
        <v>该男子完成并将其工具放在工具带中。</v>
      </c>
    </row>
    <row r="3915">
      <c r="A3915" s="4" t="s">
        <v>4920</v>
      </c>
      <c r="B3915" s="4" t="s">
        <v>4924</v>
      </c>
      <c r="C3915" s="5" t="str">
        <f>IFERROR(__xludf.DUMMYFUNCTION("GOOGLETRANSLATE(B3915,""en"",""zh-CN"")"),"他微笑着走开。")</f>
        <v>他微笑着走开。</v>
      </c>
    </row>
    <row r="3916">
      <c r="A3916" s="4" t="s">
        <v>4925</v>
      </c>
      <c r="B3916" s="4" t="s">
        <v>4926</v>
      </c>
      <c r="C3916" s="5" t="str">
        <f>IFERROR(__xludf.DUMMYFUNCTION("GOOGLETRANSLATE(B3916,""en"",""zh-CN"")"),"看到一台相机靠近游乐场，并显示一名女性从滑梯上走下去。")</f>
        <v>看到一台相机靠近游乐场，并显示一名女性从滑梯上走下去。</v>
      </c>
    </row>
    <row r="3917">
      <c r="A3917" s="4" t="s">
        <v>4925</v>
      </c>
      <c r="B3917" s="4" t="s">
        <v>4927</v>
      </c>
      <c r="C3917" s="5" t="str">
        <f>IFERROR(__xludf.DUMMYFUNCTION("GOOGLETRANSLATE(B3917,""en"",""zh-CN"")"),"一只狗和她一起骑行，另一只狗在该地区漫步。")</f>
        <v>一只狗和她一起骑行，另一只狗在该地区漫步。</v>
      </c>
    </row>
    <row r="3918">
      <c r="A3918" s="4" t="s">
        <v>4925</v>
      </c>
      <c r="B3918" s="4" t="s">
        <v>4928</v>
      </c>
      <c r="C3918" s="5" t="str">
        <f>IFERROR(__xludf.DUMMYFUNCTION("GOOGLETRANSLATE(B3918,""en"",""zh-CN"")"),"该名女子骑着她旁边的小狗骑了几次。")</f>
        <v>该名女子骑着她旁边的小狗骑了几次。</v>
      </c>
    </row>
    <row r="3919">
      <c r="A3919" s="4" t="s">
        <v>4929</v>
      </c>
      <c r="B3919" s="6" t="s">
        <v>4930</v>
      </c>
      <c r="C3919" s="5" t="str">
        <f>IFERROR(__xludf.DUMMYFUNCTION("GOOGLETRANSLATE(B3919,""en"",""zh-CN"")"),"看到两个人在相机上说话，并导致他们互相传递一个球。")</f>
        <v>看到两个人在相机上说话，并导致他们互相传递一个球。</v>
      </c>
    </row>
    <row r="3920">
      <c r="A3920" s="4" t="s">
        <v>4929</v>
      </c>
      <c r="B3920" s="6" t="s">
        <v>4931</v>
      </c>
      <c r="C3920" s="5" t="str">
        <f>IFERROR(__xludf.DUMMYFUNCTION("GOOGLETRANSLATE(B3920,""en"",""zh-CN"")"),"女人停下来与摄像机说话几次，并显示了更多两者击中球的片段。")</f>
        <v>女人停下来与摄像机说话几次，并显示了更多两者击中球的片段。</v>
      </c>
    </row>
    <row r="3921">
      <c r="A3921" s="4" t="s">
        <v>4932</v>
      </c>
      <c r="B3921" s="4" t="s">
        <v>4933</v>
      </c>
      <c r="C3921" s="5" t="str">
        <f>IFERROR(__xludf.DUMMYFUNCTION("GOOGLETRANSLATE(B3921,""en"",""zh-CN"")"),"一群人在室内游泳池里打水排球，有几个旁观者在场外。")</f>
        <v>一群人在室内游泳池里打水排球，有几个旁观者在场外。</v>
      </c>
    </row>
    <row r="3922">
      <c r="A3922" s="4" t="s">
        <v>4932</v>
      </c>
      <c r="B3922" s="4" t="s">
        <v>4934</v>
      </c>
      <c r="C3922" s="5" t="str">
        <f>IFERROR(__xludf.DUMMYFUNCTION("GOOGLETRANSLATE(B3922,""en"",""zh-CN"")"),"游泳池中的人之间扔了一个黄色的排球。")</f>
        <v>游泳池中的人之间扔了一个黄色的排球。</v>
      </c>
    </row>
    <row r="3923">
      <c r="A3923" s="4" t="s">
        <v>4932</v>
      </c>
      <c r="B3923" s="4" t="s">
        <v>4935</v>
      </c>
      <c r="C3923" s="5" t="str">
        <f>IFERROR(__xludf.DUMMYFUNCTION("GOOGLETRANSLATE(B3923,""en"",""zh-CN"")"),"一个人用白色网上的黄色排球做出了目标。")</f>
        <v>一个人用白色网上的黄色排球做出了目标。</v>
      </c>
    </row>
    <row r="3924">
      <c r="A3924" s="4" t="s">
        <v>4932</v>
      </c>
      <c r="B3924" s="6" t="s">
        <v>4936</v>
      </c>
      <c r="C3924" s="5" t="str">
        <f>IFERROR(__xludf.DUMMYFUNCTION("GOOGLETRANSLATE(B3924,""en"",""zh-CN"")"),"球被扔到游泳池的另一侧，在泳池另一侧的白色网中遇到了另一个进球。")</f>
        <v>球被扔到游泳池的另一侧，在泳池另一侧的白色网中遇到了另一个进球。</v>
      </c>
    </row>
    <row r="3925">
      <c r="A3925" s="4" t="s">
        <v>4937</v>
      </c>
      <c r="B3925" s="4" t="s">
        <v>4938</v>
      </c>
      <c r="C3925" s="5" t="str">
        <f>IFERROR(__xludf.DUMMYFUNCTION("GOOGLETRANSLATE(B3925,""en"",""zh-CN"")"),"有一个戴着粉红色手套的人在做一个有关如何清洁白色厨房水槽的教程。")</f>
        <v>有一个戴着粉红色手套的人在做一个有关如何清洁白色厨房水槽的教程。</v>
      </c>
    </row>
    <row r="3926">
      <c r="A3926" s="4" t="s">
        <v>4937</v>
      </c>
      <c r="B3926" s="6" t="s">
        <v>4939</v>
      </c>
      <c r="C3926" s="5" t="str">
        <f>IFERROR(__xludf.DUMMYFUNCTION("GOOGLETRANSLATE(B3926,""en"",""zh-CN"")"),"该人在水槽中喷洒了一些白色清洁粉，然后在上面喷洒了一些Clorox漂白剂。")</f>
        <v>该人在水槽中喷洒了一些白色清洁粉，然后在上面喷洒了一些Clorox漂白剂。</v>
      </c>
    </row>
    <row r="3927">
      <c r="A3927" s="4" t="s">
        <v>4937</v>
      </c>
      <c r="B3927" s="4" t="s">
        <v>4940</v>
      </c>
      <c r="C3927" s="5" t="str">
        <f>IFERROR(__xludf.DUMMYFUNCTION("GOOGLETRANSLATE(B3927,""en"",""zh-CN"")"),"然后进行粉红色的磨砂膏，开始在来回运动中擦洗水槽。")</f>
        <v>然后进行粉红色的磨砂膏，开始在来回运动中擦洗水槽。</v>
      </c>
    </row>
    <row r="3928">
      <c r="A3928" s="4" t="s">
        <v>4937</v>
      </c>
      <c r="B3928" s="4" t="s">
        <v>4941</v>
      </c>
      <c r="C3928" s="5" t="str">
        <f>IFERROR(__xludf.DUMMYFUNCTION("GOOGLETRANSLATE(B3928,""en"",""zh-CN"")"),"该人确保清洁水槽的所有侧面，包括排水管。")</f>
        <v>该人确保清洁水槽的所有侧面，包括排水管。</v>
      </c>
    </row>
    <row r="3929">
      <c r="A3929" s="4" t="s">
        <v>4937</v>
      </c>
      <c r="B3929" s="4" t="s">
        <v>4942</v>
      </c>
      <c r="C3929" s="5" t="str">
        <f>IFERROR(__xludf.DUMMYFUNCTION("GOOGLETRANSLATE(B3929,""en"",""zh-CN"")"),"然后，她开始龙头洗净粉末和漂白剂。")</f>
        <v>然后，她开始龙头洗净粉末和漂白剂。</v>
      </c>
    </row>
    <row r="3930">
      <c r="A3930" s="4" t="s">
        <v>4937</v>
      </c>
      <c r="B3930" s="6" t="s">
        <v>4943</v>
      </c>
      <c r="C3930" s="5" t="str">
        <f>IFERROR(__xludf.DUMMYFUNCTION("GOOGLETRANSLATE(B3930,""en"",""zh-CN"")"),"然后，她使用纸巾擦去水，清除水槽中的任何残留粉末。")</f>
        <v>然后，她使用纸巾擦去水，清除水槽中的任何残留粉末。</v>
      </c>
    </row>
    <row r="3931">
      <c r="A3931" s="4" t="s">
        <v>4944</v>
      </c>
      <c r="B3931" s="4" t="s">
        <v>4945</v>
      </c>
      <c r="C3931" s="5" t="str">
        <f>IFERROR(__xludf.DUMMYFUNCTION("GOOGLETRANSLATE(B3931,""en"",""zh-CN"")"),"一个男人正在和围栏旁边的相机交谈。")</f>
        <v>一个男人正在和围栏旁边的相机交谈。</v>
      </c>
    </row>
    <row r="3932">
      <c r="A3932" s="4" t="s">
        <v>4944</v>
      </c>
      <c r="B3932" s="4" t="s">
        <v>4946</v>
      </c>
      <c r="C3932" s="5" t="str">
        <f>IFERROR(__xludf.DUMMYFUNCTION("GOOGLETRANSLATE(B3932,""en"",""zh-CN"")"),"该男子拿着画笔。")</f>
        <v>该男子拿着画笔。</v>
      </c>
    </row>
    <row r="3933">
      <c r="A3933" s="4" t="s">
        <v>4944</v>
      </c>
      <c r="B3933" s="4" t="s">
        <v>4947</v>
      </c>
      <c r="C3933" s="5" t="str">
        <f>IFERROR(__xludf.DUMMYFUNCTION("GOOGLETRANSLATE(B3933,""en"",""zh-CN"")"),"该男子将画笔浸入一桶油漆中，开始涂围栏。")</f>
        <v>该男子将画笔浸入一桶油漆中，开始涂围栏。</v>
      </c>
    </row>
    <row r="3934">
      <c r="A3934" s="4" t="s">
        <v>4944</v>
      </c>
      <c r="B3934" s="4" t="s">
        <v>4948</v>
      </c>
      <c r="C3934" s="5" t="str">
        <f>IFERROR(__xludf.DUMMYFUNCTION("GOOGLETRANSLATE(B3934,""en"",""zh-CN"")"),"该人沿着篱笆绘画。")</f>
        <v>该人沿着篱笆绘画。</v>
      </c>
    </row>
    <row r="3935">
      <c r="A3935" s="4" t="s">
        <v>4944</v>
      </c>
      <c r="B3935" s="4" t="s">
        <v>4949</v>
      </c>
      <c r="C3935" s="5" t="str">
        <f>IFERROR(__xludf.DUMMYFUNCTION("GOOGLETRANSLATE(B3935,""en"",""zh-CN"")"),"该人完成了绘画，并远离篱笆。")</f>
        <v>该人完成了绘画，并远离篱笆。</v>
      </c>
    </row>
    <row r="3936">
      <c r="A3936" s="4" t="s">
        <v>4950</v>
      </c>
      <c r="B3936" s="6" t="s">
        <v>4951</v>
      </c>
      <c r="C3936" s="5" t="str">
        <f>IFERROR(__xludf.DUMMYFUNCTION("GOOGLETRANSLATE(B3936,""en"",""zh-CN"")"),"一个站在白色唱歌前面的女人打开水龙头，得到了一些液体肥皂，洗了她的手。")</f>
        <v>一个站在白色唱歌前面的女人打开水龙头，得到了一些液体肥皂，洗了她的手。</v>
      </c>
    </row>
    <row r="3937">
      <c r="A3937" s="4" t="s">
        <v>4950</v>
      </c>
      <c r="B3937" s="6" t="s">
        <v>4952</v>
      </c>
      <c r="C3937" s="5" t="str">
        <f>IFERROR(__xludf.DUMMYFUNCTION("GOOGLETRANSLATE(B3937,""en"",""zh-CN"")"),"她转过身，从墙壁上拿起一些手餐巾，擦了擦手，将纸扔在垃圾篮中。")</f>
        <v>她转过身，从墙壁上拿起一些手餐巾，擦了擦手，将纸扔在垃圾篮中。</v>
      </c>
    </row>
    <row r="3938">
      <c r="A3938" s="4" t="s">
        <v>4953</v>
      </c>
      <c r="B3938" s="6" t="s">
        <v>4954</v>
      </c>
      <c r="C3938" s="5" t="str">
        <f>IFERROR(__xludf.DUMMYFUNCTION("GOOGLETRANSLATE(B3938,""en"",""zh-CN"")"),"一个女人来到屏幕上，宣布她将制作有关如何制作饼干甜点的视频。")</f>
        <v>一个女人来到屏幕上，宣布她将制作有关如何制作饼干甜点的视频。</v>
      </c>
    </row>
    <row r="3939">
      <c r="A3939" s="4" t="s">
        <v>4953</v>
      </c>
      <c r="B3939" s="6" t="s">
        <v>4955</v>
      </c>
      <c r="C3939" s="5" t="str">
        <f>IFERROR(__xludf.DUMMYFUNCTION("GOOGLETRANSLATE(B3939,""en"",""zh-CN"")"),"她从饼干所需的所有成分开始，并开始结合干成分。")</f>
        <v>她从饼干所需的所有成分开始，并开始结合干成分。</v>
      </c>
    </row>
    <row r="3940">
      <c r="A3940" s="4" t="s">
        <v>4953</v>
      </c>
      <c r="B3940" s="4" t="s">
        <v>4956</v>
      </c>
      <c r="C3940" s="5" t="str">
        <f>IFERROR(__xludf.DUMMYFUNCTION("GOOGLETRANSLATE(B3940,""en"",""zh-CN"")"),"然后，她继续将湿食物混合在玻璃碗中。")</f>
        <v>然后，她继续将湿食物混合在玻璃碗中。</v>
      </c>
    </row>
    <row r="3941">
      <c r="A3941" s="4" t="s">
        <v>4953</v>
      </c>
      <c r="B3941" s="6" t="s">
        <v>4957</v>
      </c>
      <c r="C3941" s="5" t="str">
        <f>IFERROR(__xludf.DUMMYFUNCTION("GOOGLETRANSLATE(B3941,""en"",""zh-CN"")"),"将所有成分混合在一起后，她开始将面团卷成球，然后将其放在饼干板上，然后将它们放入烤箱中。")</f>
        <v>将所有成分混合在一起后，她开始将面团卷成球，然后将其放在饼干板上，然后将它们放入烤箱中。</v>
      </c>
    </row>
    <row r="3942">
      <c r="A3942" s="4" t="s">
        <v>4953</v>
      </c>
      <c r="B3942" s="4" t="s">
        <v>4958</v>
      </c>
      <c r="C3942" s="5" t="str">
        <f>IFERROR(__xludf.DUMMYFUNCTION("GOOGLETRANSLATE(B3942,""en"",""zh-CN"")"),"她将它们从烤箱中取出，并开始将它们包裹在单个套装中。")</f>
        <v>她将它们从烤箱中取出，并开始将它们包裹在单个套装中。</v>
      </c>
    </row>
    <row r="3943">
      <c r="A3943" s="4" t="s">
        <v>4953</v>
      </c>
      <c r="B3943" s="4" t="s">
        <v>4959</v>
      </c>
      <c r="C3943" s="5" t="str">
        <f>IFERROR(__xludf.DUMMYFUNCTION("GOOGLETRANSLATE(B3943,""en"",""zh-CN"")"),"视频以结束信用结束。")</f>
        <v>视频以结束信用结束。</v>
      </c>
    </row>
    <row r="3944">
      <c r="A3944" s="4" t="s">
        <v>4960</v>
      </c>
      <c r="B3944" s="4" t="s">
        <v>4961</v>
      </c>
      <c r="C3944" s="5" t="str">
        <f>IFERROR(__xludf.DUMMYFUNCTION("GOOGLETRANSLATE(B3944,""en"",""zh-CN"")"),"看到一个小孩坐在镜头上的秋千上。")</f>
        <v>看到一个小孩坐在镜头上的秋千上。</v>
      </c>
    </row>
    <row r="3945">
      <c r="A3945" s="4" t="s">
        <v>4960</v>
      </c>
      <c r="B3945" s="4" t="s">
        <v>4962</v>
      </c>
      <c r="C3945" s="5" t="str">
        <f>IFERROR(__xludf.DUMMYFUNCTION("GOOGLETRANSLATE(B3945,""en"",""zh-CN"")"),"这个男孩在秋千上向后移，而看到另一个男孩在他旁边摇摆。")</f>
        <v>这个男孩在秋千上向后移，而看到另一个男孩在他旁边摇摆。</v>
      </c>
    </row>
    <row r="3946">
      <c r="A3946" s="4" t="s">
        <v>4960</v>
      </c>
      <c r="B3946" s="6" t="s">
        <v>4963</v>
      </c>
      <c r="C3946" s="5" t="str">
        <f>IFERROR(__xludf.DUMMYFUNCTION("GOOGLETRANSLATE(B3946,""en"",""zh-CN"")"),"两者继续向后摇摆第四，而相机则从不同角度捕获它们。")</f>
        <v>两者继续向后摇摆第四，而相机则从不同角度捕获它们。</v>
      </c>
    </row>
    <row r="3947">
      <c r="A3947" s="4" t="s">
        <v>4964</v>
      </c>
      <c r="B3947" s="6" t="s">
        <v>4965</v>
      </c>
      <c r="C3947" s="5" t="str">
        <f>IFERROR(__xludf.DUMMYFUNCTION("GOOGLETRANSLATE(B3947,""en"",""zh-CN"")"),"几个剪辑显示了机器人互相战斗以及建筑物的内部和外部。")</f>
        <v>几个剪辑显示了机器人互相战斗以及建筑物的内部和外部。</v>
      </c>
    </row>
    <row r="3948">
      <c r="A3948" s="4" t="s">
        <v>4964</v>
      </c>
      <c r="B3948" s="6" t="s">
        <v>4966</v>
      </c>
      <c r="C3948" s="5" t="str">
        <f>IFERROR(__xludf.DUMMYFUNCTION("GOOGLETRANSLATE(B3948,""en"",""zh-CN"")"),"更多的机器人被展示了，还有调整机器人并将其放下战斗的人。")</f>
        <v>更多的机器人被展示了，还有调整机器人并将其放下战斗的人。</v>
      </c>
    </row>
    <row r="3949">
      <c r="A3949" s="4" t="s">
        <v>4964</v>
      </c>
      <c r="B3949" s="4" t="s">
        <v>4967</v>
      </c>
      <c r="C3949" s="5" t="str">
        <f>IFERROR(__xludf.DUMMYFUNCTION("GOOGLETRANSLATE(B3949,""en"",""zh-CN"")"),"人们继续使用机器人，并与另一个男人握手并鞠躬结束。")</f>
        <v>人们继续使用机器人，并与另一个男人握手并鞠躬结束。</v>
      </c>
    </row>
    <row r="3950">
      <c r="A3950" s="4" t="s">
        <v>4968</v>
      </c>
      <c r="B3950" s="4" t="s">
        <v>4969</v>
      </c>
      <c r="C3950" s="5" t="str">
        <f>IFERROR(__xludf.DUMMYFUNCTION("GOOGLETRANSLATE(B3950,""en"",""zh-CN"")"),"叶吹制机在停车场周围吹了一大堆叶子。")</f>
        <v>叶吹制机在停车场周围吹了一大堆叶子。</v>
      </c>
    </row>
    <row r="3951">
      <c r="A3951" s="4" t="s">
        <v>4968</v>
      </c>
      <c r="B3951" s="4" t="s">
        <v>4970</v>
      </c>
      <c r="C3951" s="5" t="str">
        <f>IFERROR(__xludf.DUMMYFUNCTION("GOOGLETRANSLATE(B3951,""en"",""zh-CN"")"),"机器继续穿过批次，将叶子流入一大堆。")</f>
        <v>机器继续穿过批次，将叶子流入一大堆。</v>
      </c>
    </row>
    <row r="3952">
      <c r="A3952" s="4" t="s">
        <v>4971</v>
      </c>
      <c r="B3952" s="4" t="s">
        <v>4972</v>
      </c>
      <c r="C3952" s="5" t="str">
        <f>IFERROR(__xludf.DUMMYFUNCTION("GOOGLETRANSLATE(B3952,""en"",""zh-CN"")"),"我们看到一位女士在树林中砍伐木材。")</f>
        <v>我们看到一位女士在树林中砍伐木材。</v>
      </c>
    </row>
    <row r="3953">
      <c r="A3953" s="4" t="s">
        <v>4971</v>
      </c>
      <c r="B3953" s="4" t="s">
        <v>4973</v>
      </c>
      <c r="C3953" s="5" t="str">
        <f>IFERROR(__xludf.DUMMYFUNCTION("GOOGLETRANSLATE(B3953,""en"",""zh-CN"")"),"这位女士在平台上登录。")</f>
        <v>这位女士在平台上登录。</v>
      </c>
    </row>
    <row r="3954">
      <c r="A3954" s="4" t="s">
        <v>4971</v>
      </c>
      <c r="B3954" s="4" t="s">
        <v>4974</v>
      </c>
      <c r="C3954" s="5" t="str">
        <f>IFERROR(__xludf.DUMMYFUNCTION("GOOGLETRANSLATE(B3954,""en"",""zh-CN"")"),"我们看到鸡在背景周围奔跑。")</f>
        <v>我们看到鸡在背景周围奔跑。</v>
      </c>
    </row>
    <row r="3955">
      <c r="A3955" s="4" t="s">
        <v>4971</v>
      </c>
      <c r="B3955" s="4" t="s">
        <v>4975</v>
      </c>
      <c r="C3955" s="5" t="str">
        <f>IFERROR(__xludf.DUMMYFUNCTION("GOOGLETRANSLATE(B3955,""en"",""zh-CN"")"),"那位女士捡起一块木头时笑了。")</f>
        <v>那位女士捡起一块木头时笑了。</v>
      </c>
    </row>
    <row r="3956">
      <c r="A3956" s="4" t="s">
        <v>4971</v>
      </c>
      <c r="B3956" s="4" t="s">
        <v>4976</v>
      </c>
      <c r="C3956" s="5" t="str">
        <f>IFERROR(__xludf.DUMMYFUNCTION("GOOGLETRANSLATE(B3956,""en"",""zh-CN"")"),"我们看到一只鸡在背景中的翅膀。")</f>
        <v>我们看到一只鸡在背景中的翅膀。</v>
      </c>
    </row>
    <row r="3957">
      <c r="A3957" s="4" t="s">
        <v>4971</v>
      </c>
      <c r="B3957" s="4" t="s">
        <v>4977</v>
      </c>
      <c r="C3957" s="5" t="str">
        <f>IFERROR(__xludf.DUMMYFUNCTION("GOOGLETRANSLATE(B3957,""en"",""zh-CN"")"),"女士结束并把手扔在空中。")</f>
        <v>女士结束并把手扔在空中。</v>
      </c>
    </row>
    <row r="3958">
      <c r="A3958" s="4" t="s">
        <v>4978</v>
      </c>
      <c r="B3958" s="4" t="s">
        <v>4979</v>
      </c>
      <c r="C3958" s="5" t="str">
        <f>IFERROR(__xludf.DUMMYFUNCTION("GOOGLETRANSLATE(B3958,""en"",""zh-CN"")"),"女孩在和镜头说话。")</f>
        <v>女孩在和镜头说话。</v>
      </c>
    </row>
    <row r="3959">
      <c r="A3959" s="4" t="s">
        <v>4978</v>
      </c>
      <c r="B3959" s="4" t="s">
        <v>4980</v>
      </c>
      <c r="C3959" s="5" t="str">
        <f>IFERROR(__xludf.DUMMYFUNCTION("GOOGLETRANSLATE(B3959,""en"",""zh-CN"")"),"他们在说话时正在做手动作。")</f>
        <v>他们在说话时正在做手动作。</v>
      </c>
    </row>
    <row r="3960">
      <c r="A3960" s="4" t="s">
        <v>4978</v>
      </c>
      <c r="B3960" s="4" t="s">
        <v>4981</v>
      </c>
      <c r="C3960" s="5" t="str">
        <f>IFERROR(__xludf.DUMMYFUNCTION("GOOGLETRANSLATE(B3960,""en"",""zh-CN"")"),"他们在玩岩石，剪刀。")</f>
        <v>他们在玩岩石，剪刀。</v>
      </c>
    </row>
    <row r="3961">
      <c r="A3961" s="4" t="s">
        <v>4978</v>
      </c>
      <c r="B3961" s="4" t="s">
        <v>4982</v>
      </c>
      <c r="C3961" s="5" t="str">
        <f>IFERROR(__xludf.DUMMYFUNCTION("GOOGLETRANSLATE(B3961,""en"",""zh-CN"")"),"当另一个女孩把屁股放在脸上时，一个女孩躺在Ged上。")</f>
        <v>当另一个女孩把屁股放在脸上时，一个女孩躺在Ged上。</v>
      </c>
    </row>
    <row r="3962">
      <c r="A3962" s="4" t="s">
        <v>4978</v>
      </c>
      <c r="B3962" s="4" t="s">
        <v>4983</v>
      </c>
      <c r="C3962" s="5" t="str">
        <f>IFERROR(__xludf.DUMMYFUNCTION("GOOGLETRANSLATE(B3962,""en"",""zh-CN"")"),"女孩又在和镜头说话。")</f>
        <v>女孩又在和镜头说话。</v>
      </c>
    </row>
    <row r="3963">
      <c r="A3963" s="4" t="s">
        <v>4984</v>
      </c>
      <c r="B3963" s="4" t="s">
        <v>4985</v>
      </c>
      <c r="C3963" s="5" t="str">
        <f>IFERROR(__xludf.DUMMYFUNCTION("GOOGLETRANSLATE(B3963,""en"",""zh-CN"")"),"一个人从椅子上捡起猫。")</f>
        <v>一个人从椅子上捡起猫。</v>
      </c>
    </row>
    <row r="3964">
      <c r="A3964" s="4" t="s">
        <v>4984</v>
      </c>
      <c r="B3964" s="4" t="s">
        <v>4986</v>
      </c>
      <c r="C3964" s="5" t="str">
        <f>IFERROR(__xludf.DUMMYFUNCTION("GOOGLETRANSLATE(B3964,""en"",""zh-CN"")"),"他们把猫放在腿上。")</f>
        <v>他们把猫放在腿上。</v>
      </c>
    </row>
    <row r="3965">
      <c r="A3965" s="4" t="s">
        <v>4984</v>
      </c>
      <c r="B3965" s="4" t="s">
        <v>4987</v>
      </c>
      <c r="C3965" s="5" t="str">
        <f>IFERROR(__xludf.DUMMYFUNCTION("GOOGLETRANSLATE(B3965,""en"",""zh-CN"")"),"他们开始夹住猫的指甲。")</f>
        <v>他们开始夹住猫的指甲。</v>
      </c>
    </row>
    <row r="3966">
      <c r="A3966" s="4" t="s">
        <v>4984</v>
      </c>
      <c r="B3966" s="4" t="s">
        <v>4988</v>
      </c>
      <c r="C3966" s="5" t="str">
        <f>IFERROR(__xludf.DUMMYFUNCTION("GOOGLETRANSLATE(B3966,""en"",""zh-CN"")"),"一个人坐在笔记本电脑旁边。")</f>
        <v>一个人坐在笔记本电脑旁边。</v>
      </c>
    </row>
    <row r="3967">
      <c r="A3967" s="4" t="s">
        <v>4984</v>
      </c>
      <c r="B3967" s="4" t="s">
        <v>4989</v>
      </c>
      <c r="C3967" s="5" t="str">
        <f>IFERROR(__xludf.DUMMYFUNCTION("GOOGLETRANSLATE(B3967,""en"",""zh-CN"")"),"这个人宠物是猫的腹部。")</f>
        <v>这个人宠物是猫的腹部。</v>
      </c>
    </row>
    <row r="3968">
      <c r="A3968" s="4" t="s">
        <v>4984</v>
      </c>
      <c r="B3968" s="4" t="s">
        <v>4990</v>
      </c>
      <c r="C3968" s="5" t="str">
        <f>IFERROR(__xludf.DUMMYFUNCTION("GOOGLETRANSLATE(B3968,""en"",""zh-CN"")"),"他们把猫拿回去，把它放在椅子上。")</f>
        <v>他们把猫拿回去，把它放在椅子上。</v>
      </c>
    </row>
    <row r="3969">
      <c r="A3969" s="4" t="s">
        <v>4991</v>
      </c>
      <c r="B3969" s="4" t="s">
        <v>4992</v>
      </c>
      <c r="C3969" s="5" t="str">
        <f>IFERROR(__xludf.DUMMYFUNCTION("GOOGLETRANSLATE(B3969,""en"",""zh-CN"")"),"一名男运动员准备沿着赛道跑。")</f>
        <v>一名男运动员准备沿着赛道跑。</v>
      </c>
    </row>
    <row r="3970">
      <c r="A3970" s="4" t="s">
        <v>4991</v>
      </c>
      <c r="B3970" s="4" t="s">
        <v>4993</v>
      </c>
      <c r="C3970" s="5" t="str">
        <f>IFERROR(__xludf.DUMMYFUNCTION("GOOGLETRANSLATE(B3970,""en"",""zh-CN"")"),"他起飞跑步，在酒吧上拱上拱顶，然后登上垫子。")</f>
        <v>他起飞跑步，在酒吧上拱上拱顶，然后登上垫子。</v>
      </c>
    </row>
    <row r="3971">
      <c r="A3971" s="4" t="s">
        <v>4991</v>
      </c>
      <c r="B3971" s="4" t="s">
        <v>4994</v>
      </c>
      <c r="C3971" s="5" t="str">
        <f>IFERROR(__xludf.DUMMYFUNCTION("GOOGLETRANSLATE(B3971,""en"",""zh-CN"")"),"他跳来跳去，随着人群欢呼而庆祝。")</f>
        <v>他跳来跳去，随着人群欢呼而庆祝。</v>
      </c>
    </row>
    <row r="3972">
      <c r="A3972" s="4" t="s">
        <v>4995</v>
      </c>
      <c r="B3972" s="4" t="s">
        <v>4996</v>
      </c>
      <c r="C3972" s="5" t="str">
        <f>IFERROR(__xludf.DUMMYFUNCTION("GOOGLETRANSLATE(B3972,""en"",""zh-CN"")"),"一个人说话时，一个男人的网球在球拍上。")</f>
        <v>一个人说话时，一个男人的网球在球拍上。</v>
      </c>
    </row>
    <row r="3973">
      <c r="A3973" s="4" t="s">
        <v>4995</v>
      </c>
      <c r="B3973" s="4" t="s">
        <v>4997</v>
      </c>
      <c r="C3973" s="5" t="str">
        <f>IFERROR(__xludf.DUMMYFUNCTION("GOOGLETRANSLATE(B3973,""en"",""zh-CN"")"),"该男子弹跳球，展示了如何移动身体，然后他输了一个球。")</f>
        <v>该男子弹跳球，展示了如何移动身体，然后他输了一个球。</v>
      </c>
    </row>
    <row r="3974">
      <c r="A3974" s="4" t="s">
        <v>4995</v>
      </c>
      <c r="B3974" s="4" t="s">
        <v>4998</v>
      </c>
      <c r="C3974" s="5" t="str">
        <f>IFERROR(__xludf.DUMMYFUNCTION("GOOGLETRANSLATE(B3974,""en"",""zh-CN"")"),"该男子继续在网球场讲话。")</f>
        <v>该男子继续在网球场讲话。</v>
      </c>
    </row>
    <row r="3975">
      <c r="A3975" s="4" t="s">
        <v>4999</v>
      </c>
      <c r="B3975" s="4" t="s">
        <v>5000</v>
      </c>
      <c r="C3975" s="5" t="str">
        <f>IFERROR(__xludf.DUMMYFUNCTION("GOOGLETRANSLATE(B3975,""en"",""zh-CN"")"),"一名女运动员正站在田野里，跑步，跳到坑里。")</f>
        <v>一名女运动员正站在田野里，跑步，跳到坑里。</v>
      </c>
    </row>
    <row r="3976">
      <c r="A3976" s="4" t="s">
        <v>4999</v>
      </c>
      <c r="B3976" s="4" t="s">
        <v>5001</v>
      </c>
      <c r="C3976" s="5" t="str">
        <f>IFERROR(__xludf.DUMMYFUNCTION("GOOGLETRANSLATE(B3976,""en"",""zh-CN"")"),"之后，她走开了，在展示她的重播时，她的跳跃是措施。")</f>
        <v>之后，她走开了，在展示她的重播时，她的跳跃是措施。</v>
      </c>
    </row>
    <row r="3977">
      <c r="A3977" s="4" t="s">
        <v>4999</v>
      </c>
      <c r="B3977" s="4" t="s">
        <v>5002</v>
      </c>
      <c r="C3977" s="5" t="str">
        <f>IFERROR(__xludf.DUMMYFUNCTION("GOOGLETRANSLATE(B3977,""en"",""zh-CN"")"),"之后，更多的女孩开始跳跃并代表他们的团队，并且他们的跳跃也得到了衡量。")</f>
        <v>之后，更多的女孩开始跳跃并代表他们的团队，并且他们的跳跃也得到了衡量。</v>
      </c>
    </row>
    <row r="3978">
      <c r="A3978" s="4" t="s">
        <v>4999</v>
      </c>
      <c r="B3978" s="6" t="s">
        <v>5003</v>
      </c>
      <c r="C3978" s="5" t="str">
        <f>IFERROR(__xludf.DUMMYFUNCTION("GOOGLETRANSLATE(B3978,""en"",""zh-CN"")"),"但是，在最后一次跳跃中，董事会显示了一个特写镜头，因为她的脚几乎没有接触到它，他们想对这些厘米的荣誉。")</f>
        <v>但是，在最后一次跳跃中，董事会显示了一个特写镜头，因为她的脚几乎没有接触到它，他们想对这些厘米的荣誉。</v>
      </c>
    </row>
    <row r="3979">
      <c r="A3979" s="4" t="s">
        <v>5004</v>
      </c>
      <c r="B3979" s="4" t="s">
        <v>5005</v>
      </c>
      <c r="C3979" s="5" t="str">
        <f>IFERROR(__xludf.DUMMYFUNCTION("GOOGLETRANSLATE(B3979,""en"",""zh-CN"")"),"我们看到两支球队在室内踢足球。")</f>
        <v>我们看到两支球队在室内踢足球。</v>
      </c>
    </row>
    <row r="3980">
      <c r="A3980" s="4" t="s">
        <v>5004</v>
      </c>
      <c r="B3980" s="4" t="s">
        <v>5006</v>
      </c>
      <c r="C3980" s="5" t="str">
        <f>IFERROR(__xludf.DUMMYFUNCTION("GOOGLETRANSLATE(B3980,""en"",""zh-CN"")"),"两个人碰撞并跌倒在地。")</f>
        <v>两个人碰撞并跌倒在地。</v>
      </c>
    </row>
    <row r="3981">
      <c r="A3981" s="4" t="s">
        <v>5004</v>
      </c>
      <c r="B3981" s="4" t="s">
        <v>5007</v>
      </c>
      <c r="C3981" s="5" t="str">
        <f>IFERROR(__xludf.DUMMYFUNCTION("GOOGLETRANSLATE(B3981,""en"",""zh-CN"")"),"三个人高五，互相拥抱。")</f>
        <v>三个人高五，互相拥抱。</v>
      </c>
    </row>
    <row r="3982">
      <c r="A3982" s="4" t="s">
        <v>5004</v>
      </c>
      <c r="B3982" s="4" t="s">
        <v>5008</v>
      </c>
      <c r="C3982" s="5" t="str">
        <f>IFERROR(__xludf.DUMMYFUNCTION("GOOGLETRANSLATE(B3982,""en"",""zh-CN"")"),"一个人把球扔在整个房间的另一个目标上。")</f>
        <v>一个人把球扔在整个房间的另一个目标上。</v>
      </c>
    </row>
    <row r="3983">
      <c r="A3983" s="4" t="s">
        <v>5004</v>
      </c>
      <c r="B3983" s="4" t="s">
        <v>5009</v>
      </c>
      <c r="C3983" s="5" t="str">
        <f>IFERROR(__xludf.DUMMYFUNCTION("GOOGLETRANSLATE(B3983,""en"",""zh-CN"")"),"两组人和人群接受采访。")</f>
        <v>两组人和人群接受采访。</v>
      </c>
    </row>
    <row r="3984">
      <c r="A3984" s="4" t="s">
        <v>5004</v>
      </c>
      <c r="B3984" s="4" t="s">
        <v>5010</v>
      </c>
      <c r="C3984" s="5" t="str">
        <f>IFERROR(__xludf.DUMMYFUNCTION("GOOGLETRANSLATE(B3984,""en"",""zh-CN"")"),"我们看到人群和一个人接受了采访，并看到了一些得分。")</f>
        <v>我们看到人群和一个人接受了采访，并看到了一些得分。</v>
      </c>
    </row>
    <row r="3985">
      <c r="A3985" s="4" t="s">
        <v>5004</v>
      </c>
      <c r="B3985" s="6" t="s">
        <v>5011</v>
      </c>
      <c r="C3985" s="5" t="str">
        <f>IFERROR(__xludf.DUMMYFUNCTION("GOOGLETRANSLATE(B3985,""en"",""zh-CN"")"),"我们看到三个男人站在照片中，并为一张照片摆姿势，然后在我们返回游戏之前接受采访。")</f>
        <v>我们看到三个男人站在照片中，并为一张照片摆姿势，然后在我们返回游戏之前接受采访。</v>
      </c>
    </row>
    <row r="3986">
      <c r="A3986" s="4" t="s">
        <v>5012</v>
      </c>
      <c r="B3986" s="4" t="s">
        <v>5013</v>
      </c>
      <c r="C3986" s="5" t="str">
        <f>IFERROR(__xludf.DUMMYFUNCTION("GOOGLETRANSLATE(B3986,""en"",""zh-CN"")"),"一个男人和女人坐在沙发上说话。")</f>
        <v>一个男人和女人坐在沙发上说话。</v>
      </c>
    </row>
    <row r="3987">
      <c r="A3987" s="4" t="s">
        <v>5012</v>
      </c>
      <c r="B3987" s="4" t="s">
        <v>5014</v>
      </c>
      <c r="C3987" s="5" t="str">
        <f>IFERROR(__xludf.DUMMYFUNCTION("GOOGLETRANSLATE(B3987,""en"",""zh-CN"")"),"他们在街上开车开车。")</f>
        <v>他们在街上开车开车。</v>
      </c>
    </row>
    <row r="3988">
      <c r="A3988" s="4" t="s">
        <v>5012</v>
      </c>
      <c r="B3988" s="4" t="s">
        <v>5015</v>
      </c>
      <c r="C3988" s="5" t="str">
        <f>IFERROR(__xludf.DUMMYFUNCTION("GOOGLETRANSLATE(B3988,""en"",""zh-CN"")"),"他们在人行道上滚滚。")</f>
        <v>他们在人行道上滚滚。</v>
      </c>
    </row>
    <row r="3989">
      <c r="A3989" s="4" t="s">
        <v>5016</v>
      </c>
      <c r="B3989" s="6" t="s">
        <v>5017</v>
      </c>
      <c r="C3989" s="5" t="str">
        <f>IFERROR(__xludf.DUMMYFUNCTION("GOOGLETRANSLATE(B3989,""en"",""zh-CN"")"),"节目主持人在60分钟的节目中采访了一件白衬衫的男人。")</f>
        <v>节目主持人在60分钟的节目中采访了一件白衬衫的男人。</v>
      </c>
    </row>
    <row r="3990">
      <c r="A3990" s="4" t="s">
        <v>5016</v>
      </c>
      <c r="B3990" s="6" t="s">
        <v>5018</v>
      </c>
      <c r="C3990" s="5" t="str">
        <f>IFERROR(__xludf.DUMMYFUNCTION("GOOGLETRANSLATE(B3990,""en"",""zh-CN"")"),"他谈论的是他作为斗牛士参加斗牛场活动的参与，那里有几个观众看着他。")</f>
        <v>他谈论的是他作为斗牛士参加斗牛场活动的参与，那里有几个观众看着他。</v>
      </c>
    </row>
    <row r="3991">
      <c r="A3991" s="4" t="s">
        <v>5016</v>
      </c>
      <c r="B3991" s="6" t="s">
        <v>5019</v>
      </c>
      <c r="C3991" s="5" t="str">
        <f>IFERROR(__xludf.DUMMYFUNCTION("GOOGLETRANSLATE(B3991,""en"",""zh-CN"")"),"在活动期间，他受伤，并被护理人员送上急救疗法的担架。")</f>
        <v>在活动期间，他受伤，并被护理人员送上急救疗法的担架。</v>
      </c>
    </row>
    <row r="3992">
      <c r="A3992" s="4" t="s">
        <v>5020</v>
      </c>
      <c r="B3992" s="6" t="s">
        <v>5021</v>
      </c>
      <c r="C3992" s="5" t="str">
        <f>IFERROR(__xludf.DUMMYFUNCTION("GOOGLETRANSLATE(B3992,""en"",""zh-CN"")"),"看到一个男人在相机上说话，并在水上射出了几张船，以及拿着相机并唤醒登机的人。")</f>
        <v>看到一个男人在相机上说话，并在水上射出了几张船，以及拿着相机并唤醒登机的人。</v>
      </c>
    </row>
    <row r="3993">
      <c r="A3993" s="4" t="s">
        <v>5020</v>
      </c>
      <c r="B3993" s="6" t="s">
        <v>5022</v>
      </c>
      <c r="C3993" s="5" t="str">
        <f>IFERROR(__xludf.DUMMYFUNCTION("GOOGLETRANSLATE(B3993,""en"",""zh-CN"")"),"然后看到人们在岩石上攀登，在森林周围行走，以跳入水中的方式结束。")</f>
        <v>然后看到人们在岩石上攀登，在森林周围行走，以跳入水中的方式结束。</v>
      </c>
    </row>
    <row r="3994">
      <c r="A3994" s="4" t="s">
        <v>5020</v>
      </c>
      <c r="B3994" s="6" t="s">
        <v>5023</v>
      </c>
      <c r="C3994" s="5" t="str">
        <f>IFERROR(__xludf.DUMMYFUNCTION("GOOGLETRANSLATE(B3994,""en"",""zh-CN"")"),"显示了更多的剪辑，这些剪辑涉及滑水以及骑船并跳入水中的剪辑。")</f>
        <v>显示了更多的剪辑，这些剪辑涉及滑水以及骑船并跳入水中的剪辑。</v>
      </c>
    </row>
    <row r="3995">
      <c r="A3995" s="4" t="s">
        <v>5024</v>
      </c>
      <c r="B3995" s="4" t="s">
        <v>5025</v>
      </c>
      <c r="C3995" s="5" t="str">
        <f>IFERROR(__xludf.DUMMYFUNCTION("GOOGLETRANSLATE(B3995,""en"",""zh-CN"")"),"女人在健身房举重的背景下。")</f>
        <v>女人在健身房举重的背景下。</v>
      </c>
    </row>
    <row r="3996">
      <c r="A3996" s="4" t="s">
        <v>5024</v>
      </c>
      <c r="B3996" s="4" t="s">
        <v>5026</v>
      </c>
      <c r="C3996" s="5" t="str">
        <f>IFERROR(__xludf.DUMMYFUNCTION("GOOGLETRANSLATE(B3996,""en"",""zh-CN"")"),"人正在准备举起体重，站在体重前。")</f>
        <v>人正在准备举起体重，站在体重前。</v>
      </c>
    </row>
    <row r="3997">
      <c r="A3997" s="4" t="s">
        <v>5027</v>
      </c>
      <c r="B3997" s="4" t="s">
        <v>5028</v>
      </c>
      <c r="C3997" s="5" t="str">
        <f>IFERROR(__xludf.DUMMYFUNCTION("GOOGLETRANSLATE(B3997,""en"",""zh-CN"")"),"Stacy鼓掌并准备好表演。")</f>
        <v>Stacy鼓掌并准备好表演。</v>
      </c>
    </row>
    <row r="3998">
      <c r="A3998" s="4" t="s">
        <v>5027</v>
      </c>
      <c r="B3998" s="4" t="s">
        <v>5029</v>
      </c>
      <c r="C3998" s="5" t="str">
        <f>IFERROR(__xludf.DUMMYFUNCTION("GOOGLETRANSLATE(B3998,""en"",""zh-CN"")"),"她得到了杆子，开始跑步，跳到靠垫上。")</f>
        <v>她得到了杆子，开始跑步，跳到靠垫上。</v>
      </c>
    </row>
    <row r="3999">
      <c r="A3999" s="4" t="s">
        <v>5027</v>
      </c>
      <c r="B3999" s="4" t="s">
        <v>5030</v>
      </c>
      <c r="C3999" s="5" t="str">
        <f>IFERROR(__xludf.DUMMYFUNCTION("GOOGLETRANSLATE(B3999,""en"",""zh-CN"")"),"然后，其他女性在得分不同之后也效仿。")</f>
        <v>然后，其他女性在得分不同之后也效仿。</v>
      </c>
    </row>
    <row r="4000">
      <c r="A4000" s="4" t="s">
        <v>5027</v>
      </c>
      <c r="B4000" s="4" t="s">
        <v>5031</v>
      </c>
      <c r="C4000" s="5" t="str">
        <f>IFERROR(__xludf.DUMMYFUNCTION("GOOGLETRANSLATE(B4000,""en"",""zh-CN"")"),"接下来是男人轮到妇女之后一口气的人。")</f>
        <v>接下来是男人轮到妇女之后一口气的人。</v>
      </c>
    </row>
    <row r="4001">
      <c r="A4001" s="4" t="s">
        <v>5032</v>
      </c>
      <c r="B4001" s="4" t="s">
        <v>5033</v>
      </c>
      <c r="C4001" s="5" t="str">
        <f>IFERROR(__xludf.DUMMYFUNCTION("GOOGLETRANSLATE(B4001,""en"",""zh-CN"")"),"一只猫被一个人的手割伤了猫的指甲。")</f>
        <v>一只猫被一个人的手割伤了猫的指甲。</v>
      </c>
    </row>
    <row r="4002">
      <c r="A4002" s="4" t="s">
        <v>5032</v>
      </c>
      <c r="B4002" s="4" t="s">
        <v>5034</v>
      </c>
      <c r="C4002" s="5" t="str">
        <f>IFERROR(__xludf.DUMMYFUNCTION("GOOGLETRANSLATE(B4002,""en"",""zh-CN"")"),"当猫试图起床几次时，该人继续切割爪子。")</f>
        <v>当猫试图起床几次时，该人继续切割爪子。</v>
      </c>
    </row>
    <row r="4003">
      <c r="A4003" s="4" t="s">
        <v>5035</v>
      </c>
      <c r="B4003" s="4" t="s">
        <v>5036</v>
      </c>
      <c r="C4003" s="5" t="str">
        <f>IFERROR(__xludf.DUMMYFUNCTION("GOOGLETRANSLATE(B4003,""en"",""zh-CN"")"),"屏幕上散布着小报价，标题页随后。")</f>
        <v>屏幕上散布着小报价，标题页随后。</v>
      </c>
    </row>
    <row r="4004">
      <c r="A4004" s="4" t="s">
        <v>5035</v>
      </c>
      <c r="B4004" s="4" t="s">
        <v>5037</v>
      </c>
      <c r="C4004" s="5" t="str">
        <f>IFERROR(__xludf.DUMMYFUNCTION("GOOGLETRANSLATE(B4004,""en"",""zh-CN"")"),"之后，几个人在外面的一个田野上拍摄了他们的马匹。")</f>
        <v>之后，几个人在外面的一个田野上拍摄了他们的马匹。</v>
      </c>
    </row>
    <row r="4005">
      <c r="A4005" s="4" t="s">
        <v>5035</v>
      </c>
      <c r="B4005" s="6" t="s">
        <v>5038</v>
      </c>
      <c r="C4005" s="5" t="str">
        <f>IFERROR(__xludf.DUMMYFUNCTION("GOOGLETRANSLATE(B4005,""en"",""zh-CN"")"),"最终，人们随后骑马，他们都开始互相竞争，玩一场马球比赛。")</f>
        <v>最终，人们随后骑马，他们都开始互相竞争，玩一场马球比赛。</v>
      </c>
    </row>
    <row r="4006">
      <c r="A4006" s="4" t="s">
        <v>5035</v>
      </c>
      <c r="B4006" s="6" t="s">
        <v>5039</v>
      </c>
      <c r="C4006" s="5" t="str">
        <f>IFERROR(__xludf.DUMMYFUNCTION("GOOGLETRANSLATE(B4006,""en"",""zh-CN"")"),"当他们玩耍时，在田野侧面显示了一个女人，拍照和一个小徽标，用于屏幕末端的摄影节目。")</f>
        <v>当他们玩耍时，在田野侧面显示了一个女人，拍照和一个小徽标，用于屏幕末端的摄影节目。</v>
      </c>
    </row>
    <row r="4007">
      <c r="A4007" s="4" t="s">
        <v>5040</v>
      </c>
      <c r="B4007" s="4" t="s">
        <v>5041</v>
      </c>
      <c r="C4007" s="5" t="str">
        <f>IFERROR(__xludf.DUMMYFUNCTION("GOOGLETRANSLATE(B4007,""en"",""zh-CN"")"),"这个人干了谷物，现在将它们放入小搅拌机中。")</f>
        <v>这个人干了谷物，现在将它们放入小搅拌机中。</v>
      </c>
    </row>
    <row r="4008">
      <c r="A4008" s="4" t="s">
        <v>5040</v>
      </c>
      <c r="B4008" s="4" t="s">
        <v>5042</v>
      </c>
      <c r="C4008" s="5" t="str">
        <f>IFERROR(__xludf.DUMMYFUNCTION("GOOGLETRANSLATE(B4008,""en"",""zh-CN"")"),"然后，他在谷物中加入鸡蛋和盐，以及其他成分。")</f>
        <v>然后，他在谷物中加入鸡蛋和盐，以及其他成分。</v>
      </c>
    </row>
    <row r="4009">
      <c r="A4009" s="4" t="s">
        <v>5040</v>
      </c>
      <c r="B4009" s="6" t="s">
        <v>5043</v>
      </c>
      <c r="C4009" s="5" t="str">
        <f>IFERROR(__xludf.DUMMYFUNCTION("GOOGLETRANSLATE(B4009,""en"",""zh-CN"")"),"接下来，他制作一个谷物球，然后将其弄平，然后将杯子放在上面，以制作小圆形饼干。")</f>
        <v>接下来，他制作一个谷物球，然后将其弄平，然后将杯子放在上面，以制作小圆形饼干。</v>
      </c>
    </row>
    <row r="4010">
      <c r="A4010" s="4" t="s">
        <v>5040</v>
      </c>
      <c r="B4010" s="4" t="s">
        <v>5044</v>
      </c>
      <c r="C4010" s="5" t="str">
        <f>IFERROR(__xludf.DUMMYFUNCTION("GOOGLETRANSLATE(B4010,""en"",""zh-CN"")"),"他把它们放在锅上并放入烤箱中，完成后，他将它们和一些啤酒一起吃。")</f>
        <v>他把它们放在锅上并放入烤箱中，完成后，他将它们和一些啤酒一起吃。</v>
      </c>
    </row>
    <row r="4011">
      <c r="A4011" s="4" t="s">
        <v>5045</v>
      </c>
      <c r="B4011" s="4" t="s">
        <v>5046</v>
      </c>
      <c r="C4011" s="5" t="str">
        <f>IFERROR(__xludf.DUMMYFUNCTION("GOOGLETRANSLATE(B4011,""en"",""zh-CN"")"),"一个人把球扔到田野上。")</f>
        <v>一个人把球扔到田野上。</v>
      </c>
    </row>
    <row r="4012">
      <c r="A4012" s="4" t="s">
        <v>5045</v>
      </c>
      <c r="B4012" s="4" t="s">
        <v>5047</v>
      </c>
      <c r="C4012" s="5" t="str">
        <f>IFERROR(__xludf.DUMMYFUNCTION("GOOGLETRANSLATE(B4012,""en"",""zh-CN"")"),"人们正站在衡量距离周围。")</f>
        <v>人们正站在衡量距离周围。</v>
      </c>
    </row>
    <row r="4013">
      <c r="A4013" s="4" t="s">
        <v>5045</v>
      </c>
      <c r="B4013" s="4" t="s">
        <v>5048</v>
      </c>
      <c r="C4013" s="5" t="str">
        <f>IFERROR(__xludf.DUMMYFUNCTION("GOOGLETRANSLATE(B4013,""en"",""zh-CN"")"),"人们从场边看他们。")</f>
        <v>人们从场边看他们。</v>
      </c>
    </row>
    <row r="4014">
      <c r="A4014" s="4" t="s">
        <v>5049</v>
      </c>
      <c r="B4014" s="4" t="s">
        <v>5050</v>
      </c>
      <c r="C4014" s="5" t="str">
        <f>IFERROR(__xludf.DUMMYFUNCTION("GOOGLETRANSLATE(B4014,""en"",""zh-CN"")"),"一个人站在客厅里。")</f>
        <v>一个人站在客厅里。</v>
      </c>
    </row>
    <row r="4015">
      <c r="A4015" s="4" t="s">
        <v>5049</v>
      </c>
      <c r="B4015" s="4" t="s">
        <v>5051</v>
      </c>
      <c r="C4015" s="5" t="str">
        <f>IFERROR(__xludf.DUMMYFUNCTION("GOOGLETRANSLATE(B4015,""en"",""zh-CN"")"),"他正在用手打一组鼓。")</f>
        <v>他正在用手打一组鼓。</v>
      </c>
    </row>
    <row r="4016">
      <c r="A4016" s="4" t="s">
        <v>5049</v>
      </c>
      <c r="B4016" s="4" t="s">
        <v>5052</v>
      </c>
      <c r="C4016" s="5" t="str">
        <f>IFERROR(__xludf.DUMMYFUNCTION("GOOGLETRANSLATE(B4016,""en"",""zh-CN"")"),"他继续为其余视频演奏。")</f>
        <v>他继续为其余视频演奏。</v>
      </c>
    </row>
    <row r="4017">
      <c r="A4017" s="4" t="s">
        <v>5053</v>
      </c>
      <c r="B4017" s="6" t="s">
        <v>5054</v>
      </c>
      <c r="C4017" s="5" t="str">
        <f>IFERROR(__xludf.DUMMYFUNCTION("GOOGLETRANSLATE(B4017,""en"",""zh-CN"")"),"甜甜圈形的充气筏中的几个人漂浮在一条狭窄的溪流中，这些溪流是由帮助他们在水中的人，并在附近土地上的一小群人看着。")</f>
        <v>甜甜圈形的充气筏中的几个人漂浮在一条狭窄的溪流中，这些溪流是由帮助他们在水中的人，并在附近土地上的一小群人看着。</v>
      </c>
    </row>
    <row r="4018">
      <c r="A4018" s="4" t="s">
        <v>5053</v>
      </c>
      <c r="B4018" s="6" t="s">
        <v>5055</v>
      </c>
      <c r="C4018" s="5" t="str">
        <f>IFERROR(__xludf.DUMMYFUNCTION("GOOGLETRANSLATE(B4018,""en"",""zh-CN"")"),"一群人漂浮在一条线上，在甜甜圈形的黑色充气筏中沿着狭窄的水流。")</f>
        <v>一群人漂浮在一条线上，在甜甜圈形的黑色充气筏中沿着狭窄的水流。</v>
      </c>
    </row>
    <row r="4019">
      <c r="A4019" s="4" t="s">
        <v>5053</v>
      </c>
      <c r="B4019" s="4" t="s">
        <v>5056</v>
      </c>
      <c r="C4019" s="5" t="str">
        <f>IFERROR(__xludf.DUMMYFUNCTION("GOOGLETRANSLATE(B4019,""en"",""zh-CN"")"),"一个女人被困在筏子里的一块岩石上，闪闪发光。")</f>
        <v>一个女人被困在筏子里的一块岩石上，闪闪发光。</v>
      </c>
    </row>
    <row r="4020">
      <c r="A4020" s="4" t="s">
        <v>5053</v>
      </c>
      <c r="B4020" s="6" t="s">
        <v>5057</v>
      </c>
      <c r="C4020" s="5" t="str">
        <f>IFERROR(__xludf.DUMMYFUNCTION("GOOGLETRANSLATE(B4020,""en"",""zh-CN"")"),"人们到达了狭窄的溪流的尽头，一群人帮助他们摆脱筏子，另一群人从附近的土地上看着他们。")</f>
        <v>人们到达了狭窄的溪流的尽头，一群人帮助他们摆脱筏子，另一群人从附近的土地上看着他们。</v>
      </c>
    </row>
    <row r="4021">
      <c r="A4021" s="4" t="s">
        <v>5058</v>
      </c>
      <c r="B4021" s="4" t="s">
        <v>5059</v>
      </c>
      <c r="C4021" s="5" t="str">
        <f>IFERROR(__xludf.DUMMYFUNCTION("GOOGLETRANSLATE(B4021,""en"",""zh-CN"")"),"人正在握住撞击钻，拉出车轮。")</f>
        <v>人正在握住撞击钻，拉出车轮。</v>
      </c>
    </row>
    <row r="4022">
      <c r="A4022" s="4" t="s">
        <v>5058</v>
      </c>
      <c r="B4022" s="6" t="s">
        <v>5060</v>
      </c>
      <c r="C4022" s="5" t="str">
        <f>IFERROR(__xludf.DUMMYFUNCTION("GOOGLETRANSLATE(B4022,""en"",""zh-CN"")"),"人将车轮握在桌子里，并从轮辋上取出橡胶，然后将其更改为另一个。")</f>
        <v>人将车轮握在桌子里，并从轮辋上取出橡胶，然后将其更改为另一个。</v>
      </c>
    </row>
    <row r="4023">
      <c r="A4023" s="4" t="s">
        <v>5058</v>
      </c>
      <c r="B4023" s="4" t="s">
        <v>5061</v>
      </c>
      <c r="C4023" s="5" t="str">
        <f>IFERROR(__xludf.DUMMYFUNCTION("GOOGLETRANSLATE(B4023,""en"",""zh-CN"")"),"汽车在山旁边的街道上。")</f>
        <v>汽车在山旁边的街道上。</v>
      </c>
    </row>
    <row r="4024">
      <c r="A4024" s="4" t="s">
        <v>5062</v>
      </c>
      <c r="B4024" s="4" t="s">
        <v>5063</v>
      </c>
      <c r="C4024" s="5" t="str">
        <f>IFERROR(__xludf.DUMMYFUNCTION("GOOGLETRANSLATE(B4024,""en"",""zh-CN"")"),"一位女士站在舞蹈室里。")</f>
        <v>一位女士站在舞蹈室里。</v>
      </c>
    </row>
    <row r="4025">
      <c r="A4025" s="4" t="s">
        <v>5062</v>
      </c>
      <c r="B4025" s="4" t="s">
        <v>5064</v>
      </c>
      <c r="C4025" s="5" t="str">
        <f>IFERROR(__xludf.DUMMYFUNCTION("GOOGLETRANSLATE(B4025,""en"",""zh-CN"")"),"这位女士表演芭蕾舞。")</f>
        <v>这位女士表演芭蕾舞。</v>
      </c>
    </row>
    <row r="4026">
      <c r="A4026" s="4" t="s">
        <v>5062</v>
      </c>
      <c r="B4026" s="4" t="s">
        <v>5065</v>
      </c>
      <c r="C4026" s="5" t="str">
        <f>IFERROR(__xludf.DUMMYFUNCTION("GOOGLETRANSLATE(B4026,""en"",""zh-CN"")"),"这位女士将腿抬起身后，将其移到前面，将其放在她的腿上。")</f>
        <v>这位女士将腿抬起身后，将其移到前面，将其放在她的腿上。</v>
      </c>
    </row>
    <row r="4027">
      <c r="A4027" s="4" t="s">
        <v>5062</v>
      </c>
      <c r="B4027" s="4" t="s">
        <v>5066</v>
      </c>
      <c r="C4027" s="5" t="str">
        <f>IFERROR(__xludf.DUMMYFUNCTION("GOOGLETRANSLATE(B4027,""en"",""zh-CN"")"),"那位女士站在镜子面前的镜头前。")</f>
        <v>那位女士站在镜子面前的镜头前。</v>
      </c>
    </row>
    <row r="4028">
      <c r="A4028" s="4" t="s">
        <v>5062</v>
      </c>
      <c r="B4028" s="4" t="s">
        <v>5067</v>
      </c>
      <c r="C4028" s="5" t="str">
        <f>IFERROR(__xludf.DUMMYFUNCTION("GOOGLETRANSLATE(B4028,""en"",""zh-CN"")"),"我们看到一个人坐在房间的左侧。")</f>
        <v>我们看到一个人坐在房间的左侧。</v>
      </c>
    </row>
    <row r="4029">
      <c r="A4029" s="4" t="s">
        <v>5068</v>
      </c>
      <c r="B4029" s="4" t="s">
        <v>5069</v>
      </c>
      <c r="C4029" s="5" t="str">
        <f>IFERROR(__xludf.DUMMYFUNCTION("GOOGLETRANSLATE(B4029,""en"",""zh-CN"")"),"一只玩具狗在地板上行走。")</f>
        <v>一只玩具狗在地板上行走。</v>
      </c>
    </row>
    <row r="4030">
      <c r="A4030" s="4" t="s">
        <v>5068</v>
      </c>
      <c r="B4030" s="4" t="s">
        <v>5070</v>
      </c>
      <c r="C4030" s="5" t="str">
        <f>IFERROR(__xludf.DUMMYFUNCTION("GOOGLETRANSLATE(B4030,""en"",""zh-CN"")"),"它停止了来回环顾。")</f>
        <v>它停止了来回环顾。</v>
      </c>
    </row>
    <row r="4031">
      <c r="A4031" s="4" t="s">
        <v>5068</v>
      </c>
      <c r="B4031" s="4" t="s">
        <v>5071</v>
      </c>
      <c r="C4031" s="5" t="str">
        <f>IFERROR(__xludf.DUMMYFUNCTION("GOOGLETRANSLATE(B4031,""en"",""zh-CN"")"),"有人捡起狗，将其放回原处。")</f>
        <v>有人捡起狗，将其放回原处。</v>
      </c>
    </row>
    <row r="4032">
      <c r="A4032" s="4" t="s">
        <v>5072</v>
      </c>
      <c r="B4032" s="6" t="s">
        <v>5073</v>
      </c>
      <c r="C4032" s="5" t="str">
        <f>IFERROR(__xludf.DUMMYFUNCTION("GOOGLETRANSLATE(B4032,""en"",""zh-CN"")"),"参加职业体育赛事的一个男子在一个充满人的体育场前的一片沙坑中进行了跳远。")</f>
        <v>参加职业体育赛事的一个男子在一个充满人的体育场前的一片沙坑中进行了跳远。</v>
      </c>
    </row>
    <row r="4033">
      <c r="A4033" s="4" t="s">
        <v>5072</v>
      </c>
      <c r="B4033" s="6" t="s">
        <v>5074</v>
      </c>
      <c r="C4033" s="5" t="str">
        <f>IFERROR(__xludf.DUMMYFUNCTION("GOOGLETRANSLATE(B4033,""en"",""zh-CN"")"),"该男子首先鼓励听众鼓掌，通过向人群伸出双手并挥舞着掌声。")</f>
        <v>该男子首先鼓励听众鼓掌，通过向人群伸出双手并挥舞着掌声。</v>
      </c>
    </row>
    <row r="4034">
      <c r="A4034" s="4" t="s">
        <v>5072</v>
      </c>
      <c r="B4034" s="6" t="s">
        <v>5075</v>
      </c>
      <c r="C4034" s="5" t="str">
        <f>IFERROR(__xludf.DUMMYFUNCTION("GOOGLETRANSLATE(B4034,""en"",""zh-CN"")"),"然后，该男子稍微跪下来为跑步做准备，并开始沿着一条狭窄的车道奔跑，然后在沙坑上弹射空气。")</f>
        <v>然后，该男子稍微跪下来为跑步做准备，并开始沿着一条狭窄的车道奔跑，然后在沙坑上弹射空气。</v>
      </c>
    </row>
    <row r="4035">
      <c r="A4035" s="4" t="s">
        <v>5072</v>
      </c>
      <c r="B4035" s="6" t="s">
        <v>5076</v>
      </c>
      <c r="C4035" s="5" t="str">
        <f>IFERROR(__xludf.DUMMYFUNCTION("GOOGLETRANSLATE(B4035,""en"",""zh-CN"")"),"该男子降落在坑的另一侧，并再次向观众手势，以获取掌声，因为男人用长长的刷子和宽阔的刷扫帚使沙子顺着沙子，观众鼓掌，挥舞着旗帜，相机的人们冲着在电影中捕捉活动。")</f>
        <v>该男子降落在坑的另一侧，并再次向观众手势，以获取掌声，因为男人用长长的刷子和宽阔的刷扫帚使沙子顺着沙子，观众鼓掌，挥舞着旗帜，相机的人们冲着在电影中捕捉活动。</v>
      </c>
    </row>
    <row r="4036">
      <c r="A4036" s="4" t="s">
        <v>5077</v>
      </c>
      <c r="B4036" s="4" t="s">
        <v>5078</v>
      </c>
      <c r="C4036" s="5" t="str">
        <f>IFERROR(__xludf.DUMMYFUNCTION("GOOGLETRANSLATE(B4036,""en"",""zh-CN"")"),"单词在图像上透过屏幕。")</f>
        <v>单词在图像上透过屏幕。</v>
      </c>
    </row>
    <row r="4037">
      <c r="A4037" s="4" t="s">
        <v>5077</v>
      </c>
      <c r="B4037" s="4" t="s">
        <v>5079</v>
      </c>
      <c r="C4037" s="5" t="str">
        <f>IFERROR(__xludf.DUMMYFUNCTION("GOOGLETRANSLATE(B4037,""en"",""zh-CN"")"),"我们看到女士在赌场的紫色桌子上交易卡片，没有客户。")</f>
        <v>我们看到女士在赌场的紫色桌子上交易卡片，没有客户。</v>
      </c>
    </row>
    <row r="4038">
      <c r="A4038" s="4" t="s">
        <v>5077</v>
      </c>
      <c r="B4038" s="4" t="s">
        <v>5080</v>
      </c>
      <c r="C4038" s="5" t="str">
        <f>IFERROR(__xludf.DUMMYFUNCTION("GOOGLETRANSLATE(B4038,""en"",""zh-CN"")"),"经销商微笑并交易卡并指向他们。")</f>
        <v>经销商微笑并交易卡并指向他们。</v>
      </c>
    </row>
    <row r="4039">
      <c r="A4039" s="4" t="s">
        <v>5077</v>
      </c>
      <c r="B4039" s="4" t="s">
        <v>5081</v>
      </c>
      <c r="C4039" s="5" t="str">
        <f>IFERROR(__xludf.DUMMYFUNCTION("GOOGLETRANSLATE(B4039,""en"",""zh-CN"")"),"当屏幕上的单词出现时，经销商挥舞着手臂在桌子上。")</f>
        <v>当屏幕上的单词出现时，经销商挥舞着手臂在桌子上。</v>
      </c>
    </row>
    <row r="4040">
      <c r="A4040" s="4" t="s">
        <v>5082</v>
      </c>
      <c r="B4040" s="4" t="s">
        <v>5083</v>
      </c>
      <c r="C4040" s="5" t="str">
        <f>IFERROR(__xludf.DUMMYFUNCTION("GOOGLETRANSLATE(B4040,""en"",""zh-CN"")"),"看到一个男人在厨房里走动并检查食物时在相机上说话。")</f>
        <v>看到一个男人在厨房里走动并检查食物时在相机上说话。</v>
      </c>
    </row>
    <row r="4041">
      <c r="A4041" s="4" t="s">
        <v>5082</v>
      </c>
      <c r="B4041" s="6" t="s">
        <v>5084</v>
      </c>
      <c r="C4041" s="5" t="str">
        <f>IFERROR(__xludf.DUMMYFUNCTION("GOOGLETRANSLATE(B4041,""en"",""zh-CN"")"),"桌子和架子上显示了几枪，厨师继续与后面的工作人员交谈。")</f>
        <v>桌子和架子上显示了几枪，厨师继续与后面的工作人员交谈。</v>
      </c>
    </row>
    <row r="4042">
      <c r="A4042" s="4" t="s">
        <v>5082</v>
      </c>
      <c r="B4042" s="6" t="s">
        <v>5085</v>
      </c>
      <c r="C4042" s="5" t="str">
        <f>IFERROR(__xludf.DUMMYFUNCTION("GOOGLETRANSLATE(B4042,""en"",""zh-CN"")"),"该男子走出前面，与正在与摄像机交谈的顾客交谈。")</f>
        <v>该男子走出前面，与正在与摄像机交谈的顾客交谈。</v>
      </c>
    </row>
    <row r="4043">
      <c r="A4043" s="4" t="s">
        <v>5086</v>
      </c>
      <c r="B4043" s="4" t="s">
        <v>5087</v>
      </c>
      <c r="C4043" s="5" t="str">
        <f>IFERROR(__xludf.DUMMYFUNCTION("GOOGLETRANSLATE(B4043,""en"",""zh-CN"")"),"一个女人坐在床上说话时刷一个女孩的头发。")</f>
        <v>一个女人坐在床上说话时刷一个女孩的头发。</v>
      </c>
    </row>
    <row r="4044">
      <c r="A4044" s="4" t="s">
        <v>5086</v>
      </c>
      <c r="B4044" s="4" t="s">
        <v>5088</v>
      </c>
      <c r="C4044" s="5" t="str">
        <f>IFERROR(__xludf.DUMMYFUNCTION("GOOGLETRANSLATE(B4044,""en"",""zh-CN"")"),"然后，女人跪在床上，触摸女孩的肩膀。")</f>
        <v>然后，女人跪在床上，触摸女孩的肩膀。</v>
      </c>
    </row>
    <row r="4045">
      <c r="A4045" s="4" t="s">
        <v>5089</v>
      </c>
      <c r="B4045" s="6" t="s">
        <v>5090</v>
      </c>
      <c r="C4045" s="5" t="str">
        <f>IFERROR(__xludf.DUMMYFUNCTION("GOOGLETRANSLATE(B4045,""en"",""zh-CN"")"),"看到一大群人坐在舞台前，通往一个年轻女子，在圆圈中击中鼓并在舞台上移动。")</f>
        <v>看到一大群人坐在舞台前，通往一个年轻女子，在圆圈中击中鼓并在舞台上移动。</v>
      </c>
    </row>
    <row r="4046">
      <c r="A4046" s="4" t="s">
        <v>5089</v>
      </c>
      <c r="B4046" s="6" t="s">
        <v>5091</v>
      </c>
      <c r="C4046" s="5" t="str">
        <f>IFERROR(__xludf.DUMMYFUNCTION("GOOGLETRANSLATE(B4046,""en"",""zh-CN"")"),"该名女子继续打鼓，而人群则以屏幕上的文字滚动而观看和结尾。")</f>
        <v>该名女子继续打鼓，而人群则以屏幕上的文字滚动而观看和结尾。</v>
      </c>
    </row>
    <row r="4047">
      <c r="A4047" s="4" t="s">
        <v>5092</v>
      </c>
      <c r="B4047" s="4" t="s">
        <v>5093</v>
      </c>
      <c r="C4047" s="5" t="str">
        <f>IFERROR(__xludf.DUMMYFUNCTION("GOOGLETRANSLATE(B4047,""en"",""zh-CN"")"),"男人在沙滩上打排球。")</f>
        <v>男人在沙滩上打排球。</v>
      </c>
    </row>
    <row r="4048">
      <c r="A4048" s="4" t="s">
        <v>5092</v>
      </c>
      <c r="B4048" s="4" t="s">
        <v>5094</v>
      </c>
      <c r="C4048" s="5" t="str">
        <f>IFERROR(__xludf.DUMMYFUNCTION("GOOGLETRANSLATE(B4048,""en"",""zh-CN"")"),"啦啦队站在他们旁边看着。")</f>
        <v>啦啦队站在他们旁边看着。</v>
      </c>
    </row>
    <row r="4049">
      <c r="A4049" s="4" t="s">
        <v>5092</v>
      </c>
      <c r="B4049" s="4" t="s">
        <v>5095</v>
      </c>
      <c r="C4049" s="5" t="str">
        <f>IFERROR(__xludf.DUMMYFUNCTION("GOOGLETRANSLATE(B4049,""en"",""zh-CN"")"),"一个女人在海滩上踢足球。")</f>
        <v>一个女人在海滩上踢足球。</v>
      </c>
    </row>
    <row r="4050">
      <c r="A4050" s="4" t="s">
        <v>5092</v>
      </c>
      <c r="B4050" s="4" t="s">
        <v>4133</v>
      </c>
      <c r="C4050" s="5" t="str">
        <f>IFERROR(__xludf.DUMMYFUNCTION("GOOGLETRANSLATE(B4050,""en"",""zh-CN"")"),"一个穿着红色衬衫的男人正在和镜头说话。")</f>
        <v>一个穿着红色衬衫的男人正在和镜头说话。</v>
      </c>
    </row>
    <row r="4051">
      <c r="A4051" s="4" t="s">
        <v>5096</v>
      </c>
      <c r="B4051" s="4" t="s">
        <v>5097</v>
      </c>
      <c r="C4051" s="5" t="str">
        <f>IFERROR(__xludf.DUMMYFUNCTION("GOOGLETRANSLATE(B4051,""en"",""zh-CN"")"),"两名男子在室内滑板公园互相滑板。")</f>
        <v>两名男子在室内滑板公园互相滑板。</v>
      </c>
    </row>
    <row r="4052">
      <c r="A4052" s="4" t="s">
        <v>5096</v>
      </c>
      <c r="B4052" s="4" t="s">
        <v>5098</v>
      </c>
      <c r="C4052" s="5" t="str">
        <f>IFERROR(__xludf.DUMMYFUNCTION("GOOGLETRANSLATE(B4052,""en"",""zh-CN"")"),"他们停下来给其他指针，试图完善如何跳铁轨。")</f>
        <v>他们停下来给其他指针，试图完善如何跳铁轨。</v>
      </c>
    </row>
    <row r="4053">
      <c r="A4053" s="4" t="s">
        <v>5096</v>
      </c>
      <c r="B4053" s="6" t="s">
        <v>5099</v>
      </c>
      <c r="C4053" s="5" t="str">
        <f>IFERROR(__xludf.DUMMYFUNCTION("GOOGLETRANSLATE(B4053,""en"",""zh-CN"")"),"其中一个一次又一次地尝试，另一个人从他的书包中伸出一个棍子，将其伸向轨道。")</f>
        <v>其中一个一次又一次地尝试，另一个人从他的书包中伸出一个棍子，将其伸向轨道。</v>
      </c>
    </row>
    <row r="4054">
      <c r="A4054" s="4" t="s">
        <v>5096</v>
      </c>
      <c r="B4054" s="4" t="s">
        <v>5100</v>
      </c>
      <c r="C4054" s="5" t="str">
        <f>IFERROR(__xludf.DUMMYFUNCTION("GOOGLETRANSLATE(B4054,""en"",""zh-CN"")"),"然后，另一名男性来加入，他们玩岩石剪刀并重新上船。")</f>
        <v>然后，另一名男性来加入，他们玩岩石剪刀并重新上船。</v>
      </c>
    </row>
    <row r="4055">
      <c r="A4055" s="4" t="s">
        <v>5101</v>
      </c>
      <c r="B4055" s="4" t="s">
        <v>5102</v>
      </c>
      <c r="C4055" s="5" t="str">
        <f>IFERROR(__xludf.DUMMYFUNCTION("GOOGLETRANSLATE(B4055,""en"",""zh-CN"")"),"我们看到篮球标题屏幕。")</f>
        <v>我们看到篮球标题屏幕。</v>
      </c>
    </row>
    <row r="4056">
      <c r="A4056" s="4" t="s">
        <v>5101</v>
      </c>
      <c r="B4056" s="4" t="s">
        <v>5103</v>
      </c>
      <c r="C4056" s="5" t="str">
        <f>IFERROR(__xludf.DUMMYFUNCTION("GOOGLETRANSLATE(B4056,""en"",""zh-CN"")"),"一个男人在十几岁的时候就在教练。")</f>
        <v>一个男人在十几岁的时候就在教练。</v>
      </c>
    </row>
    <row r="4057">
      <c r="A4057" s="4" t="s">
        <v>5101</v>
      </c>
      <c r="B4057" s="4" t="s">
        <v>5104</v>
      </c>
      <c r="C4057" s="5" t="str">
        <f>IFERROR(__xludf.DUMMYFUNCTION("GOOGLETRANSLATE(B4057,""en"",""zh-CN"")"),"该男子拿到球，表现出臀部移动，男孩的尝试。")</f>
        <v>该男子拿到球，表现出臀部移动，男孩的尝试。</v>
      </c>
    </row>
    <row r="4058">
      <c r="A4058" s="4" t="s">
        <v>5101</v>
      </c>
      <c r="B4058" s="4" t="s">
        <v>5105</v>
      </c>
      <c r="C4058" s="5" t="str">
        <f>IFERROR(__xludf.DUMMYFUNCTION("GOOGLETRANSLATE(B4058,""en"",""zh-CN"")"),"该男子展示了一些东西，男孩射击了球。")</f>
        <v>该男子展示了一些东西，男孩射击了球。</v>
      </c>
    </row>
    <row r="4059">
      <c r="A4059" s="4" t="s">
        <v>5101</v>
      </c>
      <c r="B4059" s="4" t="s">
        <v>5106</v>
      </c>
      <c r="C4059" s="5" t="str">
        <f>IFERROR(__xludf.DUMMYFUNCTION("GOOGLETRANSLATE(B4059,""en"",""zh-CN"")"),"我们一一看到屏幕1上的提示。")</f>
        <v>我们一一看到屏幕1上的提示。</v>
      </c>
    </row>
    <row r="4060">
      <c r="A4060" s="4" t="s">
        <v>5101</v>
      </c>
      <c r="B4060" s="4" t="s">
        <v>5107</v>
      </c>
      <c r="C4060" s="5" t="str">
        <f>IFERROR(__xludf.DUMMYFUNCTION("GOOGLETRANSLATE(B4060,""en"",""zh-CN"")"),"然后，我们看到结尾标题屏幕。")</f>
        <v>然后，我们看到结尾标题屏幕。</v>
      </c>
    </row>
    <row r="4061">
      <c r="A4061" s="4" t="s">
        <v>5108</v>
      </c>
      <c r="B4061" s="4" t="s">
        <v>5109</v>
      </c>
      <c r="C4061" s="5" t="str">
        <f>IFERROR(__xludf.DUMMYFUNCTION("GOOGLETRANSLATE(B4061,""en"",""zh-CN"")"),"两名女子球队用曲棍球和一个小球打曲棍球。")</f>
        <v>两名女子球队用曲棍球和一个小球打曲棍球。</v>
      </c>
    </row>
    <row r="4062">
      <c r="A4062" s="4" t="s">
        <v>5108</v>
      </c>
      <c r="B4062" s="4" t="s">
        <v>5110</v>
      </c>
      <c r="C4062" s="5" t="str">
        <f>IFERROR(__xludf.DUMMYFUNCTION("GOOGLETRANSLATE(B4062,""en"",""zh-CN"")"),"勃艮第衬衫的球队得分三分，另一支球队得分未得分。")</f>
        <v>勃艮第衬衫的球队得分三分，另一支球队得分未得分。</v>
      </c>
    </row>
    <row r="4063">
      <c r="A4063" s="4" t="s">
        <v>5111</v>
      </c>
      <c r="B4063" s="4" t="s">
        <v>5112</v>
      </c>
      <c r="C4063" s="5" t="str">
        <f>IFERROR(__xludf.DUMMYFUNCTION("GOOGLETRANSLATE(B4063,""en"",""zh-CN"")"),"我们看到一个人以慢动作潜入游泳池。")</f>
        <v>我们看到一个人以慢动作潜入游泳池。</v>
      </c>
    </row>
    <row r="4064">
      <c r="A4064" s="4" t="s">
        <v>5111</v>
      </c>
      <c r="B4064" s="4" t="s">
        <v>5113</v>
      </c>
      <c r="C4064" s="5" t="str">
        <f>IFERROR(__xludf.DUMMYFUNCTION("GOOGLETRANSLATE(B4064,""en"",""zh-CN"")"),"我们看到法官给男人得分并与他交谈。")</f>
        <v>我们看到法官给男人得分并与他交谈。</v>
      </c>
    </row>
    <row r="4065">
      <c r="A4065" s="4" t="s">
        <v>5111</v>
      </c>
      <c r="B4065" s="4" t="s">
        <v>5114</v>
      </c>
      <c r="C4065" s="5" t="str">
        <f>IFERROR(__xludf.DUMMYFUNCTION("GOOGLETRANSLATE(B4065,""en"",""zh-CN"")"),"我们看到一位女士鼓掌。")</f>
        <v>我们看到一位女士鼓掌。</v>
      </c>
    </row>
    <row r="4066">
      <c r="A4066" s="4" t="s">
        <v>5111</v>
      </c>
      <c r="B4066" s="4" t="s">
        <v>5115</v>
      </c>
      <c r="C4066" s="5" t="str">
        <f>IFERROR(__xludf.DUMMYFUNCTION("GOOGLETRANSLATE(B4066,""en"",""zh-CN"")"),"我们看到潜水员正在接受采访。")</f>
        <v>我们看到潜水员正在接受采访。</v>
      </c>
    </row>
    <row r="4067">
      <c r="A4067" s="4" t="s">
        <v>5111</v>
      </c>
      <c r="B4067" s="4" t="s">
        <v>5116</v>
      </c>
      <c r="C4067" s="5" t="str">
        <f>IFERROR(__xludf.DUMMYFUNCTION("GOOGLETRANSLATE(B4067,""en"",""zh-CN"")"),"我们看到人群站着拍手。")</f>
        <v>我们看到人群站着拍手。</v>
      </c>
    </row>
    <row r="4068">
      <c r="A4068" s="4" t="s">
        <v>5111</v>
      </c>
      <c r="B4068" s="4" t="s">
        <v>5117</v>
      </c>
      <c r="C4068" s="5" t="str">
        <f>IFERROR(__xludf.DUMMYFUNCTION("GOOGLETRANSLATE(B4068,""en"",""zh-CN"")"),"我们看到了所有参赛者的最终记分卡。")</f>
        <v>我们看到了所有参赛者的最终记分卡。</v>
      </c>
    </row>
    <row r="4069">
      <c r="A4069" s="4" t="s">
        <v>5118</v>
      </c>
      <c r="B4069" s="4" t="s">
        <v>5119</v>
      </c>
      <c r="C4069" s="5" t="str">
        <f>IFERROR(__xludf.DUMMYFUNCTION("GOOGLETRANSLATE(B4069,""en"",""zh-CN"")"),"当一个男人割草时，树木在微风中吹来。")</f>
        <v>当一个男人割草时，树木在微风中吹来。</v>
      </c>
    </row>
    <row r="4070">
      <c r="A4070" s="4" t="s">
        <v>5118</v>
      </c>
      <c r="B4070" s="4" t="s">
        <v>5120</v>
      </c>
      <c r="C4070" s="5" t="str">
        <f>IFERROR(__xludf.DUMMYFUNCTION("GOOGLETRANSLATE(B4070,""en"",""zh-CN"")"),"太阳从云层后面窥视，并将场景亮起。")</f>
        <v>太阳从云层后面窥视，并将场景亮起。</v>
      </c>
    </row>
    <row r="4071">
      <c r="A4071" s="4" t="s">
        <v>5118</v>
      </c>
      <c r="B4071" s="4" t="s">
        <v>5121</v>
      </c>
      <c r="C4071" s="5" t="str">
        <f>IFERROR(__xludf.DUMMYFUNCTION("GOOGLETRANSLATE(B4071,""en"",""zh-CN"")"),"该男子停下来并在垃圾中排空草。")</f>
        <v>该男子停下来并在垃圾中排空草。</v>
      </c>
    </row>
    <row r="4072">
      <c r="A4072" s="4" t="s">
        <v>5118</v>
      </c>
      <c r="B4072" s="4" t="s">
        <v>5122</v>
      </c>
      <c r="C4072" s="5" t="str">
        <f>IFERROR(__xludf.DUMMYFUNCTION("GOOGLETRANSLATE(B4072,""en"",""zh-CN"")"),"一个人进入载婴儿并离开。")</f>
        <v>一个人进入载婴儿并离开。</v>
      </c>
    </row>
    <row r="4073">
      <c r="A4073" s="4" t="s">
        <v>5118</v>
      </c>
      <c r="B4073" s="4" t="s">
        <v>5123</v>
      </c>
      <c r="C4073" s="5" t="str">
        <f>IFERROR(__xludf.DUMMYFUNCTION("GOOGLETRANSLATE(B4073,""en"",""zh-CN"")"),"那个男人在灌木丛的侧面割草。")</f>
        <v>那个男人在灌木丛的侧面割草。</v>
      </c>
    </row>
    <row r="4074">
      <c r="A4074" s="4" t="s">
        <v>5118</v>
      </c>
      <c r="B4074" s="4" t="s">
        <v>5124</v>
      </c>
      <c r="C4074" s="5" t="str">
        <f>IFERROR(__xludf.DUMMYFUNCTION("GOOGLETRANSLATE(B4074,""en"",""zh-CN"")"),"该男子停下来再次清空自己的书包。")</f>
        <v>该男子停下来再次清空自己的书包。</v>
      </c>
    </row>
    <row r="4075">
      <c r="A4075" s="4" t="s">
        <v>5118</v>
      </c>
      <c r="B4075" s="4" t="s">
        <v>5125</v>
      </c>
      <c r="C4075" s="5" t="str">
        <f>IFERROR(__xludf.DUMMYFUNCTION("GOOGLETRANSLATE(B4075,""en"",""zh-CN"")"),"该名男子清空书包，将其放回割草机上，然后走开。")</f>
        <v>该名男子清空书包，将其放回割草机上，然后走开。</v>
      </c>
    </row>
    <row r="4076">
      <c r="A4076" s="4" t="s">
        <v>5126</v>
      </c>
      <c r="B4076" s="4" t="s">
        <v>5127</v>
      </c>
      <c r="C4076" s="5" t="str">
        <f>IFERROR(__xludf.DUMMYFUNCTION("GOOGLETRANSLATE(B4076,""en"",""zh-CN"")"),"看到一个女人在水边的海滩上四处走动时，表演了舞蹈。")</f>
        <v>看到一个女人在水边的海滩上四处走动时，表演了舞蹈。</v>
      </c>
    </row>
    <row r="4077">
      <c r="A4077" s="4" t="s">
        <v>5126</v>
      </c>
      <c r="B4077" s="6" t="s">
        <v>5128</v>
      </c>
      <c r="C4077" s="5" t="str">
        <f>IFERROR(__xludf.DUMMYFUNCTION("GOOGLETRANSLATE(B4077,""en"",""zh-CN"")"),"那个女人继续在海滩上四处走动，颤抖着胳膊和腿，向远处望去。")</f>
        <v>那个女人继续在海滩上四处走动，颤抖着胳膊和腿，向远处望去。</v>
      </c>
    </row>
    <row r="4078">
      <c r="A4078" s="4" t="s">
        <v>5129</v>
      </c>
      <c r="B4078" s="4" t="s">
        <v>5130</v>
      </c>
      <c r="C4078" s="5" t="str">
        <f>IFERROR(__xludf.DUMMYFUNCTION("GOOGLETRANSLATE(B4078,""en"",""zh-CN"")"),"一个封闭的游泳池正在发生水上马球比赛。")</f>
        <v>一个封闭的游泳池正在发生水上马球比赛。</v>
      </c>
    </row>
    <row r="4079">
      <c r="A4079" s="4" t="s">
        <v>5129</v>
      </c>
      <c r="B4079" s="6" t="s">
        <v>5131</v>
      </c>
      <c r="C4079" s="5" t="str">
        <f>IFERROR(__xludf.DUMMYFUNCTION("GOOGLETRANSLATE(B4079,""en"",""zh-CN"")"),"有一些观众从游泳池的侧面看，而裁判正在遵循控制比赛的行动。")</f>
        <v>有一些观众从游泳池的侧面看，而裁判正在遵循控制比赛的行动。</v>
      </c>
    </row>
    <row r="4080">
      <c r="A4080" s="4" t="s">
        <v>5129</v>
      </c>
      <c r="B4080" s="4" t="s">
        <v>5132</v>
      </c>
      <c r="C4080" s="5" t="str">
        <f>IFERROR(__xludf.DUMMYFUNCTION("GOOGLETRANSLATE(B4080,""en"",""zh-CN"")"),"除了参与游戏的年幼孩子之外，它是安静的。")</f>
        <v>除了参与游戏的年幼孩子之外，它是安静的。</v>
      </c>
    </row>
    <row r="4081">
      <c r="A4081" s="4" t="s">
        <v>5129</v>
      </c>
      <c r="B4081" s="4" t="s">
        <v>5133</v>
      </c>
      <c r="C4081" s="5" t="str">
        <f>IFERROR(__xludf.DUMMYFUNCTION("GOOGLETRANSLATE(B4081,""en"",""zh-CN"")"),"他们度过了愉快的时光，并且非常参与自己的工作。")</f>
        <v>他们度过了愉快的时光，并且非常参与自己的工作。</v>
      </c>
    </row>
    <row r="4082">
      <c r="A4082" s="4" t="s">
        <v>5134</v>
      </c>
      <c r="B4082" s="4" t="s">
        <v>5135</v>
      </c>
      <c r="C4082" s="5" t="str">
        <f>IFERROR(__xludf.DUMMYFUNCTION("GOOGLETRANSLATE(B4082,""en"",""zh-CN"")"),"我们看到一位穿着粉红色衬衫的女士在和镜头说话。")</f>
        <v>我们看到一位穿着粉红色衬衫的女士在和镜头说话。</v>
      </c>
    </row>
    <row r="4083">
      <c r="A4083" s="4" t="s">
        <v>5134</v>
      </c>
      <c r="B4083" s="4" t="s">
        <v>5136</v>
      </c>
      <c r="C4083" s="5" t="str">
        <f>IFERROR(__xludf.DUMMYFUNCTION("GOOGLETRANSLATE(B4083,""en"",""zh-CN"")"),"我们看到那位女士拿起一篮子洗衣服，然后放下。")</f>
        <v>我们看到那位女士拿起一篮子洗衣服，然后放下。</v>
      </c>
    </row>
    <row r="4084">
      <c r="A4084" s="4" t="s">
        <v>5134</v>
      </c>
      <c r="B4084" s="4" t="s">
        <v>5137</v>
      </c>
      <c r="C4084" s="5" t="str">
        <f>IFERROR(__xludf.DUMMYFUNCTION("GOOGLETRANSLATE(B4084,""en"",""zh-CN"")"),"那位女士摇了一件衣服，将其放在熨烫板上。")</f>
        <v>那位女士摇了一件衣服，将其放在熨烫板上。</v>
      </c>
    </row>
    <row r="4085">
      <c r="A4085" s="4" t="s">
        <v>5134</v>
      </c>
      <c r="B4085" s="4" t="s">
        <v>5138</v>
      </c>
      <c r="C4085" s="5" t="str">
        <f>IFERROR(__xludf.DUMMYFUNCTION("GOOGLETRANSLATE(B4085,""en"",""zh-CN"")"),"那位女士揉着衣服，砸碎了。")</f>
        <v>那位女士揉着衣服，砸碎了。</v>
      </c>
    </row>
    <row r="4086">
      <c r="A4086" s="4" t="s">
        <v>5134</v>
      </c>
      <c r="B4086" s="4" t="s">
        <v>5139</v>
      </c>
      <c r="C4086" s="5" t="str">
        <f>IFERROR(__xludf.DUMMYFUNCTION("GOOGLETRANSLATE(B4086,""en"",""zh-CN"")"),"这位女士在板上放了一件衬衫，然后将其放回篮子里。")</f>
        <v>这位女士在板上放了一件衬衫，然后将其放回篮子里。</v>
      </c>
    </row>
    <row r="4087">
      <c r="A4087" s="4" t="s">
        <v>5134</v>
      </c>
      <c r="B4087" s="4" t="s">
        <v>5140</v>
      </c>
      <c r="C4087" s="5" t="str">
        <f>IFERROR(__xludf.DUMMYFUNCTION("GOOGLETRANSLATE(B4087,""en"",""zh-CN"")"),"女士折叠着衣服，微笑，场景结束。")</f>
        <v>女士折叠着衣服，微笑，场景结束。</v>
      </c>
    </row>
    <row r="4088">
      <c r="A4088" s="4" t="s">
        <v>5141</v>
      </c>
      <c r="B4088" s="4" t="s">
        <v>5142</v>
      </c>
      <c r="C4088" s="5" t="str">
        <f>IFERROR(__xludf.DUMMYFUNCTION("GOOGLETRANSLATE(B4088,""en"",""zh-CN"")"),"一个男人坐在沙发上。")</f>
        <v>一个男人坐在沙发上。</v>
      </c>
    </row>
    <row r="4089">
      <c r="A4089" s="4" t="s">
        <v>5141</v>
      </c>
      <c r="B4089" s="4" t="s">
        <v>5143</v>
      </c>
      <c r="C4089" s="5" t="str">
        <f>IFERROR(__xludf.DUMMYFUNCTION("GOOGLETRANSLATE(B4089,""en"",""zh-CN"")"),"他抬起鞋子和一瓶洗涤剂。")</f>
        <v>他抬起鞋子和一瓶洗涤剂。</v>
      </c>
    </row>
    <row r="4090">
      <c r="A4090" s="4" t="s">
        <v>5141</v>
      </c>
      <c r="B4090" s="4" t="s">
        <v>5144</v>
      </c>
      <c r="C4090" s="5" t="str">
        <f>IFERROR(__xludf.DUMMYFUNCTION("GOOGLETRANSLATE(B4090,""en"",""zh-CN"")"),"他把它带到水槽里，在那里洗净。")</f>
        <v>他把它带到水槽里，在那里洗净。</v>
      </c>
    </row>
    <row r="4091">
      <c r="A4091" s="4" t="s">
        <v>5141</v>
      </c>
      <c r="B4091" s="4" t="s">
        <v>5145</v>
      </c>
      <c r="C4091" s="5" t="str">
        <f>IFERROR(__xludf.DUMMYFUNCTION("GOOGLETRANSLATE(B4091,""en"",""zh-CN"")"),"然后，他将两块水果放在上面，然后用嘴吃掉它们。")</f>
        <v>然后，他将两块水果放在上面，然后用嘴吃掉它们。</v>
      </c>
    </row>
    <row r="4092">
      <c r="A4092" s="4" t="s">
        <v>5146</v>
      </c>
      <c r="B4092" s="4" t="s">
        <v>5147</v>
      </c>
      <c r="C4092" s="5" t="str">
        <f>IFERROR(__xludf.DUMMYFUNCTION("GOOGLETRANSLATE(B4092,""en"",""zh-CN"")"),"描述性文字显示在红色电影窗帘背景下。")</f>
        <v>描述性文字显示在红色电影窗帘背景下。</v>
      </c>
    </row>
    <row r="4093">
      <c r="A4093" s="4" t="s">
        <v>5146</v>
      </c>
      <c r="B4093" s="4" t="s">
        <v>5148</v>
      </c>
      <c r="C4093" s="5" t="str">
        <f>IFERROR(__xludf.DUMMYFUNCTION("GOOGLETRANSLATE(B4093,""en"",""zh-CN"")"),"一名教练向学生展示了不同的腿部姿态。")</f>
        <v>一名教练向学生展示了不同的腿部姿态。</v>
      </c>
    </row>
    <row r="4094">
      <c r="A4094" s="4" t="s">
        <v>5146</v>
      </c>
      <c r="B4094" s="4" t="s">
        <v>5149</v>
      </c>
      <c r="C4094" s="5" t="str">
        <f>IFERROR(__xludf.DUMMYFUNCTION("GOOGLETRANSLATE(B4094,""en"",""zh-CN"")"),"教练在练习演习中使用球拍从学生那里返回。")</f>
        <v>教练在练习演习中使用球拍从学生那里返回。</v>
      </c>
    </row>
    <row r="4095">
      <c r="A4095" s="4" t="s">
        <v>5146</v>
      </c>
      <c r="B4095" s="4" t="s">
        <v>5150</v>
      </c>
      <c r="C4095" s="5" t="str">
        <f>IFERROR(__xludf.DUMMYFUNCTION("GOOGLETRANSLATE(B4095,""en"",""zh-CN"")"),"学生的退货从讲师那里提供练习演习。")</f>
        <v>学生的退货从讲师那里提供练习演习。</v>
      </c>
    </row>
    <row r="4096">
      <c r="A4096" s="4" t="s">
        <v>5151</v>
      </c>
      <c r="B4096" s="4" t="s">
        <v>5152</v>
      </c>
      <c r="C4096" s="5" t="str">
        <f>IFERROR(__xludf.DUMMYFUNCTION("GOOGLETRANSLATE(B4096,""en"",""zh-CN"")"),"一个男人跪在垫子上，在说话时用左手向后背伸出后背。")</f>
        <v>一个男人跪在垫子上，在说话时用左手向后背伸出后背。</v>
      </c>
    </row>
    <row r="4097">
      <c r="A4097" s="4" t="s">
        <v>5151</v>
      </c>
      <c r="B4097" s="4" t="s">
        <v>5153</v>
      </c>
      <c r="C4097" s="5" t="str">
        <f>IFERROR(__xludf.DUMMYFUNCTION("GOOGLETRANSLATE(B4097,""en"",""zh-CN"")"),"然后，该男子抬起壶铃，在说话时放在胸前。")</f>
        <v>然后，该男子抬起壶铃，在说话时放在胸前。</v>
      </c>
    </row>
    <row r="4098">
      <c r="A4098" s="4" t="s">
        <v>5151</v>
      </c>
      <c r="B4098" s="4" t="s">
        <v>5154</v>
      </c>
      <c r="C4098" s="5" t="str">
        <f>IFERROR(__xludf.DUMMYFUNCTION("GOOGLETRANSLATE(B4098,""en"",""zh-CN"")"),"然后，那个男人把壶铃放在地板上，继续说话。")</f>
        <v>然后，那个男人把壶铃放在地板上，继续说话。</v>
      </c>
    </row>
    <row r="4099">
      <c r="A4099" s="4" t="s">
        <v>5155</v>
      </c>
      <c r="B4099" s="6" t="s">
        <v>5156</v>
      </c>
      <c r="C4099" s="5" t="str">
        <f>IFERROR(__xludf.DUMMYFUNCTION("GOOGLETRANSLATE(B4099,""en"",""zh-CN"")"),"看到一个女人站在镜子前，一个男人旁边的男人躺在桌子上。")</f>
        <v>看到一个女人站在镜子前，一个男人旁边的男人躺在桌子上。</v>
      </c>
    </row>
    <row r="4100">
      <c r="A4100" s="4" t="s">
        <v>5155</v>
      </c>
      <c r="B4100" s="6" t="s">
        <v>5157</v>
      </c>
      <c r="C4100" s="5" t="str">
        <f>IFERROR(__xludf.DUMMYFUNCTION("GOOGLETRANSLATE(B4100,""en"",""zh-CN"")"),"然后，该男子迅速刺入她的脸，并过渡到她的坐着，然后再次向下炫耀她的纹身。")</f>
        <v>然后，该男子迅速刺入她的脸，并过渡到她的坐着，然后再次向下炫耀她的纹身。</v>
      </c>
    </row>
    <row r="4101">
      <c r="A4101" s="4" t="s">
        <v>5158</v>
      </c>
      <c r="B4101" s="4" t="s">
        <v>5159</v>
      </c>
      <c r="C4101" s="5" t="str">
        <f>IFERROR(__xludf.DUMMYFUNCTION("GOOGLETRANSLATE(B4101,""en"",""zh-CN"")"),"女人在淋浴中散布肥皂和水中的水。")</f>
        <v>女人在淋浴中散布肥皂和水中的水。</v>
      </c>
    </row>
    <row r="4102">
      <c r="A4102" s="4" t="s">
        <v>5158</v>
      </c>
      <c r="B4102" s="4" t="s">
        <v>5160</v>
      </c>
      <c r="C4102" s="5" t="str">
        <f>IFERROR(__xludf.DUMMYFUNCTION("GOOGLETRANSLATE(B4102,""en"",""zh-CN"")"),"女人在浴缸上剃了腿。")</f>
        <v>女人在浴缸上剃了腿。</v>
      </c>
    </row>
    <row r="4103">
      <c r="A4103" s="4" t="s">
        <v>5158</v>
      </c>
      <c r="B4103" s="6" t="s">
        <v>5161</v>
      </c>
      <c r="C4103" s="5" t="str">
        <f>IFERROR(__xludf.DUMMYFUNCTION("GOOGLETRANSLATE(B4103,""en"",""zh-CN"")"),"有人打开窗帘，是一个在里面的人，从浴室里跑着口罩。")</f>
        <v>有人打开窗帘，是一个在里面的人，从浴室里跑着口罩。</v>
      </c>
    </row>
    <row r="4104">
      <c r="A4104" s="4" t="s">
        <v>5162</v>
      </c>
      <c r="B4104" s="4" t="s">
        <v>5163</v>
      </c>
      <c r="C4104" s="5" t="str">
        <f>IFERROR(__xludf.DUMMYFUNCTION("GOOGLETRANSLATE(B4104,""en"",""zh-CN"")"),"雨水倾泻而下，一个人在田野上行走，指着他的手指穿过田野。")</f>
        <v>雨水倾泻而下，一个人在田野上行走，指着他的手指穿过田野。</v>
      </c>
    </row>
    <row r="4105">
      <c r="A4105" s="4" t="s">
        <v>5162</v>
      </c>
      <c r="B4105" s="4" t="s">
        <v>5164</v>
      </c>
      <c r="C4105" s="5" t="str">
        <f>IFERROR(__xludf.DUMMYFUNCTION("GOOGLETRANSLATE(B4105,""en"",""zh-CN"")"),"之后，他在一个握住手的田野中开始玩曲棍球。")</f>
        <v>之后，他在一个握住手的田野中开始玩曲棍球。</v>
      </c>
    </row>
    <row r="4106">
      <c r="A4106" s="4" t="s">
        <v>5162</v>
      </c>
      <c r="B4106" s="4" t="s">
        <v>5165</v>
      </c>
      <c r="C4106" s="5" t="str">
        <f>IFERROR(__xludf.DUMMYFUNCTION("GOOGLETRANSLATE(B4106,""en"",""zh-CN"")"),"更多的比赛继续，指着指向的人开始实现目标并领导他的团队。")</f>
        <v>更多的比赛继续，指着指向的人开始实现目标并领导他的团队。</v>
      </c>
    </row>
    <row r="4107">
      <c r="A4107" s="4" t="s">
        <v>5166</v>
      </c>
      <c r="B4107" s="6" t="s">
        <v>5167</v>
      </c>
      <c r="C4107" s="5" t="str">
        <f>IFERROR(__xludf.DUMMYFUNCTION("GOOGLETRANSLATE(B4107,""en"",""zh-CN"")"),"一个女人在舞蹈工作室广告标志面前面对相机，四个女孩在舞蹈工作室的芭蕾舞酒吧前展示芭蕾舞技巧。")</f>
        <v>一个女人在舞蹈工作室广告标志面前面对相机，四个女孩在舞蹈工作室的芭蕾舞酒吧前展示芭蕾舞技巧。</v>
      </c>
    </row>
    <row r="4108">
      <c r="A4108" s="4" t="s">
        <v>5166</v>
      </c>
      <c r="B4108" s="6" t="s">
        <v>5168</v>
      </c>
      <c r="C4108" s="5" t="str">
        <f>IFERROR(__xludf.DUMMYFUNCTION("GOOGLETRANSLATE(B4108,""en"",""zh-CN"")"),"一个有金色头发的女人，穿着黑色的衣服，站在舞蹈室广告前，面对相机时会说话。")</f>
        <v>一个有金色头发的女人，穿着黑色的衣服，站在舞蹈室广告前，面对相机时会说话。</v>
      </c>
    </row>
    <row r="4109">
      <c r="A4109" s="4" t="s">
        <v>5166</v>
      </c>
      <c r="B4109" s="6" t="s">
        <v>5169</v>
      </c>
      <c r="C4109" s="5" t="str">
        <f>IFERROR(__xludf.DUMMYFUNCTION("GOOGLETRANSLATE(B4109,""en"",""zh-CN"")"),"相机将四个女孩穿着芭蕾舞服和芭蕾舞鞋切开，面对芭蕾舞吧，背部靠在相机上，并展示了芭蕾舞膝盖的弯曲。")</f>
        <v>相机将四个女孩穿着芭蕾舞服和芭蕾舞鞋切开，面对芭蕾舞吧，背部靠在相机上，并展示了芭蕾舞膝盖的弯曲。</v>
      </c>
    </row>
    <row r="4110">
      <c r="A4110" s="4" t="s">
        <v>5166</v>
      </c>
      <c r="B4110" s="6" t="s">
        <v>5170</v>
      </c>
      <c r="C4110" s="5" t="str">
        <f>IFERROR(__xludf.DUMMYFUNCTION("GOOGLETRANSLATE(B4110,""en"",""zh-CN"")"),"然后，女孩们表现出芭蕾脚趾的点，因为摄像机将孤独的女人切断了，她继续面对相机，直到现场逐渐消失为营销图形。")</f>
        <v>然后，女孩们表现出芭蕾脚趾的点，因为摄像机将孤独的女人切断了，她继续面对相机，直到现场逐渐消失为营销图形。</v>
      </c>
    </row>
    <row r="4111">
      <c r="A4111" s="4" t="s">
        <v>5171</v>
      </c>
      <c r="B4111" s="6" t="s">
        <v>5172</v>
      </c>
      <c r="C4111" s="5" t="str">
        <f>IFERROR(__xludf.DUMMYFUNCTION("GOOGLETRANSLATE(B4111,""en"",""zh-CN"")"),"一个穿着白衬衫和伪装印花帽子，耳朵和唇孔的男人正在演示如何进行永久纹身。")</f>
        <v>一个穿着白衬衫和伪装印花帽子，耳朵和唇孔的男人正在演示如何进行永久纹身。</v>
      </c>
    </row>
    <row r="4112">
      <c r="A4112" s="4" t="s">
        <v>5171</v>
      </c>
      <c r="B4112" s="6" t="s">
        <v>5173</v>
      </c>
      <c r="C4112" s="5" t="str">
        <f>IFERROR(__xludf.DUMMYFUNCTION("GOOGLETRANSLATE(B4112,""en"",""zh-CN"")"),"他展示了如何用剃刀剃光客户的手臂，并在上面擦一些酒精以准备皮肤。")</f>
        <v>他展示了如何用剃刀剃光客户的手臂，并在上面擦一些酒精以准备皮肤。</v>
      </c>
    </row>
    <row r="4113">
      <c r="A4113" s="4" t="s">
        <v>5171</v>
      </c>
      <c r="B4113" s="4" t="s">
        <v>5174</v>
      </c>
      <c r="C4113" s="5" t="str">
        <f>IFERROR(__xludf.DUMMYFUNCTION("GOOGLETRANSLATE(B4113,""en"",""zh-CN"")"),"然后，他将模具放在客户的手臂上，以放下纹身的轮廓。")</f>
        <v>然后，他将模具放在客户的手臂上，以放下纹身的轮廓。</v>
      </c>
    </row>
    <row r="4114">
      <c r="A4114" s="4" t="s">
        <v>5171</v>
      </c>
      <c r="B4114" s="4" t="s">
        <v>5175</v>
      </c>
      <c r="C4114" s="5" t="str">
        <f>IFERROR(__xludf.DUMMYFUNCTION("GOOGLETRANSLATE(B4114,""en"",""zh-CN"")"),"然后，他在皮肤上涂抹一些奶油，以最大程度地减少出血。")</f>
        <v>然后，他在皮肤上涂抹一些奶油，以最大程度地减少出血。</v>
      </c>
    </row>
    <row r="4115">
      <c r="A4115" s="4" t="s">
        <v>5171</v>
      </c>
      <c r="B4115" s="4" t="s">
        <v>5176</v>
      </c>
      <c r="C4115" s="5" t="str">
        <f>IFERROR(__xludf.DUMMYFUNCTION("GOOGLETRANSLATE(B4115,""en"",""zh-CN"")"),"他开始使用纹身机在轮廓上画纹身。")</f>
        <v>他开始使用纹身机在轮廓上画纹身。</v>
      </c>
    </row>
    <row r="4116">
      <c r="A4116" s="4" t="s">
        <v>5171</v>
      </c>
      <c r="B4116" s="4" t="s">
        <v>5177</v>
      </c>
      <c r="C4116" s="5" t="str">
        <f>IFERROR(__xludf.DUMMYFUNCTION("GOOGLETRANSLATE(B4116,""en"",""zh-CN"")"),"他还展示了他如何使用不同的颜色填充设计的轮廓。")</f>
        <v>他还展示了他如何使用不同的颜色填充设计的轮廓。</v>
      </c>
    </row>
    <row r="4117">
      <c r="A4117" s="4" t="s">
        <v>5171</v>
      </c>
      <c r="B4117" s="4" t="s">
        <v>5178</v>
      </c>
      <c r="C4117" s="5" t="str">
        <f>IFERROR(__xludf.DUMMYFUNCTION("GOOGLETRANSLATE(B4117,""en"",""zh-CN"")"),"然后，他按照客户的规格完成纹身。")</f>
        <v>然后，他按照客户的规格完成纹身。</v>
      </c>
    </row>
    <row r="4118">
      <c r="A4118" s="4" t="s">
        <v>5179</v>
      </c>
      <c r="B4118" s="4" t="s">
        <v>5180</v>
      </c>
      <c r="C4118" s="5" t="str">
        <f>IFERROR(__xludf.DUMMYFUNCTION("GOOGLETRANSLATE(B4118,""en"",""zh-CN"")"),"一个小宝宝在外面拿着一根棍子试图用它击中皮纳塔。")</f>
        <v>一个小宝宝在外面拿着一根棍子试图用它击中皮纳塔。</v>
      </c>
    </row>
    <row r="4119">
      <c r="A4119" s="4" t="s">
        <v>5179</v>
      </c>
      <c r="B4119" s="4" t="s">
        <v>5181</v>
      </c>
      <c r="C4119" s="5" t="str">
        <f>IFERROR(__xludf.DUMMYFUNCTION("GOOGLETRANSLATE(B4119,""en"",""zh-CN"")"),"在她的身后，一位女士在她击中Pinata时，正在举起婴儿并协助她。")</f>
        <v>在她的身后，一位女士在她击中Pinata时，正在举起婴儿并协助她。</v>
      </c>
    </row>
    <row r="4120">
      <c r="A4120" s="4" t="s">
        <v>5179</v>
      </c>
      <c r="B4120" s="6" t="s">
        <v>5182</v>
      </c>
      <c r="C4120" s="5" t="str">
        <f>IFERROR(__xludf.DUMMYFUNCTION("GOOGLETRANSLATE(B4120,""en"",""zh-CN"")"),"当皮纳塔（Pinata）上下弹起时，年轻的婴儿几乎没有击中它，然后最终转向相机。")</f>
        <v>当皮纳塔（Pinata）上下弹起时，年轻的婴儿几乎没有击中它，然后最终转向相机。</v>
      </c>
    </row>
    <row r="4121">
      <c r="A4121" s="4" t="s">
        <v>5183</v>
      </c>
      <c r="B4121" s="4" t="s">
        <v>5184</v>
      </c>
      <c r="C4121" s="5" t="str">
        <f>IFERROR(__xludf.DUMMYFUNCTION("GOOGLETRANSLATE(B4121,""en"",""zh-CN"")"),"一个小女孩坐在两个眼镜前的桌子上，一个7up瓶和一盘石灰片。")</f>
        <v>一个小女孩坐在两个眼镜前的桌子上，一个7up瓶和一盘石灰片。</v>
      </c>
    </row>
    <row r="4122">
      <c r="A4122" s="4" t="s">
        <v>5183</v>
      </c>
      <c r="B4122" s="6" t="s">
        <v>5185</v>
      </c>
      <c r="C4122" s="5" t="str">
        <f>IFERROR(__xludf.DUMMYFUNCTION("GOOGLETRANSLATE(B4122,""en"",""zh-CN"")"),"她将苏打水和石灰片添加到眼镜中，在喝一杯之前将果汁挤入液体中。")</f>
        <v>她将苏打水和石灰片添加到眼镜中，在喝一杯之前将果汁挤入液体中。</v>
      </c>
    </row>
    <row r="4123">
      <c r="A4123" s="4" t="s">
        <v>5186</v>
      </c>
      <c r="B4123" s="4" t="s">
        <v>5187</v>
      </c>
      <c r="C4123" s="5" t="str">
        <f>IFERROR(__xludf.DUMMYFUNCTION("GOOGLETRANSLATE(B4123,""en"",""zh-CN"")"),"在一个男人剪掉女人的头发的地方显示了一场古老的电视节目。")</f>
        <v>在一个男人剪掉女人的头发的地方显示了一场古老的电视节目。</v>
      </c>
    </row>
    <row r="4124">
      <c r="A4124" s="4" t="s">
        <v>5186</v>
      </c>
      <c r="B4124" s="4" t="s">
        <v>5188</v>
      </c>
      <c r="C4124" s="5" t="str">
        <f>IFERROR(__xludf.DUMMYFUNCTION("GOOGLETRANSLATE(B4124,""en"",""zh-CN"")"),"然后，一个男人把头发剪下很短，而另一个男人从外面看。")</f>
        <v>然后，一个男人把头发剪下很短，而另一个男人从外面看。</v>
      </c>
    </row>
    <row r="4125">
      <c r="A4125" s="4" t="s">
        <v>5189</v>
      </c>
      <c r="B4125" s="4" t="s">
        <v>5190</v>
      </c>
      <c r="C4125" s="5" t="str">
        <f>IFERROR(__xludf.DUMMYFUNCTION("GOOGLETRANSLATE(B4125,""en"",""zh-CN"")"),"一个男人在足球场外面，把自己的设备放在书包里。")</f>
        <v>一个男人在足球场外面，把自己的设备放在书包里。</v>
      </c>
    </row>
    <row r="4126">
      <c r="A4126" s="4" t="s">
        <v>5189</v>
      </c>
      <c r="B4126" s="4" t="s">
        <v>5191</v>
      </c>
      <c r="C4126" s="5" t="str">
        <f>IFERROR(__xludf.DUMMYFUNCTION("GOOGLETRANSLATE(B4126,""en"",""zh-CN"")"),"一旦东西放在书包里，他就会用皮带固定它，然后开始上下跳跃。")</f>
        <v>一旦东西放在书包里，他就会用皮带固定它，然后开始上下跳跃。</v>
      </c>
    </row>
    <row r="4127">
      <c r="A4127" s="4" t="s">
        <v>5189</v>
      </c>
      <c r="B4127" s="4" t="s">
        <v>5192</v>
      </c>
      <c r="C4127" s="5" t="str">
        <f>IFERROR(__xludf.DUMMYFUNCTION("GOOGLETRANSLATE(B4127,""en"",""zh-CN"")"),"主要任务开始了，男人开始穿过树林。")</f>
        <v>主要任务开始了，男人开始穿过树林。</v>
      </c>
    </row>
    <row r="4128">
      <c r="A4128" s="4" t="s">
        <v>5189</v>
      </c>
      <c r="B4128" s="6" t="s">
        <v>5193</v>
      </c>
      <c r="C4128" s="5" t="str">
        <f>IFERROR(__xludf.DUMMYFUNCTION("GOOGLETRANSLATE(B4128,""en"",""zh-CN"")"),"突然间，显示了一小片水，人们在管道和坐着彼此享受。")</f>
        <v>突然间，显示了一小片水，人们在管道和坐着彼此享受。</v>
      </c>
    </row>
    <row r="4129">
      <c r="A4129" s="4" t="s">
        <v>5194</v>
      </c>
      <c r="B4129" s="4" t="s">
        <v>5195</v>
      </c>
      <c r="C4129" s="5" t="str">
        <f>IFERROR(__xludf.DUMMYFUNCTION("GOOGLETRANSLATE(B4129,""en"",""zh-CN"")"),"看到一个戴着帽子的男孩在一些树木后行走和说话。")</f>
        <v>看到一个戴着帽子的男孩在一些树木后行走和说话。</v>
      </c>
    </row>
    <row r="4130">
      <c r="A4130" s="4" t="s">
        <v>5194</v>
      </c>
      <c r="B4130" s="4" t="s">
        <v>5196</v>
      </c>
      <c r="C4130" s="5" t="str">
        <f>IFERROR(__xludf.DUMMYFUNCTION("GOOGLETRANSLATE(B4130,""en"",""zh-CN"")"),"这个男孩偷偷溜进了另一个男孩在曲棍球的田野上。")</f>
        <v>这个男孩偷偷溜进了另一个男孩在曲棍球的田野上。</v>
      </c>
    </row>
    <row r="4131">
      <c r="A4131" s="4" t="s">
        <v>5194</v>
      </c>
      <c r="B4131" s="4" t="s">
        <v>5197</v>
      </c>
      <c r="C4131" s="5" t="str">
        <f>IFERROR(__xludf.DUMMYFUNCTION("GOOGLETRANSLATE(B4131,""en"",""zh-CN"")"),"帽子上的男孩接球。")</f>
        <v>帽子上的男孩接球。</v>
      </c>
    </row>
    <row r="4132">
      <c r="A4132" s="4" t="s">
        <v>5194</v>
      </c>
      <c r="B4132" s="4" t="s">
        <v>5198</v>
      </c>
      <c r="C4132" s="5" t="str">
        <f>IFERROR(__xludf.DUMMYFUNCTION("GOOGLETRANSLATE(B4132,""en"",""zh-CN"")"),"看到男孩运动场曲棍球在后台跳跃。")</f>
        <v>看到男孩运动场曲棍球在后台跳跃。</v>
      </c>
    </row>
    <row r="4133">
      <c r="A4133" s="4" t="s">
        <v>5194</v>
      </c>
      <c r="B4133" s="4" t="s">
        <v>5199</v>
      </c>
      <c r="C4133" s="5" t="str">
        <f>IFERROR(__xludf.DUMMYFUNCTION("GOOGLETRANSLATE(B4133,""en"",""zh-CN"")"),"帽子上的男孩将球踢回了曲棍球运动员，看到了另一名球员。")</f>
        <v>帽子上的男孩将球踢回了曲棍球运动员，看到了另一名球员。</v>
      </c>
    </row>
    <row r="4134">
      <c r="A4134" s="4" t="s">
        <v>5194</v>
      </c>
      <c r="B4134" s="6" t="s">
        <v>5200</v>
      </c>
      <c r="C4134" s="5" t="str">
        <f>IFERROR(__xludf.DUMMYFUNCTION("GOOGLETRANSLATE(B4134,""en"",""zh-CN"")"),"看到两名曲棍球运动员跑来跑去，用棍棒击中了曲棍球球。")</f>
        <v>看到两名曲棍球运动员跑来跑去，用棍棒击中了曲棍球球。</v>
      </c>
    </row>
    <row r="4135">
      <c r="A4135" s="4" t="s">
        <v>5194</v>
      </c>
      <c r="B4135" s="6" t="s">
        <v>5201</v>
      </c>
      <c r="C4135" s="5" t="str">
        <f>IFERROR(__xludf.DUMMYFUNCTION("GOOGLETRANSLATE(B4135,""en"",""zh-CN"")"),"看到了其中一名曲棍球运动员，他的手臂和腿缠在男孩的腿上，戴着帽子。")</f>
        <v>看到了其中一名曲棍球运动员，他的手臂和腿缠在男孩的腿上，戴着帽子。</v>
      </c>
    </row>
    <row r="4136">
      <c r="A4136" s="4" t="s">
        <v>5202</v>
      </c>
      <c r="B4136" s="4" t="s">
        <v>5203</v>
      </c>
      <c r="C4136" s="5" t="str">
        <f>IFERROR(__xludf.DUMMYFUNCTION("GOOGLETRANSLATE(B4136,""en"",""zh-CN"")"),"一个小女孩用扫地机击中光盘。")</f>
        <v>一个小女孩用扫地机击中光盘。</v>
      </c>
    </row>
    <row r="4137">
      <c r="A4137" s="4" t="s">
        <v>5202</v>
      </c>
      <c r="B4137" s="4" t="s">
        <v>5204</v>
      </c>
      <c r="C4137" s="5" t="str">
        <f>IFERROR(__xludf.DUMMYFUNCTION("GOOGLETRANSLATE(B4137,""en"",""zh-CN"")"),"该唱片在停止之前先沿着球场进行行驶，以及进一步的光盘。")</f>
        <v>该唱片在停止之前先沿着球场进行行驶，以及进一步的光盘。</v>
      </c>
    </row>
    <row r="4138">
      <c r="A4138" s="4" t="s">
        <v>5202</v>
      </c>
      <c r="B4138" s="4" t="s">
        <v>5205</v>
      </c>
      <c r="C4138" s="5" t="str">
        <f>IFERROR(__xludf.DUMMYFUNCTION("GOOGLETRANSLATE(B4138,""en"",""zh-CN"")"),"她继续玩游戏，不确定如何获胜。")</f>
        <v>她继续玩游戏，不确定如何获胜。</v>
      </c>
    </row>
    <row r="4139">
      <c r="A4139" s="4" t="s">
        <v>5206</v>
      </c>
      <c r="B4139" s="4" t="s">
        <v>5207</v>
      </c>
      <c r="C4139" s="5" t="str">
        <f>IFERROR(__xludf.DUMMYFUNCTION("GOOGLETRANSLATE(B4139,""en"",""zh-CN"")"),"一个男人站在酒吧里说话。")</f>
        <v>一个男人站在酒吧里说话。</v>
      </c>
    </row>
    <row r="4140">
      <c r="A4140" s="4" t="s">
        <v>5206</v>
      </c>
      <c r="B4140" s="4" t="s">
        <v>5208</v>
      </c>
      <c r="C4140" s="5" t="str">
        <f>IFERROR(__xludf.DUMMYFUNCTION("GOOGLETRANSLATE(B4140,""en"",""zh-CN"")"),"他把冰放在杯子里。")</f>
        <v>他把冰放在杯子里。</v>
      </c>
    </row>
    <row r="4141">
      <c r="A4141" s="4" t="s">
        <v>5206</v>
      </c>
      <c r="B4141" s="4" t="s">
        <v>5209</v>
      </c>
      <c r="C4141" s="5" t="str">
        <f>IFERROR(__xludf.DUMMYFUNCTION("GOOGLETRANSLATE(B4141,""en"",""zh-CN"")"),"他将镜头倒入玻璃杯中。")</f>
        <v>他将镜头倒入玻璃杯中。</v>
      </c>
    </row>
    <row r="4142">
      <c r="A4142" s="4" t="s">
        <v>5206</v>
      </c>
      <c r="B4142" s="4" t="s">
        <v>5210</v>
      </c>
      <c r="C4142" s="5" t="str">
        <f>IFERROR(__xludf.DUMMYFUNCTION("GOOGLETRANSLATE(B4142,""en"",""zh-CN"")"),"他用稻草搅拌饮料。")</f>
        <v>他用稻草搅拌饮料。</v>
      </c>
    </row>
    <row r="4143">
      <c r="A4143" s="4" t="s">
        <v>5211</v>
      </c>
      <c r="B4143" s="6" t="s">
        <v>5212</v>
      </c>
      <c r="C4143" s="5" t="str">
        <f>IFERROR(__xludf.DUMMYFUNCTION("GOOGLETRANSLATE(B4143,""en"",""zh-CN"")"),"几个人在网络右侧的体育馆中显示出排球，而其他人则在背景中从事其他活动。")</f>
        <v>几个人在网络右侧的体育馆中显示出排球，而其他人则在背景中从事其他活动。</v>
      </c>
    </row>
    <row r="4144">
      <c r="A4144" s="4" t="s">
        <v>5211</v>
      </c>
      <c r="B4144" s="4" t="s">
        <v>5213</v>
      </c>
      <c r="C4144" s="5" t="str">
        <f>IFERROR(__xludf.DUMMYFUNCTION("GOOGLETRANSLATE(B4144,""en"",""zh-CN"")"),"摄像机盘留下来显示网络左侧的团队。")</f>
        <v>摄像机盘留下来显示网络左侧的团队。</v>
      </c>
    </row>
    <row r="4145">
      <c r="A4145" s="4" t="s">
        <v>5211</v>
      </c>
      <c r="B4145" s="4" t="s">
        <v>5214</v>
      </c>
      <c r="C4145" s="5" t="str">
        <f>IFERROR(__xludf.DUMMYFUNCTION("GOOGLETRANSLATE(B4145,""en"",""zh-CN"")"),"相机返回右侧的团队。")</f>
        <v>相机返回右侧的团队。</v>
      </c>
    </row>
    <row r="4146">
      <c r="A4146" s="4" t="s">
        <v>5215</v>
      </c>
      <c r="B4146" s="6" t="s">
        <v>5216</v>
      </c>
      <c r="C4146" s="5" t="str">
        <f>IFERROR(__xludf.DUMMYFUNCTION("GOOGLETRANSLATE(B4146,""en"",""zh-CN"")"),"三名男子展示了锤子在一次户外奥运会活动中投掷，周围是野外围观者和漂白剂。")</f>
        <v>三名男子展示了锤子在一次户外奥运会活动中投掷，周围是野外围观者和漂白剂。</v>
      </c>
    </row>
    <row r="4147">
      <c r="A4147" s="4" t="s">
        <v>5215</v>
      </c>
      <c r="B4147" s="6" t="s">
        <v>5217</v>
      </c>
      <c r="C4147" s="5" t="str">
        <f>IFERROR(__xludf.DUMMYFUNCTION("GOOGLETRANSLATE(B4147,""en"",""zh-CN"")"),"一个男人站在户外奥运会上，在让锤子飞向空中飞行之前，表演了被人们和观众包围的锤子。")</f>
        <v>一个男人站在户外奥运会上，在让锤子飞向空中飞行之前，表演了被人们和观众包围的锤子。</v>
      </c>
    </row>
    <row r="4148">
      <c r="A4148" s="4" t="s">
        <v>5215</v>
      </c>
      <c r="B4148" s="6" t="s">
        <v>5218</v>
      </c>
      <c r="C4148" s="5" t="str">
        <f>IFERROR(__xludf.DUMMYFUNCTION("GOOGLETRANSLATE(B4148,""en"",""zh-CN"")"),"另外两个男人以相同的方式进行锤击，将锤子释放到空中以飞向田野。")</f>
        <v>另外两个男人以相同的方式进行锤击，将锤子释放到空中以飞向田野。</v>
      </c>
    </row>
    <row r="4149">
      <c r="A4149" s="4" t="s">
        <v>5215</v>
      </c>
      <c r="B4149" s="4" t="s">
        <v>5219</v>
      </c>
      <c r="C4149" s="5" t="str">
        <f>IFERROR(__xludf.DUMMYFUNCTION("GOOGLETRANSLATE(B4149,""en"",""zh-CN"")"),"三名男子站在一个田野中间，举起挂在脖子上的奖牌。")</f>
        <v>三名男子站在一个田野中间，举起挂在脖子上的奖牌。</v>
      </c>
    </row>
    <row r="4150">
      <c r="A4150" s="4" t="s">
        <v>5220</v>
      </c>
      <c r="B4150" s="4" t="s">
        <v>5221</v>
      </c>
      <c r="C4150" s="5" t="str">
        <f>IFERROR(__xludf.DUMMYFUNCTION("GOOGLETRANSLATE(B4150,""en"",""zh-CN"")"),"割草机在圆形岩石线旁边。")</f>
        <v>割草机在圆形岩石线旁边。</v>
      </c>
    </row>
    <row r="4151">
      <c r="A4151" s="4" t="s">
        <v>5220</v>
      </c>
      <c r="B4151" s="4" t="s">
        <v>5222</v>
      </c>
      <c r="C4151" s="5" t="str">
        <f>IFERROR(__xludf.DUMMYFUNCTION("GOOGLETRANSLATE(B4151,""en"",""zh-CN"")"),"一个人开始割草机，并开始将其推向岩石边界。")</f>
        <v>一个人开始割草机，并开始将其推向岩石边界。</v>
      </c>
    </row>
    <row r="4152">
      <c r="A4152" s="4" t="s">
        <v>5220</v>
      </c>
      <c r="B4152" s="6" t="s">
        <v>5223</v>
      </c>
      <c r="C4152" s="5" t="str">
        <f>IFERROR(__xludf.DUMMYFUNCTION("GOOGLETRANSLATE(B4152,""en"",""zh-CN"")"),"当他们转身推动割草机时，我们可以获得对该人的草坪被割草的第一手视图。")</f>
        <v>当他们转身推动割草机时，我们可以获得对该人的草坪被割草的第一手视图。</v>
      </c>
    </row>
    <row r="4153">
      <c r="A4153" s="4" t="s">
        <v>5220</v>
      </c>
      <c r="B4153" s="4" t="s">
        <v>5224</v>
      </c>
      <c r="C4153" s="5" t="str">
        <f>IFERROR(__xludf.DUMMYFUNCTION("GOOGLETRANSLATE(B4153,""en"",""zh-CN"")"),"在他关闭相机之前，该男子的脸显示出来。")</f>
        <v>在他关闭相机之前，该男子的脸显示出来。</v>
      </c>
    </row>
    <row r="4154">
      <c r="A4154" s="4" t="s">
        <v>5225</v>
      </c>
      <c r="B4154" s="4" t="s">
        <v>5226</v>
      </c>
      <c r="C4154" s="5" t="str">
        <f>IFERROR(__xludf.DUMMYFUNCTION("GOOGLETRANSLATE(B4154,""en"",""zh-CN"")"),"孩子们在游乐园或狂欢节上骑着保险杠汽车。")</f>
        <v>孩子们在游乐园或狂欢节上骑着保险杠汽车。</v>
      </c>
    </row>
    <row r="4155">
      <c r="A4155" s="4" t="s">
        <v>5225</v>
      </c>
      <c r="B4155" s="4" t="s">
        <v>5227</v>
      </c>
      <c r="C4155" s="5" t="str">
        <f>IFERROR(__xludf.DUMMYFUNCTION("GOOGLETRANSLATE(B4155,""en"",""zh-CN"")"),"交通拥堵将小女孩捕获在汽车中间。")</f>
        <v>交通拥堵将小女孩捕获在汽车中间。</v>
      </c>
    </row>
    <row r="4156">
      <c r="A4156" s="4" t="s">
        <v>5225</v>
      </c>
      <c r="B4156" s="4" t="s">
        <v>5228</v>
      </c>
      <c r="C4156" s="5" t="str">
        <f>IFERROR(__xludf.DUMMYFUNCTION("GOOGLETRANSLATE(B4156,""en"",""zh-CN"")"),"当她看着姐妹们的脸上时，戴着帽子的小女孩微笑着。")</f>
        <v>当她看着姐妹们的脸上时，戴着帽子的小女孩微笑着。</v>
      </c>
    </row>
    <row r="4157">
      <c r="A4157" s="4" t="s">
        <v>5229</v>
      </c>
      <c r="B4157" s="4" t="s">
        <v>5230</v>
      </c>
      <c r="C4157" s="5" t="str">
        <f>IFERROR(__xludf.DUMMYFUNCTION("GOOGLETRANSLATE(B4157,""en"",""zh-CN"")"),"看到一大批人坐在室外田地。")</f>
        <v>看到一大批人坐在室外田地。</v>
      </c>
    </row>
    <row r="4158">
      <c r="A4158" s="4" t="s">
        <v>5229</v>
      </c>
      <c r="B4158" s="4" t="s">
        <v>5231</v>
      </c>
      <c r="C4158" s="5" t="str">
        <f>IFERROR(__xludf.DUMMYFUNCTION("GOOGLETRANSLATE(B4158,""en"",""zh-CN"")"),"在观众中间，看到一只狗在场上上下奔跑。")</f>
        <v>在观众中间，看到一只狗在场上上下奔跑。</v>
      </c>
    </row>
    <row r="4159">
      <c r="A4159" s="4" t="s">
        <v>5229</v>
      </c>
      <c r="B4159" s="4" t="s">
        <v>5232</v>
      </c>
      <c r="C4159" s="5" t="str">
        <f>IFERROR(__xludf.DUMMYFUNCTION("GOOGLETRANSLATE(B4159,""en"",""zh-CN"")"),"当相机从侧面观看时，狗一直向后奔跑和第四次。")</f>
        <v>当相机从侧面观看时，狗一直向后奔跑和第四次。</v>
      </c>
    </row>
    <row r="4160">
      <c r="A4160" s="4" t="s">
        <v>5233</v>
      </c>
      <c r="B4160" s="4" t="s">
        <v>5234</v>
      </c>
      <c r="C4160" s="5" t="str">
        <f>IFERROR(__xludf.DUMMYFUNCTION("GOOGLETRANSLATE(B4160,""en"",""zh-CN"")"),"我们看到了几个标题屏幕。")</f>
        <v>我们看到了几个标题屏幕。</v>
      </c>
    </row>
    <row r="4161">
      <c r="A4161" s="4" t="s">
        <v>5233</v>
      </c>
      <c r="B4161" s="4" t="s">
        <v>5235</v>
      </c>
      <c r="C4161" s="5" t="str">
        <f>IFERROR(__xludf.DUMMYFUNCTION("GOOGLETRANSLATE(B4161,""en"",""zh-CN"")"),"我们看到一个男人在移动前表演了一系列的Capoeira动作。")</f>
        <v>我们看到一个男人在移动前表演了一系列的Capoeira动作。</v>
      </c>
    </row>
    <row r="4162">
      <c r="A4162" s="4" t="s">
        <v>5233</v>
      </c>
      <c r="B4162" s="4" t="s">
        <v>5236</v>
      </c>
      <c r="C4162" s="5" t="str">
        <f>IFERROR(__xludf.DUMMYFUNCTION("GOOGLETRANSLATE(B4162,""en"",""zh-CN"")"),"我们看到一个男人的轮班和回旋踢。")</f>
        <v>我们看到一个男人的轮班和回旋踢。</v>
      </c>
    </row>
    <row r="4163">
      <c r="A4163" s="4" t="s">
        <v>5233</v>
      </c>
      <c r="B4163" s="4" t="s">
        <v>5237</v>
      </c>
      <c r="C4163" s="5" t="str">
        <f>IFERROR(__xludf.DUMMYFUNCTION("GOOGLETRANSLATE(B4163,""en"",""zh-CN"")"),"该男子一只手倒立，将双腿踢在空中。")</f>
        <v>该男子一只手倒立，将双腿踢在空中。</v>
      </c>
    </row>
    <row r="4164">
      <c r="A4164" s="4" t="s">
        <v>5233</v>
      </c>
      <c r="B4164" s="4" t="s">
        <v>5238</v>
      </c>
      <c r="C4164" s="5" t="str">
        <f>IFERROR(__xludf.DUMMYFUNCTION("GOOGLETRANSLATE(B4164,""en"",""zh-CN"")"),"该男子从倒立中翻转。")</f>
        <v>该男子从倒立中翻转。</v>
      </c>
    </row>
    <row r="4165">
      <c r="A4165" s="4" t="s">
        <v>5233</v>
      </c>
      <c r="B4165" s="4" t="s">
        <v>4513</v>
      </c>
      <c r="C4165" s="5" t="str">
        <f>IFERROR(__xludf.DUMMYFUNCTION("GOOGLETRANSLATE(B4165,""en"",""zh-CN"")"),"我们看到了结局。")</f>
        <v>我们看到了结局。</v>
      </c>
    </row>
    <row r="4166">
      <c r="A4166" s="4" t="s">
        <v>5239</v>
      </c>
      <c r="B4166" s="4" t="s">
        <v>5240</v>
      </c>
      <c r="C4166" s="5" t="str">
        <f>IFERROR(__xludf.DUMMYFUNCTION("GOOGLETRANSLATE(B4166,""en"",""zh-CN"")"),"我们看到一个色彩丰富又有趣的标题屏幕。")</f>
        <v>我们看到一个色彩丰富又有趣的标题屏幕。</v>
      </c>
    </row>
    <row r="4167">
      <c r="A4167" s="4" t="s">
        <v>5239</v>
      </c>
      <c r="B4167" s="4" t="s">
        <v>5241</v>
      </c>
      <c r="C4167" s="5" t="str">
        <f>IFERROR(__xludf.DUMMYFUNCTION("GOOGLETRANSLATE(B4167,""en"",""zh-CN"")"),"然后，我们在一个花哨的聚会上看到房间里的人们和户外活动。")</f>
        <v>然后，我们在一个花哨的聚会上看到房间里的人们和户外活动。</v>
      </c>
    </row>
    <row r="4168">
      <c r="A4168" s="4" t="s">
        <v>5239</v>
      </c>
      <c r="B4168" s="4" t="s">
        <v>5242</v>
      </c>
      <c r="C4168" s="5" t="str">
        <f>IFERROR(__xludf.DUMMYFUNCTION("GOOGLETRANSLATE(B4168,""en"",""zh-CN"")"),"一个女人走过门。")</f>
        <v>一个女人走过门。</v>
      </c>
    </row>
    <row r="4169">
      <c r="A4169" s="4" t="s">
        <v>5239</v>
      </c>
      <c r="B4169" s="4" t="s">
        <v>5243</v>
      </c>
      <c r="C4169" s="5" t="str">
        <f>IFERROR(__xludf.DUMMYFUNCTION("GOOGLETRANSLATE(B4169,""en"",""zh-CN"")"),"衣服穿着大门。")</f>
        <v>衣服穿着大门。</v>
      </c>
    </row>
    <row r="4170">
      <c r="A4170" s="4" t="s">
        <v>5239</v>
      </c>
      <c r="B4170" s="4" t="s">
        <v>5244</v>
      </c>
      <c r="C4170" s="5" t="str">
        <f>IFERROR(__xludf.DUMMYFUNCTION("GOOGLETRANSLATE(B4170,""en"",""zh-CN"")"),"一个红色的男人走过相机。")</f>
        <v>一个红色的男人走过相机。</v>
      </c>
    </row>
    <row r="4171">
      <c r="A4171" s="4" t="s">
        <v>5239</v>
      </c>
      <c r="B4171" s="4" t="s">
        <v>5245</v>
      </c>
      <c r="C4171" s="5" t="str">
        <f>IFERROR(__xludf.DUMMYFUNCTION("GOOGLETRANSLATE(B4171,""en"",""zh-CN"")"),"白色的女士看到相机并躲藏起来。")</f>
        <v>白色的女士看到相机并躲藏起来。</v>
      </c>
    </row>
    <row r="4172">
      <c r="A4172" s="4" t="s">
        <v>5239</v>
      </c>
      <c r="B4172" s="4" t="s">
        <v>5246</v>
      </c>
      <c r="C4172" s="5" t="str">
        <f>IFERROR(__xludf.DUMMYFUNCTION("GOOGLETRANSLATE(B4172,""en"",""zh-CN"")"),"我们看到五颜六色的晶体，例如关闭屏幕。")</f>
        <v>我们看到五颜六色的晶体，例如关闭屏幕。</v>
      </c>
    </row>
    <row r="4173">
      <c r="A4173" s="4" t="s">
        <v>5247</v>
      </c>
      <c r="B4173" s="4" t="s">
        <v>5248</v>
      </c>
      <c r="C4173" s="5" t="str">
        <f>IFERROR(__xludf.DUMMYFUNCTION("GOOGLETRANSLATE(B4173,""en"",""zh-CN"")"),"人们沿着一条土路骑马。")</f>
        <v>人们沿着一条土路骑马。</v>
      </c>
    </row>
    <row r="4174">
      <c r="A4174" s="4" t="s">
        <v>5247</v>
      </c>
      <c r="B4174" s="4" t="s">
        <v>5249</v>
      </c>
      <c r="C4174" s="5" t="str">
        <f>IFERROR(__xludf.DUMMYFUNCTION("GOOGLETRANSLATE(B4174,""en"",""zh-CN"")"),"他们在马上越过一条水。")</f>
        <v>他们在马上越过一条水。</v>
      </c>
    </row>
    <row r="4175">
      <c r="A4175" s="4" t="s">
        <v>5247</v>
      </c>
      <c r="B4175" s="4" t="s">
        <v>5250</v>
      </c>
      <c r="C4175" s="5" t="str">
        <f>IFERROR(__xludf.DUMMYFUNCTION("GOOGLETRANSLATE(B4175,""en"",""zh-CN"")"),"他们继续骑马。")</f>
        <v>他们继续骑马。</v>
      </c>
    </row>
    <row r="4176">
      <c r="A4176" s="4" t="s">
        <v>5251</v>
      </c>
      <c r="B4176" s="6" t="s">
        <v>5252</v>
      </c>
      <c r="C4176" s="5" t="str">
        <f>IFERROR(__xludf.DUMMYFUNCTION("GOOGLETRANSLATE(B4176,""en"",""zh-CN"")"),"实验室中的几个人创建了一个公式，并与一位记者采访，并散布着人们在自己身上涂防晒霜的图像。")</f>
        <v>实验室中的几个人创建了一个公式，并与一位记者采访，并散布着人们在自己身上涂防晒霜的图像。</v>
      </c>
    </row>
    <row r="4177">
      <c r="A4177" s="4" t="s">
        <v>5251</v>
      </c>
      <c r="B4177" s="6" t="s">
        <v>5253</v>
      </c>
      <c r="C4177" s="5" t="str">
        <f>IFERROR(__xludf.DUMMYFUNCTION("GOOGLETRANSLATE(B4177,""en"",""zh-CN"")"),"在户外时，在坦率的镜头上显示了许多人的坦率拍摄。")</f>
        <v>在户外时，在坦率的镜头上显示了许多人的坦率拍摄。</v>
      </c>
    </row>
    <row r="4178">
      <c r="A4178" s="4" t="s">
        <v>5251</v>
      </c>
      <c r="B4178" s="4" t="s">
        <v>5254</v>
      </c>
      <c r="C4178" s="5" t="str">
        <f>IFERROR(__xludf.DUMMYFUNCTION("GOOGLETRANSLATE(B4178,""en"",""zh-CN"")"),"实验室中的一个女人准备了与相机交谈的各种成分的配方。")</f>
        <v>实验室中的一个女人准备了与相机交谈的各种成分的配方。</v>
      </c>
    </row>
    <row r="4179">
      <c r="A4179" s="4" t="s">
        <v>5251</v>
      </c>
      <c r="B4179" s="6" t="s">
        <v>5255</v>
      </c>
      <c r="C4179" s="5" t="str">
        <f>IFERROR(__xludf.DUMMYFUNCTION("GOOGLETRANSLATE(B4179,""en"",""zh-CN"")"),"在实验室访谈中显示了更多的科学家，并与他们在实验室中准备公式的镜头相结合，并在室外市场中的一个人进行了一张镜头，处理要出售的食材。")</f>
        <v>在实验室访谈中显示了更多的科学家，并与他们在实验室中准备公式的镜头相结合，并在室外市场中的一个人进行了一张镜头，处理要出售的食材。</v>
      </c>
    </row>
    <row r="4180">
      <c r="A4180" s="4" t="s">
        <v>5256</v>
      </c>
      <c r="B4180" s="4" t="s">
        <v>5257</v>
      </c>
      <c r="C4180" s="5" t="str">
        <f>IFERROR(__xludf.DUMMYFUNCTION("GOOGLETRANSLATE(B4180,""en"",""zh-CN"")"),"年轻人在玩口琴。")</f>
        <v>年轻人在玩口琴。</v>
      </c>
    </row>
    <row r="4181">
      <c r="A4181" s="4" t="s">
        <v>5256</v>
      </c>
      <c r="B4181" s="4" t="s">
        <v>5258</v>
      </c>
      <c r="C4181" s="5" t="str">
        <f>IFERROR(__xludf.DUMMYFUNCTION("GOOGLETRANSLATE(B4181,""en"",""zh-CN"")"),"年轻人介绍了他的视频课，并制定了课程计划。")</f>
        <v>年轻人介绍了他的视频课，并制定了课程计划。</v>
      </c>
    </row>
    <row r="4182">
      <c r="A4182" s="4" t="s">
        <v>5256</v>
      </c>
      <c r="B4182" s="4" t="s">
        <v>5259</v>
      </c>
      <c r="C4182" s="5" t="str">
        <f>IFERROR(__xludf.DUMMYFUNCTION("GOOGLETRANSLATE(B4182,""en"",""zh-CN"")"),"口琴演奏时，音符显示在屏幕上。")</f>
        <v>口琴演奏时，音符显示在屏幕上。</v>
      </c>
    </row>
    <row r="4183">
      <c r="A4183" s="4" t="s">
        <v>5260</v>
      </c>
      <c r="B4183" s="6" t="s">
        <v>5261</v>
      </c>
      <c r="C4183" s="5" t="str">
        <f>IFERROR(__xludf.DUMMYFUNCTION("GOOGLETRANSLATE(B4183,""en"",""zh-CN"")"),"看到一名运动女子在上面进行横梁，并在上面进行体操例行。")</f>
        <v>看到一名运动女子在上面进行横梁，并在上面进行体操例行。</v>
      </c>
    </row>
    <row r="4184">
      <c r="A4184" s="4" t="s">
        <v>5260</v>
      </c>
      <c r="B4184" s="6" t="s">
        <v>5262</v>
      </c>
      <c r="C4184" s="5" t="str">
        <f>IFERROR(__xludf.DUMMYFUNCTION("GOOGLETRANSLATE(B4184,""en"",""zh-CN"")"),"该名女子继续在横梁上移动，并以她的手臂向下跳下来，与教练说话，因为她的结局再次以慢动作显示。")</f>
        <v>该名女子继续在横梁上移动，并以她的手臂向下跳下来，与教练说话，因为她的结局再次以慢动作显示。</v>
      </c>
    </row>
    <row r="4185">
      <c r="A4185" s="4" t="s">
        <v>5263</v>
      </c>
      <c r="B4185" s="6" t="s">
        <v>5264</v>
      </c>
      <c r="C4185" s="5" t="str">
        <f>IFERROR(__xludf.DUMMYFUNCTION("GOOGLETRANSLATE(B4185,""en"",""zh-CN"")"),"看到一个男人与摄像机说话，导致他与另一个男人一起展示武术的剪辑。")</f>
        <v>看到一个男人与摄像机说话，导致他与另一个男人一起展示武术的剪辑。</v>
      </c>
    </row>
    <row r="4186">
      <c r="A4186" s="4" t="s">
        <v>5263</v>
      </c>
      <c r="B4186" s="4" t="s">
        <v>5265</v>
      </c>
      <c r="C4186" s="5" t="str">
        <f>IFERROR(__xludf.DUMMYFUNCTION("GOOGLETRANSLATE(B4186,""en"",""zh-CN"")"),"这些人在停下来与镜头说话时继续互相展示。")</f>
        <v>这些人在停下来与镜头说话时继续互相展示。</v>
      </c>
    </row>
    <row r="4187">
      <c r="A4187" s="4" t="s">
        <v>5266</v>
      </c>
      <c r="B4187" s="4" t="s">
        <v>5267</v>
      </c>
      <c r="C4187" s="5" t="str">
        <f>IFERROR(__xludf.DUMMYFUNCTION("GOOGLETRANSLATE(B4187,""en"",""zh-CN"")"),"介绍出现在屏幕上，以获取有关啤酒饮用的有趣视频。")</f>
        <v>介绍出现在屏幕上，以获取有关啤酒饮用的有趣视频。</v>
      </c>
    </row>
    <row r="4188">
      <c r="A4188" s="4" t="s">
        <v>5266</v>
      </c>
      <c r="B4188" s="4" t="s">
        <v>5268</v>
      </c>
      <c r="C4188" s="5" t="str">
        <f>IFERROR(__xludf.DUMMYFUNCTION("GOOGLETRANSLATE(B4188,""en"",""zh-CN"")"),"房间里的一些人准备用啤酒罐来制作技巧。")</f>
        <v>房间里的一些人准备用啤酒罐来制作技巧。</v>
      </c>
    </row>
    <row r="4189">
      <c r="A4189" s="4" t="s">
        <v>5266</v>
      </c>
      <c r="B4189" s="4" t="s">
        <v>5269</v>
      </c>
      <c r="C4189" s="5" t="str">
        <f>IFERROR(__xludf.DUMMYFUNCTION("GOOGLETRANSLATE(B4189,""en"",""zh-CN"")"),"他们执行技巧，一个人开始挑战啤酒。")</f>
        <v>他们执行技巧，一个人开始挑战啤酒。</v>
      </c>
    </row>
    <row r="4190">
      <c r="A4190" s="4" t="s">
        <v>5266</v>
      </c>
      <c r="B4190" s="4" t="s">
        <v>5270</v>
      </c>
      <c r="C4190" s="5" t="str">
        <f>IFERROR(__xludf.DUMMYFUNCTION("GOOGLETRANSLATE(B4190,""en"",""zh-CN"")"),"此后不久，那个家伙开始将所有啤酒扔进垃圾桶时，每个人都笑了。")</f>
        <v>此后不久，那个家伙开始将所有啤酒扔进垃圾桶时，每个人都笑了。</v>
      </c>
    </row>
    <row r="4191">
      <c r="A4191" s="4" t="s">
        <v>5271</v>
      </c>
      <c r="B4191" s="6" t="s">
        <v>5272</v>
      </c>
      <c r="C4191" s="5" t="str">
        <f>IFERROR(__xludf.DUMMYFUNCTION("GOOGLETRANSLATE(B4191,""en"",""zh-CN"")"),"看到一个男人在滑板上骑行，然后一个男人通过软管喝啤酒，一个坐在汽车上的男人从相机的人身上翻转。")</f>
        <v>看到一个男人在滑板上骑行，然后一个男人通过软管喝啤酒，一个坐在汽车上的男人从相机的人身上翻转。</v>
      </c>
    </row>
    <row r="4192">
      <c r="A4192" s="4" t="s">
        <v>5271</v>
      </c>
      <c r="B4192" s="6" t="s">
        <v>5273</v>
      </c>
      <c r="C4192" s="5" t="str">
        <f>IFERROR(__xludf.DUMMYFUNCTION("GOOGLETRANSLATE(B4192,""en"",""zh-CN"")"),"更多随机的镜头是展示景观，狗，人们站着并沿着水移动的镜头。")</f>
        <v>更多随机的镜头是展示景观，狗，人们站着并沿着水移动的镜头。</v>
      </c>
    </row>
    <row r="4193">
      <c r="A4193" s="4" t="s">
        <v>5271</v>
      </c>
      <c r="B4193" s="6" t="s">
        <v>5274</v>
      </c>
      <c r="C4193" s="5" t="str">
        <f>IFERROR(__xludf.DUMMYFUNCTION("GOOGLETRANSLATE(B4193,""en"",""zh-CN"")"),"该视频导致人们骑着水风筝冲浪，并导致一个在抽烟时与外面其他人说话的人。")</f>
        <v>该视频导致人们骑着水风筝冲浪，并导致一个在抽烟时与外面其他人说话的人。</v>
      </c>
    </row>
    <row r="4194">
      <c r="A4194" s="4" t="s">
        <v>5275</v>
      </c>
      <c r="B4194" s="4" t="s">
        <v>5276</v>
      </c>
      <c r="C4194" s="5" t="str">
        <f>IFERROR(__xludf.DUMMYFUNCTION("GOOGLETRANSLATE(B4194,""en"",""zh-CN"")"),"一群孩子在游乐园的保险杠汽车上玩耍。")</f>
        <v>一群孩子在游乐园的保险杠汽车上玩耍。</v>
      </c>
    </row>
    <row r="4195">
      <c r="A4195" s="4" t="s">
        <v>5275</v>
      </c>
      <c r="B4195" s="4" t="s">
        <v>5277</v>
      </c>
      <c r="C4195" s="5" t="str">
        <f>IFERROR(__xludf.DUMMYFUNCTION("GOOGLETRANSLATE(B4195,""en"",""zh-CN"")"),"一遍又一遍地互相崩溃，似乎对该怎么做有些困惑。")</f>
        <v>一遍又一遍地互相崩溃，似乎对该怎么做有些困惑。</v>
      </c>
    </row>
    <row r="4196">
      <c r="A4196" s="4" t="s">
        <v>5275</v>
      </c>
      <c r="B4196" s="4" t="s">
        <v>5278</v>
      </c>
      <c r="C4196" s="5" t="str">
        <f>IFERROR(__xludf.DUMMYFUNCTION("GOOGLETRANSLATE(B4196,""en"",""zh-CN"")"),"当他们继续绕着赛道时，他们的脸上露出笑容。")</f>
        <v>当他们继续绕着赛道时，他们的脸上露出笑容。</v>
      </c>
    </row>
    <row r="4197">
      <c r="A4197" s="4" t="s">
        <v>5279</v>
      </c>
      <c r="B4197" s="4" t="s">
        <v>5280</v>
      </c>
      <c r="C4197" s="5" t="str">
        <f>IFERROR(__xludf.DUMMYFUNCTION("GOOGLETRANSLATE(B4197,""en"",""zh-CN"")"),"白色围栏面膜和黑色围栏面膜的特写。")</f>
        <v>白色围栏面膜和黑色围栏面膜的特写。</v>
      </c>
    </row>
    <row r="4198">
      <c r="A4198" s="4" t="s">
        <v>5279</v>
      </c>
      <c r="B4198" s="4" t="s">
        <v>5281</v>
      </c>
      <c r="C4198" s="5" t="str">
        <f>IFERROR(__xludf.DUMMYFUNCTION("GOOGLETRANSLATE(B4198,""en"",""zh-CN"")"),"击剑教练为两个击剑竞争对手提供指导。")</f>
        <v>击剑教练为两个击剑竞争对手提供指导。</v>
      </c>
    </row>
    <row r="4199">
      <c r="A4199" s="4" t="s">
        <v>5279</v>
      </c>
      <c r="B4199" s="4" t="s">
        <v>5282</v>
      </c>
      <c r="C4199" s="5" t="str">
        <f>IFERROR(__xludf.DUMMYFUNCTION("GOOGLETRANSLATE(B4199,""en"",""zh-CN"")"),"两名竞争对手击剑策略。")</f>
        <v>两名竞争对手击剑策略。</v>
      </c>
    </row>
    <row r="4200">
      <c r="A4200" s="4" t="s">
        <v>5279</v>
      </c>
      <c r="B4200" s="4" t="s">
        <v>5283</v>
      </c>
      <c r="C4200" s="5" t="str">
        <f>IFERROR(__xludf.DUMMYFUNCTION("GOOGLETRANSLATE(B4200,""en"",""zh-CN"")"),"当一个女孩和男孩在边线上争论时，更多的击剑场面。")</f>
        <v>当一个女孩和男孩在边线上争论时，更多的击剑场面。</v>
      </c>
    </row>
    <row r="4201">
      <c r="A4201" s="4" t="s">
        <v>5279</v>
      </c>
      <c r="B4201" s="4" t="s">
        <v>5284</v>
      </c>
      <c r="C4201" s="5" t="str">
        <f>IFERROR(__xludf.DUMMYFUNCTION("GOOGLETRANSLATE(B4201,""en"",""zh-CN"")"),"与围栏沙发观看和批评的更多竞争。")</f>
        <v>与围栏沙发观看和批评的更多竞争。</v>
      </c>
    </row>
    <row r="4202">
      <c r="A4202" s="4" t="s">
        <v>5285</v>
      </c>
      <c r="B4202" s="4" t="s">
        <v>5286</v>
      </c>
      <c r="C4202" s="5" t="str">
        <f>IFERROR(__xludf.DUMMYFUNCTION("GOOGLETRANSLATE(B4202,""en"",""zh-CN"")"),"一群舞者正在舞台上为观众做例行。")</f>
        <v>一群舞者正在舞台上为观众做例行。</v>
      </c>
    </row>
    <row r="4203">
      <c r="A4203" s="4" t="s">
        <v>5285</v>
      </c>
      <c r="B4203" s="4" t="s">
        <v>5287</v>
      </c>
      <c r="C4203" s="5" t="str">
        <f>IFERROR(__xludf.DUMMYFUNCTION("GOOGLETRANSLATE(B4203,""en"",""zh-CN"")"),"车展展示了一些漂亮整洁的汽车内部，外观漂亮。")</f>
        <v>车展展示了一些漂亮整洁的汽车内部，外观漂亮。</v>
      </c>
    </row>
    <row r="4204">
      <c r="A4204" s="4" t="s">
        <v>5285</v>
      </c>
      <c r="B4204" s="4" t="s">
        <v>5288</v>
      </c>
      <c r="C4204" s="5" t="str">
        <f>IFERROR(__xludf.DUMMYFUNCTION("GOOGLETRANSLATE(B4204,""en"",""zh-CN"")"),"另一组舞者轮流跳舞。")</f>
        <v>另一组舞者轮流跳舞。</v>
      </c>
    </row>
    <row r="4205">
      <c r="A4205" s="4" t="s">
        <v>5285</v>
      </c>
      <c r="B4205" s="4" t="s">
        <v>5289</v>
      </c>
      <c r="C4205" s="5" t="str">
        <f>IFERROR(__xludf.DUMMYFUNCTION("GOOGLETRANSLATE(B4205,""en"",""zh-CN"")"),"他们一一走，被围绕他们周围的观众盘旋。")</f>
        <v>他们一一走，被围绕他们周围的观众盘旋。</v>
      </c>
    </row>
    <row r="4206">
      <c r="A4206" s="4" t="s">
        <v>5290</v>
      </c>
      <c r="B4206" s="6" t="s">
        <v>5291</v>
      </c>
      <c r="C4206" s="5" t="str">
        <f>IFERROR(__xludf.DUMMYFUNCTION("GOOGLETRANSLATE(B4206,""en"",""zh-CN"")"),"看到一个男人主持了一个新闻节，这会导致几次镜头慢慢地沿着冰上冰球。")</f>
        <v>看到一个男人主持了一个新闻节，这会导致几次镜头慢慢地沿着冰上冰球。</v>
      </c>
    </row>
    <row r="4207">
      <c r="A4207" s="4" t="s">
        <v>5290</v>
      </c>
      <c r="B4207" s="6" t="s">
        <v>5292</v>
      </c>
      <c r="C4207" s="5" t="str">
        <f>IFERROR(__xludf.DUMMYFUNCTION("GOOGLETRANSLATE(B4207,""en"",""zh-CN"")"),"有更多的镜头显示了玩游戏的人，并在屏幕上以3D动画结束。")</f>
        <v>有更多的镜头显示了玩游戏的人，并在屏幕上以3D动画结束。</v>
      </c>
    </row>
    <row r="4208">
      <c r="A4208" s="4" t="s">
        <v>5293</v>
      </c>
      <c r="B4208" s="4" t="s">
        <v>5294</v>
      </c>
      <c r="C4208" s="5" t="str">
        <f>IFERROR(__xludf.DUMMYFUNCTION("GOOGLETRANSLATE(B4208,""en"",""zh-CN"")"),"看到一个有短发的女人与相机说话，然后向外翻转一双油漆。")</f>
        <v>看到一个有短发的女人与相机说话，然后向外翻转一双油漆。</v>
      </c>
    </row>
    <row r="4209">
      <c r="A4209" s="4" t="s">
        <v>5293</v>
      </c>
      <c r="B4209" s="4" t="s">
        <v>5295</v>
      </c>
      <c r="C4209" s="5" t="str">
        <f>IFERROR(__xludf.DUMMYFUNCTION("GOOGLETRANSLATE(B4209,""en"",""zh-CN"")"),"她将裤子整齐地折叠在熨烫板上，并开始彻底熨烫油漆。")</f>
        <v>她将裤子整齐地折叠在熨烫板上，并开始彻底熨烫油漆。</v>
      </c>
    </row>
    <row r="4210">
      <c r="A4210" s="4" t="s">
        <v>5296</v>
      </c>
      <c r="B4210" s="4" t="s">
        <v>5297</v>
      </c>
      <c r="C4210" s="5" t="str">
        <f>IFERROR(__xludf.DUMMYFUNCTION("GOOGLETRANSLATE(B4210,""en"",""zh-CN"")"),"相机专注于一个坐在别人旁边的微笑男子。")</f>
        <v>相机专注于一个坐在别人旁边的微笑男子。</v>
      </c>
    </row>
    <row r="4211">
      <c r="A4211" s="4" t="s">
        <v>5296</v>
      </c>
      <c r="B4211" s="4" t="s">
        <v>5298</v>
      </c>
      <c r="C4211" s="5" t="str">
        <f>IFERROR(__xludf.DUMMYFUNCTION("GOOGLETRANSLATE(B4211,""en"",""zh-CN"")"),"另一个人穿过框架前景，短暂地掩盖了第一个男人。")</f>
        <v>另一个人穿过框架前景，短暂地掩盖了第一个男人。</v>
      </c>
    </row>
    <row r="4212">
      <c r="A4212" s="4" t="s">
        <v>5299</v>
      </c>
      <c r="B4212" s="4" t="s">
        <v>5300</v>
      </c>
      <c r="C4212" s="5" t="str">
        <f>IFERROR(__xludf.DUMMYFUNCTION("GOOGLETRANSLATE(B4212,""en"",""zh-CN"")"),"我们在游泳池里看到一个戴着帽子的人。")</f>
        <v>我们在游泳池里看到一个戴着帽子的人。</v>
      </c>
    </row>
    <row r="4213">
      <c r="A4213" s="4" t="s">
        <v>5299</v>
      </c>
      <c r="B4213" s="4" t="s">
        <v>5301</v>
      </c>
      <c r="C4213" s="5" t="str">
        <f>IFERROR(__xludf.DUMMYFUNCTION("GOOGLETRANSLATE(B4213,""en"",""zh-CN"")"),"我们看到一个男人用球打进目标。")</f>
        <v>我们看到一个男人用球打进目标。</v>
      </c>
    </row>
    <row r="4214">
      <c r="A4214" s="4" t="s">
        <v>5299</v>
      </c>
      <c r="B4214" s="4" t="s">
        <v>5302</v>
      </c>
      <c r="C4214" s="5" t="str">
        <f>IFERROR(__xludf.DUMMYFUNCTION("GOOGLETRANSLATE(B4214,""en"",""zh-CN"")"),"我们看到另一个进球得分。")</f>
        <v>我们看到另一个进球得分。</v>
      </c>
    </row>
    <row r="4215">
      <c r="A4215" s="4" t="s">
        <v>5299</v>
      </c>
      <c r="B4215" s="4" t="s">
        <v>5303</v>
      </c>
      <c r="C4215" s="5" t="str">
        <f>IFERROR(__xludf.DUMMYFUNCTION("GOOGLETRANSLATE(B4215,""en"",""zh-CN"")"),"我们看到另一个目标是得分。")</f>
        <v>我们看到另一个目标是得分。</v>
      </c>
    </row>
    <row r="4216">
      <c r="A4216" s="4" t="s">
        <v>5299</v>
      </c>
      <c r="B4216" s="4" t="s">
        <v>5304</v>
      </c>
      <c r="C4216" s="5" t="str">
        <f>IFERROR(__xludf.DUMMYFUNCTION("GOOGLETRANSLATE(B4216,""en"",""zh-CN"")"),"我们看到该男子得分一个进球并游动。")</f>
        <v>我们看到该男子得分一个进球并游动。</v>
      </c>
    </row>
    <row r="4217">
      <c r="A4217" s="4" t="s">
        <v>5299</v>
      </c>
      <c r="B4217" s="4" t="s">
        <v>5305</v>
      </c>
      <c r="C4217" s="5" t="str">
        <f>IFERROR(__xludf.DUMMYFUNCTION("GOOGLETRANSLATE(B4217,""en"",""zh-CN"")"),"我们看到该人在户外游泳并实现3个进球。")</f>
        <v>我们看到该人在户外游泳并实现3个进球。</v>
      </c>
    </row>
    <row r="4218">
      <c r="A4218" s="4" t="s">
        <v>5299</v>
      </c>
      <c r="B4218" s="4" t="s">
        <v>5306</v>
      </c>
      <c r="C4218" s="5" t="str">
        <f>IFERROR(__xludf.DUMMYFUNCTION("GOOGLETRANSLATE(B4218,""en"",""zh-CN"")"),"我们看到另一个得分，男人在水中玩耍。")</f>
        <v>我们看到另一个得分，男人在水中玩耍。</v>
      </c>
    </row>
    <row r="4219">
      <c r="A4219" s="4" t="s">
        <v>5307</v>
      </c>
      <c r="B4219" s="6" t="s">
        <v>5308</v>
      </c>
      <c r="C4219" s="5" t="str">
        <f>IFERROR(__xludf.DUMMYFUNCTION("GOOGLETRANSLATE(B4219,""en"",""zh-CN"")"),"一群男孩牵着手伸出健身房，将手放在空中。")</f>
        <v>一群男孩牵着手伸出健身房，将手放在空中。</v>
      </c>
    </row>
    <row r="4220">
      <c r="A4220" s="4" t="s">
        <v>5307</v>
      </c>
      <c r="B4220" s="6" t="s">
        <v>5309</v>
      </c>
      <c r="C4220" s="5" t="str">
        <f>IFERROR(__xludf.DUMMYFUNCTION("GOOGLETRANSLATE(B4220,""en"",""zh-CN"")"),"一个女人在喝水并过渡到他们玩游戏并进球时与男孩说话。")</f>
        <v>一个女人在喝水并过渡到他们玩游戏并进球时与男孩说话。</v>
      </c>
    </row>
    <row r="4221">
      <c r="A4221" s="4" t="s">
        <v>5307</v>
      </c>
      <c r="B4221" s="6" t="s">
        <v>5310</v>
      </c>
      <c r="C4221" s="5" t="str">
        <f>IFERROR(__xludf.DUMMYFUNCTION("GOOGLETRANSLATE(B4221,""en"",""zh-CN"")"),"再次以慢动作显示了相同的镜头，并显示了更多男孩的射门。")</f>
        <v>再次以慢动作显示了相同的镜头，并显示了更多男孩的射门。</v>
      </c>
    </row>
    <row r="4222">
      <c r="A4222" s="4" t="s">
        <v>5311</v>
      </c>
      <c r="B4222" s="4" t="s">
        <v>5312</v>
      </c>
      <c r="C4222" s="5" t="str">
        <f>IFERROR(__xludf.DUMMYFUNCTION("GOOGLETRANSLATE(B4222,""en"",""zh-CN"")"),"我们看到两个小女孩在沙滩上玩耍。")</f>
        <v>我们看到两个小女孩在沙滩上玩耍。</v>
      </c>
    </row>
    <row r="4223">
      <c r="A4223" s="4" t="s">
        <v>5311</v>
      </c>
      <c r="B4223" s="4" t="s">
        <v>5313</v>
      </c>
      <c r="C4223" s="5" t="str">
        <f>IFERROR(__xludf.DUMMYFUNCTION("GOOGLETRANSLATE(B4223,""en"",""zh-CN"")"),"我们向离开，看到海洋。")</f>
        <v>我们向离开，看到海洋。</v>
      </c>
    </row>
    <row r="4224">
      <c r="A4224" s="4" t="s">
        <v>5311</v>
      </c>
      <c r="B4224" s="4" t="s">
        <v>5314</v>
      </c>
      <c r="C4224" s="5" t="str">
        <f>IFERROR(__xludf.DUMMYFUNCTION("GOOGLETRANSLATE(B4224,""en"",""zh-CN"")"),"我们回到女孩。")</f>
        <v>我们回到女孩。</v>
      </c>
    </row>
    <row r="4225">
      <c r="A4225" s="4" t="s">
        <v>5311</v>
      </c>
      <c r="B4225" s="4" t="s">
        <v>5315</v>
      </c>
      <c r="C4225" s="5" t="str">
        <f>IFERROR(__xludf.DUMMYFUNCTION("GOOGLETRANSLATE(B4225,""en"",""zh-CN"")"),"风吹，他把女孩兜帽留在了她的头上。")</f>
        <v>风吹，他把女孩兜帽留在了她的头上。</v>
      </c>
    </row>
    <row r="4226">
      <c r="A4226" s="4" t="s">
        <v>5311</v>
      </c>
      <c r="B4226" s="4" t="s">
        <v>5316</v>
      </c>
      <c r="C4226" s="5" t="str">
        <f>IFERROR(__xludf.DUMMYFUNCTION("GOOGLETRANSLATE(B4226,""en"",""zh-CN"")"),"我们向离开去看看海洋。")</f>
        <v>我们向离开去看看海洋。</v>
      </c>
    </row>
    <row r="4227">
      <c r="A4227" s="4" t="s">
        <v>5311</v>
      </c>
      <c r="B4227" s="4" t="s">
        <v>5317</v>
      </c>
      <c r="C4227" s="5" t="str">
        <f>IFERROR(__xludf.DUMMYFUNCTION("GOOGLETRANSLATE(B4227,""en"",""zh-CN"")"),"当她与镜头交谈时，左女孩将头发从脸上移出。")</f>
        <v>当她与镜头交谈时，左女孩将头发从脸上移出。</v>
      </c>
    </row>
    <row r="4228">
      <c r="A4228" s="4" t="s">
        <v>5318</v>
      </c>
      <c r="B4228" s="4" t="s">
        <v>5319</v>
      </c>
      <c r="C4228" s="5" t="str">
        <f>IFERROR(__xludf.DUMMYFUNCTION("GOOGLETRANSLATE(B4228,""en"",""zh-CN"")"),"一个人拿着抹布的时候站在柜台旁边。")</f>
        <v>一个人拿着抹布的时候站在柜台旁边。</v>
      </c>
    </row>
    <row r="4229">
      <c r="A4229" s="4" t="s">
        <v>5318</v>
      </c>
      <c r="B4229" s="4" t="s">
        <v>5320</v>
      </c>
      <c r="C4229" s="5" t="str">
        <f>IFERROR(__xludf.DUMMYFUNCTION("GOOGLETRANSLATE(B4229,""en"",""zh-CN"")"),"他拿起一个抛光剂的容器，并谈论柜台的表面。")</f>
        <v>他拿起一个抛光剂的容器，并谈论柜台的表面。</v>
      </c>
    </row>
    <row r="4230">
      <c r="A4230" s="4" t="s">
        <v>5318</v>
      </c>
      <c r="B4230" s="4" t="s">
        <v>5321</v>
      </c>
      <c r="C4230" s="5" t="str">
        <f>IFERROR(__xludf.DUMMYFUNCTION("GOOGLETRANSLATE(B4230,""en"",""zh-CN"")"),"他用抛光剂和两个抹布将其摩擦，然后将其撒粉。")</f>
        <v>他用抛光剂和两个抹布将其摩擦，然后将其撒粉。</v>
      </c>
    </row>
    <row r="4231">
      <c r="A4231" s="4" t="s">
        <v>5322</v>
      </c>
      <c r="B4231" s="4" t="s">
        <v>5323</v>
      </c>
      <c r="C4231" s="5" t="str">
        <f>IFERROR(__xludf.DUMMYFUNCTION("GOOGLETRANSLATE(B4231,""en"",""zh-CN"")"),"一场足球比赛正在田野上进行，显示球员摔倒了。")</f>
        <v>一场足球比赛正在田野上进行，显示球员摔倒了。</v>
      </c>
    </row>
    <row r="4232">
      <c r="A4232" s="4" t="s">
        <v>5322</v>
      </c>
      <c r="B4232" s="4" t="s">
        <v>5324</v>
      </c>
      <c r="C4232" s="5" t="str">
        <f>IFERROR(__xludf.DUMMYFUNCTION("GOOGLETRANSLATE(B4232,""en"",""zh-CN"")"),"该男子能够起床，视频再次显示了慢动作的跌倒。")</f>
        <v>该男子能够起床，视频再次显示了慢动作的跌倒。</v>
      </c>
    </row>
    <row r="4233">
      <c r="A4233" s="4" t="s">
        <v>5322</v>
      </c>
      <c r="B4233" s="4" t="s">
        <v>5325</v>
      </c>
      <c r="C4233" s="5" t="str">
        <f>IFERROR(__xludf.DUMMYFUNCTION("GOOGLETRANSLATE(B4233,""en"",""zh-CN"")"),"球员继续比赛，其中一个甚至进球。")</f>
        <v>球员继续比赛，其中一个甚至进球。</v>
      </c>
    </row>
    <row r="4234">
      <c r="A4234" s="4" t="s">
        <v>5322</v>
      </c>
      <c r="B4234" s="4" t="s">
        <v>5326</v>
      </c>
      <c r="C4234" s="5" t="str">
        <f>IFERROR(__xludf.DUMMYFUNCTION("GOOGLETRANSLATE(B4234,""en"",""zh-CN"")"),"该目标以低运动的方式一遍又一遍地显示，以显示比赛的重要性。")</f>
        <v>该目标以低运动的方式一遍又一遍地显示，以显示比赛的重要性。</v>
      </c>
    </row>
    <row r="4235">
      <c r="A4235" s="4" t="s">
        <v>5327</v>
      </c>
      <c r="B4235" s="4" t="s">
        <v>5328</v>
      </c>
      <c r="C4235" s="5" t="str">
        <f>IFERROR(__xludf.DUMMYFUNCTION("GOOGLETRANSLATE(B4235,""en"",""zh-CN"")"),"成分显示在Sliver盘子上。")</f>
        <v>成分显示在Sliver盘子上。</v>
      </c>
    </row>
    <row r="4236">
      <c r="A4236" s="4" t="s">
        <v>5327</v>
      </c>
      <c r="B4236" s="4" t="s">
        <v>5329</v>
      </c>
      <c r="C4236" s="5" t="str">
        <f>IFERROR(__xludf.DUMMYFUNCTION("GOOGLETRANSLATE(B4236,""en"",""zh-CN"")"),"一个男人开始在黑色砧板上切碎食物。")</f>
        <v>一个男人开始在黑色砧板上切碎食物。</v>
      </c>
    </row>
    <row r="4237">
      <c r="A4237" s="4" t="s">
        <v>5327</v>
      </c>
      <c r="B4237" s="4" t="s">
        <v>5330</v>
      </c>
      <c r="C4237" s="5" t="str">
        <f>IFERROR(__xludf.DUMMYFUNCTION("GOOGLETRANSLATE(B4237,""en"",""zh-CN"")"),"他在炉子上的一个大锅中添加了面食。")</f>
        <v>他在炉子上的一个大锅中添加了面食。</v>
      </c>
    </row>
    <row r="4238">
      <c r="A4238" s="4" t="s">
        <v>5327</v>
      </c>
      <c r="B4238" s="4" t="s">
        <v>5331</v>
      </c>
      <c r="C4238" s="5" t="str">
        <f>IFERROR(__xludf.DUMMYFUNCTION("GOOGLETRANSLATE(B4238,""en"",""zh-CN"")"),"他开始在炉子上的锅中烹饪。")</f>
        <v>他开始在炉子上的锅中烹饪。</v>
      </c>
    </row>
    <row r="4239">
      <c r="A4239" s="4" t="s">
        <v>5327</v>
      </c>
      <c r="B4239" s="4" t="s">
        <v>5332</v>
      </c>
      <c r="C4239" s="5" t="str">
        <f>IFERROR(__xludf.DUMMYFUNCTION("GOOGLETRANSLATE(B4239,""en"",""zh-CN"")"),"他用盖子盖住了锅。")</f>
        <v>他用盖子盖住了锅。</v>
      </c>
    </row>
    <row r="4240">
      <c r="A4240" s="4" t="s">
        <v>5327</v>
      </c>
      <c r="B4240" s="4" t="s">
        <v>5333</v>
      </c>
      <c r="C4240" s="5" t="str">
        <f>IFERROR(__xludf.DUMMYFUNCTION("GOOGLETRANSLATE(B4240,""en"",""zh-CN"")"),"他把意大利面放在碗里。")</f>
        <v>他把意大利面放在碗里。</v>
      </c>
    </row>
    <row r="4241">
      <c r="A4241" s="4" t="s">
        <v>5327</v>
      </c>
      <c r="B4241" s="4" t="s">
        <v>5334</v>
      </c>
      <c r="C4241" s="5" t="str">
        <f>IFERROR(__xludf.DUMMYFUNCTION("GOOGLETRANSLATE(B4241,""en"",""zh-CN"")"),"他将酱汁倒在面食的顶部。")</f>
        <v>他将酱汁倒在面食的顶部。</v>
      </c>
    </row>
    <row r="4242">
      <c r="A4242" s="4" t="s">
        <v>5335</v>
      </c>
      <c r="B4242" s="4" t="s">
        <v>5336</v>
      </c>
      <c r="C4242" s="5" t="str">
        <f>IFERROR(__xludf.DUMMYFUNCTION("GOOGLETRANSLATE(B4242,""en"",""zh-CN"")"),"一个婴儿坐在桌子旁吃冰棍。")</f>
        <v>一个婴儿坐在桌子旁吃冰棍。</v>
      </c>
    </row>
    <row r="4243">
      <c r="A4243" s="4" t="s">
        <v>5335</v>
      </c>
      <c r="B4243" s="4" t="s">
        <v>5337</v>
      </c>
      <c r="C4243" s="5" t="str">
        <f>IFERROR(__xludf.DUMMYFUNCTION("GOOGLETRANSLATE(B4243,""en"",""zh-CN"")"),"他从冰棒中咬了一口。")</f>
        <v>他从冰棒中咬了一口。</v>
      </c>
    </row>
    <row r="4244">
      <c r="A4244" s="4" t="s">
        <v>5335</v>
      </c>
      <c r="B4244" s="4" t="s">
        <v>5338</v>
      </c>
      <c r="C4244" s="5" t="str">
        <f>IFERROR(__xludf.DUMMYFUNCTION("GOOGLETRANSLATE(B4244,""en"",""zh-CN"")"),"他从围嘴中取出一些东西，将其放在嘴里。")</f>
        <v>他从围嘴中取出一些东西，将其放在嘴里。</v>
      </c>
    </row>
    <row r="4245">
      <c r="A4245" s="4" t="s">
        <v>5339</v>
      </c>
      <c r="B4245" s="4" t="s">
        <v>5340</v>
      </c>
      <c r="C4245" s="5" t="str">
        <f>IFERROR(__xludf.DUMMYFUNCTION("GOOGLETRANSLATE(B4245,""en"",""zh-CN"")"),"一个年轻女子坐在椅子上和猫一起玩。")</f>
        <v>一个年轻女子坐在椅子上和猫一起玩。</v>
      </c>
    </row>
    <row r="4246">
      <c r="A4246" s="4" t="s">
        <v>5339</v>
      </c>
      <c r="B4246" s="4" t="s">
        <v>5341</v>
      </c>
      <c r="C4246" s="5" t="str">
        <f>IFERROR(__xludf.DUMMYFUNCTION("GOOGLETRANSLATE(B4246,""en"",""zh-CN"")"),"然后，她拿起衣服钉，抓住头发的脖子，将猫指甲夹住。")</f>
        <v>然后，她拿起衣服钉，抓住头发的脖子，将猫指甲夹住。</v>
      </c>
    </row>
    <row r="4247">
      <c r="A4247" s="4" t="s">
        <v>5339</v>
      </c>
      <c r="B4247" s="6" t="s">
        <v>5342</v>
      </c>
      <c r="C4247" s="5" t="str">
        <f>IFERROR(__xludf.DUMMYFUNCTION("GOOGLETRANSLATE(B4247,""en"",""zh-CN"")"),"一段时间后，猫试图咬住她的手，一旦女孩完成，她就将销钉和波浪挥舞着。")</f>
        <v>一段时间后，猫试图咬住她的手，一旦女孩完成，她就将销钉和波浪挥舞着。</v>
      </c>
    </row>
    <row r="4248">
      <c r="A4248" s="4" t="s">
        <v>5343</v>
      </c>
      <c r="B4248" s="4" t="s">
        <v>5344</v>
      </c>
      <c r="C4248" s="5" t="str">
        <f>IFERROR(__xludf.DUMMYFUNCTION("GOOGLETRANSLATE(B4248,""en"",""zh-CN"")"),"一群孩子在法庭上的橙色锥之间奔跑。")</f>
        <v>一群孩子在法庭上的橙色锥之间奔跑。</v>
      </c>
    </row>
    <row r="4249">
      <c r="A4249" s="4" t="s">
        <v>5343</v>
      </c>
      <c r="B4249" s="6" t="s">
        <v>5345</v>
      </c>
      <c r="C4249" s="5" t="str">
        <f>IFERROR(__xludf.DUMMYFUNCTION("GOOGLETRANSLATE(B4249,""en"",""zh-CN"")"),"他们正在竞争，看看随着教练鼓掌并为他们加油，他们可以在他们之间跳跃。")</f>
        <v>他们正在竞争，看看随着教练鼓掌并为他们加油，他们可以在他们之间跳跃。</v>
      </c>
    </row>
    <row r="4250">
      <c r="A4250" s="4" t="s">
        <v>5346</v>
      </c>
      <c r="B4250" s="4" t="s">
        <v>5347</v>
      </c>
      <c r="C4250" s="5" t="str">
        <f>IFERROR(__xludf.DUMMYFUNCTION("GOOGLETRANSLATE(B4250,""en"",""zh-CN"")"),"一个女孩坐在桌子里说话。")</f>
        <v>一个女孩坐在桌子里说话。</v>
      </c>
    </row>
    <row r="4251">
      <c r="A4251" s="4" t="s">
        <v>5346</v>
      </c>
      <c r="B4251" s="4" t="s">
        <v>5348</v>
      </c>
      <c r="C4251" s="5" t="str">
        <f>IFERROR(__xludf.DUMMYFUNCTION("GOOGLETRANSLATE(B4251,""en"",""zh-CN"")"),"我们看到一个介绍屏幕。")</f>
        <v>我们看到一个介绍屏幕。</v>
      </c>
    </row>
    <row r="4252">
      <c r="A4252" s="4" t="s">
        <v>5346</v>
      </c>
      <c r="B4252" s="4" t="s">
        <v>5349</v>
      </c>
      <c r="C4252" s="5" t="str">
        <f>IFERROR(__xludf.DUMMYFUNCTION("GOOGLETRANSLATE(B4252,""en"",""zh-CN"")"),"女孩坐在桌子旁，展示了一个礼品袋。")</f>
        <v>女孩坐在桌子旁，展示了一个礼品袋。</v>
      </c>
    </row>
    <row r="4253">
      <c r="A4253" s="4" t="s">
        <v>5346</v>
      </c>
      <c r="B4253" s="4" t="s">
        <v>5350</v>
      </c>
      <c r="C4253" s="5" t="str">
        <f>IFERROR(__xludf.DUMMYFUNCTION("GOOGLETRANSLATE(B4253,""en"",""zh-CN"")"),"一只猫在桌子上奔跑并跳下。")</f>
        <v>一只猫在桌子上奔跑并跳下。</v>
      </c>
    </row>
    <row r="4254">
      <c r="A4254" s="4" t="s">
        <v>5346</v>
      </c>
      <c r="B4254" s="4" t="s">
        <v>5351</v>
      </c>
      <c r="C4254" s="5" t="str">
        <f>IFERROR(__xludf.DUMMYFUNCTION("GOOGLETRANSLATE(B4254,""en"",""zh-CN"")"),"我们看到女孩把礼物放在带薄纸的礼品袋中。")</f>
        <v>我们看到女孩把礼物放在带薄纸的礼品袋中。</v>
      </c>
    </row>
    <row r="4255">
      <c r="A4255" s="4" t="s">
        <v>5346</v>
      </c>
      <c r="B4255" s="4" t="s">
        <v>5352</v>
      </c>
      <c r="C4255" s="5" t="str">
        <f>IFERROR(__xludf.DUMMYFUNCTION("GOOGLETRANSLATE(B4255,""en"",""zh-CN"")"),"女孩将猫从桌子上移出地板。")</f>
        <v>女孩将猫从桌子上移出地板。</v>
      </c>
    </row>
    <row r="4256">
      <c r="A4256" s="4" t="s">
        <v>5346</v>
      </c>
      <c r="B4256" s="4" t="s">
        <v>5353</v>
      </c>
      <c r="C4256" s="5" t="str">
        <f>IFERROR(__xludf.DUMMYFUNCTION("GOOGLETRANSLATE(B4256,""en"",""zh-CN"")"),"女孩在袋子里添加了更多薄纸。")</f>
        <v>女孩在袋子里添加了更多薄纸。</v>
      </c>
    </row>
    <row r="4257">
      <c r="A4257" s="4" t="s">
        <v>5354</v>
      </c>
      <c r="B4257" s="4" t="s">
        <v>5355</v>
      </c>
      <c r="C4257" s="5" t="str">
        <f>IFERROR(__xludf.DUMMYFUNCTION("GOOGLETRANSLATE(B4257,""en"",""zh-CN"")"),"几个杯子坐在桌子上，一个男人站在后面。")</f>
        <v>几个杯子坐在桌子上，一个男人站在后面。</v>
      </c>
    </row>
    <row r="4258">
      <c r="A4258" s="4" t="s">
        <v>5354</v>
      </c>
      <c r="B4258" s="4" t="s">
        <v>5356</v>
      </c>
      <c r="C4258" s="5" t="str">
        <f>IFERROR(__xludf.DUMMYFUNCTION("GOOGLETRANSLATE(B4258,""en"",""zh-CN"")"),"然后，男人将球扔进杯子和欢呼。")</f>
        <v>然后，男人将球扔进杯子和欢呼。</v>
      </c>
    </row>
    <row r="4259">
      <c r="A4259" s="4" t="s">
        <v>5354</v>
      </c>
      <c r="B4259" s="4" t="s">
        <v>5357</v>
      </c>
      <c r="C4259" s="5" t="str">
        <f>IFERROR(__xludf.DUMMYFUNCTION("GOOGLETRANSLATE(B4259,""en"",""zh-CN"")"),"他终于离开了相机。")</f>
        <v>他终于离开了相机。</v>
      </c>
    </row>
    <row r="4260">
      <c r="A4260" s="4" t="s">
        <v>5358</v>
      </c>
      <c r="B4260" s="4" t="s">
        <v>5359</v>
      </c>
      <c r="C4260" s="5" t="str">
        <f>IFERROR(__xludf.DUMMYFUNCTION("GOOGLETRANSLATE(B4260,""en"",""zh-CN"")"),"人们用软管用水洗车。")</f>
        <v>人们用软管用水洗车。</v>
      </c>
    </row>
    <row r="4261">
      <c r="A4261" s="4" t="s">
        <v>5358</v>
      </c>
      <c r="B4261" s="4" t="s">
        <v>5360</v>
      </c>
      <c r="C4261" s="5" t="str">
        <f>IFERROR(__xludf.DUMMYFUNCTION("GOOGLETRANSLATE(B4261,""en"",""zh-CN"")"),"一个男人站在看着男人的一边。")</f>
        <v>一个男人站在看着男人的一边。</v>
      </c>
    </row>
    <row r="4262">
      <c r="A4262" s="4" t="s">
        <v>5358</v>
      </c>
      <c r="B4262" s="4" t="s">
        <v>5361</v>
      </c>
      <c r="C4262" s="5" t="str">
        <f>IFERROR(__xludf.DUMMYFUNCTION("GOOGLETRANSLATE(B4262,""en"",""zh-CN"")"),"然后，这些人用水冲洗汽车后，将肥皂放在汽车上。")</f>
        <v>然后，这些人用水冲洗汽车后，将肥皂放在汽车上。</v>
      </c>
    </row>
    <row r="4263">
      <c r="A4263" s="4" t="s">
        <v>5358</v>
      </c>
      <c r="B4263" s="4" t="s">
        <v>5362</v>
      </c>
      <c r="C4263" s="5" t="str">
        <f>IFERROR(__xludf.DUMMYFUNCTION("GOOGLETRANSLATE(B4263,""en"",""zh-CN"")"),"一个男人进入车内。")</f>
        <v>一个男人进入车内。</v>
      </c>
    </row>
    <row r="4264">
      <c r="A4264" s="4" t="s">
        <v>5363</v>
      </c>
      <c r="B4264" s="4" t="s">
        <v>5364</v>
      </c>
      <c r="C4264" s="5" t="str">
        <f>IFERROR(__xludf.DUMMYFUNCTION("GOOGLETRANSLATE(B4264,""en"",""zh-CN"")"),"一个孩子骑着内管沿着大雪山。")</f>
        <v>一个孩子骑着内管沿着大雪山。</v>
      </c>
    </row>
    <row r="4265">
      <c r="A4265" s="4" t="s">
        <v>5363</v>
      </c>
      <c r="B4265" s="4" t="s">
        <v>5365</v>
      </c>
      <c r="C4265" s="5" t="str">
        <f>IFERROR(__xludf.DUMMYFUNCTION("GOOGLETRANSLATE(B4265,""en"",""zh-CN"")"),"人们站在看着雪山的侧面。")</f>
        <v>人们站在看着雪山的侧面。</v>
      </c>
    </row>
    <row r="4266">
      <c r="A4266" s="4" t="s">
        <v>5366</v>
      </c>
      <c r="B4266" s="4" t="s">
        <v>5367</v>
      </c>
      <c r="C4266" s="5" t="str">
        <f>IFERROR(__xludf.DUMMYFUNCTION("GOOGLETRANSLATE(B4266,""en"",""zh-CN"")"),"一个女人穿着粉红色的武术服装在户外。")</f>
        <v>一个女人穿着粉红色的武术服装在户外。</v>
      </c>
    </row>
    <row r="4267">
      <c r="A4267" s="4" t="s">
        <v>5366</v>
      </c>
      <c r="B4267" s="4" t="s">
        <v>5368</v>
      </c>
      <c r="C4267" s="5" t="str">
        <f>IFERROR(__xludf.DUMMYFUNCTION("GOOGLETRANSLATE(B4267,""en"",""zh-CN"")"),"她缓慢地移动，显示各种武术的动作。")</f>
        <v>她缓慢地移动，显示各种武术的动作。</v>
      </c>
    </row>
    <row r="4268">
      <c r="A4268" s="4" t="s">
        <v>5366</v>
      </c>
      <c r="B4268" s="4" t="s">
        <v>5369</v>
      </c>
      <c r="C4268" s="5" t="str">
        <f>IFERROR(__xludf.DUMMYFUNCTION("GOOGLETRANSLATE(B4268,""en"",""zh-CN"")"),"当动作的名称出现在屏幕上时，她继续缓慢移动。")</f>
        <v>当动作的名称出现在屏幕上时，她继续缓慢移动。</v>
      </c>
    </row>
    <row r="4269">
      <c r="A4269" s="4" t="s">
        <v>5370</v>
      </c>
      <c r="B4269" s="6" t="s">
        <v>5371</v>
      </c>
      <c r="C4269" s="5" t="str">
        <f>IFERROR(__xludf.DUMMYFUNCTION("GOOGLETRANSLATE(B4269,""en"",""zh-CN"")"),"展示了一个房屋的特写，其中一个人与狗一起行走，然后与相机交谈。")</f>
        <v>展示了一个房屋的特写，其中一个人与狗一起行走，然后与相机交谈。</v>
      </c>
    </row>
    <row r="4270">
      <c r="A4270" s="4" t="s">
        <v>5370</v>
      </c>
      <c r="B4270" s="4" t="s">
        <v>5372</v>
      </c>
      <c r="C4270" s="5" t="str">
        <f>IFERROR(__xludf.DUMMYFUNCTION("GOOGLETRANSLATE(B4270,""en"",""zh-CN"")"),"当他带领狗在附近的狗身边时，该男子继续讲话。")</f>
        <v>当他带领狗在附近的狗身边时，该男子继续讲话。</v>
      </c>
    </row>
    <row r="4271">
      <c r="A4271" s="4" t="s">
        <v>5373</v>
      </c>
      <c r="B4271" s="4" t="s">
        <v>5374</v>
      </c>
      <c r="C4271" s="5" t="str">
        <f>IFERROR(__xludf.DUMMYFUNCTION("GOOGLETRANSLATE(B4271,""en"",""zh-CN"")"),"一位年长的绅士正在刷棕色马。")</f>
        <v>一位年长的绅士正在刷棕色马。</v>
      </c>
    </row>
    <row r="4272">
      <c r="A4272" s="4" t="s">
        <v>5373</v>
      </c>
      <c r="B4272" s="4" t="s">
        <v>5375</v>
      </c>
      <c r="C4272" s="5" t="str">
        <f>IFERROR(__xludf.DUMMYFUNCTION("GOOGLETRANSLATE(B4272,""en"",""zh-CN"")"),"他转身与一位老太太交谈。")</f>
        <v>他转身与一位老太太交谈。</v>
      </c>
    </row>
    <row r="4273">
      <c r="A4273" s="4" t="s">
        <v>5373</v>
      </c>
      <c r="B4273" s="4" t="s">
        <v>5376</v>
      </c>
      <c r="C4273" s="5" t="str">
        <f>IFERROR(__xludf.DUMMYFUNCTION("GOOGLETRANSLATE(B4273,""en"",""zh-CN"")"),"这匹马抬起腿。")</f>
        <v>这匹马抬起腿。</v>
      </c>
    </row>
    <row r="4274">
      <c r="A4274" s="4" t="s">
        <v>5377</v>
      </c>
      <c r="B4274" s="4" t="s">
        <v>5378</v>
      </c>
      <c r="C4274" s="5" t="str">
        <f>IFERROR(__xludf.DUMMYFUNCTION("GOOGLETRANSLATE(B4274,""en"",""zh-CN"")"),"看到一只狗舒适地躺在一个大碗里，旁边有一个男人。")</f>
        <v>看到一只狗舒适地躺在一个大碗里，旁边有一个男人。</v>
      </c>
    </row>
    <row r="4275">
      <c r="A4275" s="4" t="s">
        <v>5377</v>
      </c>
      <c r="B4275" s="4" t="s">
        <v>5379</v>
      </c>
      <c r="C4275" s="5" t="str">
        <f>IFERROR(__xludf.DUMMYFUNCTION("GOOGLETRANSLATE(B4275,""en"",""zh-CN"")"),"看到这个男人跪在狗旁边，开始摩擦他。")</f>
        <v>看到这个男人跪在狗旁边，开始摩擦他。</v>
      </c>
    </row>
    <row r="4276">
      <c r="A4276" s="4" t="s">
        <v>5377</v>
      </c>
      <c r="B4276" s="4" t="s">
        <v>5380</v>
      </c>
      <c r="C4276" s="5" t="str">
        <f>IFERROR(__xludf.DUMMYFUNCTION("GOOGLETRANSLATE(B4276,""en"",""zh-CN"")"),"该男子继续在浴缸中清理狗。")</f>
        <v>该男子继续在浴缸中清理狗。</v>
      </c>
    </row>
    <row r="4277">
      <c r="A4277" s="4" t="s">
        <v>5381</v>
      </c>
      <c r="B4277" s="4" t="s">
        <v>5382</v>
      </c>
      <c r="C4277" s="5" t="str">
        <f>IFERROR(__xludf.DUMMYFUNCTION("GOOGLETRANSLATE(B4277,""en"",""zh-CN"")"),"人们正在健身房打道奇球。")</f>
        <v>人们正在健身房打道奇球。</v>
      </c>
    </row>
    <row r="4278">
      <c r="A4278" s="4" t="s">
        <v>5381</v>
      </c>
      <c r="B4278" s="4" t="s">
        <v>5383</v>
      </c>
      <c r="C4278" s="5" t="str">
        <f>IFERROR(__xludf.DUMMYFUNCTION("GOOGLETRANSLATE(B4278,""en"",""zh-CN"")"),"他们开始互相扔球。")</f>
        <v>他们开始互相扔球。</v>
      </c>
    </row>
    <row r="4279">
      <c r="A4279" s="4" t="s">
        <v>5384</v>
      </c>
      <c r="B4279" s="4" t="s">
        <v>5385</v>
      </c>
      <c r="C4279" s="5" t="str">
        <f>IFERROR(__xludf.DUMMYFUNCTION("GOOGLETRANSLATE(B4279,""en"",""zh-CN"")"),"一个人将管子推下山上。")</f>
        <v>一个人将管子推下山上。</v>
      </c>
    </row>
    <row r="4280">
      <c r="A4280" s="4" t="s">
        <v>5384</v>
      </c>
      <c r="B4280" s="4" t="s">
        <v>5386</v>
      </c>
      <c r="C4280" s="5" t="str">
        <f>IFERROR(__xludf.DUMMYFUNCTION("GOOGLETRANSLATE(B4280,""en"",""zh-CN"")"),"另一个人在管子上拖着山坡。")</f>
        <v>另一个人在管子上拖着山坡。</v>
      </c>
    </row>
    <row r="4281">
      <c r="A4281" s="4" t="s">
        <v>5384</v>
      </c>
      <c r="B4281" s="4" t="s">
        <v>5387</v>
      </c>
      <c r="C4281" s="5" t="str">
        <f>IFERROR(__xludf.DUMMYFUNCTION("GOOGLETRANSLATE(B4281,""en"",""zh-CN"")"),"穿着红色外套的人站在底部。")</f>
        <v>穿着红色外套的人站在底部。</v>
      </c>
    </row>
    <row r="4282">
      <c r="A4282" s="4" t="s">
        <v>5388</v>
      </c>
      <c r="B4282" s="4" t="s">
        <v>5389</v>
      </c>
      <c r="C4282" s="5" t="str">
        <f>IFERROR(__xludf.DUMMYFUNCTION("GOOGLETRANSLATE(B4282,""en"",""zh-CN"")"),"这个男人穿着蓝色的T恤和白色短裤，他正在做体操。")</f>
        <v>这个男人穿着蓝色的T恤和白色短裤，他正在做体操。</v>
      </c>
    </row>
    <row r="4283">
      <c r="A4283" s="4" t="s">
        <v>5388</v>
      </c>
      <c r="B4283" s="4" t="s">
        <v>5390</v>
      </c>
      <c r="C4283" s="5" t="str">
        <f>IFERROR(__xludf.DUMMYFUNCTION("GOOGLETRANSLATE(B4283,""en"",""zh-CN"")"),"然后他下车走开去别的地方。")</f>
        <v>然后他下车走开去别的地方。</v>
      </c>
    </row>
    <row r="4284">
      <c r="A4284" s="4" t="s">
        <v>5388</v>
      </c>
      <c r="B4284" s="4" t="s">
        <v>5391</v>
      </c>
      <c r="C4284" s="5" t="str">
        <f>IFERROR(__xludf.DUMMYFUNCTION("GOOGLETRANSLATE(B4284,""en"",""zh-CN"")"),"还有另一个男人和他一起走来走去，他穿着一件绿色衬衫。")</f>
        <v>还有另一个男人和他一起走来走去，他穿着一件绿色衬衫。</v>
      </c>
    </row>
    <row r="4285">
      <c r="A4285" s="4" t="s">
        <v>5392</v>
      </c>
      <c r="B4285" s="4" t="s">
        <v>5393</v>
      </c>
      <c r="C4285" s="5" t="str">
        <f>IFERROR(__xludf.DUMMYFUNCTION("GOOGLETRANSLATE(B4285,""en"",""zh-CN"")"),"看到一个男人在戴着皮带然后在舞台上行走时与一个女人说话。")</f>
        <v>看到一个男人在戴着皮带然后在舞台上行走时与一个女人说话。</v>
      </c>
    </row>
    <row r="4286">
      <c r="A4286" s="4" t="s">
        <v>5392</v>
      </c>
      <c r="B4286" s="6" t="s">
        <v>5394</v>
      </c>
      <c r="C4286" s="5" t="str">
        <f>IFERROR(__xludf.DUMMYFUNCTION("GOOGLETRANSLATE(B4286,""en"",""zh-CN"")"),"然后，那个女人弯下腰，将大量的重量抬起头上，然后将其扔下并走下舞台。")</f>
        <v>然后，那个女人弯下腰，将大量的重量抬起头上，然后将其扔下并走下舞台。</v>
      </c>
    </row>
    <row r="4287">
      <c r="A4287" s="4" t="s">
        <v>5392</v>
      </c>
      <c r="B4287" s="4" t="s">
        <v>5395</v>
      </c>
      <c r="C4287" s="5" t="str">
        <f>IFERROR(__xludf.DUMMYFUNCTION("GOOGLETRANSLATE(B4287,""en"",""zh-CN"")"),"她的同样升力再次以慢动作显示。")</f>
        <v>她的同样升力再次以慢动作显示。</v>
      </c>
    </row>
    <row r="4288">
      <c r="A4288" s="4" t="s">
        <v>5396</v>
      </c>
      <c r="B4288" s="4" t="s">
        <v>5397</v>
      </c>
      <c r="C4288" s="5" t="str">
        <f>IFERROR(__xludf.DUMMYFUNCTION("GOOGLETRANSLATE(B4288,""en"",""zh-CN"")"),"男孩在晚上在滑板公园里滑板。")</f>
        <v>男孩在晚上在滑板公园里滑板。</v>
      </c>
    </row>
    <row r="4289">
      <c r="A4289" s="4" t="s">
        <v>5396</v>
      </c>
      <c r="B4289" s="4" t="s">
        <v>5398</v>
      </c>
      <c r="C4289" s="5" t="str">
        <f>IFERROR(__xludf.DUMMYFUNCTION("GOOGLETRANSLATE(B4289,""en"",""zh-CN"")"),"男孩正在人行道上滑板，而人们走过。")</f>
        <v>男孩正在人行道上滑板，而人们走过。</v>
      </c>
    </row>
    <row r="4290">
      <c r="A4290" s="4" t="s">
        <v>5396</v>
      </c>
      <c r="B4290" s="4" t="s">
        <v>5399</v>
      </c>
      <c r="C4290" s="5" t="str">
        <f>IFERROR(__xludf.DUMMYFUNCTION("GOOGLETRANSLATE(B4290,""en"",""zh-CN"")"),"人在街上滑板，一辆汽车几乎撞了。")</f>
        <v>人在街上滑板，一辆汽车几乎撞了。</v>
      </c>
    </row>
    <row r="4291">
      <c r="A4291" s="4" t="s">
        <v>5396</v>
      </c>
      <c r="B4291" s="4" t="s">
        <v>5400</v>
      </c>
      <c r="C4291" s="5" t="str">
        <f>IFERROR(__xludf.DUMMYFUNCTION("GOOGLETRANSLATE(B4291,""en"",""zh-CN"")"),"男人在围栏上滑雪并掉下来的场景。")</f>
        <v>男人在围栏上滑雪并掉下来的场景。</v>
      </c>
    </row>
    <row r="4292">
      <c r="A4292" s="4" t="s">
        <v>5401</v>
      </c>
      <c r="B4292" s="4" t="s">
        <v>5402</v>
      </c>
      <c r="C4292" s="5" t="str">
        <f>IFERROR(__xludf.DUMMYFUNCTION("GOOGLETRANSLATE(B4292,""en"",""zh-CN"")"),"当人们侧面时，很多人都在马拉松比赛中在街上奔跑。")</f>
        <v>当人们侧面时，很多人都在马拉松比赛中在街上奔跑。</v>
      </c>
    </row>
    <row r="4293">
      <c r="A4293" s="4" t="s">
        <v>5401</v>
      </c>
      <c r="B4293" s="4" t="s">
        <v>5403</v>
      </c>
      <c r="C4293" s="5" t="str">
        <f>IFERROR(__xludf.DUMMYFUNCTION("GOOGLETRANSLATE(B4293,""en"",""zh-CN"")"),"不同的男人和男人正在完成终点。")</f>
        <v>不同的男人和男人正在完成终点。</v>
      </c>
    </row>
    <row r="4294">
      <c r="A4294" s="4" t="s">
        <v>5404</v>
      </c>
      <c r="B4294" s="4" t="s">
        <v>5405</v>
      </c>
      <c r="C4294" s="5" t="str">
        <f>IFERROR(__xludf.DUMMYFUNCTION("GOOGLETRANSLATE(B4294,""en"",""zh-CN"")"),"穿着黑色衬衫的男人正在篮球场上聊天。")</f>
        <v>穿着黑色衬衫的男人正在篮球场上聊天。</v>
      </c>
    </row>
    <row r="4295">
      <c r="A4295" s="4" t="s">
        <v>5404</v>
      </c>
      <c r="B4295" s="4" t="s">
        <v>5406</v>
      </c>
      <c r="C4295" s="5" t="str">
        <f>IFERROR(__xludf.DUMMYFUNCTION("GOOGLETRANSLATE(B4295,""en"",""zh-CN"")"),"一个男孩在球场上打篮球。")</f>
        <v>一个男孩在球场上打篮球。</v>
      </c>
    </row>
    <row r="4296">
      <c r="A4296" s="4" t="s">
        <v>5407</v>
      </c>
      <c r="B4296" s="4" t="s">
        <v>1251</v>
      </c>
      <c r="C4296" s="5" t="str">
        <f>IFERROR(__xludf.DUMMYFUNCTION("GOOGLETRANSLATE(B4296,""en"",""zh-CN"")"),"显示了剪辑的信用。")</f>
        <v>显示了剪辑的信用。</v>
      </c>
    </row>
    <row r="4297">
      <c r="A4297" s="4" t="s">
        <v>5407</v>
      </c>
      <c r="B4297" s="4" t="s">
        <v>5408</v>
      </c>
      <c r="C4297" s="5" t="str">
        <f>IFERROR(__xludf.DUMMYFUNCTION("GOOGLETRANSLATE(B4297,""en"",""zh-CN"")"),"与狗一起在舞台上表演的女士表演。")</f>
        <v>与狗一起在舞台上表演的女士表演。</v>
      </c>
    </row>
    <row r="4298">
      <c r="A4298" s="4" t="s">
        <v>5407</v>
      </c>
      <c r="B4298" s="4" t="s">
        <v>5409</v>
      </c>
      <c r="C4298" s="5" t="str">
        <f>IFERROR(__xludf.DUMMYFUNCTION("GOOGLETRANSLATE(B4298,""en"",""zh-CN"")"),"那只狗拿起女士扔的盘子。")</f>
        <v>那只狗拿起女士扔的盘子。</v>
      </c>
    </row>
    <row r="4299">
      <c r="A4299" s="4" t="s">
        <v>5407</v>
      </c>
      <c r="B4299" s="4" t="s">
        <v>5410</v>
      </c>
      <c r="C4299" s="5" t="str">
        <f>IFERROR(__xludf.DUMMYFUNCTION("GOOGLETRANSLATE(B4299,""en"",""zh-CN"")"),"第二只狗在舞台上加入了表演。")</f>
        <v>第二只狗在舞台上加入了表演。</v>
      </c>
    </row>
    <row r="4300">
      <c r="A4300" s="4" t="s">
        <v>5407</v>
      </c>
      <c r="B4300" s="4" t="s">
        <v>5411</v>
      </c>
      <c r="C4300" s="5" t="str">
        <f>IFERROR(__xludf.DUMMYFUNCTION("GOOGLETRANSLATE(B4300,""en"",""zh-CN"")"),"狗一起取板。")</f>
        <v>狗一起取板。</v>
      </c>
    </row>
    <row r="4301">
      <c r="A4301" s="4" t="s">
        <v>5407</v>
      </c>
      <c r="B4301" s="4" t="s">
        <v>5412</v>
      </c>
      <c r="C4301" s="5" t="str">
        <f>IFERROR(__xludf.DUMMYFUNCTION("GOOGLETRANSLATE(B4301,""en"",""zh-CN"")"),"一只狗不断跳过另一只狗，伸进了女士的手。")</f>
        <v>一只狗不断跳过另一只狗，伸进了女士的手。</v>
      </c>
    </row>
    <row r="4302">
      <c r="A4302" s="4" t="s">
        <v>5407</v>
      </c>
      <c r="B4302" s="4" t="s">
        <v>5413</v>
      </c>
      <c r="C4302" s="5" t="str">
        <f>IFERROR(__xludf.DUMMYFUNCTION("GOOGLETRANSLATE(B4302,""en"",""zh-CN"")"),"一只狗跳过呼啦圈。")</f>
        <v>一只狗跳过呼啦圈。</v>
      </c>
    </row>
    <row r="4303">
      <c r="A4303" s="4" t="s">
        <v>5407</v>
      </c>
      <c r="B4303" s="4" t="s">
        <v>5414</v>
      </c>
      <c r="C4303" s="5" t="str">
        <f>IFERROR(__xludf.DUMMYFUNCTION("GOOGLETRANSLATE(B4303,""en"",""zh-CN"")"),"一只狗从舞台跳到女士的背上。")</f>
        <v>一只狗从舞台跳到女士的背上。</v>
      </c>
    </row>
    <row r="4304">
      <c r="A4304" s="4" t="s">
        <v>5407</v>
      </c>
      <c r="B4304" s="4" t="s">
        <v>5415</v>
      </c>
      <c r="C4304" s="5" t="str">
        <f>IFERROR(__xludf.DUMMYFUNCTION("GOOGLETRANSLATE(B4304,""en"",""zh-CN"")"),"狗咬在红盘上，没有放开。")</f>
        <v>狗咬在红盘上，没有放开。</v>
      </c>
    </row>
    <row r="4305">
      <c r="A4305" s="4" t="s">
        <v>5407</v>
      </c>
      <c r="B4305" s="4" t="s">
        <v>5416</v>
      </c>
      <c r="C4305" s="5" t="str">
        <f>IFERROR(__xludf.DUMMYFUNCTION("GOOGLETRANSLATE(B4305,""en"",""zh-CN"")"),"一只狗跳上女士的高架鞋底。")</f>
        <v>一只狗跳上女士的高架鞋底。</v>
      </c>
    </row>
    <row r="4306">
      <c r="A4306" s="4" t="s">
        <v>5407</v>
      </c>
      <c r="B4306" s="4" t="s">
        <v>5417</v>
      </c>
      <c r="C4306" s="5" t="str">
        <f>IFERROR(__xludf.DUMMYFUNCTION("GOOGLETRANSLATE(B4306,""en"",""zh-CN"")"),"表演者鞠躬，狗离开舞台。")</f>
        <v>表演者鞠躬，狗离开舞台。</v>
      </c>
    </row>
    <row r="4307">
      <c r="A4307" s="4" t="s">
        <v>5407</v>
      </c>
      <c r="B4307" s="4" t="s">
        <v>5418</v>
      </c>
      <c r="C4307" s="5" t="str">
        <f>IFERROR(__xludf.DUMMYFUNCTION("GOOGLETRANSLATE(B4307,""en"",""zh-CN"")"),"舞台窗帘是绘制的。")</f>
        <v>舞台窗帘是绘制的。</v>
      </c>
    </row>
    <row r="4308">
      <c r="A4308" s="4" t="s">
        <v>5407</v>
      </c>
      <c r="B4308" s="4" t="s">
        <v>573</v>
      </c>
      <c r="C4308" s="5" t="str">
        <f>IFERROR(__xludf.DUMMYFUNCTION("GOOGLETRANSLATE(B4308,""en"",""zh-CN"")"),"显示了视频的积分。")</f>
        <v>显示了视频的积分。</v>
      </c>
    </row>
    <row r="4309">
      <c r="A4309" s="4" t="s">
        <v>5419</v>
      </c>
      <c r="B4309" s="4" t="s">
        <v>5420</v>
      </c>
      <c r="C4309" s="5" t="str">
        <f>IFERROR(__xludf.DUMMYFUNCTION("GOOGLETRANSLATE(B4309,""en"",""zh-CN"")"),"一个女人站在桌子后面，上面有高跟鞋。")</f>
        <v>一个女人站在桌子后面，上面有高跟鞋。</v>
      </c>
    </row>
    <row r="4310">
      <c r="A4310" s="4" t="s">
        <v>5419</v>
      </c>
      <c r="B4310" s="4" t="s">
        <v>5421</v>
      </c>
      <c r="C4310" s="5" t="str">
        <f>IFERROR(__xludf.DUMMYFUNCTION("GOOGLETRANSLATE(B4310,""en"",""zh-CN"")"),"她开始擦掉鞋子。")</f>
        <v>她开始擦掉鞋子。</v>
      </c>
    </row>
    <row r="4311">
      <c r="A4311" s="4" t="s">
        <v>5419</v>
      </c>
      <c r="B4311" s="4" t="s">
        <v>5422</v>
      </c>
      <c r="C4311" s="5" t="str">
        <f>IFERROR(__xludf.DUMMYFUNCTION("GOOGLETRANSLATE(B4311,""en"",""zh-CN"")"),"她使用Q尖来清洁鞋子的侧面。")</f>
        <v>她使用Q尖来清洁鞋子的侧面。</v>
      </c>
    </row>
    <row r="4312">
      <c r="A4312" s="4" t="s">
        <v>5419</v>
      </c>
      <c r="B4312" s="4" t="s">
        <v>5423</v>
      </c>
      <c r="C4312" s="5" t="str">
        <f>IFERROR(__xludf.DUMMYFUNCTION("GOOGLETRANSLATE(B4312,""en"",""zh-CN"")"),"她用风将鞋子喷洒，然后将其擦掉。")</f>
        <v>她用风将鞋子喷洒，然后将其擦掉。</v>
      </c>
    </row>
    <row r="4313">
      <c r="A4313" s="4" t="s">
        <v>5424</v>
      </c>
      <c r="B4313" s="6" t="s">
        <v>5425</v>
      </c>
      <c r="C4313" s="5" t="str">
        <f>IFERROR(__xludf.DUMMYFUNCTION("GOOGLETRANSLATE(B4313,""en"",""zh-CN"")"),"看到一只手放在酒吧上，并导致一个人在肩膀上举重并走路。")</f>
        <v>看到一只手放在酒吧上，并导致一个人在肩膀上举重并走路。</v>
      </c>
    </row>
    <row r="4314">
      <c r="A4314" s="4" t="s">
        <v>5424</v>
      </c>
      <c r="B4314" s="4" t="s">
        <v>5426</v>
      </c>
      <c r="C4314" s="5" t="str">
        <f>IFERROR(__xludf.DUMMYFUNCTION("GOOGLETRANSLATE(B4314,""en"",""zh-CN"")"),"该人将重量放下，并随着猛击而走回。")</f>
        <v>该人将重量放下，并随着猛击而走回。</v>
      </c>
    </row>
    <row r="4315">
      <c r="A4315" s="4" t="s">
        <v>5427</v>
      </c>
      <c r="B4315" s="6" t="s">
        <v>5428</v>
      </c>
      <c r="C4315" s="5" t="str">
        <f>IFERROR(__xludf.DUMMYFUNCTION("GOOGLETRANSLATE(B4315,""en"",""zh-CN"")"),"一个穿着紫色服装和米色头巾的赤脚女人跪在草地前的户外水和木制平台上的室外水中洗碗。")</f>
        <v>一个穿着紫色服装和米色头巾的赤脚女人跪在草地前的户外水和木制平台上的室外水中洗碗。</v>
      </c>
    </row>
    <row r="4316">
      <c r="A4316" s="4" t="s">
        <v>5427</v>
      </c>
      <c r="B4316" s="6" t="s">
        <v>5429</v>
      </c>
      <c r="C4316" s="5" t="str">
        <f>IFERROR(__xludf.DUMMYFUNCTION("GOOGLETRANSLATE(B4316,""en"",""zh-CN"")"),"该名女子在狭窄的水体中冲洗一个青铜盘，然后将其放在橙色的塑料桶中。")</f>
        <v>该名女子在狭窄的水体中冲洗一个青铜盘，然后将其放在橙色的塑料桶中。</v>
      </c>
    </row>
    <row r="4317">
      <c r="A4317" s="4" t="s">
        <v>5427</v>
      </c>
      <c r="B4317" s="4" t="s">
        <v>5430</v>
      </c>
      <c r="C4317" s="5" t="str">
        <f>IFERROR(__xludf.DUMMYFUNCTION("GOOGLETRANSLATE(B4317,""en"",""zh-CN"")"),"该名女子继续洗其他菜肴，然后将其放在橙色的篮子里。")</f>
        <v>该名女子继续洗其他菜肴，然后将其放在橙色的篮子里。</v>
      </c>
    </row>
    <row r="4318">
      <c r="A4318" s="4" t="s">
        <v>5427</v>
      </c>
      <c r="B4318" s="6" t="s">
        <v>5431</v>
      </c>
      <c r="C4318" s="5" t="str">
        <f>IFERROR(__xludf.DUMMYFUNCTION("GOOGLETRANSLATE(B4318,""en"",""zh-CN"")"),"摄像机挥舞着很长的距离，转身在室外甲板上展示了一个黄色的栏杆，上面有棕色的皮革躺椅，如座位，看上去很大的湖泊。")</f>
        <v>摄像机挥舞着很长的距离，转身在室外甲板上展示了一个黄色的栏杆，上面有棕色的皮革躺椅，如座位，看上去很大的湖泊。</v>
      </c>
    </row>
    <row r="4319">
      <c r="A4319" s="4" t="s">
        <v>5432</v>
      </c>
      <c r="B4319" s="4" t="s">
        <v>5433</v>
      </c>
      <c r="C4319" s="5" t="str">
        <f>IFERROR(__xludf.DUMMYFUNCTION("GOOGLETRANSLATE(B4319,""en"",""zh-CN"")"),"展示了各种景观的镜头，以及人们推动冰球打沙芬板。")</f>
        <v>展示了各种景观的镜头，以及人们推动冰球打沙芬板。</v>
      </c>
    </row>
    <row r="4320">
      <c r="A4320" s="4" t="s">
        <v>5432</v>
      </c>
      <c r="B4320" s="4" t="s">
        <v>5434</v>
      </c>
      <c r="C4320" s="5" t="str">
        <f>IFERROR(__xludf.DUMMYFUNCTION("GOOGLETRANSLATE(B4320,""en"",""zh-CN"")"),"显示了更多游戏的镜头以及有关如何玩游戏的文本说明。")</f>
        <v>显示了更多游戏的镜头以及有关如何玩游戏的文本说明。</v>
      </c>
    </row>
    <row r="4321">
      <c r="A4321" s="4" t="s">
        <v>5432</v>
      </c>
      <c r="B4321" s="4" t="s">
        <v>5435</v>
      </c>
      <c r="C4321" s="5" t="str">
        <f>IFERROR(__xludf.DUMMYFUNCTION("GOOGLETRANSLATE(B4321,""en"",""zh-CN"")"),"一个男人保持得分，并带来更多的比赛镜头。")</f>
        <v>一个男人保持得分，并带来更多的比赛镜头。</v>
      </c>
    </row>
    <row r="4322">
      <c r="A4322" s="4" t="s">
        <v>5436</v>
      </c>
      <c r="B4322" s="4" t="s">
        <v>5437</v>
      </c>
      <c r="C4322" s="5" t="str">
        <f>IFERROR(__xludf.DUMMYFUNCTION("GOOGLETRANSLATE(B4322,""en"",""zh-CN"")"),"一个男人拿着跳绳和说话。")</f>
        <v>一个男人拿着跳绳和说话。</v>
      </c>
    </row>
    <row r="4323">
      <c r="A4323" s="4" t="s">
        <v>5436</v>
      </c>
      <c r="B4323" s="4" t="s">
        <v>5438</v>
      </c>
      <c r="C4323" s="5" t="str">
        <f>IFERROR(__xludf.DUMMYFUNCTION("GOOGLETRANSLATE(B4323,""en"",""zh-CN"")"),"他开始跳绳和做技巧。")</f>
        <v>他开始跳绳和做技巧。</v>
      </c>
    </row>
    <row r="4324">
      <c r="A4324" s="4" t="s">
        <v>5439</v>
      </c>
      <c r="B4324" s="4" t="s">
        <v>5440</v>
      </c>
      <c r="C4324" s="5" t="str">
        <f>IFERROR(__xludf.DUMMYFUNCTION("GOOGLETRANSLATE(B4324,""en"",""zh-CN"")"),"看到一小群男人站在船上，一个人推着沙夫板。")</f>
        <v>看到一小群男人站在船上，一个人推着沙夫板。</v>
      </c>
    </row>
    <row r="4325">
      <c r="A4325" s="4" t="s">
        <v>5439</v>
      </c>
      <c r="B4325" s="4" t="s">
        <v>5441</v>
      </c>
      <c r="C4325" s="5" t="str">
        <f>IFERROR(__xludf.DUMMYFUNCTION("GOOGLETRANSLATE(B4325,""en"",""zh-CN"")"),"然后，这些人在轮流时开始互相打弹板。")</f>
        <v>然后，这些人在轮流时开始互相打弹板。</v>
      </c>
    </row>
    <row r="4326">
      <c r="A4326" s="4" t="s">
        <v>5439</v>
      </c>
      <c r="B4326" s="4" t="s">
        <v>5442</v>
      </c>
      <c r="C4326" s="5" t="str">
        <f>IFERROR(__xludf.DUMMYFUNCTION("GOOGLETRANSLATE(B4326,""en"",""zh-CN"")"),"他们继续在船边玩。")</f>
        <v>他们继续在船边玩。</v>
      </c>
    </row>
    <row r="4327">
      <c r="A4327" s="4" t="s">
        <v>5443</v>
      </c>
      <c r="B4327" s="4" t="s">
        <v>5444</v>
      </c>
      <c r="C4327" s="5" t="str">
        <f>IFERROR(__xludf.DUMMYFUNCTION("GOOGLETRANSLATE(B4327,""en"",""zh-CN"")"),"两个男人在桌子上摔跤。")</f>
        <v>两个男人在桌子上摔跤。</v>
      </c>
    </row>
    <row r="4328">
      <c r="A4328" s="4" t="s">
        <v>5443</v>
      </c>
      <c r="B4328" s="4" t="s">
        <v>5445</v>
      </c>
      <c r="C4328" s="5" t="str">
        <f>IFERROR(__xludf.DUMMYFUNCTION("GOOGLETRANSLATE(B4328,""en"",""zh-CN"")"),"另一个男人走到桌子上，站在他们的面前。")</f>
        <v>另一个男人走到桌子上，站在他们的面前。</v>
      </c>
    </row>
    <row r="4329">
      <c r="A4329" s="4" t="s">
        <v>5443</v>
      </c>
      <c r="B4329" s="4" t="s">
        <v>5446</v>
      </c>
      <c r="C4329" s="5" t="str">
        <f>IFERROR(__xludf.DUMMYFUNCTION("GOOGLETRANSLATE(B4329,""en"",""zh-CN"")"),"他们完成了手臂摔跤，开始站起来。")</f>
        <v>他们完成了手臂摔跤，开始站起来。</v>
      </c>
    </row>
    <row r="4330">
      <c r="A4330" s="4" t="s">
        <v>5447</v>
      </c>
      <c r="B4330" s="4" t="s">
        <v>5448</v>
      </c>
      <c r="C4330" s="5" t="str">
        <f>IFERROR(__xludf.DUMMYFUNCTION("GOOGLETRANSLATE(B4330,""en"",""zh-CN"")"),"一个女人正在将食材添加到炉子上的锅中。")</f>
        <v>一个女人正在将食材添加到炉子上的锅中。</v>
      </c>
    </row>
    <row r="4331">
      <c r="A4331" s="4" t="s">
        <v>5447</v>
      </c>
      <c r="B4331" s="4" t="s">
        <v>5449</v>
      </c>
      <c r="C4331" s="5" t="str">
        <f>IFERROR(__xludf.DUMMYFUNCTION("GOOGLETRANSLATE(B4331,""en"",""zh-CN"")"),"她搅动锅中的成分。")</f>
        <v>她搅动锅中的成分。</v>
      </c>
    </row>
    <row r="4332">
      <c r="A4332" s="4" t="s">
        <v>5447</v>
      </c>
      <c r="B4332" s="4" t="s">
        <v>5450</v>
      </c>
      <c r="C4332" s="5" t="str">
        <f>IFERROR(__xludf.DUMMYFUNCTION("GOOGLETRANSLATE(B4332,""en"",""zh-CN"")"),"她拉了一大锅面食，然后将其倒入锅中。")</f>
        <v>她拉了一大锅面食，然后将其倒入锅中。</v>
      </c>
    </row>
    <row r="4333">
      <c r="A4333" s="4" t="s">
        <v>5451</v>
      </c>
      <c r="B4333" s="4" t="s">
        <v>5452</v>
      </c>
      <c r="C4333" s="5" t="str">
        <f>IFERROR(__xludf.DUMMYFUNCTION("GOOGLETRANSLATE(B4333,""en"",""zh-CN"")"),"一个女人和两只狗走在街上。")</f>
        <v>一个女人和两只狗走在街上。</v>
      </c>
    </row>
    <row r="4334">
      <c r="A4334" s="4" t="s">
        <v>5451</v>
      </c>
      <c r="B4334" s="4" t="s">
        <v>5453</v>
      </c>
      <c r="C4334" s="5" t="str">
        <f>IFERROR(__xludf.DUMMYFUNCTION("GOOGLETRANSLATE(B4334,""en"",""zh-CN"")"),"较大的狗在他的嘴里拿着皮带皮。")</f>
        <v>较大的狗在他的嘴里拿着皮带皮。</v>
      </c>
    </row>
    <row r="4335">
      <c r="A4335" s="4" t="s">
        <v>5451</v>
      </c>
      <c r="B4335" s="6" t="s">
        <v>5454</v>
      </c>
      <c r="C4335" s="5" t="str">
        <f>IFERROR(__xludf.DUMMYFUNCTION("GOOGLETRANSLATE(B4335,""en"",""zh-CN"")"),"较小的狗固定在皮带上，基本上是在步行中由较大的狗领导的。")</f>
        <v>较小的狗固定在皮带上，基本上是在步行中由较大的狗领导的。</v>
      </c>
    </row>
    <row r="4336">
      <c r="A4336" s="4" t="s">
        <v>5451</v>
      </c>
      <c r="B4336" s="4" t="s">
        <v>5455</v>
      </c>
      <c r="C4336" s="5" t="str">
        <f>IFERROR(__xludf.DUMMYFUNCTION("GOOGLETRANSLATE(B4336,""en"",""zh-CN"")"),"一个男人走在前面，带领。")</f>
        <v>一个男人走在前面，带领。</v>
      </c>
    </row>
    <row r="4337">
      <c r="A4337" s="4" t="s">
        <v>5456</v>
      </c>
      <c r="B4337" s="4" t="s">
        <v>5457</v>
      </c>
      <c r="C4337" s="5" t="str">
        <f>IFERROR(__xludf.DUMMYFUNCTION("GOOGLETRANSLATE(B4337,""en"",""zh-CN"")"),"一个男人在草地上翻转。")</f>
        <v>一个男人在草地上翻转。</v>
      </c>
    </row>
    <row r="4338">
      <c r="A4338" s="4" t="s">
        <v>5456</v>
      </c>
      <c r="B4338" s="4" t="s">
        <v>5458</v>
      </c>
      <c r="C4338" s="5" t="str">
        <f>IFERROR(__xludf.DUMMYFUNCTION("GOOGLETRANSLATE(B4338,""en"",""zh-CN"")"),"一个戴着白帽子的男人站在那个男人旁边。")</f>
        <v>一个戴着白帽子的男人站在那个男人旁边。</v>
      </c>
    </row>
    <row r="4339">
      <c r="A4339" s="4" t="s">
        <v>5456</v>
      </c>
      <c r="B4339" s="4" t="s">
        <v>5459</v>
      </c>
      <c r="C4339" s="5" t="str">
        <f>IFERROR(__xludf.DUMMYFUNCTION("GOOGLETRANSLATE(B4339,""en"",""zh-CN"")"),"其中一个人把一块岩石扔向空中。")</f>
        <v>其中一个人把一块岩石扔向空中。</v>
      </c>
    </row>
    <row r="4340">
      <c r="A4340" s="4" t="s">
        <v>5460</v>
      </c>
      <c r="B4340" s="6" t="s">
        <v>5461</v>
      </c>
      <c r="C4340" s="5" t="str">
        <f>IFERROR(__xludf.DUMMYFUNCTION("GOOGLETRANSLATE(B4340,""en"",""zh-CN"")"),"一家人在外面的大田地，站在橙色的栅栏后面，围栏听着女人说话进入麦克风。")</f>
        <v>一家人在外面的大田地，站在橙色的栅栏后面，围栏听着女人说话进入麦克风。</v>
      </c>
    </row>
    <row r="4341">
      <c r="A4341" s="4" t="s">
        <v>5460</v>
      </c>
      <c r="B4341" s="6" t="s">
        <v>5462</v>
      </c>
      <c r="C4341" s="5" t="str">
        <f>IFERROR(__xludf.DUMMYFUNCTION("GOOGLETRANSLATE(B4341,""en"",""zh-CN"")"),"然后，一名男性穿着与女人相同的shrit，开始向狗扔菜。")</f>
        <v>然后，一名男性穿着与女人相同的shrit，开始向狗扔菜。</v>
      </c>
    </row>
    <row r="4342">
      <c r="A4342" s="4" t="s">
        <v>5460</v>
      </c>
      <c r="B4342" s="4" t="s">
        <v>5463</v>
      </c>
      <c r="C4342" s="5" t="str">
        <f>IFERROR(__xludf.DUMMYFUNCTION("GOOGLETRANSLATE(B4342,""en"",""zh-CN"")"),"这项活动仍在继续，狗开始跳过狗的头和背部。")</f>
        <v>这项活动仍在继续，狗开始跳过狗的头和背部。</v>
      </c>
    </row>
    <row r="4343">
      <c r="A4343" s="4" t="s">
        <v>5460</v>
      </c>
      <c r="B4343" s="4" t="s">
        <v>5464</v>
      </c>
      <c r="C4343" s="5" t="str">
        <f>IFERROR(__xludf.DUMMYFUNCTION("GOOGLETRANSLATE(B4343,""en"",""zh-CN"")"),"然后其他人加入，男孩捡起狗走开。")</f>
        <v>然后其他人加入，男孩捡起狗走开。</v>
      </c>
    </row>
    <row r="4344">
      <c r="A4344" s="4" t="s">
        <v>5465</v>
      </c>
      <c r="B4344" s="4" t="s">
        <v>5466</v>
      </c>
      <c r="C4344" s="5" t="str">
        <f>IFERROR(__xludf.DUMMYFUNCTION("GOOGLETRANSLATE(B4344,""en"",""zh-CN"")"),"穿着红色衬衫的男人站在孩子身后的一个大绿地中。")</f>
        <v>穿着红色衬衫的男人站在孩子身后的一个大绿地中。</v>
      </c>
    </row>
    <row r="4345">
      <c r="A4345" s="4" t="s">
        <v>5465</v>
      </c>
      <c r="B4345" s="4" t="s">
        <v>5467</v>
      </c>
      <c r="C4345" s="5" t="str">
        <f>IFERROR(__xludf.DUMMYFUNCTION("GOOGLETRANSLATE(B4345,""en"",""zh-CN"")"),"小金发小孩扔球，一个孩子踢球在场上。")</f>
        <v>小金发小孩扔球，一个孩子踢球在场上。</v>
      </c>
    </row>
    <row r="4346">
      <c r="A4346" s="4" t="s">
        <v>5465</v>
      </c>
      <c r="B4346" s="4" t="s">
        <v>5468</v>
      </c>
      <c r="C4346" s="5" t="str">
        <f>IFERROR(__xludf.DUMMYFUNCTION("GOOGLETRANSLATE(B4346,""en"",""zh-CN"")"),"KISD正在野外奔跑以接球。")</f>
        <v>KISD正在野外奔跑以接球。</v>
      </c>
    </row>
    <row r="4347">
      <c r="A4347" s="4" t="s">
        <v>5469</v>
      </c>
      <c r="B4347" s="4" t="s">
        <v>5470</v>
      </c>
      <c r="C4347" s="5" t="str">
        <f>IFERROR(__xludf.DUMMYFUNCTION("GOOGLETRANSLATE(B4347,""en"",""zh-CN"")"),"一个人站在准备滑板的竞技场中。")</f>
        <v>一个人站在准备滑板的竞技场中。</v>
      </c>
    </row>
    <row r="4348">
      <c r="A4348" s="4" t="s">
        <v>5469</v>
      </c>
      <c r="B4348" s="4" t="s">
        <v>5471</v>
      </c>
      <c r="C4348" s="5" t="str">
        <f>IFERROR(__xludf.DUMMYFUNCTION("GOOGLETRANSLATE(B4348,""en"",""zh-CN"")"),"该男子滑下半管，从一端到另一端来回走动。")</f>
        <v>该男子滑下半管，从一端到另一端来回走动。</v>
      </c>
    </row>
    <row r="4349">
      <c r="A4349" s="4" t="s">
        <v>5469</v>
      </c>
      <c r="B4349" s="4" t="s">
        <v>5472</v>
      </c>
      <c r="C4349" s="5" t="str">
        <f>IFERROR(__xludf.DUMMYFUNCTION("GOOGLETRANSLATE(B4349,""en"",""zh-CN"")"),"该名男子失去了滑板，跪在膝盖上。")</f>
        <v>该名男子失去了滑板，跪在膝盖上。</v>
      </c>
    </row>
    <row r="4350">
      <c r="A4350" s="4" t="s">
        <v>5469</v>
      </c>
      <c r="B4350" s="4" t="s">
        <v>5473</v>
      </c>
      <c r="C4350" s="5" t="str">
        <f>IFERROR(__xludf.DUMMYFUNCTION("GOOGLETRANSLATE(B4350,""en"",""zh-CN"")"),"当另一个男人准备滑冰时，我们看到了这个人的失望。")</f>
        <v>当另一个男人准备滑冰时，我们看到了这个人的失望。</v>
      </c>
    </row>
    <row r="4351">
      <c r="A4351" s="4" t="s">
        <v>5469</v>
      </c>
      <c r="B4351" s="4" t="s">
        <v>5474</v>
      </c>
      <c r="C4351" s="5" t="str">
        <f>IFERROR(__xludf.DUMMYFUNCTION("GOOGLETRANSLATE(B4351,""en"",""zh-CN"")"),"该名男子走开，在舞台后面的滑板上啤酒。")</f>
        <v>该名男子走开，在舞台后面的滑板上啤酒。</v>
      </c>
    </row>
    <row r="4352">
      <c r="A4352" s="4" t="s">
        <v>5475</v>
      </c>
      <c r="B4352" s="4" t="s">
        <v>5476</v>
      </c>
      <c r="C4352" s="5" t="str">
        <f>IFERROR(__xludf.DUMMYFUNCTION("GOOGLETRANSLATE(B4352,""en"",""zh-CN"")"),"一个戴着雨伞的男人在雨期间擦了擦车。")</f>
        <v>一个戴着雨伞的男人在雨期间擦了擦车。</v>
      </c>
    </row>
    <row r="4353">
      <c r="A4353" s="4" t="s">
        <v>5475</v>
      </c>
      <c r="B4353" s="4" t="s">
        <v>5477</v>
      </c>
      <c r="C4353" s="5" t="str">
        <f>IFERROR(__xludf.DUMMYFUNCTION("GOOGLETRANSLATE(B4353,""en"",""zh-CN"")"),"他对镜头微笑，开始与相机人交谈。")</f>
        <v>他对镜头微笑，开始与相机人交谈。</v>
      </c>
    </row>
    <row r="4354">
      <c r="A4354" s="4" t="s">
        <v>5478</v>
      </c>
      <c r="B4354" s="4" t="s">
        <v>5479</v>
      </c>
      <c r="C4354" s="5" t="str">
        <f>IFERROR(__xludf.DUMMYFUNCTION("GOOGLETRANSLATE(B4354,""en"",""zh-CN"")"),"显示了几张彩弹枪和吸烟的男人的镜头。")</f>
        <v>显示了几张彩弹枪和吸烟的男人的镜头。</v>
      </c>
    </row>
    <row r="4355">
      <c r="A4355" s="4" t="s">
        <v>5478</v>
      </c>
      <c r="B4355" s="4" t="s">
        <v>5480</v>
      </c>
      <c r="C4355" s="5" t="str">
        <f>IFERROR(__xludf.DUMMYFUNCTION("GOOGLETRANSLATE(B4355,""en"",""zh-CN"")"),"这导致人们互相打彩弹并四处奔波。")</f>
        <v>这导致人们互相打彩弹并四处奔波。</v>
      </c>
    </row>
    <row r="4356">
      <c r="A4356" s="4" t="s">
        <v>5478</v>
      </c>
      <c r="B4356" s="4" t="s">
        <v>5481</v>
      </c>
      <c r="C4356" s="5" t="str">
        <f>IFERROR(__xludf.DUMMYFUNCTION("GOOGLETRANSLATE(B4356,""en"",""zh-CN"")"),"向人们互相玩耍和交谈的更多镜头。")</f>
        <v>向人们互相玩耍和交谈的更多镜头。</v>
      </c>
    </row>
    <row r="4357">
      <c r="A4357" s="4" t="s">
        <v>5482</v>
      </c>
      <c r="B4357" s="4" t="s">
        <v>5483</v>
      </c>
      <c r="C4357" s="5" t="str">
        <f>IFERROR(__xludf.DUMMYFUNCTION("GOOGLETRANSLATE(B4357,""en"",""zh-CN"")"),"一个女人把香烟放在她的嘴里。")</f>
        <v>一个女人把香烟放在她的嘴里。</v>
      </c>
    </row>
    <row r="4358">
      <c r="A4358" s="4" t="s">
        <v>5482</v>
      </c>
      <c r="B4358" s="4" t="s">
        <v>5484</v>
      </c>
      <c r="C4358" s="5" t="str">
        <f>IFERROR(__xludf.DUMMYFUNCTION("GOOGLETRANSLATE(B4358,""en"",""zh-CN"")"),"然后，女人点烟并抽烟。")</f>
        <v>然后，女人点烟并抽烟。</v>
      </c>
    </row>
    <row r="4359">
      <c r="A4359" s="4" t="s">
        <v>5482</v>
      </c>
      <c r="B4359" s="4" t="s">
        <v>5485</v>
      </c>
      <c r="C4359" s="5" t="str">
        <f>IFERROR(__xludf.DUMMYFUNCTION("GOOGLETRANSLATE(B4359,""en"",""zh-CN"")"),"女人从他的嘴里吹起烟。")</f>
        <v>女人从他的嘴里吹起烟。</v>
      </c>
    </row>
    <row r="4360">
      <c r="A4360" s="4" t="s">
        <v>5486</v>
      </c>
      <c r="B4360" s="4" t="s">
        <v>5487</v>
      </c>
      <c r="C4360" s="5" t="str">
        <f>IFERROR(__xludf.DUMMYFUNCTION("GOOGLETRANSLATE(B4360,""en"",""zh-CN"")"),"一组a​​fter子将木筏沿着路径沿着路线延伸。")</f>
        <v>一组a​​fter子将木筏沿着路径沿着路线延伸。</v>
      </c>
    </row>
    <row r="4361">
      <c r="A4361" s="4" t="s">
        <v>5486</v>
      </c>
      <c r="B4361" s="4" t="s">
        <v>5488</v>
      </c>
      <c r="C4361" s="5" t="str">
        <f>IFERROR(__xludf.DUMMYFUNCTION("GOOGLETRANSLATE(B4361,""en"",""zh-CN"")"),"一群a子沿着一条河流过小瀑布。")</f>
        <v>一群a子沿着一条河流过小瀑布。</v>
      </c>
    </row>
    <row r="4362">
      <c r="A4362" s="4" t="s">
        <v>5486</v>
      </c>
      <c r="B4362" s="4" t="s">
        <v>5489</v>
      </c>
      <c r="C4362" s="5" t="str">
        <f>IFERROR(__xludf.DUMMYFUNCTION("GOOGLETRANSLATE(B4362,""en"",""zh-CN"")"),"a子从那里爬上船上，走上小路。")</f>
        <v>a子从那里爬上船上，走上小路。</v>
      </c>
    </row>
    <row r="4363">
      <c r="A4363" s="4" t="s">
        <v>5486</v>
      </c>
      <c r="B4363" s="4" t="s">
        <v>5490</v>
      </c>
      <c r="C4363" s="5" t="str">
        <f>IFERROR(__xludf.DUMMYFUNCTION("GOOGLETRANSLATE(B4363,""en"",""zh-CN"")"),"人们从岩石跳入河的游泳洞。")</f>
        <v>人们从岩石跳入河的游泳洞。</v>
      </c>
    </row>
    <row r="4364">
      <c r="A4364" s="4" t="s">
        <v>5486</v>
      </c>
      <c r="B4364" s="4" t="s">
        <v>5491</v>
      </c>
      <c r="C4364" s="5" t="str">
        <f>IFERROR(__xludf.DUMMYFUNCTION("GOOGLETRANSLATE(B4364,""en"",""zh-CN"")"),"the子在海滨别墅享用户外午餐。")</f>
        <v>the子在海滨别墅享用户外午餐。</v>
      </c>
    </row>
    <row r="4365">
      <c r="A4365" s="4" t="s">
        <v>5492</v>
      </c>
      <c r="B4365" s="4" t="s">
        <v>5493</v>
      </c>
      <c r="C4365" s="5" t="str">
        <f>IFERROR(__xludf.DUMMYFUNCTION("GOOGLETRANSLATE(B4365,""en"",""zh-CN"")"),"一群人在山顶上方的升降机上。")</f>
        <v>一群人在山顶上方的升降机上。</v>
      </c>
    </row>
    <row r="4366">
      <c r="A4366" s="4" t="s">
        <v>5492</v>
      </c>
      <c r="B4366" s="4" t="s">
        <v>5494</v>
      </c>
      <c r="C4366" s="5" t="str">
        <f>IFERROR(__xludf.DUMMYFUNCTION("GOOGLETRANSLATE(B4366,""en"",""zh-CN"")"),"一个人爬上它，低头。")</f>
        <v>一个人爬上它，低头。</v>
      </c>
    </row>
    <row r="4367">
      <c r="A4367" s="4" t="s">
        <v>5492</v>
      </c>
      <c r="B4367" s="4" t="s">
        <v>5495</v>
      </c>
      <c r="C4367" s="5" t="str">
        <f>IFERROR(__xludf.DUMMYFUNCTION("GOOGLETRANSLATE(B4367,""en"",""zh-CN"")"),"他们蹦极跳，悬挂并在地面上摆动。")</f>
        <v>他们蹦极跳，悬挂并在地面上摆动。</v>
      </c>
    </row>
    <row r="4368">
      <c r="A4368" s="4" t="s">
        <v>5496</v>
      </c>
      <c r="B4368" s="4" t="s">
        <v>5497</v>
      </c>
      <c r="C4368" s="5" t="str">
        <f>IFERROR(__xludf.DUMMYFUNCTION("GOOGLETRANSLATE(B4368,""en"",""zh-CN"")"),"一群小鱼在海洋中游泳。")</f>
        <v>一群小鱼在海洋中游泳。</v>
      </c>
    </row>
    <row r="4369">
      <c r="A4369" s="4" t="s">
        <v>5496</v>
      </c>
      <c r="B4369" s="4" t="s">
        <v>5498</v>
      </c>
      <c r="C4369" s="5" t="str">
        <f>IFERROR(__xludf.DUMMYFUNCTION("GOOGLETRANSLATE(B4369,""en"",""zh-CN"")"),"海豹在海洋中游泳。")</f>
        <v>海豹在海洋中游泳。</v>
      </c>
    </row>
    <row r="4370">
      <c r="A4370" s="4" t="s">
        <v>5496</v>
      </c>
      <c r="B4370" s="4" t="s">
        <v>5499</v>
      </c>
      <c r="C4370" s="5" t="str">
        <f>IFERROR(__xludf.DUMMYFUNCTION("GOOGLETRANSLATE(B4370,""en"",""zh-CN"")"),"场景与人类切换到狗水肺潜水。")</f>
        <v>场景与人类切换到狗水肺潜水。</v>
      </c>
    </row>
    <row r="4371">
      <c r="A4371" s="4" t="s">
        <v>5496</v>
      </c>
      <c r="B4371" s="4" t="s">
        <v>5500</v>
      </c>
      <c r="C4371" s="5" t="str">
        <f>IFERROR(__xludf.DUMMYFUNCTION("GOOGLETRANSLATE(B4371,""en"",""zh-CN"")"),"该狗在船上的人类显示，其中一部分是其水肺设备。")</f>
        <v>该狗在船上的人类显示，其中一部分是其水肺设备。</v>
      </c>
    </row>
    <row r="4372">
      <c r="A4372" s="4" t="s">
        <v>5496</v>
      </c>
      <c r="B4372" s="4" t="s">
        <v>5501</v>
      </c>
      <c r="C4372" s="5" t="str">
        <f>IFERROR(__xludf.DUMMYFUNCTION("GOOGLETRANSLATE(B4372,""en"",""zh-CN"")"),"场景返回到狗水肺潜水。")</f>
        <v>场景返回到狗水肺潜水。</v>
      </c>
    </row>
    <row r="4373">
      <c r="A4373" s="4" t="s">
        <v>5496</v>
      </c>
      <c r="B4373" s="4" t="s">
        <v>5502</v>
      </c>
      <c r="C4373" s="5" t="str">
        <f>IFERROR(__xludf.DUMMYFUNCTION("GOOGLETRANSLATE(B4373,""en"",""zh-CN"")"),"场景变成了一只猫四处走走。")</f>
        <v>场景变成了一只猫四处走走。</v>
      </c>
    </row>
    <row r="4374">
      <c r="A4374" s="4" t="s">
        <v>5496</v>
      </c>
      <c r="B4374" s="4" t="s">
        <v>5503</v>
      </c>
      <c r="C4374" s="5" t="str">
        <f>IFERROR(__xludf.DUMMYFUNCTION("GOOGLETRANSLATE(B4374,""en"",""zh-CN"")"),"猫显示游泳和潜水。")</f>
        <v>猫显示游泳和潜水。</v>
      </c>
    </row>
    <row r="4375">
      <c r="A4375" s="4" t="s">
        <v>5496</v>
      </c>
      <c r="B4375" s="4" t="s">
        <v>5504</v>
      </c>
      <c r="C4375" s="5" t="str">
        <f>IFERROR(__xludf.DUMMYFUNCTION("GOOGLETRANSLATE(B4375,""en"",""zh-CN"")"),"猫和狗一起在各种快速场景中显示。")</f>
        <v>猫和狗一起在各种快速场景中显示。</v>
      </c>
    </row>
    <row r="4376">
      <c r="A4376" s="4" t="s">
        <v>5505</v>
      </c>
      <c r="B4376" s="4" t="s">
        <v>5506</v>
      </c>
      <c r="C4376" s="5" t="str">
        <f>IFERROR(__xludf.DUMMYFUNCTION("GOOGLETRANSLATE(B4376,""en"",""zh-CN"")"),"两个人在舞池里跳舞。")</f>
        <v>两个人在舞池里跳舞。</v>
      </c>
    </row>
    <row r="4377">
      <c r="A4377" s="4" t="s">
        <v>5505</v>
      </c>
      <c r="B4377" s="4" t="s">
        <v>5507</v>
      </c>
      <c r="C4377" s="5" t="str">
        <f>IFERROR(__xludf.DUMMYFUNCTION("GOOGLETRANSLATE(B4377,""en"",""zh-CN"")"),"人们坐在场边看着他们跳舞。")</f>
        <v>人们坐在场边看着他们跳舞。</v>
      </c>
    </row>
    <row r="4378">
      <c r="A4378" s="4" t="s">
        <v>5505</v>
      </c>
      <c r="B4378" s="4" t="s">
        <v>5508</v>
      </c>
      <c r="C4378" s="5" t="str">
        <f>IFERROR(__xludf.DUMMYFUNCTION("GOOGLETRANSLATE(B4378,""en"",""zh-CN"")"),"他们继续在舞池里跳舞。")</f>
        <v>他们继续在舞池里跳舞。</v>
      </c>
    </row>
    <row r="4379">
      <c r="A4379" s="4" t="s">
        <v>5509</v>
      </c>
      <c r="B4379" s="4" t="s">
        <v>5510</v>
      </c>
      <c r="C4379" s="5" t="str">
        <f>IFERROR(__xludf.DUMMYFUNCTION("GOOGLETRANSLATE(B4379,""en"",""zh-CN"")"),"一个男人把球放在地上，然后扔旗。")</f>
        <v>一个男人把球放在地上，然后扔旗。</v>
      </c>
    </row>
    <row r="4380">
      <c r="A4380" s="4" t="s">
        <v>5509</v>
      </c>
      <c r="B4380" s="4" t="s">
        <v>5511</v>
      </c>
      <c r="C4380" s="5" t="str">
        <f>IFERROR(__xludf.DUMMYFUNCTION("GOOGLETRANSLATE(B4380,""en"",""zh-CN"")"),"他击球，使一场比赛发动。")</f>
        <v>他击球，使一场比赛发动。</v>
      </c>
    </row>
    <row r="4381">
      <c r="A4381" s="4" t="s">
        <v>5509</v>
      </c>
      <c r="B4381" s="4" t="s">
        <v>5512</v>
      </c>
      <c r="C4381" s="5" t="str">
        <f>IFERROR(__xludf.DUMMYFUNCTION("GOOGLETRANSLATE(B4381,""en"",""zh-CN"")"),"球员为球而战，使球成为进球，观众欢呼雀跃。")</f>
        <v>球员为球而战，使球成为进球，观众欢呼雀跃。</v>
      </c>
    </row>
    <row r="4382">
      <c r="A4382" s="4" t="s">
        <v>5509</v>
      </c>
      <c r="B4382" s="4" t="s">
        <v>5513</v>
      </c>
      <c r="C4382" s="5" t="str">
        <f>IFERROR(__xludf.DUMMYFUNCTION("GOOGLETRANSLATE(B4382,""en"",""zh-CN"")"),"随着球员的竞争，比赛继续进行。")</f>
        <v>随着球员的竞争，比赛继续进行。</v>
      </c>
    </row>
    <row r="4383">
      <c r="A4383" s="4" t="s">
        <v>5514</v>
      </c>
      <c r="B4383" s="6" t="s">
        <v>5515</v>
      </c>
      <c r="C4383" s="5" t="str">
        <f>IFERROR(__xludf.DUMMYFUNCTION("GOOGLETRANSLATE(B4383,""en"",""zh-CN"")"),"一个穿着黑色连衣裙和红色开衫的年轻女子站在厨房切割水果的角落。")</f>
        <v>一个穿着黑色连衣裙和红色开衫的年轻女子站在厨房切割水果的角落。</v>
      </c>
    </row>
    <row r="4384">
      <c r="A4384" s="4" t="s">
        <v>5514</v>
      </c>
      <c r="B4384" s="6" t="s">
        <v>5516</v>
      </c>
      <c r="C4384" s="5" t="str">
        <f>IFERROR(__xludf.DUMMYFUNCTION("GOOGLETRANSLATE(B4384,""en"",""zh-CN"")"),"一段时间后，她抓住了六个草莓，并在开始切葡萄时将其留在切菜板上。")</f>
        <v>一段时间后，她抓住了六个草莓，并在开始切葡萄时将其留在切菜板上。</v>
      </c>
    </row>
    <row r="4385">
      <c r="A4385" s="4" t="s">
        <v>5514</v>
      </c>
      <c r="B4385" s="6" t="s">
        <v>5517</v>
      </c>
      <c r="C4385" s="5" t="str">
        <f>IFERROR(__xludf.DUMMYFUNCTION("GOOGLETRANSLATE(B4385,""en"",""zh-CN"")"),"在她面前，有两个大碗里满是水果，她开始将切成的水果放在那些碗中。")</f>
        <v>在她面前，有两个大碗里满是水果，她开始将切成的水果放在那些碗中。</v>
      </c>
    </row>
    <row r="4386">
      <c r="A4386" s="4" t="s">
        <v>5514</v>
      </c>
      <c r="B4386" s="6" t="s">
        <v>5518</v>
      </c>
      <c r="C4386" s="5" t="str">
        <f>IFERROR(__xludf.DUMMYFUNCTION("GOOGLETRANSLATE(B4386,""en"",""zh-CN"")"),"然后，相机移动，人放大了水果碗的内容物，显示菠萝，草莓和葡萄。")</f>
        <v>然后，相机移动，人放大了水果碗的内容物，显示菠萝，草莓和葡萄。</v>
      </c>
    </row>
    <row r="4387">
      <c r="A4387" s="4" t="s">
        <v>5519</v>
      </c>
      <c r="B4387" s="4" t="s">
        <v>5520</v>
      </c>
      <c r="C4387" s="5" t="str">
        <f>IFERROR(__xludf.DUMMYFUNCTION("GOOGLETRANSLATE(B4387,""en"",""zh-CN"")"),"一个男人坐在椅子上，用理发师剪头发。")</f>
        <v>一个男人坐在椅子上，用理发师剪头发。</v>
      </c>
    </row>
    <row r="4388">
      <c r="A4388" s="4" t="s">
        <v>5519</v>
      </c>
      <c r="B4388" s="6" t="s">
        <v>5521</v>
      </c>
      <c r="C4388" s="5" t="str">
        <f>IFERROR(__xludf.DUMMYFUNCTION("GOOGLETRANSLATE(B4388,""en"",""zh-CN"")"),"一个男人梳子和一对剪刀，开始将头发切成梳子上方，然后将其梳理到男人的头部。")</f>
        <v>一个男人梳子和一对剪刀，开始将头发切成梳子上方，然后将其梳理到男人的头部。</v>
      </c>
    </row>
    <row r="4389">
      <c r="A4389" s="4" t="s">
        <v>5519</v>
      </c>
      <c r="B4389" s="4" t="s">
        <v>5522</v>
      </c>
      <c r="C4389" s="5" t="str">
        <f>IFERROR(__xludf.DUMMYFUNCTION("GOOGLETRANSLATE(B4389,""en"",""zh-CN"")"),"然后雄性转弯，头发的中间开始修剪。")</f>
        <v>然后雄性转弯，头发的中间开始修剪。</v>
      </c>
    </row>
    <row r="4390">
      <c r="A4390" s="4" t="s">
        <v>5519</v>
      </c>
      <c r="B4390" s="4" t="s">
        <v>5523</v>
      </c>
      <c r="C4390" s="5" t="str">
        <f>IFERROR(__xludf.DUMMYFUNCTION("GOOGLETRANSLATE(B4390,""en"",""zh-CN"")"),"接下来是侧面，重复相同的动作，直到头发完成。")</f>
        <v>接下来是侧面，重复相同的动作，直到头发完成。</v>
      </c>
    </row>
    <row r="4391">
      <c r="A4391" s="4" t="s">
        <v>5519</v>
      </c>
      <c r="B4391" s="6" t="s">
        <v>5524</v>
      </c>
      <c r="C4391" s="5" t="str">
        <f>IFERROR(__xludf.DUMMYFUNCTION("GOOGLETRANSLATE(B4391,""en"",""zh-CN"")"),"最后，剃须刀被取出，理发师开始使男人的头发边缘，而理发师则以梳子和剪刀的方式最后一次越过头发。")</f>
        <v>最后，剃须刀被取出，理发师开始使男人的头发边缘，而理发师则以梳子和剪刀的方式最后一次越过头发。</v>
      </c>
    </row>
    <row r="4392">
      <c r="A4392" s="4" t="s">
        <v>5525</v>
      </c>
      <c r="B4392" s="4" t="s">
        <v>5526</v>
      </c>
      <c r="C4392" s="5" t="str">
        <f>IFERROR(__xludf.DUMMYFUNCTION("GOOGLETRANSLATE(B4392,""en"",""zh-CN"")"),"一个男人坐在锻炼设备上时看到相机说话。")</f>
        <v>一个男人坐在锻炼设备上时看到相机说话。</v>
      </c>
    </row>
    <row r="4393">
      <c r="A4393" s="4" t="s">
        <v>5525</v>
      </c>
      <c r="B4393" s="4" t="s">
        <v>5527</v>
      </c>
      <c r="C4393" s="5" t="str">
        <f>IFERROR(__xludf.DUMMYFUNCTION("GOOGLETRANSLATE(B4393,""en"",""zh-CN"")"),"他调整机器上的设置，并开始使用背部和第四个设置。")</f>
        <v>他调整机器上的设置，并开始使用背部和第四个设置。</v>
      </c>
    </row>
    <row r="4394">
      <c r="A4394" s="4" t="s">
        <v>5525</v>
      </c>
      <c r="B4394" s="4" t="s">
        <v>5528</v>
      </c>
      <c r="C4394" s="5" t="str">
        <f>IFERROR(__xludf.DUMMYFUNCTION("GOOGLETRANSLATE(B4394,""en"",""zh-CN"")"),"他抓住机器，通过与摄像机说话结束自己。")</f>
        <v>他抓住机器，通过与摄像机说话结束自己。</v>
      </c>
    </row>
    <row r="4395">
      <c r="A4395" s="4" t="s">
        <v>5529</v>
      </c>
      <c r="B4395" s="4" t="s">
        <v>5530</v>
      </c>
      <c r="C4395" s="5" t="str">
        <f>IFERROR(__xludf.DUMMYFUNCTION("GOOGLETRANSLATE(B4395,""en"",""zh-CN"")"),"一名男运动员准备跑步。")</f>
        <v>一名男运动员准备跑步。</v>
      </c>
    </row>
    <row r="4396">
      <c r="A4396" s="4" t="s">
        <v>5529</v>
      </c>
      <c r="B4396" s="4" t="s">
        <v>5531</v>
      </c>
      <c r="C4396" s="5" t="str">
        <f>IFERROR(__xludf.DUMMYFUNCTION("GOOGLETRANSLATE(B4396,""en"",""zh-CN"")"),"他用标枪在肩膀上奔跑。")</f>
        <v>他用标枪在肩膀上奔跑。</v>
      </c>
    </row>
    <row r="4397">
      <c r="A4397" s="4" t="s">
        <v>5529</v>
      </c>
      <c r="B4397" s="4" t="s">
        <v>5532</v>
      </c>
      <c r="C4397" s="5" t="str">
        <f>IFERROR(__xludf.DUMMYFUNCTION("GOOGLETRANSLATE(B4397,""en"",""zh-CN"")"),"他尽可能地扔掉它。")</f>
        <v>他尽可能地扔掉它。</v>
      </c>
    </row>
    <row r="4398">
      <c r="A4398" s="4" t="s">
        <v>5529</v>
      </c>
      <c r="B4398" s="4" t="s">
        <v>5533</v>
      </c>
      <c r="C4398" s="5" t="str">
        <f>IFERROR(__xludf.DUMMYFUNCTION("GOOGLETRANSLATE(B4398,""en"",""zh-CN"")"),"然后其他人不久之后也这样做。")</f>
        <v>然后其他人不久之后也这样做。</v>
      </c>
    </row>
    <row r="4399">
      <c r="A4399" s="4" t="s">
        <v>5534</v>
      </c>
      <c r="B4399" s="4" t="s">
        <v>5535</v>
      </c>
      <c r="C4399" s="5" t="str">
        <f>IFERROR(__xludf.DUMMYFUNCTION("GOOGLETRANSLATE(B4399,""en"",""zh-CN"")"),"两名妇女骑在四轮车的后部，挥舞着。")</f>
        <v>两名妇女骑在四轮车的后部，挥舞着。</v>
      </c>
    </row>
    <row r="4400">
      <c r="A4400" s="4" t="s">
        <v>5534</v>
      </c>
      <c r="B4400" s="4" t="s">
        <v>5536</v>
      </c>
      <c r="C4400" s="5" t="str">
        <f>IFERROR(__xludf.DUMMYFUNCTION("GOOGLETRANSLATE(B4400,""en"",""zh-CN"")"),"一个男人与几个人合影，去田野打彩弹。")</f>
        <v>一个男人与几个人合影，去田野打彩弹。</v>
      </c>
    </row>
    <row r="4401">
      <c r="A4401" s="4" t="s">
        <v>5534</v>
      </c>
      <c r="B4401" s="4" t="s">
        <v>5537</v>
      </c>
      <c r="C4401" s="5" t="str">
        <f>IFERROR(__xludf.DUMMYFUNCTION("GOOGLETRANSLATE(B4401,""en"",""zh-CN"")"),"人们装备并躲在障碍物后面，互相射击。")</f>
        <v>人们装备并躲在障碍物后面，互相射击。</v>
      </c>
    </row>
    <row r="4402">
      <c r="A4402" s="4" t="s">
        <v>5538</v>
      </c>
      <c r="B4402" s="4" t="s">
        <v>5539</v>
      </c>
      <c r="C4402" s="5" t="str">
        <f>IFERROR(__xludf.DUMMYFUNCTION("GOOGLETRANSLATE(B4402,""en"",""zh-CN"")"),"观众观看时，一个人在各种公共场合中演奏萨克斯管。")</f>
        <v>观众观看时，一个人在各种公共场合中演奏萨克斯管。</v>
      </c>
    </row>
    <row r="4403">
      <c r="A4403" s="4" t="s">
        <v>5538</v>
      </c>
      <c r="B4403" s="4" t="s">
        <v>5540</v>
      </c>
      <c r="C4403" s="5" t="str">
        <f>IFERROR(__xludf.DUMMYFUNCTION("GOOGLETRANSLATE(B4403,""en"",""zh-CN"")"),"该男子躺在地上时玩。")</f>
        <v>该男子躺在地上时玩。</v>
      </c>
    </row>
    <row r="4404">
      <c r="A4404" s="4" t="s">
        <v>5538</v>
      </c>
      <c r="B4404" s="4" t="s">
        <v>5541</v>
      </c>
      <c r="C4404" s="5" t="str">
        <f>IFERROR(__xludf.DUMMYFUNCTION("GOOGLETRANSLATE(B4404,""en"",""zh-CN"")"),"一名保安人员搭他并护送他。")</f>
        <v>一名保安人员搭他并护送他。</v>
      </c>
    </row>
    <row r="4405">
      <c r="A4405" s="4" t="s">
        <v>5538</v>
      </c>
      <c r="B4405" s="4" t="s">
        <v>5542</v>
      </c>
      <c r="C4405" s="5" t="str">
        <f>IFERROR(__xludf.DUMMYFUNCTION("GOOGLETRANSLATE(B4405,""en"",""zh-CN"")"),"该男子站起来，玩耍时走开。")</f>
        <v>该男子站起来，玩耍时走开。</v>
      </c>
    </row>
    <row r="4406">
      <c r="A4406" s="4" t="s">
        <v>5538</v>
      </c>
      <c r="B4406" s="4" t="s">
        <v>5543</v>
      </c>
      <c r="C4406" s="5" t="str">
        <f>IFERROR(__xludf.DUMMYFUNCTION("GOOGLETRANSLATE(B4406,""en"",""zh-CN"")"),"显示了在各种公共场合中演奏萨克斯管的更多场景。")</f>
        <v>显示了在各种公共场合中演奏萨克斯管的更多场景。</v>
      </c>
    </row>
    <row r="4407">
      <c r="A4407" s="4" t="s">
        <v>5544</v>
      </c>
      <c r="B4407" s="4" t="s">
        <v>5545</v>
      </c>
      <c r="C4407" s="5" t="str">
        <f>IFERROR(__xludf.DUMMYFUNCTION("GOOGLETRANSLATE(B4407,""en"",""zh-CN"")"),"球员在球场上打球。")</f>
        <v>球员在球场上打球。</v>
      </c>
    </row>
    <row r="4408">
      <c r="A4408" s="4" t="s">
        <v>5544</v>
      </c>
      <c r="B4408" s="4" t="s">
        <v>5546</v>
      </c>
      <c r="C4408" s="5" t="str">
        <f>IFERROR(__xludf.DUMMYFUNCTION("GOOGLETRANSLATE(B4408,""en"",""zh-CN"")"),"一个穿着黑色衬衫的男人潜入并撞到地面。")</f>
        <v>一个穿着黑色衬衫的男人潜入并撞到地面。</v>
      </c>
    </row>
    <row r="4409">
      <c r="A4409" s="4" t="s">
        <v>5544</v>
      </c>
      <c r="B4409" s="4" t="s">
        <v>5547</v>
      </c>
      <c r="C4409" s="5" t="str">
        <f>IFERROR(__xludf.DUMMYFUNCTION("GOOGLETRANSLATE(B4409,""en"",""zh-CN"")"),"有人得分，人群庆祝。")</f>
        <v>有人得分，人群庆祝。</v>
      </c>
    </row>
    <row r="4410">
      <c r="A4410" s="4" t="s">
        <v>5548</v>
      </c>
      <c r="B4410" s="4" t="s">
        <v>5549</v>
      </c>
      <c r="C4410" s="5" t="str">
        <f>IFERROR(__xludf.DUMMYFUNCTION("GOOGLETRANSLATE(B4410,""en"",""zh-CN"")"),"显示了一张鹅卵石桌子的特写，人们四处移动民意测验。")</f>
        <v>显示了一张鹅卵石桌子的特写，人们四处移动民意测验。</v>
      </c>
    </row>
    <row r="4411">
      <c r="A4411" s="4" t="s">
        <v>5548</v>
      </c>
      <c r="B4411" s="4" t="s">
        <v>5550</v>
      </c>
      <c r="C4411" s="5" t="str">
        <f>IFERROR(__xludf.DUMMYFUNCTION("GOOGLETRANSLATE(B4411,""en"",""zh-CN"")"),"当人民继续互相比赛时，该男子上下跳动。")</f>
        <v>当人民继续互相比赛时，该男子上下跳动。</v>
      </c>
    </row>
    <row r="4412">
      <c r="A4412" s="4" t="s">
        <v>5548</v>
      </c>
      <c r="B4412" s="4" t="s">
        <v>5551</v>
      </c>
      <c r="C4412" s="5" t="str">
        <f>IFERROR(__xludf.DUMMYFUNCTION("GOOGLETRANSLATE(B4412,""en"",""zh-CN"")"),"一个人逃跑抓住球，带领他们打球。")</f>
        <v>一个人逃跑抓住球，带领他们打球。</v>
      </c>
    </row>
    <row r="4413">
      <c r="A4413" s="4" t="s">
        <v>5552</v>
      </c>
      <c r="B4413" s="4" t="s">
        <v>5553</v>
      </c>
      <c r="C4413" s="5" t="str">
        <f>IFERROR(__xludf.DUMMYFUNCTION("GOOGLETRANSLATE(B4413,""en"",""zh-CN"")"),"看到一个男人在相机上说话，而一大群人走在他身后。")</f>
        <v>看到一个男人在相机上说话，而一大群人走在他身后。</v>
      </c>
    </row>
    <row r="4414">
      <c r="A4414" s="4" t="s">
        <v>5552</v>
      </c>
      <c r="B4414" s="4" t="s">
        <v>5554</v>
      </c>
      <c r="C4414" s="5" t="str">
        <f>IFERROR(__xludf.DUMMYFUNCTION("GOOGLETRANSLATE(B4414,""en"",""zh-CN"")"),"然后，向人们展示了几张镜头，其中有些人摔倒了。")</f>
        <v>然后，向人们展示了几张镜头，其中有些人摔倒了。</v>
      </c>
    </row>
    <row r="4415">
      <c r="A4415" s="4" t="s">
        <v>5552</v>
      </c>
      <c r="B4415" s="4" t="s">
        <v>5555</v>
      </c>
      <c r="C4415" s="5" t="str">
        <f>IFERROR(__xludf.DUMMYFUNCTION("GOOGLETRANSLATE(B4415,""en"",""zh-CN"")"),"有更多的剪辑显示了人们骑在水中以及掉下来并大喊相机的剪辑。")</f>
        <v>有更多的剪辑显示了人们骑在水中以及掉下来并大喊相机的剪辑。</v>
      </c>
    </row>
    <row r="4416">
      <c r="A4416" s="4" t="s">
        <v>5556</v>
      </c>
      <c r="B4416" s="4" t="s">
        <v>5557</v>
      </c>
      <c r="C4416" s="5" t="str">
        <f>IFERROR(__xludf.DUMMYFUNCTION("GOOGLETRANSLATE(B4416,""en"",""zh-CN"")"),"看到一名妇女拿着警棍并打出姿势，走到一个大健身地板上。")</f>
        <v>看到一名妇女拿着警棍并打出姿势，走到一个大健身地板上。</v>
      </c>
    </row>
    <row r="4417">
      <c r="A4417" s="4" t="s">
        <v>5556</v>
      </c>
      <c r="B4417" s="6" t="s">
        <v>5558</v>
      </c>
      <c r="C4417" s="5" t="str">
        <f>IFERROR(__xludf.DUMMYFUNCTION("GOOGLETRANSLATE(B4417,""en"",""zh-CN"")"),"然后，该女子进行了舞蹈舞，警棍将其扔向空中并旋转。")</f>
        <v>然后，该女子进行了舞蹈舞，警棍将其扔向空中并旋转。</v>
      </c>
    </row>
    <row r="4418">
      <c r="A4418" s="4" t="s">
        <v>5556</v>
      </c>
      <c r="B4418" s="4" t="s">
        <v>5559</v>
      </c>
      <c r="C4418" s="5" t="str">
        <f>IFERROR(__xludf.DUMMYFUNCTION("GOOGLETRANSLATE(B4418,""en"",""zh-CN"")"),"她继续旋转，最后构成姿势，然后离开法官。")</f>
        <v>她继续旋转，最后构成姿势，然后离开法官。</v>
      </c>
    </row>
    <row r="4419">
      <c r="A4419" s="4" t="s">
        <v>5560</v>
      </c>
      <c r="B4419" s="4" t="s">
        <v>5561</v>
      </c>
      <c r="C4419" s="5" t="str">
        <f>IFERROR(__xludf.DUMMYFUNCTION("GOOGLETRANSLATE(B4419,""en"",""zh-CN"")"),"屏幕上显示了徽标“皮肤上的theksiny on Skin上”和“不感冒或流感的＃1方法”。")</f>
        <v>屏幕上显示了徽标“皮肤上的theksiny on Skin上”和“不感冒或流感的＃1方法”。</v>
      </c>
    </row>
    <row r="4420">
      <c r="A4420" s="4" t="s">
        <v>5560</v>
      </c>
      <c r="B4420" s="4" t="s">
        <v>5562</v>
      </c>
      <c r="C4420" s="5" t="str">
        <f>IFERROR(__xludf.DUMMYFUNCTION("GOOGLETRANSLATE(B4420,""en"",""zh-CN"")"),"丽莎·凯利特（Lisa Kellett）博士在水槽旁边的医学检查室里对镜头说话。")</f>
        <v>丽莎·凯利特（Lisa Kellett）博士在水槽旁边的医学检查室里对镜头说话。</v>
      </c>
    </row>
    <row r="4421">
      <c r="A4421" s="4" t="s">
        <v>5560</v>
      </c>
      <c r="B4421" s="4" t="s">
        <v>5563</v>
      </c>
      <c r="C4421" s="5" t="str">
        <f>IFERROR(__xludf.DUMMYFUNCTION("GOOGLETRANSLATE(B4421,""en"",""zh-CN"")"),"医生展示了像医生一样洗手的步骤。")</f>
        <v>医生展示了像医生一样洗手的步骤。</v>
      </c>
    </row>
    <row r="4422">
      <c r="A4422" s="4" t="s">
        <v>5560</v>
      </c>
      <c r="B4422" s="4" t="s">
        <v>5564</v>
      </c>
      <c r="C4422" s="5" t="str">
        <f>IFERROR(__xludf.DUMMYFUNCTION("GOOGLETRANSLATE(B4422,""en"",""zh-CN"")"),"徽标和网站地址再次出现在屏幕上。")</f>
        <v>徽标和网站地址再次出现在屏幕上。</v>
      </c>
    </row>
    <row r="4423">
      <c r="A4423" s="4" t="s">
        <v>5565</v>
      </c>
      <c r="B4423" s="4" t="s">
        <v>5566</v>
      </c>
      <c r="C4423" s="5" t="str">
        <f>IFERROR(__xludf.DUMMYFUNCTION("GOOGLETRANSLATE(B4423,""en"",""zh-CN"")"),"网页和公司的地址。")</f>
        <v>网页和公司的地址。</v>
      </c>
    </row>
    <row r="4424">
      <c r="A4424" s="4" t="s">
        <v>5565</v>
      </c>
      <c r="B4424" s="4" t="s">
        <v>5567</v>
      </c>
      <c r="C4424" s="5" t="str">
        <f>IFERROR(__xludf.DUMMYFUNCTION("GOOGLETRANSLATE(B4424,""en"",""zh-CN"")"),"杆子上的绿色标志。")</f>
        <v>杆子上的绿色标志。</v>
      </c>
    </row>
    <row r="4425">
      <c r="A4425" s="4" t="s">
        <v>5565</v>
      </c>
      <c r="B4425" s="4" t="s">
        <v>5568</v>
      </c>
      <c r="C4425" s="5" t="str">
        <f>IFERROR(__xludf.DUMMYFUNCTION("GOOGLETRANSLATE(B4425,""en"",""zh-CN"")"),"女人在汽车店里的电话上聊天。")</f>
        <v>女人在汽车店里的电话上聊天。</v>
      </c>
    </row>
    <row r="4426">
      <c r="A4426" s="4" t="s">
        <v>5565</v>
      </c>
      <c r="B4426" s="4" t="s">
        <v>5569</v>
      </c>
      <c r="C4426" s="5" t="str">
        <f>IFERROR(__xludf.DUMMYFUNCTION("GOOGLETRANSLATE(B4426,""en"",""zh-CN"")"),"当人们看着时，人正在抛光黑色汽车。")</f>
        <v>当人们看着时，人正在抛光黑色汽车。</v>
      </c>
    </row>
    <row r="4427">
      <c r="A4427" s="4" t="s">
        <v>5565</v>
      </c>
      <c r="B4427" s="4" t="s">
        <v>5570</v>
      </c>
      <c r="C4427" s="5" t="str">
        <f>IFERROR(__xludf.DUMMYFUNCTION("GOOGLETRANSLATE(B4427,""en"",""zh-CN"")"),"两个人在外面和内部清洁汽车。")</f>
        <v>两个人在外面和内部清洁汽车。</v>
      </c>
    </row>
    <row r="4428">
      <c r="A4428" s="4" t="s">
        <v>5565</v>
      </c>
      <c r="B4428" s="4" t="s">
        <v>5571</v>
      </c>
      <c r="C4428" s="5" t="str">
        <f>IFERROR(__xludf.DUMMYFUNCTION("GOOGLETRANSLATE(B4428,""en"",""zh-CN"")"),"三辆车停在商店前。")</f>
        <v>三辆车停在商店前。</v>
      </c>
    </row>
    <row r="4429">
      <c r="A4429" s="4" t="s">
        <v>5572</v>
      </c>
      <c r="B4429" s="6" t="s">
        <v>5573</v>
      </c>
      <c r="C4429" s="5" t="str">
        <f>IFERROR(__xludf.DUMMYFUNCTION("GOOGLETRANSLATE(B4429,""en"",""zh-CN"")"),"看到一个人骑着一匹马，握着一块绳子向后移动。")</f>
        <v>看到一个人骑着一匹马，握着一块绳子向后移动。</v>
      </c>
    </row>
    <row r="4430">
      <c r="A4430" s="4" t="s">
        <v>5572</v>
      </c>
      <c r="B4430" s="6" t="s">
        <v>5574</v>
      </c>
      <c r="C4430" s="5" t="str">
        <f>IFERROR(__xludf.DUMMYFUNCTION("GOOGLETRANSLATE(B4430,""en"",""zh-CN"")"),"该名男子稍微抬起马，然后脱下追逐小牛并绑住他并将他绑住。")</f>
        <v>该名男子稍微抬起马，然后脱下追逐小牛并绑住他并将他绑住。</v>
      </c>
    </row>
    <row r="4431">
      <c r="A4431" s="4" t="s">
        <v>5572</v>
      </c>
      <c r="B4431" s="4" t="s">
        <v>5575</v>
      </c>
      <c r="C4431" s="5" t="str">
        <f>IFERROR(__xludf.DUMMYFUNCTION("GOOGLETRANSLATE(B4431,""en"",""zh-CN"")"),"小腿移动时，他将双手伸向空中，然后爬回马顶。")</f>
        <v>小腿移动时，他将双手伸向空中，然后爬回马顶。</v>
      </c>
    </row>
    <row r="4432">
      <c r="A4432" s="4" t="s">
        <v>5576</v>
      </c>
      <c r="B4432" s="4" t="s">
        <v>5577</v>
      </c>
      <c r="C4432" s="5" t="str">
        <f>IFERROR(__xludf.DUMMYFUNCTION("GOOGLETRANSLATE(B4432,""en"",""zh-CN"")"),"这个人试图向后射击台球桌上的白球。")</f>
        <v>这个人试图向后射击台球桌上的白球。</v>
      </c>
    </row>
    <row r="4433">
      <c r="A4433" s="4" t="s">
        <v>5576</v>
      </c>
      <c r="B4433" s="6" t="s">
        <v>5578</v>
      </c>
      <c r="C4433" s="5" t="str">
        <f>IFERROR(__xludf.DUMMYFUNCTION("GOOGLETRANSLATE(B4433,""en"",""zh-CN"")"),"他一直在努力向后射击，但他只是不能，所以他决定按照常规方式向前射击。")</f>
        <v>他一直在努力向后射击，但他只是不能，所以他决定按照常规方式向前射击。</v>
      </c>
    </row>
    <row r="4434">
      <c r="A4434" s="4" t="s">
        <v>5576</v>
      </c>
      <c r="B4434" s="4" t="s">
        <v>5579</v>
      </c>
      <c r="C4434" s="5" t="str">
        <f>IFERROR(__xludf.DUMMYFUNCTION("GOOGLETRANSLATE(B4434,""en"",""zh-CN"")"),"当他这样做时，他放下了提示，然后走开。")</f>
        <v>当他这样做时，他放下了提示，然后走开。</v>
      </c>
    </row>
    <row r="4435">
      <c r="A4435" s="4" t="s">
        <v>5580</v>
      </c>
      <c r="B4435" s="4" t="s">
        <v>5581</v>
      </c>
      <c r="C4435" s="5" t="str">
        <f>IFERROR(__xludf.DUMMYFUNCTION("GOOGLETRANSLATE(B4435,""en"",""zh-CN"")"),"一个人站在拿着斧头的田野里。")</f>
        <v>一个人站在拿着斧头的田野里。</v>
      </c>
    </row>
    <row r="4436">
      <c r="A4436" s="4" t="s">
        <v>5580</v>
      </c>
      <c r="B4436" s="4" t="s">
        <v>5582</v>
      </c>
      <c r="C4436" s="5" t="str">
        <f>IFERROR(__xludf.DUMMYFUNCTION("GOOGLETRANSLATE(B4436,""en"",""zh-CN"")"),"该男子将斧头抬到头顶上。")</f>
        <v>该男子将斧头抬到头顶上。</v>
      </c>
    </row>
    <row r="4437">
      <c r="A4437" s="4" t="s">
        <v>5580</v>
      </c>
      <c r="B4437" s="4" t="s">
        <v>5583</v>
      </c>
      <c r="C4437" s="5" t="str">
        <f>IFERROR(__xludf.DUMMYFUNCTION("GOOGLETRANSLATE(B4437,""en"",""zh-CN"")"),"该男子在树桩上分裂了一块木头。")</f>
        <v>该男子在树桩上分裂了一块木头。</v>
      </c>
    </row>
    <row r="4438">
      <c r="A4438" s="4" t="s">
        <v>5580</v>
      </c>
      <c r="B4438" s="4" t="s">
        <v>5584</v>
      </c>
      <c r="C4438" s="5" t="str">
        <f>IFERROR(__xludf.DUMMYFUNCTION("GOOGLETRANSLATE(B4438,""en"",""zh-CN"")"),"然后，男人站立。")</f>
        <v>然后，男人站立。</v>
      </c>
    </row>
    <row r="4439">
      <c r="A4439" s="4" t="s">
        <v>5585</v>
      </c>
      <c r="B4439" s="4" t="s">
        <v>5586</v>
      </c>
      <c r="C4439" s="5" t="str">
        <f>IFERROR(__xludf.DUMMYFUNCTION("GOOGLETRANSLATE(B4439,""en"",""zh-CN"")"),"看到一辆汽车沿着道路行驶，通向人们收紧道路并抓住饮料。")</f>
        <v>看到一辆汽车沿着道路行驶，通向人们收紧道路并抓住饮料。</v>
      </c>
    </row>
    <row r="4440">
      <c r="A4440" s="4" t="s">
        <v>5585</v>
      </c>
      <c r="B4440" s="4" t="s">
        <v>5587</v>
      </c>
      <c r="C4440" s="5" t="str">
        <f>IFERROR(__xludf.DUMMYFUNCTION("GOOGLETRANSLATE(B4440,""en"",""zh-CN"")"),"显示了几个剪辑，这些剪辑是人们越过绳索以及在其上弹跳的片段。")</f>
        <v>显示了几个剪辑，这些剪辑是人们越过绳索以及在其上弹跳的片段。</v>
      </c>
    </row>
    <row r="4441">
      <c r="A4441" s="4" t="s">
        <v>5585</v>
      </c>
      <c r="B4441" s="4" t="s">
        <v>5588</v>
      </c>
      <c r="C4441" s="5" t="str">
        <f>IFERROR(__xludf.DUMMYFUNCTION("GOOGLETRANSLATE(B4441,""en"",""zh-CN"")"),"显示了人们的面孔以及绳子上弹跳的更多特写镜头。")</f>
        <v>显示了人们的面孔以及绳子上弹跳的更多特写镜头。</v>
      </c>
    </row>
    <row r="4442">
      <c r="A4442" s="4" t="s">
        <v>5589</v>
      </c>
      <c r="B4442" s="4" t="s">
        <v>5590</v>
      </c>
      <c r="C4442" s="5" t="str">
        <f>IFERROR(__xludf.DUMMYFUNCTION("GOOGLETRANSLATE(B4442,""en"",""zh-CN"")"),"看到一个男人在脱下鞋子擦脚的同时弯腰，然后将鞋子放回原处。")</f>
        <v>看到一个男人在脱下鞋子擦脚的同时弯腰，然后将鞋子放回原处。</v>
      </c>
    </row>
    <row r="4443">
      <c r="A4443" s="4" t="s">
        <v>5589</v>
      </c>
      <c r="B4443" s="6" t="s">
        <v>5591</v>
      </c>
      <c r="C4443" s="5" t="str">
        <f>IFERROR(__xludf.DUMMYFUNCTION("GOOGLETRANSLATE(B4443,""en"",""zh-CN"")"),"他将其做到另一只脚，然后沿着岩石行走，而一个人记录了他和其他人走来走去。")</f>
        <v>他将其做到另一只脚，然后沿着岩石行走，而一个人记录了他和其他人走来走去。</v>
      </c>
    </row>
    <row r="4444">
      <c r="A4444" s="4" t="s">
        <v>5592</v>
      </c>
      <c r="B4444" s="4" t="s">
        <v>5593</v>
      </c>
      <c r="C4444" s="5" t="str">
        <f>IFERROR(__xludf.DUMMYFUNCTION("GOOGLETRANSLATE(B4444,""en"",""zh-CN"")"),"一个金发女孩在一个住宅中，在她面前拿着小提琴时微笑着说话。")</f>
        <v>一个金发女孩在一个住宅中，在她面前拿着小提琴时微笑着说话。</v>
      </c>
    </row>
    <row r="4445">
      <c r="A4445" s="4" t="s">
        <v>5592</v>
      </c>
      <c r="B4445" s="6" t="s">
        <v>5594</v>
      </c>
      <c r="C4445" s="5" t="str">
        <f>IFERROR(__xludf.DUMMYFUNCTION("GOOGLETRANSLATE(B4445,""en"",""zh-CN"")"),"这个女孩短暂停止说话，然后退缩，在说话时将小提琴带到下巴上，然后通过将小提琴拉在琴弦上开始比赛。")</f>
        <v>这个女孩短暂停止说话，然后退缩，在说话时将小提琴带到下巴上，然后通过将小提琴拉在琴弦上开始比赛。</v>
      </c>
    </row>
    <row r="4446">
      <c r="A4446" s="4" t="s">
        <v>5592</v>
      </c>
      <c r="B4446" s="6" t="s">
        <v>5595</v>
      </c>
      <c r="C4446" s="5" t="str">
        <f>IFERROR(__xludf.DUMMYFUNCTION("GOOGLETRANSLATE(B4446,""en"",""zh-CN"")"),"女孩停止将小提琴拉过绳子，然后走近相机进行交谈，然后恢复将小提琴移动到弦上。")</f>
        <v>女孩停止将小提琴拉过绳子，然后走近相机进行交谈，然后恢复将小提琴移动到弦上。</v>
      </c>
    </row>
    <row r="4447">
      <c r="A4447" s="4" t="s">
        <v>5592</v>
      </c>
      <c r="B4447" s="6" t="s">
        <v>5596</v>
      </c>
      <c r="C4447" s="5" t="str">
        <f>IFERROR(__xludf.DUMMYFUNCTION("GOOGLETRANSLATE(B4447,""en"",""zh-CN"")"),"然后，女孩向后退，转身向左侧展示，因为她将小提琴横穿小提琴弦，然后她再次向前移动，走近相机并播放更多。")</f>
        <v>然后，女孩向后退，转身向左侧展示，因为她将小提琴横穿小提琴弦，然后她再次向前移动，走近相机并播放更多。</v>
      </c>
    </row>
    <row r="4448">
      <c r="A4448" s="4" t="s">
        <v>5592</v>
      </c>
      <c r="B4448" s="4" t="s">
        <v>5597</v>
      </c>
      <c r="C4448" s="5" t="str">
        <f>IFERROR(__xludf.DUMMYFUNCTION("GOOGLETRANSLATE(B4448,""en"",""zh-CN"")"),"那个女孩停止玩耍，拉起他的下巴。")</f>
        <v>那个女孩停止玩耍，拉起他的下巴。</v>
      </c>
    </row>
    <row r="4449">
      <c r="A4449" s="4" t="s">
        <v>5598</v>
      </c>
      <c r="B4449" s="4" t="s">
        <v>5599</v>
      </c>
      <c r="C4449" s="5" t="str">
        <f>IFERROR(__xludf.DUMMYFUNCTION("GOOGLETRANSLATE(B4449,""en"",""zh-CN"")"),"一个穿着水肺齿轮的男人沿着游泳池的边缘行走。")</f>
        <v>一个穿着水肺齿轮的男人沿着游泳池的边缘行走。</v>
      </c>
    </row>
    <row r="4450">
      <c r="A4450" s="4" t="s">
        <v>5598</v>
      </c>
      <c r="B4450" s="4" t="s">
        <v>5600</v>
      </c>
      <c r="C4450" s="5" t="str">
        <f>IFERROR(__xludf.DUMMYFUNCTION("GOOGLETRANSLATE(B4450,""en"",""zh-CN"")"),"该男子开始与相机交谈，并显示相机各种项目。")</f>
        <v>该男子开始与相机交谈，并显示相机各种项目。</v>
      </c>
    </row>
    <row r="4451">
      <c r="A4451" s="4" t="s">
        <v>5598</v>
      </c>
      <c r="B4451" s="4" t="s">
        <v>5601</v>
      </c>
      <c r="C4451" s="5" t="str">
        <f>IFERROR(__xludf.DUMMYFUNCTION("GOOGLETRANSLATE(B4451,""en"",""zh-CN"")"),"相机显示游泳池。")</f>
        <v>相机显示游泳池。</v>
      </c>
    </row>
    <row r="4452">
      <c r="A4452" s="4" t="s">
        <v>5598</v>
      </c>
      <c r="B4452" s="4" t="s">
        <v>5602</v>
      </c>
      <c r="C4452" s="5" t="str">
        <f>IFERROR(__xludf.DUMMYFUNCTION("GOOGLETRANSLATE(B4452,""en"",""zh-CN"")"),"显示了工具和空气压缩机。")</f>
        <v>显示了工具和空气压缩机。</v>
      </c>
    </row>
    <row r="4453">
      <c r="A4453" s="4" t="s">
        <v>5598</v>
      </c>
      <c r="B4453" s="6" t="s">
        <v>5603</v>
      </c>
      <c r="C4453" s="5" t="str">
        <f>IFERROR(__xludf.DUMMYFUNCTION("GOOGLETRANSLATE(B4453,""en"",""zh-CN"")"),"该男子进入游泳池，然后在水肺齿轮中的水下放置盖子。")</f>
        <v>该男子进入游泳池，然后在水肺齿轮中的水下放置盖子。</v>
      </c>
    </row>
    <row r="4454">
      <c r="A4454" s="4" t="s">
        <v>5598</v>
      </c>
      <c r="B4454" s="4" t="s">
        <v>5604</v>
      </c>
      <c r="C4454" s="5" t="str">
        <f>IFERROR(__xludf.DUMMYFUNCTION("GOOGLETRANSLATE(B4454,""en"",""zh-CN"")"),"这个男人竖起大拇指。")</f>
        <v>这个男人竖起大拇指。</v>
      </c>
    </row>
    <row r="4455">
      <c r="A4455" s="4" t="s">
        <v>5598</v>
      </c>
      <c r="B4455" s="4" t="s">
        <v>5605</v>
      </c>
      <c r="C4455" s="5" t="str">
        <f>IFERROR(__xludf.DUMMYFUNCTION("GOOGLETRANSLATE(B4455,""en"",""zh-CN"")"),"该男子展示了该工具在摇头的时候制成的气泡。")</f>
        <v>该男子展示了该工具在摇头的时候制成的气泡。</v>
      </c>
    </row>
    <row r="4456">
      <c r="A4456" s="4" t="s">
        <v>5606</v>
      </c>
      <c r="B4456" s="4" t="s">
        <v>5607</v>
      </c>
      <c r="C4456" s="5" t="str">
        <f>IFERROR(__xludf.DUMMYFUNCTION("GOOGLETRANSLATE(B4456,""en"",""zh-CN"")"),"柜台上有两片面包，一张盘子和两片奶酪。")</f>
        <v>柜台上有两片面包，一张盘子和两片奶酪。</v>
      </c>
    </row>
    <row r="4457">
      <c r="A4457" s="4" t="s">
        <v>5606</v>
      </c>
      <c r="B4457" s="6" t="s">
        <v>5608</v>
      </c>
      <c r="C4457" s="5" t="str">
        <f>IFERROR(__xludf.DUMMYFUNCTION("GOOGLETRANSLATE(B4457,""en"",""zh-CN"")"),"然后，该人拿一片片，将黄油撒在上面，并在上面放两片奶酪，并在其顶部添加另一片。")</f>
        <v>然后，该人拿一片片，将黄油撒在上面，并在上面放两片奶酪，并在其顶部添加另一片。</v>
      </c>
    </row>
    <row r="4458">
      <c r="A4458" s="4" t="s">
        <v>5606</v>
      </c>
      <c r="B4458" s="4" t="s">
        <v>5609</v>
      </c>
      <c r="C4458" s="5" t="str">
        <f>IFERROR(__xludf.DUMMYFUNCTION("GOOGLETRANSLATE(B4458,""en"",""zh-CN"")"),"三明治现在两侧都有黄油，三明治被放在煎锅中并被炸。")</f>
        <v>三明治现在两侧都有黄油，三明治被放在煎锅中并被炸。</v>
      </c>
    </row>
    <row r="4459">
      <c r="A4459" s="4" t="s">
        <v>5606</v>
      </c>
      <c r="B4459" s="4" t="s">
        <v>5610</v>
      </c>
      <c r="C4459" s="5" t="str">
        <f>IFERROR(__xludf.DUMMYFUNCTION("GOOGLETRANSLATE(B4459,""en"",""zh-CN"")"),"完成后，将其放在红板上，用一把厚的刀切成两半。")</f>
        <v>完成后，将其放在红板上，用一把厚的刀切成两半。</v>
      </c>
    </row>
    <row r="4460">
      <c r="A4460" s="4" t="s">
        <v>5611</v>
      </c>
      <c r="B4460" s="4" t="s">
        <v>5612</v>
      </c>
      <c r="C4460" s="5" t="str">
        <f>IFERROR(__xludf.DUMMYFUNCTION("GOOGLETRANSLATE(B4460,""en"",""zh-CN"")"),"一个男人拿着一个大垃圾箱以及周围的几个人聚集叶子。")</f>
        <v>一个男人拿着一个大垃圾箱以及周围的几个人聚集叶子。</v>
      </c>
    </row>
    <row r="4461">
      <c r="A4461" s="4" t="s">
        <v>5611</v>
      </c>
      <c r="B4461" s="6" t="s">
        <v>5613</v>
      </c>
      <c r="C4461" s="5" t="str">
        <f>IFERROR(__xludf.DUMMYFUNCTION("GOOGLETRANSLATE(B4461,""en"",""zh-CN"")"),"越来越多的人在刮叶周围走来走去，而女人对人群说话并激发他们的工作更多。")</f>
        <v>越来越多的人在刮叶周围走来走去，而女人对人群说话并激发他们的工作更多。</v>
      </c>
    </row>
    <row r="4462">
      <c r="A4462" s="4" t="s">
        <v>5611</v>
      </c>
      <c r="B4462" s="4" t="s">
        <v>5614</v>
      </c>
      <c r="C4462" s="5" t="str">
        <f>IFERROR(__xludf.DUMMYFUNCTION("GOOGLETRANSLATE(B4462,""en"",""zh-CN"")"),"人们继续工作，阳光照在一棵树上。")</f>
        <v>人们继续工作，阳光照在一棵树上。</v>
      </c>
    </row>
    <row r="4463">
      <c r="A4463" s="4" t="s">
        <v>5615</v>
      </c>
      <c r="B4463" s="4" t="s">
        <v>5616</v>
      </c>
      <c r="C4463" s="5" t="str">
        <f>IFERROR(__xludf.DUMMYFUNCTION("GOOGLETRANSLATE(B4463,""en"",""zh-CN"")"),"看到两个人站在垫子上。")</f>
        <v>看到两个人站在垫子上。</v>
      </c>
    </row>
    <row r="4464">
      <c r="A4464" s="4" t="s">
        <v>5615</v>
      </c>
      <c r="B4464" s="4" t="s">
        <v>5617</v>
      </c>
      <c r="C4464" s="5" t="str">
        <f>IFERROR(__xludf.DUMMYFUNCTION("GOOGLETRANSLATE(B4464,""en"",""zh-CN"")"),"然后，一个人抓住另一个人的腿。")</f>
        <v>然后，一个人抓住另一个人的腿。</v>
      </c>
    </row>
    <row r="4465">
      <c r="A4465" s="4" t="s">
        <v>5615</v>
      </c>
      <c r="B4465" s="4" t="s">
        <v>5618</v>
      </c>
      <c r="C4465" s="5" t="str">
        <f>IFERROR(__xludf.DUMMYFUNCTION("GOOGLETRANSLATE(B4465,""en"",""zh-CN"")"),"然后，男人在地面上互相翻转。")</f>
        <v>然后，男人在地面上互相翻转。</v>
      </c>
    </row>
    <row r="4466">
      <c r="A4466" s="4" t="s">
        <v>5619</v>
      </c>
      <c r="B4466" s="4" t="s">
        <v>5620</v>
      </c>
      <c r="C4466" s="5" t="str">
        <f>IFERROR(__xludf.DUMMYFUNCTION("GOOGLETRANSLATE(B4466,""en"",""zh-CN"")"),"人们正在田野上玩曲棍球游戏。")</f>
        <v>人们正在田野上玩曲棍球游戏。</v>
      </c>
    </row>
    <row r="4467">
      <c r="A4467" s="4" t="s">
        <v>5619</v>
      </c>
      <c r="B4467" s="4" t="s">
        <v>5621</v>
      </c>
      <c r="C4467" s="5" t="str">
        <f>IFERROR(__xludf.DUMMYFUNCTION("GOOGLETRANSLATE(B4467,""en"",""zh-CN"")"),"一个女人在健身房里与镜头说话。")</f>
        <v>一个女人在健身房里与镜头说话。</v>
      </c>
    </row>
    <row r="4468">
      <c r="A4468" s="4" t="s">
        <v>5619</v>
      </c>
      <c r="B4468" s="4" t="s">
        <v>5622</v>
      </c>
      <c r="C4468" s="5" t="str">
        <f>IFERROR(__xludf.DUMMYFUNCTION("GOOGLETRANSLATE(B4468,""en"",""zh-CN"")"),"火车在轨道上行驶。")</f>
        <v>火车在轨道上行驶。</v>
      </c>
    </row>
    <row r="4469">
      <c r="A4469" s="4" t="s">
        <v>5619</v>
      </c>
      <c r="B4469" s="4" t="s">
        <v>5623</v>
      </c>
      <c r="C4469" s="5" t="str">
        <f>IFERROR(__xludf.DUMMYFUNCTION("GOOGLETRANSLATE(B4469,""en"",""zh-CN"")"),"他们继续在田野上玩曲棍球。")</f>
        <v>他们继续在田野上玩曲棍球。</v>
      </c>
    </row>
    <row r="4470">
      <c r="A4470" s="4" t="s">
        <v>5624</v>
      </c>
      <c r="B4470" s="4" t="s">
        <v>5625</v>
      </c>
      <c r="C4470" s="5" t="str">
        <f>IFERROR(__xludf.DUMMYFUNCTION("GOOGLETRANSLATE(B4470,""en"",""zh-CN"")"),"该人在海底游泳。")</f>
        <v>该人在海底游泳。</v>
      </c>
    </row>
    <row r="4471">
      <c r="A4471" s="4" t="s">
        <v>5624</v>
      </c>
      <c r="B4471" s="4" t="s">
        <v>5626</v>
      </c>
      <c r="C4471" s="5" t="str">
        <f>IFERROR(__xludf.DUMMYFUNCTION("GOOGLETRANSLATE(B4471,""en"",""zh-CN"")"),"女人在向前游泳，她看着相机。")</f>
        <v>女人在向前游泳，她看着相机。</v>
      </c>
    </row>
    <row r="4472">
      <c r="A4472" s="4" t="s">
        <v>5624</v>
      </c>
      <c r="B4472" s="4" t="s">
        <v>5627</v>
      </c>
      <c r="C4472" s="5" t="str">
        <f>IFERROR(__xludf.DUMMYFUNCTION("GOOGLETRANSLATE(B4472,""en"",""zh-CN"")"),"那个女人在另一个潜水员在游泳时摇了摇头。")</f>
        <v>那个女人在另一个潜水员在游泳时摇了摇头。</v>
      </c>
    </row>
    <row r="4473">
      <c r="A4473" s="4" t="s">
        <v>5628</v>
      </c>
      <c r="B4473" s="4" t="s">
        <v>5629</v>
      </c>
      <c r="C4473" s="5" t="str">
        <f>IFERROR(__xludf.DUMMYFUNCTION("GOOGLETRANSLATE(B4473,""en"",""zh-CN"")"),"在黑色杰克桌上显示一对手。")</f>
        <v>在黑色杰克桌上显示一对手。</v>
      </c>
    </row>
    <row r="4474">
      <c r="A4474" s="4" t="s">
        <v>5628</v>
      </c>
      <c r="B4474" s="4" t="s">
        <v>5630</v>
      </c>
      <c r="C4474" s="5" t="str">
        <f>IFERROR(__xludf.DUMMYFUNCTION("GOOGLETRANSLATE(B4474,""en"",""zh-CN"")"),"一个女人正在交易卡片和筹码。")</f>
        <v>一个女人正在交易卡片和筹码。</v>
      </c>
    </row>
    <row r="4475">
      <c r="A4475" s="4" t="s">
        <v>5628</v>
      </c>
      <c r="B4475" s="4" t="s">
        <v>5631</v>
      </c>
      <c r="C4475" s="5" t="str">
        <f>IFERROR(__xludf.DUMMYFUNCTION("GOOGLETRANSLATE(B4475,""en"",""zh-CN"")"),"芯片在末端显示在堆栈中。")</f>
        <v>芯片在末端显示在堆栈中。</v>
      </c>
    </row>
    <row r="4476">
      <c r="A4476" s="4" t="s">
        <v>5632</v>
      </c>
      <c r="B4476" s="6" t="s">
        <v>5633</v>
      </c>
      <c r="C4476" s="5" t="str">
        <f>IFERROR(__xludf.DUMMYFUNCTION("GOOGLETRANSLATE(B4476,""en"",""zh-CN"")"),"看到几支人队在彼此之间进行一场拔河游戏，而人们在侧面观看。")</f>
        <v>看到几支人队在彼此之间进行一场拔河游戏，而人们在侧面观看。</v>
      </c>
    </row>
    <row r="4477">
      <c r="A4477" s="4" t="s">
        <v>5632</v>
      </c>
      <c r="B4477" s="4" t="s">
        <v>5634</v>
      </c>
      <c r="C4477" s="5" t="str">
        <f>IFERROR(__xludf.DUMMYFUNCTION("GOOGLETRANSLATE(B4477,""en"",""zh-CN"")"),"人民继续互相竞争，并以一支球队获胜。")</f>
        <v>人民继续互相竞争，并以一支球队获胜。</v>
      </c>
    </row>
    <row r="4478">
      <c r="A4478" s="4" t="s">
        <v>5635</v>
      </c>
      <c r="B4478" s="6" t="s">
        <v>5636</v>
      </c>
      <c r="C4478" s="5" t="str">
        <f>IFERROR(__xludf.DUMMYFUNCTION("GOOGLETRANSLATE(B4478,""en"",""zh-CN"")"),"一个穿着黑色衬衫和眼镜的老人坐在他面前的绿桌上，是书本，薯条，颜色不同，纸牌堆。")</f>
        <v>一个穿着黑色衬衫和眼镜的老人坐在他面前的绿桌上，是书本，薯条，颜色不同，纸牌堆。</v>
      </c>
    </row>
    <row r="4479">
      <c r="A4479" s="4" t="s">
        <v>5635</v>
      </c>
      <c r="B4479" s="6" t="s">
        <v>5637</v>
      </c>
      <c r="C4479" s="5" t="str">
        <f>IFERROR(__xludf.DUMMYFUNCTION("GOOGLETRANSLATE(B4479,""en"",""zh-CN"")"),"他将卡片放在桌子上，在桌子上的黄色星星的顶部，以水平方式排列卡片。")</f>
        <v>他将卡片放在桌子上，在桌子上的黄色星星的顶部，以水平方式排列卡片。</v>
      </c>
    </row>
    <row r="4480">
      <c r="A4480" s="4" t="s">
        <v>5638</v>
      </c>
      <c r="B4480" s="4" t="s">
        <v>5639</v>
      </c>
      <c r="C4480" s="5" t="str">
        <f>IFERROR(__xludf.DUMMYFUNCTION("GOOGLETRANSLATE(B4480,""en"",""zh-CN"")"),"该妇女被显示在盘子上排空两种不同的食物以制成水果沙拉。")</f>
        <v>该妇女被显示在盘子上排空两种不同的食物以制成水果沙拉。</v>
      </c>
    </row>
    <row r="4481">
      <c r="A4481" s="4" t="s">
        <v>5638</v>
      </c>
      <c r="B4481" s="4" t="s">
        <v>5640</v>
      </c>
      <c r="C4481" s="5" t="str">
        <f>IFERROR(__xludf.DUMMYFUNCTION("GOOGLETRANSLATE(B4481,""en"",""zh-CN"")"),"她触摸草莓和苹果。")</f>
        <v>她触摸草莓和苹果。</v>
      </c>
    </row>
    <row r="4482">
      <c r="A4482" s="4" t="s">
        <v>5638</v>
      </c>
      <c r="B4482" s="4" t="s">
        <v>5641</v>
      </c>
      <c r="C4482" s="5" t="str">
        <f>IFERROR(__xludf.DUMMYFUNCTION("GOOGLETRANSLATE(B4482,""en"",""zh-CN"")"),"然后她将小浆果撒在另一个水果上。")</f>
        <v>然后她将小浆果撒在另一个水果上。</v>
      </c>
    </row>
    <row r="4483">
      <c r="A4483" s="4" t="s">
        <v>5642</v>
      </c>
      <c r="B4483" s="4" t="s">
        <v>5643</v>
      </c>
      <c r="C4483" s="5" t="str">
        <f>IFERROR(__xludf.DUMMYFUNCTION("GOOGLETRANSLATE(B4483,""en"",""zh-CN"")"),"有一个男人跪在红色的瑜伽垫上。")</f>
        <v>有一个男人跪在红色的瑜伽垫上。</v>
      </c>
    </row>
    <row r="4484">
      <c r="A4484" s="4" t="s">
        <v>5642</v>
      </c>
      <c r="B4484" s="6" t="s">
        <v>5644</v>
      </c>
      <c r="C4484" s="5" t="str">
        <f>IFERROR(__xludf.DUMMYFUNCTION("GOOGLETRANSLATE(B4484,""en"",""zh-CN"")"),"站在他旁边的教练确保他跪下时要上下上下，他向后抬起肌肉运动。")</f>
        <v>站在他旁边的教练确保他跪下时要上下上下，他向后抬起肌肉运动。</v>
      </c>
    </row>
    <row r="4485">
      <c r="A4485" s="4" t="s">
        <v>5645</v>
      </c>
      <c r="B4485" s="4" t="s">
        <v>5646</v>
      </c>
      <c r="C4485" s="5" t="str">
        <f>IFERROR(__xludf.DUMMYFUNCTION("GOOGLETRANSLATE(B4485,""en"",""zh-CN"")"),"一个家伙站在外面，手势和谈话。")</f>
        <v>一个家伙站在外面，手势和谈话。</v>
      </c>
    </row>
    <row r="4486">
      <c r="A4486" s="4" t="s">
        <v>5645</v>
      </c>
      <c r="B4486" s="4" t="s">
        <v>5647</v>
      </c>
      <c r="C4486" s="5" t="str">
        <f>IFERROR(__xludf.DUMMYFUNCTION("GOOGLETRANSLATE(B4486,""en"",""zh-CN"")"),"一个人从水中升起，开始登机，然后翻转。")</f>
        <v>一个人从水中升起，开始登机，然后翻转。</v>
      </c>
    </row>
    <row r="4487">
      <c r="A4487" s="4" t="s">
        <v>5645</v>
      </c>
      <c r="B4487" s="4" t="s">
        <v>5648</v>
      </c>
      <c r="C4487" s="5" t="str">
        <f>IFERROR(__xludf.DUMMYFUNCTION("GOOGLETRANSLATE(B4487,""en"",""zh-CN"")"),"一辆水车正在拉一个拿着绳子的人。")</f>
        <v>一辆水车正在拉一个拿着绳子的人。</v>
      </c>
    </row>
    <row r="4488">
      <c r="A4488" s="4" t="s">
        <v>5645</v>
      </c>
      <c r="B4488" s="4" t="s">
        <v>5649</v>
      </c>
      <c r="C4488" s="5" t="str">
        <f>IFERROR(__xludf.DUMMYFUNCTION("GOOGLETRANSLATE(B4488,""en"",""zh-CN"")"),"这家伙在提出最后一点后开始离开。")</f>
        <v>这家伙在提出最后一点后开始离开。</v>
      </c>
    </row>
    <row r="4489">
      <c r="A4489" s="4" t="s">
        <v>5650</v>
      </c>
      <c r="B4489" s="4" t="s">
        <v>5651</v>
      </c>
      <c r="C4489" s="5" t="str">
        <f>IFERROR(__xludf.DUMMYFUNCTION("GOOGLETRANSLATE(B4489,""en"",""zh-CN"")"),"看到一个男人在演奏乐器，而另一个人则在背景中手表。")</f>
        <v>看到一个男人在演奏乐器，而另一个人则在背景中手表。</v>
      </c>
    </row>
    <row r="4490">
      <c r="A4490" s="4" t="s">
        <v>5650</v>
      </c>
      <c r="B4490" s="6" t="s">
        <v>5652</v>
      </c>
      <c r="C4490" s="5" t="str">
        <f>IFERROR(__xludf.DUMMYFUNCTION("GOOGLETRANSLATE(B4490,""en"",""zh-CN"")"),"他停下来与一大批男孩说话，并继续演奏乐器，将风吹入他们的烟雾中。")</f>
        <v>他停下来与一大批男孩说话，并继续演奏乐器，将风吹入他们的烟雾中。</v>
      </c>
    </row>
    <row r="4491">
      <c r="A4491" s="4" t="s">
        <v>5650</v>
      </c>
      <c r="B4491" s="4" t="s">
        <v>5653</v>
      </c>
      <c r="C4491" s="5" t="str">
        <f>IFERROR(__xludf.DUMMYFUNCTION("GOOGLETRANSLATE(B4491,""en"",""zh-CN"")"),"男孩惊讶地看着，紧紧弯腰向另一个男孩弯腰。")</f>
        <v>男孩惊讶地看着，紧紧弯腰向另一个男孩弯腰。</v>
      </c>
    </row>
    <row r="4492">
      <c r="A4492" s="4" t="s">
        <v>5654</v>
      </c>
      <c r="B4492" s="4" t="s">
        <v>5655</v>
      </c>
      <c r="C4492" s="5" t="str">
        <f>IFERROR(__xludf.DUMMYFUNCTION("GOOGLETRANSLATE(B4492,""en"",""zh-CN"")"),"人们正在玩战争游戏。")</f>
        <v>人们正在玩战争游戏。</v>
      </c>
    </row>
    <row r="4493">
      <c r="A4493" s="4" t="s">
        <v>5654</v>
      </c>
      <c r="B4493" s="4" t="s">
        <v>5656</v>
      </c>
      <c r="C4493" s="5" t="str">
        <f>IFERROR(__xludf.DUMMYFUNCTION("GOOGLETRANSLATE(B4493,""en"",""zh-CN"")"),"孩子们向队友挥手。")</f>
        <v>孩子们向队友挥手。</v>
      </c>
    </row>
    <row r="4494">
      <c r="A4494" s="4" t="s">
        <v>5654</v>
      </c>
      <c r="B4494" s="4" t="s">
        <v>5657</v>
      </c>
      <c r="C4494" s="5" t="str">
        <f>IFERROR(__xludf.DUMMYFUNCTION("GOOGLETRANSLATE(B4494,""en"",""zh-CN"")"),"孩子们将成年人拉到右侧。")</f>
        <v>孩子们将成年人拉到右侧。</v>
      </c>
    </row>
    <row r="4495">
      <c r="A4495" s="4" t="s">
        <v>5654</v>
      </c>
      <c r="B4495" s="4" t="s">
        <v>5658</v>
      </c>
      <c r="C4495" s="5" t="str">
        <f>IFERROR(__xludf.DUMMYFUNCTION("GOOGLETRANSLATE(B4495,""en"",""zh-CN"")"),"孩子们放开绳子，上下跳动，加油。")</f>
        <v>孩子们放开绳子，上下跳动，加油。</v>
      </c>
    </row>
    <row r="4496">
      <c r="A4496" s="4" t="s">
        <v>5659</v>
      </c>
      <c r="B4496" s="4" t="s">
        <v>5660</v>
      </c>
      <c r="C4496" s="5" t="str">
        <f>IFERROR(__xludf.DUMMYFUNCTION("GOOGLETRANSLATE(B4496,""en"",""zh-CN"")"),"一名男性体操运动员走到平行的酒吧，并使用弹簧板跳起来。")</f>
        <v>一名男性体操运动员走到平行的酒吧，并使用弹簧板跳起来。</v>
      </c>
    </row>
    <row r="4497">
      <c r="A4497" s="4" t="s">
        <v>5659</v>
      </c>
      <c r="B4497" s="4" t="s">
        <v>5661</v>
      </c>
      <c r="C4497" s="5" t="str">
        <f>IFERROR(__xludf.DUMMYFUNCTION("GOOGLETRANSLATE(B4497,""en"",""zh-CN"")"),"另一个男人将弹簧板拉开。")</f>
        <v>另一个男人将弹簧板拉开。</v>
      </c>
    </row>
    <row r="4498">
      <c r="A4498" s="4" t="s">
        <v>5659</v>
      </c>
      <c r="B4498" s="4" t="s">
        <v>5662</v>
      </c>
      <c r="C4498" s="5" t="str">
        <f>IFERROR(__xludf.DUMMYFUNCTION("GOOGLETRANSLATE(B4498,""en"",""zh-CN"")"),"一大群人从健身房的看台上看。")</f>
        <v>一大群人从健身房的看台上看。</v>
      </c>
    </row>
    <row r="4499">
      <c r="A4499" s="4" t="s">
        <v>5659</v>
      </c>
      <c r="B4499" s="4" t="s">
        <v>5663</v>
      </c>
      <c r="C4499" s="5" t="str">
        <f>IFERROR(__xludf.DUMMYFUNCTION("GOOGLETRANSLATE(B4499,""en"",""zh-CN"")"),"体操运动员做平行的吧台例程。")</f>
        <v>体操运动员做平行的吧台例程。</v>
      </c>
    </row>
    <row r="4500">
      <c r="A4500" s="4" t="s">
        <v>5659</v>
      </c>
      <c r="B4500" s="4" t="s">
        <v>5664</v>
      </c>
      <c r="C4500" s="5" t="str">
        <f>IFERROR(__xludf.DUMMYFUNCTION("GOOGLETRANSLATE(B4500,""en"",""zh-CN"")"),"其他几个男性体操运动员在后台走来走去。")</f>
        <v>其他几个男性体操运动员在后台走来走去。</v>
      </c>
    </row>
    <row r="4501">
      <c r="A4501" s="4" t="s">
        <v>5659</v>
      </c>
      <c r="B4501" s="4" t="s">
        <v>5665</v>
      </c>
      <c r="C4501" s="5" t="str">
        <f>IFERROR(__xludf.DUMMYFUNCTION("GOOGLETRANSLATE(B4501,""en"",""zh-CN"")"),"男性体操运动员完成了他的日常工作，并从健身房跑出。")</f>
        <v>男性体操运动员完成了他的日常工作，并从健身房跑出。</v>
      </c>
    </row>
    <row r="4502">
      <c r="A4502" s="4" t="s">
        <v>5666</v>
      </c>
      <c r="B4502" s="4" t="s">
        <v>5667</v>
      </c>
      <c r="C4502" s="5" t="str">
        <f>IFERROR(__xludf.DUMMYFUNCTION("GOOGLETRANSLATE(B4502,""en"",""zh-CN"")"),"人们在海滩上的绳子上保持平衡。")</f>
        <v>人们在海滩上的绳子上保持平衡。</v>
      </c>
    </row>
    <row r="4503">
      <c r="A4503" s="4" t="s">
        <v>5666</v>
      </c>
      <c r="B4503" s="4" t="s">
        <v>5668</v>
      </c>
      <c r="C4503" s="5" t="str">
        <f>IFERROR(__xludf.DUMMYFUNCTION("GOOGLETRANSLATE(B4503,""en"",""zh-CN"")"),"一件白衬衫的男人伸手站在绳子上。")</f>
        <v>一件白衬衫的男人伸手站在绳子上。</v>
      </c>
    </row>
    <row r="4504">
      <c r="A4504" s="4" t="s">
        <v>5666</v>
      </c>
      <c r="B4504" s="4" t="s">
        <v>5669</v>
      </c>
      <c r="C4504" s="5" t="str">
        <f>IFERROR(__xludf.DUMMYFUNCTION("GOOGLETRANSLATE(B4504,""en"",""zh-CN"")"),"一个人在背景中摇摆绳子。")</f>
        <v>一个人在背景中摇摆绳子。</v>
      </c>
    </row>
    <row r="4505">
      <c r="A4505" s="4" t="s">
        <v>5670</v>
      </c>
      <c r="B4505" s="6" t="s">
        <v>5671</v>
      </c>
      <c r="C4505" s="5" t="str">
        <f>IFERROR(__xludf.DUMMYFUNCTION("GOOGLETRANSLATE(B4505,""en"",""zh-CN"")"),"两个女孩在学校健身房里练习围栏，穿着防护装备，一名教练在围墙看着墙壁上的教练。")</f>
        <v>两个女孩在学校健身房里练习围栏，穿着防护装备，一名教练在围墙看着墙壁上的教练。</v>
      </c>
    </row>
    <row r="4506">
      <c r="A4506" s="4" t="s">
        <v>5670</v>
      </c>
      <c r="B4506" s="6" t="s">
        <v>5672</v>
      </c>
      <c r="C4506" s="5" t="str">
        <f>IFERROR(__xludf.DUMMYFUNCTION("GOOGLETRANSLATE(B4506,""en"",""zh-CN"")"),"这两个女孩与教练交谈，然后开始互相围栏，作为教练的动作，他们在翼梁期间应该站立并在空间中航行。")</f>
        <v>这两个女孩与教练交谈，然后开始互相围栏，作为教练的动作，他们在翼梁期间应该站立并在空间中航行。</v>
      </c>
    </row>
    <row r="4507">
      <c r="A4507" s="4" t="s">
        <v>5670</v>
      </c>
      <c r="B4507" s="4" t="s">
        <v>5673</v>
      </c>
      <c r="C4507" s="5" t="str">
        <f>IFERROR(__xludf.DUMMYFUNCTION("GOOGLETRANSLATE(B4507,""en"",""zh-CN"")"),"两个女孩都结束了晶石，并在与教练交谈时卸下了头部装备。")</f>
        <v>两个女孩都结束了晶石，并在与教练交谈时卸下了头部装备。</v>
      </c>
    </row>
    <row r="4508">
      <c r="A4508" s="4" t="s">
        <v>5674</v>
      </c>
      <c r="B4508" s="4" t="s">
        <v>5675</v>
      </c>
      <c r="C4508" s="5" t="str">
        <f>IFERROR(__xludf.DUMMYFUNCTION("GOOGLETRANSLATE(B4508,""en"",""zh-CN"")"),"一名绿色毛衣的女人戴上口罩。")</f>
        <v>一名绿色毛衣的女人戴上口罩。</v>
      </c>
    </row>
    <row r="4509">
      <c r="A4509" s="4" t="s">
        <v>5674</v>
      </c>
      <c r="B4509" s="4" t="s">
        <v>5676</v>
      </c>
      <c r="C4509" s="5" t="str">
        <f>IFERROR(__xludf.DUMMYFUNCTION("GOOGLETRANSLATE(B4509,""en"",""zh-CN"")"),"她画了一个木篱笆。")</f>
        <v>她画了一个木篱笆。</v>
      </c>
    </row>
    <row r="4510">
      <c r="A4510" s="4" t="s">
        <v>5674</v>
      </c>
      <c r="B4510" s="4" t="s">
        <v>5677</v>
      </c>
      <c r="C4510" s="5" t="str">
        <f>IFERROR(__xludf.DUMMYFUNCTION("GOOGLETRANSLATE(B4510,""en"",""zh-CN"")"),"她把新闻报纸放在栅栏上。")</f>
        <v>她把新闻报纸放在栅栏上。</v>
      </c>
    </row>
    <row r="4511">
      <c r="A4511" s="4" t="s">
        <v>5674</v>
      </c>
      <c r="B4511" s="4" t="s">
        <v>5678</v>
      </c>
      <c r="C4511" s="5" t="str">
        <f>IFERROR(__xludf.DUMMYFUNCTION("GOOGLETRANSLATE(B4511,""en"",""zh-CN"")"),"她将一桶油漆倒入喷雾器中。")</f>
        <v>她将一桶油漆倒入喷雾器中。</v>
      </c>
    </row>
    <row r="4512">
      <c r="A4512" s="4" t="s">
        <v>5674</v>
      </c>
      <c r="B4512" s="4" t="s">
        <v>5679</v>
      </c>
      <c r="C4512" s="5" t="str">
        <f>IFERROR(__xludf.DUMMYFUNCTION("GOOGLETRANSLATE(B4512,""en"",""zh-CN"")"),"她开始用软管喷洒篱笆。")</f>
        <v>她开始用软管喷洒篱笆。</v>
      </c>
    </row>
    <row r="4513">
      <c r="A4513" s="4" t="s">
        <v>5680</v>
      </c>
      <c r="B4513" s="4" t="s">
        <v>5681</v>
      </c>
      <c r="C4513" s="5" t="str">
        <f>IFERROR(__xludf.DUMMYFUNCTION("GOOGLETRANSLATE(B4513,""en"",""zh-CN"")"),"两名男子在直升机面前说话。")</f>
        <v>两名男子在直升机面前说话。</v>
      </c>
    </row>
    <row r="4514">
      <c r="A4514" s="4" t="s">
        <v>5680</v>
      </c>
      <c r="B4514" s="4" t="s">
        <v>5682</v>
      </c>
      <c r="C4514" s="5" t="str">
        <f>IFERROR(__xludf.DUMMYFUNCTION("GOOGLETRANSLATE(B4514,""en"",""zh-CN"")"),"一名在唤醒板上的男子被直升机从水中拉出。")</f>
        <v>一名在唤醒板上的男子被直升机从水中拉出。</v>
      </c>
    </row>
    <row r="4515">
      <c r="A4515" s="4" t="s">
        <v>5680</v>
      </c>
      <c r="B4515" s="4" t="s">
        <v>5683</v>
      </c>
      <c r="C4515" s="5" t="str">
        <f>IFERROR(__xludf.DUMMYFUNCTION("GOOGLETRANSLATE(B4515,""en"",""zh-CN"")"),"他从绳索上掉下来，拉降落伞并降落在地面上。")</f>
        <v>他从绳索上掉下来，拉降落伞并降落在地面上。</v>
      </c>
    </row>
    <row r="4516">
      <c r="A4516" s="4" t="s">
        <v>5684</v>
      </c>
      <c r="B4516" s="4" t="s">
        <v>5685</v>
      </c>
      <c r="C4516" s="5" t="str">
        <f>IFERROR(__xludf.DUMMYFUNCTION("GOOGLETRANSLATE(B4516,""en"",""zh-CN"")"),"一个男人坐在公园的长凳上。")</f>
        <v>一个男人坐在公园的长凳上。</v>
      </c>
    </row>
    <row r="4517">
      <c r="A4517" s="4" t="s">
        <v>5684</v>
      </c>
      <c r="B4517" s="4" t="s">
        <v>5686</v>
      </c>
      <c r="C4517" s="5" t="str">
        <f>IFERROR(__xludf.DUMMYFUNCTION("GOOGLETRANSLATE(B4517,""en"",""zh-CN"")"),"他正在扮演一个古老的手风琴。")</f>
        <v>他正在扮演一个古老的手风琴。</v>
      </c>
    </row>
    <row r="4518">
      <c r="A4518" s="4" t="s">
        <v>5684</v>
      </c>
      <c r="B4518" s="4" t="s">
        <v>5687</v>
      </c>
      <c r="C4518" s="5" t="str">
        <f>IFERROR(__xludf.DUMMYFUNCTION("GOOGLETRANSLATE(B4518,""en"",""zh-CN"")"),"当他在键盘上播放时，他将其关闭并打开。")</f>
        <v>当他在键盘上播放时，他将其关闭并打开。</v>
      </c>
    </row>
    <row r="4519">
      <c r="A4519" s="4" t="s">
        <v>5688</v>
      </c>
      <c r="B4519" s="6" t="s">
        <v>5689</v>
      </c>
      <c r="C4519" s="5" t="str">
        <f>IFERROR(__xludf.DUMMYFUNCTION("GOOGLETRANSLATE(B4519,""en"",""zh-CN"")"),"出现了一个黑屏，上面有很多白色单词，其中包括名称，身高，体重，年份游戏，点数，电话号码和播放器＃23的电子邮件。")</f>
        <v>出现了一个黑屏，上面有很多白色单词，其中包括名称，身高，体重，年份游戏，点数，电话号码和播放器＃23的电子邮件。</v>
      </c>
    </row>
    <row r="4520">
      <c r="A4520" s="4" t="s">
        <v>5688</v>
      </c>
      <c r="B4520" s="6" t="s">
        <v>5690</v>
      </c>
      <c r="C4520" s="5" t="str">
        <f>IFERROR(__xludf.DUMMYFUNCTION("GOOGLETRANSLATE(B4520,""en"",""zh-CN"")"),"不同的曲棍球游戏的各种剪辑玩游戏和偶然的箭头将出现在每个不同的曲棍球游戏剪辑中的＃23玩家。")</f>
        <v>不同的曲棍球游戏的各种剪辑玩游戏和偶然的箭头将出现在每个不同的曲棍球游戏剪辑中的＃23玩家。</v>
      </c>
    </row>
    <row r="4521">
      <c r="A4521" s="4" t="s">
        <v>5688</v>
      </c>
      <c r="B4521" s="6" t="s">
        <v>5691</v>
      </c>
      <c r="C4521" s="5" t="str">
        <f>IFERROR(__xludf.DUMMYFUNCTION("GOOGLETRANSLATE(B4521,""en"",""zh-CN"")"),"黑屏再次出现，它与屏幕相同，该屏幕是在播放器＃23上包含相同信息的介绍。")</f>
        <v>黑屏再次出现，它与屏幕相同，该屏幕是在播放器＃23上包含相同信息的介绍。</v>
      </c>
    </row>
    <row r="4522">
      <c r="A4522" s="4" t="s">
        <v>5692</v>
      </c>
      <c r="B4522" s="6" t="s">
        <v>5693</v>
      </c>
      <c r="C4522" s="5" t="str">
        <f>IFERROR(__xludf.DUMMYFUNCTION("GOOGLETRANSLATE(B4522,""en"",""zh-CN"")"),"一个叫乍得穿着黑色和灰色外套的人站在圣诞树旁边，并为如何装饰它提供了教程。")</f>
        <v>一个叫乍得穿着黑色和灰色外套的人站在圣诞树旁边，并为如何装饰它提供了教程。</v>
      </c>
    </row>
    <row r="4523">
      <c r="A4523" s="4" t="s">
        <v>5692</v>
      </c>
      <c r="B4523" s="4" t="s">
        <v>5694</v>
      </c>
      <c r="C4523" s="5" t="str">
        <f>IFERROR(__xludf.DUMMYFUNCTION("GOOGLETRANSLATE(B4523,""en"",""zh-CN"")"),"他手里拿着一颗水晶之星，将其放在树上。")</f>
        <v>他手里拿着一颗水晶之星，将其放在树上。</v>
      </c>
    </row>
    <row r="4524">
      <c r="A4524" s="4" t="s">
        <v>5692</v>
      </c>
      <c r="B4524" s="4" t="s">
        <v>5695</v>
      </c>
      <c r="C4524" s="5" t="str">
        <f>IFERROR(__xludf.DUMMYFUNCTION("GOOGLETRANSLATE(B4524,""en"",""zh-CN"")"),"然后，他拿起一些圣诞灯灯，将其旋转在树的树枝上。")</f>
        <v>然后，他拿起一些圣诞灯灯，将其旋转在树的树枝上。</v>
      </c>
    </row>
    <row r="4525">
      <c r="A4525" s="4" t="s">
        <v>5692</v>
      </c>
      <c r="B4525" s="4" t="s">
        <v>5696</v>
      </c>
      <c r="C4525" s="5" t="str">
        <f>IFERROR(__xludf.DUMMYFUNCTION("GOOGLETRANSLATE(B4525,""en"",""zh-CN"")"),"他拿起一条红色的花环，展示了如何将其包裹在树上。")</f>
        <v>他拿起一条红色的花环，展示了如何将其包裹在树上。</v>
      </c>
    </row>
    <row r="4526">
      <c r="A4526" s="4" t="s">
        <v>5692</v>
      </c>
      <c r="B4526" s="4" t="s">
        <v>5697</v>
      </c>
      <c r="C4526" s="5" t="str">
        <f>IFERROR(__xludf.DUMMYFUNCTION("GOOGLETRANSLATE(B4526,""en"",""zh-CN"")"),"然后，他采用一些红色和金色的装饰品，并展示如何将它们放在树上。")</f>
        <v>然后，他采用一些红色和金色的装饰品，并展示如何将它们放在树上。</v>
      </c>
    </row>
    <row r="4527">
      <c r="A4527" s="4" t="s">
        <v>5692</v>
      </c>
      <c r="B4527" s="4" t="s">
        <v>5698</v>
      </c>
      <c r="C4527" s="5" t="str">
        <f>IFERROR(__xludf.DUMMYFUNCTION("GOOGLETRANSLATE(B4527,""en"",""zh-CN"")"),"他还采用红色丝带和红色浆果来添加到树上。")</f>
        <v>他还采用红色丝带和红色浆果来添加到树上。</v>
      </c>
    </row>
    <row r="4528">
      <c r="A4528" s="4" t="s">
        <v>5692</v>
      </c>
      <c r="B4528" s="4" t="s">
        <v>5699</v>
      </c>
      <c r="C4528" s="5" t="str">
        <f>IFERROR(__xludf.DUMMYFUNCTION("GOOGLETRANSLATE(B4528,""en"",""zh-CN"")"),"完成教程时，他站在装饰已装饰的树旁边。")</f>
        <v>完成教程时，他站在装饰已装饰的树旁边。</v>
      </c>
    </row>
    <row r="4529">
      <c r="A4529" s="4" t="s">
        <v>5700</v>
      </c>
      <c r="B4529" s="4" t="s">
        <v>5701</v>
      </c>
      <c r="C4529" s="5" t="str">
        <f>IFERROR(__xludf.DUMMYFUNCTION("GOOGLETRANSLATE(B4529,""en"",""zh-CN"")"),"一个女人将冰倒入玻璃杯中。")</f>
        <v>一个女人将冰倒入玻璃杯中。</v>
      </c>
    </row>
    <row r="4530">
      <c r="A4530" s="4" t="s">
        <v>5700</v>
      </c>
      <c r="B4530" s="4" t="s">
        <v>5702</v>
      </c>
      <c r="C4530" s="5" t="str">
        <f>IFERROR(__xludf.DUMMYFUNCTION("GOOGLETRANSLATE(B4530,""en"",""zh-CN"")"),"她将酒精镜头放入玻璃杯中。")</f>
        <v>她将酒精镜头放入玻璃杯中。</v>
      </c>
    </row>
    <row r="4531">
      <c r="A4531" s="4" t="s">
        <v>5700</v>
      </c>
      <c r="B4531" s="4" t="s">
        <v>5703</v>
      </c>
      <c r="C4531" s="5" t="str">
        <f>IFERROR(__xludf.DUMMYFUNCTION("GOOGLETRANSLATE(B4531,""en"",""zh-CN"")"),"她摇晃它，然后将其倒入另一杯玻璃杯中。")</f>
        <v>她摇晃它，然后将其倒入另一杯玻璃杯中。</v>
      </c>
    </row>
    <row r="4532">
      <c r="A4532" s="4" t="s">
        <v>5700</v>
      </c>
      <c r="B4532" s="4" t="s">
        <v>5704</v>
      </c>
      <c r="C4532" s="5" t="str">
        <f>IFERROR(__xludf.DUMMYFUNCTION("GOOGLETRANSLATE(B4532,""en"",""zh-CN"")"),"她在其中放了一根稻草并握住它。")</f>
        <v>她在其中放了一根稻草并握住它。</v>
      </c>
    </row>
    <row r="4533">
      <c r="A4533" s="4" t="s">
        <v>5705</v>
      </c>
      <c r="B4533" s="4" t="s">
        <v>5706</v>
      </c>
      <c r="C4533" s="5" t="str">
        <f>IFERROR(__xludf.DUMMYFUNCTION("GOOGLETRANSLATE(B4533,""en"",""zh-CN"")"),"然后，一个橙色海浪的男人骑着鞍马。")</f>
        <v>然后，一个橙色海浪的男人骑着鞍马。</v>
      </c>
    </row>
    <row r="4534">
      <c r="A4534" s="4" t="s">
        <v>5705</v>
      </c>
      <c r="B4534" s="4" t="s">
        <v>5707</v>
      </c>
      <c r="C4534" s="5" t="str">
        <f>IFERROR(__xludf.DUMMYFUNCTION("GOOGLETRANSLATE(B4534,""en"",""zh-CN"")"),"该男子在鞍马周围旋转。")</f>
        <v>该男子在鞍马周围旋转。</v>
      </c>
    </row>
    <row r="4535">
      <c r="A4535" s="4" t="s">
        <v>5705</v>
      </c>
      <c r="B4535" s="4" t="s">
        <v>5708</v>
      </c>
      <c r="C4535" s="5" t="str">
        <f>IFERROR(__xludf.DUMMYFUNCTION("GOOGLETRANSLATE(B4535,""en"",""zh-CN"")"),"右边的一个男人拍照。")</f>
        <v>右边的一个男人拍照。</v>
      </c>
    </row>
    <row r="4536">
      <c r="A4536" s="4" t="s">
        <v>5705</v>
      </c>
      <c r="B4536" s="4" t="s">
        <v>5709</v>
      </c>
      <c r="C4536" s="5" t="str">
        <f>IFERROR(__xludf.DUMMYFUNCTION("GOOGLETRANSLATE(B4536,""en"",""zh-CN"")"),"该男子一次挥动一条腿。")</f>
        <v>该男子一次挥动一条腿。</v>
      </c>
    </row>
    <row r="4537">
      <c r="A4537" s="4" t="s">
        <v>5705</v>
      </c>
      <c r="B4537" s="4" t="s">
        <v>5710</v>
      </c>
      <c r="C4537" s="5" t="str">
        <f>IFERROR(__xludf.DUMMYFUNCTION("GOOGLETRANSLATE(B4537,""en"",""zh-CN"")"),"该男子倒立，然后卸下。")</f>
        <v>该男子倒立，然后卸下。</v>
      </c>
    </row>
    <row r="4538">
      <c r="A4538" s="4" t="s">
        <v>5705</v>
      </c>
      <c r="B4538" s="4" t="s">
        <v>5711</v>
      </c>
      <c r="C4538" s="5" t="str">
        <f>IFERROR(__xludf.DUMMYFUNCTION("GOOGLETRANSLATE(B4538,""en"",""zh-CN"")"),"当另一个人走到鞍马时，该男子走开了。")</f>
        <v>当另一个人走到鞍马时，该男子走开了。</v>
      </c>
    </row>
    <row r="4539">
      <c r="A4539" s="4" t="s">
        <v>5705</v>
      </c>
      <c r="B4539" s="4" t="s">
        <v>5712</v>
      </c>
      <c r="C4539" s="5" t="str">
        <f>IFERROR(__xludf.DUMMYFUNCTION("GOOGLETRANSLATE(B4539,""en"",""zh-CN"")"),"显示了终端屏幕，视频结束。")</f>
        <v>显示了终端屏幕，视频结束。</v>
      </c>
    </row>
    <row r="4540">
      <c r="A4540" s="4" t="s">
        <v>5713</v>
      </c>
      <c r="B4540" s="4" t="s">
        <v>5714</v>
      </c>
      <c r="C4540" s="5" t="str">
        <f>IFERROR(__xludf.DUMMYFUNCTION("GOOGLETRANSLATE(B4540,""en"",""zh-CN"")"),"一个穿着红色衬衫的男人鼓掌。")</f>
        <v>一个穿着红色衬衫的男人鼓掌。</v>
      </c>
    </row>
    <row r="4541">
      <c r="A4541" s="4" t="s">
        <v>5713</v>
      </c>
      <c r="B4541" s="4" t="s">
        <v>5715</v>
      </c>
      <c r="C4541" s="5" t="str">
        <f>IFERROR(__xludf.DUMMYFUNCTION("GOOGLETRANSLATE(B4541,""en"",""zh-CN"")"),"他沿着一条轨道跑，跳在沙滩上。")</f>
        <v>他沿着一条轨道跑，跳在沙滩上。</v>
      </c>
    </row>
    <row r="4542">
      <c r="A4542" s="4" t="s">
        <v>5713</v>
      </c>
      <c r="B4542" s="4" t="s">
        <v>5716</v>
      </c>
      <c r="C4542" s="5" t="str">
        <f>IFERROR(__xludf.DUMMYFUNCTION("GOOGLETRANSLATE(B4542,""en"",""zh-CN"")"),"人们之后将沙子耙出来。")</f>
        <v>人们之后将沙子耙出来。</v>
      </c>
    </row>
    <row r="4543">
      <c r="A4543" s="4" t="s">
        <v>5717</v>
      </c>
      <c r="B4543" s="4" t="s">
        <v>5718</v>
      </c>
      <c r="C4543" s="5" t="str">
        <f>IFERROR(__xludf.DUMMYFUNCTION("GOOGLETRANSLATE(B4543,""en"",""zh-CN"")"),"出现了一个介绍的黑屏，并且“ Poweriser”一词闪烁。")</f>
        <v>出现了一个介绍的黑屏，并且“ Poweriser”一词闪烁。</v>
      </c>
    </row>
    <row r="4544">
      <c r="A4544" s="4" t="s">
        <v>5717</v>
      </c>
      <c r="B4544" s="6" t="s">
        <v>5719</v>
      </c>
      <c r="C4544" s="5" t="str">
        <f>IFERROR(__xludf.DUMMYFUNCTION("GOOGLETRANSLATE(B4544,""en"",""zh-CN"")"),"一个叫Prvni Kroky的人在外面的金属高跷上，他开始，步行，跳跃，跑步，移动和做各种动作，而他的高跷和周围的人则坐在他周围或行走自己的事情。")</f>
        <v>一个叫Prvni Kroky的人在外面的金属高跷上，他开始，步行，跳跃，跑步，移动和做各种动作，而他的高跷和周围的人则坐在他周围或行走自己的事情。</v>
      </c>
    </row>
    <row r="4545">
      <c r="A4545" s="4" t="s">
        <v>5717</v>
      </c>
      <c r="B4545" s="6" t="s">
        <v>5720</v>
      </c>
      <c r="C4545" s="5" t="str">
        <f>IFERROR(__xludf.DUMMYFUNCTION("GOOGLETRANSLATE(B4545,""en"",""zh-CN"")"),"当这个男人完成后，他可以在高跷上做什么，他在原来的地方停下来谈论更多，波浪然后逃跑。")</f>
        <v>当这个男人完成后，他可以在高跷上做什么，他在原来的地方停下来谈论更多，波浪然后逃跑。</v>
      </c>
    </row>
    <row r="4546">
      <c r="A4546" s="4" t="s">
        <v>5717</v>
      </c>
      <c r="B4546" s="4" t="s">
        <v>5721</v>
      </c>
      <c r="C4546" s="5" t="str">
        <f>IFERROR(__xludf.DUMMYFUNCTION("GOOGLETRANSLATE(B4546,""en"",""zh-CN"")"),"出现了，它就像介绍一样。")</f>
        <v>出现了，它就像介绍一样。</v>
      </c>
    </row>
    <row r="4547">
      <c r="A4547" s="4" t="s">
        <v>5722</v>
      </c>
      <c r="B4547" s="4" t="s">
        <v>5723</v>
      </c>
      <c r="C4547" s="5" t="str">
        <f>IFERROR(__xludf.DUMMYFUNCTION("GOOGLETRANSLATE(B4547,""en"",""zh-CN"")"),"一件穿着白衬衫的女人坐下。")</f>
        <v>一件穿着白衬衫的女人坐下。</v>
      </c>
    </row>
    <row r="4548">
      <c r="A4548" s="4" t="s">
        <v>5722</v>
      </c>
      <c r="B4548" s="4" t="s">
        <v>5724</v>
      </c>
      <c r="C4548" s="5" t="str">
        <f>IFERROR(__xludf.DUMMYFUNCTION("GOOGLETRANSLATE(B4548,""en"",""zh-CN"")"),"她将一些产品倒入手掌中。")</f>
        <v>她将一些产品倒入手掌中。</v>
      </c>
    </row>
    <row r="4549">
      <c r="A4549" s="4" t="s">
        <v>5722</v>
      </c>
      <c r="B4549" s="4" t="s">
        <v>5725</v>
      </c>
      <c r="C4549" s="5" t="str">
        <f>IFERROR(__xludf.DUMMYFUNCTION("GOOGLETRANSLATE(B4549,""en"",""zh-CN"")"),"她开始将产品擦在脸上。")</f>
        <v>她开始将产品擦在脸上。</v>
      </c>
    </row>
    <row r="4550">
      <c r="A4550" s="4" t="s">
        <v>5726</v>
      </c>
      <c r="B4550" s="4" t="s">
        <v>5727</v>
      </c>
      <c r="C4550" s="5" t="str">
        <f>IFERROR(__xludf.DUMMYFUNCTION("GOOGLETRANSLATE(B4550,""en"",""zh-CN"")"),"一个女人修饰马的右身体，她刷脖子，身体和腿。")</f>
        <v>一个女人修饰马的右身体，她刷脖子，身体和腿。</v>
      </c>
    </row>
    <row r="4551">
      <c r="A4551" s="4" t="s">
        <v>5726</v>
      </c>
      <c r="B4551" s="6" t="s">
        <v>5728</v>
      </c>
      <c r="C4551" s="5" t="str">
        <f>IFERROR(__xludf.DUMMYFUNCTION("GOOGLETRANSLATE(B4551,""en"",""zh-CN"")"),"然后，女人走到马的左侧，跪下来修饰腿，然后她刷了身体的其他部位。")</f>
        <v>然后，女人走到马的左侧，跪下来修饰腿，然后她刷了身体的其他部位。</v>
      </c>
    </row>
    <row r="4552">
      <c r="A4552" s="4" t="s">
        <v>5729</v>
      </c>
      <c r="B4552" s="4" t="s">
        <v>5730</v>
      </c>
      <c r="C4552" s="5" t="str">
        <f>IFERROR(__xludf.DUMMYFUNCTION("GOOGLETRANSLATE(B4552,""en"",""zh-CN"")"),"厨师正在提供有关如何向厨房中另一个男人做菜的详细说明。")</f>
        <v>厨师正在提供有关如何向厨房中另一个男人做菜的详细说明。</v>
      </c>
    </row>
    <row r="4553">
      <c r="A4553" s="4" t="s">
        <v>5729</v>
      </c>
      <c r="B4553" s="4" t="s">
        <v>5731</v>
      </c>
      <c r="C4553" s="5" t="str">
        <f>IFERROR(__xludf.DUMMYFUNCTION("GOOGLETRANSLATE(B4553,""en"",""zh-CN"")"),"该男子随便走来走去，捡起其中一种成分并吃掉它。")</f>
        <v>该男子随便走来走去，捡起其中一种成分并吃掉它。</v>
      </c>
    </row>
    <row r="4554">
      <c r="A4554" s="4" t="s">
        <v>5729</v>
      </c>
      <c r="B4554" s="6" t="s">
        <v>5732</v>
      </c>
      <c r="C4554" s="5" t="str">
        <f>IFERROR(__xludf.DUMMYFUNCTION("GOOGLETRANSLATE(B4554,""en"",""zh-CN"")"),"同时，厨师正在放置食材，并解释他在做什么以及为什么进入锅中的过程。")</f>
        <v>同时，厨师正在放置食材，并解释他在做什么以及为什么进入锅中的过程。</v>
      </c>
    </row>
    <row r="4555">
      <c r="A4555" s="4" t="s">
        <v>5729</v>
      </c>
      <c r="B4555" s="6" t="s">
        <v>5733</v>
      </c>
      <c r="C4555" s="5" t="str">
        <f>IFERROR(__xludf.DUMMYFUNCTION("GOOGLETRANSLATE(B4555,""en"",""zh-CN"")"),"一旦他创建的酱汁开始融合在一起，他就会在意大利面中混合，并将其混合在一起。")</f>
        <v>一旦他创建的酱汁开始融合在一起，他就会在意大利面中混合，并将其混合在一起。</v>
      </c>
    </row>
    <row r="4556">
      <c r="A4556" s="4" t="s">
        <v>5734</v>
      </c>
      <c r="B4556" s="4" t="s">
        <v>5735</v>
      </c>
      <c r="C4556" s="5" t="str">
        <f>IFERROR(__xludf.DUMMYFUNCTION("GOOGLETRANSLATE(B4556,""en"",""zh-CN"")"),"一个穿着红色衬衫的男人在梯子周围走来走去。")</f>
        <v>一个穿着红色衬衫的男人在梯子周围走来走去。</v>
      </c>
    </row>
    <row r="4557">
      <c r="A4557" s="4" t="s">
        <v>5734</v>
      </c>
      <c r="B4557" s="4" t="s">
        <v>5736</v>
      </c>
      <c r="C4557" s="5" t="str">
        <f>IFERROR(__xludf.DUMMYFUNCTION("GOOGLETRANSLATE(B4557,""en"",""zh-CN"")"),"他将手臂放在梯子上。")</f>
        <v>他将手臂放在梯子上。</v>
      </c>
    </row>
    <row r="4558">
      <c r="A4558" s="4" t="s">
        <v>5734</v>
      </c>
      <c r="B4558" s="4" t="s">
        <v>5737</v>
      </c>
      <c r="C4558" s="5" t="str">
        <f>IFERROR(__xludf.DUMMYFUNCTION("GOOGLETRANSLATE(B4558,""en"",""zh-CN"")"),"一个女人将红色墙纸放在墙上。")</f>
        <v>一个女人将红色墙纸放在墙上。</v>
      </c>
    </row>
    <row r="4559">
      <c r="A4559" s="4" t="s">
        <v>5734</v>
      </c>
      <c r="B4559" s="4" t="s">
        <v>5738</v>
      </c>
      <c r="C4559" s="5" t="str">
        <f>IFERROR(__xludf.DUMMYFUNCTION("GOOGLETRANSLATE(B4559,""en"",""zh-CN"")"),"她用手和工具将红色墙纸弄平。")</f>
        <v>她用手和工具将红色墙纸弄平。</v>
      </c>
    </row>
    <row r="4560">
      <c r="A4560" s="4" t="s">
        <v>5734</v>
      </c>
      <c r="B4560" s="4" t="s">
        <v>5739</v>
      </c>
      <c r="C4560" s="5" t="str">
        <f>IFERROR(__xludf.DUMMYFUNCTION("GOOGLETRANSLATE(B4560,""en"",""zh-CN"")"),"她测量墙纸以确保它是笔直的。")</f>
        <v>她测量墙纸以确保它是笔直的。</v>
      </c>
    </row>
    <row r="4561">
      <c r="A4561" s="4" t="s">
        <v>5734</v>
      </c>
      <c r="B4561" s="6" t="s">
        <v>5740</v>
      </c>
      <c r="C4561" s="5" t="str">
        <f>IFERROR(__xludf.DUMMYFUNCTION("GOOGLETRANSLATE(B4561,""en"",""zh-CN"")"),"该女士将工具放在墙纸的顶部和底部，并取下任何额外的墙纸。")</f>
        <v>该女士将工具放在墙纸的顶部和底部，并取下任何额外的墙纸。</v>
      </c>
    </row>
    <row r="4562">
      <c r="A4562" s="4" t="s">
        <v>5734</v>
      </c>
      <c r="B4562" s="4" t="s">
        <v>5741</v>
      </c>
      <c r="C4562" s="5" t="str">
        <f>IFERROR(__xludf.DUMMYFUNCTION("GOOGLETRANSLATE(B4562,""en"",""zh-CN"")"),"穿着红色衬衫的男人在说话。")</f>
        <v>穿着红色衬衫的男人在说话。</v>
      </c>
    </row>
    <row r="4563">
      <c r="A4563" s="4" t="s">
        <v>5742</v>
      </c>
      <c r="B4563" s="4" t="s">
        <v>5743</v>
      </c>
      <c r="C4563" s="5" t="str">
        <f>IFERROR(__xludf.DUMMYFUNCTION("GOOGLETRANSLATE(B4563,""en"",""zh-CN"")"),"我们在开放屏幕上看到标志。")</f>
        <v>我们在开放屏幕上看到标志。</v>
      </c>
    </row>
    <row r="4564">
      <c r="A4564" s="4" t="s">
        <v>5742</v>
      </c>
      <c r="B4564" s="4" t="s">
        <v>5744</v>
      </c>
      <c r="C4564" s="5" t="str">
        <f>IFERROR(__xludf.DUMMYFUNCTION("GOOGLETRANSLATE(B4564,""en"",""zh-CN"")"),"我们切换到两位带有马的女士的图像。")</f>
        <v>我们切换到两位带有马的女士的图像。</v>
      </c>
    </row>
    <row r="4565">
      <c r="A4565" s="4" t="s">
        <v>5742</v>
      </c>
      <c r="B4565" s="4" t="s">
        <v>5745</v>
      </c>
      <c r="C4565" s="5" t="str">
        <f>IFERROR(__xludf.DUMMYFUNCTION("GOOGLETRANSLATE(B4565,""en"",""zh-CN"")"),"我们在阳光明媚的田野里看到一位女士带有软管。")</f>
        <v>我们在阳光明媚的田野里看到一位女士带有软管。</v>
      </c>
    </row>
    <row r="4566">
      <c r="A4566" s="4" t="s">
        <v>5742</v>
      </c>
      <c r="B4566" s="4" t="s">
        <v>5746</v>
      </c>
      <c r="C4566" s="5" t="str">
        <f>IFERROR(__xludf.DUMMYFUNCTION("GOOGLETRANSLATE(B4566,""en"",""zh-CN"")"),"我们看到一只小狗在马的后部。")</f>
        <v>我们看到一只小狗在马的后部。</v>
      </c>
    </row>
    <row r="4567">
      <c r="A4567" s="4" t="s">
        <v>5742</v>
      </c>
      <c r="B4567" s="4" t="s">
        <v>5747</v>
      </c>
      <c r="C4567" s="5" t="str">
        <f>IFERROR(__xludf.DUMMYFUNCTION("GOOGLETRANSLATE(B4567,""en"",""zh-CN"")"),"我们看到那只小狗，然后是两位女士和小狗。")</f>
        <v>我们看到那只小狗，然后是两位女士和小狗。</v>
      </c>
    </row>
    <row r="4568">
      <c r="A4568" s="4" t="s">
        <v>5742</v>
      </c>
      <c r="B4568" s="4" t="s">
        <v>5748</v>
      </c>
      <c r="C4568" s="5" t="str">
        <f>IFERROR(__xludf.DUMMYFUNCTION("GOOGLETRANSLATE(B4568,""en"",""zh-CN"")"),"那位女士正在和狗一起玩。")</f>
        <v>那位女士正在和狗一起玩。</v>
      </c>
    </row>
    <row r="4569">
      <c r="A4569" s="4" t="s">
        <v>5742</v>
      </c>
      <c r="B4569" s="4" t="s">
        <v>5749</v>
      </c>
      <c r="C4569" s="5" t="str">
        <f>IFERROR(__xludf.DUMMYFUNCTION("GOOGLETRANSLATE(B4569,""en"",""zh-CN"")"),"我们看到一群人坐在马stable里。")</f>
        <v>我们看到一群人坐在马stable里。</v>
      </c>
    </row>
    <row r="4570">
      <c r="A4570" s="4" t="s">
        <v>5742</v>
      </c>
      <c r="B4570" s="4" t="s">
        <v>5750</v>
      </c>
      <c r="C4570" s="5" t="str">
        <f>IFERROR(__xludf.DUMMYFUNCTION("GOOGLETRANSLATE(B4570,""en"",""zh-CN"")"),"我们看到了最终信用标志。")</f>
        <v>我们看到了最终信用标志。</v>
      </c>
    </row>
    <row r="4571">
      <c r="A4571" s="4" t="s">
        <v>5751</v>
      </c>
      <c r="B4571" s="4" t="s">
        <v>5752</v>
      </c>
      <c r="C4571" s="5" t="str">
        <f>IFERROR(__xludf.DUMMYFUNCTION("GOOGLETRANSLATE(B4571,""en"",""zh-CN"")"),"看到一个男人站着准备拿着飞镖，向远处望去。")</f>
        <v>看到一个男人站着准备拿着飞镖，向远处望去。</v>
      </c>
    </row>
    <row r="4572">
      <c r="A4572" s="4" t="s">
        <v>5751</v>
      </c>
      <c r="B4572" s="4" t="s">
        <v>5753</v>
      </c>
      <c r="C4572" s="5" t="str">
        <f>IFERROR(__xludf.DUMMYFUNCTION("GOOGLETRANSLATE(B4572,""en"",""zh-CN"")"),"然后，当相机继续跟随他时，该男子以慢动作将飞镖投掷。")</f>
        <v>然后，当相机继续跟随他时，该男子以慢动作将飞镖投掷。</v>
      </c>
    </row>
    <row r="4573">
      <c r="A4573" s="4" t="s">
        <v>5754</v>
      </c>
      <c r="B4573" s="4" t="s">
        <v>5755</v>
      </c>
      <c r="C4573" s="5" t="str">
        <f>IFERROR(__xludf.DUMMYFUNCTION("GOOGLETRANSLATE(B4573,""en"",""zh-CN"")"),"一个人将一个瓷砖放在地板上并将其推下。")</f>
        <v>一个人将一个瓷砖放在地板上并将其推下。</v>
      </c>
    </row>
    <row r="4574">
      <c r="A4574" s="4" t="s">
        <v>5754</v>
      </c>
      <c r="B4574" s="4" t="s">
        <v>5756</v>
      </c>
      <c r="C4574" s="5" t="str">
        <f>IFERROR(__xludf.DUMMYFUNCTION("GOOGLETRANSLATE(B4574,""en"",""zh-CN"")"),"他用手使它平滑。")</f>
        <v>他用手使它平滑。</v>
      </c>
    </row>
    <row r="4575">
      <c r="A4575" s="4" t="s">
        <v>5754</v>
      </c>
      <c r="B4575" s="4" t="s">
        <v>5757</v>
      </c>
      <c r="C4575" s="5" t="str">
        <f>IFERROR(__xludf.DUMMYFUNCTION("GOOGLETRANSLATE(B4575,""en"",""zh-CN"")"),"他移动瓷砖旁边地板上的通风口。")</f>
        <v>他移动瓷砖旁边地板上的通风口。</v>
      </c>
    </row>
    <row r="4576">
      <c r="A4576" s="4" t="s">
        <v>5758</v>
      </c>
      <c r="B4576" s="4" t="s">
        <v>5759</v>
      </c>
      <c r="C4576" s="5" t="str">
        <f>IFERROR(__xludf.DUMMYFUNCTION("GOOGLETRANSLATE(B4576,""en"",""zh-CN"")"),"看到一小群男人坐在桌子旁玩各种手游戏。")</f>
        <v>看到一小群男人坐在桌子旁玩各种手游戏。</v>
      </c>
    </row>
    <row r="4577">
      <c r="A4577" s="4" t="s">
        <v>5758</v>
      </c>
      <c r="B4577" s="6" t="s">
        <v>5760</v>
      </c>
      <c r="C4577" s="5" t="str">
        <f>IFERROR(__xludf.DUMMYFUNCTION("GOOGLETRANSLATE(B4577,""en"",""zh-CN"")"),"然后移动他们的手，这些手被慢动作显示，并在电话上说话并离开房间。")</f>
        <v>然后移动他们的手，这些手被慢动作显示，并在电话上说话并离开房间。</v>
      </c>
    </row>
    <row r="4578">
      <c r="A4578" s="4" t="s">
        <v>5758</v>
      </c>
      <c r="B4578" s="4" t="s">
        <v>5761</v>
      </c>
      <c r="C4578" s="5" t="str">
        <f>IFERROR(__xludf.DUMMYFUNCTION("GOOGLETRANSLATE(B4578,""en"",""zh-CN"")"),"摄像机在笑时在其他人周围摇晃。")</f>
        <v>摄像机在笑时在其他人周围摇晃。</v>
      </c>
    </row>
    <row r="4579">
      <c r="A4579" s="4" t="s">
        <v>5762</v>
      </c>
      <c r="B4579" s="4" t="s">
        <v>5763</v>
      </c>
      <c r="C4579" s="5" t="str">
        <f>IFERROR(__xludf.DUMMYFUNCTION("GOOGLETRANSLATE(B4579,""en"",""zh-CN"")"),"我们看到两个男人在体育场里击剑。")</f>
        <v>我们看到两个男人在体育场里击剑。</v>
      </c>
    </row>
    <row r="4580">
      <c r="A4580" s="4" t="s">
        <v>5762</v>
      </c>
      <c r="B4580" s="4" t="s">
        <v>5764</v>
      </c>
      <c r="C4580" s="5" t="str">
        <f>IFERROR(__xludf.DUMMYFUNCTION("GOOGLETRANSLATE(B4580,""en"",""zh-CN"")"),"一个男人把双臂伸到空中。")</f>
        <v>一个男人把双臂伸到空中。</v>
      </c>
    </row>
    <row r="4581">
      <c r="A4581" s="4" t="s">
        <v>5762</v>
      </c>
      <c r="B4581" s="4" t="s">
        <v>5765</v>
      </c>
      <c r="C4581" s="5" t="str">
        <f>IFERROR(__xludf.DUMMYFUNCTION("GOOGLETRANSLATE(B4581,""en"",""zh-CN"")"),"左派人落在地面上。")</f>
        <v>左派人落在地面上。</v>
      </c>
    </row>
    <row r="4582">
      <c r="A4582" s="4" t="s">
        <v>5762</v>
      </c>
      <c r="B4582" s="4" t="s">
        <v>5766</v>
      </c>
      <c r="C4582" s="5" t="str">
        <f>IFERROR(__xludf.DUMMYFUNCTION("GOOGLETRANSLATE(B4582,""en"",""zh-CN"")"),"左手把手伸到空中。")</f>
        <v>左手把手伸到空中。</v>
      </c>
    </row>
    <row r="4583">
      <c r="A4583" s="4" t="s">
        <v>5762</v>
      </c>
      <c r="B4583" s="4" t="s">
        <v>777</v>
      </c>
      <c r="C4583" s="5" t="str">
        <f>IFERROR(__xludf.DUMMYFUNCTION("GOOGLETRANSLATE(B4583,""en"",""zh-CN"")"),"我们看到结尾标题屏幕。")</f>
        <v>我们看到结尾标题屏幕。</v>
      </c>
    </row>
    <row r="4584">
      <c r="A4584" s="4" t="s">
        <v>5767</v>
      </c>
      <c r="B4584" s="4" t="s">
        <v>5768</v>
      </c>
      <c r="C4584" s="5" t="str">
        <f>IFERROR(__xludf.DUMMYFUNCTION("GOOGLETRANSLATE(B4584,""en"",""zh-CN"")"),"一个女人在厨房里跳舞和拖擦。")</f>
        <v>一个女人在厨房里跳舞和拖擦。</v>
      </c>
    </row>
    <row r="4585">
      <c r="A4585" s="4" t="s">
        <v>5767</v>
      </c>
      <c r="B4585" s="4" t="s">
        <v>5769</v>
      </c>
      <c r="C4585" s="5" t="str">
        <f>IFERROR(__xludf.DUMMYFUNCTION("GOOGLETRANSLATE(B4585,""en"",""zh-CN"")"),"另一个女人正在录制她并笑。")</f>
        <v>另一个女人正在录制她并笑。</v>
      </c>
    </row>
    <row r="4586">
      <c r="A4586" s="4" t="s">
        <v>5767</v>
      </c>
      <c r="B4586" s="4" t="s">
        <v>5770</v>
      </c>
      <c r="C4586" s="5" t="str">
        <f>IFERROR(__xludf.DUMMYFUNCTION("GOOGLETRANSLATE(B4586,""en"",""zh-CN"")"),"女人注意到相机并笑着，但继续跳舞。")</f>
        <v>女人注意到相机并笑着，但继续跳舞。</v>
      </c>
    </row>
    <row r="4587">
      <c r="A4587" s="4" t="s">
        <v>5771</v>
      </c>
      <c r="B4587" s="4" t="s">
        <v>5772</v>
      </c>
      <c r="C4587" s="5" t="str">
        <f>IFERROR(__xludf.DUMMYFUNCTION("GOOGLETRANSLATE(B4587,""en"",""zh-CN"")"),"技术人员沿着屋顶行走，并用魔杖固定在软管上。")</f>
        <v>技术人员沿着屋顶行走，并用魔杖固定在软管上。</v>
      </c>
    </row>
    <row r="4588">
      <c r="A4588" s="4" t="s">
        <v>5771</v>
      </c>
      <c r="B4588" s="4" t="s">
        <v>5773</v>
      </c>
      <c r="C4588" s="5" t="str">
        <f>IFERROR(__xludf.DUMMYFUNCTION("GOOGLETRANSLATE(B4588,""en"",""zh-CN"")"),"该男子关掉他的软管，然后沿着屋顶的峰值走。")</f>
        <v>该男子关掉他的软管，然后沿着屋顶的峰值走。</v>
      </c>
    </row>
    <row r="4589">
      <c r="A4589" s="4" t="s">
        <v>5771</v>
      </c>
      <c r="B4589" s="4" t="s">
        <v>5774</v>
      </c>
      <c r="C4589" s="5" t="str">
        <f>IFERROR(__xludf.DUMMYFUNCTION("GOOGLETRANSLATE(B4589,""en"",""zh-CN"")"),"那个男人用魔杖在排水沟周围喷洒。")</f>
        <v>那个男人用魔杖在排水沟周围喷洒。</v>
      </c>
    </row>
    <row r="4590">
      <c r="A4590" s="4" t="s">
        <v>5771</v>
      </c>
      <c r="B4590" s="4" t="s">
        <v>5775</v>
      </c>
      <c r="C4590" s="5" t="str">
        <f>IFERROR(__xludf.DUMMYFUNCTION("GOOGLETRANSLATE(B4590,""en"",""zh-CN"")"),"水从排水沟中散发到下面的水泥上。")</f>
        <v>水从排水沟中散发到下面的水泥上。</v>
      </c>
    </row>
    <row r="4591">
      <c r="A4591" s="4" t="s">
        <v>5776</v>
      </c>
      <c r="B4591" s="4" t="s">
        <v>5777</v>
      </c>
      <c r="C4591" s="5" t="str">
        <f>IFERROR(__xludf.DUMMYFUNCTION("GOOGLETRANSLATE(B4591,""en"",""zh-CN"")"),"看到一个女人坐在一个女孩旁边的沙子上。")</f>
        <v>看到一个女人坐在一个女孩旁边的沙子上。</v>
      </c>
    </row>
    <row r="4592">
      <c r="A4592" s="4" t="s">
        <v>5776</v>
      </c>
      <c r="B4592" s="4" t="s">
        <v>5778</v>
      </c>
      <c r="C4592" s="5" t="str">
        <f>IFERROR(__xludf.DUMMYFUNCTION("GOOGLETRANSLATE(B4592,""en"",""zh-CN"")"),"那个女人从相机上移开了视线，低头看着沙子。")</f>
        <v>那个女人从相机上移开了视线，低头看着沙子。</v>
      </c>
    </row>
    <row r="4593">
      <c r="A4593" s="4" t="s">
        <v>5776</v>
      </c>
      <c r="B4593" s="4" t="s">
        <v>5779</v>
      </c>
      <c r="C4593" s="5" t="str">
        <f>IFERROR(__xludf.DUMMYFUNCTION("GOOGLETRANSLATE(B4593,""en"",""zh-CN"")"),"然后，女孩和女人开始在沙滩上挖掘。")</f>
        <v>然后，女孩和女人开始在沙滩上挖掘。</v>
      </c>
    </row>
    <row r="4594">
      <c r="A4594" s="4" t="s">
        <v>5780</v>
      </c>
      <c r="B4594" s="4" t="s">
        <v>5781</v>
      </c>
      <c r="C4594" s="5" t="str">
        <f>IFERROR(__xludf.DUMMYFUNCTION("GOOGLETRANSLATE(B4594,""en"",""zh-CN"")"),"一大批球员排队并看到彼此说话。")</f>
        <v>一大批球员排队并看到彼此说话。</v>
      </c>
    </row>
    <row r="4595">
      <c r="A4595" s="4" t="s">
        <v>5780</v>
      </c>
      <c r="B4595" s="4" t="s">
        <v>5782</v>
      </c>
      <c r="C4595" s="5" t="str">
        <f>IFERROR(__xludf.DUMMYFUNCTION("GOOGLETRANSLATE(B4595,""en"",""zh-CN"")"),"然后，他们移到冰上，开始滑冰。")</f>
        <v>然后，他们移到冰上，开始滑冰。</v>
      </c>
    </row>
    <row r="4596">
      <c r="A4596" s="4" t="s">
        <v>5780</v>
      </c>
      <c r="B4596" s="4" t="s">
        <v>5783</v>
      </c>
      <c r="C4596" s="5" t="str">
        <f>IFERROR(__xludf.DUMMYFUNCTION("GOOGLETRANSLATE(B4596,""en"",""zh-CN"")"),"一个男人的拳头撞到另一个，最后走了。")</f>
        <v>一个男人的拳头撞到另一个，最后走了。</v>
      </c>
    </row>
    <row r="4597">
      <c r="A4597" s="4" t="s">
        <v>5784</v>
      </c>
      <c r="B4597" s="4" t="s">
        <v>5785</v>
      </c>
      <c r="C4597" s="5" t="str">
        <f>IFERROR(__xludf.DUMMYFUNCTION("GOOGLETRANSLATE(B4597,""en"",""zh-CN"")"),"看到一个人从甲板上奔跑，用棍子推了冰球。")</f>
        <v>看到一个人从甲板上奔跑，用棍子推了冰球。</v>
      </c>
    </row>
    <row r="4598">
      <c r="A4598" s="4" t="s">
        <v>5784</v>
      </c>
      <c r="B4598" s="4" t="s">
        <v>5786</v>
      </c>
      <c r="C4598" s="5" t="str">
        <f>IFERROR(__xludf.DUMMYFUNCTION("GOOGLETRANSLATE(B4598,""en"",""zh-CN"")"),"她回头看着相机，而其他人则在旁边看。")</f>
        <v>她回头看着相机，而其他人则在旁边看。</v>
      </c>
    </row>
    <row r="4599">
      <c r="A4599" s="4" t="s">
        <v>5787</v>
      </c>
      <c r="B4599" s="4" t="s">
        <v>5788</v>
      </c>
      <c r="C4599" s="5" t="str">
        <f>IFERROR(__xludf.DUMMYFUNCTION("GOOGLETRANSLATE(B4599,""en"",""zh-CN"")"),"一只黑狗看着相机。")</f>
        <v>一只黑狗看着相机。</v>
      </c>
    </row>
    <row r="4600">
      <c r="A4600" s="4" t="s">
        <v>5787</v>
      </c>
      <c r="B4600" s="4" t="s">
        <v>5789</v>
      </c>
      <c r="C4600" s="5" t="str">
        <f>IFERROR(__xludf.DUMMYFUNCTION("GOOGLETRANSLATE(B4600,""en"",""zh-CN"")"),"一个秃头的人出现，正站在似乎需要恢复的椅子旁边。")</f>
        <v>一个秃头的人出现，正站在似乎需要恢复的椅子旁边。</v>
      </c>
    </row>
    <row r="4601">
      <c r="A4601" s="4" t="s">
        <v>5787</v>
      </c>
      <c r="B4601" s="4" t="s">
        <v>5790</v>
      </c>
      <c r="C4601" s="5" t="str">
        <f>IFERROR(__xludf.DUMMYFUNCTION("GOOGLETRANSLATE(B4601,""en"",""zh-CN"")"),"椅子显示出划痕。")</f>
        <v>椅子显示出划痕。</v>
      </c>
    </row>
    <row r="4602">
      <c r="A4602" s="4" t="s">
        <v>5787</v>
      </c>
      <c r="B4602" s="6" t="s">
        <v>5791</v>
      </c>
      <c r="C4602" s="5" t="str">
        <f>IFERROR(__xludf.DUMMYFUNCTION("GOOGLETRANSLATE(B4602,""en"",""zh-CN"")"),"当男人在椅子表面上擦拭物质时，该男子开始在椅子上施加物质。")</f>
        <v>当男人在椅子表面上擦拭物质时，该男子开始在椅子上施加物质。</v>
      </c>
    </row>
    <row r="4603">
      <c r="A4603" s="4" t="s">
        <v>5787</v>
      </c>
      <c r="B4603" s="6" t="s">
        <v>5792</v>
      </c>
      <c r="C4603" s="5" t="str">
        <f>IFERROR(__xludf.DUMMYFUNCTION("GOOGLETRANSLATE(B4603,""en"",""zh-CN"")"),"然后，该男子指着椅子部分的划痕，并开始用物质擦拭干净。")</f>
        <v>然后，该男子指着椅子部分的划痕，并开始用物质擦拭干净。</v>
      </c>
    </row>
    <row r="4604">
      <c r="A4604" s="4" t="s">
        <v>5787</v>
      </c>
      <c r="B4604" s="4" t="s">
        <v>5793</v>
      </c>
      <c r="C4604" s="5" t="str">
        <f>IFERROR(__xludf.DUMMYFUNCTION("GOOGLETRANSLATE(B4604,""en"",""zh-CN"")"),"然后，该男子展示了一条椅子的腿，也将其擦干。")</f>
        <v>然后，该男子展示了一条椅子的腿，也将其擦干。</v>
      </c>
    </row>
    <row r="4605">
      <c r="A4605" s="4" t="s">
        <v>5787</v>
      </c>
      <c r="B4605" s="6" t="s">
        <v>5794</v>
      </c>
      <c r="C4605" s="5" t="str">
        <f>IFERROR(__xludf.DUMMYFUNCTION("GOOGLETRANSLATE(B4605,""en"",""zh-CN"")"),"然后，该男子似乎将物质倒入罐中，然后将刷子浸入其中并抛光腿的一部分。")</f>
        <v>然后，该男子似乎将物质倒入罐中，然后将刷子浸入其中并抛光腿的一部分。</v>
      </c>
    </row>
    <row r="4606">
      <c r="A4606" s="4" t="s">
        <v>5787</v>
      </c>
      <c r="B4606" s="4" t="s">
        <v>5795</v>
      </c>
      <c r="C4606" s="5" t="str">
        <f>IFERROR(__xludf.DUMMYFUNCTION("GOOGLETRANSLATE(B4606,""en"",""zh-CN"")"),"该男子继续擦拭椅子，因为它变得更加干净。")</f>
        <v>该男子继续擦拭椅子，因为它变得更加干净。</v>
      </c>
    </row>
    <row r="4607">
      <c r="A4607" s="4" t="s">
        <v>5787</v>
      </c>
      <c r="B4607" s="6" t="s">
        <v>5796</v>
      </c>
      <c r="C4607" s="5" t="str">
        <f>IFERROR(__xludf.DUMMYFUNCTION("GOOGLETRANSLATE(B4607,""en"",""zh-CN"")"),"椅子用黄瓶干燥后，该男子返回，现在戴着帽子和眼镜。")</f>
        <v>椅子用黄瓶干燥后，该男子返回，现在戴着帽子和眼镜。</v>
      </c>
    </row>
    <row r="4608">
      <c r="A4608" s="4" t="s">
        <v>5787</v>
      </c>
      <c r="B4608" s="4" t="s">
        <v>5797</v>
      </c>
      <c r="C4608" s="5" t="str">
        <f>IFERROR(__xludf.DUMMYFUNCTION("GOOGLETRANSLATE(B4608,""en"",""zh-CN"")"),"该男子开始使用黄色瓶中的任何东西再次擦拭椅子。")</f>
        <v>该男子开始使用黄色瓶中的任何东西再次擦拭椅子。</v>
      </c>
    </row>
    <row r="4609">
      <c r="A4609" s="4" t="s">
        <v>5787</v>
      </c>
      <c r="B4609" s="4" t="s">
        <v>5798</v>
      </c>
      <c r="C4609" s="5" t="str">
        <f>IFERROR(__xludf.DUMMYFUNCTION("GOOGLETRANSLATE(B4609,""en"",""zh-CN"")"),"完成此操作后，将垫子放回椅子上，因为它再被擦拭一次。")</f>
        <v>完成此操作后，将垫子放回椅子上，因为它再被擦拭一次。</v>
      </c>
    </row>
    <row r="4610">
      <c r="A4610" s="4" t="s">
        <v>5799</v>
      </c>
      <c r="B4610" s="4" t="s">
        <v>5800</v>
      </c>
      <c r="C4610" s="5" t="str">
        <f>IFERROR(__xludf.DUMMYFUNCTION("GOOGLETRANSLATE(B4610,""en"",""zh-CN"")"),"人们用铲子在海滩的海岸上洞洞。")</f>
        <v>人们用铲子在海滩的海岸上洞洞。</v>
      </c>
    </row>
    <row r="4611">
      <c r="A4611" s="4" t="s">
        <v>5799</v>
      </c>
      <c r="B4611" s="4" t="s">
        <v>5801</v>
      </c>
      <c r="C4611" s="5" t="str">
        <f>IFERROR(__xludf.DUMMYFUNCTION("GOOGLETRANSLATE(B4611,""en"",""zh-CN"")"),"然后，人们在洞周围墙壁。")</f>
        <v>然后，人们在洞周围墙壁。</v>
      </c>
    </row>
    <row r="4612">
      <c r="A4612" s="4" t="s">
        <v>5802</v>
      </c>
      <c r="B4612" s="4" t="s">
        <v>5803</v>
      </c>
      <c r="C4612" s="5" t="str">
        <f>IFERROR(__xludf.DUMMYFUNCTION("GOOGLETRANSLATE(B4612,""en"",""zh-CN"")"),"一个男人站在一条大河前说话。")</f>
        <v>一个男人站在一条大河前说话。</v>
      </c>
    </row>
    <row r="4613">
      <c r="A4613" s="4" t="s">
        <v>5802</v>
      </c>
      <c r="B4613" s="4" t="s">
        <v>5804</v>
      </c>
      <c r="C4613" s="5" t="str">
        <f>IFERROR(__xludf.DUMMYFUNCTION("GOOGLETRANSLATE(B4613,""en"",""zh-CN"")"),"一群野猪在船后游泳，试图跟上。")</f>
        <v>一群野猪在船后游泳，试图跟上。</v>
      </c>
    </row>
    <row r="4614">
      <c r="A4614" s="4" t="s">
        <v>5802</v>
      </c>
      <c r="B4614" s="6" t="s">
        <v>5805</v>
      </c>
      <c r="C4614" s="5" t="str">
        <f>IFERROR(__xludf.DUMMYFUNCTION("GOOGLETRANSLATE(B4614,""en"",""zh-CN"")"),"该男子到达岸边，他和一个船长在海滩上跑来跑去，试图逃脱猪。")</f>
        <v>该男子到达岸边，他和一个船长在海滩上跑来跑去，试图逃脱猪。</v>
      </c>
    </row>
    <row r="4615">
      <c r="A4615" s="4" t="s">
        <v>5806</v>
      </c>
      <c r="B4615" s="4" t="s">
        <v>3714</v>
      </c>
      <c r="C4615" s="5" t="str">
        <f>IFERROR(__xludf.DUMMYFUNCTION("GOOGLETRANSLATE(B4615,""en"",""zh-CN"")"),"我们看到一个黑暗的开放屏幕。")</f>
        <v>我们看到一个黑暗的开放屏幕。</v>
      </c>
    </row>
    <row r="4616">
      <c r="A4616" s="4" t="s">
        <v>5806</v>
      </c>
      <c r="B4616" s="4" t="s">
        <v>5807</v>
      </c>
      <c r="C4616" s="5" t="str">
        <f>IFERROR(__xludf.DUMMYFUNCTION("GOOGLETRANSLATE(B4616,""en"",""zh-CN"")"),"然后，我们看到两个人从事武术。")</f>
        <v>然后，我们看到两个人从事武术。</v>
      </c>
    </row>
    <row r="4617">
      <c r="A4617" s="4" t="s">
        <v>5806</v>
      </c>
      <c r="B4617" s="4" t="s">
        <v>5808</v>
      </c>
      <c r="C4617" s="5" t="str">
        <f>IFERROR(__xludf.DUMMYFUNCTION("GOOGLETRANSLATE(B4617,""en"",""zh-CN"")"),"老人将年轻人推到了地面上。")</f>
        <v>老人将年轻人推到了地面上。</v>
      </c>
    </row>
    <row r="4618">
      <c r="A4618" s="4" t="s">
        <v>5806</v>
      </c>
      <c r="B4618" s="4" t="s">
        <v>5809</v>
      </c>
      <c r="C4618" s="5" t="str">
        <f>IFERROR(__xludf.DUMMYFUNCTION("GOOGLETRANSLATE(B4618,""en"",""zh-CN"")"),"老人将年轻人翻转过来。")</f>
        <v>老人将年轻人翻转过来。</v>
      </c>
    </row>
    <row r="4619">
      <c r="A4619" s="4" t="s">
        <v>5806</v>
      </c>
      <c r="B4619" s="4" t="s">
        <v>5810</v>
      </c>
      <c r="C4619" s="5" t="str">
        <f>IFERROR(__xludf.DUMMYFUNCTION("GOOGLETRANSLATE(B4619,""en"",""zh-CN"")"),"老人推动他向前。")</f>
        <v>老人推动他向前。</v>
      </c>
    </row>
    <row r="4620">
      <c r="A4620" s="4" t="s">
        <v>5806</v>
      </c>
      <c r="B4620" s="4" t="s">
        <v>5811</v>
      </c>
      <c r="C4620" s="5" t="str">
        <f>IFERROR(__xludf.DUMMYFUNCTION("GOOGLETRANSLATE(B4620,""en"",""zh-CN"")"),"年轻人抓住了年龄较大的头，年龄较大的人把他推倒了。")</f>
        <v>年轻人抓住了年龄较大的头，年龄较大的人把他推倒了。</v>
      </c>
    </row>
    <row r="4621">
      <c r="A4621" s="4" t="s">
        <v>5806</v>
      </c>
      <c r="B4621" s="4" t="s">
        <v>5812</v>
      </c>
      <c r="C4621" s="5" t="str">
        <f>IFERROR(__xludf.DUMMYFUNCTION("GOOGLETRANSLATE(B4621,""en"",""zh-CN"")"),"绿色的人被推到垫子上。")</f>
        <v>绿色的人被推到垫子上。</v>
      </c>
    </row>
    <row r="4622">
      <c r="A4622" s="4" t="s">
        <v>5806</v>
      </c>
      <c r="B4622" s="4" t="s">
        <v>5813</v>
      </c>
      <c r="C4622" s="5" t="str">
        <f>IFERROR(__xludf.DUMMYFUNCTION("GOOGLETRANSLATE(B4622,""en"",""zh-CN"")"),"绿色的老人翻转男人。")</f>
        <v>绿色的老人翻转男人。</v>
      </c>
    </row>
    <row r="4623">
      <c r="A4623" s="4" t="s">
        <v>5806</v>
      </c>
      <c r="B4623" s="4" t="s">
        <v>5814</v>
      </c>
      <c r="C4623" s="5" t="str">
        <f>IFERROR(__xludf.DUMMYFUNCTION("GOOGLETRANSLATE(B4623,""en"",""zh-CN"")"),"白色的男人被翻转了。")</f>
        <v>白色的男人被翻转了。</v>
      </c>
    </row>
    <row r="4624">
      <c r="A4624" s="4" t="s">
        <v>5806</v>
      </c>
      <c r="B4624" s="4" t="s">
        <v>5815</v>
      </c>
      <c r="C4624" s="5" t="str">
        <f>IFERROR(__xludf.DUMMYFUNCTION("GOOGLETRANSLATE(B4624,""en"",""zh-CN"")"),"老人将绿人推到地面上。")</f>
        <v>老人将绿人推到地面上。</v>
      </c>
    </row>
    <row r="4625">
      <c r="A4625" s="4" t="s">
        <v>5806</v>
      </c>
      <c r="B4625" s="4" t="s">
        <v>5816</v>
      </c>
      <c r="C4625" s="5" t="str">
        <f>IFERROR(__xludf.DUMMYFUNCTION("GOOGLETRANSLATE(B4625,""en"",""zh-CN"")"),"老人卷成绿色的人。")</f>
        <v>老人卷成绿色的人。</v>
      </c>
    </row>
    <row r="4626">
      <c r="A4626" s="4" t="s">
        <v>5817</v>
      </c>
      <c r="B4626" s="4" t="s">
        <v>5818</v>
      </c>
      <c r="C4626" s="5" t="str">
        <f>IFERROR(__xludf.DUMMYFUNCTION("GOOGLETRANSLATE(B4626,""en"",""zh-CN"")"),"一个男人独自打泳池在泳池桌上围着球击中球。")</f>
        <v>一个男人独自打泳池在泳池桌上围着球击中球。</v>
      </c>
    </row>
    <row r="4627">
      <c r="A4627" s="4" t="s">
        <v>5817</v>
      </c>
      <c r="B4627" s="4" t="s">
        <v>5819</v>
      </c>
      <c r="C4627" s="5" t="str">
        <f>IFERROR(__xludf.DUMMYFUNCTION("GOOGLETRANSLATE(B4627,""en"",""zh-CN"")"),"然后，该男子击中了进入篮筐的球。")</f>
        <v>然后，该男子击中了进入篮筐的球。</v>
      </c>
    </row>
    <row r="4628">
      <c r="A4628" s="4" t="s">
        <v>5817</v>
      </c>
      <c r="B4628" s="4" t="s">
        <v>5820</v>
      </c>
      <c r="C4628" s="5" t="str">
        <f>IFERROR(__xludf.DUMMYFUNCTION("GOOGLETRANSLATE(B4628,""en"",""zh-CN"")"),"之后，男人与观众的人握手。")</f>
        <v>之后，男人与观众的人握手。</v>
      </c>
    </row>
    <row r="4629">
      <c r="A4629" s="4" t="s">
        <v>5821</v>
      </c>
      <c r="B4629" s="4" t="s">
        <v>5822</v>
      </c>
      <c r="C4629" s="5" t="str">
        <f>IFERROR(__xludf.DUMMYFUNCTION("GOOGLETRANSLATE(B4629,""en"",""zh-CN"")"),"两个男孩拿着手机坐着说话。")</f>
        <v>两个男孩拿着手机坐着说话。</v>
      </c>
    </row>
    <row r="4630">
      <c r="A4630" s="4" t="s">
        <v>5821</v>
      </c>
      <c r="B4630" s="4" t="s">
        <v>5823</v>
      </c>
      <c r="C4630" s="5" t="str">
        <f>IFERROR(__xludf.DUMMYFUNCTION("GOOGLETRANSLATE(B4630,""en"",""zh-CN"")"),"当另外两个男孩用相机拍摄他们时，男孩们正在穿上相扑服装。")</f>
        <v>当另外两个男孩用相机拍摄他们时，男孩们正在穿上相扑服装。</v>
      </c>
    </row>
    <row r="4631">
      <c r="A4631" s="4" t="s">
        <v>5821</v>
      </c>
      <c r="B4631" s="4" t="s">
        <v>5824</v>
      </c>
      <c r="C4631" s="5" t="str">
        <f>IFERROR(__xludf.DUMMYFUNCTION("GOOGLETRANSLATE(B4631,""en"",""zh-CN"")"),"一个男孩用梯子撞到另一个男孩，他们互相击中。")</f>
        <v>一个男孩用梯子撞到另一个男孩，他们互相击中。</v>
      </c>
    </row>
    <row r="4632">
      <c r="A4632" s="4" t="s">
        <v>5821</v>
      </c>
      <c r="B4632" s="4" t="s">
        <v>5825</v>
      </c>
      <c r="C4632" s="5" t="str">
        <f>IFERROR(__xludf.DUMMYFUNCTION("GOOGLETRANSLATE(B4632,""en"",""zh-CN"")"),"那个男孩拿着红抓手，用吉他在梯子上击中绿色男孩。")</f>
        <v>那个男孩拿着红抓手，用吉他在梯子上击中绿色男孩。</v>
      </c>
    </row>
    <row r="4633">
      <c r="A4633" s="4" t="s">
        <v>5821</v>
      </c>
      <c r="B4633" s="4" t="s">
        <v>5826</v>
      </c>
      <c r="C4633" s="5" t="str">
        <f>IFERROR(__xludf.DUMMYFUNCTION("GOOGLETRANSLATE(B4633,""en"",""zh-CN"")"),"红色男孩带来了一个熨烫板，从梯子上跳到另一个男孩。")</f>
        <v>红色男孩带来了一个熨烫板，从梯子上跳到另一个男孩。</v>
      </c>
    </row>
    <row r="4634">
      <c r="A4634" s="4" t="s">
        <v>5821</v>
      </c>
      <c r="B4634" s="4" t="s">
        <v>5827</v>
      </c>
      <c r="C4634" s="5" t="str">
        <f>IFERROR(__xludf.DUMMYFUNCTION("GOOGLETRANSLATE(B4634,""en"",""zh-CN"")"),"这个绿色男孩遇到了一个带有迷你纤维的男孩。")</f>
        <v>这个绿色男孩遇到了一个带有迷你纤维的男孩。</v>
      </c>
    </row>
    <row r="4635">
      <c r="A4635" s="4" t="s">
        <v>5821</v>
      </c>
      <c r="B4635" s="4" t="s">
        <v>5828</v>
      </c>
      <c r="C4635" s="5" t="str">
        <f>IFERROR(__xludf.DUMMYFUNCTION("GOOGLETRANSLATE(B4635,""en"",""zh-CN"")"),"穿着车轮手推车扔的一个穿着套装的女孩，裁判员将比赛视为结束。")</f>
        <v>穿着车轮手推车扔的一个穿着套装的女孩，裁判员将比赛视为结束。</v>
      </c>
    </row>
    <row r="4636">
      <c r="A4636" s="4" t="s">
        <v>5821</v>
      </c>
      <c r="B4636" s="4" t="s">
        <v>777</v>
      </c>
      <c r="C4636" s="5" t="str">
        <f>IFERROR(__xludf.DUMMYFUNCTION("GOOGLETRANSLATE(B4636,""en"",""zh-CN"")"),"我们看到结尾标题屏幕。")</f>
        <v>我们看到结尾标题屏幕。</v>
      </c>
    </row>
    <row r="4637">
      <c r="A4637" s="4" t="s">
        <v>5829</v>
      </c>
      <c r="B4637" s="4" t="s">
        <v>5830</v>
      </c>
      <c r="C4637" s="5" t="str">
        <f>IFERROR(__xludf.DUMMYFUNCTION("GOOGLETRANSLATE(B4637,""en"",""zh-CN"")"),"一个女人站在厨房里说话。")</f>
        <v>一个女人站在厨房里说话。</v>
      </c>
    </row>
    <row r="4638">
      <c r="A4638" s="4" t="s">
        <v>5829</v>
      </c>
      <c r="B4638" s="4" t="s">
        <v>5831</v>
      </c>
      <c r="C4638" s="5" t="str">
        <f>IFERROR(__xludf.DUMMYFUNCTION("GOOGLETRANSLATE(B4638,""en"",""zh-CN"")"),"她走到水槽里，戴上手套并洗碗。")</f>
        <v>她走到水槽里，戴上手套并洗碗。</v>
      </c>
    </row>
    <row r="4639">
      <c r="A4639" s="4" t="s">
        <v>5832</v>
      </c>
      <c r="B4639" s="4" t="s">
        <v>5833</v>
      </c>
      <c r="C4639" s="5" t="str">
        <f>IFERROR(__xludf.DUMMYFUNCTION("GOOGLETRANSLATE(B4639,""en"",""zh-CN"")"),"一个女人站在厨房里。")</f>
        <v>一个女人站在厨房里。</v>
      </c>
    </row>
    <row r="4640">
      <c r="A4640" s="4" t="s">
        <v>5832</v>
      </c>
      <c r="B4640" s="4" t="s">
        <v>5834</v>
      </c>
      <c r="C4640" s="5" t="str">
        <f>IFERROR(__xludf.DUMMYFUNCTION("GOOGLETRANSLATE(B4640,""en"",""zh-CN"")"),"她将食材放入玻璃碗中，将其混合在一起。")</f>
        <v>她将食材放入玻璃碗中，将其混合在一起。</v>
      </c>
    </row>
    <row r="4641">
      <c r="A4641" s="4" t="s">
        <v>5832</v>
      </c>
      <c r="B4641" s="4" t="s">
        <v>5835</v>
      </c>
      <c r="C4641" s="5" t="str">
        <f>IFERROR(__xludf.DUMMYFUNCTION("GOOGLETRANSLATE(B4641,""en"",""zh-CN"")"),"她开始在一个街区上切碎食物。")</f>
        <v>她开始在一个街区上切碎食物。</v>
      </c>
    </row>
    <row r="4642">
      <c r="A4642" s="4" t="s">
        <v>5832</v>
      </c>
      <c r="B4642" s="4" t="s">
        <v>5836</v>
      </c>
      <c r="C4642" s="5" t="str">
        <f>IFERROR(__xludf.DUMMYFUNCTION("GOOGLETRANSLATE(B4642,""en"",""zh-CN"")"),"她将所有成分结合到碗中，然后将其混合在一起。")</f>
        <v>她将所有成分结合到碗中，然后将其混合在一起。</v>
      </c>
    </row>
    <row r="4643">
      <c r="A4643" s="4" t="s">
        <v>5832</v>
      </c>
      <c r="B4643" s="4" t="s">
        <v>5837</v>
      </c>
      <c r="C4643" s="5" t="str">
        <f>IFERROR(__xludf.DUMMYFUNCTION("GOOGLETRANSLATE(B4643,""en"",""zh-CN"")"),"她将奶酪夹在食物的顶部。")</f>
        <v>她将奶酪夹在食物的顶部。</v>
      </c>
    </row>
    <row r="4644">
      <c r="A4644" s="4" t="s">
        <v>5832</v>
      </c>
      <c r="B4644" s="4" t="s">
        <v>5838</v>
      </c>
      <c r="C4644" s="5" t="str">
        <f>IFERROR(__xludf.DUMMYFUNCTION("GOOGLETRANSLATE(B4644,""en"",""zh-CN"")"),"然后，她将沙拉放在其中。")</f>
        <v>然后，她将沙拉放在其中。</v>
      </c>
    </row>
    <row r="4645">
      <c r="A4645" s="4" t="s">
        <v>5839</v>
      </c>
      <c r="B4645" s="6" t="s">
        <v>5840</v>
      </c>
      <c r="C4645" s="5" t="str">
        <f>IFERROR(__xludf.DUMMYFUNCTION("GOOGLETRANSLATE(B4645,""en"",""zh-CN"")"),"一名妇女从酒吧内的站立吧台柜台后面展示，如何用射手和几瓶酒精混合饮料。")</f>
        <v>一名妇女从酒吧内的站立吧台柜台后面展示，如何用射手和几瓶酒精混合饮料。</v>
      </c>
    </row>
    <row r="4646">
      <c r="A4646" s="4" t="s">
        <v>5839</v>
      </c>
      <c r="B4646" s="6" t="s">
        <v>5841</v>
      </c>
      <c r="C4646" s="5" t="str">
        <f>IFERROR(__xludf.DUMMYFUNCTION("GOOGLETRANSLATE(B4646,""en"",""zh-CN"")"),"一个站在酒吧后面的女人会说话，然后将一瓶酒精倒入一杯玻璃杯中，再加上另一瓶酒。")</f>
        <v>一个站在酒吧后面的女人会说话，然后将一瓶酒精倒入一杯玻璃杯中，再加上另一瓶酒。</v>
      </c>
    </row>
    <row r="4647">
      <c r="A4647" s="4" t="s">
        <v>5839</v>
      </c>
      <c r="B4647" s="6" t="s">
        <v>5842</v>
      </c>
      <c r="C4647" s="5" t="str">
        <f>IFERROR(__xludf.DUMMYFUNCTION("GOOGLETRANSLATE(B4647,""en"",""zh-CN"")"),"然后，该名女子从酒吧顶部拉出一瓶较大的酒精，然后将其倒入射击玻璃杯中，然后将射击玻璃向前推向相机，然后现场逐渐消失。")</f>
        <v>然后，该名女子从酒吧顶部拉出一瓶较大的酒精，然后将其倒入射击玻璃杯中，然后将射击玻璃向前推向相机，然后现场逐渐消失。</v>
      </c>
    </row>
    <row r="4648">
      <c r="A4648" s="4" t="s">
        <v>5843</v>
      </c>
      <c r="B4648" s="4" t="s">
        <v>5844</v>
      </c>
      <c r="C4648" s="5" t="str">
        <f>IFERROR(__xludf.DUMMYFUNCTION("GOOGLETRANSLATE(B4648,""en"",""zh-CN"")"),"看到一个男人在屏幕上出现文字时在相机上说话。")</f>
        <v>看到一个男人在屏幕上出现文字时在相机上说话。</v>
      </c>
    </row>
    <row r="4649">
      <c r="A4649" s="4" t="s">
        <v>5843</v>
      </c>
      <c r="B4649" s="4" t="s">
        <v>5845</v>
      </c>
      <c r="C4649" s="5" t="str">
        <f>IFERROR(__xludf.DUMMYFUNCTION("GOOGLETRANSLATE(B4649,""en"",""zh-CN"")"),"该男子继续讲话，并导致他演奏乐器。")</f>
        <v>该男子继续讲话，并导致他演奏乐器。</v>
      </c>
    </row>
    <row r="4650">
      <c r="A4650" s="4" t="s">
        <v>5843</v>
      </c>
      <c r="B4650" s="4" t="s">
        <v>5846</v>
      </c>
      <c r="C4650" s="5" t="str">
        <f>IFERROR(__xludf.DUMMYFUNCTION("GOOGLETRANSLATE(B4650,""en"",""zh-CN"")"),"他暂停了比赛，以再次打球，然后停下来。")</f>
        <v>他暂停了比赛，以再次打球，然后停下来。</v>
      </c>
    </row>
    <row r="4651">
      <c r="A4651" s="4" t="s">
        <v>5847</v>
      </c>
      <c r="B4651" s="4" t="s">
        <v>5848</v>
      </c>
      <c r="C4651" s="5" t="str">
        <f>IFERROR(__xludf.DUMMYFUNCTION("GOOGLETRANSLATE(B4651,""en"",""zh-CN"")"),"一个人拉了一个人坐在的骆驼的绳子。")</f>
        <v>一个人拉了一个人坐在的骆驼的绳子。</v>
      </c>
    </row>
    <row r="4652">
      <c r="A4652" s="4" t="s">
        <v>5847</v>
      </c>
      <c r="B4652" s="4" t="s">
        <v>5849</v>
      </c>
      <c r="C4652" s="5" t="str">
        <f>IFERROR(__xludf.DUMMYFUNCTION("GOOGLETRANSLATE(B4652,""en"",""zh-CN"")"),"一个男人在沙漠中拉着骆驼。")</f>
        <v>一个男人在沙漠中拉着骆驼。</v>
      </c>
    </row>
    <row r="4653">
      <c r="A4653" s="4" t="s">
        <v>5847</v>
      </c>
      <c r="B4653" s="4" t="s">
        <v>5850</v>
      </c>
      <c r="C4653" s="5" t="str">
        <f>IFERROR(__xludf.DUMMYFUNCTION("GOOGLETRANSLATE(B4653,""en"",""zh-CN"")"),"两个女人靠近骆驼。")</f>
        <v>两个女人靠近骆驼。</v>
      </c>
    </row>
    <row r="4654">
      <c r="A4654" s="4" t="s">
        <v>5847</v>
      </c>
      <c r="B4654" s="4" t="s">
        <v>5851</v>
      </c>
      <c r="C4654" s="5" t="str">
        <f>IFERROR(__xludf.DUMMYFUNCTION("GOOGLETRANSLATE(B4654,""en"",""zh-CN"")"),"一辆汽车在骆驼后面驶过。")</f>
        <v>一辆汽车在骆驼后面驶过。</v>
      </c>
    </row>
    <row r="4655">
      <c r="A4655" s="4" t="s">
        <v>5852</v>
      </c>
      <c r="B4655" s="6" t="s">
        <v>5853</v>
      </c>
      <c r="C4655" s="5" t="str">
        <f>IFERROR(__xludf.DUMMYFUNCTION("GOOGLETRANSLATE(B4655,""en"",""zh-CN"")"),"有几个剪辑显示了人们将保龄球扔下车道以及封闭的球和销钉。")</f>
        <v>有几个剪辑显示了人们将保龄球扔下车道以及封闭的球和销钉。</v>
      </c>
    </row>
    <row r="4656">
      <c r="A4656" s="4" t="s">
        <v>5852</v>
      </c>
      <c r="B4656" s="6" t="s">
        <v>5854</v>
      </c>
      <c r="C4656" s="5" t="str">
        <f>IFERROR(__xludf.DUMMYFUNCTION("GOOGLETRANSLATE(B4656,""en"",""zh-CN"")"),"人们继续打保龄球，机器显示了销钉如何旋转，球又回到后面。")</f>
        <v>人们继续打保龄球，机器显示了销钉如何旋转，球又回到后面。</v>
      </c>
    </row>
    <row r="4657">
      <c r="A4657" s="4" t="s">
        <v>5855</v>
      </c>
      <c r="B4657" s="4" t="s">
        <v>5856</v>
      </c>
      <c r="C4657" s="5" t="str">
        <f>IFERROR(__xludf.DUMMYFUNCTION("GOOGLETRANSLATE(B4657,""en"",""zh-CN"")"),"绿草上的一堆棕色叶子一起吹走。")</f>
        <v>绿草上的一堆棕色叶子一起吹走。</v>
      </c>
    </row>
    <row r="4658">
      <c r="A4658" s="4" t="s">
        <v>5855</v>
      </c>
      <c r="B4658" s="6" t="s">
        <v>5857</v>
      </c>
      <c r="C4658" s="5" t="str">
        <f>IFERROR(__xludf.DUMMYFUNCTION("GOOGLETRANSLATE(B4658,""en"",""zh-CN"")"),"叶子鼓风机的末端更靠近草地，并且吹了更大的棕色叶子。")</f>
        <v>叶子鼓风机的末端更靠近草地，并且吹了更大的棕色叶子。</v>
      </c>
    </row>
    <row r="4659">
      <c r="A4659" s="4" t="s">
        <v>5855</v>
      </c>
      <c r="B4659" s="4" t="s">
        <v>5858</v>
      </c>
      <c r="C4659" s="5" t="str">
        <f>IFERROR(__xludf.DUMMYFUNCTION("GOOGLETRANSLATE(B4659,""en"",""zh-CN"")"),"叶鼓风机的末端出现并一直从视图中消失。")</f>
        <v>叶鼓风机的末端出现并一直从视图中消失。</v>
      </c>
    </row>
    <row r="4660">
      <c r="A4660" s="4" t="s">
        <v>5859</v>
      </c>
      <c r="B4660" s="4" t="s">
        <v>5860</v>
      </c>
      <c r="C4660" s="5" t="str">
        <f>IFERROR(__xludf.DUMMYFUNCTION("GOOGLETRANSLATE(B4660,""en"",""zh-CN"")"),"人们骑在骆驼的背上。")</f>
        <v>人们骑在骆驼的背上。</v>
      </c>
    </row>
    <row r="4661">
      <c r="A4661" s="4" t="s">
        <v>5859</v>
      </c>
      <c r="B4661" s="4" t="s">
        <v>5861</v>
      </c>
      <c r="C4661" s="5" t="str">
        <f>IFERROR(__xludf.DUMMYFUNCTION("GOOGLETRANSLATE(B4661,""en"",""zh-CN"")"),"他们被一个人带到了一条小径。")</f>
        <v>他们被一个人带到了一条小径。</v>
      </c>
    </row>
    <row r="4662">
      <c r="A4662" s="4" t="s">
        <v>5859</v>
      </c>
      <c r="B4662" s="4" t="s">
        <v>5862</v>
      </c>
      <c r="C4662" s="5" t="str">
        <f>IFERROR(__xludf.DUMMYFUNCTION("GOOGLETRANSLATE(B4662,""en"",""zh-CN"")"),"人们站在栅栏后面看着他们。")</f>
        <v>人们站在栅栏后面看着他们。</v>
      </c>
    </row>
    <row r="4663">
      <c r="A4663" s="4" t="s">
        <v>5859</v>
      </c>
      <c r="B4663" s="4" t="s">
        <v>5863</v>
      </c>
      <c r="C4663" s="5" t="str">
        <f>IFERROR(__xludf.DUMMYFUNCTION("GOOGLETRANSLATE(B4663,""en"",""zh-CN"")"),"骆驼躺在地上，人们走了下来。")</f>
        <v>骆驼躺在地上，人们走了下来。</v>
      </c>
    </row>
    <row r="4664">
      <c r="A4664" s="4" t="s">
        <v>5864</v>
      </c>
      <c r="B4664" s="4" t="s">
        <v>5865</v>
      </c>
      <c r="C4664" s="5" t="str">
        <f>IFERROR(__xludf.DUMMYFUNCTION("GOOGLETRANSLATE(B4664,""en"",""zh-CN"")"),"一个戴着胸罩的女孩站在她的浴室里刷头发。")</f>
        <v>一个戴着胸罩的女孩站在她的浴室里刷头发。</v>
      </c>
    </row>
    <row r="4665">
      <c r="A4665" s="4" t="s">
        <v>5864</v>
      </c>
      <c r="B4665" s="4" t="s">
        <v>5866</v>
      </c>
      <c r="C4665" s="5" t="str">
        <f>IFERROR(__xludf.DUMMYFUNCTION("GOOGLETRANSLATE(B4665,""en"",""zh-CN"")"),"她这样做了一段时间，并继续修复它。")</f>
        <v>她这样做了一段时间，并继续修复它。</v>
      </c>
    </row>
    <row r="4666">
      <c r="A4666" s="4" t="s">
        <v>5864</v>
      </c>
      <c r="B4666" s="4" t="s">
        <v>5867</v>
      </c>
      <c r="C4666" s="5" t="str">
        <f>IFERROR(__xludf.DUMMYFUNCTION("GOOGLETRANSLATE(B4666,""en"",""zh-CN"")"),"然后，她会刷一些，因为它很长。")</f>
        <v>然后，她会刷一些，因为它很长。</v>
      </c>
    </row>
    <row r="4667">
      <c r="A4667" s="4" t="s">
        <v>5864</v>
      </c>
      <c r="B4667" s="4" t="s">
        <v>5868</v>
      </c>
      <c r="C4667" s="5" t="str">
        <f>IFERROR(__xludf.DUMMYFUNCTION("GOOGLETRANSLATE(B4667,""en"",""zh-CN"")"),"她转过身来夺回它。")</f>
        <v>她转过身来夺回它。</v>
      </c>
    </row>
    <row r="4668">
      <c r="A4668" s="4" t="s">
        <v>5869</v>
      </c>
      <c r="B4668" s="4" t="s">
        <v>5870</v>
      </c>
      <c r="C4668" s="5" t="str">
        <f>IFERROR(__xludf.DUMMYFUNCTION("GOOGLETRANSLATE(B4668,""en"",""zh-CN"")"),"一个男人在谷仓里面，戴着马以抓起一头牛。")</f>
        <v>一个男人在谷仓里面，戴着马以抓起一头牛。</v>
      </c>
    </row>
    <row r="4669">
      <c r="A4669" s="4" t="s">
        <v>5869</v>
      </c>
      <c r="B4669" s="4" t="s">
        <v>5871</v>
      </c>
      <c r="C4669" s="5" t="str">
        <f>IFERROR(__xludf.DUMMYFUNCTION("GOOGLETRANSLATE(B4669,""en"",""zh-CN"")"),"当他扔套索时，他错过了牛，跑到去牛之前得到一些东西。")</f>
        <v>当他扔套索时，他错过了牛，跑到去牛之前得到一些东西。</v>
      </c>
    </row>
    <row r="4670">
      <c r="A4670" s="4" t="s">
        <v>5869</v>
      </c>
      <c r="B4670" s="6" t="s">
        <v>5872</v>
      </c>
      <c r="C4670" s="5" t="str">
        <f>IFERROR(__xludf.DUMMYFUNCTION("GOOGLETRANSLATE(B4670,""en"",""zh-CN"")"),"该男子终于接近小牛，另一个男人出来帮助他，他回到了马。")</f>
        <v>该男子终于接近小牛，另一个男人出来帮助他，他回到了马。</v>
      </c>
    </row>
    <row r="4671">
      <c r="A4671" s="4" t="s">
        <v>5873</v>
      </c>
      <c r="B4671" s="6" t="s">
        <v>5874</v>
      </c>
      <c r="C4671" s="5" t="str">
        <f>IFERROR(__xludf.DUMMYFUNCTION("GOOGLETRANSLATE(B4671,""en"",""zh-CN"")"),"坐在柜台旁的三名男子坐在看电视上，然后女士们穿着欢呼的服装开始跳舞，因为男人凝视着他们。")</f>
        <v>坐在柜台旁的三名男子坐在看电视上，然后女士们穿着欢呼的服装开始跳舞，因为男人凝视着他们。</v>
      </c>
    </row>
    <row r="4672">
      <c r="A4672" s="4" t="s">
        <v>5873</v>
      </c>
      <c r="B4672" s="4" t="s">
        <v>5875</v>
      </c>
      <c r="C4672" s="5" t="str">
        <f>IFERROR(__xludf.DUMMYFUNCTION("GOOGLETRANSLATE(B4672,""en"",""zh-CN"")"),"女士们开始跳舞，举起手臂摇摆自己的身体。")</f>
        <v>女士们开始跳舞，举起手臂摇摆自己的身体。</v>
      </c>
    </row>
    <row r="4673">
      <c r="A4673" s="4" t="s">
        <v>5873</v>
      </c>
      <c r="B4673" s="4" t="s">
        <v>5876</v>
      </c>
      <c r="C4673" s="5" t="str">
        <f>IFERROR(__xludf.DUMMYFUNCTION("GOOGLETRANSLATE(B4673,""en"",""zh-CN"")"),"女孩们和男孩一起踢台球和桌上足球，他们跳舞。")</f>
        <v>女孩们和男孩一起踢台球和桌上足球，他们跳舞。</v>
      </c>
    </row>
    <row r="4674">
      <c r="A4674" s="4" t="s">
        <v>5877</v>
      </c>
      <c r="B4674" s="4" t="s">
        <v>5878</v>
      </c>
      <c r="C4674" s="5" t="str">
        <f>IFERROR(__xludf.DUMMYFUNCTION("GOOGLETRANSLATE(B4674,""en"",""zh-CN"")"),"显示了一大片草。")</f>
        <v>显示了一大片草。</v>
      </c>
    </row>
    <row r="4675">
      <c r="A4675" s="4" t="s">
        <v>5877</v>
      </c>
      <c r="B4675" s="4" t="s">
        <v>5879</v>
      </c>
      <c r="C4675" s="5" t="str">
        <f>IFERROR(__xludf.DUMMYFUNCTION("GOOGLETRANSLATE(B4675,""en"",""zh-CN"")"),"一个男人正在割草在灌木丛旁边的院子。")</f>
        <v>一个男人正在割草在灌木丛旁边的院子。</v>
      </c>
    </row>
    <row r="4676">
      <c r="A4676" s="4" t="s">
        <v>5877</v>
      </c>
      <c r="B4676" s="4" t="s">
        <v>5880</v>
      </c>
      <c r="C4676" s="5" t="str">
        <f>IFERROR(__xludf.DUMMYFUNCTION("GOOGLETRANSLATE(B4676,""en"",""zh-CN"")"),"他停下来与镜头交谈。")</f>
        <v>他停下来与镜头交谈。</v>
      </c>
    </row>
    <row r="4677">
      <c r="A4677" s="4" t="s">
        <v>5881</v>
      </c>
      <c r="B4677" s="6" t="s">
        <v>5882</v>
      </c>
      <c r="C4677" s="5" t="str">
        <f>IFERROR(__xludf.DUMMYFUNCTION("GOOGLETRANSLATE(B4677,""en"",""zh-CN"")"),"一个穿着红色衬衫的男人开始在由扳手，螺丝，斧头和钻头组成的工具墙前说话。")</f>
        <v>一个穿着红色衬衫的男人开始在由扳手，螺丝，斧头和钻头组成的工具墙前说话。</v>
      </c>
    </row>
    <row r="4678">
      <c r="A4678" s="4" t="s">
        <v>5881</v>
      </c>
      <c r="B4678" s="4" t="s">
        <v>5883</v>
      </c>
      <c r="C4678" s="5" t="str">
        <f>IFERROR(__xludf.DUMMYFUNCTION("GOOGLETRANSLATE(B4678,""en"",""zh-CN"")"),"然后，他举起一个小的银块，开始将其粘在自行车的链条上。")</f>
        <v>然后，他举起一个小的银块，开始将其粘在自行车的链条上。</v>
      </c>
    </row>
    <row r="4679">
      <c r="A4679" s="4" t="s">
        <v>5881</v>
      </c>
      <c r="B4679" s="4" t="s">
        <v>5884</v>
      </c>
      <c r="C4679" s="5" t="str">
        <f>IFERROR(__xludf.DUMMYFUNCTION("GOOGLETRANSLATE(B4679,""en"",""zh-CN"")"),"接下来，他拿起黑色的餐具，将踏板移动并完全脱掉链条。")</f>
        <v>接下来，他拿起黑色的餐具，将踏板移动并完全脱掉链条。</v>
      </c>
    </row>
    <row r="4680">
      <c r="A4680" s="4" t="s">
        <v>5881</v>
      </c>
      <c r="B4680" s="6" t="s">
        <v>5885</v>
      </c>
      <c r="C4680" s="5" t="str">
        <f>IFERROR(__xludf.DUMMYFUNCTION("GOOGLETRANSLATE(B4680,""en"",""zh-CN"")"),"然后，他拿起一个带有新链条的盒子，将其放回自行车上，然后开始收紧链条。")</f>
        <v>然后，他拿起一个带有新链条的盒子，将其放回自行车上，然后开始收紧链条。</v>
      </c>
    </row>
    <row r="4681">
      <c r="A4681" s="4" t="s">
        <v>5886</v>
      </c>
      <c r="B4681" s="6" t="s">
        <v>5887</v>
      </c>
      <c r="C4681" s="5" t="str">
        <f>IFERROR(__xludf.DUMMYFUNCTION("GOOGLETRANSLATE(B4681,""en"",""zh-CN"")"),"当相机从后面跟随他们时，看到有几个骑滑板的人骑着漫长的山坡。")</f>
        <v>当相机从后面跟随他们时，看到有几个骑滑板的人骑着漫长的山坡。</v>
      </c>
    </row>
    <row r="4682">
      <c r="A4682" s="4" t="s">
        <v>5886</v>
      </c>
      <c r="B4682" s="6" t="s">
        <v>5888</v>
      </c>
      <c r="C4682" s="5" t="str">
        <f>IFERROR(__xludf.DUMMYFUNCTION("GOOGLETRANSLATE(B4682,""en"",""zh-CN"")"),"摄影师不断沿着一条蜿蜒的道路沿着一群树木沿着一条蜿蜒的道路骑行，并在底部停下来与另一棵树见面。")</f>
        <v>摄影师不断沿着一条蜿蜒的道路沿着一群树木沿着一条蜿蜒的道路骑行，并在底部停下来与另一棵树见面。</v>
      </c>
    </row>
    <row r="4683">
      <c r="A4683" s="4" t="s">
        <v>5886</v>
      </c>
      <c r="B4683" s="4" t="s">
        <v>5889</v>
      </c>
      <c r="C4683" s="5" t="str">
        <f>IFERROR(__xludf.DUMMYFUNCTION("GOOGLETRANSLATE(B4683,""en"",""zh-CN"")"),"在山上显示更多的骑行，而喀麦曼人转过身来结束。")</f>
        <v>在山上显示更多的骑行，而喀麦曼人转过身来结束。</v>
      </c>
    </row>
    <row r="4684">
      <c r="A4684" s="4" t="s">
        <v>5890</v>
      </c>
      <c r="B4684" s="4" t="s">
        <v>5891</v>
      </c>
      <c r="C4684" s="5" t="str">
        <f>IFERROR(__xludf.DUMMYFUNCTION("GOOGLETRANSLATE(B4684,""en"",""zh-CN"")"),"一位在健身房里的一位女士拳打了她的双臂穿过她的胸部。")</f>
        <v>一位在健身房里的一位女士拳打了她的双臂穿过她的胸部。</v>
      </c>
    </row>
    <row r="4685">
      <c r="A4685" s="4" t="s">
        <v>5890</v>
      </c>
      <c r="B4685" s="4" t="s">
        <v>5892</v>
      </c>
      <c r="C4685" s="5" t="str">
        <f>IFERROR(__xludf.DUMMYFUNCTION("GOOGLETRANSLATE(B4685,""en"",""zh-CN"")"),"然后，这位女士将左腿踢在空中，然后将右腿踢在她身后。")</f>
        <v>然后，这位女士将左腿踢在空中，然后将右腿踢在她身后。</v>
      </c>
    </row>
    <row r="4686">
      <c r="A4686" s="4" t="s">
        <v>5890</v>
      </c>
      <c r="B4686" s="4" t="s">
        <v>5893</v>
      </c>
      <c r="C4686" s="5" t="str">
        <f>IFERROR(__xludf.DUMMYFUNCTION("GOOGLETRANSLATE(B4686,""en"",""zh-CN"")"),"这位女士一遍又一遍地重复该顺序。")</f>
        <v>这位女士一遍又一遍地重复该顺序。</v>
      </c>
    </row>
    <row r="4687">
      <c r="A4687" s="4" t="s">
        <v>5894</v>
      </c>
      <c r="B4687" s="4" t="s">
        <v>5895</v>
      </c>
      <c r="C4687" s="5" t="str">
        <f>IFERROR(__xludf.DUMMYFUNCTION("GOOGLETRANSLATE(B4687,""en"",""zh-CN"")"),"曲棍球运动员正在冰上玩曲棍球比赛。")</f>
        <v>曲棍球运动员正在冰上玩曲棍球比赛。</v>
      </c>
    </row>
    <row r="4688">
      <c r="A4688" s="4" t="s">
        <v>5894</v>
      </c>
      <c r="B4688" s="4" t="s">
        <v>5896</v>
      </c>
      <c r="C4688" s="5" t="str">
        <f>IFERROR(__xludf.DUMMYFUNCTION("GOOGLETRANSLATE(B4688,""en"",""zh-CN"")"),"一群人看着他们玩。")</f>
        <v>一群人看着他们玩。</v>
      </c>
    </row>
    <row r="4689">
      <c r="A4689" s="4" t="s">
        <v>5894</v>
      </c>
      <c r="B4689" s="4" t="s">
        <v>5897</v>
      </c>
      <c r="C4689" s="5" t="str">
        <f>IFERROR(__xludf.DUMMYFUNCTION("GOOGLETRANSLATE(B4689,""en"",""zh-CN"")"),"一个黄色的男人落在冰上。")</f>
        <v>一个黄色的男人落在冰上。</v>
      </c>
    </row>
    <row r="4690">
      <c r="A4690" s="4" t="s">
        <v>5894</v>
      </c>
      <c r="B4690" s="4" t="s">
        <v>5898</v>
      </c>
      <c r="C4690" s="5" t="str">
        <f>IFERROR(__xludf.DUMMYFUNCTION("GOOGLETRANSLATE(B4690,""en"",""zh-CN"")"),"穿着西装的男人正在与曲棍球运动员交谈。")</f>
        <v>穿着西装的男人正在与曲棍球运动员交谈。</v>
      </c>
    </row>
    <row r="4691">
      <c r="A4691" s="4" t="s">
        <v>5899</v>
      </c>
      <c r="B4691" s="4" t="s">
        <v>1487</v>
      </c>
      <c r="C4691" s="5" t="str">
        <f>IFERROR(__xludf.DUMMYFUNCTION("GOOGLETRANSLATE(B4691,""en"",""zh-CN"")"),"我们看到一个开放标题屏幕。")</f>
        <v>我们看到一个开放标题屏幕。</v>
      </c>
    </row>
    <row r="4692">
      <c r="A4692" s="4" t="s">
        <v>5899</v>
      </c>
      <c r="B4692" s="4" t="s">
        <v>5900</v>
      </c>
      <c r="C4692" s="5" t="str">
        <f>IFERROR(__xludf.DUMMYFUNCTION("GOOGLETRANSLATE(B4692,""en"",""zh-CN"")"),"一个人正在用高压清洗机喷洒水槽。")</f>
        <v>一个人正在用高压清洗机喷洒水槽。</v>
      </c>
    </row>
    <row r="4693">
      <c r="A4693" s="4" t="s">
        <v>5899</v>
      </c>
      <c r="B4693" s="4" t="s">
        <v>5901</v>
      </c>
      <c r="C4693" s="5" t="str">
        <f>IFERROR(__xludf.DUMMYFUNCTION("GOOGLETRANSLATE(B4693,""en"",""zh-CN"")"),"该男子喷洒厕所，然后再次喷洒水槽。")</f>
        <v>该男子喷洒厕所，然后再次喷洒水槽。</v>
      </c>
    </row>
    <row r="4694">
      <c r="A4694" s="4" t="s">
        <v>5899</v>
      </c>
      <c r="B4694" s="6" t="s">
        <v>5902</v>
      </c>
      <c r="C4694" s="5" t="str">
        <f>IFERROR(__xludf.DUMMYFUNCTION("GOOGLETRANSLATE(B4694,""en"",""zh-CN"")"),"我们看到了一个标题屏幕，该男子显示了机器，然后将拨盘和洗净机洗净地板，水槽，厕所和镜子。")</f>
        <v>我们看到了一个标题屏幕，该男子显示了机器，然后将拨盘和洗净机洗净地板，水槽，厕所和镜子。</v>
      </c>
    </row>
    <row r="4695">
      <c r="A4695" s="4" t="s">
        <v>5899</v>
      </c>
      <c r="B4695" s="4" t="s">
        <v>5903</v>
      </c>
      <c r="C4695" s="5" t="str">
        <f>IFERROR(__xludf.DUMMYFUNCTION("GOOGLETRANSLATE(B4695,""en"",""zh-CN"")"),"该男子在镜子上使用挤压器。")</f>
        <v>该男子在镜子上使用挤压器。</v>
      </c>
    </row>
    <row r="4696">
      <c r="A4696" s="4" t="s">
        <v>5899</v>
      </c>
      <c r="B4696" s="6" t="s">
        <v>5904</v>
      </c>
      <c r="C4696" s="5" t="str">
        <f>IFERROR(__xludf.DUMMYFUNCTION("GOOGLETRANSLATE(B4696,""en"",""zh-CN"")"),"该男子调整机器并钩住软管，并用空气将水槽吹干并在地板上拖曳。")</f>
        <v>该男子调整机器并钩住软管，并用空气将水槽吹干并在地板上拖曳。</v>
      </c>
    </row>
    <row r="4697">
      <c r="A4697" s="4" t="s">
        <v>5905</v>
      </c>
      <c r="B4697" s="4" t="s">
        <v>5906</v>
      </c>
      <c r="C4697" s="5" t="str">
        <f>IFERROR(__xludf.DUMMYFUNCTION("GOOGLETRANSLATE(B4697,""en"",""zh-CN"")"),"我们看到一个男人在公园里摇摆。")</f>
        <v>我们看到一个男人在公园里摇摆。</v>
      </c>
    </row>
    <row r="4698">
      <c r="A4698" s="4" t="s">
        <v>5905</v>
      </c>
      <c r="B4698" s="4" t="s">
        <v>5907</v>
      </c>
      <c r="C4698" s="5" t="str">
        <f>IFERROR(__xludf.DUMMYFUNCTION("GOOGLETRANSLATE(B4698,""en"",""zh-CN"")"),"那个男人站在挥杆上时站着。")</f>
        <v>那个男人站在挥杆上时站着。</v>
      </c>
    </row>
    <row r="4699">
      <c r="A4699" s="4" t="s">
        <v>5905</v>
      </c>
      <c r="B4699" s="4" t="s">
        <v>5908</v>
      </c>
      <c r="C4699" s="5" t="str">
        <f>IFERROR(__xludf.DUMMYFUNCTION("GOOGLETRANSLATE(B4699,""en"",""zh-CN"")"),"这个男人再次站起来，我们看到一个小女孩。")</f>
        <v>这个男人再次站起来，我们看到一个小女孩。</v>
      </c>
    </row>
    <row r="4700">
      <c r="A4700" s="4" t="s">
        <v>5905</v>
      </c>
      <c r="B4700" s="4" t="s">
        <v>5909</v>
      </c>
      <c r="C4700" s="5" t="str">
        <f>IFERROR(__xludf.DUMMYFUNCTION("GOOGLETRANSLATE(B4700,""en"",""zh-CN"")"),"一位女士试图把女孩放在秋千上，但她最终独自摇摆。")</f>
        <v>一位女士试图把女孩放在秋千上，但她最终独自摇摆。</v>
      </c>
    </row>
    <row r="4701">
      <c r="A4701" s="4" t="s">
        <v>5910</v>
      </c>
      <c r="B4701" s="4" t="s">
        <v>5911</v>
      </c>
      <c r="C4701" s="5" t="str">
        <f>IFERROR(__xludf.DUMMYFUNCTION("GOOGLETRANSLATE(B4701,""en"",""zh-CN"")"),"在比赛中，男人正站在舞台上做体操。")</f>
        <v>在比赛中，男人正站在舞台上做体操。</v>
      </c>
    </row>
    <row r="4702">
      <c r="A4702" s="4" t="s">
        <v>5910</v>
      </c>
      <c r="B4702" s="4" t="s">
        <v>5912</v>
      </c>
      <c r="C4702" s="5" t="str">
        <f>IFERROR(__xludf.DUMMYFUNCTION("GOOGLETRANSLATE(B4702,""en"",""zh-CN"")"),"人正在持有视频记录器。")</f>
        <v>人正在持有视频记录器。</v>
      </c>
    </row>
    <row r="4703">
      <c r="A4703" s="4" t="s">
        <v>5913</v>
      </c>
      <c r="B4703" s="4" t="s">
        <v>5914</v>
      </c>
      <c r="C4703" s="5" t="str">
        <f>IFERROR(__xludf.DUMMYFUNCTION("GOOGLETRANSLATE(B4703,""en"",""zh-CN"")"),"一个男孩将一个冰淇淋蛋筒拿到一个坐在高椅子座椅上的婴儿。")</f>
        <v>一个男孩将一个冰淇淋蛋筒拿到一个坐在高椅子座椅上的婴儿。</v>
      </c>
    </row>
    <row r="4704">
      <c r="A4704" s="4" t="s">
        <v>5913</v>
      </c>
      <c r="B4704" s="4" t="s">
        <v>5915</v>
      </c>
      <c r="C4704" s="5" t="str">
        <f>IFERROR(__xludf.DUMMYFUNCTION("GOOGLETRANSLATE(B4704,""en"",""zh-CN"")"),"婴儿喜欢冰淇淋锥。")</f>
        <v>婴儿喜欢冰淇淋锥。</v>
      </c>
    </row>
    <row r="4705">
      <c r="A4705" s="4" t="s">
        <v>5916</v>
      </c>
      <c r="B4705" s="4" t="s">
        <v>5917</v>
      </c>
      <c r="C4705" s="5" t="str">
        <f>IFERROR(__xludf.DUMMYFUNCTION("GOOGLETRANSLATE(B4705,""en"",""zh-CN"")"),"穿着黑色衬衫的男人在田径附近的外面说话。")</f>
        <v>穿着黑色衬衫的男人在田径附近的外面说话。</v>
      </c>
    </row>
    <row r="4706">
      <c r="A4706" s="4" t="s">
        <v>5916</v>
      </c>
      <c r="B4706" s="4" t="s">
        <v>5918</v>
      </c>
      <c r="C4706" s="5" t="str">
        <f>IFERROR(__xludf.DUMMYFUNCTION("GOOGLETRANSLATE(B4706,""en"",""zh-CN"")"),"然后，他走到佛罗里达州立大学的一名学生运动员。")</f>
        <v>然后，他走到佛罗里达州立大学的一名学生运动员。</v>
      </c>
    </row>
    <row r="4707">
      <c r="A4707" s="4" t="s">
        <v>5916</v>
      </c>
      <c r="B4707" s="4" t="s">
        <v>5919</v>
      </c>
      <c r="C4707" s="5" t="str">
        <f>IFERROR(__xludf.DUMMYFUNCTION("GOOGLETRANSLATE(B4707,""en"",""zh-CN"")"),"然后，运动员开始讲话并展示她使用的各种技术。")</f>
        <v>然后，运动员开始讲话并展示她使用的各种技术。</v>
      </c>
    </row>
    <row r="4708">
      <c r="A4708" s="4" t="s">
        <v>5916</v>
      </c>
      <c r="B4708" s="6" t="s">
        <v>5920</v>
      </c>
      <c r="C4708" s="5" t="str">
        <f>IFERROR(__xludf.DUMMYFUNCTION("GOOGLETRANSLATE(B4708,""en"",""zh-CN"")"),"结束后，她开始进行三级跳跃，她再次尝试，然后面试她的那个人开始也开始同样的跳跃。")</f>
        <v>结束后，她开始进行三级跳跃，她再次尝试，然后面试她的那个人开始也开始同样的跳跃。</v>
      </c>
    </row>
    <row r="4709">
      <c r="A4709" s="4" t="s">
        <v>5916</v>
      </c>
      <c r="B4709" s="4" t="s">
        <v>5921</v>
      </c>
      <c r="C4709" s="5" t="str">
        <f>IFERROR(__xludf.DUMMYFUNCTION("GOOGLETRANSLATE(B4709,""en"",""zh-CN"")"),"两人回到相机上说话，她闪烁着拇指，然后离开。")</f>
        <v>两人回到相机上说话，她闪烁着拇指，然后离开。</v>
      </c>
    </row>
    <row r="4710">
      <c r="A4710" s="4" t="s">
        <v>5922</v>
      </c>
      <c r="B4710" s="6" t="s">
        <v>5923</v>
      </c>
      <c r="C4710" s="5" t="str">
        <f>IFERROR(__xludf.DUMMYFUNCTION("GOOGLETRANSLATE(B4710,""en"",""zh-CN"")"),"看到两个人在一个被人们包围的大圆圈中互相翻转并互相踢。")</f>
        <v>看到两个人在一个被人们包围的大圆圈中互相翻转并互相踢。</v>
      </c>
    </row>
    <row r="4711">
      <c r="A4711" s="4" t="s">
        <v>5922</v>
      </c>
      <c r="B4711" s="4" t="s">
        <v>5924</v>
      </c>
      <c r="C4711" s="5" t="str">
        <f>IFERROR(__xludf.DUMMYFUNCTION("GOOGLETRANSLATE(B4711,""en"",""zh-CN"")"),"当其他人看着侧面并拍手时，越来越多的人加入了踢脚和翻转。")</f>
        <v>当其他人看着侧面并拍手时，越来越多的人加入了踢脚和翻转。</v>
      </c>
    </row>
    <row r="4712">
      <c r="A4712" s="4" t="s">
        <v>5925</v>
      </c>
      <c r="B4712" s="4" t="s">
        <v>5926</v>
      </c>
      <c r="C4712" s="5" t="str">
        <f>IFERROR(__xludf.DUMMYFUNCTION("GOOGLETRANSLATE(B4712,""en"",""zh-CN"")"),"我们看到了汽车图像的标题。")</f>
        <v>我们看到了汽车图像的标题。</v>
      </c>
    </row>
    <row r="4713">
      <c r="A4713" s="4" t="s">
        <v>5925</v>
      </c>
      <c r="B4713" s="4" t="s">
        <v>5927</v>
      </c>
      <c r="C4713" s="5" t="str">
        <f>IFERROR(__xludf.DUMMYFUNCTION("GOOGLETRANSLATE(B4713,""en"",""zh-CN"")"),"我们看到一个男人坐下来谈论汽车。")</f>
        <v>我们看到一个男人坐下来谈论汽车。</v>
      </c>
    </row>
    <row r="4714">
      <c r="A4714" s="4" t="s">
        <v>5925</v>
      </c>
      <c r="B4714" s="4" t="s">
        <v>5928</v>
      </c>
      <c r="C4714" s="5" t="str">
        <f>IFERROR(__xludf.DUMMYFUNCTION("GOOGLETRANSLATE(B4714,""en"",""zh-CN"")"),"该男子把一块砖放在轮胎后面，抓住他的物资来改变轮胎。")</f>
        <v>该男子把一块砖放在轮胎后面，抓住他的物资来改变轮胎。</v>
      </c>
    </row>
    <row r="4715">
      <c r="A4715" s="4" t="s">
        <v>5925</v>
      </c>
      <c r="B4715" s="4" t="s">
        <v>5929</v>
      </c>
      <c r="C4715" s="5" t="str">
        <f>IFERROR(__xludf.DUMMYFUNCTION("GOOGLETRANSLATE(B4715,""en"",""zh-CN"")"),"该男子松开螺栓，将汽车抬起并卸下轮胎。")</f>
        <v>该男子松开螺栓，将汽车抬起并卸下轮胎。</v>
      </c>
    </row>
    <row r="4716">
      <c r="A4716" s="4" t="s">
        <v>5925</v>
      </c>
      <c r="B4716" s="4" t="s">
        <v>5930</v>
      </c>
      <c r="C4716" s="5" t="str">
        <f>IFERROR(__xludf.DUMMYFUNCTION("GOOGLETRANSLATE(B4716,""en"",""zh-CN"")"),"该男子戴上了他的备用，将汽车放到地上。")</f>
        <v>该男子戴上了他的备用，将汽车放到地上。</v>
      </c>
    </row>
    <row r="4717">
      <c r="A4717" s="4" t="s">
        <v>5925</v>
      </c>
      <c r="B4717" s="4" t="s">
        <v>5931</v>
      </c>
      <c r="C4717" s="5" t="str">
        <f>IFERROR(__xludf.DUMMYFUNCTION("GOOGLETRANSLATE(B4717,""en"",""zh-CN"")"),"该名男子把他的物资拿走并开车离开。")</f>
        <v>该名男子把他的物资拿走并开车离开。</v>
      </c>
    </row>
    <row r="4718">
      <c r="A4718" s="4" t="s">
        <v>5925</v>
      </c>
      <c r="B4718" s="4" t="s">
        <v>5932</v>
      </c>
      <c r="C4718" s="5" t="str">
        <f>IFERROR(__xludf.DUMMYFUNCTION("GOOGLETRANSLATE(B4718,""en"",""zh-CN"")"),"该男子停在相机附近，然后说话，然后开车。")</f>
        <v>该男子停在相机附近，然后说话，然后开车。</v>
      </c>
    </row>
    <row r="4719">
      <c r="A4719" s="4" t="s">
        <v>5925</v>
      </c>
      <c r="B4719" s="4" t="s">
        <v>777</v>
      </c>
      <c r="C4719" s="5" t="str">
        <f>IFERROR(__xludf.DUMMYFUNCTION("GOOGLETRANSLATE(B4719,""en"",""zh-CN"")"),"我们看到结尾标题屏幕。")</f>
        <v>我们看到结尾标题屏幕。</v>
      </c>
    </row>
    <row r="4720">
      <c r="A4720" s="4" t="s">
        <v>5933</v>
      </c>
      <c r="B4720" s="6" t="s">
        <v>5934</v>
      </c>
      <c r="C4720" s="5" t="str">
        <f>IFERROR(__xludf.DUMMYFUNCTION("GOOGLETRANSLATE(B4720,""en"",""zh-CN"")"),"一个摄像机在一个加热的游泳池周围竖起，并导致一个人在皮划艇上攀登并在游泳池周围移动。")</f>
        <v>一个摄像机在一个加热的游泳池周围竖起，并导致一个人在皮划艇上攀登并在游泳池周围移动。</v>
      </c>
    </row>
    <row r="4721">
      <c r="A4721" s="4" t="s">
        <v>5933</v>
      </c>
      <c r="B4721" s="6" t="s">
        <v>5935</v>
      </c>
      <c r="C4721" s="5" t="str">
        <f>IFERROR(__xludf.DUMMYFUNCTION("GOOGLETRANSLATE(B4721,""en"",""zh-CN"")"),"几个人看到在游泳池周围骑皮划艇，以及游泳并在场边观看的人们。")</f>
        <v>几个人看到在游泳池周围骑皮划艇，以及游泳并在场边观看的人们。</v>
      </c>
    </row>
    <row r="4722">
      <c r="A4722" s="4" t="s">
        <v>5933</v>
      </c>
      <c r="B4722" s="6" t="s">
        <v>5936</v>
      </c>
      <c r="C4722" s="5" t="str">
        <f>IFERROR(__xludf.DUMMYFUNCTION("GOOGLETRANSLATE(B4722,""en"",""zh-CN"")"),"这些人继续以各种角度移动，并展示在水下游泳并互相玩耍。")</f>
        <v>这些人继续以各种角度移动，并展示在水下游泳并互相玩耍。</v>
      </c>
    </row>
    <row r="4723">
      <c r="A4723" s="4" t="s">
        <v>5937</v>
      </c>
      <c r="B4723" s="4" t="s">
        <v>5938</v>
      </c>
      <c r="C4723" s="5" t="str">
        <f>IFERROR(__xludf.DUMMYFUNCTION("GOOGLETRANSLATE(B4723,""en"",""zh-CN"")"),"Howcast徽标在屏幕上。")</f>
        <v>Howcast徽标在屏幕上。</v>
      </c>
    </row>
    <row r="4724">
      <c r="A4724" s="4" t="s">
        <v>5937</v>
      </c>
      <c r="B4724" s="4" t="s">
        <v>5939</v>
      </c>
      <c r="C4724" s="5" t="str">
        <f>IFERROR(__xludf.DUMMYFUNCTION("GOOGLETRANSLATE(B4724,""en"",""zh-CN"")"),"两个人坐在鼓的中间，并解释了这些乐器。")</f>
        <v>两个人坐在鼓的中间，并解释了这些乐器。</v>
      </c>
    </row>
    <row r="4725">
      <c r="A4725" s="4" t="s">
        <v>5937</v>
      </c>
      <c r="B4725" s="4" t="s">
        <v>5940</v>
      </c>
      <c r="C4725" s="5" t="str">
        <f>IFERROR(__xludf.DUMMYFUNCTION("GOOGLETRANSLATE(B4725,""en"",""zh-CN"")"),"男人开始打鼓。")</f>
        <v>男人开始打鼓。</v>
      </c>
    </row>
    <row r="4726">
      <c r="A4726" s="4" t="s">
        <v>5937</v>
      </c>
      <c r="B4726" s="4" t="s">
        <v>5941</v>
      </c>
      <c r="C4726" s="5" t="str">
        <f>IFERROR(__xludf.DUMMYFUNCTION("GOOGLETRANSLATE(B4726,""en"",""zh-CN"")"),"回到谈论鼓。")</f>
        <v>回到谈论鼓。</v>
      </c>
    </row>
    <row r="4727">
      <c r="A4727" s="4" t="s">
        <v>5942</v>
      </c>
      <c r="B4727" s="4" t="s">
        <v>5943</v>
      </c>
      <c r="C4727" s="5" t="str">
        <f>IFERROR(__xludf.DUMMYFUNCTION("GOOGLETRANSLATE(B4727,""en"",""zh-CN"")"),"人们在山上滑雪，不断跌倒并滑下山坡。")</f>
        <v>人们在山上滑雪，不断跌倒并滑下山坡。</v>
      </c>
    </row>
    <row r="4728">
      <c r="A4728" s="4" t="s">
        <v>5942</v>
      </c>
      <c r="B4728" s="4" t="s">
        <v>5944</v>
      </c>
      <c r="C4728" s="5" t="str">
        <f>IFERROR(__xludf.DUMMYFUNCTION("GOOGLETRANSLATE(B4728,""en"",""zh-CN"")"),"一个人撞到篱笆上。")</f>
        <v>一个人撞到篱笆上。</v>
      </c>
    </row>
    <row r="4729">
      <c r="A4729" s="4" t="s">
        <v>5945</v>
      </c>
      <c r="B4729" s="4" t="s">
        <v>5946</v>
      </c>
      <c r="C4729" s="5" t="str">
        <f>IFERROR(__xludf.DUMMYFUNCTION("GOOGLETRANSLATE(B4729,""en"",""zh-CN"")"),"桌子上有两种刷子和两种油漆。")</f>
        <v>桌子上有两种刷子和两种油漆。</v>
      </c>
    </row>
    <row r="4730">
      <c r="A4730" s="4" t="s">
        <v>5945</v>
      </c>
      <c r="B4730" s="4" t="s">
        <v>5947</v>
      </c>
      <c r="C4730" s="5" t="str">
        <f>IFERROR(__xludf.DUMMYFUNCTION("GOOGLETRANSLATE(B4730,""en"",""zh-CN"")"),"躺在布上显示了一个编织箍，一个女人将设计涂成布。")</f>
        <v>躺在布上显示了一个编织箍，一个女人将设计涂成布。</v>
      </c>
    </row>
    <row r="4731">
      <c r="A4731" s="4" t="s">
        <v>5945</v>
      </c>
      <c r="B4731" s="4" t="s">
        <v>5948</v>
      </c>
      <c r="C4731" s="5" t="str">
        <f>IFERROR(__xludf.DUMMYFUNCTION("GOOGLETRANSLATE(B4731,""en"",""zh-CN"")"),"她形成许多叶子和鲜花，橙色阴影。")</f>
        <v>她形成许多叶子和鲜花，橙色阴影。</v>
      </c>
    </row>
    <row r="4732">
      <c r="A4732" s="4" t="s">
        <v>5945</v>
      </c>
      <c r="B4732" s="4" t="s">
        <v>5949</v>
      </c>
      <c r="C4732" s="5" t="str">
        <f>IFERROR(__xludf.DUMMYFUNCTION("GOOGLETRANSLATE(B4732,""en"",""zh-CN"")"),"完成后，她展示了花朵设计。")</f>
        <v>完成后，她展示了花朵设计。</v>
      </c>
    </row>
    <row r="4733">
      <c r="A4733" s="4" t="s">
        <v>5950</v>
      </c>
      <c r="B4733" s="4" t="s">
        <v>5951</v>
      </c>
      <c r="C4733" s="5" t="str">
        <f>IFERROR(__xludf.DUMMYFUNCTION("GOOGLETRANSLATE(B4733,""en"",""zh-CN"")"),"一个男人坐在一个空的礼堂里坐着黑色的大钢琴。")</f>
        <v>一个男人坐在一个空的礼堂里坐着黑色的大钢琴。</v>
      </c>
    </row>
    <row r="4734">
      <c r="A4734" s="4" t="s">
        <v>5950</v>
      </c>
      <c r="B4734" s="6" t="s">
        <v>5952</v>
      </c>
      <c r="C4734" s="5" t="str">
        <f>IFERROR(__xludf.DUMMYFUNCTION("GOOGLETRANSLATE(B4734,""en"",""zh-CN"")"),"我们看到前排的三个人在看着男人扮演时听和聆听，而在他们身后的一排。")</f>
        <v>我们看到前排的三个人在看着男人扮演时听和聆听，而在他们身后的一排。</v>
      </c>
    </row>
    <row r="4735">
      <c r="A4735" s="4" t="s">
        <v>5950</v>
      </c>
      <c r="B4735" s="4" t="s">
        <v>5953</v>
      </c>
      <c r="C4735" s="5" t="str">
        <f>IFERROR(__xludf.DUMMYFUNCTION("GOOGLETRANSLATE(B4735,""en"",""zh-CN"")"),"我们看到三个人，两个女人和一个男人。")</f>
        <v>我们看到三个人，两个女人和一个男人。</v>
      </c>
    </row>
    <row r="4736">
      <c r="A4736" s="4" t="s">
        <v>5950</v>
      </c>
      <c r="B4736" s="4" t="s">
        <v>5954</v>
      </c>
      <c r="C4736" s="5" t="str">
        <f>IFERROR(__xludf.DUMMYFUNCTION("GOOGLETRANSLATE(B4736,""en"",""zh-CN"")"),"玩家站立并玩耍。")</f>
        <v>玩家站立并玩耍。</v>
      </c>
    </row>
    <row r="4737">
      <c r="A4737" s="4" t="s">
        <v>5950</v>
      </c>
      <c r="B4737" s="4" t="s">
        <v>5955</v>
      </c>
      <c r="C4737" s="5" t="str">
        <f>IFERROR(__xludf.DUMMYFUNCTION("GOOGLETRANSLATE(B4737,""en"",""zh-CN"")"),"玩家结束并站起来。")</f>
        <v>玩家结束并站起来。</v>
      </c>
    </row>
    <row r="4738">
      <c r="A4738" s="4" t="s">
        <v>5956</v>
      </c>
      <c r="B4738" s="4" t="s">
        <v>5957</v>
      </c>
      <c r="C4738" s="5" t="str">
        <f>IFERROR(__xludf.DUMMYFUNCTION("GOOGLETRANSLATE(B4738,""en"",""zh-CN"")"),"一个人用刀将面包切成薄片。")</f>
        <v>一个人用刀将面包切成薄片。</v>
      </c>
    </row>
    <row r="4739">
      <c r="A4739" s="4" t="s">
        <v>5956</v>
      </c>
      <c r="B4739" s="4" t="s">
        <v>5958</v>
      </c>
      <c r="C4739" s="5" t="str">
        <f>IFERROR(__xludf.DUMMYFUNCTION("GOOGLETRANSLATE(B4739,""en"",""zh-CN"")"),"他们在碗中混合食材。")</f>
        <v>他们在碗中混合食材。</v>
      </c>
    </row>
    <row r="4740">
      <c r="A4740" s="4" t="s">
        <v>5956</v>
      </c>
      <c r="B4740" s="4" t="s">
        <v>5959</v>
      </c>
      <c r="C4740" s="5" t="str">
        <f>IFERROR(__xludf.DUMMYFUNCTION("GOOGLETRANSLATE(B4740,""en"",""zh-CN"")"),"他们在烤架上煮面包。")</f>
        <v>他们在烤架上煮面包。</v>
      </c>
    </row>
    <row r="4741">
      <c r="A4741" s="4" t="s">
        <v>5956</v>
      </c>
      <c r="B4741" s="4" t="s">
        <v>5960</v>
      </c>
      <c r="C4741" s="5" t="str">
        <f>IFERROR(__xludf.DUMMYFUNCTION("GOOGLETRANSLATE(B4741,""en"",""zh-CN"")"),"他们在三明治旁边加了一勺巧克力冰淇淋。")</f>
        <v>他们在三明治旁边加了一勺巧克力冰淇淋。</v>
      </c>
    </row>
    <row r="4742">
      <c r="A4742" s="4" t="s">
        <v>5961</v>
      </c>
      <c r="B4742" s="4" t="s">
        <v>5962</v>
      </c>
      <c r="C4742" s="5" t="str">
        <f>IFERROR(__xludf.DUMMYFUNCTION("GOOGLETRANSLATE(B4742,""en"",""zh-CN"")"),"房间里有一辆质朴的木头静态自行车。")</f>
        <v>房间里有一辆质朴的木头静态自行车。</v>
      </c>
    </row>
    <row r="4743">
      <c r="A4743" s="4" t="s">
        <v>5961</v>
      </c>
      <c r="B4743" s="4" t="s">
        <v>5963</v>
      </c>
      <c r="C4743" s="5" t="str">
        <f>IFERROR(__xludf.DUMMYFUNCTION("GOOGLETRANSLATE(B4743,""en"",""zh-CN"")"),"然后，一个人在显示手柄时踩着自行车。")</f>
        <v>然后，一个人在显示手柄时踩着自行车。</v>
      </c>
    </row>
    <row r="4744">
      <c r="A4744" s="4" t="s">
        <v>5961</v>
      </c>
      <c r="B4744" s="4" t="s">
        <v>5964</v>
      </c>
      <c r="C4744" s="5" t="str">
        <f>IFERROR(__xludf.DUMMYFUNCTION("GOOGLETRANSLATE(B4744,""en"",""zh-CN"")"),"然后，该男子坐在骑踏板上，然后站立。")</f>
        <v>然后，该男子坐在骑踏板上，然后站立。</v>
      </c>
    </row>
    <row r="4745">
      <c r="A4745" s="4" t="s">
        <v>5965</v>
      </c>
      <c r="B4745" s="4" t="s">
        <v>5966</v>
      </c>
      <c r="C4745" s="5" t="str">
        <f>IFERROR(__xludf.DUMMYFUNCTION("GOOGLETRANSLATE(B4745,""en"",""zh-CN"")"),"一个人用胡须修剪器修剪他的脸颊和脖子。")</f>
        <v>一个人用胡须修剪器修剪他的脸颊和脖子。</v>
      </c>
    </row>
    <row r="4746">
      <c r="A4746" s="4" t="s">
        <v>5965</v>
      </c>
      <c r="B4746" s="4" t="s">
        <v>5967</v>
      </c>
      <c r="C4746" s="5" t="str">
        <f>IFERROR(__xludf.DUMMYFUNCTION("GOOGLETRANSLATE(B4746,""en"",""zh-CN"")"),"该男子抚摸他的山羊胡子并检查它。")</f>
        <v>该男子抚摸他的山羊胡子并检查它。</v>
      </c>
    </row>
    <row r="4747">
      <c r="A4747" s="4" t="s">
        <v>5965</v>
      </c>
      <c r="B4747" s="4" t="s">
        <v>5968</v>
      </c>
      <c r="C4747" s="5" t="str">
        <f>IFERROR(__xludf.DUMMYFUNCTION("GOOGLETRANSLATE(B4747,""en"",""zh-CN"")"),"该名男子修剪他的下巴区域以留胡子。")</f>
        <v>该名男子修剪他的下巴区域以留胡子。</v>
      </c>
    </row>
    <row r="4748">
      <c r="A4748" s="4" t="s">
        <v>5969</v>
      </c>
      <c r="B4748" s="6" t="s">
        <v>5970</v>
      </c>
      <c r="C4748" s="5" t="str">
        <f>IFERROR(__xludf.DUMMYFUNCTION("GOOGLETRANSLATE(B4748,""en"",""zh-CN"")"),"一名雄性站在白门旁，他拿着矩形的木材，另一方面是一块装有大块棕色粘土的木板。")</f>
        <v>一名雄性站在白门旁，他拿着矩形的木材，另一方面是一块装有大块棕色粘土的木板。</v>
      </c>
    </row>
    <row r="4749">
      <c r="A4749" s="4" t="s">
        <v>5969</v>
      </c>
      <c r="B4749" s="6" t="s">
        <v>5971</v>
      </c>
      <c r="C4749" s="5" t="str">
        <f>IFERROR(__xludf.DUMMYFUNCTION("GOOGLETRANSLATE(B4749,""en"",""zh-CN"")"),"他指着墙壁，开始将棕色粘土铺在墙上，她通过平稳摩擦并以半圆的方式摩擦它。")</f>
        <v>他指着墙壁，开始将棕色粘土铺在墙上，她通过平稳摩擦并以半圆的方式摩擦它。</v>
      </c>
    </row>
    <row r="4750">
      <c r="A4750" s="4" t="s">
        <v>5969</v>
      </c>
      <c r="B4750" s="6" t="s">
        <v>5972</v>
      </c>
      <c r="C4750" s="5" t="str">
        <f>IFERROR(__xludf.DUMMYFUNCTION("GOOGLETRANSLATE(B4750,""en"",""zh-CN"")"),"他走近天花板，撞倒天花板，推开它，再次将其撞倒，用手指使其平滑。")</f>
        <v>他走近天花板，撞倒天花板，推开它，再次将其撞倒，用手指使其平滑。</v>
      </c>
    </row>
    <row r="4751">
      <c r="A4751" s="4" t="s">
        <v>5973</v>
      </c>
      <c r="B4751" s="4" t="s">
        <v>5974</v>
      </c>
      <c r="C4751" s="5" t="str">
        <f>IFERROR(__xludf.DUMMYFUNCTION("GOOGLETRANSLATE(B4751,""en"",""zh-CN"")"),"我们看到我们的打开标题屏幕。")</f>
        <v>我们看到我们的打开标题屏幕。</v>
      </c>
    </row>
    <row r="4752">
      <c r="A4752" s="4" t="s">
        <v>5973</v>
      </c>
      <c r="B4752" s="4" t="s">
        <v>5975</v>
      </c>
      <c r="C4752" s="5" t="str">
        <f>IFERROR(__xludf.DUMMYFUNCTION("GOOGLETRANSLATE(B4752,""en"",""zh-CN"")"),"人们在穿着漂流装备时站在树林里拿着桨。")</f>
        <v>人们在穿着漂流装备时站在树林里拿着桨。</v>
      </c>
    </row>
    <row r="4753">
      <c r="A4753" s="4" t="s">
        <v>5973</v>
      </c>
      <c r="B4753" s="4" t="s">
        <v>5976</v>
      </c>
      <c r="C4753" s="5" t="str">
        <f>IFERROR(__xludf.DUMMYFUNCTION("GOOGLETRANSLATE(B4753,""en"",""zh-CN"")"),"人们带着筏子走到湖边。")</f>
        <v>人们带着筏子走到湖边。</v>
      </c>
    </row>
    <row r="4754">
      <c r="A4754" s="4" t="s">
        <v>5973</v>
      </c>
      <c r="B4754" s="4" t="s">
        <v>5977</v>
      </c>
      <c r="C4754" s="5" t="str">
        <f>IFERROR(__xludf.DUMMYFUNCTION("GOOGLETRANSLATE(B4754,""en"",""zh-CN"")"),"我们看到人们在河上骑筏子。")</f>
        <v>我们看到人们在河上骑筏子。</v>
      </c>
    </row>
    <row r="4755">
      <c r="A4755" s="4" t="s">
        <v>5973</v>
      </c>
      <c r="B4755" s="4" t="s">
        <v>5978</v>
      </c>
      <c r="C4755" s="5" t="str">
        <f>IFERROR(__xludf.DUMMYFUNCTION("GOOGLETRANSLATE(B4755,""en"",""zh-CN"")"),"人们越过小瀑布，他们的筏子被推翻了。")</f>
        <v>人们越过小瀑布，他们的筏子被推翻了。</v>
      </c>
    </row>
    <row r="4756">
      <c r="A4756" s="4" t="s">
        <v>5973</v>
      </c>
      <c r="B4756" s="4" t="s">
        <v>5979</v>
      </c>
      <c r="C4756" s="5" t="str">
        <f>IFERROR(__xludf.DUMMYFUNCTION("GOOGLETRANSLATE(B4756,""en"",""zh-CN"")"),"人们越过瀑布，一个人抽拳头时，人们就会陷入水中。")</f>
        <v>人们越过瀑布，一个人抽拳头时，人们就会陷入水中。</v>
      </c>
    </row>
    <row r="4757">
      <c r="A4757" s="4" t="s">
        <v>5973</v>
      </c>
      <c r="B4757" s="4" t="s">
        <v>5980</v>
      </c>
      <c r="C4757" s="5" t="str">
        <f>IFERROR(__xludf.DUMMYFUNCTION("GOOGLETRANSLATE(B4757,""en"",""zh-CN"")"),"摄像机摇晃以显示自然，并淡入白色。")</f>
        <v>摄像机摇晃以显示自然，并淡入白色。</v>
      </c>
    </row>
    <row r="4758">
      <c r="A4758" s="4" t="s">
        <v>5973</v>
      </c>
      <c r="B4758" s="4" t="s">
        <v>777</v>
      </c>
      <c r="C4758" s="5" t="str">
        <f>IFERROR(__xludf.DUMMYFUNCTION("GOOGLETRANSLATE(B4758,""en"",""zh-CN"")"),"我们看到结尾标题屏幕。")</f>
        <v>我们看到结尾标题屏幕。</v>
      </c>
    </row>
    <row r="4759">
      <c r="A4759" s="4" t="s">
        <v>5981</v>
      </c>
      <c r="B4759" s="6" t="s">
        <v>5982</v>
      </c>
      <c r="C4759" s="5" t="str">
        <f>IFERROR(__xludf.DUMMYFUNCTION("GOOGLETRANSLATE(B4759,""en"",""zh-CN"")"),"有一名篮球运动员代表世界的篮球比赛展示了各种类型的篮球篮球射击技术。")</f>
        <v>有一名篮球运动员代表世界的篮球比赛展示了各种类型的篮球篮球射击技术。</v>
      </c>
    </row>
    <row r="4760">
      <c r="A4760" s="4" t="s">
        <v>5981</v>
      </c>
      <c r="B4760" s="6" t="s">
        <v>5983</v>
      </c>
      <c r="C4760" s="5" t="str">
        <f>IFERROR(__xludf.DUMMYFUNCTION("GOOGLETRANSLATE(B4760,""en"",""zh-CN"")"),"他首先展示了常规上篮掷的基本技术，他将球直接射入了篮筐。")</f>
        <v>他首先展示了常规上篮掷的基本技术，他将球直接射入了篮筐。</v>
      </c>
    </row>
    <row r="4761">
      <c r="A4761" s="4" t="s">
        <v>5981</v>
      </c>
      <c r="B4761" s="6" t="s">
        <v>5984</v>
      </c>
      <c r="C4761" s="5" t="str">
        <f>IFERROR(__xludf.DUMMYFUNCTION("GOOGLETRANSLATE(B4761,""en"",""zh-CN"")"),"然后，他展示了另一种技术，在那里他跳高跳跃，从非常靠近篮球的球射出球。")</f>
        <v>然后，他展示了另一种技术，在那里他跳高跳跃，从非常靠近篮球的球射出球。</v>
      </c>
    </row>
    <row r="4762">
      <c r="A4762" s="4" t="s">
        <v>5981</v>
      </c>
      <c r="B4762" s="6" t="s">
        <v>5985</v>
      </c>
      <c r="C4762" s="5" t="str">
        <f>IFERROR(__xludf.DUMMYFUNCTION("GOOGLETRANSLATE(B4762,""en"",""zh-CN"")"),"当他奔跑并将球直接塞入篮子时，他继续展示其他各种方式来射击篮子。")</f>
        <v>当他奔跑并将球直接塞入篮子时，他继续展示其他各种方式来射击篮子。</v>
      </c>
    </row>
    <row r="4763">
      <c r="A4763" s="4" t="s">
        <v>5981</v>
      </c>
      <c r="B4763" s="6" t="s">
        <v>5986</v>
      </c>
      <c r="C4763" s="5" t="str">
        <f>IFERROR(__xludf.DUMMYFUNCTION("GOOGLETRANSLATE(B4763,""en"",""zh-CN"")"),"他展示了不同的技术，可以将球直接投入篮球，而不会缺少一个篮子。")</f>
        <v>他展示了不同的技术，可以将球直接投入篮球，而不会缺少一个篮子。</v>
      </c>
    </row>
    <row r="4764">
      <c r="A4764" s="4" t="s">
        <v>5987</v>
      </c>
      <c r="B4764" s="4" t="s">
        <v>5988</v>
      </c>
      <c r="C4764" s="5" t="str">
        <f>IFERROR(__xludf.DUMMYFUNCTION("GOOGLETRANSLATE(B4764,""en"",""zh-CN"")"),"一个青少年在较高的不平坦的酒吧上保持平衡。")</f>
        <v>一个青少年在较高的不平坦的酒吧上保持平衡。</v>
      </c>
    </row>
    <row r="4765">
      <c r="A4765" s="4" t="s">
        <v>5987</v>
      </c>
      <c r="B4765" s="4" t="s">
        <v>5989</v>
      </c>
      <c r="C4765" s="5" t="str">
        <f>IFERROR(__xludf.DUMMYFUNCTION("GOOGLETRANSLATE(B4765,""en"",""zh-CN"")"),"然后，青少年翻转和一个男人帮助她传递到较低的不平等酒吧。")</f>
        <v>然后，青少年翻转和一个男人帮助她传递到较低的不平等酒吧。</v>
      </c>
    </row>
    <row r="4766">
      <c r="A4766" s="4" t="s">
        <v>5987</v>
      </c>
      <c r="B4766" s="4" t="s">
        <v>5990</v>
      </c>
      <c r="C4766" s="5" t="str">
        <f>IFERROR(__xludf.DUMMYFUNCTION("GOOGLETRANSLATE(B4766,""en"",""zh-CN"")"),"两个女孩在这个少年后面的不平坦的酒吧上运动。")</f>
        <v>两个女孩在这个少年后面的不平坦的酒吧上运动。</v>
      </c>
    </row>
    <row r="4767">
      <c r="A4767" s="4" t="s">
        <v>5991</v>
      </c>
      <c r="B4767" s="4" t="s">
        <v>5992</v>
      </c>
      <c r="C4767" s="5" t="str">
        <f>IFERROR(__xludf.DUMMYFUNCTION("GOOGLETRANSLATE(B4767,""en"",""zh-CN"")"),"人们正在玩乒乓球游戏。")</f>
        <v>人们正在玩乒乓球游戏。</v>
      </c>
    </row>
    <row r="4768">
      <c r="A4768" s="4" t="s">
        <v>5991</v>
      </c>
      <c r="B4768" s="4" t="s">
        <v>5993</v>
      </c>
      <c r="C4768" s="5" t="str">
        <f>IFERROR(__xludf.DUMMYFUNCTION("GOOGLETRANSLATE(B4768,""en"",""zh-CN"")"),"一个穿着红色衬衫的男人只穿着一双鞋子。")</f>
        <v>一个穿着红色衬衫的男人只穿着一双鞋子。</v>
      </c>
    </row>
    <row r="4769">
      <c r="A4769" s="4" t="s">
        <v>5991</v>
      </c>
      <c r="B4769" s="4" t="s">
        <v>2042</v>
      </c>
      <c r="C4769" s="5" t="str">
        <f>IFERROR(__xludf.DUMMYFUNCTION("GOOGLETRANSLATE(B4769,""en"",""zh-CN"")"),"末尾的单词进入屏幕。")</f>
        <v>末尾的单词进入屏幕。</v>
      </c>
    </row>
    <row r="4770">
      <c r="A4770" s="4" t="s">
        <v>5994</v>
      </c>
      <c r="B4770" s="6" t="s">
        <v>5995</v>
      </c>
      <c r="C4770" s="5" t="str">
        <f>IFERROR(__xludf.DUMMYFUNCTION("GOOGLETRANSLATE(B4770,""en"",""zh-CN"")"),"看到一个男人穿着一个有趣的制服，并在介入相机交谈的同时走到大舞台上。")</f>
        <v>看到一个男人穿着一个有趣的制服，并在介入相机交谈的同时走到大舞台上。</v>
      </c>
    </row>
    <row r="4771">
      <c r="A4771" s="4" t="s">
        <v>5994</v>
      </c>
      <c r="B4771" s="6" t="s">
        <v>5996</v>
      </c>
      <c r="C4771" s="5" t="str">
        <f>IFERROR(__xludf.DUMMYFUNCTION("GOOGLETRANSLATE(B4771,""en"",""zh-CN"")"),"该男子表演体操以愚蠢的方式绕着光束移动，并以听众鼓掌和挥手的方式结束。")</f>
        <v>该男子表演体操以愚蠢的方式绕着光束移动，并以听众鼓掌和挥手的方式结束。</v>
      </c>
    </row>
    <row r="4772">
      <c r="A4772" s="4" t="s">
        <v>5997</v>
      </c>
      <c r="B4772" s="4" t="s">
        <v>5998</v>
      </c>
      <c r="C4772" s="5" t="str">
        <f>IFERROR(__xludf.DUMMYFUNCTION("GOOGLETRANSLATE(B4772,""en"",""zh-CN"")"),"人们在球场上打排球的比赛。")</f>
        <v>人们在球场上打排球的比赛。</v>
      </c>
    </row>
    <row r="4773">
      <c r="A4773" s="4" t="s">
        <v>5997</v>
      </c>
      <c r="B4773" s="4" t="s">
        <v>5999</v>
      </c>
      <c r="C4773" s="5" t="str">
        <f>IFERROR(__xludf.DUMMYFUNCTION("GOOGLETRANSLATE(B4773,""en"",""zh-CN"")"),"人们正坐在长凳上，看着墙。")</f>
        <v>人们正坐在长凳上，看着墙。</v>
      </c>
    </row>
    <row r="4774">
      <c r="A4774" s="4" t="s">
        <v>5997</v>
      </c>
      <c r="B4774" s="4" t="s">
        <v>6000</v>
      </c>
      <c r="C4774" s="5" t="str">
        <f>IFERROR(__xludf.DUMMYFUNCTION("GOOGLETRANSLATE(B4774,""en"",""zh-CN"")"),"一个男孩为排球服务。")</f>
        <v>一个男孩为排球服务。</v>
      </c>
    </row>
    <row r="4775">
      <c r="A4775" s="4" t="s">
        <v>6001</v>
      </c>
      <c r="B4775" s="4" t="s">
        <v>6002</v>
      </c>
      <c r="C4775" s="5" t="str">
        <f>IFERROR(__xludf.DUMMYFUNCTION("GOOGLETRANSLATE(B4775,""en"",""zh-CN"")"),"一匹马独自一人站在木干上。")</f>
        <v>一匹马独自一人站在木干上。</v>
      </c>
    </row>
    <row r="4776">
      <c r="A4776" s="4" t="s">
        <v>6001</v>
      </c>
      <c r="B4776" s="4" t="s">
        <v>6003</v>
      </c>
      <c r="C4776" s="5" t="str">
        <f>IFERROR(__xludf.DUMMYFUNCTION("GOOGLETRANSLATE(B4776,""en"",""zh-CN"")"),"一个人接近握住两只刷子的马，说话了一点。")</f>
        <v>一个人接近握住两只刷子的马，说话了一点。</v>
      </c>
    </row>
    <row r="4777">
      <c r="A4777" s="4" t="s">
        <v>6001</v>
      </c>
      <c r="B4777" s="6" t="s">
        <v>6004</v>
      </c>
      <c r="C4777" s="5" t="str">
        <f>IFERROR(__xludf.DUMMYFUNCTION("GOOGLETRANSLATE(B4777,""en"",""zh-CN"")"),"他爬上马，刷马的头发，拆下固定在刷子上的马的头发。")</f>
        <v>他爬上马，刷马的头发，拆下固定在刷子上的马的头发。</v>
      </c>
    </row>
    <row r="4778">
      <c r="A4778" s="4" t="s">
        <v>6001</v>
      </c>
      <c r="B4778" s="4" t="s">
        <v>6005</v>
      </c>
      <c r="C4778" s="5" t="str">
        <f>IFERROR(__xludf.DUMMYFUNCTION("GOOGLETRANSLATE(B4778,""en"",""zh-CN"")"),"他停下来说话。")</f>
        <v>他停下来说话。</v>
      </c>
    </row>
    <row r="4779">
      <c r="A4779" s="4" t="s">
        <v>6001</v>
      </c>
      <c r="B4779" s="4" t="s">
        <v>6006</v>
      </c>
      <c r="C4779" s="5" t="str">
        <f>IFERROR(__xludf.DUMMYFUNCTION("GOOGLETRANSLATE(B4779,""en"",""zh-CN"")"),"他回去去除多余的头发。")</f>
        <v>他回去去除多余的头发。</v>
      </c>
    </row>
    <row r="4780">
      <c r="A4780" s="4" t="s">
        <v>6001</v>
      </c>
      <c r="B4780" s="4" t="s">
        <v>6007</v>
      </c>
      <c r="C4780" s="5" t="str">
        <f>IFERROR(__xludf.DUMMYFUNCTION("GOOGLETRANSLATE(B4780,""en"",""zh-CN"")"),"他再次停下来说话一会儿。")</f>
        <v>他再次停下来说话一会儿。</v>
      </c>
    </row>
    <row r="4781">
      <c r="A4781" s="4" t="s">
        <v>6001</v>
      </c>
      <c r="B4781" s="4" t="s">
        <v>6008</v>
      </c>
      <c r="C4781" s="5" t="str">
        <f>IFERROR(__xludf.DUMMYFUNCTION("GOOGLETRANSLATE(B4781,""en"",""zh-CN"")"),"他回到刷马。")</f>
        <v>他回到刷马。</v>
      </c>
    </row>
    <row r="4782">
      <c r="A4782" s="4" t="s">
        <v>6001</v>
      </c>
      <c r="B4782" s="4" t="s">
        <v>6009</v>
      </c>
      <c r="C4782" s="5" t="str">
        <f>IFERROR(__xludf.DUMMYFUNCTION("GOOGLETRANSLATE(B4782,""en"",""zh-CN"")"),"他停止梳理头发说话。")</f>
        <v>他停止梳理头发说话。</v>
      </c>
    </row>
    <row r="4783">
      <c r="A4783" s="4" t="s">
        <v>6010</v>
      </c>
      <c r="B4783" s="4" t="s">
        <v>6011</v>
      </c>
      <c r="C4783" s="5" t="str">
        <f>IFERROR(__xludf.DUMMYFUNCTION("GOOGLETRANSLATE(B4783,""en"",""zh-CN"")"),"一名女体操运动员在健身房将远光灯安装。")</f>
        <v>一名女体操运动员在健身房将远光灯安装。</v>
      </c>
    </row>
    <row r="4784">
      <c r="A4784" s="4" t="s">
        <v>6010</v>
      </c>
      <c r="B4784" s="4" t="s">
        <v>6012</v>
      </c>
      <c r="C4784" s="5" t="str">
        <f>IFERROR(__xludf.DUMMYFUNCTION("GOOGLETRANSLATE(B4784,""en"",""zh-CN"")"),"她在空中进行了很多前跳，弹簧和拆分。")</f>
        <v>她在空中进行了很多前跳，弹簧和拆分。</v>
      </c>
    </row>
    <row r="4785">
      <c r="A4785" s="4" t="s">
        <v>6010</v>
      </c>
      <c r="B4785" s="4" t="s">
        <v>6013</v>
      </c>
      <c r="C4785" s="5" t="str">
        <f>IFERROR(__xludf.DUMMYFUNCTION("GOOGLETRANSLATE(B4785,""en"",""zh-CN"")"),"当她卸下时，一个背景中的男孩爬上一条绳子。")</f>
        <v>当她卸下时，一个背景中的男孩爬上一条绳子。</v>
      </c>
    </row>
    <row r="4786">
      <c r="A4786" s="4" t="s">
        <v>6014</v>
      </c>
      <c r="B4786" s="4" t="s">
        <v>6015</v>
      </c>
      <c r="C4786" s="5" t="str">
        <f>IFERROR(__xludf.DUMMYFUNCTION("GOOGLETRANSLATE(B4786,""en"",""zh-CN"")"),"穿着白衬衫的女人站在锻炼机上。")</f>
        <v>穿着白衬衫的女人站在锻炼机上。</v>
      </c>
    </row>
    <row r="4787">
      <c r="A4787" s="4" t="s">
        <v>6014</v>
      </c>
      <c r="B4787" s="4" t="s">
        <v>6016</v>
      </c>
      <c r="C4787" s="5" t="str">
        <f>IFERROR(__xludf.DUMMYFUNCTION("GOOGLETRANSLATE(B4787,""en"",""zh-CN"")"),"她开始在运动机上锻炼。")</f>
        <v>她开始在运动机上锻炼。</v>
      </c>
    </row>
    <row r="4788">
      <c r="A4788" s="4" t="s">
        <v>6014</v>
      </c>
      <c r="B4788" s="4" t="s">
        <v>6017</v>
      </c>
      <c r="C4788" s="5" t="str">
        <f>IFERROR(__xludf.DUMMYFUNCTION("GOOGLETRANSLATE(B4788,""en"",""zh-CN"")"),"有关机器的信息放在屏幕上。")</f>
        <v>有关机器的信息放在屏幕上。</v>
      </c>
    </row>
    <row r="4789">
      <c r="A4789" s="4" t="s">
        <v>6018</v>
      </c>
      <c r="B4789" s="4" t="s">
        <v>6019</v>
      </c>
      <c r="C4789" s="5" t="str">
        <f>IFERROR(__xludf.DUMMYFUNCTION("GOOGLETRANSLATE(B4789,""en"",""zh-CN"")"),"一个男人在房间里扔飞镖。")</f>
        <v>一个男人在房间里扔飞镖。</v>
      </c>
    </row>
    <row r="4790">
      <c r="A4790" s="4" t="s">
        <v>6018</v>
      </c>
      <c r="B4790" s="4" t="s">
        <v>6020</v>
      </c>
      <c r="C4790" s="5" t="str">
        <f>IFERROR(__xludf.DUMMYFUNCTION("GOOGLETRANSLATE(B4790,""en"",""zh-CN"")"),"另一个男人鸭子，所以他没有被打击。")</f>
        <v>另一个男人鸭子，所以他没有被打击。</v>
      </c>
    </row>
    <row r="4791">
      <c r="A4791" s="4" t="s">
        <v>6018</v>
      </c>
      <c r="B4791" s="4" t="s">
        <v>6021</v>
      </c>
      <c r="C4791" s="5" t="str">
        <f>IFERROR(__xludf.DUMMYFUNCTION("GOOGLETRANSLATE(B4791,""en"",""zh-CN"")"),"飞镖以慢动作击中飞镖板。")</f>
        <v>飞镖以慢动作击中飞镖板。</v>
      </c>
    </row>
    <row r="4792">
      <c r="A4792" s="4" t="s">
        <v>6022</v>
      </c>
      <c r="B4792" s="4" t="s">
        <v>6023</v>
      </c>
      <c r="C4792" s="5" t="str">
        <f>IFERROR(__xludf.DUMMYFUNCTION("GOOGLETRANSLATE(B4792,""en"",""zh-CN"")"),"看到一匹马的特写，随后是几个人在海滩上骑马。")</f>
        <v>看到一匹马的特写，随后是几个人在海滩上骑马。</v>
      </c>
    </row>
    <row r="4793">
      <c r="A4793" s="4" t="s">
        <v>6022</v>
      </c>
      <c r="B4793" s="6" t="s">
        <v>6024</v>
      </c>
      <c r="C4793" s="5" t="str">
        <f>IFERROR(__xludf.DUMMYFUNCTION("GOOGLETRANSLATE(B4793,""en"",""zh-CN"")"),"看到一个人站在马上，相机继续跟随人们骑马的人。")</f>
        <v>看到一个人站在马上，相机继续跟随人们骑马的人。</v>
      </c>
    </row>
    <row r="4794">
      <c r="A4794" s="4" t="s">
        <v>6025</v>
      </c>
      <c r="B4794" s="6" t="s">
        <v>6026</v>
      </c>
      <c r="C4794" s="5" t="str">
        <f>IFERROR(__xludf.DUMMYFUNCTION("GOOGLETRANSLATE(B4794,""en"",""zh-CN"")"),"一个在车库风格的男人和一个女人的举重室展示了如何与女士一起展示举重的女人举重。")</f>
        <v>一个在车库风格的男人和一个女人的举重室展示了如何与女士一起展示举重的女人举重。</v>
      </c>
    </row>
    <row r="4795">
      <c r="A4795" s="4" t="s">
        <v>6025</v>
      </c>
      <c r="B4795" s="4" t="s">
        <v>6027</v>
      </c>
      <c r="C4795" s="5" t="str">
        <f>IFERROR(__xludf.DUMMYFUNCTION("GOOGLETRANSLATE(B4795,""en"",""zh-CN"")"),"一个穿着黑色T恤和凉鞋的男人站在车库风格的举重室里的女人旁边。")</f>
        <v>一个穿着黑色T恤和凉鞋的男人站在车库风格的举重室里的女人旁边。</v>
      </c>
    </row>
    <row r="4796">
      <c r="A4796" s="4" t="s">
        <v>6025</v>
      </c>
      <c r="B4796" s="6" t="s">
        <v>6028</v>
      </c>
      <c r="C4796" s="5" t="str">
        <f>IFERROR(__xludf.DUMMYFUNCTION("GOOGLETRANSLATE(B4796,""en"",""zh-CN"")"),"当男人说话并指向她的肌肉群时，该名女子用膝盖弯曲了一个体重棒。")</f>
        <v>当男人说话并指向她的肌肉群时，该名女子用膝盖弯曲了一个体重棒。</v>
      </c>
    </row>
    <row r="4797">
      <c r="A4797" s="4" t="s">
        <v>6025</v>
      </c>
      <c r="B4797" s="6" t="s">
        <v>6029</v>
      </c>
      <c r="C4797" s="5" t="str">
        <f>IFERROR(__xludf.DUMMYFUNCTION("GOOGLETRANSLATE(B4797,""en"",""zh-CN"")"),"女人以举重移动的方式将杠铃升起，然后将酒吧放回地板上，然后将其降低到地板上。")</f>
        <v>女人以举重移动的方式将杠铃升起，然后将酒吧放回地板上，然后将其降低到地板上。</v>
      </c>
    </row>
    <row r="4798">
      <c r="A4798" s="4" t="s">
        <v>6030</v>
      </c>
      <c r="B4798" s="4" t="s">
        <v>6031</v>
      </c>
      <c r="C4798" s="5" t="str">
        <f>IFERROR(__xludf.DUMMYFUNCTION("GOOGLETRANSLATE(B4798,""en"",""zh-CN"")"),"屏幕上有一些文本弹出。")</f>
        <v>屏幕上有一些文本弹出。</v>
      </c>
    </row>
    <row r="4799">
      <c r="A4799" s="4" t="s">
        <v>6030</v>
      </c>
      <c r="B4799" s="4" t="s">
        <v>6032</v>
      </c>
      <c r="C4799" s="5" t="str">
        <f>IFERROR(__xludf.DUMMYFUNCTION("GOOGLETRANSLATE(B4799,""en"",""zh-CN"")"),"公牛受到人们伤害的视频开始演奏。")</f>
        <v>公牛受到人们伤害的视频开始演奏。</v>
      </c>
    </row>
    <row r="4800">
      <c r="A4800" s="4" t="s">
        <v>6030</v>
      </c>
      <c r="B4800" s="4" t="s">
        <v>6033</v>
      </c>
      <c r="C4800" s="5" t="str">
        <f>IFERROR(__xludf.DUMMYFUNCTION("GOOGLETRANSLATE(B4800,""en"",""zh-CN"")"),"文字再次在屏幕上弹出。")</f>
        <v>文字再次在屏幕上弹出。</v>
      </c>
    </row>
    <row r="4801">
      <c r="A4801" s="4" t="s">
        <v>6030</v>
      </c>
      <c r="B4801" s="4" t="s">
        <v>6034</v>
      </c>
      <c r="C4801" s="5" t="str">
        <f>IFERROR(__xludf.DUMMYFUNCTION("GOOGLETRANSLATE(B4801,""en"",""zh-CN"")"),"显示了被箭和充满血液刺伤的人的图像。")</f>
        <v>显示了被箭和充满血液刺伤的人的图像。</v>
      </c>
    </row>
    <row r="4802">
      <c r="A4802" s="4" t="s">
        <v>6030</v>
      </c>
      <c r="B4802" s="4" t="s">
        <v>6035</v>
      </c>
      <c r="C4802" s="5" t="str">
        <f>IFERROR(__xludf.DUMMYFUNCTION("GOOGLETRANSLATE(B4802,""en"",""zh-CN"")"),"出现了更多带有反斗篷消息的文本。")</f>
        <v>出现了更多带有反斗篷消息的文本。</v>
      </c>
    </row>
    <row r="4803">
      <c r="A4803" s="4" t="s">
        <v>6030</v>
      </c>
      <c r="B4803" s="4" t="s">
        <v>6036</v>
      </c>
      <c r="C4803" s="5" t="str">
        <f>IFERROR(__xludf.DUMMYFUNCTION("GOOGLETRANSLATE(B4803,""en"",""zh-CN"")"),"显示了伤害的图像。")</f>
        <v>显示了伤害的图像。</v>
      </c>
    </row>
    <row r="4804">
      <c r="A4804" s="4" t="s">
        <v>6030</v>
      </c>
      <c r="B4804" s="4" t="s">
        <v>6037</v>
      </c>
      <c r="C4804" s="5" t="str">
        <f>IFERROR(__xludf.DUMMYFUNCTION("GOOGLETRANSLATE(B4804,""en"",""zh-CN"")"),"出现反动物的虐待文字。")</f>
        <v>出现反动物的虐待文字。</v>
      </c>
    </row>
    <row r="4805">
      <c r="A4805" s="4" t="s">
        <v>6030</v>
      </c>
      <c r="B4805" s="4" t="s">
        <v>6038</v>
      </c>
      <c r="C4805" s="5" t="str">
        <f>IFERROR(__xludf.DUMMYFUNCTION("GOOGLETRANSLATE(B4805,""en"",""zh-CN"")"),"一名公牛战斗机被证明与公牛作战。")</f>
        <v>一名公牛战斗机被证明与公牛作战。</v>
      </c>
    </row>
    <row r="4806">
      <c r="A4806" s="4" t="s">
        <v>6030</v>
      </c>
      <c r="B4806" s="4" t="s">
        <v>6039</v>
      </c>
      <c r="C4806" s="5" t="str">
        <f>IFERROR(__xludf.DUMMYFUNCTION("GOOGLETRANSLATE(B4806,""en"",""zh-CN"")"),"播放了斗牛犬的视频。")</f>
        <v>播放了斗牛犬的视频。</v>
      </c>
    </row>
    <row r="4807">
      <c r="A4807" s="4" t="s">
        <v>6030</v>
      </c>
      <c r="B4807" s="4" t="s">
        <v>6040</v>
      </c>
      <c r="C4807" s="5" t="str">
        <f>IFERROR(__xludf.DUMMYFUNCTION("GOOGLETRANSLATE(B4807,""en"",""zh-CN"")"),"一个新视频显示死动物播放。")</f>
        <v>一个新视频显示死动物播放。</v>
      </c>
    </row>
    <row r="4808">
      <c r="A4808" s="4" t="s">
        <v>6030</v>
      </c>
      <c r="B4808" s="6" t="s">
        <v>6041</v>
      </c>
      <c r="C4808" s="5" t="str">
        <f>IFERROR(__xludf.DUMMYFUNCTION("GOOGLETRANSLATE(B4808,""en"",""zh-CN"")"),"视频中出现了屈尊文字，该视频使人们对食物的肉食残酷。")</f>
        <v>视频中出现了屈尊文字，该视频使人们对食物的肉食残酷。</v>
      </c>
    </row>
    <row r="4809">
      <c r="A4809" s="4" t="s">
        <v>6042</v>
      </c>
      <c r="B4809" s="4" t="s">
        <v>6043</v>
      </c>
      <c r="C4809" s="5" t="str">
        <f>IFERROR(__xludf.DUMMYFUNCTION("GOOGLETRANSLATE(B4809,""en"",""zh-CN"")"),"割草机正在用草推。")</f>
        <v>割草机正在用草推。</v>
      </c>
    </row>
    <row r="4810">
      <c r="A4810" s="4" t="s">
        <v>6042</v>
      </c>
      <c r="B4810" s="4" t="s">
        <v>6044</v>
      </c>
      <c r="C4810" s="5" t="str">
        <f>IFERROR(__xludf.DUMMYFUNCTION("GOOGLETRANSLATE(B4810,""en"",""zh-CN"")"),"它沿着人行道推动。")</f>
        <v>它沿着人行道推动。</v>
      </c>
    </row>
    <row r="4811">
      <c r="A4811" s="4" t="s">
        <v>6042</v>
      </c>
      <c r="B4811" s="4" t="s">
        <v>6045</v>
      </c>
      <c r="C4811" s="5" t="str">
        <f>IFERROR(__xludf.DUMMYFUNCTION("GOOGLETRANSLATE(B4811,""en"",""zh-CN"")"),"它沿着花床推。")</f>
        <v>它沿着花床推。</v>
      </c>
    </row>
    <row r="4812">
      <c r="A4812" s="4" t="s">
        <v>6046</v>
      </c>
      <c r="B4812" s="4" t="s">
        <v>6047</v>
      </c>
      <c r="C4812" s="5" t="str">
        <f>IFERROR(__xludf.DUMMYFUNCTION("GOOGLETRANSLATE(B4812,""en"",""zh-CN"")"),"一个人展示了大灰尘拖把的底部。")</f>
        <v>一个人展示了大灰尘拖把的底部。</v>
      </c>
    </row>
    <row r="4813">
      <c r="A4813" s="4" t="s">
        <v>6046</v>
      </c>
      <c r="B4813" s="4" t="s">
        <v>6048</v>
      </c>
      <c r="C4813" s="5" t="str">
        <f>IFERROR(__xludf.DUMMYFUNCTION("GOOGLETRANSLATE(B4813,""en"",""zh-CN"")"),"然后，该人用大防尘拖把清洁健身房。")</f>
        <v>然后，该人用大防尘拖把清洁健身房。</v>
      </c>
    </row>
    <row r="4814">
      <c r="A4814" s="4" t="s">
        <v>6049</v>
      </c>
      <c r="B4814" s="4" t="s">
        <v>6050</v>
      </c>
      <c r="C4814" s="5" t="str">
        <f>IFERROR(__xludf.DUMMYFUNCTION("GOOGLETRANSLATE(B4814,""en"",""zh-CN"")"),"秋千中的女孩摇摆，然后她跳到地上。")</f>
        <v>秋千中的女孩摇摆，然后她跳到地上。</v>
      </c>
    </row>
    <row r="4815">
      <c r="A4815" s="4" t="s">
        <v>6049</v>
      </c>
      <c r="B4815" s="6" t="s">
        <v>6051</v>
      </c>
      <c r="C4815" s="5" t="str">
        <f>IFERROR(__xludf.DUMMYFUNCTION("GOOGLETRANSLATE(B4815,""en"",""zh-CN"")"),"相机转过身，然后转回到那个摇摆的女孩，她扭曲了秋千的链条，她​​在秋千上旋转。")</f>
        <v>相机转过身，然后转回到那个摇摆的女孩，她扭曲了秋千的链条，她​​在秋千上旋转。</v>
      </c>
    </row>
    <row r="4816">
      <c r="A4816" s="4" t="s">
        <v>6049</v>
      </c>
      <c r="B4816" s="6" t="s">
        <v>6052</v>
      </c>
      <c r="C4816" s="5" t="str">
        <f>IFERROR(__xludf.DUMMYFUNCTION("GOOGLETRANSLATE(B4816,""en"",""zh-CN"")"),"穿着黑色衬衫，黑色裙子和紧身裤的女孩保持秋千如此之快，高高，然后她跳到沙质地面上。")</f>
        <v>穿着黑色衬衫，黑色裙子和紧身裤的女孩保持秋千如此之快，高高，然后她跳到沙质地面上。</v>
      </c>
    </row>
    <row r="4817">
      <c r="A4817" s="4" t="s">
        <v>6049</v>
      </c>
      <c r="B4817" s="4" t="s">
        <v>6053</v>
      </c>
      <c r="C4817" s="5" t="str">
        <f>IFERROR(__xludf.DUMMYFUNCTION("GOOGLETRANSLATE(B4817,""en"",""zh-CN"")"),"那个女孩爬上登山者，她的手臂和手握住了酒吧时，她抬起脚。")</f>
        <v>那个女孩爬上登山者，她的手臂和手握住了酒吧时，她抬起脚。</v>
      </c>
    </row>
    <row r="4818">
      <c r="A4818" s="4" t="s">
        <v>6049</v>
      </c>
      <c r="B4818" s="6" t="s">
        <v>6054</v>
      </c>
      <c r="C4818" s="5" t="str">
        <f>IFERROR(__xludf.DUMMYFUNCTION("GOOGLETRANSLATE(B4818,""en"",""zh-CN"")"),"女孩摔倒在地上，她站起来，然后去了登山者的另一侧，伸手去拿酒吧，搬到了另一个酒吧。")</f>
        <v>女孩摔倒在地上，她站起来，然后去了登山者的另一侧，伸手去拿酒吧，搬到了另一个酒吧。</v>
      </c>
    </row>
    <row r="4819">
      <c r="A4819" s="4" t="s">
        <v>6049</v>
      </c>
      <c r="B4819" s="6" t="s">
        <v>6055</v>
      </c>
      <c r="C4819" s="5" t="str">
        <f>IFERROR(__xludf.DUMMYFUNCTION("GOOGLETRANSLATE(B4819,""en"",""zh-CN"")"),"当女孩看着身边时，女孩坐在蓝色的椅子上，她站起来，继续向前和向后拉她的体重。")</f>
        <v>当女孩看着身边时，女孩坐在蓝色的椅子上，她站起来，继续向前和向后拉她的体重。</v>
      </c>
    </row>
    <row r="4820">
      <c r="A4820" s="4" t="s">
        <v>6049</v>
      </c>
      <c r="B4820" s="6" t="s">
        <v>6056</v>
      </c>
      <c r="C4820" s="5" t="str">
        <f>IFERROR(__xludf.DUMMYFUNCTION("GOOGLETRANSLATE(B4820,""en"",""zh-CN"")"),"女孩坐在滑梯的顶部，然后滑下，戴上拖鞋，然后回到滑梯的顶部，滑下。")</f>
        <v>女孩坐在滑梯的顶部，然后滑下，戴上拖鞋，然后回到滑梯的顶部，滑下。</v>
      </c>
    </row>
    <row r="4821">
      <c r="A4821" s="4" t="s">
        <v>6057</v>
      </c>
      <c r="B4821" s="4" t="s">
        <v>6058</v>
      </c>
      <c r="C4821" s="5" t="str">
        <f>IFERROR(__xludf.DUMMYFUNCTION("GOOGLETRANSLATE(B4821,""en"",""zh-CN"")"),"为蓝色的背景描绘了白色的单词，上面写着标题：“ 2009年5月的草坪”。")</f>
        <v>为蓝色的背景描绘了白色的单词，上面写着标题：“ 2009年5月的草坪”。</v>
      </c>
    </row>
    <row r="4822">
      <c r="A4822" s="4" t="s">
        <v>6057</v>
      </c>
      <c r="B4822" s="6" t="s">
        <v>6059</v>
      </c>
      <c r="C4822" s="5" t="str">
        <f>IFERROR(__xludf.DUMMYFUNCTION("GOOGLETRANSLATE(B4822,""en"",""zh-CN"")"),"一个中年男子在外面，穿着白色肌肉短裤和红色短裤，将割草机推入院子。")</f>
        <v>一个中年男子在外面，穿着白色肌肉短裤和红色短裤，将割草机推入院子。</v>
      </c>
    </row>
    <row r="4823">
      <c r="A4823" s="4" t="s">
        <v>6057</v>
      </c>
      <c r="B4823" s="6" t="s">
        <v>6060</v>
      </c>
      <c r="C4823" s="5" t="str">
        <f>IFERROR(__xludf.DUMMYFUNCTION("GOOGLETRANSLATE(B4823,""en"",""zh-CN"")"),"当男人把割草机转向另一个方向时，他开始挣扎并感到困惑，因为喷泉妨碍了他。")</f>
        <v>当男人把割草机转向另一个方向时，他开始挣扎并感到困惑，因为喷泉妨碍了他。</v>
      </c>
    </row>
    <row r="4824">
      <c r="A4824" s="4" t="s">
        <v>6057</v>
      </c>
      <c r="B4824" s="6" t="s">
        <v>6061</v>
      </c>
      <c r="C4824" s="5" t="str">
        <f>IFERROR(__xludf.DUMMYFUNCTION("GOOGLETRANSLATE(B4824,""en"",""zh-CN"")"),"有一次，雄性变得足够沮丧，他只是决定不修剪它，然后回到他原来的切割场所。")</f>
        <v>有一次，雄性变得足够沮丧，他只是决定不修剪它，然后回到他原来的切割场所。</v>
      </c>
    </row>
    <row r="4825">
      <c r="A4825" s="4" t="s">
        <v>6062</v>
      </c>
      <c r="B4825" s="4" t="s">
        <v>6063</v>
      </c>
      <c r="C4825" s="5" t="str">
        <f>IFERROR(__xludf.DUMMYFUNCTION("GOOGLETRANSLATE(B4825,""en"",""zh-CN"")"),"显示了一个闭合手，然后是一个女孩刷头发，对相机微笑。")</f>
        <v>显示了一个闭合手，然后是一个女孩刷头发，对相机微笑。</v>
      </c>
    </row>
    <row r="4826">
      <c r="A4826" s="4" t="s">
        <v>6062</v>
      </c>
      <c r="B4826" s="4" t="s">
        <v>6064</v>
      </c>
      <c r="C4826" s="5" t="str">
        <f>IFERROR(__xludf.DUMMYFUNCTION("GOOGLETRANSLATE(B4826,""en"",""zh-CN"")"),"女孩继续梳理头发，望向远处。")</f>
        <v>女孩继续梳理头发，望向远处。</v>
      </c>
    </row>
    <row r="4827">
      <c r="A4827" s="4" t="s">
        <v>6065</v>
      </c>
      <c r="B4827" s="6" t="s">
        <v>6066</v>
      </c>
      <c r="C4827" s="5" t="str">
        <f>IFERROR(__xludf.DUMMYFUNCTION("GOOGLETRANSLATE(B4827,""en"",""zh-CN"")"),"在户外竞技场举行了一场竞争性的体育赛事，竞争对手在观众在看台时就在场。")</f>
        <v>在户外竞技场举行了一场竞争性的体育赛事，竞争对手在观众在看台时就在场。</v>
      </c>
    </row>
    <row r="4828">
      <c r="A4828" s="4" t="s">
        <v>6065</v>
      </c>
      <c r="B4828" s="6" t="s">
        <v>6067</v>
      </c>
      <c r="C4828" s="5" t="str">
        <f>IFERROR(__xludf.DUMMYFUNCTION("GOOGLETRANSLATE(B4828,""en"",""zh-CN"")"),"一个男人现在站在场上的圆圈中，他拿着球，屏幕上的横幅显示表明他的名字是克里斯蒂安的pars，他将在挥动绳索的球时要扔锤子。 ，挥动他的身体，然后让绳子走在田野上很远的地方。")</f>
        <v>一个男人现在站在场上的圆圈中，他拿着球，屏幕上的横幅显示表明他的名字是克里斯蒂安的pars，他将在挥动绳索的球时要扔锤子。 ，挥动他的身体，然后让绳子走在田野上很远的地方。</v>
      </c>
    </row>
    <row r="4829">
      <c r="A4829" s="4" t="s">
        <v>6065</v>
      </c>
      <c r="B4829" s="6" t="s">
        <v>6068</v>
      </c>
      <c r="C4829" s="5" t="str">
        <f>IFERROR(__xludf.DUMMYFUNCTION("GOOGLETRANSLATE(B4829,""en"",""zh-CN"")"),"这个男人为他的掷球和其他竞争对手以及看台上的人鼓掌并为他加油，以及他离开他站着的地区，并继续为自己加油打气时，为他开心并为他加油打气时，为他的投掷而感到自豪。对一群摄影师拍照的大拇指。")</f>
        <v>这个男人为他的掷球和其他竞争对手以及看台上的人鼓掌并为他加油，以及他离开他站着的地区，并继续为自己加油打气时，为他开心并为他加油打气时，为他的投掷而感到自豪。对一群摄影师拍照的大拇指。</v>
      </c>
    </row>
    <row r="4830">
      <c r="A4830" s="4" t="s">
        <v>6065</v>
      </c>
      <c r="B4830" s="4" t="s">
        <v>6069</v>
      </c>
      <c r="C4830" s="5" t="str">
        <f>IFERROR(__xludf.DUMMYFUNCTION("GOOGLETRANSLATE(B4830,""en"",""zh-CN"")"),"他的投掷重新播放再次开始，然后以整个竞技场的广角射门结束。")</f>
        <v>他的投掷重新播放再次开始，然后以整个竞技场的广角射门结束。</v>
      </c>
    </row>
    <row r="4831">
      <c r="A4831" s="4" t="s">
        <v>6070</v>
      </c>
      <c r="B4831" s="4" t="s">
        <v>6071</v>
      </c>
      <c r="C4831" s="5" t="str">
        <f>IFERROR(__xludf.DUMMYFUNCTION("GOOGLETRANSLATE(B4831,""en"",""zh-CN"")"),"显示了UConn女子曲棍球队的视频。")</f>
        <v>显示了UConn女子曲棍球队的视频。</v>
      </c>
    </row>
    <row r="4832">
      <c r="A4832" s="4" t="s">
        <v>6070</v>
      </c>
      <c r="B4832" s="4" t="s">
        <v>6072</v>
      </c>
      <c r="C4832" s="5" t="str">
        <f>IFERROR(__xludf.DUMMYFUNCTION("GOOGLETRANSLATE(B4832,""en"",""zh-CN"")"),"教练与球员交谈，他们有练习。")</f>
        <v>教练与球员交谈，他们有练习。</v>
      </c>
    </row>
    <row r="4833">
      <c r="A4833" s="4" t="s">
        <v>6073</v>
      </c>
      <c r="B4833" s="4" t="s">
        <v>6074</v>
      </c>
      <c r="C4833" s="5" t="str">
        <f>IFERROR(__xludf.DUMMYFUNCTION("GOOGLETRANSLATE(B4833,""en"",""zh-CN"")"),"两名男子在健身房踢足球，随后踢出足球，展示了更多的球员。")</f>
        <v>两名男子在健身房踢足球，随后踢出足球，展示了更多的球员。</v>
      </c>
    </row>
    <row r="4834">
      <c r="A4834" s="4" t="s">
        <v>6073</v>
      </c>
      <c r="B4834" s="6" t="s">
        <v>6075</v>
      </c>
      <c r="C4834" s="5" t="str">
        <f>IFERROR(__xludf.DUMMYFUNCTION("GOOGLETRANSLATE(B4834,""en"",""zh-CN"")"),"该男子是白人，将球带到健身房几次，并执行各种技巧和进球。")</f>
        <v>该男子是白人，将球带到健身房几次，并执行各种技巧和进球。</v>
      </c>
    </row>
    <row r="4835">
      <c r="A4835" s="4" t="s">
        <v>6073</v>
      </c>
      <c r="B4835" s="4" t="s">
        <v>6076</v>
      </c>
      <c r="C4835" s="5" t="str">
        <f>IFERROR(__xludf.DUMMYFUNCTION("GOOGLETRANSLATE(B4835,""en"",""zh-CN"")"),"比赛继续进行，男子们回到了足球和第四次比赛。")</f>
        <v>比赛继续进行，男子们回到了足球和第四次比赛。</v>
      </c>
    </row>
    <row r="4836">
      <c r="A4836" s="4" t="s">
        <v>6077</v>
      </c>
      <c r="B4836" s="4" t="s">
        <v>6078</v>
      </c>
      <c r="C4836" s="5" t="str">
        <f>IFERROR(__xludf.DUMMYFUNCTION("GOOGLETRANSLATE(B4836,""en"",""zh-CN"")"),"一个女人夹住眉毛。")</f>
        <v>一个女人夹住眉毛。</v>
      </c>
    </row>
    <row r="4837">
      <c r="A4837" s="4" t="s">
        <v>6077</v>
      </c>
      <c r="B4837" s="4" t="s">
        <v>6079</v>
      </c>
      <c r="C4837" s="5" t="str">
        <f>IFERROR(__xludf.DUMMYFUNCTION("GOOGLETRANSLATE(B4837,""en"",""zh-CN"")"),"一个人将针头穿过她的眉毛。")</f>
        <v>一个人将针头穿过她的眉毛。</v>
      </c>
    </row>
    <row r="4838">
      <c r="A4838" s="4" t="s">
        <v>6077</v>
      </c>
      <c r="B4838" s="4" t="s">
        <v>6080</v>
      </c>
      <c r="C4838" s="5" t="str">
        <f>IFERROR(__xludf.DUMMYFUNCTION("GOOGLETRANSLATE(B4838,""en"",""zh-CN"")"),"他们将耳环扭成眉毛。")</f>
        <v>他们将耳环扭成眉毛。</v>
      </c>
    </row>
    <row r="4839">
      <c r="A4839" s="4" t="s">
        <v>6077</v>
      </c>
      <c r="B4839" s="4" t="s">
        <v>6081</v>
      </c>
      <c r="C4839" s="5" t="str">
        <f>IFERROR(__xludf.DUMMYFUNCTION("GOOGLETRANSLATE(B4839,""en"",""zh-CN"")"),"他们用QTIP清洁耳环。")</f>
        <v>他们用QTIP清洁耳环。</v>
      </c>
    </row>
    <row r="4840">
      <c r="A4840" s="4" t="s">
        <v>6082</v>
      </c>
      <c r="B4840" s="4" t="s">
        <v>6083</v>
      </c>
      <c r="C4840" s="5" t="str">
        <f>IFERROR(__xludf.DUMMYFUNCTION("GOOGLETRANSLATE(B4840,""en"",""zh-CN"")"),"一个男人试图在健身房举重。")</f>
        <v>一个男人试图在健身房举重。</v>
      </c>
    </row>
    <row r="4841">
      <c r="A4841" s="4" t="s">
        <v>6082</v>
      </c>
      <c r="B4841" s="4" t="s">
        <v>6084</v>
      </c>
      <c r="C4841" s="5" t="str">
        <f>IFERROR(__xludf.DUMMYFUNCTION("GOOGLETRANSLATE(B4841,""en"",""zh-CN"")"),"他将杠铃抬到胸前。")</f>
        <v>他将杠铃抬到胸前。</v>
      </c>
    </row>
    <row r="4842">
      <c r="A4842" s="4" t="s">
        <v>6082</v>
      </c>
      <c r="B4842" s="4" t="s">
        <v>6085</v>
      </c>
      <c r="C4842" s="5" t="str">
        <f>IFERROR(__xludf.DUMMYFUNCTION("GOOGLETRANSLATE(B4842,""en"",""zh-CN"")"),"然后，他将其抬到头上，然后将其放到地上。")</f>
        <v>然后，他将其抬到头上，然后将其放到地上。</v>
      </c>
    </row>
    <row r="4843">
      <c r="A4843" s="4" t="s">
        <v>6086</v>
      </c>
      <c r="B4843" s="4" t="s">
        <v>6087</v>
      </c>
      <c r="C4843" s="5" t="str">
        <f>IFERROR(__xludf.DUMMYFUNCTION("GOOGLETRANSLATE(B4843,""en"",""zh-CN"")"),"人们在舞台上跳舞时，看到乐队在舞台上演奏几种乐器。")</f>
        <v>人们在舞台上跳舞时，看到乐队在舞台上演奏几种乐器。</v>
      </c>
    </row>
    <row r="4844">
      <c r="A4844" s="4" t="s">
        <v>6086</v>
      </c>
      <c r="B4844" s="4" t="s">
        <v>6088</v>
      </c>
      <c r="C4844" s="5" t="str">
        <f>IFERROR(__xludf.DUMMYFUNCTION("GOOGLETRANSLATE(B4844,""en"",""zh-CN"")"),"乐队继续演奏，而周围的灯光闪烁，人们继续跳舞。")</f>
        <v>乐队继续演奏，而周围的灯光闪烁，人们继续跳舞。</v>
      </c>
    </row>
    <row r="4845">
      <c r="A4845" s="4" t="s">
        <v>6089</v>
      </c>
      <c r="B4845" s="4" t="s">
        <v>6090</v>
      </c>
      <c r="C4845" s="5" t="str">
        <f>IFERROR(__xludf.DUMMYFUNCTION("GOOGLETRANSLATE(B4845,""en"",""zh-CN"")"),"在白色和棕色马外面显示了户外楼梯箱。")</f>
        <v>在白色和棕色马外面显示了户外楼梯箱。</v>
      </c>
    </row>
    <row r="4846">
      <c r="A4846" s="4" t="s">
        <v>6089</v>
      </c>
      <c r="B4846" s="6" t="s">
        <v>6091</v>
      </c>
      <c r="C4846" s="5" t="str">
        <f>IFERROR(__xludf.DUMMYFUNCTION("GOOGLETRANSLATE(B4846,""en"",""zh-CN"")"),"突然之间，一只黑狗绕过拐角处，爬上楼梯，并显示了多个重播。")</f>
        <v>突然之间，一只黑狗绕过拐角处，爬上楼梯，并显示了多个重播。</v>
      </c>
    </row>
    <row r="4847">
      <c r="A4847" s="4" t="s">
        <v>6089</v>
      </c>
      <c r="B4847" s="4" t="s">
        <v>6092</v>
      </c>
      <c r="C4847" s="5" t="str">
        <f>IFERROR(__xludf.DUMMYFUNCTION("GOOGLETRANSLATE(B4847,""en"",""zh-CN"")"),"一旦狗实际上伸到顶部，他就会开始舔摄影鞋后面的人。")</f>
        <v>一旦狗实际上伸到顶部，他就会开始舔摄影鞋后面的人。</v>
      </c>
    </row>
    <row r="4848">
      <c r="A4848" s="4" t="s">
        <v>6093</v>
      </c>
      <c r="B4848" s="4" t="s">
        <v>6094</v>
      </c>
      <c r="C4848" s="5" t="str">
        <f>IFERROR(__xludf.DUMMYFUNCTION("GOOGLETRANSLATE(B4848,""en"",""zh-CN"")"),"看到一个人站在唤醒板上，指出并四处走动。")</f>
        <v>看到一个人站在唤醒板上，指出并四处走动。</v>
      </c>
    </row>
    <row r="4849">
      <c r="A4849" s="4" t="s">
        <v>6093</v>
      </c>
      <c r="B4849" s="4" t="s">
        <v>6095</v>
      </c>
      <c r="C4849" s="5" t="str">
        <f>IFERROR(__xludf.DUMMYFUNCTION("GOOGLETRANSLATE(B4849,""en"",""zh-CN"")"),"相机跟随他滑入水中，逐渐进一步发展。")</f>
        <v>相机跟随他滑入水中，逐渐进一步发展。</v>
      </c>
    </row>
    <row r="4850">
      <c r="A4850" s="4" t="s">
        <v>6096</v>
      </c>
      <c r="B4850" s="4" t="s">
        <v>6097</v>
      </c>
      <c r="C4850" s="5" t="str">
        <f>IFERROR(__xludf.DUMMYFUNCTION("GOOGLETRANSLATE(B4850,""en"",""zh-CN"")"),"我们看到一个黑色的打开屏幕。")</f>
        <v>我们看到一个黑色的打开屏幕。</v>
      </c>
    </row>
    <row r="4851">
      <c r="A4851" s="4" t="s">
        <v>6096</v>
      </c>
      <c r="B4851" s="4" t="s">
        <v>6098</v>
      </c>
      <c r="C4851" s="5" t="str">
        <f>IFERROR(__xludf.DUMMYFUNCTION("GOOGLETRANSLATE(B4851,""en"",""zh-CN"")"),"我们看到一条蓝色的曲目，人们在上面奔跑。")</f>
        <v>我们看到一条蓝色的曲目，人们在上面奔跑。</v>
      </c>
    </row>
    <row r="4852">
      <c r="A4852" s="4" t="s">
        <v>6096</v>
      </c>
      <c r="B4852" s="4" t="s">
        <v>6099</v>
      </c>
      <c r="C4852" s="5" t="str">
        <f>IFERROR(__xludf.DUMMYFUNCTION("GOOGLETRANSLATE(B4852,""en"",""zh-CN"")"),"然后，我们看到一个男人在5'9“跳高。")</f>
        <v>然后，我们看到一个男人在5'9“跳高。</v>
      </c>
    </row>
    <row r="4853">
      <c r="A4853" s="4" t="s">
        <v>6096</v>
      </c>
      <c r="B4853" s="4" t="s">
        <v>6100</v>
      </c>
      <c r="C4853" s="5" t="str">
        <f>IFERROR(__xludf.DUMMYFUNCTION("GOOGLETRANSLATE(B4853,""en"",""zh-CN"")"),"然后，我们看到男人跳下6英尺。")</f>
        <v>然后，我们看到男人跳下6英尺。</v>
      </c>
    </row>
    <row r="4854">
      <c r="A4854" s="4" t="s">
        <v>6096</v>
      </c>
      <c r="B4854" s="4" t="s">
        <v>6101</v>
      </c>
      <c r="C4854" s="5" t="str">
        <f>IFERROR(__xludf.DUMMYFUNCTION("GOOGLETRANSLATE(B4854,""en"",""zh-CN"")"),"然后，我们看到男人跳到6'2“，他将杆子撞倒。")</f>
        <v>然后，我们看到男人跳到6'2“，他将杆子撞倒。</v>
      </c>
    </row>
    <row r="4855">
      <c r="A4855" s="4" t="s">
        <v>6096</v>
      </c>
      <c r="B4855" s="4" t="s">
        <v>6102</v>
      </c>
      <c r="C4855" s="5" t="str">
        <f>IFERROR(__xludf.DUMMYFUNCTION("GOOGLETRANSLATE(B4855,""en"",""zh-CN"")"),"我们看到他再次尝试6'2“，而不是击中杆子。")</f>
        <v>我们看到他再次尝试6'2“，而不是击中杆子。</v>
      </c>
    </row>
    <row r="4856">
      <c r="A4856" s="4" t="s">
        <v>6096</v>
      </c>
      <c r="B4856" s="4" t="s">
        <v>6103</v>
      </c>
      <c r="C4856" s="5" t="str">
        <f>IFERROR(__xludf.DUMMYFUNCTION("GOOGLETRANSLATE(B4856,""en"",""zh-CN"")"),"该男子走到相机上并将其关闭。")</f>
        <v>该男子走到相机上并将其关闭。</v>
      </c>
    </row>
    <row r="4857">
      <c r="A4857" s="4" t="s">
        <v>6104</v>
      </c>
      <c r="B4857" s="4" t="s">
        <v>6105</v>
      </c>
      <c r="C4857" s="5" t="str">
        <f>IFERROR(__xludf.DUMMYFUNCTION("GOOGLETRANSLATE(B4857,""en"",""zh-CN"")"),"一个小男孩在院子里拿着画笔。")</f>
        <v>一个小男孩在院子里拿着画笔。</v>
      </c>
    </row>
    <row r="4858">
      <c r="A4858" s="4" t="s">
        <v>6104</v>
      </c>
      <c r="B4858" s="4" t="s">
        <v>6106</v>
      </c>
      <c r="C4858" s="5" t="str">
        <f>IFERROR(__xludf.DUMMYFUNCTION("GOOGLETRANSLATE(B4858,""en"",""zh-CN"")"),"他正在刷栅栏上的水刷。")</f>
        <v>他正在刷栅栏上的水刷。</v>
      </c>
    </row>
    <row r="4859">
      <c r="A4859" s="4" t="s">
        <v>6104</v>
      </c>
      <c r="B4859" s="4" t="s">
        <v>6107</v>
      </c>
      <c r="C4859" s="5" t="str">
        <f>IFERROR(__xludf.DUMMYFUNCTION("GOOGLETRANSLATE(B4859,""en"",""zh-CN"")"),"他将其浸入水桶中，继续假装绘画。")</f>
        <v>他将其浸入水桶中，继续假装绘画。</v>
      </c>
    </row>
    <row r="4860">
      <c r="A4860" s="4" t="s">
        <v>6108</v>
      </c>
      <c r="B4860" s="4" t="s">
        <v>6109</v>
      </c>
      <c r="C4860" s="5" t="str">
        <f>IFERROR(__xludf.DUMMYFUNCTION("GOOGLETRANSLATE(B4860,""en"",""zh-CN"")"),"一个人用刷子洗车，而三人用软管冲洗汽车。")</f>
        <v>一个人用刷子洗车，而三人用软管冲洗汽车。</v>
      </c>
    </row>
    <row r="4861">
      <c r="A4861" s="4" t="s">
        <v>6108</v>
      </c>
      <c r="B4861" s="4" t="s">
        <v>6110</v>
      </c>
      <c r="C4861" s="5" t="str">
        <f>IFERROR(__xludf.DUMMYFUNCTION("GOOGLETRANSLATE(B4861,""en"",""zh-CN"")"),"一个人喷在汽车上。")</f>
        <v>一个人喷在汽车上。</v>
      </c>
    </row>
    <row r="4862">
      <c r="A4862" s="4" t="s">
        <v>6108</v>
      </c>
      <c r="B4862" s="6" t="s">
        <v>6111</v>
      </c>
      <c r="C4862" s="5" t="str">
        <f>IFERROR(__xludf.DUMMYFUNCTION("GOOGLETRANSLATE(B4862,""en"",""zh-CN"")"),"一个穿着红色T恤喷雾剂洗涤剂的人，然后两个人用软管冲洗汽车，而其他汽车则覆盖着白色洗涤剂。")</f>
        <v>一个穿着红色T恤喷雾剂洗涤剂的人，然后两个人用软管冲洗汽车，而其他汽车则覆盖着白色洗涤剂。</v>
      </c>
    </row>
    <row r="4863">
      <c r="A4863" s="4" t="s">
        <v>6112</v>
      </c>
      <c r="B4863" s="4" t="s">
        <v>6113</v>
      </c>
      <c r="C4863" s="5" t="str">
        <f>IFERROR(__xludf.DUMMYFUNCTION("GOOGLETRANSLATE(B4863,""en"",""zh-CN"")"),"看到一个幼儿站在垫子前看地板。")</f>
        <v>看到一个幼儿站在垫子前看地板。</v>
      </c>
    </row>
    <row r="4864">
      <c r="A4864" s="4" t="s">
        <v>6112</v>
      </c>
      <c r="B4864" s="4" t="s">
        <v>6114</v>
      </c>
      <c r="C4864" s="5" t="str">
        <f>IFERROR(__xludf.DUMMYFUNCTION("GOOGLETRANSLATE(B4864,""en"",""zh-CN"")"),"然后，她开始沿着垫子一直走到尽头。")</f>
        <v>然后，她开始沿着垫子一直走到尽头。</v>
      </c>
    </row>
    <row r="4865">
      <c r="A4865" s="4" t="s">
        <v>6112</v>
      </c>
      <c r="B4865" s="4" t="s">
        <v>6115</v>
      </c>
      <c r="C4865" s="5" t="str">
        <f>IFERROR(__xludf.DUMMYFUNCTION("GOOGLETRANSLATE(B4865,""en"",""zh-CN"")"),"她看着镜头时，她再次回去和第四。")</f>
        <v>她看着镜头时，她再次回去和第四。</v>
      </c>
    </row>
    <row r="4866">
      <c r="A4866" s="4" t="s">
        <v>6116</v>
      </c>
      <c r="B4866" s="6" t="s">
        <v>6117</v>
      </c>
      <c r="C4866" s="5" t="str">
        <f>IFERROR(__xludf.DUMMYFUNCTION("GOOGLETRANSLATE(B4866,""en"",""zh-CN"")"),"看到一个男人在马旁边的摄像机上说话，并导致他骑着马和其他马匹的剪辑。")</f>
        <v>看到一个男人在马旁边的摄像机上说话，并导致他骑着马和其他马匹的剪辑。</v>
      </c>
    </row>
    <row r="4867">
      <c r="A4867" s="4" t="s">
        <v>6116</v>
      </c>
      <c r="B4867" s="6" t="s">
        <v>6118</v>
      </c>
      <c r="C4867" s="5" t="str">
        <f>IFERROR(__xludf.DUMMYFUNCTION("GOOGLETRANSLATE(B4867,""en"",""zh-CN"")"),"主持人与另一个男人说话，同时显示了更多的马匹，以及一个人击球。")</f>
        <v>主持人与另一个男人说话，同时显示了更多的马匹，以及一个人击球。</v>
      </c>
    </row>
    <row r="4868">
      <c r="A4868" s="4" t="s">
        <v>6116</v>
      </c>
      <c r="B4868" s="4" t="s">
        <v>6119</v>
      </c>
      <c r="C4868" s="5" t="str">
        <f>IFERROR(__xludf.DUMMYFUNCTION("GOOGLETRANSLATE(B4868,""en"",""zh-CN"")"),"然后，男人骑马，学习参加一项运动，并以一件制服的主持人讲话结束。")</f>
        <v>然后，男人骑马，学习参加一项运动，并以一件制服的主持人讲话结束。</v>
      </c>
    </row>
    <row r="4869">
      <c r="A4869" s="4" t="s">
        <v>6120</v>
      </c>
      <c r="B4869" s="4" t="s">
        <v>1251</v>
      </c>
      <c r="C4869" s="5" t="str">
        <f>IFERROR(__xludf.DUMMYFUNCTION("GOOGLETRANSLATE(B4869,""en"",""zh-CN"")"),"显示了剪辑的信用。")</f>
        <v>显示了剪辑的信用。</v>
      </c>
    </row>
    <row r="4870">
      <c r="A4870" s="4" t="s">
        <v>6120</v>
      </c>
      <c r="B4870" s="4" t="s">
        <v>6121</v>
      </c>
      <c r="C4870" s="5" t="str">
        <f>IFERROR(__xludf.DUMMYFUNCTION("GOOGLETRANSLATE(B4870,""en"",""zh-CN"")"),"一个人骑着运动自行车。")</f>
        <v>一个人骑着运动自行车。</v>
      </c>
    </row>
    <row r="4871">
      <c r="A4871" s="4" t="s">
        <v>6120</v>
      </c>
      <c r="B4871" s="4" t="s">
        <v>6122</v>
      </c>
      <c r="C4871" s="5" t="str">
        <f>IFERROR(__xludf.DUMMYFUNCTION("GOOGLETRANSLATE(B4871,""en"",""zh-CN"")"),"这个家伙调整了运动自行车座椅。")</f>
        <v>这个家伙调整了运动自行车座椅。</v>
      </c>
    </row>
    <row r="4872">
      <c r="A4872" s="4" t="s">
        <v>6120</v>
      </c>
      <c r="B4872" s="4" t="s">
        <v>573</v>
      </c>
      <c r="C4872" s="5" t="str">
        <f>IFERROR(__xludf.DUMMYFUNCTION("GOOGLETRANSLATE(B4872,""en"",""zh-CN"")"),"显示了视频的积分。")</f>
        <v>显示了视频的积分。</v>
      </c>
    </row>
    <row r="4873">
      <c r="A4873" s="4" t="s">
        <v>6123</v>
      </c>
      <c r="B4873" s="4" t="s">
        <v>6124</v>
      </c>
      <c r="C4873" s="5" t="str">
        <f>IFERROR(__xludf.DUMMYFUNCTION("GOOGLETRANSLATE(B4873,""en"",""zh-CN"")"),"一个女人坐在桌子旁。")</f>
        <v>一个女人坐在桌子旁。</v>
      </c>
    </row>
    <row r="4874">
      <c r="A4874" s="4" t="s">
        <v>6123</v>
      </c>
      <c r="B4874" s="4" t="s">
        <v>6125</v>
      </c>
      <c r="C4874" s="5" t="str">
        <f>IFERROR(__xludf.DUMMYFUNCTION("GOOGLETRANSLATE(B4874,""en"",""zh-CN"")"),"一个坐在她面前的男人正在弹口琴。")</f>
        <v>一个坐在她面前的男人正在弹口琴。</v>
      </c>
    </row>
    <row r="4875">
      <c r="A4875" s="4" t="s">
        <v>6123</v>
      </c>
      <c r="B4875" s="4" t="s">
        <v>6126</v>
      </c>
      <c r="C4875" s="5" t="str">
        <f>IFERROR(__xludf.DUMMYFUNCTION("GOOGLETRANSLATE(B4875,""en"",""zh-CN"")"),"女人在玩她的头发。")</f>
        <v>女人在玩她的头发。</v>
      </c>
    </row>
    <row r="4876">
      <c r="A4876" s="4" t="s">
        <v>6127</v>
      </c>
      <c r="B4876" s="6" t="s">
        <v>6128</v>
      </c>
      <c r="C4876" s="5" t="str">
        <f>IFERROR(__xludf.DUMMYFUNCTION("GOOGLETRANSLATE(B4876,""en"",""zh-CN"")"),"显示了一系列鞋子闪亮的工具，包括鞋抛光剂的不同种类和颜色，抛光抹布和黑色闪亮的鞋子。")</f>
        <v>显示了一系列鞋子闪亮的工具，包括鞋抛光剂的不同种类和颜色，抛光抹布和黑色闪亮的鞋子。</v>
      </c>
    </row>
    <row r="4877">
      <c r="A4877" s="4" t="s">
        <v>6127</v>
      </c>
      <c r="B4877" s="6" t="s">
        <v>6129</v>
      </c>
      <c r="C4877" s="5" t="str">
        <f>IFERROR(__xludf.DUMMYFUNCTION("GOOGLETRANSLATE(B4877,""en"",""zh-CN"")"),"一群成年学生坐在教室风格的房间里，看着班级的前面，好像上课并强烈地聆听一样。")</f>
        <v>一群成年学生坐在教室风格的房间里，看着班级的前面，好像上课并强烈地聆听一样。</v>
      </c>
    </row>
    <row r="4878">
      <c r="A4878" s="4" t="s">
        <v>6127</v>
      </c>
      <c r="B4878" s="6" t="s">
        <v>6130</v>
      </c>
      <c r="C4878" s="5" t="str">
        <f>IFERROR(__xludf.DUMMYFUNCTION("GOOGLETRANSLATE(B4878,""en"",""zh-CN"")"),"鞋子的示范是在一群学生面前跪在一群学生面前，以样品鞋为例。")</f>
        <v>鞋子的示范是在一群学生面前跪在一群学生面前，以样品鞋为例。</v>
      </c>
    </row>
    <row r="4879">
      <c r="A4879" s="4" t="s">
        <v>6127</v>
      </c>
      <c r="B4879" s="6" t="s">
        <v>6131</v>
      </c>
      <c r="C4879" s="5" t="str">
        <f>IFERROR(__xludf.DUMMYFUNCTION("GOOGLETRANSLATE(B4879,""en"",""zh-CN"")"),"几个人穿着围裙，然后在人们穿鞋之前跪下，并用抛光衣服和抛光剂在红色桶上照亮人们的鞋子。")</f>
        <v>几个人穿着围裙，然后在人们穿鞋之前跪下，并用抛光衣服和抛光剂在红色桶上照亮人们的鞋子。</v>
      </c>
    </row>
    <row r="4880">
      <c r="A4880" s="4" t="s">
        <v>6127</v>
      </c>
      <c r="B4880" s="4" t="s">
        <v>6132</v>
      </c>
      <c r="C4880" s="5" t="str">
        <f>IFERROR(__xludf.DUMMYFUNCTION("GOOGLETRANSLATE(B4880,""en"",""zh-CN"")"),"然后，鞋子闪闪发光，围绕着围裙，鞠躬和握手。")</f>
        <v>然后，鞋子闪闪发光，围绕着围裙，鞠躬和握手。</v>
      </c>
    </row>
    <row r="4881">
      <c r="A4881" s="4" t="s">
        <v>6133</v>
      </c>
      <c r="B4881" s="4" t="s">
        <v>6134</v>
      </c>
      <c r="C4881" s="5" t="str">
        <f>IFERROR(__xludf.DUMMYFUNCTION("GOOGLETRANSLATE(B4881,""en"",""zh-CN"")"),"一个男人在头顶上举起非常沉重的重量，然后放下它。")</f>
        <v>一个男人在头顶上举起非常沉重的重量，然后放下它。</v>
      </c>
    </row>
    <row r="4882">
      <c r="A4882" s="4" t="s">
        <v>6133</v>
      </c>
      <c r="B4882" s="4" t="s">
        <v>6135</v>
      </c>
      <c r="C4882" s="5" t="str">
        <f>IFERROR(__xludf.DUMMYFUNCTION("GOOGLETRANSLATE(B4882,""en"",""zh-CN"")"),"他多次进行重复，这是一个锻炼程序。")</f>
        <v>他多次进行重复，这是一个锻炼程序。</v>
      </c>
    </row>
    <row r="4883">
      <c r="A4883" s="4" t="s">
        <v>6133</v>
      </c>
      <c r="B4883" s="4" t="s">
        <v>6136</v>
      </c>
      <c r="C4883" s="5" t="str">
        <f>IFERROR(__xludf.DUMMYFUNCTION("GOOGLETRANSLATE(B4883,""en"",""zh-CN"")"),"然后，他走开休息一下，然后坐着聊天。")</f>
        <v>然后，他走开休息一下，然后坐着聊天。</v>
      </c>
    </row>
    <row r="4884">
      <c r="A4884" s="4" t="s">
        <v>6133</v>
      </c>
      <c r="B4884" s="4" t="s">
        <v>6137</v>
      </c>
      <c r="C4884" s="5" t="str">
        <f>IFERROR(__xludf.DUMMYFUNCTION("GOOGLETRANSLATE(B4884,""en"",""zh-CN"")"),"一旦他完成了休息，他就会继续恢复常规。")</f>
        <v>一旦他完成了休息，他就会继续恢复常规。</v>
      </c>
    </row>
    <row r="4885">
      <c r="A4885" s="4" t="s">
        <v>6138</v>
      </c>
      <c r="B4885" s="4" t="s">
        <v>6139</v>
      </c>
      <c r="C4885" s="5" t="str">
        <f>IFERROR(__xludf.DUMMYFUNCTION("GOOGLETRANSLATE(B4885,""en"",""zh-CN"")"),"当裁判周围移动时，两名相扑摔跤手正在室内互相战斗。")</f>
        <v>当裁判周围移动时，两名相扑摔跤手正在室内互相战斗。</v>
      </c>
    </row>
    <row r="4886">
      <c r="A4886" s="4" t="s">
        <v>6138</v>
      </c>
      <c r="B4886" s="4" t="s">
        <v>6140</v>
      </c>
      <c r="C4886" s="5" t="str">
        <f>IFERROR(__xludf.DUMMYFUNCTION("GOOGLETRANSLATE(B4886,""en"",""zh-CN"")"),"然后将一个人从垫子上扔掉，并显示另一组人。")</f>
        <v>然后将一个人从垫子上扔掉，并显示另一组人。</v>
      </c>
    </row>
    <row r="4887">
      <c r="A4887" s="4" t="s">
        <v>6138</v>
      </c>
      <c r="B4887" s="4" t="s">
        <v>6141</v>
      </c>
      <c r="C4887" s="5" t="str">
        <f>IFERROR(__xludf.DUMMYFUNCTION("GOOGLETRANSLATE(B4887,""en"",""zh-CN"")"),"然后，两者中的较小，然后将大个子从空中翻转，然后比赛结束了。")</f>
        <v>然后，两者中的较小，然后将大个子从空中翻转，然后比赛结束了。</v>
      </c>
    </row>
    <row r="4888">
      <c r="A4888" s="4" t="s">
        <v>6138</v>
      </c>
      <c r="B4888" s="6" t="s">
        <v>6142</v>
      </c>
      <c r="C4888" s="5" t="str">
        <f>IFERROR(__xludf.DUMMYFUNCTION("GOOGLETRANSLATE(B4888,""en"",""zh-CN"")"),"序列仍在继续，其他几名男子互相战斗并互相给予伤人。")</f>
        <v>序列仍在继续，其他几名男子互相战斗并互相给予伤人。</v>
      </c>
    </row>
    <row r="4889">
      <c r="A4889" s="4" t="s">
        <v>6138</v>
      </c>
      <c r="B4889" s="6" t="s">
        <v>6143</v>
      </c>
      <c r="C4889" s="5" t="str">
        <f>IFERROR(__xludf.DUMMYFUNCTION("GOOGLETRANSLATE(B4889,""en"",""zh-CN"")"),"比赛完成后，显示了两个男人坐在桌子上，上面有一个电话号码。")</f>
        <v>比赛完成后，显示了两个男人坐在桌子上，上面有一个电话号码。</v>
      </c>
    </row>
    <row r="4890">
      <c r="A4890" s="4" t="s">
        <v>6144</v>
      </c>
      <c r="B4890" s="4" t="s">
        <v>6145</v>
      </c>
      <c r="C4890" s="5" t="str">
        <f>IFERROR(__xludf.DUMMYFUNCTION("GOOGLETRANSLATE(B4890,""en"",""zh-CN"")"),"一个男人在水槽里洗手。")</f>
        <v>一个男人在水槽里洗手。</v>
      </c>
    </row>
    <row r="4891">
      <c r="A4891" s="4" t="s">
        <v>6144</v>
      </c>
      <c r="B4891" s="4" t="s">
        <v>6146</v>
      </c>
      <c r="C4891" s="5" t="str">
        <f>IFERROR(__xludf.DUMMYFUNCTION("GOOGLETRANSLATE(B4891,""en"",""zh-CN"")"),"他拿起黄色的抹布，清洁水槽和水龙头。")</f>
        <v>他拿起黄色的抹布，清洁水槽和水龙头。</v>
      </c>
    </row>
    <row r="4892">
      <c r="A4892" s="4" t="s">
        <v>6144</v>
      </c>
      <c r="B4892" s="4" t="s">
        <v>6147</v>
      </c>
      <c r="C4892" s="5" t="str">
        <f>IFERROR(__xludf.DUMMYFUNCTION("GOOGLETRANSLATE(B4892,""en"",""zh-CN"")"),"显示了一瓶白瓶清洁剂。")</f>
        <v>显示了一瓶白瓶清洁剂。</v>
      </c>
    </row>
    <row r="4893">
      <c r="A4893" s="4" t="s">
        <v>6148</v>
      </c>
      <c r="B4893" s="4" t="s">
        <v>6149</v>
      </c>
      <c r="C4893" s="5" t="str">
        <f>IFERROR(__xludf.DUMMYFUNCTION("GOOGLETRANSLATE(B4893,""en"",""zh-CN"")"),"一个女孩在海滩上戴着比基尼的一个女孩，在球上坐着几个坐着固定头发。")</f>
        <v>一个女孩在海滩上戴着比基尼的一个女孩，在球上坐着几个坐着固定头发。</v>
      </c>
    </row>
    <row r="4894">
      <c r="A4894" s="4" t="s">
        <v>6148</v>
      </c>
      <c r="B4894" s="4" t="s">
        <v>6150</v>
      </c>
      <c r="C4894" s="5" t="str">
        <f>IFERROR(__xludf.DUMMYFUNCTION("GOOGLETRANSLATE(B4894,""en"",""zh-CN"")"),"她在镜头微笑时继续进行练习。")</f>
        <v>她在镜头微笑时继续进行练习。</v>
      </c>
    </row>
    <row r="4895">
      <c r="A4895" s="4" t="s">
        <v>6151</v>
      </c>
      <c r="B4895" s="4" t="s">
        <v>6152</v>
      </c>
      <c r="C4895" s="5" t="str">
        <f>IFERROR(__xludf.DUMMYFUNCTION("GOOGLETRANSLATE(B4895,""en"",""zh-CN"")"),"一个男人的背部称重，然后跪在地板上。")</f>
        <v>一个男人的背部称重，然后跪在地板上。</v>
      </c>
    </row>
    <row r="4896">
      <c r="A4896" s="4" t="s">
        <v>6151</v>
      </c>
      <c r="B4896" s="4" t="s">
        <v>6153</v>
      </c>
      <c r="C4896" s="5" t="str">
        <f>IFERROR(__xludf.DUMMYFUNCTION("GOOGLETRANSLATE(B4896,""en"",""zh-CN"")"),"之后，他从地板上跳下来站立，而称重在他的背上。")</f>
        <v>之后，他从地板上跳下来站立，而称重在他的背上。</v>
      </c>
    </row>
    <row r="4897">
      <c r="A4897" s="4" t="s">
        <v>6154</v>
      </c>
      <c r="B4897" s="4" t="s">
        <v>6155</v>
      </c>
      <c r="C4897" s="5" t="str">
        <f>IFERROR(__xludf.DUMMYFUNCTION("GOOGLETRANSLATE(B4897,""en"",""zh-CN"")"),"一个女人演示了如何从礼品店柜台后面正确包裹礼物。")</f>
        <v>一个女人演示了如何从礼品店柜台后面正确包裹礼物。</v>
      </c>
    </row>
    <row r="4898">
      <c r="A4898" s="4" t="s">
        <v>6154</v>
      </c>
      <c r="B4898" s="6" t="s">
        <v>6156</v>
      </c>
      <c r="C4898" s="5" t="str">
        <f>IFERROR(__xludf.DUMMYFUNCTION("GOOGLETRANSLATE(B4898,""en"",""zh-CN"")"),"一名妇女站在销售柜台后面，在几种包装的礼物和礼物包装材料前面。")</f>
        <v>一名妇女站在销售柜台后面，在几种包装的礼物和礼物包装材料前面。</v>
      </c>
    </row>
    <row r="4899">
      <c r="A4899" s="4" t="s">
        <v>6154</v>
      </c>
      <c r="B4899" s="4" t="s">
        <v>6157</v>
      </c>
      <c r="C4899" s="5" t="str">
        <f>IFERROR(__xludf.DUMMYFUNCTION("GOOGLETRANSLATE(B4899,""en"",""zh-CN"")"),"礼物包装材料坐在柜台上，包括礼品包装，剪刀和缎带。")</f>
        <v>礼物包装材料坐在柜台上，包括礼品包装，剪刀和缎带。</v>
      </c>
    </row>
    <row r="4900">
      <c r="A4900" s="4" t="s">
        <v>6154</v>
      </c>
      <c r="B4900" s="6" t="s">
        <v>6158</v>
      </c>
      <c r="C4900" s="5" t="str">
        <f>IFERROR(__xludf.DUMMYFUNCTION("GOOGLETRANSLATE(B4900,""en"",""zh-CN"")"),"该名女子与相机交谈，并开始用一对剪刀将盒子用礼物包裹纸包裹，以切割礼物包装纸和清除胶带，以胶带包装纸的边缘。")</f>
        <v>该名女子与相机交谈，并开始用一对剪刀将盒子用礼物包裹纸包裹，以切割礼物包装纸和清除胶带，以胶带包装纸的边缘。</v>
      </c>
    </row>
    <row r="4901">
      <c r="A4901" s="4" t="s">
        <v>6154</v>
      </c>
      <c r="B4901" s="6" t="s">
        <v>6159</v>
      </c>
      <c r="C4901" s="5" t="str">
        <f>IFERROR(__xludf.DUMMYFUNCTION("GOOGLETRANSLATE(B4901,""en"",""zh-CN"")"),"然后，该名女子用最后的缎带包裹礼物，相机在饰面上关闭，包裹着产品。")</f>
        <v>然后，该名女子用最后的缎带包裹礼物，相机在饰面上关闭，包裹着产品。</v>
      </c>
    </row>
    <row r="4902">
      <c r="A4902" s="4" t="s">
        <v>6160</v>
      </c>
      <c r="B4902" s="4" t="s">
        <v>6161</v>
      </c>
      <c r="C4902" s="5" t="str">
        <f>IFERROR(__xludf.DUMMYFUNCTION("GOOGLETRANSLATE(B4902,""en"",""zh-CN"")"),"一个穿着蓝色衬衫的沉重男人正在玩袋子管。")</f>
        <v>一个穿着蓝色衬衫的沉重男人正在玩袋子管。</v>
      </c>
    </row>
    <row r="4903">
      <c r="A4903" s="4" t="s">
        <v>6160</v>
      </c>
      <c r="B4903" s="4" t="s">
        <v>6162</v>
      </c>
      <c r="C4903" s="5" t="str">
        <f>IFERROR(__xludf.DUMMYFUNCTION("GOOGLETRANSLATE(B4903,""en"",""zh-CN"")"),"他用手指做笔记的同时吹进烟斗。")</f>
        <v>他用手指做笔记的同时吹进烟斗。</v>
      </c>
    </row>
    <row r="4904">
      <c r="A4904" s="4" t="s">
        <v>6160</v>
      </c>
      <c r="B4904" s="4" t="s">
        <v>6163</v>
      </c>
      <c r="C4904" s="5" t="str">
        <f>IFERROR(__xludf.DUMMYFUNCTION("GOOGLETRANSLATE(B4904,""en"",""zh-CN"")"),"他玩耍时稍微跳舞。")</f>
        <v>他玩耍时稍微跳舞。</v>
      </c>
    </row>
    <row r="4905">
      <c r="A4905" s="4" t="s">
        <v>6160</v>
      </c>
      <c r="B4905" s="4" t="s">
        <v>6164</v>
      </c>
      <c r="C4905" s="5" t="str">
        <f>IFERROR(__xludf.DUMMYFUNCTION("GOOGLETRANSLATE(B4905,""en"",""zh-CN"")"),"他调整了袋管，并继续播放。")</f>
        <v>他调整了袋管，并继续播放。</v>
      </c>
    </row>
    <row r="4906">
      <c r="A4906" s="4" t="s">
        <v>6160</v>
      </c>
      <c r="B4906" s="4" t="s">
        <v>6165</v>
      </c>
      <c r="C4906" s="5" t="str">
        <f>IFERROR(__xludf.DUMMYFUNCTION("GOOGLETRANSLATE(B4906,""en"",""zh-CN"")"),"他完成了自己的歌曲，并伸手关闭相机。")</f>
        <v>他完成了自己的歌曲，并伸手关闭相机。</v>
      </c>
    </row>
    <row r="4907">
      <c r="A4907" s="4" t="s">
        <v>6166</v>
      </c>
      <c r="B4907" s="4" t="s">
        <v>6167</v>
      </c>
      <c r="C4907" s="5" t="str">
        <f>IFERROR(__xludf.DUMMYFUNCTION("GOOGLETRANSLATE(B4907,""en"",""zh-CN"")"),"一个男人坐在手术面具上。")</f>
        <v>一个男人坐在手术面具上。</v>
      </c>
    </row>
    <row r="4908">
      <c r="A4908" s="4" t="s">
        <v>6166</v>
      </c>
      <c r="B4908" s="4" t="s">
        <v>6168</v>
      </c>
      <c r="C4908" s="5" t="str">
        <f>IFERROR(__xludf.DUMMYFUNCTION("GOOGLETRANSLATE(B4908,""en"",""zh-CN"")"),"他正在割柠檬。")</f>
        <v>他正在割柠檬。</v>
      </c>
    </row>
    <row r="4909">
      <c r="A4909" s="4" t="s">
        <v>6169</v>
      </c>
      <c r="B4909" s="4" t="s">
        <v>6170</v>
      </c>
      <c r="C4909" s="5" t="str">
        <f>IFERROR(__xludf.DUMMYFUNCTION("GOOGLETRANSLATE(B4909,""en"",""zh-CN"")"),"显示了视频的标题和积分。")</f>
        <v>显示了视频的标题和积分。</v>
      </c>
    </row>
    <row r="4910">
      <c r="A4910" s="4" t="s">
        <v>6169</v>
      </c>
      <c r="B4910" s="4" t="s">
        <v>6171</v>
      </c>
      <c r="C4910" s="5" t="str">
        <f>IFERROR(__xludf.DUMMYFUNCTION("GOOGLETRANSLATE(B4910,""en"",""zh-CN"")"),"一个人骑着自行车沿着一条路上的汽车在后台骑自行车。")</f>
        <v>一个人骑着自行车沿着一条路上的汽车在后台骑自行车。</v>
      </c>
    </row>
    <row r="4911">
      <c r="A4911" s="4" t="s">
        <v>6169</v>
      </c>
      <c r="B4911" s="4" t="s">
        <v>6172</v>
      </c>
      <c r="C4911" s="5" t="str">
        <f>IFERROR(__xludf.DUMMYFUNCTION("GOOGLETRANSLATE(B4911,""en"",""zh-CN"")"),"该男子分解并修理自行车。")</f>
        <v>该男子分解并修理自行车。</v>
      </c>
    </row>
    <row r="4912">
      <c r="A4912" s="4" t="s">
        <v>6169</v>
      </c>
      <c r="B4912" s="4" t="s">
        <v>6173</v>
      </c>
      <c r="C4912" s="5" t="str">
        <f>IFERROR(__xludf.DUMMYFUNCTION("GOOGLETRANSLATE(B4912,""en"",""zh-CN"")"),"该男子骑自行车沿着石头铺路。")</f>
        <v>该男子骑自行车沿着石头铺路。</v>
      </c>
    </row>
    <row r="4913">
      <c r="A4913" s="4" t="s">
        <v>6169</v>
      </c>
      <c r="B4913" s="4" t="s">
        <v>6174</v>
      </c>
      <c r="C4913" s="5" t="str">
        <f>IFERROR(__xludf.DUMMYFUNCTION("GOOGLETRANSLATE(B4913,""en"",""zh-CN"")"),"该男子沿着停放的汽车沿着一条道路骑自行车。")</f>
        <v>该男子沿着停放的汽车沿着一条道路骑自行车。</v>
      </c>
    </row>
    <row r="4914">
      <c r="A4914" s="4" t="s">
        <v>6175</v>
      </c>
      <c r="B4914" s="4" t="s">
        <v>6176</v>
      </c>
      <c r="C4914" s="5" t="str">
        <f>IFERROR(__xludf.DUMMYFUNCTION("GOOGLETRANSLATE(B4914,""en"",""zh-CN"")"),"一个男人在麦克风上说话。")</f>
        <v>一个男人在麦克风上说话。</v>
      </c>
    </row>
    <row r="4915">
      <c r="A4915" s="4" t="s">
        <v>6175</v>
      </c>
      <c r="B4915" s="4" t="s">
        <v>6177</v>
      </c>
      <c r="C4915" s="5" t="str">
        <f>IFERROR(__xludf.DUMMYFUNCTION("GOOGLETRANSLATE(B4915,""en"",""zh-CN"")"),"突然，一个男人跳到一个人的脖子上，把他扔到地板上。")</f>
        <v>突然，一个男人跳到一个人的脖子上，把他扔到地板上。</v>
      </c>
    </row>
    <row r="4916">
      <c r="A4916" s="4" t="s">
        <v>6175</v>
      </c>
      <c r="B4916" s="4" t="s">
        <v>6178</v>
      </c>
      <c r="C4916" s="5" t="str">
        <f>IFERROR(__xludf.DUMMYFUNCTION("GOOGLETRANSLATE(B4916,""en"",""zh-CN"")"),"其他男人参加摔跤比赛，一个人跳跃并登陆摔跤戒指的边界。")</f>
        <v>其他男人参加摔跤比赛，一个人跳跃并登陆摔跤戒指的边界。</v>
      </c>
    </row>
    <row r="4917">
      <c r="A4917" s="4" t="s">
        <v>6175</v>
      </c>
      <c r="B4917" s="4" t="s">
        <v>6179</v>
      </c>
      <c r="C4917" s="5" t="str">
        <f>IFERROR(__xludf.DUMMYFUNCTION("GOOGLETRANSLATE(B4917,""en"",""zh-CN"")"),"摔跤手在法官观看时跳到一个男人的后面，颠倒了。")</f>
        <v>摔跤手在法官观看时跳到一个男人的后面，颠倒了。</v>
      </c>
    </row>
    <row r="4918">
      <c r="A4918" s="4" t="s">
        <v>6175</v>
      </c>
      <c r="B4918" s="4" t="s">
        <v>6180</v>
      </c>
      <c r="C4918" s="5" t="str">
        <f>IFERROR(__xludf.DUMMYFUNCTION("GOOGLETRANSLATE(B4918,""en"",""zh-CN"")"),"一个大个子踢另一个摔跤手，然后抓住他的头扔到地板上。")</f>
        <v>一个大个子踢另一个摔跤手，然后抓住他的头扔到地板上。</v>
      </c>
    </row>
    <row r="4919">
      <c r="A4919" s="4" t="s">
        <v>6175</v>
      </c>
      <c r="B4919" s="4" t="s">
        <v>6181</v>
      </c>
      <c r="C4919" s="5" t="str">
        <f>IFERROR(__xludf.DUMMYFUNCTION("GOOGLETRANSLATE(B4919,""en"",""zh-CN"")"),"一个孩子和一个人跳来跳去庆祝。")</f>
        <v>一个孩子和一个人跳来跳去庆祝。</v>
      </c>
    </row>
    <row r="4920">
      <c r="A4920" s="4" t="s">
        <v>6182</v>
      </c>
      <c r="B4920" s="4" t="s">
        <v>6183</v>
      </c>
      <c r="C4920" s="5" t="str">
        <f>IFERROR(__xludf.DUMMYFUNCTION("GOOGLETRANSLATE(B4920,""en"",""zh-CN"")"),"羊皮纸放在烤盘上。")</f>
        <v>羊皮纸放在烤盘上。</v>
      </c>
    </row>
    <row r="4921">
      <c r="A4921" s="4" t="s">
        <v>6182</v>
      </c>
      <c r="B4921" s="4" t="s">
        <v>6184</v>
      </c>
      <c r="C4921" s="5" t="str">
        <f>IFERROR(__xludf.DUMMYFUNCTION("GOOGLETRANSLATE(B4921,""en"",""zh-CN"")"),"柔软的黄油放在搅拌碗中。")</f>
        <v>柔软的黄油放在搅拌碗中。</v>
      </c>
    </row>
    <row r="4922">
      <c r="A4922" s="4" t="s">
        <v>6182</v>
      </c>
      <c r="B4922" s="4" t="s">
        <v>6185</v>
      </c>
      <c r="C4922" s="5" t="str">
        <f>IFERROR(__xludf.DUMMYFUNCTION("GOOGLETRANSLATE(B4922,""en"",""zh-CN"")"),"然后，搅拌机开始奶油黄油。")</f>
        <v>然后，搅拌机开始奶油黄油。</v>
      </c>
    </row>
    <row r="4923">
      <c r="A4923" s="4" t="s">
        <v>6182</v>
      </c>
      <c r="B4923" s="4" t="s">
        <v>6186</v>
      </c>
      <c r="C4923" s="5" t="str">
        <f>IFERROR(__xludf.DUMMYFUNCTION("GOOGLETRANSLATE(B4923,""en"",""zh-CN"")"),"将糖添加到搅拌碗中以殴打。")</f>
        <v>将糖添加到搅拌碗中以殴打。</v>
      </c>
    </row>
    <row r="4924">
      <c r="A4924" s="4" t="s">
        <v>6182</v>
      </c>
      <c r="B4924" s="4" t="s">
        <v>6187</v>
      </c>
      <c r="C4924" s="5" t="str">
        <f>IFERROR(__xludf.DUMMYFUNCTION("GOOGLETRANSLATE(B4924,""en"",""zh-CN"")"),"测量面粉，并与玉米淀粉混合，然后将其测量，然后将其混合到碗中。")</f>
        <v>测量面粉，并与玉米淀粉混合，然后将其测量，然后将其混合到碗中。</v>
      </c>
    </row>
    <row r="4925">
      <c r="A4925" s="4" t="s">
        <v>6182</v>
      </c>
      <c r="B4925" s="4" t="s">
        <v>6188</v>
      </c>
      <c r="C4925" s="5" t="str">
        <f>IFERROR(__xludf.DUMMYFUNCTION("GOOGLETRANSLATE(B4925,""en"",""zh-CN"")"),"面团通过勺子测量，卷起并放在烤盘上。")</f>
        <v>面团通过勺子测量，卷起并放在烤盘上。</v>
      </c>
    </row>
    <row r="4926">
      <c r="A4926" s="4" t="s">
        <v>6182</v>
      </c>
      <c r="B4926" s="4" t="s">
        <v>6189</v>
      </c>
      <c r="C4926" s="5" t="str">
        <f>IFERROR(__xludf.DUMMYFUNCTION("GOOGLETRANSLATE(B4926,""en"",""zh-CN"")"),"面团被扁平并烘烤成饼干。")</f>
        <v>面团被扁平并烘烤成饼干。</v>
      </c>
    </row>
    <row r="4927">
      <c r="A4927" s="4" t="s">
        <v>6182</v>
      </c>
      <c r="B4927" s="4" t="s">
        <v>6190</v>
      </c>
      <c r="C4927" s="5" t="str">
        <f>IFERROR(__xludf.DUMMYFUNCTION("GOOGLETRANSLATE(B4927,""en"",""zh-CN"")"),"然后将饼干放在烤盘上，然后架子与刮刀冷却。")</f>
        <v>然后将饼干放在烤盘上，然后架子与刮刀冷却。</v>
      </c>
    </row>
    <row r="4928">
      <c r="A4928" s="4" t="s">
        <v>6182</v>
      </c>
      <c r="B4928" s="4" t="s">
        <v>6191</v>
      </c>
      <c r="C4928" s="5" t="str">
        <f>IFERROR(__xludf.DUMMYFUNCTION("GOOGLETRANSLATE(B4928,""en"",""zh-CN"")"),"饼干被冷却以享用。")</f>
        <v>饼干被冷却以享用。</v>
      </c>
    </row>
    <row r="4929">
      <c r="A4929" s="4" t="s">
        <v>6192</v>
      </c>
      <c r="B4929" s="4" t="s">
        <v>6193</v>
      </c>
      <c r="C4929" s="5" t="str">
        <f>IFERROR(__xludf.DUMMYFUNCTION("GOOGLETRANSLATE(B4929,""en"",""zh-CN"")"),"酒保正在酒吧后面说话。")</f>
        <v>酒保正在酒吧后面说话。</v>
      </c>
    </row>
    <row r="4930">
      <c r="A4930" s="4" t="s">
        <v>6192</v>
      </c>
      <c r="B4930" s="4" t="s">
        <v>6194</v>
      </c>
      <c r="C4930" s="5" t="str">
        <f>IFERROR(__xludf.DUMMYFUNCTION("GOOGLETRANSLATE(B4930,""en"",""zh-CN"")"),"他表明自己做了几种不同的饮料。")</f>
        <v>他表明自己做了几种不同的饮料。</v>
      </c>
    </row>
    <row r="4931">
      <c r="A4931" s="4" t="s">
        <v>6192</v>
      </c>
      <c r="B4931" s="4" t="s">
        <v>6195</v>
      </c>
      <c r="C4931" s="5" t="str">
        <f>IFERROR(__xludf.DUMMYFUNCTION("GOOGLETRANSLATE(B4931,""en"",""zh-CN"")"),"然后，他被证明是制作特定的红色饮料，将其搅拌到玻璃杯中。")</f>
        <v>然后，他被证明是制作特定的红色饮料，将其搅拌到玻璃杯中。</v>
      </c>
    </row>
    <row r="4932">
      <c r="A4932" s="4" t="s">
        <v>6196</v>
      </c>
      <c r="B4932" s="4" t="s">
        <v>6197</v>
      </c>
      <c r="C4932" s="5" t="str">
        <f>IFERROR(__xludf.DUMMYFUNCTION("GOOGLETRANSLATE(B4932,""en"",""zh-CN"")"),"两个Tam Tams在客厅里。")</f>
        <v>两个Tam Tams在客厅里。</v>
      </c>
    </row>
    <row r="4933">
      <c r="A4933" s="4" t="s">
        <v>6196</v>
      </c>
      <c r="B4933" s="4" t="s">
        <v>6198</v>
      </c>
      <c r="C4933" s="5" t="str">
        <f>IFERROR(__xludf.DUMMYFUNCTION("GOOGLETRANSLATE(B4933,""en"",""zh-CN"")"),"然后，一个男人来了，在Tam Tams的前面谈话。")</f>
        <v>然后，一个男人来了，在Tam Tams的前面谈话。</v>
      </c>
    </row>
    <row r="4934">
      <c r="A4934" s="4" t="s">
        <v>6196</v>
      </c>
      <c r="B4934" s="4" t="s">
        <v>6199</v>
      </c>
      <c r="C4934" s="5" t="str">
        <f>IFERROR(__xludf.DUMMYFUNCTION("GOOGLETRANSLATE(B4934,""en"",""zh-CN"")"),"之后，该名男子在客厅里扮演Tam Tam。")</f>
        <v>之后，该名男子在客厅里扮演Tam Tam。</v>
      </c>
    </row>
    <row r="4935">
      <c r="A4935" s="4" t="s">
        <v>6200</v>
      </c>
      <c r="B4935" s="4" t="s">
        <v>6201</v>
      </c>
      <c r="C4935" s="5" t="str">
        <f>IFERROR(__xludf.DUMMYFUNCTION("GOOGLETRANSLATE(B4935,""en"",""zh-CN"")"),"码头上的一个男人将绳子交给滑水者。")</f>
        <v>码头上的一个男人将绳子交给滑水者。</v>
      </c>
    </row>
    <row r="4936">
      <c r="A4936" s="4" t="s">
        <v>6200</v>
      </c>
      <c r="B4936" s="4" t="s">
        <v>6202</v>
      </c>
      <c r="C4936" s="5" t="str">
        <f>IFERROR(__xludf.DUMMYFUNCTION("GOOGLETRANSLATE(B4936,""en"",""zh-CN"")"),"一个人滑水，确实跳过了湖水中的坡道。")</f>
        <v>一个人滑水，确实跳过了湖水中的坡道。</v>
      </c>
    </row>
    <row r="4937">
      <c r="A4937" s="4" t="s">
        <v>6200</v>
      </c>
      <c r="B4937" s="4" t="s">
        <v>6203</v>
      </c>
      <c r="C4937" s="5" t="str">
        <f>IFERROR(__xludf.DUMMYFUNCTION("GOOGLETRANSLATE(B4937,""en"",""zh-CN"")"),"滑水者跌落，但恢复了，然后放开绳索，漂流到海岸线。")</f>
        <v>滑水者跌落，但恢复了，然后放开绳索，漂流到海岸线。</v>
      </c>
    </row>
    <row r="4938">
      <c r="A4938" s="4" t="s">
        <v>6204</v>
      </c>
      <c r="B4938" s="4" t="s">
        <v>6205</v>
      </c>
      <c r="C4938" s="5" t="str">
        <f>IFERROR(__xludf.DUMMYFUNCTION("GOOGLETRANSLATE(B4938,""en"",""zh-CN"")"),"我们看到一个人走过去，坐在划船机上。")</f>
        <v>我们看到一个人走过去，坐在划船机上。</v>
      </c>
    </row>
    <row r="4939">
      <c r="A4939" s="4" t="s">
        <v>6204</v>
      </c>
      <c r="B4939" s="4" t="s">
        <v>6206</v>
      </c>
      <c r="C4939" s="5" t="str">
        <f>IFERROR(__xludf.DUMMYFUNCTION("GOOGLETRANSLATE(B4939,""en"",""zh-CN"")"),"那个男人从水中喝酒。")</f>
        <v>那个男人从水中喝酒。</v>
      </c>
    </row>
    <row r="4940">
      <c r="A4940" s="4" t="s">
        <v>6204</v>
      </c>
      <c r="B4940" s="4" t="s">
        <v>6207</v>
      </c>
      <c r="C4940" s="5" t="str">
        <f>IFERROR(__xludf.DUMMYFUNCTION("GOOGLETRANSLATE(B4940,""en"",""zh-CN"")"),"该人在机器上行。")</f>
        <v>该人在机器上行。</v>
      </c>
    </row>
    <row r="4941">
      <c r="A4941" s="4" t="s">
        <v>6204</v>
      </c>
      <c r="B4941" s="4" t="s">
        <v>6208</v>
      </c>
      <c r="C4941" s="5" t="str">
        <f>IFERROR(__xludf.DUMMYFUNCTION("GOOGLETRANSLATE(B4941,""en"",""zh-CN"")"),"我们看到标题屏幕。")</f>
        <v>我们看到标题屏幕。</v>
      </c>
    </row>
    <row r="4942">
      <c r="A4942" s="4" t="s">
        <v>6204</v>
      </c>
      <c r="B4942" s="4" t="s">
        <v>6209</v>
      </c>
      <c r="C4942" s="5" t="str">
        <f>IFERROR(__xludf.DUMMYFUNCTION("GOOGLETRANSLATE(B4942,""en"",""zh-CN"")"),"我们看到男人停止划船，走路并拿到相机。")</f>
        <v>我们看到男人停止划船，走路并拿到相机。</v>
      </c>
    </row>
    <row r="4943">
      <c r="A4943" s="4" t="s">
        <v>6204</v>
      </c>
      <c r="B4943" s="4" t="s">
        <v>6210</v>
      </c>
      <c r="C4943" s="5" t="str">
        <f>IFERROR(__xludf.DUMMYFUNCTION("GOOGLETRANSLATE(B4943,""en"",""zh-CN"")"),"然后，该男子在划船机上显示屏幕。")</f>
        <v>然后，该男子在划船机上显示屏幕。</v>
      </c>
    </row>
    <row r="4944">
      <c r="A4944" s="4" t="s">
        <v>6204</v>
      </c>
      <c r="B4944" s="4" t="s">
        <v>6211</v>
      </c>
      <c r="C4944" s="5" t="str">
        <f>IFERROR(__xludf.DUMMYFUNCTION("GOOGLETRANSLATE(B4944,""en"",""zh-CN"")"),"那个男人亲吻他的手指，相机掉到了地上。")</f>
        <v>那个男人亲吻他的手指，相机掉到了地上。</v>
      </c>
    </row>
    <row r="4945">
      <c r="A4945" s="4" t="s">
        <v>6212</v>
      </c>
      <c r="B4945" s="4" t="s">
        <v>6213</v>
      </c>
      <c r="C4945" s="5" t="str">
        <f>IFERROR(__xludf.DUMMYFUNCTION("GOOGLETRANSLATE(B4945,""en"",""zh-CN"")"),"一个人站在企业徽标前并讨论。")</f>
        <v>一个人站在企业徽标前并讨论。</v>
      </c>
    </row>
    <row r="4946">
      <c r="A4946" s="4" t="s">
        <v>6212</v>
      </c>
      <c r="B4946" s="4" t="s">
        <v>6214</v>
      </c>
      <c r="C4946" s="5" t="str">
        <f>IFERROR(__xludf.DUMMYFUNCTION("GOOGLETRANSLATE(B4946,""en"",""zh-CN"")"),"一个骑手转弯，将脚放在泥土中稳定下来。")</f>
        <v>一个骑手转弯，将脚放在泥土中稳定下来。</v>
      </c>
    </row>
    <row r="4947">
      <c r="A4947" s="4" t="s">
        <v>6212</v>
      </c>
      <c r="B4947" s="4" t="s">
        <v>6215</v>
      </c>
      <c r="C4947" s="5" t="str">
        <f>IFERROR(__xludf.DUMMYFUNCTION("GOOGLETRANSLATE(B4947,""en"",""zh-CN"")"),"骑手从他的摩托车转弯就加速了。")</f>
        <v>骑手从他的摩托车转弯就加速了。</v>
      </c>
    </row>
    <row r="4948">
      <c r="A4948" s="4" t="s">
        <v>6212</v>
      </c>
      <c r="B4948" s="4" t="s">
        <v>6216</v>
      </c>
      <c r="C4948" s="5" t="str">
        <f>IFERROR(__xludf.DUMMYFUNCTION("GOOGLETRANSLATE(B4948,""en"",""zh-CN"")"),"骑手越过他的摩托车。")</f>
        <v>骑手越过他的摩托车。</v>
      </c>
    </row>
    <row r="4949">
      <c r="A4949" s="4" t="s">
        <v>6217</v>
      </c>
      <c r="B4949" s="4" t="s">
        <v>6218</v>
      </c>
      <c r="C4949" s="5" t="str">
        <f>IFERROR(__xludf.DUMMYFUNCTION("GOOGLETRANSLATE(B4949,""en"",""zh-CN"")"),"当他的主人试图抓住他时，一只猫正坐在地板上抬头。")</f>
        <v>当他的主人试图抓住他时，一只猫正坐在地板上抬头。</v>
      </c>
    </row>
    <row r="4950">
      <c r="A4950" s="4" t="s">
        <v>6217</v>
      </c>
      <c r="B4950" s="4" t="s">
        <v>6219</v>
      </c>
      <c r="C4950" s="5" t="str">
        <f>IFERROR(__xludf.DUMMYFUNCTION("GOOGLETRANSLATE(B4950,""en"",""zh-CN"")"),"主人接他，和他一起坐下，开始夹指甲。")</f>
        <v>主人接他，和他一起坐下，开始夹指甲。</v>
      </c>
    </row>
    <row r="4951">
      <c r="A4951" s="4" t="s">
        <v>6217</v>
      </c>
      <c r="B4951" s="4" t="s">
        <v>6220</v>
      </c>
      <c r="C4951" s="5" t="str">
        <f>IFERROR(__xludf.DUMMYFUNCTION("GOOGLETRANSLATE(B4951,""en"",""zh-CN"")"),"猫正在四处移动尾巴，但没有艰难的时光。")</f>
        <v>猫正在四处移动尾巴，但没有艰难的时光。</v>
      </c>
    </row>
    <row r="4952">
      <c r="A4952" s="4" t="s">
        <v>6217</v>
      </c>
      <c r="B4952" s="6" t="s">
        <v>6221</v>
      </c>
      <c r="C4952" s="5" t="str">
        <f>IFERROR(__xludf.DUMMYFUNCTION("GOOGLETRANSLATE(B4952,""en"",""zh-CN"")"),"然后，主人开始揉肚子并用脚玩耍，然后将猫放回地。")</f>
        <v>然后，主人开始揉肚子并用脚玩耍，然后将猫放回地。</v>
      </c>
    </row>
    <row r="4953">
      <c r="A4953" s="4" t="s">
        <v>6222</v>
      </c>
      <c r="B4953" s="4" t="s">
        <v>6223</v>
      </c>
      <c r="C4953" s="5" t="str">
        <f>IFERROR(__xludf.DUMMYFUNCTION("GOOGLETRANSLATE(B4953,""en"",""zh-CN"")"),"我们看到男人在玩板球比赛。")</f>
        <v>我们看到男人在玩板球比赛。</v>
      </c>
    </row>
    <row r="4954">
      <c r="A4954" s="4" t="s">
        <v>6222</v>
      </c>
      <c r="B4954" s="4" t="s">
        <v>6224</v>
      </c>
      <c r="C4954" s="5" t="str">
        <f>IFERROR(__xludf.DUMMYFUNCTION("GOOGLETRANSLATE(B4954,""en"",""zh-CN"")"),"投手投掷，男人都开始奔跑。")</f>
        <v>投手投掷，男人都开始奔跑。</v>
      </c>
    </row>
    <row r="4955">
      <c r="A4955" s="4" t="s">
        <v>6222</v>
      </c>
      <c r="B4955" s="4" t="s">
        <v>6225</v>
      </c>
      <c r="C4955" s="5" t="str">
        <f>IFERROR(__xludf.DUMMYFUNCTION("GOOGLETRANSLATE(B4955,""en"",""zh-CN"")"),"我们看到一个男人躺在地上，周围有医务人员。")</f>
        <v>我们看到一个男人躺在地上，周围有医务人员。</v>
      </c>
    </row>
    <row r="4956">
      <c r="A4956" s="4" t="s">
        <v>6222</v>
      </c>
      <c r="B4956" s="4" t="s">
        <v>6226</v>
      </c>
      <c r="C4956" s="5" t="str">
        <f>IFERROR(__xludf.DUMMYFUNCTION("GOOGLETRANSLATE(B4956,""en"",""zh-CN"")"),"我们看到男人在田野上行走，一名医生在男人的头上放了一个冰袋。")</f>
        <v>我们看到男人在田野上行走，一名医生在男人的头上放了一个冰袋。</v>
      </c>
    </row>
    <row r="4957">
      <c r="A4957" s="4" t="s">
        <v>6222</v>
      </c>
      <c r="B4957" s="4" t="s">
        <v>6227</v>
      </c>
      <c r="C4957" s="5" t="str">
        <f>IFERROR(__xludf.DUMMYFUNCTION("GOOGLETRANSLATE(B4957,""en"",""zh-CN"")"),"我们以慢动作看到了伤害男人的碰撞。")</f>
        <v>我们以慢动作看到了伤害男人的碰撞。</v>
      </c>
    </row>
    <row r="4958">
      <c r="A4958" s="4" t="s">
        <v>6228</v>
      </c>
      <c r="B4958" s="4" t="s">
        <v>6229</v>
      </c>
      <c r="C4958" s="5" t="str">
        <f>IFERROR(__xludf.DUMMYFUNCTION("GOOGLETRANSLATE(B4958,""en"",""zh-CN"")"),"男人坐在客厅里和镜头说话。")</f>
        <v>男人坐在客厅里和镜头说话。</v>
      </c>
    </row>
    <row r="4959">
      <c r="A4959" s="4" t="s">
        <v>6228</v>
      </c>
      <c r="B4959" s="4" t="s">
        <v>6230</v>
      </c>
      <c r="C4959" s="5" t="str">
        <f>IFERROR(__xludf.DUMMYFUNCTION("GOOGLETRANSLATE(B4959,""en"",""zh-CN"")"),"男人开始玩笛子并保持谈话。")</f>
        <v>男人开始玩笛子并保持谈话。</v>
      </c>
    </row>
    <row r="4960">
      <c r="A4960" s="4" t="s">
        <v>6231</v>
      </c>
      <c r="B4960" s="4" t="s">
        <v>1251</v>
      </c>
      <c r="C4960" s="5" t="str">
        <f>IFERROR(__xludf.DUMMYFUNCTION("GOOGLETRANSLATE(B4960,""en"",""zh-CN"")"),"显示了剪辑的信用。")</f>
        <v>显示了剪辑的信用。</v>
      </c>
    </row>
    <row r="4961">
      <c r="A4961" s="4" t="s">
        <v>6231</v>
      </c>
      <c r="B4961" s="4" t="s">
        <v>6232</v>
      </c>
      <c r="C4961" s="5" t="str">
        <f>IFERROR(__xludf.DUMMYFUNCTION("GOOGLETRANSLATE(B4961,""en"",""zh-CN"")"),"男人用梯子上屋顶上工作。")</f>
        <v>男人用梯子上屋顶上工作。</v>
      </c>
    </row>
    <row r="4962">
      <c r="A4962" s="4" t="s">
        <v>6231</v>
      </c>
      <c r="B4962" s="4" t="s">
        <v>6233</v>
      </c>
      <c r="C4962" s="5" t="str">
        <f>IFERROR(__xludf.DUMMYFUNCTION("GOOGLETRANSLATE(B4962,""en"",""zh-CN"")"),"这些人在房子周围放了一个篷布。")</f>
        <v>这些人在房子周围放了一个篷布。</v>
      </c>
    </row>
    <row r="4963">
      <c r="A4963" s="4" t="s">
        <v>6231</v>
      </c>
      <c r="B4963" s="4" t="s">
        <v>6234</v>
      </c>
      <c r="C4963" s="5" t="str">
        <f>IFERROR(__xludf.DUMMYFUNCTION("GOOGLETRANSLATE(B4963,""en"",""zh-CN"")"),"这些人正在拆除屋顶碎片，然后扔到篷布上。")</f>
        <v>这些人正在拆除屋顶碎片，然后扔到篷布上。</v>
      </c>
    </row>
    <row r="4964">
      <c r="A4964" s="4" t="s">
        <v>6231</v>
      </c>
      <c r="B4964" s="4" t="s">
        <v>573</v>
      </c>
      <c r="C4964" s="5" t="str">
        <f>IFERROR(__xludf.DUMMYFUNCTION("GOOGLETRANSLATE(B4964,""en"",""zh-CN"")"),"显示了视频的积分。")</f>
        <v>显示了视频的积分。</v>
      </c>
    </row>
    <row r="4965">
      <c r="A4965" s="4" t="s">
        <v>6235</v>
      </c>
      <c r="B4965" s="4" t="s">
        <v>6236</v>
      </c>
      <c r="C4965" s="5" t="str">
        <f>IFERROR(__xludf.DUMMYFUNCTION("GOOGLETRANSLATE(B4965,""en"",""zh-CN"")"),"一个体操队练习涉及跳跃和翻转的例程。")</f>
        <v>一个体操队练习涉及跳跃和翻转的例程。</v>
      </c>
    </row>
    <row r="4966">
      <c r="A4966" s="4" t="s">
        <v>6235</v>
      </c>
      <c r="B4966" s="4" t="s">
        <v>6237</v>
      </c>
      <c r="C4966" s="5" t="str">
        <f>IFERROR(__xludf.DUMMYFUNCTION("GOOGLETRANSLATE(B4966,""en"",""zh-CN"")"),"然后，他们切换到外面的啦啦队。")</f>
        <v>然后，他们切换到外面的啦啦队。</v>
      </c>
    </row>
    <row r="4967">
      <c r="A4967" s="4" t="s">
        <v>6238</v>
      </c>
      <c r="B4967" s="4" t="s">
        <v>6239</v>
      </c>
      <c r="C4967" s="5" t="str">
        <f>IFERROR(__xludf.DUMMYFUNCTION("GOOGLETRANSLATE(B4967,""en"",""zh-CN"")"),"一个女人和一个男人在手臂摔跤比赛中互相战斗。")</f>
        <v>一个女人和一个男人在手臂摔跤比赛中互相战斗。</v>
      </c>
    </row>
    <row r="4968">
      <c r="A4968" s="4" t="s">
        <v>6238</v>
      </c>
      <c r="B4968" s="4" t="s">
        <v>6240</v>
      </c>
      <c r="C4968" s="5" t="str">
        <f>IFERROR(__xludf.DUMMYFUNCTION("GOOGLETRANSLATE(B4968,""en"",""zh-CN"")"),"她殴打他并展示她的肌肉。")</f>
        <v>她殴打他并展示她的肌肉。</v>
      </c>
    </row>
    <row r="4969">
      <c r="A4969" s="4" t="s">
        <v>6238</v>
      </c>
      <c r="B4969" s="4" t="s">
        <v>6241</v>
      </c>
      <c r="C4969" s="5" t="str">
        <f>IFERROR(__xludf.DUMMYFUNCTION("GOOGLETRANSLATE(B4969,""en"",""zh-CN"")"),"他们再次这样做，她再次获胜，并炫耀她的肌肉。")</f>
        <v>他们再次这样做，她再次获胜，并炫耀她的肌肉。</v>
      </c>
    </row>
    <row r="4970">
      <c r="A4970" s="4" t="s">
        <v>6242</v>
      </c>
      <c r="B4970" s="6" t="s">
        <v>6243</v>
      </c>
      <c r="C4970" s="5" t="str">
        <f>IFERROR(__xludf.DUMMYFUNCTION("GOOGLETRANSLATE(B4970,""en"",""zh-CN"")"),"看到一名女篮球教练指示一群站在篮球场上排队的女孩篮球运动员。")</f>
        <v>看到一名女篮球教练指示一群站在篮球场上排队的女孩篮球运动员。</v>
      </c>
    </row>
    <row r="4971">
      <c r="A4971" s="4" t="s">
        <v>6242</v>
      </c>
      <c r="B4971" s="4" t="s">
        <v>6244</v>
      </c>
      <c r="C4971" s="5" t="str">
        <f>IFERROR(__xludf.DUMMYFUNCTION("GOOGLETRANSLATE(B4971,""en"",""zh-CN"")"),"第一个女孩经过另一位教练，然后跑到网上上篮。")</f>
        <v>第一个女孩经过另一位教练，然后跑到网上上篮。</v>
      </c>
    </row>
    <row r="4972">
      <c r="A4972" s="4" t="s">
        <v>6242</v>
      </c>
      <c r="B4972" s="4" t="s">
        <v>6245</v>
      </c>
      <c r="C4972" s="5" t="str">
        <f>IFERROR(__xludf.DUMMYFUNCTION("GOOGLETRANSLATE(B4972,""en"",""zh-CN"")"),"女孩们继续在右侧进行演习。")</f>
        <v>女孩们继续在右侧进行演习。</v>
      </c>
    </row>
    <row r="4973">
      <c r="A4973" s="4" t="s">
        <v>6242</v>
      </c>
      <c r="B4973" s="4" t="s">
        <v>6246</v>
      </c>
      <c r="C4973" s="5" t="str">
        <f>IFERROR(__xludf.DUMMYFUNCTION("GOOGLETRANSLATE(B4973,""en"",""zh-CN"")"),"女孩们移到左侧，在球场左侧进行相同的演习。")</f>
        <v>女孩们移到左侧，在球场左侧进行相同的演习。</v>
      </c>
    </row>
    <row r="4974">
      <c r="A4974" s="4" t="s">
        <v>6247</v>
      </c>
      <c r="B4974" s="4" t="s">
        <v>6248</v>
      </c>
      <c r="C4974" s="5" t="str">
        <f>IFERROR(__xludf.DUMMYFUNCTION("GOOGLETRANSLATE(B4974,""en"",""zh-CN"")"),"女人站在屋顶的健身房举重。")</f>
        <v>女人站在屋顶的健身房举重。</v>
      </c>
    </row>
    <row r="4975">
      <c r="A4975" s="4" t="s">
        <v>6247</v>
      </c>
      <c r="B4975" s="4" t="s">
        <v>6249</v>
      </c>
      <c r="C4975" s="5" t="str">
        <f>IFERROR(__xludf.DUMMYFUNCTION("GOOGLETRANSLATE(B4975,""en"",""zh-CN"")"),"教练站在Gril旁边，教练她并帮助她。")</f>
        <v>教练站在Gril旁边，教练她并帮助她。</v>
      </c>
    </row>
    <row r="4976">
      <c r="A4976" s="4" t="s">
        <v>6247</v>
      </c>
      <c r="B4976" s="4" t="s">
        <v>6250</v>
      </c>
      <c r="C4976" s="5" t="str">
        <f>IFERROR(__xludf.DUMMYFUNCTION("GOOGLETRANSLATE(B4976,""en"",""zh-CN"")"),"经过一些建议，该妇女再次举重。")</f>
        <v>经过一些建议，该妇女再次举重。</v>
      </c>
    </row>
    <row r="4977">
      <c r="A4977" s="4" t="s">
        <v>6251</v>
      </c>
      <c r="B4977" s="4" t="s">
        <v>6252</v>
      </c>
      <c r="C4977" s="5" t="str">
        <f>IFERROR(__xludf.DUMMYFUNCTION("GOOGLETRANSLATE(B4977,""en"",""zh-CN"")"),"一群孩子正在踢室内足球。")</f>
        <v>一群孩子正在踢室内足球。</v>
      </c>
    </row>
    <row r="4978">
      <c r="A4978" s="4" t="s">
        <v>6251</v>
      </c>
      <c r="B4978" s="4" t="s">
        <v>6253</v>
      </c>
      <c r="C4978" s="5" t="str">
        <f>IFERROR(__xludf.DUMMYFUNCTION("GOOGLETRANSLATE(B4978,""en"",""zh-CN"")"),"男孩们奔跑，追逐球，努力使球彼此远离。")</f>
        <v>男孩们奔跑，追逐球，努力使球彼此远离。</v>
      </c>
    </row>
    <row r="4979">
      <c r="A4979" s="4" t="s">
        <v>6251</v>
      </c>
      <c r="B4979" s="4" t="s">
        <v>6254</v>
      </c>
      <c r="C4979" s="5" t="str">
        <f>IFERROR(__xludf.DUMMYFUNCTION("GOOGLETRANSLATE(B4979,""en"",""zh-CN"")"),"一个男孩踢向对方球队的进球。")</f>
        <v>一个男孩踢向对方球队的进球。</v>
      </c>
    </row>
    <row r="4980">
      <c r="A4980" s="4" t="s">
        <v>6251</v>
      </c>
      <c r="B4980" s="4" t="s">
        <v>6255</v>
      </c>
      <c r="C4980" s="5" t="str">
        <f>IFERROR(__xludf.DUMMYFUNCTION("GOOGLETRANSLATE(B4980,""en"",""zh-CN"")"),"它以慢动作重播。")</f>
        <v>它以慢动作重播。</v>
      </c>
    </row>
    <row r="4981">
      <c r="A4981" s="4" t="s">
        <v>6251</v>
      </c>
      <c r="B4981" s="4" t="s">
        <v>6256</v>
      </c>
      <c r="C4981" s="5" t="str">
        <f>IFERROR(__xludf.DUMMYFUNCTION("GOOGLETRANSLATE(B4981,""en"",""zh-CN"")"),"男孩们继续在比赛的其余部分比赛。")</f>
        <v>男孩们继续在比赛的其余部分比赛。</v>
      </c>
    </row>
    <row r="4982">
      <c r="A4982" s="4" t="s">
        <v>6251</v>
      </c>
      <c r="B4982" s="4" t="s">
        <v>6257</v>
      </c>
      <c r="C4982" s="5" t="str">
        <f>IFERROR(__xludf.DUMMYFUNCTION("GOOGLETRANSLATE(B4982,""en"",""zh-CN"")"),"在最后的屏幕上，一个年长的男人抱着一个小男孩。")</f>
        <v>在最后的屏幕上，一个年长的男人抱着一个小男孩。</v>
      </c>
    </row>
    <row r="4983">
      <c r="A4983" s="4" t="s">
        <v>6258</v>
      </c>
      <c r="B4983" s="6" t="s">
        <v>6259</v>
      </c>
      <c r="C4983" s="5" t="str">
        <f>IFERROR(__xludf.DUMMYFUNCTION("GOOGLETRANSLATE(B4983,""en"",""zh-CN"")"),"一个女人坐在宝座上时在无绳电话上说话，而另一个女人则跪在她的脚上，用衣服将其擦掉。")</f>
        <v>一个女人坐在宝座上时在无绳电话上说话，而另一个女人则跪在她的脚上，用衣服将其擦掉。</v>
      </c>
    </row>
    <row r="4984">
      <c r="A4984" s="4" t="s">
        <v>6258</v>
      </c>
      <c r="B4984" s="6" t="s">
        <v>6260</v>
      </c>
      <c r="C4984" s="5" t="str">
        <f>IFERROR(__xludf.DUMMYFUNCTION("GOOGLETRANSLATE(B4984,""en"",""zh-CN"")"),"一个紫色纱丽的女人跪在另一个女人的脚下，她坐在金宝座上，戴着金冠，头发上有红色的羽毛。")</f>
        <v>一个紫色纱丽的女人跪在另一个女人的脚下，她坐在金宝座上，戴着金冠，头发上有红色的羽毛。</v>
      </c>
    </row>
    <row r="4985">
      <c r="A4985" s="4" t="s">
        <v>6258</v>
      </c>
      <c r="B4985" s="6" t="s">
        <v>6261</v>
      </c>
      <c r="C4985" s="5" t="str">
        <f>IFERROR(__xludf.DUMMYFUNCTION("GOOGLETRANSLATE(B4985,""en"",""zh-CN"")"),"宝座上的女人将脚伸到跪着的女人的前面，跪着的女人开始用纱丽擦拭女人的脚。")</f>
        <v>宝座上的女人将脚伸到跪着的女人的前面，跪着的女人开始用纱丽擦拭女人的脚。</v>
      </c>
    </row>
    <row r="4986">
      <c r="A4986" s="4" t="s">
        <v>6258</v>
      </c>
      <c r="B4986" s="6" t="s">
        <v>6262</v>
      </c>
      <c r="C4986" s="5" t="str">
        <f>IFERROR(__xludf.DUMMYFUNCTION("GOOGLETRANSLATE(B4986,""en"",""zh-CN"")"),"宝座上的那个女人打了个电话，用黑色无绳电话打来电话，然后开始说话，在现场终于淡入了另一个女人在电话上说话的模糊形象。")</f>
        <v>宝座上的那个女人打了个电话，用黑色无绳电话打来电话，然后开始说话，在现场终于淡入了另一个女人在电话上说话的模糊形象。</v>
      </c>
    </row>
    <row r="4987">
      <c r="A4987" s="4" t="s">
        <v>6263</v>
      </c>
      <c r="B4987" s="4" t="s">
        <v>6264</v>
      </c>
      <c r="C4987" s="5" t="str">
        <f>IFERROR(__xludf.DUMMYFUNCTION("GOOGLETRANSLATE(B4987,""en"",""zh-CN"")"),"一个男人站在智能汽车前说话。")</f>
        <v>一个男人站在智能汽车前说话。</v>
      </c>
    </row>
    <row r="4988">
      <c r="A4988" s="4" t="s">
        <v>6263</v>
      </c>
      <c r="B4988" s="4" t="s">
        <v>6265</v>
      </c>
      <c r="C4988" s="5" t="str">
        <f>IFERROR(__xludf.DUMMYFUNCTION("GOOGLETRANSLATE(B4988,""en"",""zh-CN"")"),"当他展示汽车的不同组成部分时，他继续讲话，包括行李箱。")</f>
        <v>当他展示汽车的不同组成部分时，他继续讲话，包括行李箱。</v>
      </c>
    </row>
    <row r="4989">
      <c r="A4989" s="4" t="s">
        <v>6263</v>
      </c>
      <c r="B4989" s="4" t="s">
        <v>6266</v>
      </c>
      <c r="C4989" s="5" t="str">
        <f>IFERROR(__xludf.DUMMYFUNCTION("GOOGLETRANSLATE(B4989,""en"",""zh-CN"")"),"该男子回到车前，最后用他的话完成。")</f>
        <v>该男子回到车前，最后用他的话完成。</v>
      </c>
    </row>
    <row r="4990">
      <c r="A4990" s="4" t="s">
        <v>6267</v>
      </c>
      <c r="B4990" s="6" t="s">
        <v>6268</v>
      </c>
      <c r="C4990" s="5" t="str">
        <f>IFERROR(__xludf.DUMMYFUNCTION("GOOGLETRANSLATE(B4990,""en"",""zh-CN"")"),"专业摔跤手凯文·欧文斯（Kevin Owens）在许多摔跤手上执行权力炸弹的汇编，在视频开始时，他以自信的外观进入建筑物，随着他继续进入，他执行了多个权力炸弹。")</f>
        <v>专业摔跤手凯文·欧文斯（Kevin Owens）在许多摔跤手上执行权力炸弹的汇编，在视频开始时，他以自信的外观进入建筑物，随着他继续进入，他执行了多个权力炸弹。</v>
      </c>
    </row>
    <row r="4991">
      <c r="A4991" s="4" t="s">
        <v>6267</v>
      </c>
      <c r="B4991" s="4" t="s">
        <v>6269</v>
      </c>
      <c r="C4991" s="5" t="str">
        <f>IFERROR(__xludf.DUMMYFUNCTION("GOOGLETRANSLATE(B4991,""en"",""zh-CN"")"),"视频的结尾有一个订户消息。")</f>
        <v>视频的结尾有一个订户消息。</v>
      </c>
    </row>
    <row r="4992">
      <c r="A4992" s="4" t="s">
        <v>6270</v>
      </c>
      <c r="B4992" s="4" t="s">
        <v>6271</v>
      </c>
      <c r="C4992" s="5" t="str">
        <f>IFERROR(__xludf.DUMMYFUNCTION("GOOGLETRANSLATE(B4992,""en"",""zh-CN"")"),"一个坐在办公室椅子上的男人坐在坐着某种类型的笔上。")</f>
        <v>一个坐在办公室椅子上的男人坐在坐着某种类型的笔上。</v>
      </c>
    </row>
    <row r="4993">
      <c r="A4993" s="4" t="s">
        <v>6270</v>
      </c>
      <c r="B4993" s="4" t="s">
        <v>6272</v>
      </c>
      <c r="C4993" s="5" t="str">
        <f>IFERROR(__xludf.DUMMYFUNCTION("GOOGLETRANSLATE(B4993,""en"",""zh-CN"")"),"他谈论了一会儿，然后将其放在嘴里，结果证明它是一个电子吊杆。")</f>
        <v>他谈论了一会儿，然后将其放在嘴里，结果证明它是一个电子吊杆。</v>
      </c>
    </row>
    <row r="4994">
      <c r="A4994" s="4" t="s">
        <v>6270</v>
      </c>
      <c r="B4994" s="4" t="s">
        <v>6273</v>
      </c>
      <c r="C4994" s="5" t="str">
        <f>IFERROR(__xludf.DUMMYFUNCTION("GOOGLETRANSLATE(B4994,""en"",""zh-CN"")"),"这是一项新技术，您可以像香烟一样吸烟。")</f>
        <v>这是一项新技术，您可以像香烟一样吸烟。</v>
      </c>
    </row>
    <row r="4995">
      <c r="A4995" s="4" t="s">
        <v>6270</v>
      </c>
      <c r="B4995" s="4" t="s">
        <v>6274</v>
      </c>
      <c r="C4995" s="5" t="str">
        <f>IFERROR(__xludf.DUMMYFUNCTION("GOOGLETRANSLATE(B4995,""en"",""zh-CN"")"),"他像香烟一样将其握在手中，然后将其放在嘴里，呼出烟雾。")</f>
        <v>他像香烟一样将其握在手中，然后将其放在嘴里，呼出烟雾。</v>
      </c>
    </row>
    <row r="4996">
      <c r="A4996" s="4" t="s">
        <v>6275</v>
      </c>
      <c r="B4996" s="6" t="s">
        <v>6276</v>
      </c>
      <c r="C4996" s="5" t="str">
        <f>IFERROR(__xludf.DUMMYFUNCTION("GOOGLETRANSLATE(B4996,""en"",""zh-CN"")"),"一个有深色头发和银色眼镜的女人抚摸着围绕着镜头，直到她的目光落在相机上，她对相机的存在感到惊讶，并开始与相机交谈。")</f>
        <v>一个有深色头发和银色眼镜的女人抚摸着围绕着镜头，直到她的目光落在相机上，她对相机的存在感到惊讶，并开始与相机交谈。</v>
      </c>
    </row>
    <row r="4997">
      <c r="A4997" s="4" t="s">
        <v>6275</v>
      </c>
      <c r="B4997" s="6" t="s">
        <v>6277</v>
      </c>
      <c r="C4997" s="5" t="str">
        <f>IFERROR(__xludf.DUMMYFUNCTION("GOOGLETRANSLATE(B4997,""en"",""zh-CN"")"),"该名女子开始将一双隐形眼镜和镜头溶液固定在相机上，然后继续将镜头拿出来，然后再次与摄像机进行交谈。")</f>
        <v>该名女子开始将一双隐形眼镜和镜头溶液固定在相机上，然后继续将镜头拿出来，然后再次与摄像机进行交谈。</v>
      </c>
    </row>
    <row r="4998">
      <c r="A4998" s="4" t="s">
        <v>6275</v>
      </c>
      <c r="B4998" s="6" t="s">
        <v>6278</v>
      </c>
      <c r="C4998" s="5" t="str">
        <f>IFERROR(__xludf.DUMMYFUNCTION("GOOGLETRANSLATE(B4998,""en"",""zh-CN"")"),"女人将溶液倒在她的手中，清洁手中的镜头，然后将其中的两个插入眼睛，并在说话时向相机表现出完全黑色的眼睛。")</f>
        <v>女人将溶液倒在她的手中，清洁手中的镜头，然后将其中的两个插入眼睛，并在说话时向相机表现出完全黑色的眼睛。</v>
      </c>
    </row>
    <row r="4999">
      <c r="A4999" s="4" t="s">
        <v>6275</v>
      </c>
      <c r="B4999" s="4" t="s">
        <v>6279</v>
      </c>
      <c r="C4999" s="5" t="str">
        <f>IFERROR(__xludf.DUMMYFUNCTION("GOOGLETRANSLATE(B4999,""en"",""zh-CN"")"),"然后，该名女子将接触从她的眼睛中取出，然后将它们放回淡出。")</f>
        <v>然后，该名女子将接触从她的眼睛中取出，然后将它们放回淡出。</v>
      </c>
    </row>
    <row r="5000">
      <c r="A5000" s="4" t="s">
        <v>6280</v>
      </c>
      <c r="B5000" s="6" t="s">
        <v>6281</v>
      </c>
      <c r="C5000" s="5" t="str">
        <f>IFERROR(__xludf.DUMMYFUNCTION("GOOGLETRANSLATE(B5000,""en"",""zh-CN"")"),"看到两个女孩在相机上说话，然后一个人将水果弄出并将其混合到搅拌机中。")</f>
        <v>看到两个女孩在相机上说话，然后一个人将水果弄出并将其混合到搅拌机中。</v>
      </c>
    </row>
    <row r="5001">
      <c r="A5001" s="4" t="s">
        <v>6280</v>
      </c>
      <c r="B5001" s="6" t="s">
        <v>6282</v>
      </c>
      <c r="C5001" s="5" t="str">
        <f>IFERROR(__xludf.DUMMYFUNCTION("GOOGLETRANSLATE(B5001,""en"",""zh-CN"")"),"女孩们继续将水果放入搅拌机中，同时咬一侧并将其推入搅拌机。")</f>
        <v>女孩们继续将水果放入搅拌机中，同时咬一侧并将其推入搅拌机。</v>
      </c>
    </row>
    <row r="5002">
      <c r="A5002" s="4" t="s">
        <v>6283</v>
      </c>
      <c r="B5002" s="6" t="s">
        <v>6284</v>
      </c>
      <c r="C5002" s="5" t="str">
        <f>IFERROR(__xludf.DUMMYFUNCTION("GOOGLETRANSLATE(B5002,""en"",""zh-CN"")"),"看到一群啦啦队立刻一起大喊大叫，并导致他们在大型观众面前表演例行活动。")</f>
        <v>看到一群啦啦队立刻一起大喊大叫，并导致他们在大型观众面前表演例行活动。</v>
      </c>
    </row>
    <row r="5003">
      <c r="A5003" s="4" t="s">
        <v>6283</v>
      </c>
      <c r="B5003" s="6" t="s">
        <v>6285</v>
      </c>
      <c r="C5003" s="5" t="str">
        <f>IFERROR(__xludf.DUMMYFUNCTION("GOOGLETRANSLATE(B5003,""en"",""zh-CN"")"),"人们继续在垫子上进行例行工作，同时进行各种翻转和窍门，并在观众欢呼时以舞台奔跑。")</f>
        <v>人们继续在垫子上进行例行工作，同时进行各种翻转和窍门，并在观众欢呼时以舞台奔跑。</v>
      </c>
    </row>
    <row r="5004">
      <c r="A5004" s="4" t="s">
        <v>6286</v>
      </c>
      <c r="B5004" s="4" t="s">
        <v>6287</v>
      </c>
      <c r="C5004" s="5" t="str">
        <f>IFERROR(__xludf.DUMMYFUNCTION("GOOGLETRANSLATE(B5004,""en"",""zh-CN"")"),"两个人坐在桌子旁。")</f>
        <v>两个人坐在桌子旁。</v>
      </c>
    </row>
    <row r="5005">
      <c r="A5005" s="4" t="s">
        <v>6286</v>
      </c>
      <c r="B5005" s="4" t="s">
        <v>6288</v>
      </c>
      <c r="C5005" s="5" t="str">
        <f>IFERROR(__xludf.DUMMYFUNCTION("GOOGLETRANSLATE(B5005,""en"",""zh-CN"")"),"这些人参加了一场手臂摔跤比赛。")</f>
        <v>这些人参加了一场手臂摔跤比赛。</v>
      </c>
    </row>
    <row r="5006">
      <c r="A5006" s="4" t="s">
        <v>6286</v>
      </c>
      <c r="B5006" s="4" t="s">
        <v>6289</v>
      </c>
      <c r="C5006" s="5" t="str">
        <f>IFERROR(__xludf.DUMMYFUNCTION("GOOGLETRANSLATE(B5006,""en"",""zh-CN"")"),"其中一个击败了另一个。")</f>
        <v>其中一个击败了另一个。</v>
      </c>
    </row>
    <row r="5007">
      <c r="A5007" s="4" t="s">
        <v>6290</v>
      </c>
      <c r="B5007" s="4" t="s">
        <v>6291</v>
      </c>
      <c r="C5007" s="5" t="str">
        <f>IFERROR(__xludf.DUMMYFUNCTION("GOOGLETRANSLATE(B5007,""en"",""zh-CN"")"),"我们看到孩子们在滑板上的孩子。")</f>
        <v>我们看到孩子们在滑板上的孩子。</v>
      </c>
    </row>
    <row r="5008">
      <c r="A5008" s="4" t="s">
        <v>6290</v>
      </c>
      <c r="B5008" s="4" t="s">
        <v>6292</v>
      </c>
      <c r="C5008" s="5" t="str">
        <f>IFERROR(__xludf.DUMMYFUNCTION("GOOGLETRANSLATE(B5008,""en"",""zh-CN"")"),"我们看到孩子们从溜冰者的POV骑着街。")</f>
        <v>我们看到孩子们从溜冰者的POV骑着街。</v>
      </c>
    </row>
    <row r="5009">
      <c r="A5009" s="4" t="s">
        <v>6290</v>
      </c>
      <c r="B5009" s="4" t="s">
        <v>6293</v>
      </c>
      <c r="C5009" s="5" t="str">
        <f>IFERROR(__xludf.DUMMYFUNCTION("GOOGLETRANSLATE(B5009,""en"",""zh-CN"")"),"一个孩子坠毁，很难康复。")</f>
        <v>一个孩子坠毁，很难康复。</v>
      </c>
    </row>
    <row r="5010">
      <c r="A5010" s="4" t="s">
        <v>6290</v>
      </c>
      <c r="B5010" s="4" t="s">
        <v>6294</v>
      </c>
      <c r="C5010" s="5" t="str">
        <f>IFERROR(__xludf.DUMMYFUNCTION("GOOGLETRANSLATE(B5010,""en"",""zh-CN"")"),"一个男孩失去了董事会，不得不追赶它。")</f>
        <v>一个男孩失去了董事会，不得不追赶它。</v>
      </c>
    </row>
    <row r="5011">
      <c r="A5011" s="4" t="s">
        <v>6290</v>
      </c>
      <c r="B5011" s="4" t="s">
        <v>6295</v>
      </c>
      <c r="C5011" s="5" t="str">
        <f>IFERROR(__xludf.DUMMYFUNCTION("GOOGLETRANSLATE(B5011,""en"",""zh-CN"")"),"我们看到有自拍照的人落在草丛中。")</f>
        <v>我们看到有自拍照的人落在草丛中。</v>
      </c>
    </row>
    <row r="5012">
      <c r="A5012" s="4" t="s">
        <v>6296</v>
      </c>
      <c r="B5012" s="4" t="s">
        <v>6297</v>
      </c>
      <c r="C5012" s="5" t="str">
        <f>IFERROR(__xludf.DUMMYFUNCTION("GOOGLETRANSLATE(B5012,""en"",""zh-CN"")"),"显示了各种镜头，表明运动员手里握着一根杆子，向后倾斜。")</f>
        <v>显示了各种镜头，表明运动员手里握着一根杆子，向后倾斜。</v>
      </c>
    </row>
    <row r="5013">
      <c r="A5013" s="4" t="s">
        <v>6296</v>
      </c>
      <c r="B5013" s="4" t="s">
        <v>6298</v>
      </c>
      <c r="C5013" s="5" t="str">
        <f>IFERROR(__xludf.DUMMYFUNCTION("GOOGLETRANSLATE(B5013,""en"",""zh-CN"")"),"这导致了更多的运动员将标枪扔到远处的几个片段。")</f>
        <v>这导致了更多的运动员将标枪扔到远处的几个片段。</v>
      </c>
    </row>
    <row r="5014">
      <c r="A5014" s="4" t="s">
        <v>6296</v>
      </c>
      <c r="B5014" s="4" t="s">
        <v>6299</v>
      </c>
      <c r="C5014" s="5" t="str">
        <f>IFERROR(__xludf.DUMMYFUNCTION("GOOGLETRANSLATE(B5014,""en"",""zh-CN"")"),"越来越多的人投掷标枪。")</f>
        <v>越来越多的人投掷标枪。</v>
      </c>
    </row>
    <row r="5015">
      <c r="A5015" s="4" t="s">
        <v>6300</v>
      </c>
      <c r="B5015" s="4" t="s">
        <v>6301</v>
      </c>
      <c r="C5015" s="5" t="str">
        <f>IFERROR(__xludf.DUMMYFUNCTION("GOOGLETRANSLATE(B5015,""en"",""zh-CN"")"),"一个女孩在城市广场上为过世的人打鼓。")</f>
        <v>一个女孩在城市广场上为过世的人打鼓。</v>
      </c>
    </row>
    <row r="5016">
      <c r="A5016" s="4" t="s">
        <v>6300</v>
      </c>
      <c r="B5016" s="4" t="s">
        <v>6302</v>
      </c>
      <c r="C5016" s="5" t="str">
        <f>IFERROR(__xludf.DUMMYFUNCTION("GOOGLETRANSLATE(B5016,""en"",""zh-CN"")"),"一位女士走上去看鼓手比赛。")</f>
        <v>一位女士走上去看鼓手比赛。</v>
      </c>
    </row>
    <row r="5017">
      <c r="A5017" s="4" t="s">
        <v>6300</v>
      </c>
      <c r="B5017" s="4" t="s">
        <v>6303</v>
      </c>
      <c r="C5017" s="5" t="str">
        <f>IFERROR(__xludf.DUMMYFUNCTION("GOOGLETRANSLATE(B5017,""en"",""zh-CN"")"),"鼓手在c上独奏。")</f>
        <v>鼓手在c上独奏。</v>
      </c>
    </row>
    <row r="5018">
      <c r="A5018" s="4" t="s">
        <v>6300</v>
      </c>
      <c r="B5018" s="4" t="s">
        <v>6304</v>
      </c>
      <c r="C5018" s="5" t="str">
        <f>IFERROR(__xludf.DUMMYFUNCTION("GOOGLETRANSLATE(B5018,""en"",""zh-CN"")"),"鼓手结束了歌曲，并向观众鞠躬。")</f>
        <v>鼓手结束了歌曲，并向观众鞠躬。</v>
      </c>
    </row>
    <row r="5019">
      <c r="A5019" s="4" t="s">
        <v>6305</v>
      </c>
      <c r="B5019" s="4" t="s">
        <v>6306</v>
      </c>
      <c r="C5019" s="5" t="str">
        <f>IFERROR(__xludf.DUMMYFUNCTION("GOOGLETRANSLATE(B5019,""en"",""zh-CN"")"),"一个人用紫色的淋浴头抚摸着狗的皮毛，上面贴在绿色的软管上。")</f>
        <v>一个人用紫色的淋浴头抚摸着狗的皮毛，上面贴在绿色的软管上。</v>
      </c>
    </row>
    <row r="5020">
      <c r="A5020" s="4" t="s">
        <v>6305</v>
      </c>
      <c r="B5020" s="4" t="s">
        <v>6307</v>
      </c>
      <c r="C5020" s="5" t="str">
        <f>IFERROR(__xludf.DUMMYFUNCTION("GOOGLETRANSLATE(B5020,""en"",""zh-CN"")"),"狗摇了摇他的皮毛。")</f>
        <v>狗摇了摇他的皮毛。</v>
      </c>
    </row>
    <row r="5021">
      <c r="A5021" s="4" t="s">
        <v>6305</v>
      </c>
      <c r="B5021" s="4" t="s">
        <v>6308</v>
      </c>
      <c r="C5021" s="5" t="str">
        <f>IFERROR(__xludf.DUMMYFUNCTION("GOOGLETRANSLATE(B5021,""en"",""zh-CN"")"),"该人继续润湿狗。")</f>
        <v>该人继续润湿狗。</v>
      </c>
    </row>
    <row r="5022">
      <c r="A5022" s="4" t="s">
        <v>6309</v>
      </c>
      <c r="B5022" s="4" t="s">
        <v>6310</v>
      </c>
      <c r="C5022" s="5" t="str">
        <f>IFERROR(__xludf.DUMMYFUNCTION("GOOGLETRANSLATE(B5022,""en"",""zh-CN"")"),"看到一个小孩站在地上，开始与另一个小孩进行拳击。")</f>
        <v>看到一个小孩站在地上，开始与另一个小孩进行拳击。</v>
      </c>
    </row>
    <row r="5023">
      <c r="A5023" s="4" t="s">
        <v>6309</v>
      </c>
      <c r="B5023" s="4" t="s">
        <v>6311</v>
      </c>
      <c r="C5023" s="5" t="str">
        <f>IFERROR(__xludf.DUMMYFUNCTION("GOOGLETRANSLATE(B5023,""en"",""zh-CN"")"),"这个男孩使用拳击手套撞到他面前的一个男人也戴着手套。")</f>
        <v>这个男孩使用拳击手套撞到他面前的一个男人也戴着手套。</v>
      </c>
    </row>
    <row r="5024">
      <c r="A5024" s="4" t="s">
        <v>6309</v>
      </c>
      <c r="B5024" s="4" t="s">
        <v>6312</v>
      </c>
      <c r="C5024" s="5" t="str">
        <f>IFERROR(__xludf.DUMMYFUNCTION("GOOGLETRANSLATE(B5024,""en"",""zh-CN"")"),"两人继续前进，离开那个男人站起来。")</f>
        <v>两人继续前进，离开那个男人站起来。</v>
      </c>
    </row>
    <row r="5025">
      <c r="A5025" s="4" t="s">
        <v>6313</v>
      </c>
      <c r="B5025" s="4" t="s">
        <v>6314</v>
      </c>
      <c r="C5025" s="5" t="str">
        <f>IFERROR(__xludf.DUMMYFUNCTION("GOOGLETRANSLATE(B5025,""en"",""zh-CN"")"),"一件黑色外套的男人站在外面说话。")</f>
        <v>一件黑色外套的男人站在外面说话。</v>
      </c>
    </row>
    <row r="5026">
      <c r="A5026" s="4" t="s">
        <v>6313</v>
      </c>
      <c r="B5026" s="4" t="s">
        <v>6315</v>
      </c>
      <c r="C5026" s="5" t="str">
        <f>IFERROR(__xludf.DUMMYFUNCTION("GOOGLETRANSLATE(B5026,""en"",""zh-CN"")"),"人们在溜冰场上滑冰。")</f>
        <v>人们在溜冰场上滑冰。</v>
      </c>
    </row>
    <row r="5027">
      <c r="A5027" s="4" t="s">
        <v>6313</v>
      </c>
      <c r="B5027" s="4" t="s">
        <v>6316</v>
      </c>
      <c r="C5027" s="5" t="str">
        <f>IFERROR(__xludf.DUMMYFUNCTION("GOOGLETRANSLATE(B5027,""en"",""zh-CN"")"),"一个戴着红色帽子的男人正在打曲棍球，并实现了几个目标。")</f>
        <v>一个戴着红色帽子的男人正在打曲棍球，并实现了几个目标。</v>
      </c>
    </row>
    <row r="5028">
      <c r="A5028" s="4" t="s">
        <v>6317</v>
      </c>
      <c r="B5028" s="4" t="s">
        <v>6318</v>
      </c>
      <c r="C5028" s="5" t="str">
        <f>IFERROR(__xludf.DUMMYFUNCTION("GOOGLETRANSLATE(B5028,""en"",""zh-CN"")"),"一个年长的男人被显示在带有雪地刮板的房屋前的汽车上清理。")</f>
        <v>一个年长的男人被显示在带有雪地刮板的房屋前的汽车上清理。</v>
      </c>
    </row>
    <row r="5029">
      <c r="A5029" s="4" t="s">
        <v>6317</v>
      </c>
      <c r="B5029" s="4" t="s">
        <v>6319</v>
      </c>
      <c r="C5029" s="5" t="str">
        <f>IFERROR(__xludf.DUMMYFUNCTION("GOOGLETRANSLATE(B5029,""en"",""zh-CN"")"),"相机在车上摇晃，而老人则继续将雪赶下来。")</f>
        <v>相机在车上摇晃，而老人则继续将雪赶下来。</v>
      </c>
    </row>
    <row r="5030">
      <c r="A5030" s="4" t="s">
        <v>6320</v>
      </c>
      <c r="B5030" s="4" t="s">
        <v>6321</v>
      </c>
      <c r="C5030" s="5" t="str">
        <f>IFERROR(__xludf.DUMMYFUNCTION("GOOGLETRANSLATE(B5030,""en"",""zh-CN"")"),"一个女人在厨房里在厨房里做番茄酱。")</f>
        <v>一个女人在厨房里在厨房里做番茄酱。</v>
      </c>
    </row>
    <row r="5031">
      <c r="A5031" s="4" t="s">
        <v>6320</v>
      </c>
      <c r="B5031" s="4" t="s">
        <v>6322</v>
      </c>
      <c r="C5031" s="5" t="str">
        <f>IFERROR(__xludf.DUMMYFUNCTION("GOOGLETRANSLATE(B5031,""en"",""zh-CN"")"),"该名女子正在向相机展示她的镀料食物。")</f>
        <v>该名女子正在向相机展示她的镀料食物。</v>
      </c>
    </row>
    <row r="5032">
      <c r="A5032" s="4" t="s">
        <v>6320</v>
      </c>
      <c r="B5032" s="4" t="s">
        <v>6323</v>
      </c>
      <c r="C5032" s="5" t="str">
        <f>IFERROR(__xludf.DUMMYFUNCTION("GOOGLETRANSLATE(B5032,""en"",""zh-CN"")"),"然后，该名女子抓住一盒绿色和一盒意大利面。")</f>
        <v>然后，该名女子抓住一盒绿色和一盒意大利面。</v>
      </c>
    </row>
    <row r="5033">
      <c r="A5033" s="4" t="s">
        <v>6320</v>
      </c>
      <c r="B5033" s="4" t="s">
        <v>6324</v>
      </c>
      <c r="C5033" s="5" t="str">
        <f>IFERROR(__xludf.DUMMYFUNCTION("GOOGLETRANSLATE(B5033,""en"",""zh-CN"")"),"然后，这位女士开始搅拌番茄酱，然后将绿色撒入其中。")</f>
        <v>然后，这位女士开始搅拌番茄酱，然后将绿色撒入其中。</v>
      </c>
    </row>
    <row r="5034">
      <c r="A5034" s="4" t="s">
        <v>6320</v>
      </c>
      <c r="B5034" s="4" t="s">
        <v>6325</v>
      </c>
      <c r="C5034" s="5" t="str">
        <f>IFERROR(__xludf.DUMMYFUNCTION("GOOGLETRANSLATE(B5034,""en"",""zh-CN"")"),"最后，那位女士将意大利面倒入酱汁中。")</f>
        <v>最后，那位女士将意大利面倒入酱汁中。</v>
      </c>
    </row>
    <row r="5035">
      <c r="A5035" s="4" t="s">
        <v>6326</v>
      </c>
      <c r="B5035" s="6" t="s">
        <v>6327</v>
      </c>
      <c r="C5035" s="5" t="str">
        <f>IFERROR(__xludf.DUMMYFUNCTION("GOOGLETRANSLATE(B5035,""en"",""zh-CN"")"),"穿着运动鞋和无檐小便帽的窗户清洁剂正在挂起来，并用毛巾清洁窗户，在他身后用毛巾清洁窗户。")</f>
        <v>穿着运动鞋和无檐小便帽的窗户清洁剂正在挂起来，并用毛巾清洁窗户，在他身后用毛巾清洁窗户。</v>
      </c>
    </row>
    <row r="5036">
      <c r="A5036" s="4" t="s">
        <v>6326</v>
      </c>
      <c r="B5036" s="4" t="s">
        <v>6328</v>
      </c>
      <c r="C5036" s="5" t="str">
        <f>IFERROR(__xludf.DUMMYFUNCTION("GOOGLETRANSLATE(B5036,""en"",""zh-CN"")"),"他将自己降低到窗户的另一部分，并用刀片擦拭。")</f>
        <v>他将自己降低到窗户的另一部分，并用刀片擦拭。</v>
      </c>
    </row>
    <row r="5037">
      <c r="A5037" s="4" t="s">
        <v>6326</v>
      </c>
      <c r="B5037" s="4" t="s">
        <v>6329</v>
      </c>
      <c r="C5037" s="5" t="str">
        <f>IFERROR(__xludf.DUMMYFUNCTION("GOOGLETRANSLATE(B5037,""en"",""zh-CN"")"),"相机人在环境周围摇摆。")</f>
        <v>相机人在环境周围摇摆。</v>
      </c>
    </row>
    <row r="5038">
      <c r="A5038" s="4" t="s">
        <v>6330</v>
      </c>
      <c r="B5038" s="4" t="s">
        <v>6331</v>
      </c>
      <c r="C5038" s="5" t="str">
        <f>IFERROR(__xludf.DUMMYFUNCTION("GOOGLETRANSLATE(B5038,""en"",""zh-CN"")"),"我们看到小男孩在一个田野里打拔河。")</f>
        <v>我们看到小男孩在一个田野里打拔河。</v>
      </c>
    </row>
    <row r="5039">
      <c r="A5039" s="4" t="s">
        <v>6330</v>
      </c>
      <c r="B5039" s="4" t="s">
        <v>6332</v>
      </c>
      <c r="C5039" s="5" t="str">
        <f>IFERROR(__xludf.DUMMYFUNCTION("GOOGLETRANSLATE(B5039,""en"",""zh-CN"")"),"一个黑色的男人走过孩子们。")</f>
        <v>一个黑色的男人走过孩子们。</v>
      </c>
    </row>
    <row r="5040">
      <c r="A5040" s="4" t="s">
        <v>6330</v>
      </c>
      <c r="B5040" s="4" t="s">
        <v>6333</v>
      </c>
      <c r="C5040" s="5" t="str">
        <f>IFERROR(__xludf.DUMMYFUNCTION("GOOGLETRANSLATE(B5040,""en"",""zh-CN"")"),"穿着白衬衫的孩子放开绳子，将手放在空中。")</f>
        <v>穿着白衬衫的孩子放开绳子，将手放在空中。</v>
      </c>
    </row>
    <row r="5041">
      <c r="A5041" s="4" t="s">
        <v>6330</v>
      </c>
      <c r="B5041" s="4" t="s">
        <v>6334</v>
      </c>
      <c r="C5041" s="5" t="str">
        <f>IFERROR(__xludf.DUMMYFUNCTION("GOOGLETRANSLATE(B5041,""en"",""zh-CN"")"),"一位女士走上去和孩子们交谈。")</f>
        <v>一位女士走上去和孩子们交谈。</v>
      </c>
    </row>
    <row r="5042">
      <c r="A5042" s="4" t="s">
        <v>6335</v>
      </c>
      <c r="B5042" s="4" t="s">
        <v>6336</v>
      </c>
      <c r="C5042" s="5" t="str">
        <f>IFERROR(__xludf.DUMMYFUNCTION("GOOGLETRANSLATE(B5042,""en"",""zh-CN"")"),"一堆棍子在一堆中显示，然后是一个说话的人并举起一个物体。")</f>
        <v>一堆棍子在一堆中显示，然后是一个说话的人并举起一个物体。</v>
      </c>
    </row>
    <row r="5043">
      <c r="A5043" s="4" t="s">
        <v>6335</v>
      </c>
      <c r="B5043" s="6" t="s">
        <v>6337</v>
      </c>
      <c r="C5043" s="5" t="str">
        <f>IFERROR(__xludf.DUMMYFUNCTION("GOOGLETRANSLATE(B5043,""en"",""zh-CN"")"),"然后看到一个人的手将比赛点燃到堆中，并在最终再次露出脸时造成火。")</f>
        <v>然后看到一个人的手将比赛点燃到堆中，并在最终再次露出脸时造成火。</v>
      </c>
    </row>
    <row r="5044">
      <c r="A5044" s="4" t="s">
        <v>6338</v>
      </c>
      <c r="B5044" s="4" t="s">
        <v>6339</v>
      </c>
      <c r="C5044" s="5" t="str">
        <f>IFERROR(__xludf.DUMMYFUNCTION("GOOGLETRANSLATE(B5044,""en"",""zh-CN"")"),"看到一个男人站在一只拿着剃刀的大动物后面，对着镜头说话。")</f>
        <v>看到一个男人站在一只拿着剃刀的大动物后面，对着镜头说话。</v>
      </c>
    </row>
    <row r="5045">
      <c r="A5045" s="4" t="s">
        <v>6338</v>
      </c>
      <c r="B5045" s="4" t="s">
        <v>6340</v>
      </c>
      <c r="C5045" s="5" t="str">
        <f>IFERROR(__xludf.DUMMYFUNCTION("GOOGLETRANSLATE(B5045,""en"",""zh-CN"")"),"然后，该男子在停下来与镜头说话并宠爱狗的同时剃了狗。")</f>
        <v>然后，该男子在停下来与镜头说话并宠爱狗的同时剃了狗。</v>
      </c>
    </row>
    <row r="5046">
      <c r="A5046" s="4" t="s">
        <v>6341</v>
      </c>
      <c r="B5046" s="4" t="s">
        <v>6342</v>
      </c>
      <c r="C5046" s="5" t="str">
        <f>IFERROR(__xludf.DUMMYFUNCTION("GOOGLETRANSLATE(B5046,""en"",""zh-CN"")"),"一个女人用跳​​绳在做技巧。")</f>
        <v>一个女人用跳​​绳在做技巧。</v>
      </c>
    </row>
    <row r="5047">
      <c r="A5047" s="4" t="s">
        <v>6341</v>
      </c>
      <c r="B5047" s="4" t="s">
        <v>6343</v>
      </c>
      <c r="C5047" s="5" t="str">
        <f>IFERROR(__xludf.DUMMYFUNCTION("GOOGLETRANSLATE(B5047,""en"",""zh-CN"")"),"她在跳绳时做了一个手站立的。")</f>
        <v>她在跳绳时做了一个手站立的。</v>
      </c>
    </row>
    <row r="5048">
      <c r="A5048" s="4" t="s">
        <v>6341</v>
      </c>
      <c r="B5048" s="4" t="s">
        <v>6344</v>
      </c>
      <c r="C5048" s="5" t="str">
        <f>IFERROR(__xludf.DUMMYFUNCTION("GOOGLETRANSLATE(B5048,""en"",""zh-CN"")"),"她在跳绳时进行了前翻。")</f>
        <v>她在跳绳时进行了前翻。</v>
      </c>
    </row>
    <row r="5049">
      <c r="A5049" s="4" t="s">
        <v>6341</v>
      </c>
      <c r="B5049" s="4" t="s">
        <v>6345</v>
      </c>
      <c r="C5049" s="5" t="str">
        <f>IFERROR(__xludf.DUMMYFUNCTION("GOOGLETRANSLATE(B5049,""en"",""zh-CN"")"),"她停下来走来走去。")</f>
        <v>她停下来走来走去。</v>
      </c>
    </row>
    <row r="5050">
      <c r="A5050" s="4" t="s">
        <v>6346</v>
      </c>
      <c r="B5050" s="4" t="s">
        <v>1251</v>
      </c>
      <c r="C5050" s="5" t="str">
        <f>IFERROR(__xludf.DUMMYFUNCTION("GOOGLETRANSLATE(B5050,""en"",""zh-CN"")"),"显示了剪辑的信用。")</f>
        <v>显示了剪辑的信用。</v>
      </c>
    </row>
    <row r="5051">
      <c r="A5051" s="4" t="s">
        <v>6346</v>
      </c>
      <c r="B5051" s="4" t="s">
        <v>6347</v>
      </c>
      <c r="C5051" s="5" t="str">
        <f>IFERROR(__xludf.DUMMYFUNCTION("GOOGLETRANSLATE(B5051,""en"",""zh-CN"")"),"人们正在将膨胀的轮胎装入水体内。")</f>
        <v>人们正在将膨胀的轮胎装入水体内。</v>
      </c>
    </row>
    <row r="5052">
      <c r="A5052" s="4" t="s">
        <v>6346</v>
      </c>
      <c r="B5052" s="4" t="s">
        <v>6348</v>
      </c>
      <c r="C5052" s="5" t="str">
        <f>IFERROR(__xludf.DUMMYFUNCTION("GOOGLETRANSLATE(B5052,""en"",""zh-CN"")"),"人们漂浮在膨胀的轮胎上。")</f>
        <v>人们漂浮在膨胀的轮胎上。</v>
      </c>
    </row>
    <row r="5053">
      <c r="A5053" s="4" t="s">
        <v>6346</v>
      </c>
      <c r="B5053" s="4" t="s">
        <v>6349</v>
      </c>
      <c r="C5053" s="5" t="str">
        <f>IFERROR(__xludf.DUMMYFUNCTION("GOOGLETRANSLATE(B5053,""en"",""zh-CN"")"),"人们正在喷洒细长的水枪。")</f>
        <v>人们正在喷洒细长的水枪。</v>
      </c>
    </row>
    <row r="5054">
      <c r="A5054" s="4" t="s">
        <v>6346</v>
      </c>
      <c r="B5054" s="4" t="s">
        <v>6350</v>
      </c>
      <c r="C5054" s="5" t="str">
        <f>IFERROR(__xludf.DUMMYFUNCTION("GOOGLETRANSLATE(B5054,""en"",""zh-CN"")"),"人们正在划独木舟沿着水体划。")</f>
        <v>人们正在划独木舟沿着水体划。</v>
      </c>
    </row>
    <row r="5055">
      <c r="A5055" s="4" t="s">
        <v>6346</v>
      </c>
      <c r="B5055" s="4" t="s">
        <v>6351</v>
      </c>
      <c r="C5055" s="5" t="str">
        <f>IFERROR(__xludf.DUMMYFUNCTION("GOOGLETRANSLATE(B5055,""en"",""zh-CN"")"),"一个人在烤啤酒。")</f>
        <v>一个人在烤啤酒。</v>
      </c>
    </row>
    <row r="5056">
      <c r="A5056" s="4" t="s">
        <v>6346</v>
      </c>
      <c r="B5056" s="4" t="s">
        <v>6352</v>
      </c>
      <c r="C5056" s="5" t="str">
        <f>IFERROR(__xludf.DUMMYFUNCTION("GOOGLETRANSLATE(B5056,""en"",""zh-CN"")"),"视频的速度加速了。")</f>
        <v>视频的速度加速了。</v>
      </c>
    </row>
    <row r="5057">
      <c r="A5057" s="4" t="s">
        <v>6353</v>
      </c>
      <c r="B5057" s="4" t="s">
        <v>6354</v>
      </c>
      <c r="C5057" s="5" t="str">
        <f>IFERROR(__xludf.DUMMYFUNCTION("GOOGLETRANSLATE(B5057,""en"",""zh-CN"")"),"孩子们在田野上玩曲棍球。")</f>
        <v>孩子们在田野上玩曲棍球。</v>
      </c>
    </row>
    <row r="5058">
      <c r="A5058" s="4" t="s">
        <v>6353</v>
      </c>
      <c r="B5058" s="4" t="s">
        <v>6355</v>
      </c>
      <c r="C5058" s="5" t="str">
        <f>IFERROR(__xludf.DUMMYFUNCTION("GOOGLETRANSLATE(B5058,""en"",""zh-CN"")"),"一个穿着蓝色外套的女人站在田野上看着他们。")</f>
        <v>一个穿着蓝色外套的女人站在田野上看着他们。</v>
      </c>
    </row>
    <row r="5059">
      <c r="A5059" s="4" t="s">
        <v>6353</v>
      </c>
      <c r="B5059" s="4" t="s">
        <v>6356</v>
      </c>
      <c r="C5059" s="5" t="str">
        <f>IFERROR(__xludf.DUMMYFUNCTION("GOOGLETRANSLATE(B5059,""en"",""zh-CN"")"),"孩子们在一个黄色的球上追逐。")</f>
        <v>孩子们在一个黄色的球上追逐。</v>
      </c>
    </row>
    <row r="5060">
      <c r="A5060" s="4" t="s">
        <v>6357</v>
      </c>
      <c r="B5060" s="4" t="s">
        <v>6358</v>
      </c>
      <c r="C5060" s="5" t="str">
        <f>IFERROR(__xludf.DUMMYFUNCTION("GOOGLETRANSLATE(B5060,""en"",""zh-CN"")"),"女人开始沿着轨道奔跑。")</f>
        <v>女人开始沿着轨道奔跑。</v>
      </c>
    </row>
    <row r="5061">
      <c r="A5061" s="4" t="s">
        <v>6357</v>
      </c>
      <c r="B5061" s="4" t="s">
        <v>6359</v>
      </c>
      <c r="C5061" s="5" t="str">
        <f>IFERROR(__xludf.DUMMYFUNCTION("GOOGLETRANSLATE(B5061,""en"",""zh-CN"")"),"她将标枪扔到了田野上。")</f>
        <v>她将标枪扔到了田野上。</v>
      </c>
    </row>
    <row r="5062">
      <c r="A5062" s="4" t="s">
        <v>6357</v>
      </c>
      <c r="B5062" s="4" t="s">
        <v>6360</v>
      </c>
      <c r="C5062" s="5" t="str">
        <f>IFERROR(__xludf.DUMMYFUNCTION("GOOGLETRANSLATE(B5062,""en"",""zh-CN"")"),"她给了一个高五岁的人。")</f>
        <v>她给了一个高五岁的人。</v>
      </c>
    </row>
    <row r="5063">
      <c r="A5063" s="4" t="s">
        <v>6361</v>
      </c>
      <c r="B5063" s="4" t="s">
        <v>6362</v>
      </c>
      <c r="C5063" s="5" t="str">
        <f>IFERROR(__xludf.DUMMYFUNCTION("GOOGLETRANSLATE(B5063,""en"",""zh-CN"")"),"这些人在锻炼自行车上进行锻炼。")</f>
        <v>这些人在锻炼自行车上进行锻炼。</v>
      </c>
    </row>
    <row r="5064">
      <c r="A5064" s="4" t="s">
        <v>6361</v>
      </c>
      <c r="B5064" s="6" t="s">
        <v>6363</v>
      </c>
      <c r="C5064" s="5" t="str">
        <f>IFERROR(__xludf.DUMMYFUNCTION("GOOGLETRANSLATE(B5064,""en"",""zh-CN"")"),"这些人只用一条腿踩踏板，他们站在自行车的中间，另一只握住双腿。")</f>
        <v>这些人只用一条腿踩踏板，他们站在自行车的中间，另一只握住双腿。</v>
      </c>
    </row>
    <row r="5065">
      <c r="A5065" s="4" t="s">
        <v>6361</v>
      </c>
      <c r="B5065" s="6" t="s">
        <v>6364</v>
      </c>
      <c r="C5065" s="5" t="str">
        <f>IFERROR(__xludf.DUMMYFUNCTION("GOOGLETRANSLATE(B5065,""en"",""zh-CN"")"),"接下来，他们进行了另一种锻炼，他们将一只脚放在踏板上，而他们有一只脚，然后上下弹跳。")</f>
        <v>接下来，他们进行了另一种锻炼，他们将一只脚放在踏板上，而他们有一只脚，然后上下弹跳。</v>
      </c>
    </row>
    <row r="5066">
      <c r="A5066" s="4" t="s">
        <v>6365</v>
      </c>
      <c r="B5066" s="4" t="s">
        <v>6366</v>
      </c>
      <c r="C5066" s="5" t="str">
        <f>IFERROR(__xludf.DUMMYFUNCTION("GOOGLETRANSLATE(B5066,""en"",""zh-CN"")"),"一个女人站在一个年轻女士的前面讲话。")</f>
        <v>一个女人站在一个年轻女士的前面讲话。</v>
      </c>
    </row>
    <row r="5067">
      <c r="A5067" s="4" t="s">
        <v>6365</v>
      </c>
      <c r="B5067" s="4" t="s">
        <v>6367</v>
      </c>
      <c r="C5067" s="5" t="str">
        <f>IFERROR(__xludf.DUMMYFUNCTION("GOOGLETRANSLATE(B5067,""en"",""zh-CN"")"),"然后，女人和年轻女士在女人说话时进行健身运动。")</f>
        <v>然后，女人和年轻女士在女人说话时进行健身运动。</v>
      </c>
    </row>
    <row r="5068">
      <c r="A5068" s="4" t="s">
        <v>6365</v>
      </c>
      <c r="B5068" s="6" t="s">
        <v>6368</v>
      </c>
      <c r="C5068" s="5" t="str">
        <f>IFERROR(__xludf.DUMMYFUNCTION("GOOGLETRANSLATE(B5068,""en"",""zh-CN"")"),"之后，女人和年轻女士停止锻炼，女人用手做出手势时说话。")</f>
        <v>之后，女人和年轻女士停止锻炼，女人用手做出手势时说话。</v>
      </c>
    </row>
    <row r="5069">
      <c r="A5069" s="4" t="s">
        <v>6369</v>
      </c>
      <c r="B5069" s="4" t="s">
        <v>6370</v>
      </c>
      <c r="C5069" s="5" t="str">
        <f>IFERROR(__xludf.DUMMYFUNCTION("GOOGLETRANSLATE(B5069,""en"",""zh-CN"")"),"一位在赌场工作的女士向您展示了如何扮演黑色杰克。")</f>
        <v>一位在赌场工作的女士向您展示了如何扮演黑色杰克。</v>
      </c>
    </row>
    <row r="5070">
      <c r="A5070" s="4" t="s">
        <v>6369</v>
      </c>
      <c r="B5070" s="4" t="s">
        <v>6371</v>
      </c>
      <c r="C5070" s="5" t="str">
        <f>IFERROR(__xludf.DUMMYFUNCTION("GOOGLETRANSLATE(B5070,""en"",""zh-CN"")"),"这位女士每5次打出两张卡，并交易自己一张卡。")</f>
        <v>这位女士每5次打出两张卡，并交易自己一张卡。</v>
      </c>
    </row>
    <row r="5071">
      <c r="A5071" s="4" t="s">
        <v>6369</v>
      </c>
      <c r="B5071" s="6" t="s">
        <v>6372</v>
      </c>
      <c r="C5071" s="5" t="str">
        <f>IFERROR(__xludf.DUMMYFUNCTION("GOOGLETRANSLATE(B5071,""en"",""zh-CN"")"),"然后，这位女士解释了您允许您处理所处理的卡片的工作，她还销售了另外两张卡片。")</f>
        <v>然后，这位女士解释了您允许您处理所处理的卡片的工作，她还销售了另外两张卡片。</v>
      </c>
    </row>
    <row r="5072">
      <c r="A5072" s="4" t="s">
        <v>6369</v>
      </c>
      <c r="B5072" s="6" t="s">
        <v>6373</v>
      </c>
      <c r="C5072" s="5" t="str">
        <f>IFERROR(__xludf.DUMMYFUNCTION("GOOGLETRANSLATE(B5072,""en"",""zh-CN"")"),"最终，她为自己拿出了另外两张卡片，并从一开始就将芯片添加到她处理的区域中展示了结果。")</f>
        <v>最终，她为自己拿出了另外两张卡片，并从一开始就将芯片添加到她处理的区域中展示了结果。</v>
      </c>
    </row>
    <row r="5073">
      <c r="A5073" s="4" t="s">
        <v>6369</v>
      </c>
      <c r="B5073" s="4" t="s">
        <v>6374</v>
      </c>
      <c r="C5073" s="5" t="str">
        <f>IFERROR(__xludf.DUMMYFUNCTION("GOOGLETRANSLATE(B5073,""en"",""zh-CN"")"),"然后，这位女士将桌子上的所有卡片铲起来，回合结束了。")</f>
        <v>然后，这位女士将桌子上的所有卡片铲起来，回合结束了。</v>
      </c>
    </row>
    <row r="5074">
      <c r="A5074" s="4" t="s">
        <v>6375</v>
      </c>
      <c r="B5074" s="4" t="s">
        <v>6376</v>
      </c>
      <c r="C5074" s="5" t="str">
        <f>IFERROR(__xludf.DUMMYFUNCTION("GOOGLETRANSLATE(B5074,""en"",""zh-CN"")"),"视频的第一个剪辑显示了标题序列。")</f>
        <v>视频的第一个剪辑显示了标题序列。</v>
      </c>
    </row>
    <row r="5075">
      <c r="A5075" s="4" t="s">
        <v>6375</v>
      </c>
      <c r="B5075" s="4" t="s">
        <v>6377</v>
      </c>
      <c r="C5075" s="5" t="str">
        <f>IFERROR(__xludf.DUMMYFUNCTION("GOOGLETRANSLATE(B5075,""en"",""zh-CN"")"),"然后，一个男人在保龄球店里向相机说话。")</f>
        <v>然后，一个男人在保龄球店里向相机说话。</v>
      </c>
    </row>
    <row r="5076">
      <c r="A5076" s="4" t="s">
        <v>6375</v>
      </c>
      <c r="B5076" s="4" t="s">
        <v>6378</v>
      </c>
      <c r="C5076" s="5" t="str">
        <f>IFERROR(__xludf.DUMMYFUNCTION("GOOGLETRANSLATE(B5076,""en"",""zh-CN"")"),"另一个标题幻灯片介绍了下一个剪辑。")</f>
        <v>另一个标题幻灯片介绍了下一个剪辑。</v>
      </c>
    </row>
    <row r="5077">
      <c r="A5077" s="4" t="s">
        <v>6375</v>
      </c>
      <c r="B5077" s="6" t="s">
        <v>6379</v>
      </c>
      <c r="C5077" s="5" t="str">
        <f>IFERROR(__xludf.DUMMYFUNCTION("GOOGLETRANSLATE(B5077,""en"",""zh-CN"")"),"当该男子在相机上说话时，有几个剪辑显示了一个男人在车道上滚动保龄球。")</f>
        <v>当该男子在相机上说话时，有几个剪辑显示了一个男人在车道上滚动保龄球。</v>
      </c>
    </row>
    <row r="5078">
      <c r="A5078" s="4" t="s">
        <v>6375</v>
      </c>
      <c r="B5078" s="4" t="s">
        <v>6380</v>
      </c>
      <c r="C5078" s="5" t="str">
        <f>IFERROR(__xludf.DUMMYFUNCTION("GOOGLETRANSLATE(B5078,""en"",""zh-CN"")"),"视频以剪辑结尾，显示标题徽标和网站信息。")</f>
        <v>视频以剪辑结尾，显示标题徽标和网站信息。</v>
      </c>
    </row>
    <row r="5079">
      <c r="A5079" s="4" t="s">
        <v>6381</v>
      </c>
      <c r="B5079" s="4" t="s">
        <v>6382</v>
      </c>
      <c r="C5079" s="5" t="str">
        <f>IFERROR(__xludf.DUMMYFUNCTION("GOOGLETRANSLATE(B5079,""en"",""zh-CN"")"),"一个人将孩子推到大公园区的秋千上。")</f>
        <v>一个人将孩子推到大公园区的秋千上。</v>
      </c>
    </row>
    <row r="5080">
      <c r="A5080" s="4" t="s">
        <v>6381</v>
      </c>
      <c r="B5080" s="4" t="s">
        <v>6383</v>
      </c>
      <c r="C5080" s="5" t="str">
        <f>IFERROR(__xludf.DUMMYFUNCTION("GOOGLETRANSLATE(B5080,""en"",""zh-CN"")"),"该男子握住挥杆，将孩子停下来。")</f>
        <v>该男子握住挥杆，将孩子停下来。</v>
      </c>
    </row>
    <row r="5081">
      <c r="A5081" s="4" t="s">
        <v>6381</v>
      </c>
      <c r="B5081" s="4" t="s">
        <v>6384</v>
      </c>
      <c r="C5081" s="5" t="str">
        <f>IFERROR(__xludf.DUMMYFUNCTION("GOOGLETRANSLATE(B5081,""en"",""zh-CN"")"),"该男子推动挥杆，使孩子再次开始。")</f>
        <v>该男子推动挥杆，使孩子再次开始。</v>
      </c>
    </row>
    <row r="5082">
      <c r="A5082" s="4" t="s">
        <v>6385</v>
      </c>
      <c r="B5082" s="4" t="s">
        <v>6386</v>
      </c>
      <c r="C5082" s="5" t="str">
        <f>IFERROR(__xludf.DUMMYFUNCTION("GOOGLETRANSLATE(B5082,""en"",""zh-CN"")"),"一个穿着黄色结构顶部的男人在墙壁上涂上墙壁。")</f>
        <v>一个穿着黄色结构顶部的男人在墙壁上涂上墙壁。</v>
      </c>
    </row>
    <row r="5083">
      <c r="A5083" s="4" t="s">
        <v>6385</v>
      </c>
      <c r="B5083" s="4" t="s">
        <v>6387</v>
      </c>
      <c r="C5083" s="5" t="str">
        <f>IFERROR(__xludf.DUMMYFUNCTION("GOOGLETRANSLATE(B5083,""en"",""zh-CN"")"),"他从自下而上开始，在工具上抓住更多油漆。")</f>
        <v>他从自下而上开始，在工具上抓住更多油漆。</v>
      </c>
    </row>
    <row r="5084">
      <c r="A5084" s="4" t="s">
        <v>6385</v>
      </c>
      <c r="B5084" s="4" t="s">
        <v>6388</v>
      </c>
      <c r="C5084" s="5" t="str">
        <f>IFERROR(__xludf.DUMMYFUNCTION("GOOGLETRANSLATE(B5084,""en"",""zh-CN"")"),"他正在像他这样做的方式迅速在整个墙上取得进步。")</f>
        <v>他正在像他这样做的方式迅速在整个墙上取得进步。</v>
      </c>
    </row>
    <row r="5085">
      <c r="A5085" s="4" t="s">
        <v>6385</v>
      </c>
      <c r="B5085" s="4" t="s">
        <v>6389</v>
      </c>
      <c r="C5085" s="5" t="str">
        <f>IFERROR(__xludf.DUMMYFUNCTION("GOOGLETRANSLATE(B5085,""en"",""zh-CN"")"),"他使它穿过墙壁的一半，但墙壁的底部仍然是白色的。")</f>
        <v>他使它穿过墙壁的一半，但墙壁的底部仍然是白色的。</v>
      </c>
    </row>
    <row r="5086">
      <c r="A5086" s="4" t="s">
        <v>6390</v>
      </c>
      <c r="B5086" s="4" t="s">
        <v>6391</v>
      </c>
      <c r="C5086" s="5" t="str">
        <f>IFERROR(__xludf.DUMMYFUNCTION("GOOGLETRANSLATE(B5086,""en"",""zh-CN"")"),"图形介绍了手动洗车视频。")</f>
        <v>图形介绍了手动洗车视频。</v>
      </c>
    </row>
    <row r="5087">
      <c r="A5087" s="4" t="s">
        <v>6390</v>
      </c>
      <c r="B5087" s="4" t="s">
        <v>6392</v>
      </c>
      <c r="C5087" s="5" t="str">
        <f>IFERROR(__xludf.DUMMYFUNCTION("GOOGLETRANSLATE(B5087,""en"",""zh-CN"")"),"首先用肥皂轻轻洗涤汽车。")</f>
        <v>首先用肥皂轻轻洗涤汽车。</v>
      </c>
    </row>
    <row r="5088">
      <c r="A5088" s="4" t="s">
        <v>6390</v>
      </c>
      <c r="B5088" s="4" t="s">
        <v>6393</v>
      </c>
      <c r="C5088" s="5" t="str">
        <f>IFERROR(__xludf.DUMMYFUNCTION("GOOGLETRANSLATE(B5088,""en"",""zh-CN"")"),"接下来，肥皂和清洗轮胎。")</f>
        <v>接下来，肥皂和清洗轮胎。</v>
      </c>
    </row>
    <row r="5089">
      <c r="A5089" s="4" t="s">
        <v>6390</v>
      </c>
      <c r="B5089" s="4" t="s">
        <v>6394</v>
      </c>
      <c r="C5089" s="5" t="str">
        <f>IFERROR(__xludf.DUMMYFUNCTION("GOOGLETRANSLATE(B5089,""en"",""zh-CN"")"),"之后，汽车的发动机被蒸汽清洗。")</f>
        <v>之后，汽车的发动机被蒸汽清洗。</v>
      </c>
    </row>
    <row r="5090">
      <c r="A5090" s="4" t="s">
        <v>6390</v>
      </c>
      <c r="B5090" s="4" t="s">
        <v>6395</v>
      </c>
      <c r="C5090" s="5" t="str">
        <f>IFERROR(__xludf.DUMMYFUNCTION("GOOGLETRANSLATE(B5090,""en"",""zh-CN"")"),"施加了最终的无斑冲洗，并干燥了汽车。")</f>
        <v>施加了最终的无斑冲洗，并干燥了汽车。</v>
      </c>
    </row>
    <row r="5091">
      <c r="A5091" s="4" t="s">
        <v>6396</v>
      </c>
      <c r="B5091" s="6" t="s">
        <v>6397</v>
      </c>
      <c r="C5091" s="5" t="str">
        <f>IFERROR(__xludf.DUMMYFUNCTION("GOOGLETRANSLATE(B5091,""en"",""zh-CN"")"),"看到一个男人站在一个大房间里，开始用网球球拍撞到墙上。")</f>
        <v>看到一个男人站在一个大房间里，开始用网球球拍撞到墙上。</v>
      </c>
    </row>
    <row r="5092">
      <c r="A5092" s="4" t="s">
        <v>6396</v>
      </c>
      <c r="B5092" s="4" t="s">
        <v>6398</v>
      </c>
      <c r="C5092" s="5" t="str">
        <f>IFERROR(__xludf.DUMMYFUNCTION("GOOGLETRANSLATE(B5092,""en"",""zh-CN"")"),"他的击球更多的射门显示在房间里，球最终向他滚回去。")</f>
        <v>他的击球更多的射门显示在房间里，球最终向他滚回去。</v>
      </c>
    </row>
    <row r="5093">
      <c r="A5093" s="4" t="s">
        <v>6399</v>
      </c>
      <c r="B5093" s="4" t="s">
        <v>6400</v>
      </c>
      <c r="C5093" s="5" t="str">
        <f>IFERROR(__xludf.DUMMYFUNCTION("GOOGLETRANSLATE(B5093,""en"",""zh-CN"")"),"显示了一杯龙舌兰酒日出。")</f>
        <v>显示了一杯龙舌兰酒日出。</v>
      </c>
    </row>
    <row r="5094">
      <c r="A5094" s="4" t="s">
        <v>6399</v>
      </c>
      <c r="B5094" s="4" t="s">
        <v>6401</v>
      </c>
      <c r="C5094" s="5" t="str">
        <f>IFERROR(__xludf.DUMMYFUNCTION("GOOGLETRANSLATE(B5094,""en"",""zh-CN"")"),"一个男人在酒精饮料的展示面前说话。")</f>
        <v>一个男人在酒精饮料的展示面前说话。</v>
      </c>
    </row>
    <row r="5095">
      <c r="A5095" s="4" t="s">
        <v>6399</v>
      </c>
      <c r="B5095" s="6" t="s">
        <v>6402</v>
      </c>
      <c r="C5095" s="5" t="str">
        <f>IFERROR(__xludf.DUMMYFUNCTION("GOOGLETRANSLATE(B5095,""en"",""zh-CN"")"),"他将酒精和果汁的成分放在桌子上，加入成分，以及格林纳丁，在带冰的高玻璃杯中。")</f>
        <v>他将酒精和果汁的成分放在桌子上，加入成分，以及格林纳丁，在带冰的高玻璃杯中。</v>
      </c>
    </row>
    <row r="5096">
      <c r="A5096" s="4" t="s">
        <v>6399</v>
      </c>
      <c r="B5096" s="4" t="s">
        <v>6403</v>
      </c>
      <c r="C5096" s="5" t="str">
        <f>IFERROR(__xludf.DUMMYFUNCTION("GOOGLETRANSLATE(B5096,""en"",""zh-CN"")"),"他在桌子上展示了美丽的饮料。")</f>
        <v>他在桌子上展示了美丽的饮料。</v>
      </c>
    </row>
    <row r="5097">
      <c r="A5097" s="4" t="s">
        <v>6404</v>
      </c>
      <c r="B5097" s="4" t="s">
        <v>6405</v>
      </c>
      <c r="C5097" s="5" t="str">
        <f>IFERROR(__xludf.DUMMYFUNCTION("GOOGLETRANSLATE(B5097,""en"",""zh-CN"")"),"一个男孩在他房间的相机面前说话。")</f>
        <v>一个男孩在他房间的相机面前说话。</v>
      </c>
    </row>
    <row r="5098">
      <c r="A5098" s="4" t="s">
        <v>6404</v>
      </c>
      <c r="B5098" s="4" t="s">
        <v>6406</v>
      </c>
      <c r="C5098" s="5" t="str">
        <f>IFERROR(__xludf.DUMMYFUNCTION("GOOGLETRANSLATE(B5098,""en"",""zh-CN"")"),"他抽烟，然后从嘴里吹起烟。")</f>
        <v>他抽烟，然后从嘴里吹起烟。</v>
      </c>
    </row>
    <row r="5099">
      <c r="A5099" s="4" t="s">
        <v>6404</v>
      </c>
      <c r="B5099" s="4" t="s">
        <v>6407</v>
      </c>
      <c r="C5099" s="5" t="str">
        <f>IFERROR(__xludf.DUMMYFUNCTION("GOOGLETRANSLATE(B5099,""en"",""zh-CN"")"),"当他吹起烟雾时，他开始制作戒指。")</f>
        <v>当他吹起烟雾时，他开始制作戒指。</v>
      </c>
    </row>
    <row r="5100">
      <c r="A5100" s="4" t="s">
        <v>6408</v>
      </c>
      <c r="B5100" s="4" t="s">
        <v>6409</v>
      </c>
      <c r="C5100" s="5" t="str">
        <f>IFERROR(__xludf.DUMMYFUNCTION("GOOGLETRANSLATE(B5100,""en"",""zh-CN"")"),"一个女人坐在一个戴着手套的手的人时，将一个洞插入她的舌头。")</f>
        <v>一个女人坐在一个戴着手套的手的人时，将一个洞插入她的舌头。</v>
      </c>
    </row>
    <row r="5101">
      <c r="A5101" s="4" t="s">
        <v>6408</v>
      </c>
      <c r="B5101" s="4" t="s">
        <v>6410</v>
      </c>
      <c r="C5101" s="5" t="str">
        <f>IFERROR(__xludf.DUMMYFUNCTION("GOOGLETRANSLATE(B5101,""en"",""zh-CN"")"),"该人夹住她的舌头，然后插入刺穿。")</f>
        <v>该人夹住她的舌头，然后插入刺穿。</v>
      </c>
    </row>
    <row r="5102">
      <c r="A5102" s="4" t="s">
        <v>6408</v>
      </c>
      <c r="B5102" s="4" t="s">
        <v>6411</v>
      </c>
      <c r="C5102" s="5" t="str">
        <f>IFERROR(__xludf.DUMMYFUNCTION("GOOGLETRANSLATE(B5102,""en"",""zh-CN"")"),"然后，她的微笑并炫耀她的螺柱。")</f>
        <v>然后，她的微笑并炫耀她的螺柱。</v>
      </c>
    </row>
    <row r="5103">
      <c r="A5103" s="4" t="s">
        <v>6412</v>
      </c>
      <c r="B5103" s="4" t="s">
        <v>6413</v>
      </c>
      <c r="C5103" s="5" t="str">
        <f>IFERROR(__xludf.DUMMYFUNCTION("GOOGLETRANSLATE(B5103,""en"",""zh-CN"")"),"一场比赛中，有几名摔跤手在一场比赛中排队，一个人选择角色。")</f>
        <v>一场比赛中，有几名摔跤手在一场比赛中排队，一个人选择角色。</v>
      </c>
    </row>
    <row r="5104">
      <c r="A5104" s="4" t="s">
        <v>6412</v>
      </c>
      <c r="B5104" s="4" t="s">
        <v>6414</v>
      </c>
      <c r="C5104" s="5" t="str">
        <f>IFERROR(__xludf.DUMMYFUNCTION("GOOGLETRANSLATE(B5104,""en"",""zh-CN"")"),"该游戏将人物加载到一个圈中互相搏斗。")</f>
        <v>该游戏将人物加载到一个圈中互相搏斗。</v>
      </c>
    </row>
    <row r="5105">
      <c r="A5105" s="4" t="s">
        <v>6412</v>
      </c>
      <c r="B5105" s="4" t="s">
        <v>6415</v>
      </c>
      <c r="C5105" s="5" t="str">
        <f>IFERROR(__xludf.DUMMYFUNCTION("GOOGLETRANSLATE(B5105,""en"",""zh-CN"")"),"这些人继续在比赛中摔跤，并低头看着一名球员。")</f>
        <v>这些人继续在比赛中摔跤，并低头看着一名球员。</v>
      </c>
    </row>
    <row r="5106">
      <c r="A5106" s="4" t="s">
        <v>6416</v>
      </c>
      <c r="B5106" s="4" t="s">
        <v>6417</v>
      </c>
      <c r="C5106" s="5" t="str">
        <f>IFERROR(__xludf.DUMMYFUNCTION("GOOGLETRANSLATE(B5106,""en"",""zh-CN"")"),"有一个人演示如何使用铁融化蜡和涂层表面。")</f>
        <v>有一个人演示如何使用铁融化蜡和涂层表面。</v>
      </c>
    </row>
    <row r="5107">
      <c r="A5107" s="4" t="s">
        <v>6416</v>
      </c>
      <c r="B5107" s="4" t="s">
        <v>6418</v>
      </c>
      <c r="C5107" s="5" t="str">
        <f>IFERROR(__xludf.DUMMYFUNCTION("GOOGLETRANSLATE(B5107,""en"",""zh-CN"")"),"他将一块蜡融化在铁的加热表面上。")</f>
        <v>他将一块蜡融化在铁的加热表面上。</v>
      </c>
    </row>
    <row r="5108">
      <c r="A5108" s="4" t="s">
        <v>6416</v>
      </c>
      <c r="B5108" s="4" t="s">
        <v>6419</v>
      </c>
      <c r="C5108" s="5" t="str">
        <f>IFERROR(__xludf.DUMMYFUNCTION("GOOGLETRANSLATE(B5108,""en"",""zh-CN"")"),"然后他将蜡涂在表面上。")</f>
        <v>然后他将蜡涂在表面上。</v>
      </c>
    </row>
    <row r="5109">
      <c r="A5109" s="4" t="s">
        <v>6416</v>
      </c>
      <c r="B5109" s="4" t="s">
        <v>6420</v>
      </c>
      <c r="C5109" s="5" t="str">
        <f>IFERROR(__xludf.DUMMYFUNCTION("GOOGLETRANSLATE(B5109,""en"",""zh-CN"")"),"蜡冷却和凝固后，他将其从表面刮下来。")</f>
        <v>蜡冷却和凝固后，他将其从表面刮下来。</v>
      </c>
    </row>
    <row r="5110">
      <c r="A5110" s="4" t="s">
        <v>6421</v>
      </c>
      <c r="B5110" s="4" t="s">
        <v>6422</v>
      </c>
      <c r="C5110" s="5" t="str">
        <f>IFERROR(__xludf.DUMMYFUNCTION("GOOGLETRANSLATE(B5110,""en"",""zh-CN"")"),"一群男人在健身房奔跑。")</f>
        <v>一群男人在健身房奔跑。</v>
      </c>
    </row>
    <row r="5111">
      <c r="A5111" s="4" t="s">
        <v>6421</v>
      </c>
      <c r="B5111" s="4" t="s">
        <v>6423</v>
      </c>
      <c r="C5111" s="5" t="str">
        <f>IFERROR(__xludf.DUMMYFUNCTION("GOOGLETRANSLATE(B5111,""en"",""zh-CN"")"),"他们一起跑了一个戒指。")</f>
        <v>他们一起跑了一个戒指。</v>
      </c>
    </row>
    <row r="5112">
      <c r="A5112" s="4" t="s">
        <v>6421</v>
      </c>
      <c r="B5112" s="4" t="s">
        <v>6424</v>
      </c>
      <c r="C5112" s="5" t="str">
        <f>IFERROR(__xludf.DUMMYFUNCTION("GOOGLETRANSLATE(B5112,""en"",""zh-CN"")"),"然后，他们参加了摔跤比赛。")</f>
        <v>然后，他们参加了摔跤比赛。</v>
      </c>
    </row>
    <row r="5113">
      <c r="A5113" s="4" t="s">
        <v>6425</v>
      </c>
      <c r="B5113" s="4" t="s">
        <v>6426</v>
      </c>
      <c r="C5113" s="5" t="str">
        <f>IFERROR(__xludf.DUMMYFUNCTION("GOOGLETRANSLATE(B5113,""en"",""zh-CN"")"),"一个男孩在海滩上与镜头说话。")</f>
        <v>一个男孩在海滩上与镜头说话。</v>
      </c>
    </row>
    <row r="5114">
      <c r="A5114" s="4" t="s">
        <v>6425</v>
      </c>
      <c r="B5114" s="4" t="s">
        <v>6427</v>
      </c>
      <c r="C5114" s="5" t="str">
        <f>IFERROR(__xludf.DUMMYFUNCTION("GOOGLETRANSLATE(B5114,""en"",""zh-CN"")"),"一个男人在背景中从右到左走。")</f>
        <v>一个男人在背景中从右到左走。</v>
      </c>
    </row>
    <row r="5115">
      <c r="A5115" s="4" t="s">
        <v>6425</v>
      </c>
      <c r="B5115" s="4" t="s">
        <v>6428</v>
      </c>
      <c r="C5115" s="5" t="str">
        <f>IFERROR(__xludf.DUMMYFUNCTION("GOOGLETRANSLATE(B5115,""en"",""zh-CN"")"),"这个男孩与一个男人在沙城堡前互动。")</f>
        <v>这个男孩与一个男人在沙城堡前互动。</v>
      </c>
    </row>
    <row r="5116">
      <c r="A5116" s="4" t="s">
        <v>6425</v>
      </c>
      <c r="B5116" s="4" t="s">
        <v>6429</v>
      </c>
      <c r="C5116" s="5" t="str">
        <f>IFERROR(__xludf.DUMMYFUNCTION("GOOGLETRANSLATE(B5116,""en"",""zh-CN"")"),"一个女人在背景中从右到左走。")</f>
        <v>一个女人在背景中从右到左走。</v>
      </c>
    </row>
    <row r="5117">
      <c r="A5117" s="4" t="s">
        <v>6425</v>
      </c>
      <c r="B5117" s="6" t="s">
        <v>6430</v>
      </c>
      <c r="C5117" s="5" t="str">
        <f>IFERROR(__xludf.DUMMYFUNCTION("GOOGLETRANSLATE(B5117,""en"",""zh-CN"")"),"男孩和男人，有时与其他人的几张静止图像在他的沙堡面前显示在各个阶段。")</f>
        <v>男孩和男人，有时与其他人的几张静止图像在他的沙堡面前显示在各个阶段。</v>
      </c>
    </row>
    <row r="5118">
      <c r="A5118" s="4" t="s">
        <v>6425</v>
      </c>
      <c r="B5118" s="6" t="s">
        <v>6431</v>
      </c>
      <c r="C5118" s="5" t="str">
        <f>IFERROR(__xludf.DUMMYFUNCTION("GOOGLETRANSLATE(B5118,""en"",""zh-CN"")"),"这个男孩，现在有两个小孩，与仍在沙堡上工作的那个人互动。")</f>
        <v>这个男孩，现在有两个小孩，与仍在沙堡上工作的那个人互动。</v>
      </c>
    </row>
    <row r="5119">
      <c r="A5119" s="4" t="s">
        <v>6425</v>
      </c>
      <c r="B5119" s="4" t="s">
        <v>6432</v>
      </c>
      <c r="C5119" s="5" t="str">
        <f>IFERROR(__xludf.DUMMYFUNCTION("GOOGLETRANSLATE(B5119,""en"",""zh-CN"")"),"显示了旁边各组人的更多静止图像。")</f>
        <v>显示了旁边各组人的更多静止图像。</v>
      </c>
    </row>
    <row r="5120">
      <c r="A5120" s="4" t="s">
        <v>6433</v>
      </c>
      <c r="B5120" s="4" t="s">
        <v>6434</v>
      </c>
      <c r="C5120" s="5" t="str">
        <f>IFERROR(__xludf.DUMMYFUNCTION("GOOGLETRANSLATE(B5120,""en"",""zh-CN"")"),"我们看到孩子们在孩子高度水槽的教室里洗手。")</f>
        <v>我们看到孩子们在孩子高度水槽的教室里洗手。</v>
      </c>
    </row>
    <row r="5121">
      <c r="A5121" s="4" t="s">
        <v>6433</v>
      </c>
      <c r="B5121" s="4" t="s">
        <v>6435</v>
      </c>
      <c r="C5121" s="5" t="str">
        <f>IFERROR(__xludf.DUMMYFUNCTION("GOOGLETRANSLATE(B5121,""en"",""zh-CN"")"),"我们看着男孩尝试肥皂。")</f>
        <v>我们看着男孩尝试肥皂。</v>
      </c>
    </row>
    <row r="5122">
      <c r="A5122" s="4" t="s">
        <v>6433</v>
      </c>
      <c r="B5122" s="4" t="s">
        <v>6436</v>
      </c>
      <c r="C5122" s="5" t="str">
        <f>IFERROR(__xludf.DUMMYFUNCTION("GOOGLETRANSLATE(B5122,""en"",""zh-CN"")"),"男孩再次使用肥皂分配器。")</f>
        <v>男孩再次使用肥皂分配器。</v>
      </c>
    </row>
    <row r="5123">
      <c r="A5123" s="4" t="s">
        <v>6433</v>
      </c>
      <c r="B5123" s="4" t="s">
        <v>6437</v>
      </c>
      <c r="C5123" s="5" t="str">
        <f>IFERROR(__xludf.DUMMYFUNCTION("GOOGLETRANSLATE(B5123,""en"",""zh-CN"")"),"男孩看着相机说话。")</f>
        <v>男孩看着相机说话。</v>
      </c>
    </row>
    <row r="5124">
      <c r="A5124" s="4" t="s">
        <v>6433</v>
      </c>
      <c r="B5124" s="4" t="s">
        <v>6438</v>
      </c>
      <c r="C5124" s="5" t="str">
        <f>IFERROR(__xludf.DUMMYFUNCTION("GOOGLETRANSLATE(B5124,""en"",""zh-CN"")"),"当他试图获得更多肥皂时，成人抓住了他的手。")</f>
        <v>当他试图获得更多肥皂时，成人抓住了他的手。</v>
      </c>
    </row>
    <row r="5125">
      <c r="A5125" s="4" t="s">
        <v>6439</v>
      </c>
      <c r="B5125" s="4" t="s">
        <v>6440</v>
      </c>
      <c r="C5125" s="5" t="str">
        <f>IFERROR(__xludf.DUMMYFUNCTION("GOOGLETRANSLATE(B5125,""en"",""zh-CN"")"),"介绍会导致自行车轨道的几枪，以及沿着比赛的人们。")</f>
        <v>介绍会导致自行车轨道的几枪，以及沿着比赛的人们。</v>
      </c>
    </row>
    <row r="5126">
      <c r="A5126" s="4" t="s">
        <v>6439</v>
      </c>
      <c r="B5126" s="6" t="s">
        <v>6441</v>
      </c>
      <c r="C5126" s="5" t="str">
        <f>IFERROR(__xludf.DUMMYFUNCTION("GOOGLETRANSLATE(B5126,""en"",""zh-CN"")"),"摄像机继续捕捉慢动作的人，一个人跌倒，几个人看着。")</f>
        <v>摄像机继续捕捉慢动作的人，一个人跌倒，几个人看着。</v>
      </c>
    </row>
    <row r="5127">
      <c r="A5127" s="4" t="s">
        <v>6439</v>
      </c>
      <c r="B5127" s="4" t="s">
        <v>6442</v>
      </c>
      <c r="C5127" s="5" t="str">
        <f>IFERROR(__xludf.DUMMYFUNCTION("GOOGLETRANSLATE(B5127,""en"",""zh-CN"")"),"然后，人们穿过终点线，将手臂伸向空中。")</f>
        <v>然后，人们穿过终点线，将手臂伸向空中。</v>
      </c>
    </row>
    <row r="5128">
      <c r="A5128" s="4" t="s">
        <v>6443</v>
      </c>
      <c r="B5128" s="4" t="s">
        <v>6444</v>
      </c>
      <c r="C5128" s="5" t="str">
        <f>IFERROR(__xludf.DUMMYFUNCTION("GOOGLETRANSLATE(B5128,""en"",""zh-CN"")"),"一辆颠倒的自行车在墙壁上颠倒，显示出橙色的变化。")</f>
        <v>一辆颠倒的自行车在墙壁上颠倒，显示出橙色的变化。</v>
      </c>
    </row>
    <row r="5129">
      <c r="A5129" s="4" t="s">
        <v>6443</v>
      </c>
      <c r="B5129" s="4" t="s">
        <v>6445</v>
      </c>
      <c r="C5129" s="5" t="str">
        <f>IFERROR(__xludf.DUMMYFUNCTION("GOOGLETRANSLATE(B5129,""en"",""zh-CN"")"),"然后，一个人来，将链条从自行车上取下，然后将其放在地面上。")</f>
        <v>然后，一个人来，将链条从自行车上取下，然后将其放在地面上。</v>
      </c>
    </row>
    <row r="5130">
      <c r="A5130" s="4" t="s">
        <v>6443</v>
      </c>
      <c r="B5130" s="4" t="s">
        <v>6446</v>
      </c>
      <c r="C5130" s="5" t="str">
        <f>IFERROR(__xludf.DUMMYFUNCTION("GOOGLETRANSLATE(B5130,""en"",""zh-CN"")"),"然后，该男子拿出一个码码，开始测量自行车的某些部位。")</f>
        <v>然后，该男子拿出一个码码，开始测量自行车的某些部位。</v>
      </c>
    </row>
    <row r="5131">
      <c r="A5131" s="4" t="s">
        <v>6443</v>
      </c>
      <c r="B5131" s="6" t="s">
        <v>6447</v>
      </c>
      <c r="C5131" s="5" t="str">
        <f>IFERROR(__xludf.DUMMYFUNCTION("GOOGLETRANSLATE(B5131,""en"",""zh-CN"")"),"然后将碎片拆除并用扳手拧紧，并将戒指放在链条上的位置。")</f>
        <v>然后将碎片拆除并用扳手拧紧，并将戒指放在链条上的位置。</v>
      </c>
    </row>
    <row r="5132">
      <c r="A5132" s="4" t="s">
        <v>6448</v>
      </c>
      <c r="B5132" s="4" t="s">
        <v>6449</v>
      </c>
      <c r="C5132" s="5" t="str">
        <f>IFERROR(__xludf.DUMMYFUNCTION("GOOGLETRANSLATE(B5132,""en"",""zh-CN"")"),"一个人在做太极拳，独自在阳光前的海滩上移动。")</f>
        <v>一个人在做太极拳，独自在阳光前的海滩上移动。</v>
      </c>
    </row>
    <row r="5133">
      <c r="A5133" s="4" t="s">
        <v>6448</v>
      </c>
      <c r="B5133" s="6" t="s">
        <v>6450</v>
      </c>
      <c r="C5133" s="5" t="str">
        <f>IFERROR(__xludf.DUMMYFUNCTION("GOOGLETRANSLATE(B5133,""en"",""zh-CN"")"),"一群穿着白色的人在海滩上加入了该男子，并进行了武术。")</f>
        <v>一群穿着白色的人在海滩上加入了该男子，并进行了武术。</v>
      </c>
    </row>
    <row r="5134">
      <c r="A5134" s="4" t="s">
        <v>6448</v>
      </c>
      <c r="B5134" s="4" t="s">
        <v>6451</v>
      </c>
      <c r="C5134" s="5" t="str">
        <f>IFERROR(__xludf.DUMMYFUNCTION("GOOGLETRANSLATE(B5134,""en"",""zh-CN"")"),"这个男人又一个人在做动作。")</f>
        <v>这个男人又一个人在做动作。</v>
      </c>
    </row>
    <row r="5135">
      <c r="A5135" s="4" t="s">
        <v>6448</v>
      </c>
      <c r="B5135" s="4" t="s">
        <v>6452</v>
      </c>
      <c r="C5135" s="5" t="str">
        <f>IFERROR(__xludf.DUMMYFUNCTION("GOOGLETRANSLATE(B5135,""en"",""zh-CN"")"),"人民和那个男人一起在海滩上做太极拳。")</f>
        <v>人民和那个男人一起在海滩上做太极拳。</v>
      </c>
    </row>
    <row r="5136">
      <c r="A5136" s="4" t="s">
        <v>6448</v>
      </c>
      <c r="B5136" s="4" t="s">
        <v>6453</v>
      </c>
      <c r="C5136" s="5" t="str">
        <f>IFERROR(__xludf.DUMMYFUNCTION("GOOGLETRANSLATE(B5136,""en"",""zh-CN"")"),"这个男人一个人在山上做动作。")</f>
        <v>这个男人一个人在山上做动作。</v>
      </c>
    </row>
    <row r="5137">
      <c r="A5137" s="4" t="s">
        <v>6448</v>
      </c>
      <c r="B5137" s="4" t="s">
        <v>6454</v>
      </c>
      <c r="C5137" s="5" t="str">
        <f>IFERROR(__xludf.DUMMYFUNCTION("GOOGLETRANSLATE(B5137,""en"",""zh-CN"")"),"当太阳开始落山时，该男子回到海滩上采取行动。")</f>
        <v>当太阳开始落山时，该男子回到海滩上采取行动。</v>
      </c>
    </row>
    <row r="5138">
      <c r="A5138" s="4" t="s">
        <v>6448</v>
      </c>
      <c r="B5138" s="4" t="s">
        <v>6455</v>
      </c>
      <c r="C5138" s="5" t="str">
        <f>IFERROR(__xludf.DUMMYFUNCTION("GOOGLETRANSLATE(B5138,""en"",""zh-CN"")"),"人们正在海滩上和他一起采取行动。")</f>
        <v>人们正在海滩上和他一起采取行动。</v>
      </c>
    </row>
    <row r="5139">
      <c r="A5139" s="4" t="s">
        <v>6448</v>
      </c>
      <c r="B5139" s="4" t="s">
        <v>6456</v>
      </c>
      <c r="C5139" s="5" t="str">
        <f>IFERROR(__xludf.DUMMYFUNCTION("GOOGLETRANSLATE(B5139,""en"",""zh-CN"")"),"屏幕上的单词碰到了。")</f>
        <v>屏幕上的单词碰到了。</v>
      </c>
    </row>
    <row r="5140">
      <c r="A5140" s="4" t="s">
        <v>6457</v>
      </c>
      <c r="B5140" s="4" t="s">
        <v>6458</v>
      </c>
      <c r="C5140" s="5" t="str">
        <f>IFERROR(__xludf.DUMMYFUNCTION("GOOGLETRANSLATE(B5140,""en"",""zh-CN"")"),"一个戴着帽子的男孩在说话。")</f>
        <v>一个戴着帽子的男孩在说话。</v>
      </c>
    </row>
    <row r="5141">
      <c r="A5141" s="4" t="s">
        <v>6457</v>
      </c>
      <c r="B5141" s="4" t="s">
        <v>6459</v>
      </c>
      <c r="C5141" s="5" t="str">
        <f>IFERROR(__xludf.DUMMYFUNCTION("GOOGLETRANSLATE(B5141,""en"",""zh-CN"")"),"他抽烟，将烟雾吹向空中。")</f>
        <v>他抽烟，将烟雾吹向空中。</v>
      </c>
    </row>
    <row r="5142">
      <c r="A5142" s="4" t="s">
        <v>6457</v>
      </c>
      <c r="B5142" s="4" t="s">
        <v>6460</v>
      </c>
      <c r="C5142" s="5" t="str">
        <f>IFERROR(__xludf.DUMMYFUNCTION("GOOGLETRANSLATE(B5142,""en"",""zh-CN"")"),"他继续与镜头说话。")</f>
        <v>他继续与镜头说话。</v>
      </c>
    </row>
    <row r="5143">
      <c r="A5143" s="4" t="s">
        <v>6457</v>
      </c>
      <c r="B5143" s="4" t="s">
        <v>6461</v>
      </c>
      <c r="C5143" s="5" t="str">
        <f>IFERROR(__xludf.DUMMYFUNCTION("GOOGLETRANSLATE(B5143,""en"",""zh-CN"")"),"他再次从管道上抽烟，再吹几次烟雾。")</f>
        <v>他再次从管道上抽烟，再吹几次烟雾。</v>
      </c>
    </row>
    <row r="5144">
      <c r="A5144" s="4" t="s">
        <v>6462</v>
      </c>
      <c r="B5144" s="4" t="s">
        <v>6463</v>
      </c>
      <c r="C5144" s="5" t="str">
        <f>IFERROR(__xludf.DUMMYFUNCTION("GOOGLETRANSLATE(B5144,""en"",""zh-CN"")"),"一个小孩在玩具板上熨烫衣服。")</f>
        <v>一个小孩在玩具板上熨烫衣服。</v>
      </c>
    </row>
    <row r="5145">
      <c r="A5145" s="4" t="s">
        <v>6462</v>
      </c>
      <c r="B5145" s="4" t="s">
        <v>6464</v>
      </c>
      <c r="C5145" s="5" t="str">
        <f>IFERROR(__xludf.DUMMYFUNCTION("GOOGLETRANSLATE(B5145,""en"",""zh-CN"")"),"蹒跚学步的衣服和褶皱，然后她继续熨烫。")</f>
        <v>蹒跚学步的衣服和褶皱，然后她继续熨烫。</v>
      </c>
    </row>
    <row r="5146">
      <c r="A5146" s="4" t="s">
        <v>6462</v>
      </c>
      <c r="B5146" s="4" t="s">
        <v>6465</v>
      </c>
      <c r="C5146" s="5" t="str">
        <f>IFERROR(__xludf.DUMMYFUNCTION("GOOGLETRANSLATE(B5146,""en"",""zh-CN"")"),"然后，幼儿再次折叠衣服并熨烫。")</f>
        <v>然后，幼儿再次折叠衣服并熨烫。</v>
      </c>
    </row>
    <row r="5147">
      <c r="A5147" s="4" t="s">
        <v>6466</v>
      </c>
      <c r="B5147" s="4" t="s">
        <v>6467</v>
      </c>
      <c r="C5147" s="5" t="str">
        <f>IFERROR(__xludf.DUMMYFUNCTION("GOOGLETRANSLATE(B5147,""en"",""zh-CN"")"),"看到一个人穿着齿轮并在草地周围徘徊。")</f>
        <v>看到一个人穿着齿轮并在草地周围徘徊。</v>
      </c>
    </row>
    <row r="5148">
      <c r="A5148" s="4" t="s">
        <v>6466</v>
      </c>
      <c r="B5148" s="4" t="s">
        <v>6468</v>
      </c>
      <c r="C5148" s="5" t="str">
        <f>IFERROR(__xludf.DUMMYFUNCTION("GOOGLETRANSLATE(B5148,""en"",""zh-CN"")"),"该男子使用工具沿着草切割。")</f>
        <v>该男子使用工具沿着草切割。</v>
      </c>
    </row>
    <row r="5149">
      <c r="A5149" s="4" t="s">
        <v>6466</v>
      </c>
      <c r="B5149" s="4" t="s">
        <v>6469</v>
      </c>
      <c r="C5149" s="5" t="str">
        <f>IFERROR(__xludf.DUMMYFUNCTION("GOOGLETRANSLATE(B5149,""en"",""zh-CN"")"),"他继续沿着草移动，最后炫耀该工具。")</f>
        <v>他继续沿着草移动，最后炫耀该工具。</v>
      </c>
    </row>
    <row r="5150">
      <c r="A5150" s="4" t="s">
        <v>6470</v>
      </c>
      <c r="B5150" s="4" t="s">
        <v>6471</v>
      </c>
      <c r="C5150" s="5" t="str">
        <f>IFERROR(__xludf.DUMMYFUNCTION("GOOGLETRANSLATE(B5150,""en"",""zh-CN"")"),"一个人正在山上骑越野车。")</f>
        <v>一个人正在山上骑越野车。</v>
      </c>
    </row>
    <row r="5151">
      <c r="A5151" s="4" t="s">
        <v>6470</v>
      </c>
      <c r="B5151" s="4" t="s">
        <v>6472</v>
      </c>
      <c r="C5151" s="5" t="str">
        <f>IFERROR(__xludf.DUMMYFUNCTION("GOOGLETRANSLATE(B5151,""en"",""zh-CN"")"),"有人站在一个土山顶上。")</f>
        <v>有人站在一个土山顶上。</v>
      </c>
    </row>
    <row r="5152">
      <c r="A5152" s="4" t="s">
        <v>6470</v>
      </c>
      <c r="B5152" s="4" t="s">
        <v>6473</v>
      </c>
      <c r="C5152" s="5" t="str">
        <f>IFERROR(__xludf.DUMMYFUNCTION("GOOGLETRANSLATE(B5152,""en"",""zh-CN"")"),"人们站在山坡上。")</f>
        <v>人们站在山坡上。</v>
      </c>
    </row>
    <row r="5153">
      <c r="A5153" s="4" t="s">
        <v>6474</v>
      </c>
      <c r="B5153" s="4" t="s">
        <v>6475</v>
      </c>
      <c r="C5153" s="5" t="str">
        <f>IFERROR(__xludf.DUMMYFUNCTION("GOOGLETRANSLATE(B5153,""en"",""zh-CN"")"),"一个人在炉子上搅拌锅。")</f>
        <v>一个人在炉子上搅拌锅。</v>
      </c>
    </row>
    <row r="5154">
      <c r="A5154" s="4" t="s">
        <v>6474</v>
      </c>
      <c r="B5154" s="4" t="s">
        <v>6476</v>
      </c>
      <c r="C5154" s="5" t="str">
        <f>IFERROR(__xludf.DUMMYFUNCTION("GOOGLETRANSLATE(B5154,""en"",""zh-CN"")"),"盘子被带到炉子上。")</f>
        <v>盘子被带到炉子上。</v>
      </c>
    </row>
    <row r="5155">
      <c r="A5155" s="4" t="s">
        <v>6474</v>
      </c>
      <c r="B5155" s="4" t="s">
        <v>6477</v>
      </c>
      <c r="C5155" s="5" t="str">
        <f>IFERROR(__xludf.DUMMYFUNCTION("GOOGLETRANSLATE(B5155,""en"",""zh-CN"")"),"他把锅中的东西撒在盘子上。")</f>
        <v>他把锅中的东西撒在盘子上。</v>
      </c>
    </row>
    <row r="5156">
      <c r="A5156" s="4" t="s">
        <v>6478</v>
      </c>
      <c r="B5156" s="6" t="s">
        <v>6479</v>
      </c>
      <c r="C5156" s="5" t="str">
        <f>IFERROR(__xludf.DUMMYFUNCTION("GOOGLETRANSLATE(B5156,""en"",""zh-CN"")"),"许多穿着许多不同鞋子的不同妇女正在人行道上walking狗，一个穿着楔子走上楼梯。")</f>
        <v>许多穿着许多不同鞋子的不同妇女正在人行道上walking狗，一个穿着楔子走上楼梯。</v>
      </c>
    </row>
    <row r="5157">
      <c r="A5157" s="4" t="s">
        <v>6478</v>
      </c>
      <c r="B5157" s="4" t="s">
        <v>6480</v>
      </c>
      <c r="C5157" s="5" t="str">
        <f>IFERROR(__xludf.DUMMYFUNCTION("GOOGLETRANSLATE(B5157,""en"",""zh-CN"")"),"一个男人开始谈论看起来像狗的造型师客厅。")</f>
        <v>一个男人开始谈论看起来像狗的造型师客厅。</v>
      </c>
    </row>
    <row r="5158">
      <c r="A5158" s="4" t="s">
        <v>6478</v>
      </c>
      <c r="B5158" s="4" t="s">
        <v>6481</v>
      </c>
      <c r="C5158" s="5" t="str">
        <f>IFERROR(__xludf.DUMMYFUNCTION("GOOGLETRANSLATE(B5158,""en"",""zh-CN"")"),"有很多狗正在修饰，并剪发可爱。")</f>
        <v>有很多狗正在修饰，并剪发可爱。</v>
      </c>
    </row>
    <row r="5159">
      <c r="A5159" s="4" t="s">
        <v>6478</v>
      </c>
      <c r="B5159" s="4" t="s">
        <v>6482</v>
      </c>
      <c r="C5159" s="5" t="str">
        <f>IFERROR(__xludf.DUMMYFUNCTION("GOOGLETRANSLATE(B5159,""en"",""zh-CN"")"),"其中一个正在摇晃它的尾巴，非常兴奋地享受这种情况。")</f>
        <v>其中一个正在摇晃它的尾巴，非常兴奋地享受这种情况。</v>
      </c>
    </row>
    <row r="5160">
      <c r="A5160" s="4" t="s">
        <v>6483</v>
      </c>
      <c r="B5160" s="4" t="s">
        <v>6484</v>
      </c>
      <c r="C5160" s="5" t="str">
        <f>IFERROR(__xludf.DUMMYFUNCTION("GOOGLETRANSLATE(B5160,""en"",""zh-CN"")"),"在腰部杰克（Jack）外面，杰克（Jack）站在斧头上，他穿着外套打扮，以保持温暖。")</f>
        <v>在腰部杰克（Jack）外面，杰克（Jack）站在斧头上，他穿着外套打扮，以保持温暖。</v>
      </c>
    </row>
    <row r="5161">
      <c r="A5161" s="4" t="s">
        <v>6483</v>
      </c>
      <c r="B5161" s="4" t="s">
        <v>6485</v>
      </c>
      <c r="C5161" s="5" t="str">
        <f>IFERROR(__xludf.DUMMYFUNCTION("GOOGLETRANSLATE(B5161,""en"",""zh-CN"")"),"他一边有很多原木。")</f>
        <v>他一边有很多原木。</v>
      </c>
    </row>
    <row r="5162">
      <c r="A5162" s="4" t="s">
        <v>6483</v>
      </c>
      <c r="B5162" s="4" t="s">
        <v>6486</v>
      </c>
      <c r="C5162" s="5" t="str">
        <f>IFERROR(__xludf.DUMMYFUNCTION("GOOGLETRANSLATE(B5162,""en"",""zh-CN"")"),"所有人最有可能被火灾割伤和收集，以使房屋在冬天的夜晚保持温暖。")</f>
        <v>所有人最有可能被火灾割伤和收集，以使房屋在冬天的夜晚保持温暖。</v>
      </c>
    </row>
    <row r="5163">
      <c r="A5163" s="4" t="s">
        <v>6483</v>
      </c>
      <c r="B5163" s="4" t="s">
        <v>6487</v>
      </c>
      <c r="C5163" s="5" t="str">
        <f>IFERROR(__xludf.DUMMYFUNCTION("GOOGLETRANSLATE(B5163,""en"",""zh-CN"")"),"他拿起斧头，用它击中分支。")</f>
        <v>他拿起斧头，用它击中分支。</v>
      </c>
    </row>
    <row r="5164">
      <c r="A5164" s="4" t="s">
        <v>6488</v>
      </c>
      <c r="B5164" s="4" t="s">
        <v>6489</v>
      </c>
      <c r="C5164" s="5" t="str">
        <f>IFERROR(__xludf.DUMMYFUNCTION("GOOGLETRANSLATE(B5164,""en"",""zh-CN"")"),"显示了一个大型竞技场，其中有一个大屏幕，显示了该领域的运动员。")</f>
        <v>显示了一个大型竞技场，其中有一个大屏幕，显示了该领域的运动员。</v>
      </c>
    </row>
    <row r="5165">
      <c r="A5165" s="4" t="s">
        <v>6488</v>
      </c>
      <c r="B5165" s="6" t="s">
        <v>6490</v>
      </c>
      <c r="C5165" s="5" t="str">
        <f>IFERROR(__xludf.DUMMYFUNCTION("GOOGLETRANSLATE(B5165,""en"",""zh-CN"")"),"然后在一个笼子里旋转一个人，向人们开始衡量的镜头。")</f>
        <v>然后在一个笼子里旋转一个人，向人们开始衡量的镜头。</v>
      </c>
    </row>
    <row r="5166">
      <c r="A5166" s="4" t="s">
        <v>6488</v>
      </c>
      <c r="B5166" s="4" t="s">
        <v>6491</v>
      </c>
      <c r="C5166" s="5" t="str">
        <f>IFERROR(__xludf.DUMMYFUNCTION("GOOGLETRANSLATE(B5166,""en"",""zh-CN"")"),"另一个人接近圈子，重复动作，并开始欢乐合唱。")</f>
        <v>另一个人接近圈子，重复动作，并开始欢乐合唱。</v>
      </c>
    </row>
    <row r="5167">
      <c r="A5167" s="4" t="s">
        <v>6488</v>
      </c>
      <c r="B5167" s="6" t="s">
        <v>6492</v>
      </c>
      <c r="C5167" s="5" t="str">
        <f>IFERROR(__xludf.DUMMYFUNCTION("GOOGLETRANSLATE(B5167,""en"",""zh-CN"")"),"越来越多的人接近展位，它继续继续前进，直到他们完成了每个转弯，然后转向观众挥手。")</f>
        <v>越来越多的人接近展位，它继续继续前进，直到他们完成了每个转弯，然后转向观众挥手。</v>
      </c>
    </row>
    <row r="5168">
      <c r="A5168" s="4" t="s">
        <v>6493</v>
      </c>
      <c r="B5168" s="4" t="s">
        <v>6494</v>
      </c>
      <c r="C5168" s="5" t="str">
        <f>IFERROR(__xludf.DUMMYFUNCTION("GOOGLETRANSLATE(B5168,""en"",""zh-CN"")"),"有一个男人在自行车轮上使用各种工具。")</f>
        <v>有一个男人在自行车轮上使用各种工具。</v>
      </c>
    </row>
    <row r="5169">
      <c r="A5169" s="4" t="s">
        <v>6493</v>
      </c>
      <c r="B5169" s="6" t="s">
        <v>6495</v>
      </c>
      <c r="C5169" s="5" t="str">
        <f>IFERROR(__xludf.DUMMYFUNCTION("GOOGLETRANSLATE(B5169,""en"",""zh-CN"")"),"他首先用一对钳子将车轮的车轴转动，以将轴定位在中心。")</f>
        <v>他首先用一对钳子将车轮的车轴转动，以将轴定位在中心。</v>
      </c>
    </row>
    <row r="5170">
      <c r="A5170" s="4" t="s">
        <v>6493</v>
      </c>
      <c r="B5170" s="4" t="s">
        <v>6496</v>
      </c>
      <c r="C5170" s="5" t="str">
        <f>IFERROR(__xludf.DUMMYFUNCTION("GOOGLETRANSLATE(B5170,""en"",""zh-CN"")"),"然后，他修理了中心螺母，并使用扳手松开它。")</f>
        <v>然后，他修理了中心螺母，并使用扳手松开它。</v>
      </c>
    </row>
    <row r="5171">
      <c r="A5171" s="4" t="s">
        <v>6493</v>
      </c>
      <c r="B5171" s="4" t="s">
        <v>6497</v>
      </c>
      <c r="C5171" s="5" t="str">
        <f>IFERROR(__xludf.DUMMYFUNCTION("GOOGLETRANSLATE(B5171,""en"",""zh-CN"")"),"然后，他用手将车轴卸下。")</f>
        <v>然后，他用手将车轴卸下。</v>
      </c>
    </row>
    <row r="5172">
      <c r="A5172" s="4" t="s">
        <v>6493</v>
      </c>
      <c r="B5172" s="4" t="s">
        <v>6498</v>
      </c>
      <c r="C5172" s="5" t="str">
        <f>IFERROR(__xludf.DUMMYFUNCTION("GOOGLETRANSLATE(B5172,""en"",""zh-CN"")"),"他使用另一种工具将洗衣机从车轴上拧下。")</f>
        <v>他使用另一种工具将洗衣机从车轴上拧下。</v>
      </c>
    </row>
    <row r="5173">
      <c r="A5173" s="4" t="s">
        <v>6493</v>
      </c>
      <c r="B5173" s="4" t="s">
        <v>6499</v>
      </c>
      <c r="C5173" s="5" t="str">
        <f>IFERROR(__xludf.DUMMYFUNCTION("GOOGLETRANSLATE(B5173,""en"",""zh-CN"")"),"然后，他使用带有磁性端的工具将微小的金属颗粒从轴上取出。")</f>
        <v>然后，他使用带有磁性端的工具将微小的金属颗粒从轴上取出。</v>
      </c>
    </row>
    <row r="5174">
      <c r="A5174" s="4" t="s">
        <v>6493</v>
      </c>
      <c r="B5174" s="4" t="s">
        <v>6500</v>
      </c>
      <c r="C5174" s="5" t="str">
        <f>IFERROR(__xludf.DUMMYFUNCTION("GOOGLETRANSLATE(B5174,""en"",""zh-CN"")"),"之后，他用手指清洁了油腻轴的内边缘。")</f>
        <v>之后，他用手指清洁了油腻轴的内边缘。</v>
      </c>
    </row>
    <row r="5175">
      <c r="A5175" s="4" t="s">
        <v>6493</v>
      </c>
      <c r="B5175" s="4" t="s">
        <v>6501</v>
      </c>
      <c r="C5175" s="5" t="str">
        <f>IFERROR(__xludf.DUMMYFUNCTION("GOOGLETRANSLATE(B5175,""en"",""zh-CN"")"),"然后，他拿起洗衣机并将其清洗进一步清洁，将其固定回车轴。")</f>
        <v>然后，他拿起洗衣机并将其清洗进一步清洁，将其固定回车轴。</v>
      </c>
    </row>
    <row r="5176">
      <c r="A5176" s="4" t="s">
        <v>6502</v>
      </c>
      <c r="B5176" s="4" t="s">
        <v>6503</v>
      </c>
      <c r="C5176" s="5" t="str">
        <f>IFERROR(__xludf.DUMMYFUNCTION("GOOGLETRANSLATE(B5176,""en"",""zh-CN"")"),"当一个人的手将它们放入容器中时，可以看到一个近距离的水果坐在盘子上。")</f>
        <v>当一个人的手将它们放入容器中时，可以看到一个近距离的水果坐在盘子上。</v>
      </c>
    </row>
    <row r="5177">
      <c r="A5177" s="4" t="s">
        <v>6502</v>
      </c>
      <c r="B5177" s="4" t="s">
        <v>6504</v>
      </c>
      <c r="C5177" s="5" t="str">
        <f>IFERROR(__xludf.DUMMYFUNCTION("GOOGLETRANSLATE(B5177,""en"",""zh-CN"")"),"然后，该人用勺子一遍又一遍地将水果推到碗上。")</f>
        <v>然后，该人用勺子一遍又一遍地将水果推到碗上。</v>
      </c>
    </row>
    <row r="5178">
      <c r="A5178" s="4" t="s">
        <v>6502</v>
      </c>
      <c r="B5178" s="4" t="s">
        <v>6505</v>
      </c>
      <c r="C5178" s="5" t="str">
        <f>IFERROR(__xludf.DUMMYFUNCTION("GOOGLETRANSLATE(B5178,""en"",""zh-CN"")"),"该人将勺子丢入混合物中，并在屏幕上以文字结尾。")</f>
        <v>该人将勺子丢入混合物中，并在屏幕上以文字结尾。</v>
      </c>
    </row>
    <row r="5179">
      <c r="A5179" s="4" t="s">
        <v>6506</v>
      </c>
      <c r="B5179" s="4" t="s">
        <v>6507</v>
      </c>
      <c r="C5179" s="5" t="str">
        <f>IFERROR(__xludf.DUMMYFUNCTION("GOOGLETRANSLATE(B5179,""en"",""zh-CN"")"),"一个女人在院子里显示，与镜头交谈。")</f>
        <v>一个女人在院子里显示，与镜头交谈。</v>
      </c>
    </row>
    <row r="5180">
      <c r="A5180" s="4" t="s">
        <v>6506</v>
      </c>
      <c r="B5180" s="4" t="s">
        <v>6508</v>
      </c>
      <c r="C5180" s="5" t="str">
        <f>IFERROR(__xludf.DUMMYFUNCTION("GOOGLETRANSLATE(B5180,""en"",""zh-CN"")"),"然后，她骑马，在几个场景中展示了一个女人谈论技术。")</f>
        <v>然后，她骑马，在几个场景中展示了一个女人谈论技术。</v>
      </c>
    </row>
    <row r="5181">
      <c r="A5181" s="4" t="s">
        <v>6506</v>
      </c>
      <c r="B5181" s="4" t="s">
        <v>6509</v>
      </c>
      <c r="C5181" s="5" t="str">
        <f>IFERROR(__xludf.DUMMYFUNCTION("GOOGLETRANSLATE(B5181,""en"",""zh-CN"")"),"这个女孩独自骑马，然后与其他人一起走。")</f>
        <v>这个女孩独自骑马，然后与其他人一起走。</v>
      </c>
    </row>
    <row r="5182">
      <c r="A5182" s="4" t="s">
        <v>6510</v>
      </c>
      <c r="B5182" s="4" t="s">
        <v>6511</v>
      </c>
      <c r="C5182" s="5" t="str">
        <f>IFERROR(__xludf.DUMMYFUNCTION("GOOGLETRANSLATE(B5182,""en"",""zh-CN"")"),"健身房里有一个男人使用椭圆机。")</f>
        <v>健身房里有一个男人使用椭圆机。</v>
      </c>
    </row>
    <row r="5183">
      <c r="A5183" s="4" t="s">
        <v>6510</v>
      </c>
      <c r="B5183" s="4" t="s">
        <v>6512</v>
      </c>
      <c r="C5183" s="5" t="str">
        <f>IFERROR(__xludf.DUMMYFUNCTION("GOOGLETRANSLATE(B5183,""en"",""zh-CN"")"),"他穿着一条黑色田径裤，黑色衬衫和帽子。")</f>
        <v>他穿着一条黑色田径裤，黑色衬衫和帽子。</v>
      </c>
    </row>
    <row r="5184">
      <c r="A5184" s="4" t="s">
        <v>6510</v>
      </c>
      <c r="B5184" s="4" t="s">
        <v>6513</v>
      </c>
      <c r="C5184" s="5" t="str">
        <f>IFERROR(__xludf.DUMMYFUNCTION("GOOGLETRANSLATE(B5184,""en"",""zh-CN"")"),"他演示了如何正确使用椭圆形以保持一致的速度。")</f>
        <v>他演示了如何正确使用椭圆形以保持一致的速度。</v>
      </c>
    </row>
    <row r="5185">
      <c r="A5185" s="4" t="s">
        <v>6514</v>
      </c>
      <c r="B5185" s="6" t="s">
        <v>6515</v>
      </c>
      <c r="C5185" s="5" t="str">
        <f>IFERROR(__xludf.DUMMYFUNCTION("GOOGLETRANSLATE(B5185,""en"",""zh-CN"")"),"看到汤匙在各种食物和液体周围旋转，并在切菜板上的手动切割蔬菜。")</f>
        <v>看到汤匙在各种食物和液体周围旋转，并在切菜板上的手动切割蔬菜。</v>
      </c>
    </row>
    <row r="5186">
      <c r="A5186" s="4" t="s">
        <v>6514</v>
      </c>
      <c r="B5186" s="6" t="s">
        <v>6516</v>
      </c>
      <c r="C5186" s="5" t="str">
        <f>IFERROR(__xludf.DUMMYFUNCTION("GOOGLETRANSLATE(B5186,""en"",""zh-CN"")"),"看到一个婴儿从后面看着，相机放大了在有的各种网站和食物中。")</f>
        <v>看到一个婴儿从后面看着，相机放大了在有的各种网站和食物中。</v>
      </c>
    </row>
    <row r="5187">
      <c r="A5187" s="4" t="s">
        <v>6514</v>
      </c>
      <c r="B5187" s="4" t="s">
        <v>6517</v>
      </c>
      <c r="C5187" s="5" t="str">
        <f>IFERROR(__xludf.DUMMYFUNCTION("GOOGLETRANSLATE(B5187,""en"",""zh-CN"")"),"看到面食坐在锅中，该人用勺子将其旋转。")</f>
        <v>看到面食坐在锅中，该人用勺子将其旋转。</v>
      </c>
    </row>
    <row r="5188">
      <c r="A5188" s="4" t="s">
        <v>6514</v>
      </c>
      <c r="B5188" s="6" t="s">
        <v>6518</v>
      </c>
      <c r="C5188" s="5" t="str">
        <f>IFERROR(__xludf.DUMMYFUNCTION("GOOGLETRANSLATE(B5188,""en"",""zh-CN"")"),"他们将食材倒入锅中以碗中加入更多的蔬菜，最后所有放在盘子上的成分结束。")</f>
        <v>他们将食材倒入锅中以碗中加入更多的蔬菜，最后所有放在盘子上的成分结束。</v>
      </c>
    </row>
    <row r="5189">
      <c r="A5189" s="4" t="s">
        <v>6519</v>
      </c>
      <c r="B5189" s="4" t="s">
        <v>6520</v>
      </c>
      <c r="C5189" s="5" t="str">
        <f>IFERROR(__xludf.DUMMYFUNCTION("GOOGLETRANSLATE(B5189,""en"",""zh-CN"")"),"看到一个男人的特写镜头拿着手风琴，坐在相机前。")</f>
        <v>看到一个男人的特写镜头拿着手风琴，坐在相机前。</v>
      </c>
    </row>
    <row r="5190">
      <c r="A5190" s="4" t="s">
        <v>6519</v>
      </c>
      <c r="B5190" s="4" t="s">
        <v>6521</v>
      </c>
      <c r="C5190" s="5" t="str">
        <f>IFERROR(__xludf.DUMMYFUNCTION("GOOGLETRANSLATE(B5190,""en"",""zh-CN"")"),"该男子在看相机时开始演奏乐器。")</f>
        <v>该男子在看相机时开始演奏乐器。</v>
      </c>
    </row>
    <row r="5191">
      <c r="A5191" s="4" t="s">
        <v>6519</v>
      </c>
      <c r="B5191" s="4" t="s">
        <v>6522</v>
      </c>
      <c r="C5191" s="5" t="str">
        <f>IFERROR(__xludf.DUMMYFUNCTION("GOOGLETRANSLATE(B5191,""en"",""zh-CN"")"),"他停下来说话片刻，然后继续演奏。")</f>
        <v>他停下来说话片刻，然后继续演奏。</v>
      </c>
    </row>
    <row r="5192">
      <c r="A5192" s="4" t="s">
        <v>6523</v>
      </c>
      <c r="B5192" s="4" t="s">
        <v>6524</v>
      </c>
      <c r="C5192" s="5" t="str">
        <f>IFERROR(__xludf.DUMMYFUNCTION("GOOGLETRANSLATE(B5192,""en"",""zh-CN"")"),"一个穿着黄色衬衫和一个穿黑色衬衫的男人打球拍球。")</f>
        <v>一个穿着黄色衬衫和一个穿黑色衬衫的男人打球拍球。</v>
      </c>
    </row>
    <row r="5193">
      <c r="A5193" s="4" t="s">
        <v>6523</v>
      </c>
      <c r="B5193" s="4" t="s">
        <v>6525</v>
      </c>
      <c r="C5193" s="5" t="str">
        <f>IFERROR(__xludf.DUMMYFUNCTION("GOOGLETRANSLATE(B5193,""en"",""zh-CN"")"),"黑色的男人为球服务。")</f>
        <v>黑色的男人为球服务。</v>
      </c>
    </row>
    <row r="5194">
      <c r="A5194" s="4" t="s">
        <v>6523</v>
      </c>
      <c r="B5194" s="4" t="s">
        <v>6526</v>
      </c>
      <c r="C5194" s="5" t="str">
        <f>IFERROR(__xludf.DUMMYFUNCTION("GOOGLETRANSLATE(B5194,""en"",""zh-CN"")"),"黄色的男人为球服务。")</f>
        <v>黄色的男人为球服务。</v>
      </c>
    </row>
    <row r="5195">
      <c r="A5195" s="4" t="s">
        <v>6523</v>
      </c>
      <c r="B5195" s="4" t="s">
        <v>6527</v>
      </c>
      <c r="C5195" s="5" t="str">
        <f>IFERROR(__xludf.DUMMYFUNCTION("GOOGLETRANSLATE(B5195,""en"",""zh-CN"")"),"黄色的男人再次将球送给球。")</f>
        <v>黄色的男人再次将球送给球。</v>
      </c>
    </row>
    <row r="5196">
      <c r="A5196" s="4" t="s">
        <v>6523</v>
      </c>
      <c r="B5196" s="4" t="s">
        <v>6528</v>
      </c>
      <c r="C5196" s="5" t="str">
        <f>IFERROR(__xludf.DUMMYFUNCTION("GOOGLETRANSLATE(B5196,""en"",""zh-CN"")"),"黄色的男人独自一人玩耍，而黑色的男人站在过去。")</f>
        <v>黄色的男人独自一人玩耍，而黑色的男人站在过去。</v>
      </c>
    </row>
    <row r="5197">
      <c r="A5197" s="4" t="s">
        <v>6523</v>
      </c>
      <c r="B5197" s="4" t="s">
        <v>6529</v>
      </c>
      <c r="C5197" s="5" t="str">
        <f>IFERROR(__xludf.DUMMYFUNCTION("GOOGLETRANSLATE(B5197,""en"",""zh-CN"")"),"手覆盖相机镜头。")</f>
        <v>手覆盖相机镜头。</v>
      </c>
    </row>
    <row r="5198">
      <c r="A5198" s="4" t="s">
        <v>6530</v>
      </c>
      <c r="B5198" s="4" t="s">
        <v>6531</v>
      </c>
      <c r="C5198" s="5" t="str">
        <f>IFERROR(__xludf.DUMMYFUNCTION("GOOGLETRANSLATE(B5198,""en"",""zh-CN"")"),"一个人站在岩层上。")</f>
        <v>一个人站在岩层上。</v>
      </c>
    </row>
    <row r="5199">
      <c r="A5199" s="4" t="s">
        <v>6530</v>
      </c>
      <c r="B5199" s="6" t="s">
        <v>6532</v>
      </c>
      <c r="C5199" s="5" t="str">
        <f>IFERROR(__xludf.DUMMYFUNCTION("GOOGLETRANSLATE(B5199,""en"",""zh-CN"")"),"从各种角度和环境中展示了几个个人攀岩的场景，并散布着登山者的短暂特写镜头。")</f>
        <v>从各种角度和环境中展示了几个个人攀岩的场景，并散布着登山者的短暂特写镜头。</v>
      </c>
    </row>
    <row r="5200">
      <c r="A5200" s="4" t="s">
        <v>6530</v>
      </c>
      <c r="B5200" s="4" t="s">
        <v>6533</v>
      </c>
      <c r="C5200" s="5" t="str">
        <f>IFERROR(__xludf.DUMMYFUNCTION("GOOGLETRANSLATE(B5200,""en"",""zh-CN"")"),"在黑屏上显示了几个学分。")</f>
        <v>在黑屏上显示了几个学分。</v>
      </c>
    </row>
    <row r="5201">
      <c r="A5201" s="4" t="s">
        <v>6534</v>
      </c>
      <c r="B5201" s="4" t="s">
        <v>6535</v>
      </c>
      <c r="C5201" s="5" t="str">
        <f>IFERROR(__xludf.DUMMYFUNCTION("GOOGLETRANSLATE(B5201,""en"",""zh-CN"")"),"水在河中的岩石之间涌入。")</f>
        <v>水在河中的岩石之间涌入。</v>
      </c>
    </row>
    <row r="5202">
      <c r="A5202" s="4" t="s">
        <v>6534</v>
      </c>
      <c r="B5202" s="4" t="s">
        <v>6536</v>
      </c>
      <c r="C5202" s="5" t="str">
        <f>IFERROR(__xludf.DUMMYFUNCTION("GOOGLETRANSLATE(B5202,""en"",""zh-CN"")"),"r子出现，穿过急流。")</f>
        <v>r子出现，穿过急流。</v>
      </c>
    </row>
    <row r="5203">
      <c r="A5203" s="4" t="s">
        <v>6534</v>
      </c>
      <c r="B5203" s="4" t="s">
        <v>6537</v>
      </c>
      <c r="C5203" s="5" t="str">
        <f>IFERROR(__xludf.DUMMYFUNCTION("GOOGLETRANSLATE(B5203,""en"",""zh-CN"")"),"after在河水航行时继续进行。")</f>
        <v>after在河水航行时继续进行。</v>
      </c>
    </row>
    <row r="5204">
      <c r="A5204" s="4" t="s">
        <v>6538</v>
      </c>
      <c r="B5204" s="4" t="s">
        <v>6539</v>
      </c>
      <c r="C5204" s="5" t="str">
        <f>IFERROR(__xludf.DUMMYFUNCTION("GOOGLETRANSLATE(B5204,""en"",""zh-CN"")"),"屏幕上出现一个蓝色徽标，其中包含白色单词。")</f>
        <v>屏幕上出现一个蓝色徽标，其中包含白色单词。</v>
      </c>
    </row>
    <row r="5205">
      <c r="A5205" s="4" t="s">
        <v>6538</v>
      </c>
      <c r="B5205" s="4" t="s">
        <v>6540</v>
      </c>
      <c r="C5205" s="5" t="str">
        <f>IFERROR(__xludf.DUMMYFUNCTION("GOOGLETRANSLATE(B5205,""en"",""zh-CN"")"),"然后，一名年轻的男性体操运动员在平衡梁前的房间中显示。")</f>
        <v>然后，一名年轻的男性体操运动员在平衡梁前的房间中显示。</v>
      </c>
    </row>
    <row r="5206">
      <c r="A5206" s="4" t="s">
        <v>6538</v>
      </c>
      <c r="B5206" s="4" t="s">
        <v>6541</v>
      </c>
      <c r="C5206" s="5" t="str">
        <f>IFERROR(__xludf.DUMMYFUNCTION("GOOGLETRANSLATE(B5206,""en"",""zh-CN"")"),"然后，体操运动员开始用手来描述他将要做的动作。")</f>
        <v>然后，体操运动员开始用手来描述他将要做的动作。</v>
      </c>
    </row>
    <row r="5207">
      <c r="A5207" s="4" t="s">
        <v>6538</v>
      </c>
      <c r="B5207" s="6" t="s">
        <v>6542</v>
      </c>
      <c r="C5207" s="5" t="str">
        <f>IFERROR(__xludf.DUMMYFUNCTION("GOOGLETRANSLATE(B5207,""en"",""zh-CN"")"),"之后，雄性抓住了两个酒吧，将自己拉起来，抬起身体，然后进入手架，他下来，再做一个。")</f>
        <v>之后，雄性抓住了两个酒吧，将自己拉起来，抬起身体，然后进入手架，他下来，再做一个。</v>
      </c>
    </row>
    <row r="5208">
      <c r="A5208" s="4" t="s">
        <v>6538</v>
      </c>
      <c r="B5208" s="4" t="s">
        <v>6543</v>
      </c>
      <c r="C5208" s="5" t="str">
        <f>IFERROR(__xludf.DUMMYFUNCTION("GOOGLETRANSLATE(B5208,""en"",""zh-CN"")"),"体操运动员再做几个技巧，然后从酒吧里翻转。")</f>
        <v>体操运动员再做几个技巧，然后从酒吧里翻转。</v>
      </c>
    </row>
    <row r="5209">
      <c r="A5209" s="4" t="s">
        <v>6544</v>
      </c>
      <c r="B5209" s="4" t="s">
        <v>6545</v>
      </c>
      <c r="C5209" s="5" t="str">
        <f>IFERROR(__xludf.DUMMYFUNCTION("GOOGLETRANSLATE(B5209,""en"",""zh-CN"")"),"一个穿着蓝色衬衫和黑色围裙的女人开始在桌子后面说话。")</f>
        <v>一个穿着蓝色衬衫和黑色围裙的女人开始在桌子后面说话。</v>
      </c>
    </row>
    <row r="5210">
      <c r="A5210" s="4" t="s">
        <v>6544</v>
      </c>
      <c r="B5210" s="6" t="s">
        <v>6546</v>
      </c>
      <c r="C5210" s="5" t="str">
        <f>IFERROR(__xludf.DUMMYFUNCTION("GOOGLETRANSLATE(B5210,""en"",""zh-CN"")"),"在桌子上，她有五种不同类型的油漆，刷子和其他用品来完成任务。")</f>
        <v>在桌子上，她有五种不同类型的油漆，刷子和其他用品来完成任务。</v>
      </c>
    </row>
    <row r="5211">
      <c r="A5211" s="4" t="s">
        <v>6544</v>
      </c>
      <c r="B5211" s="4" t="s">
        <v>6547</v>
      </c>
      <c r="C5211" s="5" t="str">
        <f>IFERROR(__xludf.DUMMYFUNCTION("GOOGLETRANSLATE(B5211,""en"",""zh-CN"")"),"然后，当她靠在她旁边的木桌上时，她开始说话。")</f>
        <v>然后，当她靠在她旁边的木桌上时，她开始说话。</v>
      </c>
    </row>
    <row r="5212">
      <c r="A5212" s="4" t="s">
        <v>6544</v>
      </c>
      <c r="B5212" s="6" t="s">
        <v>6548</v>
      </c>
      <c r="C5212" s="5" t="str">
        <f>IFERROR(__xludf.DUMMYFUNCTION("GOOGLETRANSLATE(B5212,""en"",""zh-CN"")"),"这位女士首先拿起螺丝刀并从抽屉里取下旋钮，然后用湿布将其擦拭。")</f>
        <v>这位女士首先拿起螺丝刀并从抽屉里取下旋钮，然后用湿布将其擦拭。</v>
      </c>
    </row>
    <row r="5213">
      <c r="A5213" s="4" t="s">
        <v>6544</v>
      </c>
      <c r="B5213" s="4" t="s">
        <v>6549</v>
      </c>
      <c r="C5213" s="5" t="str">
        <f>IFERROR(__xludf.DUMMYFUNCTION("GOOGLETRANSLATE(B5213,""en"",""zh-CN"")"),"接下来是棕色油漆，因为她开始在上面放各种笔触以完成它。")</f>
        <v>接下来是棕色油漆，因为她开始在上面放各种笔触以完成它。</v>
      </c>
    </row>
    <row r="5214">
      <c r="A5214" s="4" t="s">
        <v>6544</v>
      </c>
      <c r="B5214" s="4" t="s">
        <v>6550</v>
      </c>
      <c r="C5214" s="5" t="str">
        <f>IFERROR(__xludf.DUMMYFUNCTION("GOOGLETRANSLATE(B5214,""en"",""zh-CN"")"),"支架完成了，但然后返回并开始在其上添加饰面。")</f>
        <v>支架完成了，但然后返回并开始在其上添加饰面。</v>
      </c>
    </row>
    <row r="5215">
      <c r="A5215" s="4" t="s">
        <v>6551</v>
      </c>
      <c r="B5215" s="4" t="s">
        <v>6552</v>
      </c>
      <c r="C5215" s="5" t="str">
        <f>IFERROR(__xludf.DUMMYFUNCTION("GOOGLETRANSLATE(B5215,""en"",""zh-CN"")"),"我们看到树林里的一堆木头。")</f>
        <v>我们看到树林里的一堆木头。</v>
      </c>
    </row>
    <row r="5216">
      <c r="A5216" s="4" t="s">
        <v>6551</v>
      </c>
      <c r="B5216" s="4" t="s">
        <v>6553</v>
      </c>
      <c r="C5216" s="5" t="str">
        <f>IFERROR(__xludf.DUMMYFUNCTION("GOOGLETRANSLATE(B5216,""en"",""zh-CN"")"),"一个戴着牛仔帽子的男人走上去抓住斧头。")</f>
        <v>一个戴着牛仔帽子的男人走上去抓住斧头。</v>
      </c>
    </row>
    <row r="5217">
      <c r="A5217" s="4" t="s">
        <v>6551</v>
      </c>
      <c r="B5217" s="4" t="s">
        <v>6554</v>
      </c>
      <c r="C5217" s="5" t="str">
        <f>IFERROR(__xludf.DUMMYFUNCTION("GOOGLETRANSLATE(B5217,""en"",""zh-CN"")"),"然后，该男子四处走动，用斧头击中原木，并将它们分为两击。")</f>
        <v>然后，该男子四处走动，用斧头击中原木，并将它们分为两击。</v>
      </c>
    </row>
    <row r="5218">
      <c r="A5218" s="4" t="s">
        <v>6551</v>
      </c>
      <c r="B5218" s="4" t="s">
        <v>6555</v>
      </c>
      <c r="C5218" s="5" t="str">
        <f>IFERROR(__xludf.DUMMYFUNCTION("GOOGLETRANSLATE(B5218,""en"",""zh-CN"")"),"该男子掉下斧头并关闭相机。")</f>
        <v>该男子掉下斧头并关闭相机。</v>
      </c>
    </row>
    <row r="5219">
      <c r="A5219" s="4" t="s">
        <v>6556</v>
      </c>
      <c r="B5219" s="4" t="s">
        <v>6557</v>
      </c>
      <c r="C5219" s="5" t="str">
        <f>IFERROR(__xludf.DUMMYFUNCTION("GOOGLETRANSLATE(B5219,""en"",""zh-CN"")"),"一个人在网球场周围行走。")</f>
        <v>一个人在网球场周围行走。</v>
      </c>
    </row>
    <row r="5220">
      <c r="A5220" s="4" t="s">
        <v>6556</v>
      </c>
      <c r="B5220" s="4" t="s">
        <v>6558</v>
      </c>
      <c r="C5220" s="5" t="str">
        <f>IFERROR(__xludf.DUMMYFUNCTION("GOOGLETRANSLATE(B5220,""en"",""zh-CN"")"),"另一个男人似乎在网球球拍上摇摆。")</f>
        <v>另一个男人似乎在网球球拍上摇摆。</v>
      </c>
    </row>
    <row r="5221">
      <c r="A5221" s="4" t="s">
        <v>6556</v>
      </c>
      <c r="B5221" s="4" t="s">
        <v>6559</v>
      </c>
      <c r="C5221" s="5" t="str">
        <f>IFERROR(__xludf.DUMMYFUNCTION("GOOGLETRANSLATE(B5221,""en"",""zh-CN"")"),"当另一个男人走进框架时，他在地板上弹跳了一个网球。")</f>
        <v>当另一个男人走进框架时，他在地板上弹跳了一个网球。</v>
      </c>
    </row>
    <row r="5222">
      <c r="A5222" s="4" t="s">
        <v>6556</v>
      </c>
      <c r="B5222" s="4" t="s">
        <v>6560</v>
      </c>
      <c r="C5222" s="5" t="str">
        <f>IFERROR(__xludf.DUMMYFUNCTION("GOOGLETRANSLATE(B5222,""en"",""zh-CN"")"),"他们在四处走动并准备比赛时聊了一会儿。")</f>
        <v>他们在四处走动并准备比赛时聊了一会儿。</v>
      </c>
    </row>
    <row r="5223">
      <c r="A5223" s="4" t="s">
        <v>6556</v>
      </c>
      <c r="B5223" s="4" t="s">
        <v>6561</v>
      </c>
      <c r="C5223" s="5" t="str">
        <f>IFERROR(__xludf.DUMMYFUNCTION("GOOGLETRANSLATE(B5223,""en"",""zh-CN"")"),"该男子向后奔跑，第四次将球从墙壁上击中。")</f>
        <v>该男子向后奔跑，第四次将球从墙壁上击中。</v>
      </c>
    </row>
    <row r="5224">
      <c r="A5224" s="4" t="s">
        <v>6562</v>
      </c>
      <c r="B5224" s="4" t="s">
        <v>6563</v>
      </c>
      <c r="C5224" s="5" t="str">
        <f>IFERROR(__xludf.DUMMYFUNCTION("GOOGLETRANSLATE(B5224,""en"",""zh-CN"")"),"有一个男人在高跷跳跃，在室内健身房做特技。")</f>
        <v>有一个男人在高跷跳跃，在室内健身房做特技。</v>
      </c>
    </row>
    <row r="5225">
      <c r="A5225" s="4" t="s">
        <v>6562</v>
      </c>
      <c r="B5225" s="4" t="s">
        <v>6564</v>
      </c>
      <c r="C5225" s="5" t="str">
        <f>IFERROR(__xludf.DUMMYFUNCTION("GOOGLETRANSLATE(B5225,""en"",""zh-CN"")"),"有几个观众和法官看着他表演。")</f>
        <v>有几个观众和法官看着他表演。</v>
      </c>
    </row>
    <row r="5226">
      <c r="A5226" s="4" t="s">
        <v>6562</v>
      </c>
      <c r="B5226" s="4" t="s">
        <v>6565</v>
      </c>
      <c r="C5226" s="5" t="str">
        <f>IFERROR(__xludf.DUMMYFUNCTION("GOOGLETRANSLATE(B5226,""en"",""zh-CN"")"),"该男子结束特技后，他摆脱了高跷，法官们写下了分数。")</f>
        <v>该男子结束特技后，他摆脱了高跷，法官们写下了分数。</v>
      </c>
    </row>
    <row r="5227">
      <c r="A5227" s="4" t="s">
        <v>6566</v>
      </c>
      <c r="B5227" s="4" t="s">
        <v>6567</v>
      </c>
      <c r="C5227" s="5" t="str">
        <f>IFERROR(__xludf.DUMMYFUNCTION("GOOGLETRANSLATE(B5227,""en"",""zh-CN"")"),"乐队在主鼓手周围的圆圈中演奏鼓。")</f>
        <v>乐队在主鼓手周围的圆圈中演奏鼓。</v>
      </c>
    </row>
    <row r="5228">
      <c r="A5228" s="4" t="s">
        <v>6566</v>
      </c>
      <c r="B5228" s="4" t="s">
        <v>6568</v>
      </c>
      <c r="C5228" s="5" t="str">
        <f>IFERROR(__xludf.DUMMYFUNCTION("GOOGLETRANSLATE(B5228,""en"",""zh-CN"")"),"女鼓手在演奏时旋转着棍子。")</f>
        <v>女鼓手在演奏时旋转着棍子。</v>
      </c>
    </row>
    <row r="5229">
      <c r="A5229" s="4" t="s">
        <v>6566</v>
      </c>
      <c r="B5229" s="4" t="s">
        <v>6569</v>
      </c>
      <c r="C5229" s="5" t="str">
        <f>IFERROR(__xludf.DUMMYFUNCTION("GOOGLETRANSLATE(B5229,""en"",""zh-CN"")"),"完成歌曲后，鼓手们举起了棍子。")</f>
        <v>完成歌曲后，鼓手们举起了棍子。</v>
      </c>
    </row>
    <row r="5230">
      <c r="A5230" s="4" t="s">
        <v>6570</v>
      </c>
      <c r="B5230" s="4" t="s">
        <v>6571</v>
      </c>
      <c r="C5230" s="5" t="str">
        <f>IFERROR(__xludf.DUMMYFUNCTION("GOOGLETRANSLATE(B5230,""en"",""zh-CN"")"),"地面上有几个笼子。")</f>
        <v>地面上有几个笼子。</v>
      </c>
    </row>
    <row r="5231">
      <c r="A5231" s="4" t="s">
        <v>6570</v>
      </c>
      <c r="B5231" s="4" t="s">
        <v>6572</v>
      </c>
      <c r="C5231" s="5" t="str">
        <f>IFERROR(__xludf.DUMMYFUNCTION("GOOGLETRANSLATE(B5231,""en"",""zh-CN"")"),"每个笼子里都有狗睡觉。")</f>
        <v>每个笼子里都有狗睡觉。</v>
      </c>
    </row>
    <row r="5232">
      <c r="A5232" s="4" t="s">
        <v>6570</v>
      </c>
      <c r="B5232" s="4" t="s">
        <v>6573</v>
      </c>
      <c r="C5232" s="5" t="str">
        <f>IFERROR(__xludf.DUMMYFUNCTION("GOOGLETRANSLATE(B5232,""en"",""zh-CN"")"),"一个男人在田野上显示与狗和一堆飞盘的技巧。")</f>
        <v>一个男人在田野上显示与狗和一堆飞盘的技巧。</v>
      </c>
    </row>
    <row r="5233">
      <c r="A5233" s="4" t="s">
        <v>6570</v>
      </c>
      <c r="B5233" s="4" t="s">
        <v>6574</v>
      </c>
      <c r="C5233" s="5" t="str">
        <f>IFERROR(__xludf.DUMMYFUNCTION("GOOGLETRANSLATE(B5233,""en"",""zh-CN"")"),"狗抓住，翻转和追逐飞盘。")</f>
        <v>狗抓住，翻转和追逐飞盘。</v>
      </c>
    </row>
    <row r="5234">
      <c r="A5234" s="4" t="s">
        <v>6575</v>
      </c>
      <c r="B5234" s="4" t="s">
        <v>6576</v>
      </c>
      <c r="C5234" s="5" t="str">
        <f>IFERROR(__xludf.DUMMYFUNCTION("GOOGLETRANSLATE(B5234,""en"",""zh-CN"")"),"有一个小婴儿戴着紫色的围嘴，坐在高高的椅子上，吮吸冰棍。")</f>
        <v>有一个小婴儿戴着紫色的围嘴，坐在高高的椅子上，吮吸冰棍。</v>
      </c>
    </row>
    <row r="5235">
      <c r="A5235" s="4" t="s">
        <v>6575</v>
      </c>
      <c r="B5235" s="4" t="s">
        <v>6577</v>
      </c>
      <c r="C5235" s="5" t="str">
        <f>IFERROR(__xludf.DUMMYFUNCTION("GOOGLETRANSLATE(B5235,""en"",""zh-CN"")"),"婴儿多次舔冰棍，然后将其扔下。")</f>
        <v>婴儿多次舔冰棍，然后将其扔下。</v>
      </c>
    </row>
    <row r="5236">
      <c r="A5236" s="4" t="s">
        <v>6578</v>
      </c>
      <c r="B5236" s="4" t="s">
        <v>6579</v>
      </c>
      <c r="C5236" s="5" t="str">
        <f>IFERROR(__xludf.DUMMYFUNCTION("GOOGLETRANSLATE(B5236,""en"",""zh-CN"")"),"穿着黑色衣服的女人正在一个小木房间里壁壁炉。")</f>
        <v>穿着黑色衣服的女人正在一个小木房间里壁壁炉。</v>
      </c>
    </row>
    <row r="5237">
      <c r="A5237" s="4" t="s">
        <v>6578</v>
      </c>
      <c r="B5237" s="4" t="s">
        <v>6580</v>
      </c>
      <c r="C5237" s="5" t="str">
        <f>IFERROR(__xludf.DUMMYFUNCTION("GOOGLETRANSLATE(B5237,""en"",""zh-CN"")"),"穿着衬衫的男子站在法院室玩南瓜。")</f>
        <v>穿着衬衫的男子站在法院室玩南瓜。</v>
      </c>
    </row>
    <row r="5238">
      <c r="A5238" s="4" t="s">
        <v>6578</v>
      </c>
      <c r="B5238" s="4" t="s">
        <v>6581</v>
      </c>
      <c r="C5238" s="5" t="str">
        <f>IFERROR(__xludf.DUMMYFUNCTION("GOOGLETRANSLATE(B5238,""en"",""zh-CN"")"),"一个男人和一个女人站在ni上，一个木制球场在玩南瓜。")</f>
        <v>一个男人和一个女人站在ni上，一个木制球场在玩南瓜。</v>
      </c>
    </row>
    <row r="5239">
      <c r="A5239" s="4" t="s">
        <v>6582</v>
      </c>
      <c r="B5239" s="4" t="s">
        <v>6583</v>
      </c>
      <c r="C5239" s="5" t="str">
        <f>IFERROR(__xludf.DUMMYFUNCTION("GOOGLETRANSLATE(B5239,""en"",""zh-CN"")"),"风浪驾驶员沿着波涛汹涌的水穿过运河，背景中的其他骑手。")</f>
        <v>风浪驾驶员沿着波涛汹涌的水穿过运河，背景中的其他骑手。</v>
      </c>
    </row>
    <row r="5240">
      <c r="A5240" s="4" t="s">
        <v>6582</v>
      </c>
      <c r="B5240" s="4" t="s">
        <v>6584</v>
      </c>
      <c r="C5240" s="5" t="str">
        <f>IFERROR(__xludf.DUMMYFUNCTION("GOOGLETRANSLATE(B5240,""en"",""zh-CN"")"),"他的风弯板上的方向转弯，并来回泵送以操纵它。")</f>
        <v>他的风弯板上的方向转弯，并来回泵送以操纵它。</v>
      </c>
    </row>
    <row r="5241">
      <c r="A5241" s="4" t="s">
        <v>6582</v>
      </c>
      <c r="B5241" s="4" t="s">
        <v>6585</v>
      </c>
      <c r="C5241" s="5" t="str">
        <f>IFERROR(__xludf.DUMMYFUNCTION("GOOGLETRANSLATE(B5241,""en"",""zh-CN"")"),"一群风帆冲浪者一起骑着一条小肮脏的船。")</f>
        <v>一群风帆冲浪者一起骑着一条小肮脏的船。</v>
      </c>
    </row>
    <row r="5242">
      <c r="A5242" s="4" t="s">
        <v>6586</v>
      </c>
      <c r="B5242" s="4" t="s">
        <v>6587</v>
      </c>
      <c r="C5242" s="5" t="str">
        <f>IFERROR(__xludf.DUMMYFUNCTION("GOOGLETRANSLATE(B5242,""en"",""zh-CN"")"),"一群孩子一起在一块设备上摇摆。")</f>
        <v>一群孩子一起在一块设备上摇摆。</v>
      </c>
    </row>
    <row r="5243">
      <c r="A5243" s="4" t="s">
        <v>6586</v>
      </c>
      <c r="B5243" s="4" t="s">
        <v>6588</v>
      </c>
      <c r="C5243" s="5" t="str">
        <f>IFERROR(__xludf.DUMMYFUNCTION("GOOGLETRANSLATE(B5243,""en"",""zh-CN"")"),"它们分组显示，在平台上来回摆动。")</f>
        <v>它们分组显示，在平台上来回摆动。</v>
      </c>
    </row>
    <row r="5244">
      <c r="A5244" s="4" t="s">
        <v>6586</v>
      </c>
      <c r="B5244" s="4" t="s">
        <v>6589</v>
      </c>
      <c r="C5244" s="5" t="str">
        <f>IFERROR(__xludf.DUMMYFUNCTION("GOOGLETRANSLATE(B5244,""en"",""zh-CN"")"),"他们位于室外公园。")</f>
        <v>他们位于室外公园。</v>
      </c>
    </row>
    <row r="5245">
      <c r="A5245" s="4" t="s">
        <v>6590</v>
      </c>
      <c r="B5245" s="4" t="s">
        <v>6591</v>
      </c>
      <c r="C5245" s="5" t="str">
        <f>IFERROR(__xludf.DUMMYFUNCTION("GOOGLETRANSLATE(B5245,""en"",""zh-CN"")"),"一名男运动员正站在外面的田野上，准备跑步。")</f>
        <v>一名男运动员正站在外面的田野上，准备跑步。</v>
      </c>
    </row>
    <row r="5246">
      <c r="A5246" s="4" t="s">
        <v>6590</v>
      </c>
      <c r="B5246" s="4" t="s">
        <v>6592</v>
      </c>
      <c r="C5246" s="5" t="str">
        <f>IFERROR(__xludf.DUMMYFUNCTION("GOOGLETRANSLATE(B5246,""en"",""zh-CN"")"),"准备好后，该男子脱下跑步，进入坑中几次跳远。")</f>
        <v>准备好后，该男子脱下跑步，进入坑中几次跳远。</v>
      </c>
    </row>
    <row r="5247">
      <c r="A5247" s="4" t="s">
        <v>6590</v>
      </c>
      <c r="B5247" s="4" t="s">
        <v>6593</v>
      </c>
      <c r="C5247" s="5" t="str">
        <f>IFERROR(__xludf.DUMMYFUNCTION("GOOGLETRANSLATE(B5247,""en"",""zh-CN"")"),"当他结束他的最后一跳时，两个人来到坑里开始衡量距离。")</f>
        <v>当他结束他的最后一跳时，两个人来到坑里开始衡量距离。</v>
      </c>
    </row>
    <row r="5248">
      <c r="A5248" s="4" t="s">
        <v>6594</v>
      </c>
      <c r="B5248" s="4" t="s">
        <v>6595</v>
      </c>
      <c r="C5248" s="5" t="str">
        <f>IFERROR(__xludf.DUMMYFUNCTION("GOOGLETRANSLATE(B5248,""en"",""zh-CN"")"),"晚上，有几个人在城市市区的主要道路上滑冰。")</f>
        <v>晚上，有几个人在城市市区的主要道路上滑冰。</v>
      </c>
    </row>
    <row r="5249">
      <c r="A5249" s="4" t="s">
        <v>6594</v>
      </c>
      <c r="B5249" s="4" t="s">
        <v>6596</v>
      </c>
      <c r="C5249" s="5" t="str">
        <f>IFERROR(__xludf.DUMMYFUNCTION("GOOGLETRANSLATE(B5249,""en"",""zh-CN"")"),"这条街被人行道上的路灯和商店照亮了。")</f>
        <v>这条街被人行道上的路灯和商店照亮了。</v>
      </c>
    </row>
    <row r="5250">
      <c r="A5250" s="4" t="s">
        <v>6594</v>
      </c>
      <c r="B5250" s="4" t="s">
        <v>6597</v>
      </c>
      <c r="C5250" s="5" t="str">
        <f>IFERROR(__xludf.DUMMYFUNCTION("GOOGLETRANSLATE(B5250,""en"",""zh-CN"")"),"人们滑过没有汽车驾驶的道路。")</f>
        <v>人们滑过没有汽车驾驶的道路。</v>
      </c>
    </row>
    <row r="5251">
      <c r="A5251" s="4" t="s">
        <v>6598</v>
      </c>
      <c r="B5251" s="4" t="s">
        <v>6599</v>
      </c>
      <c r="C5251" s="5" t="str">
        <f>IFERROR(__xludf.DUMMYFUNCTION("GOOGLETRANSLATE(B5251,""en"",""zh-CN"")"),"看到一个男人走近皮纳塔，而一大群人则站在他周围。")</f>
        <v>看到一个男人走近皮纳塔，而一大群人则站在他周围。</v>
      </c>
    </row>
    <row r="5252">
      <c r="A5252" s="4" t="s">
        <v>6598</v>
      </c>
      <c r="B5252" s="4" t="s">
        <v>6600</v>
      </c>
      <c r="C5252" s="5" t="str">
        <f>IFERROR(__xludf.DUMMYFUNCTION("GOOGLETRANSLATE(B5252,""en"",""zh-CN"")"),"该男子错过了皮纳塔（Pinata），并在他身后撞到一个人，再次以慢动作显示。")</f>
        <v>该男子错过了皮纳塔（Pinata），并在他身后撞到一个人，再次以慢动作显示。</v>
      </c>
    </row>
    <row r="5253">
      <c r="A5253" s="4" t="s">
        <v>6601</v>
      </c>
      <c r="B5253" s="4" t="s">
        <v>6602</v>
      </c>
      <c r="C5253" s="5" t="str">
        <f>IFERROR(__xludf.DUMMYFUNCTION("GOOGLETRANSLATE(B5253,""en"",""zh-CN"")"),"显示了许多不同的瓷砖，并显示了木地板。")</f>
        <v>显示了许多不同的瓷砖，并显示了木地板。</v>
      </c>
    </row>
    <row r="5254">
      <c r="A5254" s="4" t="s">
        <v>6601</v>
      </c>
      <c r="B5254" s="4" t="s">
        <v>6603</v>
      </c>
      <c r="C5254" s="5" t="str">
        <f>IFERROR(__xludf.DUMMYFUNCTION("GOOGLETRANSLATE(B5254,""en"",""zh-CN"")"),"首先，男人卸下了踢脚板，然后他得到了钻头，然后将螺丝钉在地板上。")</f>
        <v>首先，男人卸下了踢脚板，然后他得到了钻头，然后将螺丝钉在地板上。</v>
      </c>
    </row>
    <row r="5255">
      <c r="A5255" s="4" t="s">
        <v>6601</v>
      </c>
      <c r="B5255" s="4" t="s">
        <v>6604</v>
      </c>
      <c r="C5255" s="5" t="str">
        <f>IFERROR(__xludf.DUMMYFUNCTION("GOOGLETRANSLATE(B5255,""en"",""zh-CN"")"),"然后他画线将瓷砖放在地板上。")</f>
        <v>然后他画线将瓷砖放在地板上。</v>
      </c>
    </row>
    <row r="5256">
      <c r="A5256" s="4" t="s">
        <v>6601</v>
      </c>
      <c r="B5256" s="4" t="s">
        <v>6605</v>
      </c>
      <c r="C5256" s="5" t="str">
        <f>IFERROR(__xludf.DUMMYFUNCTION("GOOGLETRANSLATE(B5256,""en"",""zh-CN"")"),"然后，我看到他用一台将瓷砖切成两半的机器，他将一半的瓷砖放在地板上。")</f>
        <v>然后，我看到他用一台将瓷砖切成两半的机器，他将一半的瓷砖放在地板上。</v>
      </c>
    </row>
    <row r="5257">
      <c r="A5257" s="4" t="s">
        <v>6601</v>
      </c>
      <c r="B5257" s="4" t="s">
        <v>6606</v>
      </c>
      <c r="C5257" s="5" t="str">
        <f>IFERROR(__xludf.DUMMYFUNCTION("GOOGLETRANSLATE(B5257,""en"",""zh-CN"")"),"然后，他将水泥涂在地板上，然后将瓷砖放在上面。")</f>
        <v>然后，他将水泥涂在地板上，然后将瓷砖放在上面。</v>
      </c>
    </row>
    <row r="5258">
      <c r="A5258" s="4" t="s">
        <v>6601</v>
      </c>
      <c r="B5258" s="4" t="s">
        <v>6607</v>
      </c>
      <c r="C5258" s="5" t="str">
        <f>IFERROR(__xludf.DUMMYFUNCTION("GOOGLETRANSLATE(B5258,""en"",""zh-CN"")"),"他将瓷砖施加一点，使它们平坦。")</f>
        <v>他将瓷砖施加一点，使它们平坦。</v>
      </c>
    </row>
    <row r="5259">
      <c r="A5259" s="4" t="s">
        <v>6601</v>
      </c>
      <c r="B5259" s="4" t="s">
        <v>6608</v>
      </c>
      <c r="C5259" s="5" t="str">
        <f>IFERROR(__xludf.DUMMYFUNCTION("GOOGLETRANSLATE(B5259,""en"",""zh-CN"")"),"然后地板已经完成，他擦拭瓷砖使它们发亮。")</f>
        <v>然后地板已经完成，他擦拭瓷砖使它们发亮。</v>
      </c>
    </row>
    <row r="5260">
      <c r="A5260" s="4" t="s">
        <v>6609</v>
      </c>
      <c r="B5260" s="4" t="s">
        <v>6610</v>
      </c>
      <c r="C5260" s="5" t="str">
        <f>IFERROR(__xludf.DUMMYFUNCTION("GOOGLETRANSLATE(B5260,""en"",""zh-CN"")"),"一个婴儿站在地毯上。")</f>
        <v>一个婴儿站在地毯上。</v>
      </c>
    </row>
    <row r="5261">
      <c r="A5261" s="4" t="s">
        <v>6609</v>
      </c>
      <c r="B5261" s="4" t="s">
        <v>6611</v>
      </c>
      <c r="C5261" s="5" t="str">
        <f>IFERROR(__xludf.DUMMYFUNCTION("GOOGLETRANSLATE(B5261,""en"",""zh-CN"")"),"一个人用蓝色牙刷刷孩子的牙齿。")</f>
        <v>一个人用蓝色牙刷刷孩子的牙齿。</v>
      </c>
    </row>
    <row r="5262">
      <c r="A5262" s="4" t="s">
        <v>6609</v>
      </c>
      <c r="B5262" s="4" t="s">
        <v>6612</v>
      </c>
      <c r="C5262" s="5" t="str">
        <f>IFERROR(__xludf.DUMMYFUNCTION("GOOGLETRANSLATE(B5262,""en"",""zh-CN"")"),"孩子伸手去拿相机。")</f>
        <v>孩子伸手去拿相机。</v>
      </c>
    </row>
    <row r="5263">
      <c r="A5263" s="4" t="s">
        <v>6613</v>
      </c>
      <c r="B5263" s="4" t="s">
        <v>6614</v>
      </c>
      <c r="C5263" s="5" t="str">
        <f>IFERROR(__xludf.DUMMYFUNCTION("GOOGLETRANSLATE(B5263,""en"",""zh-CN"")"),"我们看到一个女孩和警棍一起表演。")</f>
        <v>我们看到一个女孩和警棍一起表演。</v>
      </c>
    </row>
    <row r="5264">
      <c r="A5264" s="4" t="s">
        <v>6613</v>
      </c>
      <c r="B5264" s="4" t="s">
        <v>6615</v>
      </c>
      <c r="C5264" s="5" t="str">
        <f>IFERROR(__xludf.DUMMYFUNCTION("GOOGLETRANSLATE(B5264,""en"",""zh-CN"")"),"女孩把腿扔在空中并旋转。")</f>
        <v>女孩把腿扔在空中并旋转。</v>
      </c>
    </row>
    <row r="5265">
      <c r="A5265" s="4" t="s">
        <v>6613</v>
      </c>
      <c r="B5265" s="4" t="s">
        <v>6616</v>
      </c>
      <c r="C5265" s="5" t="str">
        <f>IFERROR(__xludf.DUMMYFUNCTION("GOOGLETRANSLATE(B5265,""en"",""zh-CN"")"),"女孩做一个手推车。")</f>
        <v>女孩做一个手推车。</v>
      </c>
    </row>
    <row r="5266">
      <c r="A5266" s="4" t="s">
        <v>6613</v>
      </c>
      <c r="B5266" s="4" t="s">
        <v>6617</v>
      </c>
      <c r="C5266" s="5" t="str">
        <f>IFERROR(__xludf.DUMMYFUNCTION("GOOGLETRANSLATE(B5266,""en"",""zh-CN"")"),"女孩跪下，捡起警棍。")</f>
        <v>女孩跪下，捡起警棍。</v>
      </c>
    </row>
    <row r="5267">
      <c r="A5267" s="4" t="s">
        <v>6613</v>
      </c>
      <c r="B5267" s="4" t="s">
        <v>6618</v>
      </c>
      <c r="C5267" s="5" t="str">
        <f>IFERROR(__xludf.DUMMYFUNCTION("GOOGLETRANSLATE(B5267,""en"",""zh-CN"")"),"女孩们结束并挥舞着她的手臂。")</f>
        <v>女孩们结束并挥舞着她的手臂。</v>
      </c>
    </row>
    <row r="5268">
      <c r="A5268" s="4" t="s">
        <v>6613</v>
      </c>
      <c r="B5268" s="4" t="s">
        <v>6619</v>
      </c>
      <c r="C5268" s="5" t="str">
        <f>IFERROR(__xludf.DUMMYFUNCTION("GOOGLETRANSLATE(B5268,""en"",""zh-CN"")"),"女孩走过去拥抱她的父亲。")</f>
        <v>女孩走过去拥抱她的父亲。</v>
      </c>
    </row>
    <row r="5269">
      <c r="A5269" s="4" t="s">
        <v>6620</v>
      </c>
      <c r="B5269" s="4" t="s">
        <v>6621</v>
      </c>
      <c r="C5269" s="5" t="str">
        <f>IFERROR(__xludf.DUMMYFUNCTION("GOOGLETRANSLATE(B5269,""en"",""zh-CN"")"),"一个男人正在看比赛吃冰淇淋蛋筒。")</f>
        <v>一个男人正在看比赛吃冰淇淋蛋筒。</v>
      </c>
    </row>
    <row r="5270">
      <c r="A5270" s="4" t="s">
        <v>6620</v>
      </c>
      <c r="B5270" s="4" t="s">
        <v>6622</v>
      </c>
      <c r="C5270" s="5" t="str">
        <f>IFERROR(__xludf.DUMMYFUNCTION("GOOGLETRANSLATE(B5270,""en"",""zh-CN"")"),"人们坐在桌子后面笑。")</f>
        <v>人们坐在桌子后面笑。</v>
      </c>
    </row>
    <row r="5271">
      <c r="A5271" s="4" t="s">
        <v>6623</v>
      </c>
      <c r="B5271" s="4" t="s">
        <v>6624</v>
      </c>
      <c r="C5271" s="5" t="str">
        <f>IFERROR(__xludf.DUMMYFUNCTION("GOOGLETRANSLATE(B5271,""en"",""zh-CN"")"),"一个男人准备奔跑并跳跃。")</f>
        <v>一个男人准备奔跑并跳跃。</v>
      </c>
    </row>
    <row r="5272">
      <c r="A5272" s="4" t="s">
        <v>6623</v>
      </c>
      <c r="B5272" s="4" t="s">
        <v>6625</v>
      </c>
      <c r="C5272" s="5" t="str">
        <f>IFERROR(__xludf.DUMMYFUNCTION("GOOGLETRANSLATE(B5272,""en"",""zh-CN"")"),"他跑得很快。")</f>
        <v>他跑得很快。</v>
      </c>
    </row>
    <row r="5273">
      <c r="A5273" s="4" t="s">
        <v>6623</v>
      </c>
      <c r="B5273" s="4" t="s">
        <v>6626</v>
      </c>
      <c r="C5273" s="5" t="str">
        <f>IFERROR(__xludf.DUMMYFUNCTION("GOOGLETRANSLATE(B5273,""en"",""zh-CN"")"),"他将高高的酒吧跳到垫子上。")</f>
        <v>他将高高的酒吧跳到垫子上。</v>
      </c>
    </row>
    <row r="5274">
      <c r="A5274" s="4" t="s">
        <v>6627</v>
      </c>
      <c r="B5274" s="4" t="s">
        <v>6628</v>
      </c>
      <c r="C5274" s="5" t="str">
        <f>IFERROR(__xludf.DUMMYFUNCTION("GOOGLETRANSLATE(B5274,""en"",""zh-CN"")"),"一个女孩坐在椅子上。")</f>
        <v>一个女孩坐在椅子上。</v>
      </c>
    </row>
    <row r="5275">
      <c r="A5275" s="4" t="s">
        <v>6627</v>
      </c>
      <c r="B5275" s="4" t="s">
        <v>6629</v>
      </c>
      <c r="C5275" s="5" t="str">
        <f>IFERROR(__xludf.DUMMYFUNCTION("GOOGLETRANSLATE(B5275,""en"",""zh-CN"")"),"另一个人站在她身后。")</f>
        <v>另一个人站在她身后。</v>
      </c>
    </row>
    <row r="5276">
      <c r="A5276" s="4" t="s">
        <v>6627</v>
      </c>
      <c r="B5276" s="4" t="s">
        <v>6630</v>
      </c>
      <c r="C5276" s="5" t="str">
        <f>IFERROR(__xludf.DUMMYFUNCTION("GOOGLETRANSLATE(B5276,""en"",""zh-CN"")"),"她身后的女人开始编织她的头发。")</f>
        <v>她身后的女人开始编织她的头发。</v>
      </c>
    </row>
    <row r="5277">
      <c r="A5277" s="4" t="s">
        <v>6631</v>
      </c>
      <c r="B5277" s="6" t="s">
        <v>6632</v>
      </c>
      <c r="C5277" s="5" t="str">
        <f>IFERROR(__xludf.DUMMYFUNCTION("GOOGLETRANSLATE(B5277,""en"",""zh-CN"")"),"看到两个男人跪在墙前，一个人在镜头上说话，并开始将金属放在侧面。")</f>
        <v>看到两个男人跪在墙前，一个人在镜头上说话，并开始将金属放在侧面。</v>
      </c>
    </row>
    <row r="5278">
      <c r="A5278" s="4" t="s">
        <v>6631</v>
      </c>
      <c r="B5278" s="6" t="s">
        <v>6633</v>
      </c>
      <c r="C5278" s="5" t="str">
        <f>IFERROR(__xludf.DUMMYFUNCTION("GOOGLETRANSLATE(B5278,""en"",""zh-CN"")"),"这两条线将金属钻到位，同时继续向下钻更多地钻探，同时该男子对相机说话，并显示出更多的船员的镜头。")</f>
        <v>这两条线将金属钻到位，同时继续向下钻更多地钻探，同时该男子对相机说话，并显示出更多的船员的镜头。</v>
      </c>
    </row>
    <row r="5279">
      <c r="A5279" s="4" t="s">
        <v>6634</v>
      </c>
      <c r="B5279" s="4" t="s">
        <v>6635</v>
      </c>
      <c r="C5279" s="5" t="str">
        <f>IFERROR(__xludf.DUMMYFUNCTION("GOOGLETRANSLATE(B5279,""en"",""zh-CN"")"),"一个女人在硅胶垫上烤饼干。")</f>
        <v>一个女人在硅胶垫上烤饼干。</v>
      </c>
    </row>
    <row r="5280">
      <c r="A5280" s="4" t="s">
        <v>6634</v>
      </c>
      <c r="B5280" s="4" t="s">
        <v>6636</v>
      </c>
      <c r="C5280" s="5" t="str">
        <f>IFERROR(__xludf.DUMMYFUNCTION("GOOGLETRANSLATE(B5280,""en"",""zh-CN"")"),"准备成分并切割饼干。")</f>
        <v>准备成分并切割饼干。</v>
      </c>
    </row>
    <row r="5281">
      <c r="A5281" s="4" t="s">
        <v>6637</v>
      </c>
      <c r="B5281" s="4" t="s">
        <v>6638</v>
      </c>
      <c r="C5281" s="5" t="str">
        <f>IFERROR(__xludf.DUMMYFUNCTION("GOOGLETRANSLATE(B5281,""en"",""zh-CN"")"),"显示了水下珊瑚礁。")</f>
        <v>显示了水下珊瑚礁。</v>
      </c>
    </row>
    <row r="5282">
      <c r="A5282" s="4" t="s">
        <v>6637</v>
      </c>
      <c r="B5282" s="4" t="s">
        <v>6639</v>
      </c>
      <c r="C5282" s="5" t="str">
        <f>IFERROR(__xludf.DUMMYFUNCTION("GOOGLETRANSLATE(B5282,""en"",""zh-CN"")"),"水肺潜水员骑着马，然后看射线。")</f>
        <v>水肺潜水员骑着马，然后看射线。</v>
      </c>
    </row>
    <row r="5283">
      <c r="A5283" s="4" t="s">
        <v>6640</v>
      </c>
      <c r="B5283" s="6" t="s">
        <v>6641</v>
      </c>
      <c r="C5283" s="5" t="str">
        <f>IFERROR(__xludf.DUMMYFUNCTION("GOOGLETRANSLATE(B5283,""en"",""zh-CN"")"),"看到一个年幼的孩子站在苏格兰人的比赛前，在一个砖砌的区域上奔跑。")</f>
        <v>看到一个年幼的孩子站在苏格兰人的比赛前，在一个砖砌的区域上奔跑。</v>
      </c>
    </row>
    <row r="5284">
      <c r="A5284" s="4" t="s">
        <v>6640</v>
      </c>
      <c r="B5284" s="6" t="s">
        <v>6642</v>
      </c>
      <c r="C5284" s="5" t="str">
        <f>IFERROR(__xludf.DUMMYFUNCTION("GOOGLETRANSLATE(B5284,""en"",""zh-CN"")"),"然后，女孩看着相机，将头发从脸上伸出时，然后沿着粉笔跳了起来。")</f>
        <v>然后，女孩看着相机，将头发从脸上伸出时，然后沿着粉笔跳了起来。</v>
      </c>
    </row>
    <row r="5285">
      <c r="A5285" s="4" t="s">
        <v>6640</v>
      </c>
      <c r="B5285" s="4" t="s">
        <v>6643</v>
      </c>
      <c r="C5285" s="5" t="str">
        <f>IFERROR(__xludf.DUMMYFUNCTION("GOOGLETRANSLATE(B5285,""en"",""zh-CN"")"),"最后，她给了拿着照相机的人高。")</f>
        <v>最后，她给了拿着照相机的人高。</v>
      </c>
    </row>
    <row r="5286">
      <c r="A5286" s="4" t="s">
        <v>6644</v>
      </c>
      <c r="B5286" s="4" t="s">
        <v>6645</v>
      </c>
      <c r="C5286" s="5" t="str">
        <f>IFERROR(__xludf.DUMMYFUNCTION("GOOGLETRANSLATE(B5286,""en"",""zh-CN"")"),"各种剪辑都显示了食物的关闭以及与摄像机交谈的人们。")</f>
        <v>各种剪辑都显示了食物的关闭以及与摄像机交谈的人们。</v>
      </c>
    </row>
    <row r="5287">
      <c r="A5287" s="4" t="s">
        <v>6644</v>
      </c>
      <c r="B5287" s="6" t="s">
        <v>6646</v>
      </c>
      <c r="C5287" s="5" t="str">
        <f>IFERROR(__xludf.DUMMYFUNCTION("GOOGLETRANSLATE(B5287,""en"",""zh-CN"")"),"展示了餐厅外面的镜头，以及厨师烹饪食物和人们吃食物的镜头。")</f>
        <v>展示了餐厅外面的镜头，以及厨师烹饪食物和人们吃食物的镜头。</v>
      </c>
    </row>
    <row r="5288">
      <c r="A5288" s="4" t="s">
        <v>6647</v>
      </c>
      <c r="B5288" s="6" t="s">
        <v>6648</v>
      </c>
      <c r="C5288" s="5" t="str">
        <f>IFERROR(__xludf.DUMMYFUNCTION("GOOGLETRANSLATE(B5288,""en"",""zh-CN"")"),"出现一个白屏，带有绿色徽标，绿色和灰色单词出现，上面写着“ Howdini为自己成为宗师”。")</f>
        <v>出现一个白屏，带有绿色徽标，绿色和灰色单词出现，上面写着“ Howdini为自己成为宗师”。</v>
      </c>
    </row>
    <row r="5289">
      <c r="A5289" s="4" t="s">
        <v>6647</v>
      </c>
      <c r="B5289" s="6" t="s">
        <v>6649</v>
      </c>
      <c r="C5289" s="5" t="str">
        <f>IFERROR(__xludf.DUMMYFUNCTION("GOOGLETRANSLATE(B5289,""en"",""zh-CN"")"),"一个站在厨房里的黑发女人正在说话，屏幕上的单词说“ Howdini Guru板球Azima厨师和作家”，然后很快出现了绿色屏幕，它说的是“ Cookie Exchange配方”，然后回到女人说话。")</f>
        <v>一个站在厨房里的黑发女人正在说话，屏幕上的单词说“ Howdini Guru板球Azima厨师和作家”，然后很快出现了绿色屏幕，它说的是“ Cookie Exchange配方”，然后回到女人说话。</v>
      </c>
    </row>
    <row r="5290">
      <c r="A5290" s="4" t="s">
        <v>6647</v>
      </c>
      <c r="B5290" s="6" t="s">
        <v>6650</v>
      </c>
      <c r="C5290" s="5" t="str">
        <f>IFERROR(__xludf.DUMMYFUNCTION("GOOGLETRANSLATE(B5290,""en"",""zh-CN"")"),"显示了盘子上的饼干，屏幕上的单词说它们是“花生酱花朵”，并开始向女人展示将所有食材倒入碗中的女人制成的，将它们滚入糖中，将它们放在托盘上以烘烤，然后在烘烤完成后展示最终产品，然后将网站访问完整食谱。")</f>
        <v>显示了盘子上的饼干，屏幕上的单词说它们是“花生酱花朵”，并开始向女人展示将所有食材倒入碗中的女人制成的，将它们滚入糖中，将它们放在托盘上以烘烤，然后在烘烤完成后展示最终产品，然后将网站访问完整食谱。</v>
      </c>
    </row>
    <row r="5291">
      <c r="A5291" s="4" t="s">
        <v>6647</v>
      </c>
      <c r="B5291" s="6" t="s">
        <v>6651</v>
      </c>
      <c r="C5291" s="5" t="str">
        <f>IFERROR(__xludf.DUMMYFUNCTION("GOOGLETRANSLATE(B5291,""en"",""zh-CN"")"),"那个女人再次说话，她所展示的下一个饼干称为“ cookie雪球”，它显示了所有所需的成分，列出了烹饪多长时间的清单，她正在逐步展示直到全部烤制和在一个烤架上盘子旁边是其他饼干。")</f>
        <v>那个女人再次说话，她所展示的下一个饼干称为“ cookie雪球”，它显示了所有所需的成分，列出了烹饪多长时间的清单，她正在逐步展示直到全部烤制和在一个烤架上盘子旁边是其他饼干。</v>
      </c>
    </row>
    <row r="5292">
      <c r="A5292" s="4" t="s">
        <v>6647</v>
      </c>
      <c r="B5292" s="6" t="s">
        <v>6652</v>
      </c>
      <c r="C5292" s="5" t="str">
        <f>IFERROR(__xludf.DUMMYFUNCTION("GOOGLETRANSLATE(B5292,""en"",""zh-CN"")"),"视频以她没有显示的其他曲奇的更多图片结束，然后到一个绿色屏幕上，上面有白色单词，其中包括一条消息，如果您想查看更多有关其cookie食谱的视频，则可以访问他们的网站。")</f>
        <v>视频以她没有显示的其他曲奇的更多图片结束，然后到一个绿色屏幕上，上面有白色单词，其中包括一条消息，如果您想查看更多有关其cookie食谱的视频，则可以访问他们的网站。</v>
      </c>
    </row>
    <row r="5293">
      <c r="A5293" s="4" t="s">
        <v>6653</v>
      </c>
      <c r="B5293" s="4" t="s">
        <v>6654</v>
      </c>
      <c r="C5293" s="5" t="str">
        <f>IFERROR(__xludf.DUMMYFUNCTION("GOOGLETRANSLATE(B5293,""en"",""zh-CN"")"),"一位在健身房里的划船机上的女士仍然坐着。")</f>
        <v>一位在健身房里的划船机上的女士仍然坐着。</v>
      </c>
    </row>
    <row r="5294">
      <c r="A5294" s="4" t="s">
        <v>6653</v>
      </c>
      <c r="B5294" s="4" t="s">
        <v>6655</v>
      </c>
      <c r="C5294" s="5" t="str">
        <f>IFERROR(__xludf.DUMMYFUNCTION("GOOGLETRANSLATE(B5294,""en"",""zh-CN"")"),"这位女士向前倾斜，慢慢地在机器上锻炼。")</f>
        <v>这位女士向前倾斜，慢慢地在机器上锻炼。</v>
      </c>
    </row>
    <row r="5295">
      <c r="A5295" s="4" t="s">
        <v>6653</v>
      </c>
      <c r="B5295" s="4" t="s">
        <v>6656</v>
      </c>
      <c r="C5295" s="5" t="str">
        <f>IFERROR(__xludf.DUMMYFUNCTION("GOOGLETRANSLATE(B5295,""en"",""zh-CN"")"),"这位女士开始更快地划船，屏幕逐渐消失为黑色。")</f>
        <v>这位女士开始更快地划船，屏幕逐渐消失为黑色。</v>
      </c>
    </row>
    <row r="5296">
      <c r="A5296" s="4" t="s">
        <v>6657</v>
      </c>
      <c r="B5296" s="6" t="s">
        <v>6658</v>
      </c>
      <c r="C5296" s="5" t="str">
        <f>IFERROR(__xludf.DUMMYFUNCTION("GOOGLETRANSLATE(B5296,""en"",""zh-CN"")"),"看到两名舞者在大型体育馆的中间举着姿势，开始使用警棍进行例行。")</f>
        <v>看到两名舞者在大型体育馆的中间举着姿势，开始使用警棍进行例行。</v>
      </c>
    </row>
    <row r="5297">
      <c r="A5297" s="4" t="s">
        <v>6657</v>
      </c>
      <c r="B5297" s="4" t="s">
        <v>6659</v>
      </c>
      <c r="C5297" s="5" t="str">
        <f>IFERROR(__xludf.DUMMYFUNCTION("GOOGLETRANSLATE(B5297,""en"",""zh-CN"")"),"女孩们继续用棍棒跳舞和旋转，结束姿势。")</f>
        <v>女孩们继续用棍棒跳舞和旋转，结束姿势。</v>
      </c>
    </row>
    <row r="5298">
      <c r="A5298" s="4" t="s">
        <v>6660</v>
      </c>
      <c r="B5298" s="4" t="s">
        <v>6661</v>
      </c>
      <c r="C5298" s="5" t="str">
        <f>IFERROR(__xludf.DUMMYFUNCTION("GOOGLETRANSLATE(B5298,""en"",""zh-CN"")"),"我们在场上和各个地方看到BMX赛车手，并骑自行车。")</f>
        <v>我们在场上和各个地方看到BMX赛车手，并骑自行车。</v>
      </c>
    </row>
    <row r="5299">
      <c r="A5299" s="4" t="s">
        <v>6660</v>
      </c>
      <c r="B5299" s="4" t="s">
        <v>6662</v>
      </c>
      <c r="C5299" s="5" t="str">
        <f>IFERROR(__xludf.DUMMYFUNCTION("GOOGLETRANSLATE(B5299,""en"",""zh-CN"")"),"两个人从自行车上摔下来。")</f>
        <v>两个人从自行车上摔下来。</v>
      </c>
    </row>
    <row r="5300">
      <c r="A5300" s="4" t="s">
        <v>6660</v>
      </c>
      <c r="B5300" s="4" t="s">
        <v>6663</v>
      </c>
      <c r="C5300" s="5" t="str">
        <f>IFERROR(__xludf.DUMMYFUNCTION("GOOGLETRANSLATE(B5300,""en"",""zh-CN"")"),"我们看到比赛从平台上开始。")</f>
        <v>我们看到比赛从平台上开始。</v>
      </c>
    </row>
    <row r="5301">
      <c r="A5301" s="4" t="s">
        <v>6660</v>
      </c>
      <c r="B5301" s="4" t="s">
        <v>6664</v>
      </c>
      <c r="C5301" s="5" t="str">
        <f>IFERROR(__xludf.DUMMYFUNCTION("GOOGLETRANSLATE(B5301,""en"",""zh-CN"")"),"一个人拿着冲浪板，一个人抬起自行车台阶。")</f>
        <v>一个人拿着冲浪板，一个人抬起自行车台阶。</v>
      </c>
    </row>
    <row r="5302">
      <c r="A5302" s="4" t="s">
        <v>6660</v>
      </c>
      <c r="B5302" s="4" t="s">
        <v>6665</v>
      </c>
      <c r="C5302" s="5" t="str">
        <f>IFERROR(__xludf.DUMMYFUNCTION("GOOGLETRANSLATE(B5302,""en"",""zh-CN"")"),"我们看到一个笑着拿着冲浪板的男人。")</f>
        <v>我们看到一个笑着拿着冲浪板的男人。</v>
      </c>
    </row>
    <row r="5303">
      <c r="A5303" s="4" t="s">
        <v>6660</v>
      </c>
      <c r="B5303" s="4" t="s">
        <v>6666</v>
      </c>
      <c r="C5303" s="5" t="str">
        <f>IFERROR(__xludf.DUMMYFUNCTION("GOOGLETRANSLATE(B5303,""en"",""zh-CN"")"),"一位女士向相机扔了一个手势。")</f>
        <v>一位女士向相机扔了一个手势。</v>
      </c>
    </row>
    <row r="5304">
      <c r="A5304" s="4" t="s">
        <v>6660</v>
      </c>
      <c r="B5304" s="4" t="s">
        <v>6667</v>
      </c>
      <c r="C5304" s="5" t="str">
        <f>IFERROR(__xludf.DUMMYFUNCTION("GOOGLETRANSLATE(B5304,""en"",""zh-CN"")"),"我们看到了田野的空中射击。")</f>
        <v>我们看到了田野的空中射击。</v>
      </c>
    </row>
    <row r="5305">
      <c r="A5305" s="4" t="s">
        <v>6660</v>
      </c>
      <c r="B5305" s="4" t="s">
        <v>6668</v>
      </c>
      <c r="C5305" s="5" t="str">
        <f>IFERROR(__xludf.DUMMYFUNCTION("GOOGLETRANSLATE(B5305,""en"",""zh-CN"")"),"一个人拍照，一个人拿着新的Zeland国旗。")</f>
        <v>一个人拍照，一个人拿着新的Zeland国旗。</v>
      </c>
    </row>
    <row r="5306">
      <c r="A5306" s="4" t="s">
        <v>6660</v>
      </c>
      <c r="B5306" s="4" t="s">
        <v>6669</v>
      </c>
      <c r="C5306" s="5" t="str">
        <f>IFERROR(__xludf.DUMMYFUNCTION("GOOGLETRANSLATE(B5306,""en"",""zh-CN"")"),"一个男人用力摔下来。")</f>
        <v>一个男人用力摔下来。</v>
      </c>
    </row>
    <row r="5307">
      <c r="A5307" s="4" t="s">
        <v>6660</v>
      </c>
      <c r="B5307" s="4" t="s">
        <v>6670</v>
      </c>
      <c r="C5307" s="5" t="str">
        <f>IFERROR(__xludf.DUMMYFUNCTION("GOOGLETRANSLATE(B5307,""en"",""zh-CN"")"),"视频淡化为黑色。")</f>
        <v>视频淡化为黑色。</v>
      </c>
    </row>
    <row r="5308">
      <c r="A5308" s="4" t="s">
        <v>6671</v>
      </c>
      <c r="B5308" s="6" t="s">
        <v>6672</v>
      </c>
      <c r="C5308" s="5" t="str">
        <f>IFERROR(__xludf.DUMMYFUNCTION("GOOGLETRANSLATE(B5308,""en"",""zh-CN"")"),"在竞技场的内部和外部显示了各种剪辑，以及从冰上播放的相机和两个人相互交谈。")</f>
        <v>在竞技场的内部和外部显示了各种剪辑，以及从冰上播放的相机和两个人相互交谈。</v>
      </c>
    </row>
    <row r="5309">
      <c r="A5309" s="4" t="s">
        <v>6671</v>
      </c>
      <c r="B5309" s="4" t="s">
        <v>6673</v>
      </c>
      <c r="C5309" s="5" t="str">
        <f>IFERROR(__xludf.DUMMYFUNCTION("GOOGLETRANSLATE(B5309,""en"",""zh-CN"")"),"然后显示了几张冰球的卷曲和特写的镜头。")</f>
        <v>然后显示了几张冰球的卷曲和特写的镜头。</v>
      </c>
    </row>
    <row r="5310">
      <c r="A5310" s="4" t="s">
        <v>6671</v>
      </c>
      <c r="B5310" s="4" t="s">
        <v>6674</v>
      </c>
      <c r="C5310" s="5" t="str">
        <f>IFERROR(__xludf.DUMMYFUNCTION("GOOGLETRANSLATE(B5310,""en"",""zh-CN"")"),"显示了更多的人在玩游戏以及队友观看。")</f>
        <v>显示了更多的人在玩游戏以及队友观看。</v>
      </c>
    </row>
    <row r="5311">
      <c r="A5311" s="4" t="s">
        <v>6675</v>
      </c>
      <c r="B5311" s="4" t="s">
        <v>6676</v>
      </c>
      <c r="C5311" s="5" t="str">
        <f>IFERROR(__xludf.DUMMYFUNCTION("GOOGLETRANSLATE(B5311,""en"",""zh-CN"")"),"一件白衬衫的男人弯腰弯腰，捡起了很大的重量。")</f>
        <v>一件白衬衫的男人弯腰弯腰，捡起了很大的重量。</v>
      </c>
    </row>
    <row r="5312">
      <c r="A5312" s="4" t="s">
        <v>6675</v>
      </c>
      <c r="B5312" s="4" t="s">
        <v>6677</v>
      </c>
      <c r="C5312" s="5" t="str">
        <f>IFERROR(__xludf.DUMMYFUNCTION("GOOGLETRANSLATE(B5312,""en"",""zh-CN"")"),"他将重物抬到肩膀上。")</f>
        <v>他将重物抬到肩膀上。</v>
      </c>
    </row>
    <row r="5313">
      <c r="A5313" s="4" t="s">
        <v>6675</v>
      </c>
      <c r="B5313" s="4" t="s">
        <v>6678</v>
      </c>
      <c r="C5313" s="5" t="str">
        <f>IFERROR(__xludf.DUMMYFUNCTION("GOOGLETRANSLATE(B5313,""en"",""zh-CN"")"),"他弯下腰​​，将重物抬起头顶。")</f>
        <v>他弯下腰​​，将重物抬起头顶。</v>
      </c>
    </row>
    <row r="5314">
      <c r="A5314" s="4" t="s">
        <v>6679</v>
      </c>
      <c r="B5314" s="6" t="s">
        <v>6680</v>
      </c>
      <c r="C5314" s="5" t="str">
        <f>IFERROR(__xludf.DUMMYFUNCTION("GOOGLETRANSLATE(B5314,""en"",""zh-CN"")"),"一个名叫Alex Al-Ameen的人在微笑和说话，他的名字下面的话说他已被“入选为2014年英联邦运动会110米障碍”。")</f>
        <v>一个名叫Alex Al-Ameen的人在微笑和说话，他的名字下面的话说他已被“入选为2014年英联邦运动会110米障碍”。</v>
      </c>
    </row>
    <row r="5315">
      <c r="A5315" s="4" t="s">
        <v>6679</v>
      </c>
      <c r="B5315" s="6" t="s">
        <v>6681</v>
      </c>
      <c r="C5315" s="5" t="str">
        <f>IFERROR(__xludf.DUMMYFUNCTION("GOOGLETRANSLATE(B5315,""en"",""zh-CN"")"),"然后，一个男人坐在地面上的轨道上，将脚缠在脚上时，他的脚为鞋子做准备。")</f>
        <v>然后，一个男人坐在地面上的轨道上，将脚缠在脚上时，他的脚为鞋子做准备。</v>
      </c>
    </row>
    <row r="5316">
      <c r="A5316" s="4" t="s">
        <v>6679</v>
      </c>
      <c r="B5316" s="6" t="s">
        <v>6682</v>
      </c>
      <c r="C5316" s="5" t="str">
        <f>IFERROR(__xludf.DUMMYFUNCTION("GOOGLETRANSLATE(B5316,""en"",""zh-CN"")"),"现在，三名男子走到一条赛道上，各种各样的人正在跑步，轮流进行跳跃，跳过和跳跃。")</f>
        <v>现在，三名男子走到一条赛道上，各种各样的人正在跑步，轮流进行跳跃，跳过和跳跃。</v>
      </c>
    </row>
    <row r="5317">
      <c r="A5317" s="4" t="s">
        <v>6679</v>
      </c>
      <c r="B5317" s="4" t="s">
        <v>6683</v>
      </c>
      <c r="C5317" s="5" t="str">
        <f>IFERROR(__xludf.DUMMYFUNCTION("GOOGLETRANSLATE(B5317,""en"",""zh-CN"")"),"一个男人短暂停下来并与镜头交谈，而他似乎有些喘不过气。")</f>
        <v>一个男人短暂停下来并与镜头交谈，而他似乎有些喘不过气。</v>
      </c>
    </row>
    <row r="5318">
      <c r="A5318" s="4" t="s">
        <v>6679</v>
      </c>
      <c r="B5318" s="4" t="s">
        <v>6684</v>
      </c>
      <c r="C5318" s="5" t="str">
        <f>IFERROR(__xludf.DUMMYFUNCTION("GOOGLETRANSLATE(B5318,""en"",""zh-CN"")"),"现在，另一个男人在说话时跪在跳跃的桑迪区域旁边并涂胶带。")</f>
        <v>现在，另一个男人在说话时跪在跳跃的桑迪区域旁边并涂胶带。</v>
      </c>
    </row>
    <row r="5319">
      <c r="A5319" s="4" t="s">
        <v>6679</v>
      </c>
      <c r="B5319" s="6" t="s">
        <v>6685</v>
      </c>
      <c r="C5319" s="5" t="str">
        <f>IFERROR(__xludf.DUMMYFUNCTION("GOOGLETRANSLATE(B5319,""en"",""zh-CN"")"),"这个男人现在站在一个非常重的吧台上，他慢慢开始举起它，然后将其放下。")</f>
        <v>这个男人现在站在一个非常重的吧台上，他慢慢开始举起它，然后将其放下。</v>
      </c>
    </row>
    <row r="5320">
      <c r="A5320" s="4" t="s">
        <v>6679</v>
      </c>
      <c r="B5320" s="6" t="s">
        <v>6686</v>
      </c>
      <c r="C5320" s="5" t="str">
        <f>IFERROR(__xludf.DUMMYFUNCTION("GOOGLETRANSLATE(B5320,""en"",""zh-CN"")"),"现在，一个女人在踏上楼梯上时拿着哑铃，又一次露面，但是这次他正在戴上运动器材。")</f>
        <v>现在，一个女人在踏上楼梯上时拿着哑铃，又一次露面，但是这次他正在戴上运动器材。</v>
      </c>
    </row>
    <row r="5321">
      <c r="A5321" s="4" t="s">
        <v>6679</v>
      </c>
      <c r="B5321" s="6" t="s">
        <v>6687</v>
      </c>
      <c r="C5321" s="5" t="str">
        <f>IFERROR(__xludf.DUMMYFUNCTION("GOOGLETRANSLATE(B5321,""en"",""zh-CN"")"),"White Outro屏幕带有其徽标以及订阅其YouTube频道的单词。")</f>
        <v>White Outro屏幕带有其徽标以及订阅其YouTube频道的单词。</v>
      </c>
    </row>
    <row r="5322">
      <c r="A5322" s="4" t="s">
        <v>6688</v>
      </c>
      <c r="B5322" s="4" t="s">
        <v>6689</v>
      </c>
      <c r="C5322" s="5" t="str">
        <f>IFERROR(__xludf.DUMMYFUNCTION("GOOGLETRANSLATE(B5322,""en"",""zh-CN"")"),"三个男孩在一款绿色的草坪上玩槌球，带有槌球槌和槌球球。")</f>
        <v>三个男孩在一款绿色的草坪上玩槌球，带有槌球槌和槌球球。</v>
      </c>
    </row>
    <row r="5323">
      <c r="A5323" s="4" t="s">
        <v>6688</v>
      </c>
      <c r="B5323" s="4" t="s">
        <v>6690</v>
      </c>
      <c r="C5323" s="5" t="str">
        <f>IFERROR(__xludf.DUMMYFUNCTION("GOOGLETRANSLATE(B5323,""en"",""zh-CN"")"),"男孩坐在外面的长凳上，用一袋槌球槌和球互相交谈。")</f>
        <v>男孩坐在外面的长凳上，用一袋槌球槌和球互相交谈。</v>
      </c>
    </row>
    <row r="5324">
      <c r="A5324" s="4" t="s">
        <v>6688</v>
      </c>
      <c r="B5324" s="4" t="s">
        <v>6691</v>
      </c>
      <c r="C5324" s="5" t="str">
        <f>IFERROR(__xludf.DUMMYFUNCTION("GOOGLETRANSLATE(B5324,""en"",""zh-CN"")"),"然后，男孩们进入田野，并伤害自己试图解开鳄鱼工具。")</f>
        <v>然后，男孩们进入田野，并伤害自己试图解开鳄鱼工具。</v>
      </c>
    </row>
    <row r="5325">
      <c r="A5325" s="4" t="s">
        <v>6688</v>
      </c>
      <c r="B5325" s="6" t="s">
        <v>6692</v>
      </c>
      <c r="C5325" s="5" t="str">
        <f>IFERROR(__xludf.DUMMYFUNCTION("GOOGLETRANSLATE(B5325,""en"",""zh-CN"")"),"然后，男孩们开始玩耍，通过它互相交谈，最终互相追逐，并在地面上互相应对。")</f>
        <v>然后，男孩们开始玩耍，通过它互相交谈，最终互相追逐，并在地面上互相应对。</v>
      </c>
    </row>
    <row r="5326">
      <c r="A5326" s="4" t="s">
        <v>6688</v>
      </c>
      <c r="B5326" s="6" t="s">
        <v>6693</v>
      </c>
      <c r="C5326" s="5" t="str">
        <f>IFERROR(__xludf.DUMMYFUNCTION("GOOGLETRANSLATE(B5326,""en"",""zh-CN"")"),"男孩们终于从田野里看一部手机，然后将他们的槌球槌铺在彼此的顶部，看似试图通过引导他们穿过分层槌中的孔，从而使球通过槌球进球。")</f>
        <v>男孩们终于从田野里看一部手机，然后将他们的槌球槌铺在彼此的顶部，看似试图通过引导他们穿过分层槌中的孔，从而使球通过槌球进球。</v>
      </c>
    </row>
    <row r="5327">
      <c r="A5327" s="4" t="s">
        <v>6694</v>
      </c>
      <c r="B5327" s="4" t="s">
        <v>6695</v>
      </c>
      <c r="C5327" s="5" t="str">
        <f>IFERROR(__xludf.DUMMYFUNCTION("GOOGLETRANSLATE(B5327,""en"",""zh-CN"")"),"看到一大批人在游泳池周围游泳，一个男人在旁边说话。")</f>
        <v>看到一大批人在游泳池周围游泳，一个男人在旁边说话。</v>
      </c>
    </row>
    <row r="5328">
      <c r="A5328" s="4" t="s">
        <v>6694</v>
      </c>
      <c r="B5328" s="4" t="s">
        <v>6696</v>
      </c>
      <c r="C5328" s="5" t="str">
        <f>IFERROR(__xludf.DUMMYFUNCTION("GOOGLETRANSLATE(B5328,""en"",""zh-CN"")"),"小组互相游泳时开始扔球。")</f>
        <v>小组互相游泳时开始扔球。</v>
      </c>
    </row>
    <row r="5329">
      <c r="A5329" s="4" t="s">
        <v>6694</v>
      </c>
      <c r="B5329" s="4" t="s">
        <v>6697</v>
      </c>
      <c r="C5329" s="5" t="str">
        <f>IFERROR(__xludf.DUMMYFUNCTION("GOOGLETRANSLATE(B5329,""en"",""zh-CN"")"),"小组继续游泳和打球。")</f>
        <v>小组继续游泳和打球。</v>
      </c>
    </row>
    <row r="5330">
      <c r="A5330" s="4" t="s">
        <v>6698</v>
      </c>
      <c r="B5330" s="4" t="s">
        <v>6699</v>
      </c>
      <c r="C5330" s="5" t="str">
        <f>IFERROR(__xludf.DUMMYFUNCTION("GOOGLETRANSLATE(B5330,""en"",""zh-CN"")"),"一个男人坐在一个被管子，说话和手势的摊位上。")</f>
        <v>一个男人坐在一个被管子，说话和手势的摊位上。</v>
      </c>
    </row>
    <row r="5331">
      <c r="A5331" s="4" t="s">
        <v>6698</v>
      </c>
      <c r="B5331" s="4" t="s">
        <v>6700</v>
      </c>
      <c r="C5331" s="5" t="str">
        <f>IFERROR(__xludf.DUMMYFUNCTION("GOOGLETRANSLATE(B5331,""en"",""zh-CN"")"),"该男子支撑着管道的一端。")</f>
        <v>该男子支撑着管道的一端。</v>
      </c>
    </row>
    <row r="5332">
      <c r="A5332" s="4" t="s">
        <v>6698</v>
      </c>
      <c r="B5332" s="4" t="s">
        <v>6701</v>
      </c>
      <c r="C5332" s="5" t="str">
        <f>IFERROR(__xludf.DUMMYFUNCTION("GOOGLETRANSLATE(B5332,""en"",""zh-CN"")"),"当他用管子从嘴里吹出烟雾时，该男子演示了如何使用管道吸烟。")</f>
        <v>当他用管子从嘴里吹出烟雾时，该男子演示了如何使用管道吸烟。</v>
      </c>
    </row>
    <row r="5333">
      <c r="A5333" s="4" t="s">
        <v>6698</v>
      </c>
      <c r="B5333" s="4" t="s">
        <v>6702</v>
      </c>
      <c r="C5333" s="5" t="str">
        <f>IFERROR(__xludf.DUMMYFUNCTION("GOOGLETRANSLATE(B5333,""en"",""zh-CN"")"),"他继续说话和手势。")</f>
        <v>他继续说话和手势。</v>
      </c>
    </row>
    <row r="5334">
      <c r="A5334" s="4" t="s">
        <v>6703</v>
      </c>
      <c r="B5334" s="4" t="s">
        <v>6704</v>
      </c>
      <c r="C5334" s="5" t="str">
        <f>IFERROR(__xludf.DUMMYFUNCTION("GOOGLETRANSLATE(B5334,""en"",""zh-CN"")"),"制作发型所需的用品图片。")</f>
        <v>制作发型所需的用品图片。</v>
      </c>
    </row>
    <row r="5335">
      <c r="A5335" s="4" t="s">
        <v>6703</v>
      </c>
      <c r="B5335" s="4" t="s">
        <v>6705</v>
      </c>
      <c r="C5335" s="5" t="str">
        <f>IFERROR(__xludf.DUMMYFUNCTION("GOOGLETRANSLATE(B5335,""en"",""zh-CN"")"),"将头发分成中间的两部分。")</f>
        <v>将头发分成中间的两部分。</v>
      </c>
    </row>
    <row r="5336">
      <c r="A5336" s="4" t="s">
        <v>6703</v>
      </c>
      <c r="B5336" s="4" t="s">
        <v>6706</v>
      </c>
      <c r="C5336" s="5" t="str">
        <f>IFERROR(__xludf.DUMMYFUNCTION("GOOGLETRANSLATE(B5336,""en"",""zh-CN"")"),"法国编织的头发从左到右一直到末端。")</f>
        <v>法国编织的头发从左到右一直到末端。</v>
      </c>
    </row>
    <row r="5337">
      <c r="A5337" s="4" t="s">
        <v>6703</v>
      </c>
      <c r="B5337" s="4" t="s">
        <v>6707</v>
      </c>
      <c r="C5337" s="5" t="str">
        <f>IFERROR(__xludf.DUMMYFUNCTION("GOOGLETRANSLATE(B5337,""en"",""zh-CN"")"),"法国编织的头发从后部向右走到末端。")</f>
        <v>法国编织的头发从后部向右走到末端。</v>
      </c>
    </row>
    <row r="5338">
      <c r="A5338" s="4" t="s">
        <v>6703</v>
      </c>
      <c r="B5338" s="4" t="s">
        <v>6708</v>
      </c>
      <c r="C5338" s="5" t="str">
        <f>IFERROR(__xludf.DUMMYFUNCTION("GOOGLETRANSLATE(B5338,""en"",""zh-CN"")"),"使用Bobby Pin将编织物连接在一起。")</f>
        <v>使用Bobby Pin将编织物连接在一起。</v>
      </c>
    </row>
    <row r="5339">
      <c r="A5339" s="4" t="s">
        <v>6703</v>
      </c>
      <c r="B5339" s="4" t="s">
        <v>6709</v>
      </c>
      <c r="C5339" s="5" t="str">
        <f>IFERROR(__xludf.DUMMYFUNCTION("GOOGLETRANSLATE(B5339,""en"",""zh-CN"")"),"将辫子分开，使辫子看起来更饱满以形成冠。")</f>
        <v>将辫子分开，使辫子看起来更饱满以形成冠。</v>
      </c>
    </row>
    <row r="5340">
      <c r="A5340" s="4" t="s">
        <v>6710</v>
      </c>
      <c r="B5340" s="4" t="s">
        <v>6711</v>
      </c>
      <c r="C5340" s="5" t="str">
        <f>IFERROR(__xludf.DUMMYFUNCTION("GOOGLETRANSLATE(B5340,""en"",""zh-CN"")"),"五个人在蓝色垫子上跳绳。")</f>
        <v>五个人在蓝色垫子上跳绳。</v>
      </c>
    </row>
    <row r="5341">
      <c r="A5341" s="4" t="s">
        <v>6710</v>
      </c>
      <c r="B5341" s="4" t="s">
        <v>6712</v>
      </c>
      <c r="C5341" s="5" t="str">
        <f>IFERROR(__xludf.DUMMYFUNCTION("GOOGLETRANSLATE(B5341,""en"",""zh-CN"")"),"他们在跳绳时会翻转和窍门。")</f>
        <v>他们在跳绳时会翻转和窍门。</v>
      </c>
    </row>
    <row r="5342">
      <c r="A5342" s="4" t="s">
        <v>6710</v>
      </c>
      <c r="B5342" s="4" t="s">
        <v>6713</v>
      </c>
      <c r="C5342" s="5" t="str">
        <f>IFERROR(__xludf.DUMMYFUNCTION("GOOGLETRANSLATE(B5342,""en"",""zh-CN"")"),"他们在离开之前结束并互相拥抱。")</f>
        <v>他们在离开之前结束并互相拥抱。</v>
      </c>
    </row>
    <row r="5343">
      <c r="A5343" s="4" t="s">
        <v>6714</v>
      </c>
      <c r="B5343" s="4" t="s">
        <v>6097</v>
      </c>
      <c r="C5343" s="5" t="str">
        <f>IFERROR(__xludf.DUMMYFUNCTION("GOOGLETRANSLATE(B5343,""en"",""zh-CN"")"),"我们看到一个黑色的打开屏幕。")</f>
        <v>我们看到一个黑色的打开屏幕。</v>
      </c>
    </row>
    <row r="5344">
      <c r="A5344" s="4" t="s">
        <v>6714</v>
      </c>
      <c r="B5344" s="4" t="s">
        <v>6715</v>
      </c>
      <c r="C5344" s="5" t="str">
        <f>IFERROR(__xludf.DUMMYFUNCTION("GOOGLETRANSLATE(B5344,""en"",""zh-CN"")"),"一位女士坐在纹身椅上说话。")</f>
        <v>一位女士坐在纹身椅上说话。</v>
      </c>
    </row>
    <row r="5345">
      <c r="A5345" s="4" t="s">
        <v>6714</v>
      </c>
      <c r="B5345" s="4" t="s">
        <v>2814</v>
      </c>
      <c r="C5345" s="5" t="str">
        <f>IFERROR(__xludf.DUMMYFUNCTION("GOOGLETRANSLATE(B5345,""en"",""zh-CN"")"),"我们看到相机操作员。")</f>
        <v>我们看到相机操作员。</v>
      </c>
    </row>
    <row r="5346">
      <c r="A5346" s="4" t="s">
        <v>6714</v>
      </c>
      <c r="B5346" s="4" t="s">
        <v>6716</v>
      </c>
      <c r="C5346" s="5" t="str">
        <f>IFERROR(__xludf.DUMMYFUNCTION("GOOGLETRANSLATE(B5346,""en"",""zh-CN"")"),"这位女士的背上有纹身。")</f>
        <v>这位女士的背上有纹身。</v>
      </c>
    </row>
    <row r="5347">
      <c r="A5347" s="4" t="s">
        <v>6714</v>
      </c>
      <c r="B5347" s="4" t="s">
        <v>6717</v>
      </c>
      <c r="C5347" s="5" t="str">
        <f>IFERROR(__xludf.DUMMYFUNCTION("GOOGLETRANSLATE(B5347,""en"",""zh-CN"")"),"另一个女士坐在椅子上。")</f>
        <v>另一个女士坐在椅子上。</v>
      </c>
    </row>
    <row r="5348">
      <c r="A5348" s="4" t="s">
        <v>6714</v>
      </c>
      <c r="B5348" s="4" t="s">
        <v>6718</v>
      </c>
      <c r="C5348" s="5" t="str">
        <f>IFERROR(__xludf.DUMMYFUNCTION("GOOGLETRANSLATE(B5348,""en"",""zh-CN"")"),"第二夫人正在纹身。")</f>
        <v>第二夫人正在纹身。</v>
      </c>
    </row>
    <row r="5349">
      <c r="A5349" s="4" t="s">
        <v>6714</v>
      </c>
      <c r="B5349" s="4" t="s">
        <v>6719</v>
      </c>
      <c r="C5349" s="5" t="str">
        <f>IFERROR(__xludf.DUMMYFUNCTION("GOOGLETRANSLATE(B5349,""en"",""zh-CN"")"),"我们看到完成的纹身。")</f>
        <v>我们看到完成的纹身。</v>
      </c>
    </row>
    <row r="5350">
      <c r="A5350" s="4" t="s">
        <v>6720</v>
      </c>
      <c r="B5350" s="4" t="s">
        <v>6721</v>
      </c>
      <c r="C5350" s="5" t="str">
        <f>IFERROR(__xludf.DUMMYFUNCTION("GOOGLETRANSLATE(B5350,""en"",""zh-CN"")"),"两名男子将一架小型私人直升机从棚屋中推出。")</f>
        <v>两名男子将一架小型私人直升机从棚屋中推出。</v>
      </c>
    </row>
    <row r="5351">
      <c r="A5351" s="4" t="s">
        <v>6720</v>
      </c>
      <c r="B5351" s="4" t="s">
        <v>6722</v>
      </c>
      <c r="C5351" s="5" t="str">
        <f>IFERROR(__xludf.DUMMYFUNCTION("GOOGLETRANSLATE(B5351,""en"",""zh-CN"")"),"他们降落在海滩上，然后将其飞过透明的海水。")</f>
        <v>他们降落在海滩上，然后将其飞过透明的海水。</v>
      </c>
    </row>
    <row r="5352">
      <c r="A5352" s="4" t="s">
        <v>6720</v>
      </c>
      <c r="B5352" s="4" t="s">
        <v>6723</v>
      </c>
      <c r="C5352" s="5" t="str">
        <f>IFERROR(__xludf.DUMMYFUNCTION("GOOGLETRANSLATE(B5352,""en"",""zh-CN"")"),"他们跳伞，靠近水时打开降落伞。")</f>
        <v>他们跳伞，靠近水时打开降落伞。</v>
      </c>
    </row>
    <row r="5353">
      <c r="A5353" s="4" t="s">
        <v>6720</v>
      </c>
      <c r="B5353" s="4" t="s">
        <v>6724</v>
      </c>
      <c r="C5353" s="5" t="str">
        <f>IFERROR(__xludf.DUMMYFUNCTION("GOOGLETRANSLATE(B5353,""en"",""zh-CN"")"),"然后，他们潜水到底部，穿上水肺齿轮以探索海底。")</f>
        <v>然后，他们潜水到底部，穿上水肺齿轮以探索海底。</v>
      </c>
    </row>
    <row r="5354">
      <c r="A5354" s="4" t="s">
        <v>6725</v>
      </c>
      <c r="B5354" s="4" t="s">
        <v>6726</v>
      </c>
      <c r="C5354" s="5" t="str">
        <f>IFERROR(__xludf.DUMMYFUNCTION("GOOGLETRANSLATE(B5354,""en"",""zh-CN"")"),"看到一大批人站在一个地区周围，并导致拔拔战的人。")</f>
        <v>看到一大批人站在一个地区周围，并导致拔拔战的人。</v>
      </c>
    </row>
    <row r="5355">
      <c r="A5355" s="4" t="s">
        <v>6725</v>
      </c>
      <c r="B5355" s="6" t="s">
        <v>6727</v>
      </c>
      <c r="C5355" s="5" t="str">
        <f>IFERROR(__xludf.DUMMYFUNCTION("GOOGLETRANSLATE(B5355,""en"",""zh-CN"")"),"穿着服装的人在继续演奏时为他们加油打气，并向人们展示在城市中跳舞的人。")</f>
        <v>穿着服装的人在继续演奏时为他们加油打气，并向人们展示在城市中跳舞的人。</v>
      </c>
    </row>
    <row r="5356">
      <c r="A5356" s="4" t="s">
        <v>6725</v>
      </c>
      <c r="B5356" s="4" t="s">
        <v>6728</v>
      </c>
      <c r="C5356" s="5" t="str">
        <f>IFERROR(__xludf.DUMMYFUNCTION("GOOGLETRANSLATE(B5356,""en"",""zh-CN"")"),"展示了更多有关活动的图片以及彼此交谈的人。")</f>
        <v>展示了更多有关活动的图片以及彼此交谈的人。</v>
      </c>
    </row>
    <row r="5357">
      <c r="A5357" s="4" t="s">
        <v>6729</v>
      </c>
      <c r="B5357" s="4" t="s">
        <v>6730</v>
      </c>
      <c r="C5357" s="5" t="str">
        <f>IFERROR(__xludf.DUMMYFUNCTION("GOOGLETRANSLATE(B5357,""en"",""zh-CN"")"),"看到一位纹身艺术家纹身纹身，并导致一个男人在镜头上说话。")</f>
        <v>看到一位纹身艺术家纹身纹身，并导致一个男人在镜头上说话。</v>
      </c>
    </row>
    <row r="5358">
      <c r="A5358" s="4" t="s">
        <v>6729</v>
      </c>
      <c r="B5358" s="4" t="s">
        <v>6731</v>
      </c>
      <c r="C5358" s="5" t="str">
        <f>IFERROR(__xludf.DUMMYFUNCTION("GOOGLETRANSLATE(B5358,""en"",""zh-CN"")"),"该男子继续与相机交谈，并指向和移开视线。")</f>
        <v>该男子继续与相机交谈，并指向和移开视线。</v>
      </c>
    </row>
    <row r="5359">
      <c r="A5359" s="4" t="s">
        <v>6732</v>
      </c>
      <c r="B5359" s="4" t="s">
        <v>6733</v>
      </c>
      <c r="C5359" s="5" t="str">
        <f>IFERROR(__xludf.DUMMYFUNCTION("GOOGLETRANSLATE(B5359,""en"",""zh-CN"")"),"一个小男孩扮演小提琴。")</f>
        <v>一个小男孩扮演小提琴。</v>
      </c>
    </row>
    <row r="5360">
      <c r="A5360" s="4" t="s">
        <v>6732</v>
      </c>
      <c r="B5360" s="4" t="s">
        <v>6734</v>
      </c>
      <c r="C5360" s="5" t="str">
        <f>IFERROR(__xludf.DUMMYFUNCTION("GOOGLETRANSLATE(B5360,""en"",""zh-CN"")"),"他停止打小提琴。")</f>
        <v>他停止打小提琴。</v>
      </c>
    </row>
    <row r="5361">
      <c r="A5361" s="4" t="s">
        <v>6735</v>
      </c>
      <c r="B5361" s="4" t="s">
        <v>6736</v>
      </c>
      <c r="C5361" s="5" t="str">
        <f>IFERROR(__xludf.DUMMYFUNCTION("GOOGLETRANSLATE(B5361,""en"",""zh-CN"")"),"一个穿着白色围裙和裤子的男人站在拿着铅笔和墙纸的梯子上。")</f>
        <v>一个穿着白色围裙和裤子的男人站在拿着铅笔和墙纸的梯子上。</v>
      </c>
    </row>
    <row r="5362">
      <c r="A5362" s="4" t="s">
        <v>6735</v>
      </c>
      <c r="B5362" s="4" t="s">
        <v>6737</v>
      </c>
      <c r="C5362" s="5" t="str">
        <f>IFERROR(__xludf.DUMMYFUNCTION("GOOGLETRANSLATE(B5362,""en"",""zh-CN"")"),"该男子将一条墙纸带到墙上，并用手光滑。")</f>
        <v>该男子将一条墙纸带到墙上，并用手光滑。</v>
      </c>
    </row>
    <row r="5363">
      <c r="A5363" s="4" t="s">
        <v>6735</v>
      </c>
      <c r="B5363" s="4" t="s">
        <v>6738</v>
      </c>
      <c r="C5363" s="5" t="str">
        <f>IFERROR(__xludf.DUMMYFUNCTION("GOOGLETRANSLATE(B5363,""en"",""zh-CN"")"),"该男子使用抹布，然后用刷子将墙纸平滑到墙壁表面。")</f>
        <v>该男子使用抹布，然后用刷子将墙纸平滑到墙壁表面。</v>
      </c>
    </row>
    <row r="5364">
      <c r="A5364" s="4" t="s">
        <v>6735</v>
      </c>
      <c r="B5364" s="6" t="s">
        <v>6739</v>
      </c>
      <c r="C5364" s="5" t="str">
        <f>IFERROR(__xludf.DUMMYFUNCTION("GOOGLETRANSLATE(B5364,""en"",""zh-CN"")"),"画家使用刮铲和刀片来修剪沿天花板的壁纸边缘上的直线。")</f>
        <v>画家使用刮铲和刀片来修剪沿天花板的壁纸边缘上的直线。</v>
      </c>
    </row>
    <row r="5365">
      <c r="A5365" s="4" t="s">
        <v>6735</v>
      </c>
      <c r="B5365" s="4" t="s">
        <v>6740</v>
      </c>
      <c r="C5365" s="5" t="str">
        <f>IFERROR(__xludf.DUMMYFUNCTION("GOOGLETRANSLATE(B5365,""en"",""zh-CN"")"),"该男子从梯子上下来，将墙纸展开到地板上。")</f>
        <v>该男子从梯子上下来，将墙纸展开到地板上。</v>
      </c>
    </row>
    <row r="5366">
      <c r="A5366" s="4" t="s">
        <v>6735</v>
      </c>
      <c r="B5366" s="6" t="s">
        <v>6741</v>
      </c>
      <c r="C5366" s="5" t="str">
        <f>IFERROR(__xludf.DUMMYFUNCTION("GOOGLETRANSLATE(B5366,""en"",""zh-CN"")"),"该男子继续将刷子向下刷到地板上，使墙纸的下部平滑。")</f>
        <v>该男子继续将刷子向下刷到地板上，使墙纸的下部平滑。</v>
      </c>
    </row>
    <row r="5367">
      <c r="A5367" s="4" t="s">
        <v>6735</v>
      </c>
      <c r="B5367" s="4" t="s">
        <v>6742</v>
      </c>
      <c r="C5367" s="5" t="str">
        <f>IFERROR(__xludf.DUMMYFUNCTION("GOOGLETRANSLATE(B5367,""en"",""zh-CN"")"),"该男子用刀片靠在地板板上，将墙纸的下边缘修剪。")</f>
        <v>该男子用刀片靠在地板板上，将墙纸的下边缘修剪。</v>
      </c>
    </row>
    <row r="5368">
      <c r="A5368" s="4" t="s">
        <v>6735</v>
      </c>
      <c r="B5368" s="4" t="s">
        <v>6743</v>
      </c>
      <c r="C5368" s="5" t="str">
        <f>IFERROR(__xludf.DUMMYFUNCTION("GOOGLETRANSLATE(B5368,""en"",""zh-CN"")"),"该男子从天花板从地板上的天花板上剪下墙纸的角落。")</f>
        <v>该男子从天花板从地板上的天花板上剪下墙纸的角落。</v>
      </c>
    </row>
    <row r="5369">
      <c r="A5369" s="4" t="s">
        <v>6744</v>
      </c>
      <c r="B5369" s="4" t="s">
        <v>6745</v>
      </c>
      <c r="C5369" s="5" t="str">
        <f>IFERROR(__xludf.DUMMYFUNCTION("GOOGLETRANSLATE(B5369,""en"",""zh-CN"")"),"看到两个孩子坐在浴缸里擦脸，另一个人的手互动。")</f>
        <v>看到两个孩子坐在浴缸里擦脸，另一个人的手互动。</v>
      </c>
    </row>
    <row r="5370">
      <c r="A5370" s="4" t="s">
        <v>6744</v>
      </c>
      <c r="B5370" s="6" t="s">
        <v>6746</v>
      </c>
      <c r="C5370" s="5" t="str">
        <f>IFERROR(__xludf.DUMMYFUNCTION("GOOGLETRANSLATE(B5370,""en"",""zh-CN"")"),"这个男孩继续在他的脸上摩擦水，并玩玩具，对摄影师微笑。")</f>
        <v>这个男孩继续在他的脸上摩擦水，并玩玩具，对摄影师微笑。</v>
      </c>
    </row>
    <row r="5371">
      <c r="A5371" s="4" t="s">
        <v>6747</v>
      </c>
      <c r="B5371" s="4" t="s">
        <v>6748</v>
      </c>
      <c r="C5371" s="5" t="str">
        <f>IFERROR(__xludf.DUMMYFUNCTION("GOOGLETRANSLATE(B5371,""en"",""zh-CN"")"),"一个男人走到保龄球馆的一条车道上。")</f>
        <v>一个男人走到保龄球馆的一条车道上。</v>
      </c>
    </row>
    <row r="5372">
      <c r="A5372" s="4" t="s">
        <v>6747</v>
      </c>
      <c r="B5372" s="4" t="s">
        <v>6749</v>
      </c>
      <c r="C5372" s="5" t="str">
        <f>IFERROR(__xludf.DUMMYFUNCTION("GOOGLETRANSLATE(B5372,""en"",""zh-CN"")"),"他扔球，看着它多次滑下车道。")</f>
        <v>他扔球，看着它多次滑下车道。</v>
      </c>
    </row>
    <row r="5373">
      <c r="A5373" s="4" t="s">
        <v>6747</v>
      </c>
      <c r="B5373" s="4" t="s">
        <v>6750</v>
      </c>
      <c r="C5373" s="5" t="str">
        <f>IFERROR(__xludf.DUMMYFUNCTION("GOOGLETRANSLATE(B5373,""en"",""zh-CN"")"),"它击倒了除两个销之外的所有销钉，他第二次错过了。")</f>
        <v>它击倒了除两个销之外的所有销钉，他第二次错过了。</v>
      </c>
    </row>
    <row r="5374">
      <c r="A5374" s="4" t="s">
        <v>6751</v>
      </c>
      <c r="B5374" s="6" t="s">
        <v>6752</v>
      </c>
      <c r="C5374" s="5" t="str">
        <f>IFERROR(__xludf.DUMMYFUNCTION("GOOGLETRANSLATE(B5374,""en"",""zh-CN"")"),"小女孩在比赛中登上舞台，并跳入平行的体操和翻筋斗。")</f>
        <v>小女孩在比赛中登上舞台，并跳入平行的体操和翻筋斗。</v>
      </c>
    </row>
    <row r="5375">
      <c r="A5375" s="4" t="s">
        <v>6751</v>
      </c>
      <c r="B5375" s="4" t="s">
        <v>6753</v>
      </c>
      <c r="C5375" s="5" t="str">
        <f>IFERROR(__xludf.DUMMYFUNCTION("GOOGLETRANSLATE(B5375,""en"",""zh-CN"")"),"Peolpe站在舞台后面说话。")</f>
        <v>Peolpe站在舞台后面说话。</v>
      </c>
    </row>
    <row r="5376">
      <c r="A5376" s="4" t="s">
        <v>6754</v>
      </c>
      <c r="B5376" s="4" t="s">
        <v>6755</v>
      </c>
      <c r="C5376" s="5" t="str">
        <f>IFERROR(__xludf.DUMMYFUNCTION("GOOGLETRANSLATE(B5376,""en"",""zh-CN"")"),"一个女人在床上编织。")</f>
        <v>一个女人在床上编织。</v>
      </c>
    </row>
    <row r="5377">
      <c r="A5377" s="4" t="s">
        <v>6754</v>
      </c>
      <c r="B5377" s="4" t="s">
        <v>6756</v>
      </c>
      <c r="C5377" s="5" t="str">
        <f>IFERROR(__xludf.DUMMYFUNCTION("GOOGLETRANSLATE(B5377,""en"",""zh-CN"")"),"那个女人把双臂放下来抓住纱线。")</f>
        <v>那个女人把双臂放下来抓住纱线。</v>
      </c>
    </row>
    <row r="5378">
      <c r="A5378" s="4" t="s">
        <v>6754</v>
      </c>
      <c r="B5378" s="4" t="s">
        <v>6757</v>
      </c>
      <c r="C5378" s="5" t="str">
        <f>IFERROR(__xludf.DUMMYFUNCTION("GOOGLETRANSLATE(B5378,""en"",""zh-CN"")"),"那个女人展示了她在做什么。")</f>
        <v>那个女人展示了她在做什么。</v>
      </c>
    </row>
    <row r="5379">
      <c r="A5379" s="4" t="s">
        <v>6758</v>
      </c>
      <c r="B5379" s="4" t="s">
        <v>6759</v>
      </c>
      <c r="C5379" s="5" t="str">
        <f>IFERROR(__xludf.DUMMYFUNCTION("GOOGLETRANSLATE(B5379,""en"",""zh-CN"")"),"人们站在草地上。")</f>
        <v>人们站在草地上。</v>
      </c>
    </row>
    <row r="5380">
      <c r="A5380" s="4" t="s">
        <v>6758</v>
      </c>
      <c r="B5380" s="4" t="s">
        <v>6760</v>
      </c>
      <c r="C5380" s="5" t="str">
        <f>IFERROR(__xludf.DUMMYFUNCTION("GOOGLETRANSLATE(B5380,""en"",""zh-CN"")"),"一个男人握住脖子附近的球，然后旋转。")</f>
        <v>一个男人握住脖子附近的球，然后旋转。</v>
      </c>
    </row>
    <row r="5381">
      <c r="A5381" s="4" t="s">
        <v>6758</v>
      </c>
      <c r="B5381" s="4" t="s">
        <v>6761</v>
      </c>
      <c r="C5381" s="5" t="str">
        <f>IFERROR(__xludf.DUMMYFUNCTION("GOOGLETRANSLATE(B5381,""en"",""zh-CN"")"),"他把它扔到田野上。")</f>
        <v>他把它扔到田野上。</v>
      </c>
    </row>
    <row r="5382">
      <c r="A5382" s="4" t="s">
        <v>6762</v>
      </c>
      <c r="B5382" s="4" t="s">
        <v>6763</v>
      </c>
      <c r="C5382" s="5" t="str">
        <f>IFERROR(__xludf.DUMMYFUNCTION("GOOGLETRANSLATE(B5382,""en"",""zh-CN"")"),"一个女人打开白色壁橱门。")</f>
        <v>一个女人打开白色壁橱门。</v>
      </c>
    </row>
    <row r="5383">
      <c r="A5383" s="4" t="s">
        <v>6762</v>
      </c>
      <c r="B5383" s="4" t="s">
        <v>6764</v>
      </c>
      <c r="C5383" s="5" t="str">
        <f>IFERROR(__xludf.DUMMYFUNCTION("GOOGLETRANSLATE(B5383,""en"",""zh-CN"")"),"她从壁橱里脱鞋。")</f>
        <v>她从壁橱里脱鞋。</v>
      </c>
    </row>
    <row r="5384">
      <c r="A5384" s="4" t="s">
        <v>6762</v>
      </c>
      <c r="B5384" s="4" t="s">
        <v>6765</v>
      </c>
      <c r="C5384" s="5" t="str">
        <f>IFERROR(__xludf.DUMMYFUNCTION("GOOGLETRANSLATE(B5384,""en"",""zh-CN"")"),"她穿鞋。")</f>
        <v>她穿鞋。</v>
      </c>
    </row>
    <row r="5385">
      <c r="A5385" s="4" t="s">
        <v>6762</v>
      </c>
      <c r="B5385" s="4" t="s">
        <v>6766</v>
      </c>
      <c r="C5385" s="5" t="str">
        <f>IFERROR(__xludf.DUMMYFUNCTION("GOOGLETRANSLATE(B5385,""en"",""zh-CN"")"),"然后她把它们绑起来。")</f>
        <v>然后她把它们绑起来。</v>
      </c>
    </row>
    <row r="5386">
      <c r="A5386" s="4" t="s">
        <v>6767</v>
      </c>
      <c r="B5386" s="4" t="s">
        <v>6768</v>
      </c>
      <c r="C5386" s="5" t="str">
        <f>IFERROR(__xludf.DUMMYFUNCTION("GOOGLETRANSLATE(B5386,""en"",""zh-CN"")"),"一位年轻的金发女士正在与她房间内的相机交谈。")</f>
        <v>一位年轻的金发女士正在与她房间内的相机交谈。</v>
      </c>
    </row>
    <row r="5387">
      <c r="A5387" s="4" t="s">
        <v>6767</v>
      </c>
      <c r="B5387" s="4" t="s">
        <v>6769</v>
      </c>
      <c r="C5387" s="5" t="str">
        <f>IFERROR(__xludf.DUMMYFUNCTION("GOOGLETRANSLATE(B5387,""en"",""zh-CN"")"),"她将头发分为部分。")</f>
        <v>她将头发分为部分。</v>
      </c>
    </row>
    <row r="5388">
      <c r="A5388" s="4" t="s">
        <v>6767</v>
      </c>
      <c r="B5388" s="4" t="s">
        <v>6770</v>
      </c>
      <c r="C5388" s="5" t="str">
        <f>IFERROR(__xludf.DUMMYFUNCTION("GOOGLETRANSLATE(B5388,""en"",""zh-CN"")"),"然后，她展示了如何编织部分并将其固定到位。")</f>
        <v>然后，她展示了如何编织部分并将其固定到位。</v>
      </c>
    </row>
    <row r="5389">
      <c r="A5389" s="4" t="s">
        <v>6771</v>
      </c>
      <c r="B5389" s="4" t="s">
        <v>6772</v>
      </c>
      <c r="C5389" s="5" t="str">
        <f>IFERROR(__xludf.DUMMYFUNCTION("GOOGLETRANSLATE(B5389,""en"",""zh-CN"")"),"一个男人在室内，戴着拳击手套。")</f>
        <v>一个男人在室内，戴着拳击手套。</v>
      </c>
    </row>
    <row r="5390">
      <c r="A5390" s="4" t="s">
        <v>6771</v>
      </c>
      <c r="B5390" s="4" t="s">
        <v>6773</v>
      </c>
      <c r="C5390" s="5" t="str">
        <f>IFERROR(__xludf.DUMMYFUNCTION("GOOGLETRANSLATE(B5390,""en"",""zh-CN"")"),"他用一个大的打孔袋踢了跆拳道，一遍又一遍地打孔。")</f>
        <v>他用一个大的打孔袋踢了跆拳道，一遍又一遍地打孔。</v>
      </c>
    </row>
    <row r="5391">
      <c r="A5391" s="4" t="s">
        <v>6774</v>
      </c>
      <c r="B5391" s="4" t="s">
        <v>6775</v>
      </c>
      <c r="C5391" s="5" t="str">
        <f>IFERROR(__xludf.DUMMYFUNCTION("GOOGLETRANSLATE(B5391,""en"",""zh-CN"")"),"人们拿着冲浪板走路，然后登船。")</f>
        <v>人们拿着冲浪板走路，然后登船。</v>
      </c>
    </row>
    <row r="5392">
      <c r="A5392" s="4" t="s">
        <v>6774</v>
      </c>
      <c r="B5392" s="4" t="s">
        <v>6776</v>
      </c>
      <c r="C5392" s="5" t="str">
        <f>IFERROR(__xludf.DUMMYFUNCTION("GOOGLETRANSLATE(B5392,""en"",""zh-CN"")"),"一个人滑水在船后跳高并旋转。")</f>
        <v>一个人滑水在船后跳高并旋转。</v>
      </c>
    </row>
    <row r="5393">
      <c r="A5393" s="4" t="s">
        <v>6774</v>
      </c>
      <c r="B5393" s="4" t="s">
        <v>6777</v>
      </c>
      <c r="C5393" s="5" t="str">
        <f>IFERROR(__xludf.DUMMYFUNCTION("GOOGLETRANSLATE(B5393,""en"",""zh-CN"")"),"然后，一个女人和一个男人滑雪杂技跳跃。")</f>
        <v>然后，一个女人和一个男人滑雪杂技跳跃。</v>
      </c>
    </row>
    <row r="5394">
      <c r="A5394" s="4" t="s">
        <v>6774</v>
      </c>
      <c r="B5394" s="4" t="s">
        <v>6778</v>
      </c>
      <c r="C5394" s="5" t="str">
        <f>IFERROR(__xludf.DUMMYFUNCTION("GOOGLETRANSLATE(B5394,""en"",""zh-CN"")"),"一艘船在河中空着。")</f>
        <v>一艘船在河中空着。</v>
      </c>
    </row>
    <row r="5395">
      <c r="A5395" s="4" t="s">
        <v>6774</v>
      </c>
      <c r="B5395" s="4" t="s">
        <v>6779</v>
      </c>
      <c r="C5395" s="5" t="str">
        <f>IFERROR(__xludf.DUMMYFUNCTION("GOOGLETRANSLATE(B5395,""en"",""zh-CN"")"),"之后，人滑水跳跃并转身。")</f>
        <v>之后，人滑水跳跃并转身。</v>
      </c>
    </row>
    <row r="5396">
      <c r="A5396" s="4" t="s">
        <v>6774</v>
      </c>
      <c r="B5396" s="6" t="s">
        <v>6780</v>
      </c>
      <c r="C5396" s="5" t="str">
        <f>IFERROR(__xludf.DUMMYFUNCTION("GOOGLETRANSLATE(B5396,""en"",""zh-CN"")"),"接下来，一个人在船上产生的海浪上冲浪，在人滑雪跳高并翻转高高之后。")</f>
        <v>接下来，一个人在船上产生的海浪上冲浪，在人滑雪跳高并翻转高高之后。</v>
      </c>
    </row>
    <row r="5397">
      <c r="A5397" s="4" t="s">
        <v>6781</v>
      </c>
      <c r="B5397" s="6" t="s">
        <v>6782</v>
      </c>
      <c r="C5397" s="5" t="str">
        <f>IFERROR(__xludf.DUMMYFUNCTION("GOOGLETRANSLATE(B5397,""en"",""zh-CN"")"),"看到一个人站在水槽前，用水，将手推在水下。")</f>
        <v>看到一个人站在水槽前，用水，将手推在水下。</v>
      </c>
    </row>
    <row r="5398">
      <c r="A5398" s="4" t="s">
        <v>6781</v>
      </c>
      <c r="B5398" s="4" t="s">
        <v>6783</v>
      </c>
      <c r="C5398" s="5" t="str">
        <f>IFERROR(__xludf.DUMMYFUNCTION("GOOGLETRANSLATE(B5398,""en"",""zh-CN"")"),"然后，他们将肥皂放在手中，擦洗一点，然后将手放在水下。")</f>
        <v>然后，他们将肥皂放在手中，擦洗一点，然后将手放在水下。</v>
      </c>
    </row>
    <row r="5399">
      <c r="A5399" s="4" t="s">
        <v>6781</v>
      </c>
      <c r="B5399" s="4" t="s">
        <v>6784</v>
      </c>
      <c r="C5399" s="5" t="str">
        <f>IFERROR(__xludf.DUMMYFUNCTION("GOOGLETRANSLATE(B5399,""en"",""zh-CN"")"),"最终，她将手放在水下，用纸巾将手干燥。")</f>
        <v>最终，她将手放在水下，用纸巾将手干燥。</v>
      </c>
    </row>
    <row r="5400">
      <c r="A5400" s="4" t="s">
        <v>6785</v>
      </c>
      <c r="B5400" s="4" t="s">
        <v>6786</v>
      </c>
      <c r="C5400" s="5" t="str">
        <f>IFERROR(__xludf.DUMMYFUNCTION("GOOGLETRANSLATE(B5400,""en"",""zh-CN"")"),"在河上，人们聚集在甜甜圈和船上看人皮划艇。")</f>
        <v>在河上，人们聚集在甜甜圈和船上看人皮划艇。</v>
      </c>
    </row>
    <row r="5401">
      <c r="A5401" s="4" t="s">
        <v>6785</v>
      </c>
      <c r="B5401" s="4" t="s">
        <v>6787</v>
      </c>
      <c r="C5401" s="5" t="str">
        <f>IFERROR(__xludf.DUMMYFUNCTION("GOOGLETRANSLATE(B5401,""en"",""zh-CN"")"),"皮划艇上的几个人被翻转过来，掉进了河中。")</f>
        <v>皮划艇上的几个人被翻转过来，掉进了河中。</v>
      </c>
    </row>
    <row r="5402">
      <c r="A5402" s="4" t="s">
        <v>6788</v>
      </c>
      <c r="B5402" s="4" t="s">
        <v>6789</v>
      </c>
      <c r="C5402" s="5" t="str">
        <f>IFERROR(__xludf.DUMMYFUNCTION("GOOGLETRANSLATE(B5402,""en"",""zh-CN"")"),"一个长长的金发小马故事的女性开始跨过一个大绿色田野，扔球。")</f>
        <v>一个长长的金发小马故事的女性开始跨过一个大绿色田野，扔球。</v>
      </c>
    </row>
    <row r="5403">
      <c r="A5403" s="4" t="s">
        <v>6788</v>
      </c>
      <c r="B5403" s="6" t="s">
        <v>6790</v>
      </c>
      <c r="C5403" s="5" t="str">
        <f>IFERROR(__xludf.DUMMYFUNCTION("GOOGLETRANSLATE(B5403,""en"",""zh-CN"")"),"然后，她继续在整个场地上奔跑，开始看漂白剂并期待垒球比赛。")</f>
        <v>然后，她继续在整个场地上奔跑，开始看漂白剂并期待垒球比赛。</v>
      </c>
    </row>
    <row r="5404">
      <c r="A5404" s="4" t="s">
        <v>6788</v>
      </c>
      <c r="B5404" s="6" t="s">
        <v>6791</v>
      </c>
      <c r="C5404" s="5" t="str">
        <f>IFERROR(__xludf.DUMMYFUNCTION("GOOGLETRANSLATE(B5404,""en"",""zh-CN"")"),"随着动作的继续，她在看台上进行了进展，在最后一个屏幕上出现了一个URL观看现场板球比赛。")</f>
        <v>随着动作的继续，她在看台上进行了进展，在最后一个屏幕上出现了一个URL观看现场板球比赛。</v>
      </c>
    </row>
    <row r="5405">
      <c r="A5405" s="4" t="s">
        <v>6792</v>
      </c>
      <c r="B5405" s="6" t="s">
        <v>6793</v>
      </c>
      <c r="C5405" s="5" t="str">
        <f>IFERROR(__xludf.DUMMYFUNCTION("GOOGLETRANSLATE(B5405,""en"",""zh-CN"")"),"黑白视频播放，其中一名男子是布鲁斯·李（Bruce Lee），他非常巧妙，创造性地将乒乓球击中了另一个拿着乒乓球的男人，而布鲁斯·李（Bruce Lee带有桨的人无法将球放在桌子上。")</f>
        <v>黑白视频播放，其中一名男子是布鲁斯·李（Bruce Lee），他非常巧妙，创造性地将乒乓球击中了另一个拿着乒乓球的男人，而布鲁斯·李（Bruce Lee带有桨的人无法将球放在桌子上。</v>
      </c>
    </row>
    <row r="5406">
      <c r="A5406" s="4" t="s">
        <v>6792</v>
      </c>
      <c r="B5406" s="6" t="s">
        <v>6794</v>
      </c>
      <c r="C5406" s="5" t="str">
        <f>IFERROR(__xludf.DUMMYFUNCTION("GOOGLETRANSLATE(B5406,""en"",""zh-CN"")"),"现在，桌子的尽头有两个人，他们都拿着桨和布鲁斯·李（Bruce Lee）在桌上将球放在桌子上，但最终失败了。")</f>
        <v>现在，桌子的尽头有两个人，他们都拿着桨和布鲁斯·李（Bruce Lee）在桌上将球放在桌子上，但最终失败了。</v>
      </c>
    </row>
    <row r="5407">
      <c r="A5407" s="4" t="s">
        <v>6792</v>
      </c>
      <c r="B5407" s="6" t="s">
        <v>6795</v>
      </c>
      <c r="C5407" s="5" t="str">
        <f>IFERROR(__xludf.DUMMYFUNCTION("GOOGLETRANSLATE(B5407,""en"",""zh-CN"")"),"中间带有白色亚洲字样的黑屏，然后是一个网站，上面写着“ www lee35来CN”。")</f>
        <v>中间带有白色亚洲字样的黑屏，然后是一个网站，上面写着“ www lee35来CN”。</v>
      </c>
    </row>
    <row r="5408">
      <c r="A5408" s="4" t="s">
        <v>6796</v>
      </c>
      <c r="B5408" s="4" t="s">
        <v>6797</v>
      </c>
      <c r="C5408" s="5" t="str">
        <f>IFERROR(__xludf.DUMMYFUNCTION("GOOGLETRANSLATE(B5408,""en"",""zh-CN"")"),"从第一人称角度来看，相机跟随几个人在人行道上。")</f>
        <v>从第一人称角度来看，相机跟随几个人在人行道上。</v>
      </c>
    </row>
    <row r="5409">
      <c r="A5409" s="4" t="s">
        <v>6796</v>
      </c>
      <c r="B5409" s="4" t="s">
        <v>6798</v>
      </c>
      <c r="C5409" s="5" t="str">
        <f>IFERROR(__xludf.DUMMYFUNCTION("GOOGLETRANSLATE(B5409,""en"",""zh-CN"")"),"相机从第一人称角度与他人一起从第一人称角度上滑下了雪坡。")</f>
        <v>相机从第一人称角度与他人一起从第一人称角度上滑下了雪坡。</v>
      </c>
    </row>
    <row r="5410">
      <c r="A5410" s="4" t="s">
        <v>6796</v>
      </c>
      <c r="B5410" s="4" t="s">
        <v>6799</v>
      </c>
      <c r="C5410" s="5" t="str">
        <f>IFERROR(__xludf.DUMMYFUNCTION("GOOGLETRANSLATE(B5410,""en"",""zh-CN"")"),"相机显示从第一人称角度向后看滑下的雪坡。")</f>
        <v>相机显示从第一人称角度向后看滑下的雪坡。</v>
      </c>
    </row>
    <row r="5411">
      <c r="A5411" s="4" t="s">
        <v>6796</v>
      </c>
      <c r="B5411" s="4" t="s">
        <v>6800</v>
      </c>
      <c r="C5411" s="5" t="str">
        <f>IFERROR(__xludf.DUMMYFUNCTION("GOOGLETRANSLATE(B5411,""en"",""zh-CN"")"),"相机从第一人称角度与他人一起显示了另一个滑动坡度。")</f>
        <v>相机从第一人称角度与他人一起显示了另一个滑动坡度。</v>
      </c>
    </row>
    <row r="5412">
      <c r="A5412" s="4" t="s">
        <v>6796</v>
      </c>
      <c r="B5412" s="4" t="s">
        <v>6801</v>
      </c>
      <c r="C5412" s="5" t="str">
        <f>IFERROR(__xludf.DUMMYFUNCTION("GOOGLETRANSLATE(B5412,""en"",""zh-CN"")"),"当其他人滑下坡度时，相机看着。")</f>
        <v>当其他人滑下坡度时，相机看着。</v>
      </c>
    </row>
    <row r="5413">
      <c r="A5413" s="4" t="s">
        <v>6796</v>
      </c>
      <c r="B5413" s="4" t="s">
        <v>6802</v>
      </c>
      <c r="C5413" s="5" t="str">
        <f>IFERROR(__xludf.DUMMYFUNCTION("GOOGLETRANSLATE(B5413,""en"",""zh-CN"")"),"相机在旋转时从第一人称角度捕捉到另一个斜坡。")</f>
        <v>相机在旋转时从第一人称角度捕捉到另一个斜坡。</v>
      </c>
    </row>
    <row r="5414">
      <c r="A5414" s="4" t="s">
        <v>6796</v>
      </c>
      <c r="B5414" s="6" t="s">
        <v>6803</v>
      </c>
      <c r="C5414" s="5" t="str">
        <f>IFERROR(__xludf.DUMMYFUNCTION("GOOGLETRANSLATE(B5414,""en"",""zh-CN"")"),"左右看时，相机从第一人称角度从第一人称角度捕捉到了更多的滑动。")</f>
        <v>左右看时，相机从第一人称角度从第一人称角度捕捉到了更多的滑动。</v>
      </c>
    </row>
    <row r="5415">
      <c r="A5415" s="4" t="s">
        <v>6804</v>
      </c>
      <c r="B5415" s="4" t="s">
        <v>6805</v>
      </c>
      <c r="C5415" s="5" t="str">
        <f>IFERROR(__xludf.DUMMYFUNCTION("GOOGLETRANSLATE(B5415,""en"",""zh-CN"")"),"看到一个人坐在椅子上，手臂伸出一个男性艺术家的纹身。")</f>
        <v>看到一个人坐在椅子上，手臂伸出一个男性艺术家的纹身。</v>
      </c>
    </row>
    <row r="5416">
      <c r="A5416" s="4" t="s">
        <v>6804</v>
      </c>
      <c r="B5416" s="4" t="s">
        <v>6806</v>
      </c>
      <c r="C5416" s="5" t="str">
        <f>IFERROR(__xludf.DUMMYFUNCTION("GOOGLETRANSLATE(B5416,""en"",""zh-CN"")"),"这些人回话，彼此之间说话，相机放大了手臂。")</f>
        <v>这些人回话，彼此之间说话，相机放大了手臂。</v>
      </c>
    </row>
    <row r="5417">
      <c r="A5417" s="4" t="s">
        <v>6804</v>
      </c>
      <c r="B5417" s="4" t="s">
        <v>6807</v>
      </c>
      <c r="C5417" s="5" t="str">
        <f>IFERROR(__xludf.DUMMYFUNCTION("GOOGLETRANSLATE(B5417,""en"",""zh-CN"")"),"最终显示了站在一起的人以及纹身。")</f>
        <v>最终显示了站在一起的人以及纹身。</v>
      </c>
    </row>
    <row r="5418">
      <c r="A5418" s="4" t="s">
        <v>6808</v>
      </c>
      <c r="B5418" s="6" t="s">
        <v>6809</v>
      </c>
      <c r="C5418" s="5" t="str">
        <f>IFERROR(__xludf.DUMMYFUNCTION("GOOGLETRANSLATE(B5418,""en"",""zh-CN"")"),"看到一大批人在海洋周围游泳，而两个男人在岸上将足球踢回去，彼此第四。")</f>
        <v>看到一大批人在海洋周围游泳，而两个男人在岸上将足球踢回去，彼此第四。</v>
      </c>
    </row>
    <row r="5419">
      <c r="A5419" s="4" t="s">
        <v>6808</v>
      </c>
      <c r="B5419" s="6" t="s">
        <v>6810</v>
      </c>
      <c r="C5419" s="5" t="str">
        <f>IFERROR(__xludf.DUMMYFUNCTION("GOOGLETRANSLATE(B5419,""en"",""zh-CN"")"),"当人们继续向后踢球和彼此之间，越来越多的人走进框架。")</f>
        <v>当人们继续向后踢球和彼此之间，越来越多的人走进框架。</v>
      </c>
    </row>
    <row r="5420">
      <c r="A5420" s="4" t="s">
        <v>6811</v>
      </c>
      <c r="B5420" s="4" t="s">
        <v>6812</v>
      </c>
      <c r="C5420" s="5" t="str">
        <f>IFERROR(__xludf.DUMMYFUNCTION("GOOGLETRANSLATE(B5420,""en"",""zh-CN"")"),"一个女人拿着卡时在相机上说话。")</f>
        <v>一个女人拿着卡时在相机上说话。</v>
      </c>
    </row>
    <row r="5421">
      <c r="A5421" s="4" t="s">
        <v>6811</v>
      </c>
      <c r="B5421" s="4" t="s">
        <v>6813</v>
      </c>
      <c r="C5421" s="5" t="str">
        <f>IFERROR(__xludf.DUMMYFUNCTION("GOOGLETRANSLATE(B5421,""en"",""zh-CN"")"),"一对夫妇在聚光灯下出现在专业舞台上，并表演舞蹈例程。")</f>
        <v>一对夫妇在聚光灯下出现在专业舞台上，并表演舞蹈例程。</v>
      </c>
    </row>
    <row r="5422">
      <c r="A5422" s="4" t="s">
        <v>6811</v>
      </c>
      <c r="B5422" s="4" t="s">
        <v>6814</v>
      </c>
      <c r="C5422" s="5" t="str">
        <f>IFERROR(__xludf.DUMMYFUNCTION("GOOGLETRANSLATE(B5422,""en"",""zh-CN"")"),"两人完成了他们的例行程序，他亲吻她的手，听众鼓掌。")</f>
        <v>两人完成了他们的例行程序，他亲吻她的手，听众鼓掌。</v>
      </c>
    </row>
    <row r="5423">
      <c r="A5423" s="4" t="s">
        <v>6815</v>
      </c>
      <c r="B5423" s="6" t="s">
        <v>6816</v>
      </c>
      <c r="C5423" s="5" t="str">
        <f>IFERROR(__xludf.DUMMYFUNCTION("GOOGLETRANSLATE(B5423,""en"",""zh-CN"")"),"一个穿着黑色短裤，T恤，运动鞋和红色棒球帽的男子走进一个带有硬木地板的橙色墙壁房间，展示了带有两个金属黑色哑铃的手臂举行。")</f>
        <v>一个穿着黑色短裤，T恤，运动鞋和红色棒球帽的男子走进一个带有硬木地板的橙色墙壁房间，展示了带有两个金属黑色哑铃的手臂举行。</v>
      </c>
    </row>
    <row r="5424">
      <c r="A5424" s="4" t="s">
        <v>6815</v>
      </c>
      <c r="B5424" s="4" t="s">
        <v>6817</v>
      </c>
      <c r="C5424" s="5" t="str">
        <f>IFERROR(__xludf.DUMMYFUNCTION("GOOGLETRANSLATE(B5424,""en"",""zh-CN"")"),"一个橙色的墙壁房间是空的，除了地板上有两个黑色哑铃。")</f>
        <v>一个橙色的墙壁房间是空的，除了地板上有两个黑色哑铃。</v>
      </c>
    </row>
    <row r="5425">
      <c r="A5425" s="4" t="s">
        <v>6815</v>
      </c>
      <c r="B5425" s="6" t="s">
        <v>6818</v>
      </c>
      <c r="C5425" s="5" t="str">
        <f>IFERROR(__xludf.DUMMYFUNCTION("GOOGLETRANSLATE(B5425,""en"",""zh-CN"")"),"该男子走进房间，站在哑铃前，然后跌落到他的膝盖上，在那里他说话并展示他的个人资料，然后再次跪在膝盖上，再次面对相机。")</f>
        <v>该男子走进房间，站在哑铃前，然后跌落到他的膝盖上，在那里他说话并展示他的个人资料，然后再次跪在膝盖上，再次面对相机。</v>
      </c>
    </row>
    <row r="5426">
      <c r="A5426" s="4" t="s">
        <v>6815</v>
      </c>
      <c r="B5426" s="6" t="s">
        <v>6819</v>
      </c>
      <c r="C5426" s="5" t="str">
        <f>IFERROR(__xludf.DUMMYFUNCTION("GOOGLETRANSLATE(B5426,""en"",""zh-CN"")"),"然后，该名男子捡起哑铃，然后将它们直接抬起头上，面对相机，然后再从轮廓角度抬起，然后将哑铃放在垂直下，然后离开房间。")</f>
        <v>然后，该名男子捡起哑铃，然后将它们直接抬起头上，面对相机，然后再从轮廓角度抬起，然后将哑铃放在垂直下，然后离开房间。</v>
      </c>
    </row>
    <row r="5427">
      <c r="A5427" s="4" t="s">
        <v>6820</v>
      </c>
      <c r="B5427" s="6" t="s">
        <v>6821</v>
      </c>
      <c r="C5427" s="5" t="str">
        <f>IFERROR(__xludf.DUMMYFUNCTION("GOOGLETRANSLATE(B5427,""en"",""zh-CN"")"),"一个年轻的女孩和卷卷手在刘海上与摄像机交谈，偶尔将手机拿到她的脸上，并在背景中与她一起在房间里介绍一个年轻人。")</f>
        <v>一个年轻的女孩和卷卷手在刘海上与摄像机交谈，偶尔将手机拿到她的脸上，并在背景中与她一起在房间里介绍一个年轻人。</v>
      </c>
    </row>
    <row r="5428">
      <c r="A5428" s="4" t="s">
        <v>6820</v>
      </c>
      <c r="B5428" s="4" t="s">
        <v>6822</v>
      </c>
      <c r="C5428" s="5" t="str">
        <f>IFERROR(__xludf.DUMMYFUNCTION("GOOGLETRANSLATE(B5428,""en"",""zh-CN"")"),"那个带有卷发器的女孩以特写角度与相机交谈。")</f>
        <v>那个带有卷发器的女孩以特写角度与相机交谈。</v>
      </c>
    </row>
    <row r="5429">
      <c r="A5429" s="4" t="s">
        <v>6820</v>
      </c>
      <c r="B5429" s="6" t="s">
        <v>6823</v>
      </c>
      <c r="C5429" s="5" t="str">
        <f>IFERROR(__xludf.DUMMYFUNCTION("GOOGLETRANSLATE(B5429,""en"",""zh-CN"")"),"这个女孩指着卷发器在她的轰动一时，并举起手机将光线扔到她的脸上，她将其带到相机靠近相机。")</f>
        <v>这个女孩指着卷发器在她的轰动一时，并举起手机将光线扔到她的脸上，她将其带到相机靠近相机。</v>
      </c>
    </row>
    <row r="5430">
      <c r="A5430" s="4" t="s">
        <v>6820</v>
      </c>
      <c r="B5430" s="6" t="s">
        <v>6824</v>
      </c>
      <c r="C5430" s="5" t="str">
        <f>IFERROR(__xludf.DUMMYFUNCTION("GOOGLETRANSLATE(B5430,""en"",""zh-CN"")"),"当背景中显示出一个带粉红色假发的房间里的年轻女孩时，女孩笑了起来，当年轻的女孩把粉红色假发放在镜头里时，她再次笑了起来。")</f>
        <v>当背景中显示出一个带粉红色假发的房间里的年轻女孩时，女孩笑了起来，当年轻的女孩把粉红色假发放在镜头里时，她再次笑了起来。</v>
      </c>
    </row>
    <row r="5431">
      <c r="A5431" s="4" t="s">
        <v>6825</v>
      </c>
      <c r="B5431" s="4" t="s">
        <v>6826</v>
      </c>
      <c r="C5431" s="5" t="str">
        <f>IFERROR(__xludf.DUMMYFUNCTION("GOOGLETRANSLATE(B5431,""en"",""zh-CN"")"),"一群男人在绿色的健身房内。")</f>
        <v>一群男人在绿色的健身房内。</v>
      </c>
    </row>
    <row r="5432">
      <c r="A5432" s="4" t="s">
        <v>6825</v>
      </c>
      <c r="B5432" s="4" t="s">
        <v>6827</v>
      </c>
      <c r="C5432" s="5" t="str">
        <f>IFERROR(__xludf.DUMMYFUNCTION("GOOGLETRANSLATE(B5432,""en"",""zh-CN"")"),"他们正在来回一个网球。")</f>
        <v>他们正在来回一个网球。</v>
      </c>
    </row>
    <row r="5433">
      <c r="A5433" s="4" t="s">
        <v>6825</v>
      </c>
      <c r="B5433" s="4" t="s">
        <v>6828</v>
      </c>
      <c r="C5433" s="5" t="str">
        <f>IFERROR(__xludf.DUMMYFUNCTION("GOOGLETRANSLATE(B5433,""en"",""zh-CN"")"),"他们参加了网球比赛。")</f>
        <v>他们参加了网球比赛。</v>
      </c>
    </row>
    <row r="5434">
      <c r="A5434" s="4" t="s">
        <v>6829</v>
      </c>
      <c r="B5434" s="4" t="s">
        <v>6830</v>
      </c>
      <c r="C5434" s="5" t="str">
        <f>IFERROR(__xludf.DUMMYFUNCTION("GOOGLETRANSLATE(B5434,""en"",""zh-CN"")"),"一个男人坐在屋顶上。")</f>
        <v>一个男人坐在屋顶上。</v>
      </c>
    </row>
    <row r="5435">
      <c r="A5435" s="4" t="s">
        <v>6829</v>
      </c>
      <c r="B5435" s="4" t="s">
        <v>6831</v>
      </c>
      <c r="C5435" s="5" t="str">
        <f>IFERROR(__xludf.DUMMYFUNCTION("GOOGLETRANSLATE(B5435,""en"",""zh-CN"")"),"他开始在屋顶上拉起屋顶。")</f>
        <v>他开始在屋顶上拉起屋顶。</v>
      </c>
    </row>
    <row r="5436">
      <c r="A5436" s="4" t="s">
        <v>6829</v>
      </c>
      <c r="B5436" s="4" t="s">
        <v>6832</v>
      </c>
      <c r="C5436" s="5" t="str">
        <f>IFERROR(__xludf.DUMMYFUNCTION("GOOGLETRANSLATE(B5436,""en"",""zh-CN"")"),"一个男人走上梯子上的屋顶。")</f>
        <v>一个男人走上梯子上的屋顶。</v>
      </c>
    </row>
    <row r="5437">
      <c r="A5437" s="4" t="s">
        <v>6833</v>
      </c>
      <c r="B5437" s="4" t="s">
        <v>6834</v>
      </c>
      <c r="C5437" s="5" t="str">
        <f>IFERROR(__xludf.DUMMYFUNCTION("GOOGLETRANSLATE(B5437,""en"",""zh-CN"")"),"看到一个男孩在墙前跪下，开始在地毯上使用工具。")</f>
        <v>看到一个男孩在墙前跪下，开始在地毯上使用工具。</v>
      </c>
    </row>
    <row r="5438">
      <c r="A5438" s="4" t="s">
        <v>6833</v>
      </c>
      <c r="B5438" s="4" t="s">
        <v>6835</v>
      </c>
      <c r="C5438" s="5" t="str">
        <f>IFERROR(__xludf.DUMMYFUNCTION("GOOGLETRANSLATE(B5438,""en"",""zh-CN"")"),"该男子沿着地毯揉着手，继续切割。")</f>
        <v>该男子沿着地毯揉着手，继续切割。</v>
      </c>
    </row>
    <row r="5439">
      <c r="A5439" s="4" t="s">
        <v>6833</v>
      </c>
      <c r="B5439" s="4" t="s">
        <v>6836</v>
      </c>
      <c r="C5439" s="5" t="str">
        <f>IFERROR(__xludf.DUMMYFUNCTION("GOOGLETRANSLATE(B5439,""en"",""zh-CN"")"),"该男子在摩擦手的同时继续沿着地毯切割。")</f>
        <v>该男子在摩擦手的同时继续沿着地毯切割。</v>
      </c>
    </row>
    <row r="5440">
      <c r="A5440" s="4" t="s">
        <v>6837</v>
      </c>
      <c r="B5440" s="6" t="s">
        <v>6838</v>
      </c>
      <c r="C5440" s="5" t="str">
        <f>IFERROR(__xludf.DUMMYFUNCTION("GOOGLETRANSLATE(B5440,""en"",""zh-CN"")"),"一个年轻的金发男孩站在一个厨房水槽里，手里拿着手持式喷雾器，他正在喷洒所有菜肴。")</f>
        <v>一个年轻的金发男孩站在一个厨房水槽里，手里拿着手持式喷雾器，他正在喷洒所有菜肴。</v>
      </c>
    </row>
    <row r="5441">
      <c r="A5441" s="4" t="s">
        <v>6837</v>
      </c>
      <c r="B5441" s="6" t="s">
        <v>6839</v>
      </c>
      <c r="C5441" s="5" t="str">
        <f>IFERROR(__xludf.DUMMYFUNCTION("GOOGLETRANSLATE(B5441,""en"",""zh-CN"")"),"然后，男孩将喷雾器放在柜台上的绿色锅中，开始在那里喷水。")</f>
        <v>然后，男孩将喷雾器放在柜台上的绿色锅中，开始在那里喷水。</v>
      </c>
    </row>
    <row r="5442">
      <c r="A5442" s="4" t="s">
        <v>6837</v>
      </c>
      <c r="B5442" s="6" t="s">
        <v>6840</v>
      </c>
      <c r="C5442" s="5" t="str">
        <f>IFERROR(__xludf.DUMMYFUNCTION("GOOGLETRANSLATE(B5442,""en"",""zh-CN"")"),"男孩掉下喷雾器，然后从水槽里取一杯，用水填充，然后将水倒入锅中，再次填充，然后将其倒入柜台上的碗中。")</f>
        <v>男孩掉下喷雾器，然后从水槽里取一杯，用水填充，然后将水倒入锅中，再次填充，然后将其倒入柜台上的碗中。</v>
      </c>
    </row>
    <row r="5443">
      <c r="A5443" s="4" t="s">
        <v>6837</v>
      </c>
      <c r="B5443" s="6" t="s">
        <v>6841</v>
      </c>
      <c r="C5443" s="5" t="str">
        <f>IFERROR(__xludf.DUMMYFUNCTION("GOOGLETRANSLATE(B5443,""en"",""zh-CN"")"),"然后，男孩捡起一个充满红色液体的透明玻璃杯，喝了一些，将其放在水龙头下，然后加水，喝几次，然后将其倒入水槽中。")</f>
        <v>然后，男孩捡起一个充满红色液体的透明玻璃杯，喝了一些，将其放在水龙头下，然后加水，喝几次，然后将其倒入水槽中。</v>
      </c>
    </row>
    <row r="5444">
      <c r="A5444" s="4" t="s">
        <v>6837</v>
      </c>
      <c r="B5444" s="6" t="s">
        <v>6842</v>
      </c>
      <c r="C5444" s="5" t="str">
        <f>IFERROR(__xludf.DUMMYFUNCTION("GOOGLETRANSLATE(B5444,""en"",""zh-CN"")"),"然后，男孩从水槽里取一道盘子，里面有红汁，并试图将其倒入柜台上的锅中，但它溢出了整个柜台，而他得到了一块海绵，并试图将其清洗。")</f>
        <v>然后，男孩从水槽里取一道盘子，里面有红汁，并试图将其倒入柜台上的锅中，但它溢出了整个柜台，而他得到了一块海绵，并试图将其清洗。</v>
      </c>
    </row>
    <row r="5445">
      <c r="A5445" s="4" t="s">
        <v>6843</v>
      </c>
      <c r="B5445" s="4" t="s">
        <v>6844</v>
      </c>
      <c r="C5445" s="5" t="str">
        <f>IFERROR(__xludf.DUMMYFUNCTION("GOOGLETRANSLATE(B5445,""en"",""zh-CN"")"),"我们看到啦啦队站在舞台上。")</f>
        <v>我们看到啦啦队站在舞台上。</v>
      </c>
    </row>
    <row r="5446">
      <c r="A5446" s="4" t="s">
        <v>6843</v>
      </c>
      <c r="B5446" s="4" t="s">
        <v>6845</v>
      </c>
      <c r="C5446" s="5" t="str">
        <f>IFERROR(__xludf.DUMMYFUNCTION("GOOGLETRANSLATE(B5446,""en"",""zh-CN"")"),"啦啦队执行例程。")</f>
        <v>啦啦队执行例程。</v>
      </c>
    </row>
    <row r="5447">
      <c r="A5447" s="4" t="s">
        <v>6843</v>
      </c>
      <c r="B5447" s="4" t="s">
        <v>6846</v>
      </c>
      <c r="C5447" s="5" t="str">
        <f>IFERROR(__xludf.DUMMYFUNCTION("GOOGLETRANSLATE(B5447,""en"",""zh-CN"")"),"四个女孩被抬起，他们在他们之间躺下一个女孩。")</f>
        <v>四个女孩被抬起，他们在他们之间躺下一个女孩。</v>
      </c>
    </row>
    <row r="5448">
      <c r="A5448" s="4" t="s">
        <v>6843</v>
      </c>
      <c r="B5448" s="4" t="s">
        <v>6847</v>
      </c>
      <c r="C5448" s="5" t="str">
        <f>IFERROR(__xludf.DUMMYFUNCTION("GOOGLETRANSLATE(B5448,""en"",""zh-CN"")"),"女士们抱着并摇动自己的绒球。")</f>
        <v>女士们抱着并摇动自己的绒球。</v>
      </c>
    </row>
    <row r="5449">
      <c r="A5449" s="4" t="s">
        <v>6843</v>
      </c>
      <c r="B5449" s="4" t="s">
        <v>6848</v>
      </c>
      <c r="C5449" s="5" t="str">
        <f>IFERROR(__xludf.DUMMYFUNCTION("GOOGLETRANSLATE(B5449,""en"",""zh-CN"")"),"四位女士被抬起，持有另外两位女士，然后是第七位女士。")</f>
        <v>四位女士被抬起，持有另外两位女士，然后是第七位女士。</v>
      </c>
    </row>
    <row r="5450">
      <c r="A5450" s="4" t="s">
        <v>6843</v>
      </c>
      <c r="B5450" s="4" t="s">
        <v>6849</v>
      </c>
      <c r="C5450" s="5" t="str">
        <f>IFERROR(__xludf.DUMMYFUNCTION("GOOGLETRANSLATE(B5450,""en"",""zh-CN"")"),"团队结束并拥抱。")</f>
        <v>团队结束并拥抱。</v>
      </c>
    </row>
    <row r="5451">
      <c r="A5451" s="4" t="s">
        <v>6843</v>
      </c>
      <c r="B5451" s="4" t="s">
        <v>6850</v>
      </c>
      <c r="C5451" s="5" t="str">
        <f>IFERROR(__xludf.DUMMYFUNCTION("GOOGLETRANSLATE(B5451,""en"",""zh-CN"")"),"我们看到了结束的信用和镜头。")</f>
        <v>我们看到了结束的信用和镜头。</v>
      </c>
    </row>
    <row r="5452">
      <c r="A5452" s="4" t="s">
        <v>6843</v>
      </c>
      <c r="B5452" s="4" t="s">
        <v>6851</v>
      </c>
      <c r="C5452" s="5" t="str">
        <f>IFERROR(__xludf.DUMMYFUNCTION("GOOGLETRANSLATE(B5452,""en"",""zh-CN"")"),"屏幕上出现了报价和网站。")</f>
        <v>屏幕上出现了报价和网站。</v>
      </c>
    </row>
    <row r="5453">
      <c r="A5453" s="4" t="s">
        <v>6852</v>
      </c>
      <c r="B5453" s="4" t="s">
        <v>6853</v>
      </c>
      <c r="C5453" s="5" t="str">
        <f>IFERROR(__xludf.DUMMYFUNCTION("GOOGLETRANSLATE(B5453,""en"",""zh-CN"")"),"显示了湖泊的几枪，后面是一个人在唤醒板上爬到船后。")</f>
        <v>显示了湖泊的几枪，后面是一个人在唤醒板上爬到船后。</v>
      </c>
    </row>
    <row r="5454">
      <c r="A5454" s="4" t="s">
        <v>6852</v>
      </c>
      <c r="B5454" s="6" t="s">
        <v>6854</v>
      </c>
      <c r="C5454" s="5" t="str">
        <f>IFERROR(__xludf.DUMMYFUNCTION("GOOGLETRANSLATE(B5454,""en"",""zh-CN"")"),"该人沿着水骑唤醒板，而几个相机捕捉了他的动作并跳到船后。")</f>
        <v>该人沿着水骑唤醒板，而几个相机捕捉了他的动作并跳到船后。</v>
      </c>
    </row>
    <row r="5455">
      <c r="A5455" s="4" t="s">
        <v>6852</v>
      </c>
      <c r="B5455" s="6" t="s">
        <v>6855</v>
      </c>
      <c r="C5455" s="5" t="str">
        <f>IFERROR(__xludf.DUMMYFUNCTION("GOOGLETRANSLATE(B5455,""en"",""zh-CN"")"),"摄像机捕获了驾驶船的人，并跟随唤醒寄宿机在船后面关闭。")</f>
        <v>摄像机捕获了驾驶船的人，并跟随唤醒寄宿机在船后面关闭。</v>
      </c>
    </row>
    <row r="5456">
      <c r="A5456" s="4" t="s">
        <v>6852</v>
      </c>
      <c r="B5456" s="4" t="s">
        <v>6856</v>
      </c>
      <c r="C5456" s="5" t="str">
        <f>IFERROR(__xludf.DUMMYFUNCTION("GOOGLETRANSLATE(B5456,""en"",""zh-CN"")"),"最后，三个男孩骑船并沿着船行驶。")</f>
        <v>最后，三个男孩骑船并沿着船行驶。</v>
      </c>
    </row>
    <row r="5457">
      <c r="A5457" s="4" t="s">
        <v>6857</v>
      </c>
      <c r="B5457" s="4" t="s">
        <v>6858</v>
      </c>
      <c r="C5457" s="5" t="str">
        <f>IFERROR(__xludf.DUMMYFUNCTION("GOOGLETRANSLATE(B5457,""en"",""zh-CN"")"),"一个男人在人行道上停止自行车。")</f>
        <v>一个男人在人行道上停止自行车。</v>
      </c>
    </row>
    <row r="5458">
      <c r="A5458" s="4" t="s">
        <v>6857</v>
      </c>
      <c r="B5458" s="4" t="s">
        <v>6859</v>
      </c>
      <c r="C5458" s="5" t="str">
        <f>IFERROR(__xludf.DUMMYFUNCTION("GOOGLETRANSLATE(B5458,""en"",""zh-CN"")"),"他跳下来看看车轮，然后使用工具压入橡胶。")</f>
        <v>他跳下来看看车轮，然后使用工具压入橡胶。</v>
      </c>
    </row>
    <row r="5459">
      <c r="A5459" s="4" t="s">
        <v>6857</v>
      </c>
      <c r="B5459" s="6" t="s">
        <v>6860</v>
      </c>
      <c r="C5459" s="5" t="str">
        <f>IFERROR(__xludf.DUMMYFUNCTION("GOOGLETRANSLATE(B5459,""en"",""zh-CN"")"),"在参加自行车比赛之前，他继续谈论该工具，然后回到人行道上。")</f>
        <v>在参加自行车比赛之前，他继续谈论该工具，然后回到人行道上。</v>
      </c>
    </row>
    <row r="5460">
      <c r="A5460" s="4" t="s">
        <v>6861</v>
      </c>
      <c r="B5460" s="4" t="s">
        <v>6862</v>
      </c>
      <c r="C5460" s="5" t="str">
        <f>IFERROR(__xludf.DUMMYFUNCTION("GOOGLETRANSLATE(B5460,""en"",""zh-CN"")"),"男人用锤子扔球在释放球之前摇摆。")</f>
        <v>男人用锤子扔球在释放球之前摇摆。</v>
      </c>
    </row>
    <row r="5461">
      <c r="A5461" s="4" t="s">
        <v>6861</v>
      </c>
      <c r="B5461" s="4" t="s">
        <v>6863</v>
      </c>
      <c r="C5461" s="5" t="str">
        <f>IFERROR(__xludf.DUMMYFUNCTION("GOOGLETRANSLATE(B5461,""en"",""zh-CN"")"),"一个男人确实在酒吧里拉起。")</f>
        <v>一个男人确实在酒吧里拉起。</v>
      </c>
    </row>
    <row r="5462">
      <c r="A5462" s="4" t="s">
        <v>6861</v>
      </c>
      <c r="B5462" s="4" t="s">
        <v>6864</v>
      </c>
      <c r="C5462" s="5" t="str">
        <f>IFERROR(__xludf.DUMMYFUNCTION("GOOGLETRANSLATE(B5462,""en"",""zh-CN"")"),"一个男人在肩膀上举起大量的重量，还将其压在他的头顶上。")</f>
        <v>一个男人在肩膀上举起大量的重量，还将其压在他的头顶上。</v>
      </c>
    </row>
    <row r="5463">
      <c r="A5463" s="4" t="s">
        <v>6861</v>
      </c>
      <c r="B5463" s="4" t="s">
        <v>6865</v>
      </c>
      <c r="C5463" s="5" t="str">
        <f>IFERROR(__xludf.DUMMYFUNCTION("GOOGLETRANSLATE(B5463,""en"",""zh-CN"")"),"两个人一起跑步。")</f>
        <v>两个人一起跑步。</v>
      </c>
    </row>
    <row r="5464">
      <c r="A5464" s="4" t="s">
        <v>6866</v>
      </c>
      <c r="B5464" s="4" t="s">
        <v>6867</v>
      </c>
      <c r="C5464" s="5" t="str">
        <f>IFERROR(__xludf.DUMMYFUNCTION("GOOGLETRANSLATE(B5464,""en"",""zh-CN"")"),"旗帜在田野中的杆子上挥手。")</f>
        <v>旗帜在田野中的杆子上挥手。</v>
      </c>
    </row>
    <row r="5465">
      <c r="A5465" s="4" t="s">
        <v>6866</v>
      </c>
      <c r="B5465" s="4" t="s">
        <v>6868</v>
      </c>
      <c r="C5465" s="5" t="str">
        <f>IFERROR(__xludf.DUMMYFUNCTION("GOOGLETRANSLATE(B5465,""en"",""zh-CN"")"),"我们看到一个吉祥物将球滚到本垒板上，当它踢回去并击中他时跌落。")</f>
        <v>我们看到一个吉祥物将球滚到本垒板上，当它踢回去并击中他时跌落。</v>
      </c>
    </row>
    <row r="5466">
      <c r="A5466" s="4" t="s">
        <v>6866</v>
      </c>
      <c r="B5466" s="4" t="s">
        <v>6869</v>
      </c>
      <c r="C5466" s="5" t="str">
        <f>IFERROR(__xludf.DUMMYFUNCTION("GOOGLETRANSLATE(B5466,""en"",""zh-CN"")"),"然后，我们看到吉祥物踢球并进行本垒打。")</f>
        <v>然后，我们看到吉祥物踢球并进行本垒打。</v>
      </c>
    </row>
    <row r="5467">
      <c r="A5467" s="4" t="s">
        <v>6866</v>
      </c>
      <c r="B5467" s="4" t="s">
        <v>6870</v>
      </c>
      <c r="C5467" s="5" t="str">
        <f>IFERROR(__xludf.DUMMYFUNCTION("GOOGLETRANSLATE(B5467,""en"",""zh-CN"")"),"吉祥物在球场上奔跑并接球。")</f>
        <v>吉祥物在球场上奔跑并接球。</v>
      </c>
    </row>
    <row r="5468">
      <c r="A5468" s="4" t="s">
        <v>6866</v>
      </c>
      <c r="B5468" s="4" t="s">
        <v>6871</v>
      </c>
      <c r="C5468" s="5" t="str">
        <f>IFERROR(__xludf.DUMMYFUNCTION("GOOGLETRANSLATE(B5468,""en"",""zh-CN"")"),"吉祥物高高的人和胸部撞到了最后一个男人将他撞倒。")</f>
        <v>吉祥物高高的人和胸部撞到了最后一个男人将他撞倒。</v>
      </c>
    </row>
    <row r="5469">
      <c r="A5469" s="4" t="s">
        <v>6872</v>
      </c>
      <c r="B5469" s="6" t="s">
        <v>6873</v>
      </c>
      <c r="C5469" s="5" t="str">
        <f>IFERROR(__xludf.DUMMYFUNCTION("GOOGLETRANSLATE(B5469,""en"",""zh-CN"")"),"显示了一个运动鞋的特写，后面是一个握着各种物体并将它们混合在碗中的人。")</f>
        <v>显示了一个运动鞋的特写，后面是一个握着各种物体并将它们混合在碗中的人。</v>
      </c>
    </row>
    <row r="5470">
      <c r="A5470" s="4" t="s">
        <v>6872</v>
      </c>
      <c r="B5470" s="6" t="s">
        <v>6874</v>
      </c>
      <c r="C5470" s="5" t="str">
        <f>IFERROR(__xludf.DUMMYFUNCTION("GOOGLETRANSLATE(B5470,""en"",""zh-CN"")"),"然后，该人使用成分在鞋子周围全部使用牙刷并炫耀鞋子。")</f>
        <v>然后，该人使用成分在鞋子周围全部使用牙刷并炫耀鞋子。</v>
      </c>
    </row>
    <row r="5471">
      <c r="A5471" s="4" t="s">
        <v>6875</v>
      </c>
      <c r="B5471" s="4" t="s">
        <v>6876</v>
      </c>
      <c r="C5471" s="5" t="str">
        <f>IFERROR(__xludf.DUMMYFUNCTION("GOOGLETRANSLATE(B5471,""en"",""zh-CN"")"),"一个人解释说拿着球拍，并在网球场上用球拍进行动作。")</f>
        <v>一个人解释说拿着球拍，并在网球场上用球拍进行动作。</v>
      </c>
    </row>
    <row r="5472">
      <c r="A5472" s="4" t="s">
        <v>6875</v>
      </c>
      <c r="B5472" s="4" t="s">
        <v>6877</v>
      </c>
      <c r="C5472" s="5" t="str">
        <f>IFERROR(__xludf.DUMMYFUNCTION("GOOGLETRANSLATE(B5472,""en"",""zh-CN"")"),"然后，一个穿着黑色衣服的男人提供一个退回的网球，然后将其送回。")</f>
        <v>然后，一个穿着黑色衣服的男人提供一个退回的网球，然后将其送回。</v>
      </c>
    </row>
    <row r="5473">
      <c r="A5473" s="4" t="s">
        <v>6875</v>
      </c>
      <c r="B5473" s="4" t="s">
        <v>6878</v>
      </c>
      <c r="C5473" s="5" t="str">
        <f>IFERROR(__xludf.DUMMYFUNCTION("GOOGLETRANSLATE(B5473,""en"",""zh-CN"")"),"然后，该人再次服役后，该人拿着两个球，然后该人讲话。")</f>
        <v>然后，该人再次服役后，该人拿着两个球，然后该人讲话。</v>
      </c>
    </row>
    <row r="5474">
      <c r="A5474" s="4" t="s">
        <v>6875</v>
      </c>
      <c r="B5474" s="4" t="s">
        <v>6879</v>
      </c>
      <c r="C5474" s="5" t="str">
        <f>IFERROR(__xludf.DUMMYFUNCTION("GOOGLETRANSLATE(B5474,""en"",""zh-CN"")"),"之后，男人继续说话。")</f>
        <v>之后，男人继续说话。</v>
      </c>
    </row>
    <row r="5475">
      <c r="A5475" s="4" t="s">
        <v>6880</v>
      </c>
      <c r="B5475" s="4" t="s">
        <v>6881</v>
      </c>
      <c r="C5475" s="5" t="str">
        <f>IFERROR(__xludf.DUMMYFUNCTION("GOOGLETRANSLATE(B5475,""en"",""zh-CN"")"),"在几个剪辑中可以看到守门员，第四和第四，挡球越过。")</f>
        <v>在几个剪辑中可以看到守门员，第四和第四，挡球越过。</v>
      </c>
    </row>
    <row r="5476">
      <c r="A5476" s="4" t="s">
        <v>6880</v>
      </c>
      <c r="B5476" s="4" t="s">
        <v>6882</v>
      </c>
      <c r="C5476" s="5" t="str">
        <f>IFERROR(__xludf.DUMMYFUNCTION("GOOGLETRANSLATE(B5476,""en"",""zh-CN"")"),"球员继续向后奔跑，而另一个男人则坐在他面前。")</f>
        <v>球员继续向后奔跑，而另一个男人则坐在他面前。</v>
      </c>
    </row>
    <row r="5477">
      <c r="A5477" s="4" t="s">
        <v>6883</v>
      </c>
      <c r="B5477" s="6" t="s">
        <v>6884</v>
      </c>
      <c r="C5477" s="5" t="str">
        <f>IFERROR(__xludf.DUMMYFUNCTION("GOOGLETRANSLATE(B5477,""en"",""zh-CN"")"),"一个年轻人放入锅油，洋葱，西红柿，绿叶和盐，然后混合煮蔬菜。")</f>
        <v>一个年轻人放入锅油，洋葱，西红柿，绿叶和盐，然后混合煮蔬菜。</v>
      </c>
    </row>
    <row r="5478">
      <c r="A5478" s="4" t="s">
        <v>6883</v>
      </c>
      <c r="B5478" s="4" t="s">
        <v>6885</v>
      </c>
      <c r="C5478" s="5" t="str">
        <f>IFERROR(__xludf.DUMMYFUNCTION("GOOGLETRANSLATE(B5478,""en"",""zh-CN"")"),"之后，该男子将蔬菜放在一边，然后在锅中煮一份煎蛋。")</f>
        <v>之后，该男子将蔬菜放在一边，然后在锅中煮一份煎蛋。</v>
      </c>
    </row>
    <row r="5479">
      <c r="A5479" s="4" t="s">
        <v>6883</v>
      </c>
      <c r="B5479" s="4" t="s">
        <v>6886</v>
      </c>
      <c r="C5479" s="5" t="str">
        <f>IFERROR(__xludf.DUMMYFUNCTION("GOOGLETRANSLATE(B5479,""en"",""zh-CN"")"),"之后，该男子将蔬菜放在煎蛋上并折叠起来，然后将煎蛋卷。")</f>
        <v>之后，该男子将蔬菜放在煎蛋上并折叠起来，然后将煎蛋卷。</v>
      </c>
    </row>
    <row r="5480">
      <c r="A5480" s="4" t="s">
        <v>6887</v>
      </c>
      <c r="B5480" s="4" t="s">
        <v>6888</v>
      </c>
      <c r="C5480" s="5" t="str">
        <f>IFERROR(__xludf.DUMMYFUNCTION("GOOGLETRANSLATE(B5480,""en"",""zh-CN"")"),"一大群海军士兵在码头上展示了一场拔河游戏。")</f>
        <v>一大群海军士兵在码头上展示了一场拔河游戏。</v>
      </c>
    </row>
    <row r="5481">
      <c r="A5481" s="4" t="s">
        <v>6887</v>
      </c>
      <c r="B5481" s="4" t="s">
        <v>6889</v>
      </c>
      <c r="C5481" s="5" t="str">
        <f>IFERROR(__xludf.DUMMYFUNCTION("GOOGLETRANSLATE(B5481,""en"",""zh-CN"")"),"绳索的一侧是一支球队在欢呼时尽力而为。")</f>
        <v>绳索的一侧是一支球队在欢呼时尽力而为。</v>
      </c>
    </row>
    <row r="5482">
      <c r="A5482" s="4" t="s">
        <v>6887</v>
      </c>
      <c r="B5482" s="4" t="s">
        <v>6890</v>
      </c>
      <c r="C5482" s="5" t="str">
        <f>IFERROR(__xludf.DUMMYFUNCTION("GOOGLETRANSLATE(B5482,""en"",""zh-CN"")"),"显示了另一名海军士兵为游戏拍照。")</f>
        <v>显示了另一名海军士兵为游戏拍照。</v>
      </c>
    </row>
    <row r="5483">
      <c r="A5483" s="4" t="s">
        <v>6887</v>
      </c>
      <c r="B5483" s="4" t="s">
        <v>6891</v>
      </c>
      <c r="C5483" s="5" t="str">
        <f>IFERROR(__xludf.DUMMYFUNCTION("GOOGLETRANSLATE(B5483,""en"",""zh-CN"")"),"显示了绳索的另一侧。")</f>
        <v>显示了绳索的另一侧。</v>
      </c>
    </row>
    <row r="5484">
      <c r="A5484" s="4" t="s">
        <v>6887</v>
      </c>
      <c r="B5484" s="4" t="s">
        <v>6892</v>
      </c>
      <c r="C5484" s="5" t="str">
        <f>IFERROR(__xludf.DUMMYFUNCTION("GOOGLETRANSLATE(B5484,""en"",""zh-CN"")"),"一支球队被拉到地面上的一条红线，结束了比赛。")</f>
        <v>一支球队被拉到地面上的一条红线，结束了比赛。</v>
      </c>
    </row>
    <row r="5485">
      <c r="A5485" s="4" t="s">
        <v>6887</v>
      </c>
      <c r="B5485" s="4" t="s">
        <v>6893</v>
      </c>
      <c r="C5485" s="5" t="str">
        <f>IFERROR(__xludf.DUMMYFUNCTION("GOOGLETRANSLATE(B5485,""en"",""zh-CN"")"),"男人站起来放松。")</f>
        <v>男人站起来放松。</v>
      </c>
    </row>
    <row r="5486">
      <c r="A5486" s="4" t="s">
        <v>6894</v>
      </c>
      <c r="B5486" s="4" t="s">
        <v>6895</v>
      </c>
      <c r="C5486" s="5" t="str">
        <f>IFERROR(__xludf.DUMMYFUNCTION("GOOGLETRANSLATE(B5486,""en"",""zh-CN"")"),"介绍出现在屏幕上，参加女性举重比赛。")</f>
        <v>介绍出现在屏幕上，参加女性举重比赛。</v>
      </c>
    </row>
    <row r="5487">
      <c r="A5487" s="4" t="s">
        <v>6894</v>
      </c>
      <c r="B5487" s="6" t="s">
        <v>6896</v>
      </c>
      <c r="C5487" s="5" t="str">
        <f>IFERROR(__xludf.DUMMYFUNCTION("GOOGLETRANSLATE(B5487,""en"",""zh-CN"")"),"屏幕上显示了一个女性举重运动员，因为她经历了几个越来越多的升力水平。")</f>
        <v>屏幕上显示了一个女性举重运动员，因为她经历了几个越来越多的升力水平。</v>
      </c>
    </row>
    <row r="5488">
      <c r="A5488" s="4" t="s">
        <v>6894</v>
      </c>
      <c r="B5488" s="4" t="s">
        <v>6897</v>
      </c>
      <c r="C5488" s="5" t="str">
        <f>IFERROR(__xludf.DUMMYFUNCTION("GOOGLETRANSLATE(B5488,""en"",""zh-CN"")"),"当她终于达到一个太重以至于无法举起的体重时，她留下了挑战。")</f>
        <v>当她终于达到一个太重以至于无法举起的体重时，她留下了挑战。</v>
      </c>
    </row>
    <row r="5489">
      <c r="A5489" s="4" t="s">
        <v>6898</v>
      </c>
      <c r="B5489" s="6" t="s">
        <v>6899</v>
      </c>
      <c r="C5489" s="5" t="str">
        <f>IFERROR(__xludf.DUMMYFUNCTION("GOOGLETRANSLATE(B5489,""en"",""zh-CN"")"),"一名穿着polo衬衫的男人在架子上坐着自行车，并在自行车店里展示了它的不同功能。")</f>
        <v>一名穿着polo衬衫的男人在架子上坐着自行车，并在自行车店里展示了它的不同功能。</v>
      </c>
    </row>
    <row r="5490">
      <c r="A5490" s="4" t="s">
        <v>6898</v>
      </c>
      <c r="B5490" s="6" t="s">
        <v>6900</v>
      </c>
      <c r="C5490" s="5" t="str">
        <f>IFERROR(__xludf.DUMMYFUNCTION("GOOGLETRANSLATE(B5490,""en"",""zh-CN"")"),"该男子拿出一个工具，对车轮链轮进行调整，然后转动车轮，然后再调整更多。")</f>
        <v>该男子拿出一个工具，对车轮链轮进行调整，然后转动车轮，然后再调整更多。</v>
      </c>
    </row>
    <row r="5491">
      <c r="A5491" s="4" t="s">
        <v>6898</v>
      </c>
      <c r="B5491" s="4" t="s">
        <v>6901</v>
      </c>
      <c r="C5491" s="5" t="str">
        <f>IFERROR(__xludf.DUMMYFUNCTION("GOOGLETRANSLATE(B5491,""en"",""zh-CN"")"),"该男子在车把上调整一个变速杆。")</f>
        <v>该男子在车把上调整一个变速杆。</v>
      </c>
    </row>
    <row r="5492">
      <c r="A5492" s="4" t="s">
        <v>6902</v>
      </c>
      <c r="B5492" s="4" t="s">
        <v>6903</v>
      </c>
      <c r="C5492" s="5" t="str">
        <f>IFERROR(__xludf.DUMMYFUNCTION("GOOGLETRANSLATE(B5492,""en"",""zh-CN"")"),"一个人在熨衣板上熨烫衬衫。")</f>
        <v>一个人在熨衣板上熨烫衬衫。</v>
      </c>
    </row>
    <row r="5493">
      <c r="A5493" s="4" t="s">
        <v>6902</v>
      </c>
      <c r="B5493" s="4" t="s">
        <v>6904</v>
      </c>
      <c r="C5493" s="5" t="str">
        <f>IFERROR(__xludf.DUMMYFUNCTION("GOOGLETRANSLATE(B5493,""en"",""zh-CN"")"),"袋子坐在床上。")</f>
        <v>袋子坐在床上。</v>
      </c>
    </row>
    <row r="5494">
      <c r="A5494" s="4" t="s">
        <v>6905</v>
      </c>
      <c r="B5494" s="6" t="s">
        <v>6906</v>
      </c>
      <c r="C5494" s="5" t="str">
        <f>IFERROR(__xludf.DUMMYFUNCTION("GOOGLETRANSLATE(B5494,""en"",""zh-CN"")"),"一小群人在墙壁周围游泳，而相机周围看着它们。")</f>
        <v>一小群人在墙壁周围游泳，而相机周围看着它们。</v>
      </c>
    </row>
    <row r="5495">
      <c r="A5495" s="4" t="s">
        <v>6905</v>
      </c>
      <c r="B5495" s="4" t="s">
        <v>6907</v>
      </c>
      <c r="C5495" s="5" t="str">
        <f>IFERROR(__xludf.DUMMYFUNCTION("GOOGLETRANSLATE(B5495,""en"",""zh-CN"")"),"当成年人也走过时，孩子们继续在水中移动。")</f>
        <v>当成年人也走过时，孩子们继续在水中移动。</v>
      </c>
    </row>
    <row r="5496">
      <c r="A5496" s="4" t="s">
        <v>6905</v>
      </c>
      <c r="B5496" s="4" t="s">
        <v>6908</v>
      </c>
      <c r="C5496" s="5" t="str">
        <f>IFERROR(__xludf.DUMMYFUNCTION("GOOGLETRANSLATE(B5496,""en"",""zh-CN"")"),"显示了孩子在沙滩上玩的更多镜头。")</f>
        <v>显示了孩子在沙滩上玩的更多镜头。</v>
      </c>
    </row>
    <row r="5497">
      <c r="A5497" s="4" t="s">
        <v>6909</v>
      </c>
      <c r="B5497" s="4" t="s">
        <v>6910</v>
      </c>
      <c r="C5497" s="5" t="str">
        <f>IFERROR(__xludf.DUMMYFUNCTION("GOOGLETRANSLATE(B5497,""en"",""zh-CN"")"),"水平拍摄的视频显示，在阳光明媚的日子里，有几个人在海洋中蜿蜒曲折。")</f>
        <v>水平拍摄的视频显示，在阳光明媚的日子里，有几个人在海洋中蜿蜒曲折。</v>
      </c>
    </row>
    <row r="5498">
      <c r="A5498" s="4" t="s">
        <v>6909</v>
      </c>
      <c r="B5498" s="4" t="s">
        <v>6911</v>
      </c>
      <c r="C5498" s="5" t="str">
        <f>IFERROR(__xludf.DUMMYFUNCTION("GOOGLETRANSLATE(B5498,""en"",""zh-CN"")"),"其中一名冲浪者在海浪上以非常高的速度行驶。")</f>
        <v>其中一名冲浪者在海浪上以非常高的速度行驶。</v>
      </c>
    </row>
    <row r="5499">
      <c r="A5499" s="4" t="s">
        <v>6909</v>
      </c>
      <c r="B5499" s="4" t="s">
        <v>6912</v>
      </c>
      <c r="C5499" s="5" t="str">
        <f>IFERROR(__xludf.DUMMYFUNCTION("GOOGLETRANSLATE(B5499,""en"",""zh-CN"")"),"一位在橙色冲浪上的冲浪者以最高的速度出现，失去控制并掉入水中。")</f>
        <v>一位在橙色冲浪上的冲浪者以最高的速度出现，失去控制并掉入水中。</v>
      </c>
    </row>
    <row r="5500">
      <c r="A5500" s="4" t="s">
        <v>6909</v>
      </c>
      <c r="B5500" s="4" t="s">
        <v>6913</v>
      </c>
      <c r="C5500" s="5" t="str">
        <f>IFERROR(__xludf.DUMMYFUNCTION("GOOGLETRANSLATE(B5500,""en"",""zh-CN"")"),"带有蓝色帆的冲浪者设法在海洋冲浪时留在船上。")</f>
        <v>带有蓝色帆的冲浪者设法在海洋冲浪时留在船上。</v>
      </c>
    </row>
    <row r="5501">
      <c r="A5501" s="4" t="s">
        <v>6914</v>
      </c>
      <c r="B5501" s="4" t="s">
        <v>6915</v>
      </c>
      <c r="C5501" s="5" t="str">
        <f>IFERROR(__xludf.DUMMYFUNCTION("GOOGLETRANSLATE(B5501,""en"",""zh-CN"")"),"看到一个年长的女人坐在鼓盘前演奏鼓。")</f>
        <v>看到一个年长的女人坐在鼓盘前演奏鼓。</v>
      </c>
    </row>
    <row r="5502">
      <c r="A5502" s="4" t="s">
        <v>6914</v>
      </c>
      <c r="B5502" s="6" t="s">
        <v>6916</v>
      </c>
      <c r="C5502" s="5" t="str">
        <f>IFERROR(__xludf.DUMMYFUNCTION("GOOGLETRANSLATE(B5502,""en"",""zh-CN"")"),"她通过手指尖来旋转鼓，并在相机捕捉到她的同时继续演奏乐器。")</f>
        <v>她通过手指尖来旋转鼓，并在相机捕捉到她的同时继续演奏乐器。</v>
      </c>
    </row>
    <row r="5503">
      <c r="A5503" s="4" t="s">
        <v>6917</v>
      </c>
      <c r="B5503" s="6" t="s">
        <v>6918</v>
      </c>
      <c r="C5503" s="5" t="str">
        <f>IFERROR(__xludf.DUMMYFUNCTION("GOOGLETRANSLATE(B5503,""en"",""zh-CN"")"),"一个男人用杆子表演跳高，他跳过三条水平线，触及其中的两条。")</f>
        <v>一个男人用杆子表演跳高，他跳过三条水平线，触及其中的两条。</v>
      </c>
    </row>
    <row r="5504">
      <c r="A5504" s="4" t="s">
        <v>6917</v>
      </c>
      <c r="B5504" s="4" t="s">
        <v>6919</v>
      </c>
      <c r="C5504" s="5" t="str">
        <f>IFERROR(__xludf.DUMMYFUNCTION("GOOGLETRANSLATE(B5504,""en"",""zh-CN"")"),"该男子试图比与杆子跳跃时跳跃。")</f>
        <v>该男子试图比与杆子跳跃时跳跃。</v>
      </c>
    </row>
    <row r="5505">
      <c r="A5505" s="4" t="s">
        <v>6917</v>
      </c>
      <c r="B5505" s="4" t="s">
        <v>6920</v>
      </c>
      <c r="C5505" s="5" t="str">
        <f>IFERROR(__xludf.DUMMYFUNCTION("GOOGLETRANSLATE(B5505,""en"",""zh-CN"")"),"同样，这个人试图跳高，但他使秋天成为水平线。")</f>
        <v>同样，这个人试图跳高，但他使秋天成为水平线。</v>
      </c>
    </row>
    <row r="5506">
      <c r="A5506" s="4" t="s">
        <v>6921</v>
      </c>
      <c r="B5506" s="4" t="s">
        <v>6922</v>
      </c>
      <c r="C5506" s="5" t="str">
        <f>IFERROR(__xludf.DUMMYFUNCTION("GOOGLETRANSLATE(B5506,""en"",""zh-CN"")"),"我们看到一个男人坐在沙发上。")</f>
        <v>我们看到一个男人坐在沙发上。</v>
      </c>
    </row>
    <row r="5507">
      <c r="A5507" s="4" t="s">
        <v>6921</v>
      </c>
      <c r="B5507" s="4" t="s">
        <v>6923</v>
      </c>
      <c r="C5507" s="5" t="str">
        <f>IFERROR(__xludf.DUMMYFUNCTION("GOOGLETRANSLATE(B5507,""en"",""zh-CN"")"),"该男子正在玩风笛。")</f>
        <v>该男子正在玩风笛。</v>
      </c>
    </row>
    <row r="5508">
      <c r="A5508" s="4" t="s">
        <v>6921</v>
      </c>
      <c r="B5508" s="4" t="s">
        <v>6924</v>
      </c>
      <c r="C5508" s="5" t="str">
        <f>IFERROR(__xludf.DUMMYFUNCTION("GOOGLETRANSLATE(B5508,""en"",""zh-CN"")"),"这个男人笑着停止比赛。")</f>
        <v>这个男人笑着停止比赛。</v>
      </c>
    </row>
    <row r="5509">
      <c r="A5509" s="4" t="s">
        <v>6921</v>
      </c>
      <c r="B5509" s="4" t="s">
        <v>6925</v>
      </c>
      <c r="C5509" s="5" t="str">
        <f>IFERROR(__xludf.DUMMYFUNCTION("GOOGLETRANSLATE(B5509,""en"",""zh-CN"")"),"该男子再次开始玩风笛。")</f>
        <v>该男子再次开始玩风笛。</v>
      </c>
    </row>
    <row r="5510">
      <c r="A5510" s="4" t="s">
        <v>6921</v>
      </c>
      <c r="B5510" s="4" t="s">
        <v>6926</v>
      </c>
      <c r="C5510" s="5" t="str">
        <f>IFERROR(__xludf.DUMMYFUNCTION("GOOGLETRANSLATE(B5510,""en"",""zh-CN"")"),"这个男人再次笑了。")</f>
        <v>这个男人再次笑了。</v>
      </c>
    </row>
    <row r="5511">
      <c r="A5511" s="4" t="s">
        <v>6921</v>
      </c>
      <c r="B5511" s="4" t="s">
        <v>6927</v>
      </c>
      <c r="C5511" s="5" t="str">
        <f>IFERROR(__xludf.DUMMYFUNCTION("GOOGLETRANSLATE(B5511,""en"",""zh-CN"")"),"该男子停止玩风笛。")</f>
        <v>该男子停止玩风笛。</v>
      </c>
    </row>
    <row r="5512">
      <c r="A5512" s="4" t="s">
        <v>6921</v>
      </c>
      <c r="B5512" s="4" t="s">
        <v>6928</v>
      </c>
      <c r="C5512" s="5" t="str">
        <f>IFERROR(__xludf.DUMMYFUNCTION("GOOGLETRANSLATE(B5512,""en"",""zh-CN"")"),"该男子在镜头前挥舞着手。")</f>
        <v>该男子在镜头前挥舞着手。</v>
      </c>
    </row>
    <row r="5513">
      <c r="A5513" s="4" t="s">
        <v>6929</v>
      </c>
      <c r="B5513" s="4" t="s">
        <v>6930</v>
      </c>
      <c r="C5513" s="5" t="str">
        <f>IFERROR(__xludf.DUMMYFUNCTION("GOOGLETRANSLATE(B5513,""en"",""zh-CN"")"),"一个女人用机器人铲在外面。")</f>
        <v>一个女人用机器人铲在外面。</v>
      </c>
    </row>
    <row r="5514">
      <c r="A5514" s="4" t="s">
        <v>6929</v>
      </c>
      <c r="B5514" s="6" t="s">
        <v>6931</v>
      </c>
      <c r="C5514" s="5" t="str">
        <f>IFERROR(__xludf.DUMMYFUNCTION("GOOGLETRANSLATE(B5514,""en"",""zh-CN"")"),"它使过程更快，因为它是一个不错的尺寸，并且一次降雪。")</f>
        <v>它使过程更快，因为它是一个不错的尺寸，并且一次降雪。</v>
      </c>
    </row>
    <row r="5515">
      <c r="A5515" s="4" t="s">
        <v>6929</v>
      </c>
      <c r="B5515" s="4" t="s">
        <v>6932</v>
      </c>
      <c r="C5515" s="5" t="str">
        <f>IFERROR(__xludf.DUMMYFUNCTION("GOOGLETRANSLATE(B5515,""en"",""zh-CN"")"),"在如此小的时间窗口中，使用这个雪机器人，她正在取得很大的进步。")</f>
        <v>在如此小的时间窗口中，使用这个雪机器人，她正在取得很大的进步。</v>
      </c>
    </row>
    <row r="5516">
      <c r="A5516" s="4" t="s">
        <v>6929</v>
      </c>
      <c r="B5516" s="4" t="s">
        <v>6933</v>
      </c>
      <c r="C5516" s="5" t="str">
        <f>IFERROR(__xludf.DUMMYFUNCTION("GOOGLETRANSLATE(B5516,""en"",""zh-CN"")"),"老实说，手柄看起来像两个大铲子。")</f>
        <v>老实说，手柄看起来像两个大铲子。</v>
      </c>
    </row>
    <row r="5517">
      <c r="A5517" s="4" t="s">
        <v>6934</v>
      </c>
      <c r="B5517" s="4" t="s">
        <v>6935</v>
      </c>
      <c r="C5517" s="5" t="str">
        <f>IFERROR(__xludf.DUMMYFUNCTION("GOOGLETRANSLATE(B5517,""en"",""zh-CN"")"),"短暂出现在屏幕上。")</f>
        <v>短暂出现在屏幕上。</v>
      </c>
    </row>
    <row r="5518">
      <c r="A5518" s="4" t="s">
        <v>6934</v>
      </c>
      <c r="B5518" s="4" t="s">
        <v>6936</v>
      </c>
      <c r="C5518" s="5" t="str">
        <f>IFERROR(__xludf.DUMMYFUNCTION("GOOGLETRANSLATE(B5518,""en"",""zh-CN"")"),"一头大象骑着牛。")</f>
        <v>一头大象骑着牛。</v>
      </c>
    </row>
    <row r="5519">
      <c r="A5519" s="4" t="s">
        <v>6934</v>
      </c>
      <c r="B5519" s="4" t="s">
        <v>6937</v>
      </c>
      <c r="C5519" s="5" t="str">
        <f>IFERROR(__xludf.DUMMYFUNCTION("GOOGLETRANSLATE(B5519,""en"",""zh-CN"")"),"人们在河上的管子里。")</f>
        <v>人们在河上的管子里。</v>
      </c>
    </row>
    <row r="5520">
      <c r="A5520" s="4" t="s">
        <v>6938</v>
      </c>
      <c r="B5520" s="4" t="s">
        <v>6939</v>
      </c>
      <c r="C5520" s="5" t="str">
        <f>IFERROR(__xludf.DUMMYFUNCTION("GOOGLETRANSLATE(B5520,""en"",""zh-CN"")"),"人们在婚礼上的舞池里跳舞。")</f>
        <v>人们在婚礼上的舞池里跳舞。</v>
      </c>
    </row>
    <row r="5521">
      <c r="A5521" s="4" t="s">
        <v>6938</v>
      </c>
      <c r="B5521" s="4" t="s">
        <v>6940</v>
      </c>
      <c r="C5521" s="5" t="str">
        <f>IFERROR(__xludf.DUMMYFUNCTION("GOOGLETRANSLATE(B5521,""en"",""zh-CN"")"),"穿着婚纱的女人正在和一个燕尾服的男人跳舞。")</f>
        <v>穿着婚纱的女人正在和一个燕尾服的男人跳舞。</v>
      </c>
    </row>
    <row r="5522">
      <c r="A5522" s="4" t="s">
        <v>6938</v>
      </c>
      <c r="B5522" s="4" t="s">
        <v>6941</v>
      </c>
      <c r="C5522" s="5" t="str">
        <f>IFERROR(__xludf.DUMMYFUNCTION("GOOGLETRANSLATE(B5522,""en"",""zh-CN"")"),"穿着紫色衬衫的男人正在和一个女人跳舞。")</f>
        <v>穿着紫色衬衫的男人正在和一个女人跳舞。</v>
      </c>
    </row>
    <row r="5523">
      <c r="A5523" s="4" t="s">
        <v>6942</v>
      </c>
      <c r="B5523" s="4" t="s">
        <v>6943</v>
      </c>
      <c r="C5523" s="5" t="str">
        <f>IFERROR(__xludf.DUMMYFUNCTION("GOOGLETRANSLATE(B5523,""en"",""zh-CN"")"),"人们为BMX自行车比赛做准备。")</f>
        <v>人们为BMX自行车比赛做准备。</v>
      </c>
    </row>
    <row r="5524">
      <c r="A5524" s="4" t="s">
        <v>6942</v>
      </c>
      <c r="B5524" s="4" t="s">
        <v>6944</v>
      </c>
      <c r="C5524" s="5" t="str">
        <f>IFERROR(__xludf.DUMMYFUNCTION("GOOGLETRANSLATE(B5524,""en"",""zh-CN"")"),"一个人排队然后走。")</f>
        <v>一个人排队然后走。</v>
      </c>
    </row>
    <row r="5525">
      <c r="A5525" s="4" t="s">
        <v>6945</v>
      </c>
      <c r="B5525" s="4" t="s">
        <v>6946</v>
      </c>
      <c r="C5525" s="5" t="str">
        <f>IFERROR(__xludf.DUMMYFUNCTION("GOOGLETRANSLATE(B5525,""en"",""zh-CN"")"),"一件黄色衬衫的女孩在浴室里刷牙。")</f>
        <v>一件黄色衬衫的女孩在浴室里刷牙。</v>
      </c>
    </row>
    <row r="5526">
      <c r="A5526" s="4" t="s">
        <v>6945</v>
      </c>
      <c r="B5526" s="4" t="s">
        <v>6947</v>
      </c>
      <c r="C5526" s="5" t="str">
        <f>IFERROR(__xludf.DUMMYFUNCTION("GOOGLETRANSLATE(B5526,""en"",""zh-CN"")"),"她旁边穿着蓝色衬衫的一个女孩也在刷牙。")</f>
        <v>她旁边穿着蓝色衬衫的一个女孩也在刷牙。</v>
      </c>
    </row>
    <row r="5527">
      <c r="A5527" s="4" t="s">
        <v>6945</v>
      </c>
      <c r="B5527" s="4" t="s">
        <v>6948</v>
      </c>
      <c r="C5527" s="5" t="str">
        <f>IFERROR(__xludf.DUMMYFUNCTION("GOOGLETRANSLATE(B5527,""en"",""zh-CN"")"),"他们都看着镜子。")</f>
        <v>他们都看着镜子。</v>
      </c>
    </row>
    <row r="5528">
      <c r="A5528" s="4" t="s">
        <v>6949</v>
      </c>
      <c r="B5528" s="4" t="s">
        <v>6950</v>
      </c>
      <c r="C5528" s="5" t="str">
        <f>IFERROR(__xludf.DUMMYFUNCTION("GOOGLETRANSLATE(B5528,""en"",""zh-CN"")"),"一个女人在厨房里迅速骑着卧式自行车。")</f>
        <v>一个女人在厨房里迅速骑着卧式自行车。</v>
      </c>
    </row>
    <row r="5529">
      <c r="A5529" s="4" t="s">
        <v>6949</v>
      </c>
      <c r="B5529" s="4" t="s">
        <v>6951</v>
      </c>
      <c r="C5529" s="5" t="str">
        <f>IFERROR(__xludf.DUMMYFUNCTION("GOOGLETRANSLATE(B5529,""en"",""zh-CN"")"),"她坐在火炉旁，将鸡蛋塞进锅中，然后在骑行时制作煎蛋卷。")</f>
        <v>她坐在火炉旁，将鸡蛋塞进锅中，然后在骑行时制作煎蛋卷。</v>
      </c>
    </row>
    <row r="5530">
      <c r="A5530" s="4" t="s">
        <v>6949</v>
      </c>
      <c r="B5530" s="4" t="s">
        <v>6952</v>
      </c>
      <c r="C5530" s="5" t="str">
        <f>IFERROR(__xludf.DUMMYFUNCTION("GOOGLETRANSLATE(B5530,""en"",""zh-CN"")"),"她搅拌鸡蛋，然后在仍在骑行的同时将其盘盘。")</f>
        <v>她搅拌鸡蛋，然后在仍在骑行的同时将其盘盘。</v>
      </c>
    </row>
    <row r="5531">
      <c r="A5531" s="4" t="s">
        <v>6949</v>
      </c>
      <c r="B5531" s="4" t="s">
        <v>6953</v>
      </c>
      <c r="C5531" s="5" t="str">
        <f>IFERROR(__xludf.DUMMYFUNCTION("GOOGLETRANSLATE(B5531,""en"",""zh-CN"")"),"然后，她继续骑车时吃饭。")</f>
        <v>然后，她继续骑车时吃饭。</v>
      </c>
    </row>
    <row r="5532">
      <c r="A5532" s="4" t="s">
        <v>6954</v>
      </c>
      <c r="B5532" s="6" t="s">
        <v>6955</v>
      </c>
      <c r="C5532" s="5" t="str">
        <f>IFERROR(__xludf.DUMMYFUNCTION("GOOGLETRANSLATE(B5532,""en"",""zh-CN"")"),"看到一个女人跪在后院的垫子上，用双手向后弯曲。")</f>
        <v>看到一个女人跪在后院的垫子上，用双手向后弯曲。</v>
      </c>
    </row>
    <row r="5533">
      <c r="A5533" s="4" t="s">
        <v>6954</v>
      </c>
      <c r="B5533" s="4" t="s">
        <v>6956</v>
      </c>
      <c r="C5533" s="5" t="str">
        <f>IFERROR(__xludf.DUMMYFUNCTION("GOOGLETRANSLATE(B5533,""en"",""zh-CN"")"),"然后，她将手一直放在地上，同时仍在继续抬头。")</f>
        <v>然后，她将手一直放在地上，同时仍在继续抬头。</v>
      </c>
    </row>
    <row r="5534">
      <c r="A5534" s="4" t="s">
        <v>6957</v>
      </c>
      <c r="B5534" s="4" t="s">
        <v>6958</v>
      </c>
      <c r="C5534" s="5" t="str">
        <f>IFERROR(__xludf.DUMMYFUNCTION("GOOGLETRANSLATE(B5534,""en"",""zh-CN"")"),"我们看到一个白色的打开屏幕。")</f>
        <v>我们看到一个白色的打开屏幕。</v>
      </c>
    </row>
    <row r="5535">
      <c r="A5535" s="4" t="s">
        <v>6957</v>
      </c>
      <c r="B5535" s="4" t="s">
        <v>6959</v>
      </c>
      <c r="C5535" s="5" t="str">
        <f>IFERROR(__xludf.DUMMYFUNCTION("GOOGLETRANSLATE(B5535,""en"",""zh-CN"")"),"我们看到一位女士在熨烫板上熨烫衬衫，然后与镜头交谈。")</f>
        <v>我们看到一位女士在熨烫板上熨烫衬衫，然后与镜头交谈。</v>
      </c>
    </row>
    <row r="5536">
      <c r="A5536" s="4" t="s">
        <v>6957</v>
      </c>
      <c r="B5536" s="4" t="s">
        <v>6960</v>
      </c>
      <c r="C5536" s="5" t="str">
        <f>IFERROR(__xludf.DUMMYFUNCTION("GOOGLETRANSLATE(B5536,""en"",""zh-CN"")"),"女士熨斗是袖子。")</f>
        <v>女士熨斗是袖子。</v>
      </c>
    </row>
    <row r="5537">
      <c r="A5537" s="4" t="s">
        <v>6957</v>
      </c>
      <c r="B5537" s="4" t="s">
        <v>6961</v>
      </c>
      <c r="C5537" s="5" t="str">
        <f>IFERROR(__xludf.DUMMYFUNCTION("GOOGLETRANSLATE(B5537,""en"",""zh-CN"")"),"女士熨斗衬衫的背面。")</f>
        <v>女士熨斗衬衫的背面。</v>
      </c>
    </row>
    <row r="5538">
      <c r="A5538" s="4" t="s">
        <v>6957</v>
      </c>
      <c r="B5538" s="4" t="s">
        <v>6962</v>
      </c>
      <c r="C5538" s="5" t="str">
        <f>IFERROR(__xludf.DUMMYFUNCTION("GOOGLETRANSLATE(B5538,""en"",""zh-CN"")"),"女士结束并握住衬衫。")</f>
        <v>女士结束并握住衬衫。</v>
      </c>
    </row>
    <row r="5539">
      <c r="A5539" s="4" t="s">
        <v>6957</v>
      </c>
      <c r="B5539" s="4" t="s">
        <v>6963</v>
      </c>
      <c r="C5539" s="5" t="str">
        <f>IFERROR(__xludf.DUMMYFUNCTION("GOOGLETRANSLATE(B5539,""en"",""zh-CN"")"),"我们看到一个明亮的标题关闭屏幕。")</f>
        <v>我们看到一个明亮的标题关闭屏幕。</v>
      </c>
    </row>
    <row r="5540">
      <c r="A5540" s="4" t="s">
        <v>6964</v>
      </c>
      <c r="B5540" s="4" t="s">
        <v>6965</v>
      </c>
      <c r="C5540" s="5" t="str">
        <f>IFERROR(__xludf.DUMMYFUNCTION("GOOGLETRANSLATE(B5540,""en"",""zh-CN"")"),"我们看到Howcast的标题屏幕。")</f>
        <v>我们看到Howcast的标题屏幕。</v>
      </c>
    </row>
    <row r="5541">
      <c r="A5541" s="4" t="s">
        <v>6964</v>
      </c>
      <c r="B5541" s="4" t="s">
        <v>6966</v>
      </c>
      <c r="C5541" s="5" t="str">
        <f>IFERROR(__xludf.DUMMYFUNCTION("GOOGLETRANSLATE(B5541,""en"",""zh-CN"")"),"一位女士站在一个白房间里和镜头说话。")</f>
        <v>一位女士站在一个白房间里和镜头说话。</v>
      </c>
    </row>
    <row r="5542">
      <c r="A5542" s="4" t="s">
        <v>6964</v>
      </c>
      <c r="B5542" s="4" t="s">
        <v>6967</v>
      </c>
      <c r="C5542" s="5" t="str">
        <f>IFERROR(__xludf.DUMMYFUNCTION("GOOGLETRANSLATE(B5542,""en"",""zh-CN"")"),"这位女士向我们展示了如何通过跳舞来肚皮舞。")</f>
        <v>这位女士向我们展示了如何通过跳舞来肚皮舞。</v>
      </c>
    </row>
    <row r="5543">
      <c r="A5543" s="4" t="s">
        <v>6964</v>
      </c>
      <c r="B5543" s="4" t="s">
        <v>6968</v>
      </c>
      <c r="C5543" s="5" t="str">
        <f>IFERROR(__xludf.DUMMYFUNCTION("GOOGLETRANSLATE(B5543,""en"",""zh-CN"")"),"她向右移动，然后向后抬起臀部，同时腹部跳舞。")</f>
        <v>她向右移动，然后向后抬起臀部，同时腹部跳舞。</v>
      </c>
    </row>
    <row r="5544">
      <c r="A5544" s="4" t="s">
        <v>6964</v>
      </c>
      <c r="B5544" s="4" t="s">
        <v>6969</v>
      </c>
      <c r="C5544" s="5" t="str">
        <f>IFERROR(__xludf.DUMMYFUNCTION("GOOGLETRANSLATE(B5544,""en"",""zh-CN"")"),"这位女士展示了如何一次举起臀部。")</f>
        <v>这位女士展示了如何一次举起臀部。</v>
      </c>
    </row>
    <row r="5545">
      <c r="A5545" s="4" t="s">
        <v>6964</v>
      </c>
      <c r="B5545" s="4" t="s">
        <v>6970</v>
      </c>
      <c r="C5545" s="5" t="str">
        <f>IFERROR(__xludf.DUMMYFUNCTION("GOOGLETRANSLATE(B5545,""en"",""zh-CN"")"),"她拍拍头，摇动臀部。")</f>
        <v>她拍拍头，摇动臀部。</v>
      </c>
    </row>
    <row r="5546">
      <c r="A5546" s="4" t="s">
        <v>6964</v>
      </c>
      <c r="B5546" s="4" t="s">
        <v>6971</v>
      </c>
      <c r="C5546" s="5" t="str">
        <f>IFERROR(__xludf.DUMMYFUNCTION("GOOGLETRANSLATE(B5546,""en"",""zh-CN"")"),"那位女士摇动臀部，挥舞着她的臀部。")</f>
        <v>那位女士摇动臀部，挥舞着她的臀部。</v>
      </c>
    </row>
    <row r="5547">
      <c r="A5547" s="4" t="s">
        <v>6964</v>
      </c>
      <c r="B5547" s="4" t="s">
        <v>6972</v>
      </c>
      <c r="C5547" s="5" t="str">
        <f>IFERROR(__xludf.DUMMYFUNCTION("GOOGLETRANSLATE(B5547,""en"",""zh-CN"")"),"她停止跳舞，静止不动。")</f>
        <v>她停止跳舞，静止不动。</v>
      </c>
    </row>
    <row r="5548">
      <c r="A5548" s="4" t="s">
        <v>6964</v>
      </c>
      <c r="B5548" s="4" t="s">
        <v>6973</v>
      </c>
      <c r="C5548" s="5" t="str">
        <f>IFERROR(__xludf.DUMMYFUNCTION("GOOGLETRANSLATE(B5548,""en"",""zh-CN"")"),"屏幕上的结尾积分加载。")</f>
        <v>屏幕上的结尾积分加载。</v>
      </c>
    </row>
    <row r="5549">
      <c r="A5549" s="4" t="s">
        <v>6974</v>
      </c>
      <c r="B5549" s="4" t="s">
        <v>6975</v>
      </c>
      <c r="C5549" s="5" t="str">
        <f>IFERROR(__xludf.DUMMYFUNCTION("GOOGLETRANSLATE(B5549,""en"",""zh-CN"")"),"观众观看表演时，一名体操运动员在不平坦的条上表演。")</f>
        <v>观众观看表演时，一名体操运动员在不平坦的条上表演。</v>
      </c>
    </row>
    <row r="5550">
      <c r="A5550" s="4" t="s">
        <v>6974</v>
      </c>
      <c r="B5550" s="6" t="s">
        <v>6976</v>
      </c>
      <c r="C5550" s="5" t="str">
        <f>IFERROR(__xludf.DUMMYFUNCTION("GOOGLETRANSLATE(B5550,""en"",""zh-CN"")"),"体操运动员结束了表演和出色的观众，然后她和朋友们一起等待比分。")</f>
        <v>体操运动员结束了表演和出色的观众，然后她和朋友们一起等待比分。</v>
      </c>
    </row>
    <row r="5551">
      <c r="A5551" s="4" t="s">
        <v>6974</v>
      </c>
      <c r="B5551" s="4" t="s">
        <v>6977</v>
      </c>
      <c r="C5551" s="5" t="str">
        <f>IFERROR(__xludf.DUMMYFUNCTION("GOOGLETRANSLATE(B5551,""en"",""zh-CN"")"),"一个女人看体操运动员和鼓掌。")</f>
        <v>一个女人看体操运动员和鼓掌。</v>
      </c>
    </row>
    <row r="5552">
      <c r="A5552" s="4" t="s">
        <v>6978</v>
      </c>
      <c r="B5552" s="4" t="s">
        <v>6979</v>
      </c>
      <c r="C5552" s="5" t="str">
        <f>IFERROR(__xludf.DUMMYFUNCTION("GOOGLETRANSLATE(B5552,""en"",""zh-CN"")"),"举重运动员在健身房，他举起杠铃。")</f>
        <v>举重运动员在健身房，他举起杠铃。</v>
      </c>
    </row>
    <row r="5553">
      <c r="A5553" s="4" t="s">
        <v>6978</v>
      </c>
      <c r="B5553" s="4" t="s">
        <v>6980</v>
      </c>
      <c r="C5553" s="5" t="str">
        <f>IFERROR(__xludf.DUMMYFUNCTION("GOOGLETRANSLATE(B5553,""en"",""zh-CN"")"),"他将其抬到头上，然后将其放在地上，然后走开。")</f>
        <v>他将其抬到头上，然后将其放在地上，然后走开。</v>
      </c>
    </row>
    <row r="5554">
      <c r="A5554" s="4" t="s">
        <v>6981</v>
      </c>
      <c r="B5554" s="4" t="s">
        <v>6982</v>
      </c>
      <c r="C5554" s="5" t="str">
        <f>IFERROR(__xludf.DUMMYFUNCTION("GOOGLETRANSLATE(B5554,""en"",""zh-CN"")"),"看到了几辆汽车的特写，导致一个人打扫汽车。")</f>
        <v>看到了几辆汽车的特写，导致一个人打扫汽车。</v>
      </c>
    </row>
    <row r="5555">
      <c r="A5555" s="4" t="s">
        <v>6981</v>
      </c>
      <c r="B5555" s="4" t="s">
        <v>6983</v>
      </c>
      <c r="C5555" s="5" t="str">
        <f>IFERROR(__xludf.DUMMYFUNCTION("GOOGLETRANSLATE(B5555,""en"",""zh-CN"")"),"该人用抹布在汽车的前面擦拭，包括沿着轮胎。")</f>
        <v>该人用抹布在汽车的前面擦拭，包括沿着轮胎。</v>
      </c>
    </row>
    <row r="5556">
      <c r="A5556" s="4" t="s">
        <v>6981</v>
      </c>
      <c r="B5556" s="4" t="s">
        <v>6984</v>
      </c>
      <c r="C5556" s="5" t="str">
        <f>IFERROR(__xludf.DUMMYFUNCTION("GOOGLETRANSLATE(B5556,""en"",""zh-CN"")"),"后来显示了这些汽车，并显示了全部清理。")</f>
        <v>后来显示了这些汽车，并显示了全部清理。</v>
      </c>
    </row>
    <row r="5557">
      <c r="A5557" s="4" t="s">
        <v>6985</v>
      </c>
      <c r="B5557" s="4" t="s">
        <v>6986</v>
      </c>
      <c r="C5557" s="5" t="str">
        <f>IFERROR(__xludf.DUMMYFUNCTION("GOOGLETRANSLATE(B5557,""en"",""zh-CN"")"),"一支游行乐队在街上游行。")</f>
        <v>一支游行乐队在街上游行。</v>
      </c>
    </row>
    <row r="5558">
      <c r="A5558" s="4" t="s">
        <v>6985</v>
      </c>
      <c r="B5558" s="4" t="s">
        <v>6987</v>
      </c>
      <c r="C5558" s="5" t="str">
        <f>IFERROR(__xludf.DUMMYFUNCTION("GOOGLETRANSLATE(B5558,""en"",""zh-CN"")"),"街道两边的人们都在观看游行和鼓掌。")</f>
        <v>街道两边的人们都在观看游行和鼓掌。</v>
      </c>
    </row>
    <row r="5559">
      <c r="A5559" s="4" t="s">
        <v>6988</v>
      </c>
      <c r="B5559" s="4" t="s">
        <v>6989</v>
      </c>
      <c r="C5559" s="5" t="str">
        <f>IFERROR(__xludf.DUMMYFUNCTION("GOOGLETRANSLATE(B5559,""en"",""zh-CN"")"),"看到一个人将面团球放在锅上，然后将其放入烤箱中。")</f>
        <v>看到一个人将面团球放在锅上，然后将其放入烤箱中。</v>
      </c>
    </row>
    <row r="5560">
      <c r="A5560" s="4" t="s">
        <v>6988</v>
      </c>
      <c r="B5560" s="4" t="s">
        <v>6990</v>
      </c>
      <c r="C5560" s="5" t="str">
        <f>IFERROR(__xludf.DUMMYFUNCTION("GOOGLETRANSLATE(B5560,""en"",""zh-CN"")"),"然后，她将它们从烤箱中取出，然后将饼干放在盘子上。")</f>
        <v>然后，她将它们从烤箱中取出，然后将饼干放在盘子上。</v>
      </c>
    </row>
    <row r="5561">
      <c r="A5561" s="4" t="s">
        <v>6991</v>
      </c>
      <c r="B5561" s="4" t="s">
        <v>6992</v>
      </c>
      <c r="C5561" s="5" t="str">
        <f>IFERROR(__xludf.DUMMYFUNCTION("GOOGLETRANSLATE(B5561,""en"",""zh-CN"")"),"看到一个小孩在桌子上熨烫衬衫，看着相机。")</f>
        <v>看到一个小孩在桌子上熨烫衬衫，看着相机。</v>
      </c>
    </row>
    <row r="5562">
      <c r="A5562" s="4" t="s">
        <v>6991</v>
      </c>
      <c r="B5562" s="4" t="s">
        <v>6993</v>
      </c>
      <c r="C5562" s="5" t="str">
        <f>IFERROR(__xludf.DUMMYFUNCTION("GOOGLETRANSLATE(B5562,""en"",""zh-CN"")"),"这个男孩继续假装熨烫衬衫，并最终在桌子上穿一件衣服。")</f>
        <v>这个男孩继续假装熨烫衬衫，并最终在桌子上穿一件衣服。</v>
      </c>
    </row>
    <row r="5563">
      <c r="A5563" s="4" t="s">
        <v>6991</v>
      </c>
      <c r="B5563" s="4" t="s">
        <v>6994</v>
      </c>
      <c r="C5563" s="5" t="str">
        <f>IFERROR(__xludf.DUMMYFUNCTION("GOOGLETRANSLATE(B5563,""en"",""zh-CN"")"),"他屈服了这件衣服，然后摆动。")</f>
        <v>他屈服了这件衣服，然后摆动。</v>
      </c>
    </row>
    <row r="5564">
      <c r="A5564" s="4" t="s">
        <v>6995</v>
      </c>
      <c r="B5564" s="4" t="s">
        <v>6996</v>
      </c>
      <c r="C5564" s="5" t="str">
        <f>IFERROR(__xludf.DUMMYFUNCTION("GOOGLETRANSLATE(B5564,""en"",""zh-CN"")"),"一个男人带着吹叶机散步。")</f>
        <v>一个男人带着吹叶机散步。</v>
      </c>
    </row>
    <row r="5565">
      <c r="A5565" s="4" t="s">
        <v>6995</v>
      </c>
      <c r="B5565" s="4" t="s">
        <v>6997</v>
      </c>
      <c r="C5565" s="5" t="str">
        <f>IFERROR(__xludf.DUMMYFUNCTION("GOOGLETRANSLATE(B5565,""en"",""zh-CN"")"),"他把叶子吹到地上。")</f>
        <v>他把叶子吹到地上。</v>
      </c>
    </row>
    <row r="5566">
      <c r="A5566" s="4" t="s">
        <v>6995</v>
      </c>
      <c r="B5566" s="4" t="s">
        <v>6998</v>
      </c>
      <c r="C5566" s="5" t="str">
        <f>IFERROR(__xludf.DUMMYFUNCTION("GOOGLETRANSLATE(B5566,""en"",""zh-CN"")"),"叶子在沥青上移动。")</f>
        <v>叶子在沥青上移动。</v>
      </c>
    </row>
    <row r="5567">
      <c r="A5567" s="4" t="s">
        <v>6995</v>
      </c>
      <c r="B5567" s="4" t="s">
        <v>6999</v>
      </c>
      <c r="C5567" s="5" t="str">
        <f>IFERROR(__xludf.DUMMYFUNCTION("GOOGLETRANSLATE(B5567,""en"",""zh-CN"")"),"该男子用鼓风机吹另一个男人。")</f>
        <v>该男子用鼓风机吹另一个男人。</v>
      </c>
    </row>
    <row r="5568">
      <c r="A5568" s="4" t="s">
        <v>7000</v>
      </c>
      <c r="B5568" s="6" t="s">
        <v>7001</v>
      </c>
      <c r="C5568" s="5" t="str">
        <f>IFERROR(__xludf.DUMMYFUNCTION("GOOGLETRANSLATE(B5568,""en"",""zh-CN"")"),"看到一个男人站在柜台与相机说话并举起清洁产品的柜台后面。")</f>
        <v>看到一个男人站在柜台与相机说话并举起清洁产品的柜台后面。</v>
      </c>
    </row>
    <row r="5569">
      <c r="A5569" s="4" t="s">
        <v>7000</v>
      </c>
      <c r="B5569" s="4" t="s">
        <v>7002</v>
      </c>
      <c r="C5569" s="5" t="str">
        <f>IFERROR(__xludf.DUMMYFUNCTION("GOOGLETRANSLATE(B5569,""en"",""zh-CN"")"),"他将产品放入水槽中，开始在侧面擦洗。")</f>
        <v>他将产品放入水槽中，开始在侧面擦洗。</v>
      </c>
    </row>
    <row r="5570">
      <c r="A5570" s="4" t="s">
        <v>7000</v>
      </c>
      <c r="B5570" s="4" t="s">
        <v>7003</v>
      </c>
      <c r="C5570" s="5" t="str">
        <f>IFERROR(__xludf.DUMMYFUNCTION("GOOGLETRANSLATE(B5570,""en"",""zh-CN"")"),"他擦拭柜台，露出成品水槽。")</f>
        <v>他擦拭柜台，露出成品水槽。</v>
      </c>
    </row>
    <row r="5571">
      <c r="A5571" s="4" t="s">
        <v>7004</v>
      </c>
      <c r="B5571" s="4" t="s">
        <v>7005</v>
      </c>
      <c r="C5571" s="5" t="str">
        <f>IFERROR(__xludf.DUMMYFUNCTION("GOOGLETRANSLATE(B5571,""en"",""zh-CN"")"),"一个男人把飞盘扔给他的狗，狗抓住了。")</f>
        <v>一个男人把飞盘扔给他的狗，狗抓住了。</v>
      </c>
    </row>
    <row r="5572">
      <c r="A5572" s="4" t="s">
        <v>7004</v>
      </c>
      <c r="B5572" s="4" t="s">
        <v>7006</v>
      </c>
      <c r="C5572" s="5" t="str">
        <f>IFERROR(__xludf.DUMMYFUNCTION("GOOGLETRANSLATE(B5572,""en"",""zh-CN"")"),"一个主人握住一只手，将飞盘扔给他的狗，他能够抓住。")</f>
        <v>一个主人握住一只手，将飞盘扔给他的狗，他能够抓住。</v>
      </c>
    </row>
    <row r="5573">
      <c r="A5573" s="4" t="s">
        <v>7004</v>
      </c>
      <c r="B5573" s="4" t="s">
        <v>7007</v>
      </c>
      <c r="C5573" s="5" t="str">
        <f>IFERROR(__xludf.DUMMYFUNCTION("GOOGLETRANSLATE(B5573,""en"",""zh-CN"")"),"许多主人和狗在这样做时扔和捕捉飞盘并做技巧。")</f>
        <v>许多主人和狗在这样做时扔和捕捉飞盘并做技巧。</v>
      </c>
    </row>
    <row r="5574">
      <c r="A5574" s="4" t="s">
        <v>7004</v>
      </c>
      <c r="B5574" s="4" t="s">
        <v>7008</v>
      </c>
      <c r="C5574" s="5" t="str">
        <f>IFERROR(__xludf.DUMMYFUNCTION("GOOGLETRANSLATE(B5574,""en"",""zh-CN"")"),"一个女人张开双臂，她的狗跳进去，她抓住了狗。")</f>
        <v>一个女人张开双臂，她的狗跳进去，她抓住了狗。</v>
      </c>
    </row>
    <row r="5575">
      <c r="A5575" s="4" t="s">
        <v>7009</v>
      </c>
      <c r="B5575" s="4" t="s">
        <v>1251</v>
      </c>
      <c r="C5575" s="5" t="str">
        <f>IFERROR(__xludf.DUMMYFUNCTION("GOOGLETRANSLATE(B5575,""en"",""zh-CN"")"),"显示了剪辑的信用。")</f>
        <v>显示了剪辑的信用。</v>
      </c>
    </row>
    <row r="5576">
      <c r="A5576" s="4" t="s">
        <v>7009</v>
      </c>
      <c r="B5576" s="4" t="s">
        <v>7010</v>
      </c>
      <c r="C5576" s="5" t="str">
        <f>IFERROR(__xludf.DUMMYFUNCTION("GOOGLETRANSLATE(B5576,""en"",""zh-CN"")"),"一个人拿着曲棍网棒和指导。")</f>
        <v>一个人拿着曲棍网棒和指导。</v>
      </c>
    </row>
    <row r="5577">
      <c r="A5577" s="4" t="s">
        <v>7009</v>
      </c>
      <c r="B5577" s="4" t="s">
        <v>7011</v>
      </c>
      <c r="C5577" s="5" t="str">
        <f>IFERROR(__xludf.DUMMYFUNCTION("GOOGLETRANSLATE(B5577,""en"",""zh-CN"")"),"一个人用曲棍球棒移动球。")</f>
        <v>一个人用曲棍球棒移动球。</v>
      </c>
    </row>
    <row r="5578">
      <c r="A5578" s="4" t="s">
        <v>7009</v>
      </c>
      <c r="B5578" s="4" t="s">
        <v>7012</v>
      </c>
      <c r="C5578" s="5" t="str">
        <f>IFERROR(__xludf.DUMMYFUNCTION("GOOGLETRANSLATE(B5578,""en"",""zh-CN"")"),"一个家伙把球扔进进球。")</f>
        <v>一个家伙把球扔进进球。</v>
      </c>
    </row>
    <row r="5579">
      <c r="A5579" s="4" t="s">
        <v>7013</v>
      </c>
      <c r="B5579" s="4" t="s">
        <v>7014</v>
      </c>
      <c r="C5579" s="5" t="str">
        <f>IFERROR(__xludf.DUMMYFUNCTION("GOOGLETRANSLATE(B5579,""en"",""zh-CN"")"),"一个人在土路上骑自行车。")</f>
        <v>一个人在土路上骑自行车。</v>
      </c>
    </row>
    <row r="5580">
      <c r="A5580" s="4" t="s">
        <v>7013</v>
      </c>
      <c r="B5580" s="4" t="s">
        <v>7015</v>
      </c>
      <c r="C5580" s="5" t="str">
        <f>IFERROR(__xludf.DUMMYFUNCTION("GOOGLETRANSLATE(B5580,""en"",""zh-CN"")"),"骑自行车的人跳入高坡道。")</f>
        <v>骑自行车的人跳入高坡道。</v>
      </c>
    </row>
    <row r="5581">
      <c r="A5581" s="4" t="s">
        <v>7013</v>
      </c>
      <c r="B5581" s="4" t="s">
        <v>7016</v>
      </c>
      <c r="C5581" s="5" t="str">
        <f>IFERROR(__xludf.DUMMYFUNCTION("GOOGLETRANSLATE(B5581,""en"",""zh-CN"")"),"骑自行车的人开车到曲线路径，然后驶过高坡道。")</f>
        <v>骑自行车的人开车到曲线路径，然后驶过高坡道。</v>
      </c>
    </row>
    <row r="5582">
      <c r="A5582" s="4" t="s">
        <v>7017</v>
      </c>
      <c r="B5582" s="6" t="s">
        <v>7018</v>
      </c>
      <c r="C5582" s="5" t="str">
        <f>IFERROR(__xludf.DUMMYFUNCTION("GOOGLETRANSLATE(B5582,""en"",""zh-CN"")"),"有两支球队在室外田野中相互对抗绿色和白色的颜色白色和彩色白色。")</f>
        <v>有两支球队在室外田野中相互对抗绿色和白色的颜色白色和彩色白色。</v>
      </c>
    </row>
    <row r="5583">
      <c r="A5583" s="4" t="s">
        <v>7017</v>
      </c>
      <c r="B5583" s="6" t="s">
        <v>7019</v>
      </c>
      <c r="C5583" s="5" t="str">
        <f>IFERROR(__xludf.DUMMYFUNCTION("GOOGLETRANSLATE(B5583,""en"",""zh-CN"")"),"绿色团队的球员开始与对手一起跑步，朝着球奔跑。")</f>
        <v>绿色团队的球员开始与对手一起跑步，朝着球奔跑。</v>
      </c>
    </row>
    <row r="5584">
      <c r="A5584" s="4" t="s">
        <v>7017</v>
      </c>
      <c r="B5584" s="4" t="s">
        <v>7020</v>
      </c>
      <c r="C5584" s="5" t="str">
        <f>IFERROR(__xludf.DUMMYFUNCTION("GOOGLETRANSLATE(B5584,""en"",""zh-CN"")"),"两支球队争先恐后地击中球。")</f>
        <v>两支球队争先恐后地击中球。</v>
      </c>
    </row>
    <row r="5585">
      <c r="A5585" s="4" t="s">
        <v>7017</v>
      </c>
      <c r="B5585" s="4" t="s">
        <v>7021</v>
      </c>
      <c r="C5585" s="5" t="str">
        <f>IFERROR(__xludf.DUMMYFUNCTION("GOOGLETRANSLATE(B5585,""en"",""zh-CN"")"),"绿色团队球员迅速奔跑，以防止白队获得球。")</f>
        <v>绿色团队球员迅速奔跑，以防止白队获得球。</v>
      </c>
    </row>
    <row r="5586">
      <c r="A5586" s="4" t="s">
        <v>7017</v>
      </c>
      <c r="B5586" s="6" t="s">
        <v>7022</v>
      </c>
      <c r="C5586" s="5" t="str">
        <f>IFERROR(__xludf.DUMMYFUNCTION("GOOGLETRANSLATE(B5586,""en"",""zh-CN"")"),"白人队的球员试图跟上对手的步伐，并专注于在进球中击球。")</f>
        <v>白人队的球员试图跟上对手的步伐，并专注于在进球中击球。</v>
      </c>
    </row>
    <row r="5587">
      <c r="A5587" s="4" t="s">
        <v>7017</v>
      </c>
      <c r="B5587" s="6" t="s">
        <v>7023</v>
      </c>
      <c r="C5587" s="5" t="str">
        <f>IFERROR(__xludf.DUMMYFUNCTION("GOOGLETRANSLATE(B5587,""en"",""zh-CN"")"),"两支球队的两名球员互相奔跑并为球而战，导致一名绿色团队球员摔倒。")</f>
        <v>两支球队的两名球员互相奔跑并为球而战，导致一名绿色团队球员摔倒。</v>
      </c>
    </row>
    <row r="5588">
      <c r="A5588" s="4" t="s">
        <v>7017</v>
      </c>
      <c r="B5588" s="4" t="s">
        <v>7024</v>
      </c>
      <c r="C5588" s="5" t="str">
        <f>IFERROR(__xludf.DUMMYFUNCTION("GOOGLETRANSLATE(B5588,""en"",""zh-CN"")"),"在他们走向场地时，他们可以休息一下，然后才能重新启动比赛。")</f>
        <v>在他们走向场地时，他们可以休息一下，然后才能重新启动比赛。</v>
      </c>
    </row>
    <row r="5589">
      <c r="A5589" s="4" t="s">
        <v>7025</v>
      </c>
      <c r="B5589" s="6" t="s">
        <v>7026</v>
      </c>
      <c r="C5589" s="5" t="str">
        <f>IFERROR(__xludf.DUMMYFUNCTION("GOOGLETRANSLATE(B5589,""en"",""zh-CN"")"),"赌场桌子上的经销商向几个客户交易，而后台有很多活动。")</f>
        <v>赌场桌子上的经销商向几个客户交易，而后台有很多活动。</v>
      </c>
    </row>
    <row r="5590">
      <c r="A5590" s="4" t="s">
        <v>7025</v>
      </c>
      <c r="B5590" s="4" t="s">
        <v>7027</v>
      </c>
      <c r="C5590" s="5" t="str">
        <f>IFERROR(__xludf.DUMMYFUNCTION("GOOGLETRANSLATE(B5590,""en"",""zh-CN"")"),"其中一位球员开始笑。")</f>
        <v>其中一位球员开始笑。</v>
      </c>
    </row>
    <row r="5591">
      <c r="A5591" s="4" t="s">
        <v>7028</v>
      </c>
      <c r="B5591" s="4" t="s">
        <v>7029</v>
      </c>
      <c r="C5591" s="5" t="str">
        <f>IFERROR(__xludf.DUMMYFUNCTION("GOOGLETRANSLATE(B5591,""en"",""zh-CN"")"),"我们看到卡片坐在桌子上。")</f>
        <v>我们看到卡片坐在桌子上。</v>
      </c>
    </row>
    <row r="5592">
      <c r="A5592" s="4" t="s">
        <v>7028</v>
      </c>
      <c r="B5592" s="4" t="s">
        <v>7030</v>
      </c>
      <c r="C5592" s="5" t="str">
        <f>IFERROR(__xludf.DUMMYFUNCTION("GOOGLETRANSLATE(B5592,""en"",""zh-CN"")"),"经销商交易更多卡。")</f>
        <v>经销商交易更多卡。</v>
      </c>
    </row>
    <row r="5593">
      <c r="A5593" s="4" t="s">
        <v>7028</v>
      </c>
      <c r="B5593" s="4" t="s">
        <v>7031</v>
      </c>
      <c r="C5593" s="5" t="str">
        <f>IFERROR(__xludf.DUMMYFUNCTION("GOOGLETRANSLATE(B5593,""en"",""zh-CN"")"),"经销商指着两张卡。")</f>
        <v>经销商指着两张卡。</v>
      </c>
    </row>
    <row r="5594">
      <c r="A5594" s="4" t="s">
        <v>7028</v>
      </c>
      <c r="B5594" s="4" t="s">
        <v>7032</v>
      </c>
      <c r="C5594" s="5" t="str">
        <f>IFERROR(__xludf.DUMMYFUNCTION("GOOGLETRANSLATE(B5594,""en"",""zh-CN"")"),"经销商将一张卡片翻过来，拿走了男人的筹码。")</f>
        <v>经销商将一张卡片翻过来，拿走了男人的筹码。</v>
      </c>
    </row>
    <row r="5595">
      <c r="A5595" s="4" t="s">
        <v>7033</v>
      </c>
      <c r="B5595" s="4" t="s">
        <v>7034</v>
      </c>
      <c r="C5595" s="5" t="str">
        <f>IFERROR(__xludf.DUMMYFUNCTION("GOOGLETRANSLATE(B5595,""en"",""zh-CN"")"),"广告展示了两名舞者的演讲。")</f>
        <v>广告展示了两名舞者的演讲。</v>
      </c>
    </row>
    <row r="5596">
      <c r="A5596" s="4" t="s">
        <v>7033</v>
      </c>
      <c r="B5596" s="4" t="s">
        <v>7035</v>
      </c>
      <c r="C5596" s="5" t="str">
        <f>IFERROR(__xludf.DUMMYFUNCTION("GOOGLETRANSLATE(B5596,""en"",""zh-CN"")"),"这对夫妇握着双手跳舞。")</f>
        <v>这对夫妇握着双手跳舞。</v>
      </c>
    </row>
    <row r="5597">
      <c r="A5597" s="4" t="s">
        <v>7033</v>
      </c>
      <c r="B5597" s="4" t="s">
        <v>7036</v>
      </c>
      <c r="C5597" s="5" t="str">
        <f>IFERROR(__xludf.DUMMYFUNCTION("GOOGLETRANSLATE(B5597,""en"",""zh-CN"")"),"女人转过身握着男人的手。")</f>
        <v>女人转过身握着男人的手。</v>
      </c>
    </row>
    <row r="5598">
      <c r="A5598" s="4" t="s">
        <v>7037</v>
      </c>
      <c r="B5598" s="4" t="s">
        <v>7038</v>
      </c>
      <c r="C5598" s="5" t="str">
        <f>IFERROR(__xludf.DUMMYFUNCTION("GOOGLETRANSLATE(B5598,""en"",""zh-CN"")"),"女人在湖边行走，正在穿鞋和安全带。")</f>
        <v>女人在湖边行走，正在穿鞋和安全带。</v>
      </c>
    </row>
    <row r="5599">
      <c r="A5599" s="4" t="s">
        <v>7037</v>
      </c>
      <c r="B5599" s="4" t="s">
        <v>7039</v>
      </c>
      <c r="C5599" s="5" t="str">
        <f>IFERROR(__xludf.DUMMYFUNCTION("GOOGLETRANSLATE(B5599,""en"",""zh-CN"")"),"妇女正在爬上一条岩石墙。")</f>
        <v>妇女正在爬上一条岩石墙。</v>
      </c>
    </row>
    <row r="5600">
      <c r="A5600" s="4" t="s">
        <v>7037</v>
      </c>
      <c r="B5600" s="4" t="s">
        <v>7040</v>
      </c>
      <c r="C5600" s="5" t="str">
        <f>IFERROR(__xludf.DUMMYFUNCTION("GOOGLETRANSLATE(B5600,""en"",""zh-CN"")"),"女人要下来，什么时候在地板上和他的另一个女人握手。")</f>
        <v>女人要下来，什么时候在地板上和他的另一个女人握手。</v>
      </c>
    </row>
    <row r="5601">
      <c r="A5601" s="4" t="s">
        <v>7041</v>
      </c>
      <c r="B5601" s="4" t="s">
        <v>7042</v>
      </c>
      <c r="C5601" s="5" t="str">
        <f>IFERROR(__xludf.DUMMYFUNCTION("GOOGLETRANSLATE(B5601,""en"",""zh-CN"")"),"一个女人站在拿着马提尼玻璃的柜台后面。")</f>
        <v>一个女人站在拿着马提尼玻璃的柜台后面。</v>
      </c>
    </row>
    <row r="5602">
      <c r="A5602" s="4" t="s">
        <v>7041</v>
      </c>
      <c r="B5602" s="4" t="s">
        <v>7043</v>
      </c>
      <c r="C5602" s="5" t="str">
        <f>IFERROR(__xludf.DUMMYFUNCTION("GOOGLETRANSLATE(B5602,""en"",""zh-CN"")"),"她将冰倒入玻璃杯中。")</f>
        <v>她将冰倒入玻璃杯中。</v>
      </c>
    </row>
    <row r="5603">
      <c r="A5603" s="4" t="s">
        <v>7041</v>
      </c>
      <c r="B5603" s="4" t="s">
        <v>7044</v>
      </c>
      <c r="C5603" s="5" t="str">
        <f>IFERROR(__xludf.DUMMYFUNCTION("GOOGLETRANSLATE(B5603,""en"",""zh-CN"")"),"她将冰放入另一杯玻璃杯中，并增加了酒精。")</f>
        <v>她将冰放入另一杯玻璃杯中，并增加了酒精。</v>
      </c>
    </row>
    <row r="5604">
      <c r="A5604" s="4" t="s">
        <v>7041</v>
      </c>
      <c r="B5604" s="4" t="s">
        <v>7045</v>
      </c>
      <c r="C5604" s="5" t="str">
        <f>IFERROR(__xludf.DUMMYFUNCTION("GOOGLETRANSLATE(B5604,""en"",""zh-CN"")"),"她用黑色振动筛摇了饮料。")</f>
        <v>她用黑色振动筛摇了饮料。</v>
      </c>
    </row>
    <row r="5605">
      <c r="A5605" s="4" t="s">
        <v>7041</v>
      </c>
      <c r="B5605" s="4" t="s">
        <v>7046</v>
      </c>
      <c r="C5605" s="5" t="str">
        <f>IFERROR(__xludf.DUMMYFUNCTION("GOOGLETRANSLATE(B5605,""en"",""zh-CN"")"),"她把冰从马提尼酒杯中倒出。")</f>
        <v>她把冰从马提尼酒杯中倒出。</v>
      </c>
    </row>
    <row r="5606">
      <c r="A5606" s="4" t="s">
        <v>7041</v>
      </c>
      <c r="B5606" s="4" t="s">
        <v>7047</v>
      </c>
      <c r="C5606" s="5" t="str">
        <f>IFERROR(__xludf.DUMMYFUNCTION("GOOGLETRANSLATE(B5606,""en"",""zh-CN"")"),"她将饮料倒入马提尼酒杯中。")</f>
        <v>她将饮料倒入马提尼酒杯中。</v>
      </c>
    </row>
    <row r="5607">
      <c r="A5607" s="4" t="s">
        <v>7041</v>
      </c>
      <c r="B5607" s="4" t="s">
        <v>7048</v>
      </c>
      <c r="C5607" s="5" t="str">
        <f>IFERROR(__xludf.DUMMYFUNCTION("GOOGLETRANSLATE(B5607,""en"",""zh-CN"")"),"她手里拿着马提尼玻璃。")</f>
        <v>她手里拿着马提尼玻璃。</v>
      </c>
    </row>
    <row r="5608">
      <c r="A5608" s="4" t="s">
        <v>7049</v>
      </c>
      <c r="B5608" s="6" t="s">
        <v>7050</v>
      </c>
      <c r="C5608" s="5" t="str">
        <f>IFERROR(__xludf.DUMMYFUNCTION("GOOGLETRANSLATE(B5608,""en"",""zh-CN"")"),"看到两名相扑摔跤手的战斗会导致人们走进去，其他人一起跳舞。")</f>
        <v>看到两名相扑摔跤手的战斗会导致人们走进去，其他人一起跳舞。</v>
      </c>
    </row>
    <row r="5609">
      <c r="A5609" s="4" t="s">
        <v>7049</v>
      </c>
      <c r="B5609" s="6" t="s">
        <v>7051</v>
      </c>
      <c r="C5609" s="5" t="str">
        <f>IFERROR(__xludf.DUMMYFUNCTION("GOOGLETRANSLATE(B5609,""en"",""zh-CN"")"),"更多的摔跤手互相弯腰，开始摔跤，而人们在侧面鼓。")</f>
        <v>更多的摔跤手互相弯腰，开始摔跤，而人们在侧面鼓。</v>
      </c>
    </row>
    <row r="5610">
      <c r="A5610" s="4" t="s">
        <v>7049</v>
      </c>
      <c r="B5610" s="4" t="s">
        <v>7052</v>
      </c>
      <c r="C5610" s="5" t="str">
        <f>IFERROR(__xludf.DUMMYFUNCTION("GOOGLETRANSLATE(B5610,""en"",""zh-CN"")"),"越来越多的人走进去，继续在坑中摔跤。")</f>
        <v>越来越多的人走进去，继续在坑中摔跤。</v>
      </c>
    </row>
    <row r="5611">
      <c r="A5611" s="4" t="s">
        <v>7053</v>
      </c>
      <c r="B5611" s="4" t="s">
        <v>7054</v>
      </c>
      <c r="C5611" s="5" t="str">
        <f>IFERROR(__xludf.DUMMYFUNCTION("GOOGLETRANSLATE(B5611,""en"",""zh-CN"")"),"看到一个男人坐在锻炼设备上，向后移动。")</f>
        <v>看到一个男人坐在锻炼设备上，向后移动。</v>
      </c>
    </row>
    <row r="5612">
      <c r="A5612" s="4" t="s">
        <v>7053</v>
      </c>
      <c r="B5612" s="4" t="s">
        <v>7055</v>
      </c>
      <c r="C5612" s="5" t="str">
        <f>IFERROR(__xludf.DUMMYFUNCTION("GOOGLETRANSLATE(B5612,""en"",""zh-CN"")"),"该男子继续以不同的速度移动并向后移动。")</f>
        <v>该男子继续以不同的速度移动并向后移动。</v>
      </c>
    </row>
    <row r="5613">
      <c r="A5613" s="4" t="s">
        <v>7056</v>
      </c>
      <c r="B5613" s="6" t="s">
        <v>7057</v>
      </c>
      <c r="C5613" s="5" t="str">
        <f>IFERROR(__xludf.DUMMYFUNCTION("GOOGLETRANSLATE(B5613,""en"",""zh-CN"")"),"一群人站在森林的中间，有一条鹅卵石将它们与美丽的水晶般的水分开。")</f>
        <v>一群人站在森林的中间，有一条鹅卵石将它们与美丽的水晶般的水分开。</v>
      </c>
    </row>
    <row r="5614">
      <c r="A5614" s="4" t="s">
        <v>7056</v>
      </c>
      <c r="B5614" s="6" t="s">
        <v>7058</v>
      </c>
      <c r="C5614" s="5" t="str">
        <f>IFERROR(__xludf.DUMMYFUNCTION("GOOGLETRANSLATE(B5614,""en"",""zh-CN"")"),"相机在水面上移动，船上的几个人在大波浪附近的水中移动在水中。")</f>
        <v>相机在水面上移动，船上的几个人在大波浪附近的水中移动在水中。</v>
      </c>
    </row>
    <row r="5615">
      <c r="A5615" s="4" t="s">
        <v>7056</v>
      </c>
      <c r="B5615" s="4" t="s">
        <v>7059</v>
      </c>
      <c r="C5615" s="5" t="str">
        <f>IFERROR(__xludf.DUMMYFUNCTION("GOOGLETRANSLATE(B5615,""en"",""zh-CN"")"),"更多的大浪开始浮出水面，一个人开始浏览波浪。")</f>
        <v>更多的大浪开始浮出水面，一个人开始浏览波浪。</v>
      </c>
    </row>
    <row r="5616">
      <c r="A5616" s="4" t="s">
        <v>7056</v>
      </c>
      <c r="B5616" s="6" t="s">
        <v>7060</v>
      </c>
      <c r="C5616" s="5" t="str">
        <f>IFERROR(__xludf.DUMMYFUNCTION("GOOGLETRANSLATE(B5616,""en"",""zh-CN"")"),"然后显示森林，并出现冲浪板，这些冲浪板被冲向水库。")</f>
        <v>然后显示森林，并出现冲浪板，这些冲浪板被冲向水库。</v>
      </c>
    </row>
    <row r="5617">
      <c r="A5617" s="4" t="s">
        <v>7061</v>
      </c>
      <c r="B5617" s="4" t="s">
        <v>7062</v>
      </c>
      <c r="C5617" s="5" t="str">
        <f>IFERROR(__xludf.DUMMYFUNCTION("GOOGLETRANSLATE(B5617,""en"",""zh-CN"")"),"一辆汽车以快速的速度沿着高速公路行驶，他带出口停车。")</f>
        <v>一辆汽车以快速的速度沿着高速公路行驶，他带出口停车。</v>
      </c>
    </row>
    <row r="5618">
      <c r="A5618" s="4" t="s">
        <v>7061</v>
      </c>
      <c r="B5618" s="4" t="s">
        <v>7063</v>
      </c>
      <c r="C5618" s="5" t="str">
        <f>IFERROR(__xludf.DUMMYFUNCTION("GOOGLETRANSLATE(B5618,""en"",""zh-CN"")"),"然后，他们在健身房，这是一个装满人们跳绳的班级。")</f>
        <v>然后，他们在健身房，这是一个装满人们跳绳的班级。</v>
      </c>
    </row>
    <row r="5619">
      <c r="A5619" s="4" t="s">
        <v>7061</v>
      </c>
      <c r="B5619" s="6" t="s">
        <v>7064</v>
      </c>
      <c r="C5619" s="5" t="str">
        <f>IFERROR(__xludf.DUMMYFUNCTION("GOOGLETRANSLATE(B5619,""en"",""zh-CN"")"),"一位女教练和一个孩子跳绳一对一，她四处指导班上其他一些学生。")</f>
        <v>一位女教练和一个孩子跳绳一对一，她四处指导班上其他一些学生。</v>
      </c>
    </row>
    <row r="5620">
      <c r="A5620" s="4" t="s">
        <v>7061</v>
      </c>
      <c r="B5620" s="4" t="s">
        <v>7065</v>
      </c>
      <c r="C5620" s="5" t="str">
        <f>IFERROR(__xludf.DUMMYFUNCTION("GOOGLETRANSLATE(B5620,""en"",""zh-CN"")"),"班级以教练和她的学生的照片结尾。")</f>
        <v>班级以教练和她的学生的照片结尾。</v>
      </c>
    </row>
    <row r="5621">
      <c r="A5621" s="4" t="s">
        <v>7066</v>
      </c>
      <c r="B5621" s="4" t="s">
        <v>7067</v>
      </c>
      <c r="C5621" s="5" t="str">
        <f>IFERROR(__xludf.DUMMYFUNCTION("GOOGLETRANSLATE(B5621,""en"",""zh-CN"")"),"一个人在草坪上驾驶割草机。")</f>
        <v>一个人在草坪上驾驶割草机。</v>
      </c>
    </row>
    <row r="5622">
      <c r="A5622" s="4" t="s">
        <v>7066</v>
      </c>
      <c r="B5622" s="4" t="s">
        <v>7068</v>
      </c>
      <c r="C5622" s="5" t="str">
        <f>IFERROR(__xludf.DUMMYFUNCTION("GOOGLETRANSLATE(B5622,""en"",""zh-CN"")"),"那个男人转向他的左边。")</f>
        <v>那个男人转向他的左边。</v>
      </c>
    </row>
    <row r="5623">
      <c r="A5623" s="4" t="s">
        <v>7066</v>
      </c>
      <c r="B5623" s="4" t="s">
        <v>7069</v>
      </c>
      <c r="C5623" s="5" t="str">
        <f>IFERROR(__xludf.DUMMYFUNCTION("GOOGLETRANSLATE(B5623,""en"",""zh-CN"")"),"该男子后面的一辆货车被拖着孩子拉。")</f>
        <v>该男子后面的一辆货车被拖着孩子拉。</v>
      </c>
    </row>
    <row r="5624">
      <c r="A5624" s="4" t="s">
        <v>7066</v>
      </c>
      <c r="B5624" s="4" t="s">
        <v>7070</v>
      </c>
      <c r="C5624" s="5" t="str">
        <f>IFERROR(__xludf.DUMMYFUNCTION("GOOGLETRANSLATE(B5624,""en"",""zh-CN"")"),"然后，男人圈出草坪。")</f>
        <v>然后，男人圈出草坪。</v>
      </c>
    </row>
    <row r="5625">
      <c r="A5625" s="4" t="s">
        <v>7071</v>
      </c>
      <c r="B5625" s="4" t="s">
        <v>7072</v>
      </c>
      <c r="C5625" s="5" t="str">
        <f>IFERROR(__xludf.DUMMYFUNCTION("GOOGLETRANSLATE(B5625,""en"",""zh-CN"")"),"一个女人和一个年轻的女孩每个人都在草地上walking狗。")</f>
        <v>一个女人和一个年轻的女孩每个人都在草地上walking狗。</v>
      </c>
    </row>
    <row r="5626">
      <c r="A5626" s="4" t="s">
        <v>7071</v>
      </c>
      <c r="B5626" s="4" t="s">
        <v>7073</v>
      </c>
      <c r="C5626" s="5" t="str">
        <f>IFERROR(__xludf.DUMMYFUNCTION("GOOGLETRANSLATE(B5626,""en"",""zh-CN"")"),"他们接近另一个坐在椅子上的女人。")</f>
        <v>他们接近另一个坐在椅子上的女人。</v>
      </c>
    </row>
    <row r="5627">
      <c r="A5627" s="4" t="s">
        <v>7071</v>
      </c>
      <c r="B5627" s="4" t="s">
        <v>7074</v>
      </c>
      <c r="C5627" s="5" t="str">
        <f>IFERROR(__xludf.DUMMYFUNCTION("GOOGLETRANSLATE(B5627,""en"",""zh-CN"")"),"她宠物一只狗。")</f>
        <v>她宠物一只狗。</v>
      </c>
    </row>
    <row r="5628">
      <c r="A5628" s="4" t="s">
        <v>7071</v>
      </c>
      <c r="B5628" s="4" t="s">
        <v>7075</v>
      </c>
      <c r="C5628" s="5" t="str">
        <f>IFERROR(__xludf.DUMMYFUNCTION("GOOGLETRANSLATE(B5628,""en"",""zh-CN"")"),"另一个女人坐在宠物狗的女人后面。")</f>
        <v>另一个女人坐在宠物狗的女人后面。</v>
      </c>
    </row>
    <row r="5629">
      <c r="A5629" s="4" t="s">
        <v>7071</v>
      </c>
      <c r="B5629" s="6" t="s">
        <v>7076</v>
      </c>
      <c r="C5629" s="5" t="str">
        <f>IFERROR(__xludf.DUMMYFUNCTION("GOOGLETRANSLATE(B5629,""en"",""zh-CN"")"),"那个带狗的女人走过去，从年轻女孩那里拿走了第二只狗的皮带，并与狗一起走开，那个仍然拿着皮带的年轻女孩。")</f>
        <v>那个带狗的女人走过去，从年轻女孩那里拿走了第二只狗的皮带，并与狗一起走开，那个仍然拿着皮带的年轻女孩。</v>
      </c>
    </row>
    <row r="5630">
      <c r="A5630" s="4" t="s">
        <v>7071</v>
      </c>
      <c r="B5630" s="4" t="s">
        <v>7077</v>
      </c>
      <c r="C5630" s="5" t="str">
        <f>IFERROR(__xludf.DUMMYFUNCTION("GOOGLETRANSLATE(B5630,""en"",""zh-CN"")"),"一个男人站在看着一边。")</f>
        <v>一个男人站在看着一边。</v>
      </c>
    </row>
    <row r="5631">
      <c r="A5631" s="4" t="s">
        <v>7071</v>
      </c>
      <c r="B5631" s="6" t="s">
        <v>7078</v>
      </c>
      <c r="C5631" s="5" t="str">
        <f>IFERROR(__xludf.DUMMYFUNCTION("GOOGLETRANSLATE(B5631,""en"",""zh-CN"")"),"女人和年轻的女孩，每个女孩都再次和一只狗一起停在草地，然后继续走路。")</f>
        <v>女人和年轻的女孩，每个女孩都再次和一只狗一起停在草地，然后继续走路。</v>
      </c>
    </row>
    <row r="5632">
      <c r="A5632" s="4" t="s">
        <v>7079</v>
      </c>
      <c r="B5632" s="4" t="s">
        <v>7080</v>
      </c>
      <c r="C5632" s="5" t="str">
        <f>IFERROR(__xludf.DUMMYFUNCTION("GOOGLETRANSLATE(B5632,""en"",""zh-CN"")"),"我们看到一个黑暗的标题屏幕。")</f>
        <v>我们看到一个黑暗的标题屏幕。</v>
      </c>
    </row>
    <row r="5633">
      <c r="A5633" s="4" t="s">
        <v>7079</v>
      </c>
      <c r="B5633" s="4" t="s">
        <v>7081</v>
      </c>
      <c r="C5633" s="5" t="str">
        <f>IFERROR(__xludf.DUMMYFUNCTION("GOOGLETRANSLATE(B5633,""en"",""zh-CN"")"),"我们在屏幕上看到标题，并看到男人。")</f>
        <v>我们在屏幕上看到标题，并看到男人。</v>
      </c>
    </row>
    <row r="5634">
      <c r="A5634" s="4" t="s">
        <v>7079</v>
      </c>
      <c r="B5634" s="4" t="s">
        <v>7082</v>
      </c>
      <c r="C5634" s="5" t="str">
        <f>IFERROR(__xludf.DUMMYFUNCTION("GOOGLETRANSLATE(B5634,""en"",""zh-CN"")"),"我们看到两个人在戒指上与MMA战斗。")</f>
        <v>我们看到两个人在戒指上与MMA战斗。</v>
      </c>
    </row>
    <row r="5635">
      <c r="A5635" s="4" t="s">
        <v>7079</v>
      </c>
      <c r="B5635" s="4" t="s">
        <v>7083</v>
      </c>
      <c r="C5635" s="5" t="str">
        <f>IFERROR(__xludf.DUMMYFUNCTION("GOOGLETRANSLATE(B5635,""en"",""zh-CN"")"),"大个子正在失去对小男人的抓地力。")</f>
        <v>大个子正在失去对小男人的抓地力。</v>
      </c>
    </row>
    <row r="5636">
      <c r="A5636" s="4" t="s">
        <v>7079</v>
      </c>
      <c r="B5636" s="4" t="s">
        <v>7084</v>
      </c>
      <c r="C5636" s="5" t="str">
        <f>IFERROR(__xludf.DUMMYFUNCTION("GOOGLETRANSLATE(B5636,""en"",""zh-CN"")"),"裁判来到男人身边，挥舞着他的手臂。")</f>
        <v>裁判来到男人身边，挥舞着他的手臂。</v>
      </c>
    </row>
    <row r="5637">
      <c r="A5637" s="4" t="s">
        <v>7079</v>
      </c>
      <c r="B5637" s="4" t="s">
        <v>7085</v>
      </c>
      <c r="C5637" s="5" t="str">
        <f>IFERROR(__xludf.DUMMYFUNCTION("GOOGLETRANSLATE(B5637,""en"",""zh-CN"")"),"我们在屏幕上看到了游戏的结果。")</f>
        <v>我们在屏幕上看到了游戏的结果。</v>
      </c>
    </row>
    <row r="5638">
      <c r="A5638" s="4" t="s">
        <v>7079</v>
      </c>
      <c r="B5638" s="4" t="s">
        <v>7086</v>
      </c>
      <c r="C5638" s="5" t="str">
        <f>IFERROR(__xludf.DUMMYFUNCTION("GOOGLETRANSLATE(B5638,""en"",""zh-CN"")"),"较小的战斗机拥抱另一个男人。")</f>
        <v>较小的战斗机拥抱另一个男人。</v>
      </c>
    </row>
    <row r="5639">
      <c r="A5639" s="4" t="s">
        <v>7079</v>
      </c>
      <c r="B5639" s="4" t="s">
        <v>7087</v>
      </c>
      <c r="C5639" s="5" t="str">
        <f>IFERROR(__xludf.DUMMYFUNCTION("GOOGLETRANSLATE(B5639,""en"",""zh-CN"")"),"然后，我们看到结束的终点。")</f>
        <v>然后，我们看到结束的终点。</v>
      </c>
    </row>
    <row r="5640">
      <c r="A5640" s="4" t="s">
        <v>7088</v>
      </c>
      <c r="B5640" s="4" t="s">
        <v>7089</v>
      </c>
      <c r="C5640" s="5" t="str">
        <f>IFERROR(__xludf.DUMMYFUNCTION("GOOGLETRANSLATE(B5640,""en"",""zh-CN"")"),"一群人在巴黎展示了旱冰鞋。")</f>
        <v>一群人在巴黎展示了旱冰鞋。</v>
      </c>
    </row>
    <row r="5641">
      <c r="A5641" s="4" t="s">
        <v>7088</v>
      </c>
      <c r="B5641" s="6" t="s">
        <v>7090</v>
      </c>
      <c r="C5641" s="5" t="str">
        <f>IFERROR(__xludf.DUMMYFUNCTION("GOOGLETRANSLATE(B5641,""en"",""zh-CN"")"),"它们正在缓慢移动，并且有很多人在通过时看着相机。")</f>
        <v>它们正在缓慢移动，并且有很多人在通过时看着相机。</v>
      </c>
    </row>
    <row r="5642">
      <c r="A5642" s="4" t="s">
        <v>7088</v>
      </c>
      <c r="B5642" s="4" t="s">
        <v>7091</v>
      </c>
      <c r="C5642" s="5" t="str">
        <f>IFERROR(__xludf.DUMMYFUNCTION("GOOGLETRANSLATE(B5642,""en"",""zh-CN"")"),"随着观众的前进，游行继续。")</f>
        <v>随着观众的前进，游行继续。</v>
      </c>
    </row>
    <row r="5643">
      <c r="A5643" s="4" t="s">
        <v>7088</v>
      </c>
      <c r="B5643" s="4" t="s">
        <v>7092</v>
      </c>
      <c r="C5643" s="5" t="str">
        <f>IFERROR(__xludf.DUMMYFUNCTION("GOOGLETRANSLATE(B5643,""en"",""zh-CN"")"),"该视频切成滚筒的侧面角度。")</f>
        <v>该视频切成滚筒的侧面角度。</v>
      </c>
    </row>
    <row r="5644">
      <c r="A5644" s="4" t="s">
        <v>7088</v>
      </c>
      <c r="B5644" s="6" t="s">
        <v>7093</v>
      </c>
      <c r="C5644" s="5" t="str">
        <f>IFERROR(__xludf.DUMMYFUNCTION("GOOGLETRANSLATE(B5644,""en"",""zh-CN"")"),"显示了另一个侧镜头，并随着视频淡化为黑色，有几辆警车和几辆护送车呈现出来。")</f>
        <v>显示了另一个侧镜头，并随着视频淡化为黑色，有几辆警车和几辆护送车呈现出来。</v>
      </c>
    </row>
    <row r="5645">
      <c r="A5645" s="4" t="s">
        <v>7094</v>
      </c>
      <c r="B5645" s="4" t="s">
        <v>7095</v>
      </c>
      <c r="C5645" s="5" t="str">
        <f>IFERROR(__xludf.DUMMYFUNCTION("GOOGLETRANSLATE(B5645,""en"",""zh-CN"")"),"一个人正在录制电视节目中的斗牛赛事。")</f>
        <v>一个人正在录制电视节目中的斗牛赛事。</v>
      </c>
    </row>
    <row r="5646">
      <c r="A5646" s="4" t="s">
        <v>7094</v>
      </c>
      <c r="B5646" s="6" t="s">
        <v>7096</v>
      </c>
      <c r="C5646" s="5" t="str">
        <f>IFERROR(__xludf.DUMMYFUNCTION("GOOGLETRANSLATE(B5646,""en"",""zh-CN"")"),"战斗场面是一个大型开放竞技场，里面充满了成千上万的观众欢呼。")</f>
        <v>战斗场面是一个大型开放竞技场，里面充满了成千上万的观众欢呼。</v>
      </c>
    </row>
    <row r="5647">
      <c r="A5647" s="4" t="s">
        <v>7094</v>
      </c>
      <c r="B5647" s="6" t="s">
        <v>7097</v>
      </c>
      <c r="C5647" s="5" t="str">
        <f>IFERROR(__xludf.DUMMYFUNCTION("GOOGLETRANSLATE(B5647,""en"",""zh-CN"")"),"两只愤怒的公牛在斗牛士试图将公牛遏制在指定区域内时不断敲打头。")</f>
        <v>两只愤怒的公牛在斗牛士试图将公牛遏制在指定区域内时不断敲打头。</v>
      </c>
    </row>
    <row r="5648">
      <c r="A5648" s="4" t="s">
        <v>7094</v>
      </c>
      <c r="B5648" s="4" t="s">
        <v>7098</v>
      </c>
      <c r="C5648" s="5" t="str">
        <f>IFERROR(__xludf.DUMMYFUNCTION("GOOGLETRANSLATE(B5648,""en"",""zh-CN"")"),"随着活动的进行，人群继续为之加油。")</f>
        <v>随着活动的进行，人群继续为之加油。</v>
      </c>
    </row>
    <row r="5649">
      <c r="A5649" s="4" t="s">
        <v>7099</v>
      </c>
      <c r="B5649" s="4" t="s">
        <v>7100</v>
      </c>
      <c r="C5649" s="5" t="str">
        <f>IFERROR(__xludf.DUMMYFUNCTION("GOOGLETRANSLATE(B5649,""en"",""zh-CN"")"),"一个简介导致一个拿着手风琴的女人和一个穿着婚纱的女人在她旁边。")</f>
        <v>一个简介导致一个拿着手风琴的女人和一个穿着婚纱的女人在她旁边。</v>
      </c>
    </row>
    <row r="5650">
      <c r="A5650" s="4" t="s">
        <v>7099</v>
      </c>
      <c r="B5650" s="6" t="s">
        <v>7101</v>
      </c>
      <c r="C5650" s="5" t="str">
        <f>IFERROR(__xludf.DUMMYFUNCTION("GOOGLETRANSLATE(B5650,""en"",""zh-CN"")"),"然后，该名女子开始演奏乐器，而其他人则站在她周围，看着和其他人一起玩。")</f>
        <v>然后，该名女子开始演奏乐器，而其他人则站在她周围，看着和其他人一起玩。</v>
      </c>
    </row>
    <row r="5651">
      <c r="A5651" s="4" t="s">
        <v>7102</v>
      </c>
      <c r="B5651" s="4" t="s">
        <v>7103</v>
      </c>
      <c r="C5651" s="5" t="str">
        <f>IFERROR(__xludf.DUMMYFUNCTION("GOOGLETRANSLATE(B5651,""en"",""zh-CN"")"),"一个女人正在将白色奶油涂在她的额头和脸颊上。")</f>
        <v>一个女人正在将白色奶油涂在她的额头和脸颊上。</v>
      </c>
    </row>
    <row r="5652">
      <c r="A5652" s="4" t="s">
        <v>7102</v>
      </c>
      <c r="B5652" s="4" t="s">
        <v>7104</v>
      </c>
      <c r="C5652" s="5" t="str">
        <f>IFERROR(__xludf.DUMMYFUNCTION("GOOGLETRANSLATE(B5652,""en"",""zh-CN"")"),"她将其散开，使其平滑。")</f>
        <v>她将其散开，使其平滑。</v>
      </c>
    </row>
    <row r="5653">
      <c r="A5653" s="4" t="s">
        <v>7105</v>
      </c>
      <c r="B5653" s="4" t="s">
        <v>7106</v>
      </c>
      <c r="C5653" s="5" t="str">
        <f>IFERROR(__xludf.DUMMYFUNCTION("GOOGLETRANSLATE(B5653,""en"",""zh-CN"")"),"一个男人刺穿女人的脸颊。")</f>
        <v>一个男人刺穿女人的脸颊。</v>
      </c>
    </row>
    <row r="5654">
      <c r="A5654" s="4" t="s">
        <v>7105</v>
      </c>
      <c r="B5654" s="4" t="s">
        <v>7107</v>
      </c>
      <c r="C5654" s="5" t="str">
        <f>IFERROR(__xludf.DUMMYFUNCTION("GOOGLETRANSLATE(B5654,""en"",""zh-CN"")"),"她伸出舌头，然后完成。")</f>
        <v>她伸出舌头，然后完成。</v>
      </c>
    </row>
    <row r="5655">
      <c r="A5655" s="4" t="s">
        <v>7108</v>
      </c>
      <c r="B5655" s="4" t="s">
        <v>7109</v>
      </c>
      <c r="C5655" s="5" t="str">
        <f>IFERROR(__xludf.DUMMYFUNCTION("GOOGLETRANSLATE(B5655,""en"",""zh-CN"")"),"一个人的腿在桌子上打蜡。")</f>
        <v>一个人的腿在桌子上打蜡。</v>
      </c>
    </row>
    <row r="5656">
      <c r="A5656" s="4" t="s">
        <v>7108</v>
      </c>
      <c r="B5656" s="4" t="s">
        <v>7110</v>
      </c>
      <c r="C5656" s="5" t="str">
        <f>IFERROR(__xludf.DUMMYFUNCTION("GOOGLETRANSLATE(B5656,""en"",""zh-CN"")"),"他们在腿上擦一些乳液。")</f>
        <v>他们在腿上擦一些乳液。</v>
      </c>
    </row>
    <row r="5657">
      <c r="A5657" s="4" t="s">
        <v>7108</v>
      </c>
      <c r="B5657" s="4" t="s">
        <v>7111</v>
      </c>
      <c r="C5657" s="5" t="str">
        <f>IFERROR(__xludf.DUMMYFUNCTION("GOOGLETRANSLATE(B5657,""en"",""zh-CN"")"),"他们显示干净的蜡腿。")</f>
        <v>他们显示干净的蜡腿。</v>
      </c>
    </row>
    <row r="5658">
      <c r="A5658" s="4" t="s">
        <v>7112</v>
      </c>
      <c r="B5658" s="4" t="s">
        <v>7113</v>
      </c>
      <c r="C5658" s="5" t="str">
        <f>IFERROR(__xludf.DUMMYFUNCTION("GOOGLETRANSLATE(B5658,""en"",""zh-CN"")"),"看到一个男人主持一个新闻部门，导致他与另外两个人交谈。")</f>
        <v>看到一个男人主持一个新闻部门，导致他与另外两个人交谈。</v>
      </c>
    </row>
    <row r="5659">
      <c r="A5659" s="4" t="s">
        <v>7112</v>
      </c>
      <c r="B5659" s="4" t="s">
        <v>7114</v>
      </c>
      <c r="C5659" s="5" t="str">
        <f>IFERROR(__xludf.DUMMYFUNCTION("GOOGLETRANSLATE(B5659,""en"",""zh-CN"")"),"镜头显示了一个年轻人和父亲在旁边看着游泳池。")</f>
        <v>镜头显示了一个年轻人和父亲在旁边看着游泳池。</v>
      </c>
    </row>
    <row r="5660">
      <c r="A5660" s="4" t="s">
        <v>7112</v>
      </c>
      <c r="B5660" s="4" t="s">
        <v>7115</v>
      </c>
      <c r="C5660" s="5" t="str">
        <f>IFERROR(__xludf.DUMMYFUNCTION("GOOGLETRANSLATE(B5660,""en"",""zh-CN"")"),"当他的父亲看着新闻主持人时，该男子继续演奏。")</f>
        <v>当他的父亲看着新闻主持人时，该男子继续演奏。</v>
      </c>
    </row>
    <row r="5661">
      <c r="A5661" s="4" t="s">
        <v>7116</v>
      </c>
      <c r="B5661" s="4" t="s">
        <v>7117</v>
      </c>
      <c r="C5661" s="5" t="str">
        <f>IFERROR(__xludf.DUMMYFUNCTION("GOOGLETRANSLATE(B5661,""en"",""zh-CN"")"),"看到一个女人和一个小男孩一起走到秋千上，把他放在秋千上。")</f>
        <v>看到一个女人和一个小男孩一起走到秋千上，把他放在秋千上。</v>
      </c>
    </row>
    <row r="5662">
      <c r="A5662" s="4" t="s">
        <v>7116</v>
      </c>
      <c r="B5662" s="6" t="s">
        <v>7118</v>
      </c>
      <c r="C5662" s="5" t="str">
        <f>IFERROR(__xludf.DUMMYFUNCTION("GOOGLETRANSLATE(B5662,""en"",""zh-CN"")"),"几名与孩子们在一起的女人彼此之间和孩子们一起玩耍，与孩子一起玩。")</f>
        <v>几名与孩子们在一起的女人彼此之间和孩子们一起玩耍，与孩子一起玩。</v>
      </c>
    </row>
    <row r="5663">
      <c r="A5663" s="4" t="s">
        <v>7119</v>
      </c>
      <c r="B5663" s="6" t="s">
        <v>7120</v>
      </c>
      <c r="C5663" s="5" t="str">
        <f>IFERROR(__xludf.DUMMYFUNCTION("GOOGLETRANSLATE(B5663,""en"",""zh-CN"")"),"一位女厨师在厨房，在厨房的柜台和食材前展示如何准备沙拉。")</f>
        <v>一位女厨师在厨房，在厨房的柜台和食材前展示如何准备沙拉。</v>
      </c>
    </row>
    <row r="5664">
      <c r="A5664" s="4" t="s">
        <v>7119</v>
      </c>
      <c r="B5664" s="6" t="s">
        <v>7121</v>
      </c>
      <c r="C5664" s="5" t="str">
        <f>IFERROR(__xludf.DUMMYFUNCTION("GOOGLETRANSLATE(B5664,""en"",""zh-CN"")"),"一个女人站在厨房柜台前，上面放着果岭，奶酪，蔬菜和油，然后与镜头交谈。")</f>
        <v>一个女人站在厨房柜台前，上面放着果岭，奶酪，蔬菜和油，然后与镜头交谈。</v>
      </c>
    </row>
    <row r="5665">
      <c r="A5665" s="4" t="s">
        <v>7119</v>
      </c>
      <c r="B5665" s="6" t="s">
        <v>7122</v>
      </c>
      <c r="C5665" s="5" t="str">
        <f>IFERROR(__xludf.DUMMYFUNCTION("GOOGLETRANSLATE(B5665,""en"",""zh-CN"")"),"该名女子开始切割果岭，然后将它们放在白色的碗里，然后转动将烤箱烤的布鲁塞尔芽从烤箱中拉出。")</f>
        <v>该名女子开始切割果岭，然后将它们放在白色的碗里，然后转动将烤箱烤的布鲁塞尔芽从烤箱中拉出。</v>
      </c>
    </row>
    <row r="5666">
      <c r="A5666" s="4" t="s">
        <v>7119</v>
      </c>
      <c r="B5666" s="6" t="s">
        <v>7123</v>
      </c>
      <c r="C5666" s="5" t="str">
        <f>IFERROR(__xludf.DUMMYFUNCTION("GOOGLETRANSLATE(B5666,""en"",""zh-CN"")"),"然后，该名女子挤压和橙色，然后将橙汁倒在沙拉上，并在现场逐渐消失之前，将橙汁和油脂与布鲁塞尔新芽和油倒入。")</f>
        <v>然后，该名女子挤压和橙色，然后将橙汁倒在沙拉上，并在现场逐渐消失之前，将橙汁和油脂与布鲁塞尔新芽和油倒入。</v>
      </c>
    </row>
    <row r="5667">
      <c r="A5667" s="4" t="s">
        <v>7124</v>
      </c>
      <c r="B5667" s="4" t="s">
        <v>7125</v>
      </c>
      <c r="C5667" s="5" t="str">
        <f>IFERROR(__xludf.DUMMYFUNCTION("GOOGLETRANSLATE(B5667,""en"",""zh-CN"")"),"看到一个男人在俱乐部里跳舞，抓住一个女人。")</f>
        <v>看到一个男人在俱乐部里跳舞，抓住一个女人。</v>
      </c>
    </row>
    <row r="5668">
      <c r="A5668" s="4" t="s">
        <v>7124</v>
      </c>
      <c r="B5668" s="4" t="s">
        <v>7126</v>
      </c>
      <c r="C5668" s="5" t="str">
        <f>IFERROR(__xludf.DUMMYFUNCTION("GOOGLETRANSLATE(B5668,""en"",""zh-CN"")"),"然后，男人和女人在俱乐部中间开始互相跳舞。")</f>
        <v>然后，男人和女人在俱乐部中间开始互相跳舞。</v>
      </c>
    </row>
    <row r="5669">
      <c r="A5669" s="4" t="s">
        <v>7124</v>
      </c>
      <c r="B5669" s="4" t="s">
        <v>7127</v>
      </c>
      <c r="C5669" s="5" t="str">
        <f>IFERROR(__xludf.DUMMYFUNCTION("GOOGLETRANSLATE(B5669,""en"",""zh-CN"")"),"他们继续互相跳舞，而其他人在他们旁边跳舞。")</f>
        <v>他们继续互相跳舞，而其他人在他们旁边跳舞。</v>
      </c>
    </row>
    <row r="5670">
      <c r="A5670" s="4" t="s">
        <v>7128</v>
      </c>
      <c r="B5670" s="4" t="s">
        <v>7129</v>
      </c>
      <c r="C5670" s="5" t="str">
        <f>IFERROR(__xludf.DUMMYFUNCTION("GOOGLETRANSLATE(B5670,""en"",""zh-CN"")"),"看到一个女人的特写镜头看着远处并拿着飞镖。")</f>
        <v>看到一个女人的特写镜头看着远处并拿着飞镖。</v>
      </c>
    </row>
    <row r="5671">
      <c r="A5671" s="4" t="s">
        <v>7128</v>
      </c>
      <c r="B5671" s="4" t="s">
        <v>7130</v>
      </c>
      <c r="C5671" s="5" t="str">
        <f>IFERROR(__xludf.DUMMYFUNCTION("GOOGLETRANSLATE(B5671,""en"",""zh-CN"")"),"她把飞镖扔到木板上，并近距离出现。")</f>
        <v>她把飞镖扔到木板上，并近距离出现。</v>
      </c>
    </row>
    <row r="5672">
      <c r="A5672" s="4" t="s">
        <v>7128</v>
      </c>
      <c r="B5672" s="4" t="s">
        <v>7131</v>
      </c>
      <c r="C5672" s="5" t="str">
        <f>IFERROR(__xludf.DUMMYFUNCTION("GOOGLETRANSLATE(B5672,""en"",""zh-CN"")"),"那个女人然后握紧她的拳头，她的投掷再次显示。")</f>
        <v>那个女人然后握紧她的拳头，她的投掷再次显示。</v>
      </c>
    </row>
    <row r="5673">
      <c r="A5673" s="4" t="s">
        <v>7132</v>
      </c>
      <c r="B5673" s="4" t="s">
        <v>7133</v>
      </c>
      <c r="C5673" s="5" t="str">
        <f>IFERROR(__xludf.DUMMYFUNCTION("GOOGLETRANSLATE(B5673,""en"",""zh-CN"")"),"两支球队在一个充满人的体育场里投掷。")</f>
        <v>两支球队在一个充满人的体育场里投掷。</v>
      </c>
    </row>
    <row r="5674">
      <c r="A5674" s="4" t="s">
        <v>7132</v>
      </c>
      <c r="B5674" s="4" t="s">
        <v>7134</v>
      </c>
      <c r="C5674" s="5" t="str">
        <f>IFERROR(__xludf.DUMMYFUNCTION("GOOGLETRANSLATE(B5674,""en"",""zh-CN"")"),"球员用棍子打球，球队继续比赛。")</f>
        <v>球员用棍子打球，球队继续比赛。</v>
      </c>
    </row>
    <row r="5675">
      <c r="A5675" s="4" t="s">
        <v>7132</v>
      </c>
      <c r="B5675" s="4" t="s">
        <v>7135</v>
      </c>
      <c r="C5675" s="5" t="str">
        <f>IFERROR(__xludf.DUMMYFUNCTION("GOOGLETRANSLATE(B5675,""en"",""zh-CN"")"),"两名球员在空中争论球，然后他们继续打球。")</f>
        <v>两名球员在空中争论球，然后他们继续打球。</v>
      </c>
    </row>
    <row r="5676">
      <c r="A5676" s="4" t="s">
        <v>7136</v>
      </c>
      <c r="B5676" s="6" t="s">
        <v>7137</v>
      </c>
      <c r="C5676" s="5" t="str">
        <f>IFERROR(__xludf.DUMMYFUNCTION("GOOGLETRANSLATE(B5676,""en"",""zh-CN"")"),"看到一大批人站在沙坑周围握手，彼此交谈。")</f>
        <v>看到一大批人站在沙坑周围握手，彼此交谈。</v>
      </c>
    </row>
    <row r="5677">
      <c r="A5677" s="4" t="s">
        <v>7136</v>
      </c>
      <c r="B5677" s="4" t="s">
        <v>7138</v>
      </c>
      <c r="C5677" s="5" t="str">
        <f>IFERROR(__xludf.DUMMYFUNCTION("GOOGLETRANSLATE(B5677,""en"",""zh-CN"")"),"然后，这些人互相开始足球比赛，并在进球时欢呼。")</f>
        <v>然后，这些人互相开始足球比赛，并在进球时欢呼。</v>
      </c>
    </row>
    <row r="5678">
      <c r="A5678" s="4" t="s">
        <v>7136</v>
      </c>
      <c r="B5678" s="6" t="s">
        <v>7139</v>
      </c>
      <c r="C5678" s="5" t="str">
        <f>IFERROR(__xludf.DUMMYFUNCTION("GOOGLETRANSLATE(B5678,""en"",""zh-CN"")"),"当观众欢呼时，这些人继续互相比赛，裁判站在一边。")</f>
        <v>当观众欢呼时，这些人继续互相比赛，裁判站在一边。</v>
      </c>
    </row>
    <row r="5679">
      <c r="A5679" s="4" t="s">
        <v>7140</v>
      </c>
      <c r="B5679" s="4" t="s">
        <v>7141</v>
      </c>
      <c r="C5679" s="5" t="str">
        <f>IFERROR(__xludf.DUMMYFUNCTION("GOOGLETRANSLATE(B5679,""en"",""zh-CN"")"),"男人在斯凯特公园里穿着高跷。")</f>
        <v>男人在斯凯特公园里穿着高跷。</v>
      </c>
    </row>
    <row r="5680">
      <c r="A5680" s="4" t="s">
        <v>7140</v>
      </c>
      <c r="B5680" s="4" t="s">
        <v>7142</v>
      </c>
      <c r="C5680" s="5" t="str">
        <f>IFERROR(__xludf.DUMMYFUNCTION("GOOGLETRANSLATE(B5680,""en"",""zh-CN"")"),"另一个男人正在与滑板公园中的第一个男人一起跳。")</f>
        <v>另一个男人正在与滑板公园中的第一个男人一起跳。</v>
      </c>
    </row>
    <row r="5681">
      <c r="A5681" s="4" t="s">
        <v>7140</v>
      </c>
      <c r="B5681" s="4" t="s">
        <v>7143</v>
      </c>
      <c r="C5681" s="5" t="str">
        <f>IFERROR(__xludf.DUMMYFUNCTION("GOOGLETRANSLATE(B5681,""en"",""zh-CN"")"),"滑板公园里的人正在跑步，而汽车在街上经过。")</f>
        <v>滑板公园里的人正在跑步，而汽车在街上经过。</v>
      </c>
    </row>
    <row r="5682">
      <c r="A5682" s="4" t="s">
        <v>7144</v>
      </c>
      <c r="B5682" s="4" t="s">
        <v>7145</v>
      </c>
      <c r="C5682" s="5" t="str">
        <f>IFERROR(__xludf.DUMMYFUNCTION("GOOGLETRANSLATE(B5682,""en"",""zh-CN"")"),"女人的手被表明包裹着东西。")</f>
        <v>女人的手被表明包裹着东西。</v>
      </c>
    </row>
    <row r="5683">
      <c r="A5683" s="4" t="s">
        <v>7144</v>
      </c>
      <c r="B5683" s="4" t="s">
        <v>7146</v>
      </c>
      <c r="C5683" s="5" t="str">
        <f>IFERROR(__xludf.DUMMYFUNCTION("GOOGLETRANSLATE(B5683,""en"",""zh-CN"")"),"那个女人和镜头说话。")</f>
        <v>那个女人和镜头说话。</v>
      </c>
    </row>
    <row r="5684">
      <c r="A5684" s="4" t="s">
        <v>7144</v>
      </c>
      <c r="B5684" s="4" t="s">
        <v>7147</v>
      </c>
      <c r="C5684" s="5" t="str">
        <f>IFERROR(__xludf.DUMMYFUNCTION("GOOGLETRANSLATE(B5684,""en"",""zh-CN"")"),"显示了此操作必要设备的特写镜头。")</f>
        <v>显示了此操作必要设备的特写镜头。</v>
      </c>
    </row>
    <row r="5685">
      <c r="A5685" s="4" t="s">
        <v>7144</v>
      </c>
      <c r="B5685" s="4" t="s">
        <v>7148</v>
      </c>
      <c r="C5685" s="5" t="str">
        <f>IFERROR(__xludf.DUMMYFUNCTION("GOOGLETRANSLATE(B5685,""en"",""zh-CN"")"),"女人用薄纸和胶带包裹一本书。")</f>
        <v>女人用薄纸和胶带包裹一本书。</v>
      </c>
    </row>
    <row r="5686">
      <c r="A5686" s="4" t="s">
        <v>7144</v>
      </c>
      <c r="B5686" s="4" t="s">
        <v>7149</v>
      </c>
      <c r="C5686" s="5" t="str">
        <f>IFERROR(__xludf.DUMMYFUNCTION("GOOGLETRANSLATE(B5686,""en"",""zh-CN"")"),"女人切成纸来为这本书形成。")</f>
        <v>女人切成纸来为这本书形成。</v>
      </c>
    </row>
    <row r="5687">
      <c r="A5687" s="4" t="s">
        <v>7144</v>
      </c>
      <c r="B5687" s="4" t="s">
        <v>7150</v>
      </c>
      <c r="C5687" s="5" t="str">
        <f>IFERROR(__xludf.DUMMYFUNCTION("GOOGLETRANSLATE(B5687,""en"",""zh-CN"")"),"女人用纸和胶带包裹这本书。")</f>
        <v>女人用纸和胶带包裹这本书。</v>
      </c>
    </row>
    <row r="5688">
      <c r="A5688" s="4" t="s">
        <v>7144</v>
      </c>
      <c r="B5688" s="4" t="s">
        <v>7151</v>
      </c>
      <c r="C5688" s="5" t="str">
        <f>IFERROR(__xludf.DUMMYFUNCTION("GOOGLETRANSLATE(B5688,""en"",""zh-CN"")"),"那个女人与整个相机交谈，拿着包裹着的彩带。")</f>
        <v>那个女人与整个相机交谈，拿着包裹着的彩带。</v>
      </c>
    </row>
    <row r="5689">
      <c r="A5689" s="4" t="s">
        <v>7144</v>
      </c>
      <c r="B5689" s="4" t="s">
        <v>7152</v>
      </c>
      <c r="C5689" s="5" t="str">
        <f>IFERROR(__xludf.DUMMYFUNCTION("GOOGLETRANSLATE(B5689,""en"",""zh-CN"")"),"显示了包裹和彩带的书籍的特写。")</f>
        <v>显示了包裹和彩带的书籍的特写。</v>
      </c>
    </row>
    <row r="5690">
      <c r="A5690" s="4" t="s">
        <v>7153</v>
      </c>
      <c r="B5690" s="6" t="s">
        <v>7154</v>
      </c>
      <c r="C5690" s="5" t="str">
        <f>IFERROR(__xludf.DUMMYFUNCTION("GOOGLETRANSLATE(B5690,""en"",""zh-CN"")"),"看到一小群人坐在赌场桌子周围，彼此说话并玩扑克游戏。")</f>
        <v>看到一小群人坐在赌场桌子周围，彼此说话并玩扑克游戏。</v>
      </c>
    </row>
    <row r="5691">
      <c r="A5691" s="4" t="s">
        <v>7153</v>
      </c>
      <c r="B5691" s="6" t="s">
        <v>7155</v>
      </c>
      <c r="C5691" s="5" t="str">
        <f>IFERROR(__xludf.DUMMYFUNCTION("GOOGLETRANSLATE(B5691,""en"",""zh-CN"")"),"许多人在旁边看着卡片，而人们将筹码放在中间。")</f>
        <v>许多人在旁边看着卡片，而人们将筹码放在中间。</v>
      </c>
    </row>
    <row r="5692">
      <c r="A5692" s="4" t="s">
        <v>7153</v>
      </c>
      <c r="B5692" s="4" t="s">
        <v>7156</v>
      </c>
      <c r="C5692" s="5" t="str">
        <f>IFERROR(__xludf.DUMMYFUNCTION("GOOGLETRANSLATE(B5692,""en"",""zh-CN"")"),"当摄像机朝一个人的脸上摇晃时，显示了更多游戏的镜头。")</f>
        <v>当摄像机朝一个人的脸上摇晃时，显示了更多游戏的镜头。</v>
      </c>
    </row>
    <row r="5693">
      <c r="A5693" s="4" t="s">
        <v>7157</v>
      </c>
      <c r="B5693" s="4" t="s">
        <v>7158</v>
      </c>
      <c r="C5693" s="5" t="str">
        <f>IFERROR(__xludf.DUMMYFUNCTION("GOOGLETRANSLATE(B5693,""en"",""zh-CN"")"),"一位女士在办公室里说话，拿着粉红色的物品。")</f>
        <v>一位女士在办公室里说话，拿着粉红色的物品。</v>
      </c>
    </row>
    <row r="5694">
      <c r="A5694" s="4" t="s">
        <v>7157</v>
      </c>
      <c r="B5694" s="4" t="s">
        <v>7159</v>
      </c>
      <c r="C5694" s="5" t="str">
        <f>IFERROR(__xludf.DUMMYFUNCTION("GOOGLETRANSLATE(B5694,""en"",""zh-CN"")"),"女士将粉红色的物品扔到地板上的游戏板上。")</f>
        <v>女士将粉红色的物品扔到地板上的游戏板上。</v>
      </c>
    </row>
    <row r="5695">
      <c r="A5695" s="4" t="s">
        <v>7157</v>
      </c>
      <c r="B5695" s="4" t="s">
        <v>7160</v>
      </c>
      <c r="C5695" s="5" t="str">
        <f>IFERROR(__xludf.DUMMYFUNCTION("GOOGLETRANSLATE(B5695,""en"",""zh-CN"")"),"然后，她跳了跳跃，拿起粉红色的物品。")</f>
        <v>然后，她跳了跳跃，拿起粉红色的物品。</v>
      </c>
    </row>
    <row r="5696">
      <c r="A5696" s="4" t="s">
        <v>7157</v>
      </c>
      <c r="B5696" s="4" t="s">
        <v>7161</v>
      </c>
      <c r="C5696" s="5" t="str">
        <f>IFERROR(__xludf.DUMMYFUNCTION("GOOGLETRANSLATE(B5696,""en"",""zh-CN"")"),"她再次扔掉它，再次跳跃，返回拿起粉红色的物品。")</f>
        <v>她再次扔掉它，再次跳跃，返回拿起粉红色的物品。</v>
      </c>
    </row>
    <row r="5697">
      <c r="A5697" s="4" t="s">
        <v>7162</v>
      </c>
      <c r="B5697" s="4" t="s">
        <v>7163</v>
      </c>
      <c r="C5697" s="5" t="str">
        <f>IFERROR(__xludf.DUMMYFUNCTION("GOOGLETRANSLATE(B5697,""en"",""zh-CN"")"),"一个人在excerise机器上运行。")</f>
        <v>一个人在excerise机器上运行。</v>
      </c>
    </row>
    <row r="5698">
      <c r="A5698" s="4" t="s">
        <v>7162</v>
      </c>
      <c r="B5698" s="4" t="s">
        <v>7164</v>
      </c>
      <c r="C5698" s="5" t="str">
        <f>IFERROR(__xludf.DUMMYFUNCTION("GOOGLETRANSLATE(B5698,""en"",""zh-CN"")"),"相机放大了脚。")</f>
        <v>相机放大了脚。</v>
      </c>
    </row>
    <row r="5699">
      <c r="A5699" s="4" t="s">
        <v>7162</v>
      </c>
      <c r="B5699" s="4" t="s">
        <v>7165</v>
      </c>
      <c r="C5699" s="5" t="str">
        <f>IFERROR(__xludf.DUMMYFUNCTION("GOOGLETRANSLATE(B5699,""en"",""zh-CN"")"),"摄像机向右缓慢地盘。")</f>
        <v>摄像机向右缓慢地盘。</v>
      </c>
    </row>
    <row r="5700">
      <c r="A5700" s="4" t="s">
        <v>7166</v>
      </c>
      <c r="B5700" s="4" t="s">
        <v>7167</v>
      </c>
      <c r="C5700" s="5" t="str">
        <f>IFERROR(__xludf.DUMMYFUNCTION("GOOGLETRANSLATE(B5700,""en"",""zh-CN"")"),"一个男人戴上厨师帽子，而厨师老师如何做饭。")</f>
        <v>一个男人戴上厨师帽子，而厨师老师如何做饭。</v>
      </c>
    </row>
    <row r="5701">
      <c r="A5701" s="4" t="s">
        <v>7166</v>
      </c>
      <c r="B5701" s="6" t="s">
        <v>7168</v>
      </c>
      <c r="C5701" s="5" t="str">
        <f>IFERROR(__xludf.DUMMYFUNCTION("GOOGLETRANSLATE(B5701,""en"",""zh-CN"")"),"根据厨师的命令，她将各种成分混合在一起，并密切关注他的指示。")</f>
        <v>根据厨师的命令，她将各种成分混合在一起，并密切关注他的指示。</v>
      </c>
    </row>
    <row r="5702">
      <c r="A5702" s="4" t="s">
        <v>7166</v>
      </c>
      <c r="B5702" s="6" t="s">
        <v>7169</v>
      </c>
      <c r="C5702" s="5" t="str">
        <f>IFERROR(__xludf.DUMMYFUNCTION("GOOGLETRANSLATE(B5702,""en"",""zh-CN"")"),"这个女孩制作了一批可爱的饼干，发现自己最终喜欢他们以及其他人的陪伴。")</f>
        <v>这个女孩制作了一批可爱的饼干，发现自己最终喜欢他们以及其他人的陪伴。</v>
      </c>
    </row>
    <row r="5703">
      <c r="A5703" s="4" t="s">
        <v>7170</v>
      </c>
      <c r="B5703" s="4" t="s">
        <v>7171</v>
      </c>
      <c r="C5703" s="5" t="str">
        <f>IFERROR(__xludf.DUMMYFUNCTION("GOOGLETRANSLATE(B5703,""en"",""zh-CN"")"),"几个人站在一起代替相机。")</f>
        <v>几个人站在一起代替相机。</v>
      </c>
    </row>
    <row r="5704">
      <c r="A5704" s="4" t="s">
        <v>7170</v>
      </c>
      <c r="B5704" s="6" t="s">
        <v>7172</v>
      </c>
      <c r="C5704" s="5" t="str">
        <f>IFERROR(__xludf.DUMMYFUNCTION("GOOGLETRANSLATE(B5704,""en"",""zh-CN"")"),"表演Capoeira演示的多人的场景在背景和前景中显示出观众。")</f>
        <v>表演Capoeira演示的多人的场景在背景和前景中显示出观众。</v>
      </c>
    </row>
    <row r="5705">
      <c r="A5705" s="4" t="s">
        <v>7173</v>
      </c>
      <c r="B5705" s="4" t="s">
        <v>7174</v>
      </c>
      <c r="C5705" s="5" t="str">
        <f>IFERROR(__xludf.DUMMYFUNCTION("GOOGLETRANSLATE(B5705,""en"",""zh-CN"")"),"一个老人在用斧头砍倒的树上切碎。")</f>
        <v>一个老人在用斧头砍倒的树上切碎。</v>
      </c>
    </row>
    <row r="5706">
      <c r="A5706" s="4" t="s">
        <v>7173</v>
      </c>
      <c r="B5706" s="4" t="s">
        <v>7175</v>
      </c>
      <c r="C5706" s="5" t="str">
        <f>IFERROR(__xludf.DUMMYFUNCTION("GOOGLETRANSLATE(B5706,""en"",""zh-CN"")"),"他正在努力，没有取得太大进展。")</f>
        <v>他正在努力，没有取得太大进展。</v>
      </c>
    </row>
    <row r="5707">
      <c r="A5707" s="4" t="s">
        <v>7173</v>
      </c>
      <c r="B5707" s="4" t="s">
        <v>7176</v>
      </c>
      <c r="C5707" s="5" t="str">
        <f>IFERROR(__xludf.DUMMYFUNCTION("GOOGLETRANSLATE(B5707,""en"",""zh-CN"")"),"他似乎很沮丧，并且正在一次又一次地砍树。")</f>
        <v>他似乎很沮丧，并且正在一次又一次地砍树。</v>
      </c>
    </row>
    <row r="5708">
      <c r="A5708" s="4" t="s">
        <v>7173</v>
      </c>
      <c r="B5708" s="4" t="s">
        <v>7177</v>
      </c>
      <c r="C5708" s="5" t="str">
        <f>IFERROR(__xludf.DUMMYFUNCTION("GOOGLETRANSLATE(B5708,""en"",""zh-CN"")"),"然后，他看着相机和微笑，然后继续试图砍伐树。")</f>
        <v>然后，他看着相机和微笑，然后继续试图砍伐树。</v>
      </c>
    </row>
    <row r="5709">
      <c r="A5709" s="4" t="s">
        <v>7173</v>
      </c>
      <c r="B5709" s="4" t="s">
        <v>7178</v>
      </c>
      <c r="C5709" s="5" t="str">
        <f>IFERROR(__xludf.DUMMYFUNCTION("GOOGLETRANSLATE(B5709,""en"",""zh-CN"")"),"他再次停下来，凝视着相机。")</f>
        <v>他再次停下来，凝视着相机。</v>
      </c>
    </row>
    <row r="5710">
      <c r="A5710" s="4" t="s">
        <v>7173</v>
      </c>
      <c r="B5710" s="4" t="s">
        <v>7179</v>
      </c>
      <c r="C5710" s="5" t="str">
        <f>IFERROR(__xludf.DUMMYFUNCTION("GOOGLETRANSLATE(B5710,""en"",""zh-CN"")"),"在放大之前，向他展示了一个特写镜头。")</f>
        <v>在放大之前，向他展示了一个特写镜头。</v>
      </c>
    </row>
    <row r="5711">
      <c r="A5711" s="4" t="s">
        <v>7173</v>
      </c>
      <c r="B5711" s="4" t="s">
        <v>7180</v>
      </c>
      <c r="C5711" s="5" t="str">
        <f>IFERROR(__xludf.DUMMYFUNCTION("GOOGLETRANSLATE(B5711,""en"",""zh-CN"")"),"然后，随着他的继续，相机将放大到他的脸上。")</f>
        <v>然后，随着他的继续，相机将放大到他的脸上。</v>
      </c>
    </row>
    <row r="5712">
      <c r="A5712" s="4" t="s">
        <v>7181</v>
      </c>
      <c r="B5712" s="4" t="s">
        <v>7182</v>
      </c>
      <c r="C5712" s="5" t="str">
        <f>IFERROR(__xludf.DUMMYFUNCTION("GOOGLETRANSLATE(B5712,""en"",""zh-CN"")"),"三名女性出现在屏幕上，在锻炼工作室里进行部落舞蹈。")</f>
        <v>三名女性出现在屏幕上，在锻炼工作室里进行部落舞蹈。</v>
      </c>
    </row>
    <row r="5713">
      <c r="A5713" s="4" t="s">
        <v>7181</v>
      </c>
      <c r="B5713" s="4" t="s">
        <v>7183</v>
      </c>
      <c r="C5713" s="5" t="str">
        <f>IFERROR(__xludf.DUMMYFUNCTION("GOOGLETRANSLATE(B5713,""en"",""zh-CN"")"),"其中一位女性在音乐中播放时表演独奏。")</f>
        <v>其中一位女性在音乐中播放时表演独奏。</v>
      </c>
    </row>
    <row r="5714">
      <c r="A5714" s="4" t="s">
        <v>7181</v>
      </c>
      <c r="B5714" s="6" t="s">
        <v>7184</v>
      </c>
      <c r="C5714" s="5" t="str">
        <f>IFERROR(__xludf.DUMMYFUNCTION("GOOGLETRANSLATE(B5714,""en"",""zh-CN"")"),"这三个女人再次在舞台上进行舞蹈，而其他人则在舞台前进行相同的舞蹈。")</f>
        <v>这三个女人再次在舞台上进行舞蹈，而其他人则在舞台前进行相同的舞蹈。</v>
      </c>
    </row>
    <row r="5715">
      <c r="A5715" s="4" t="s">
        <v>7181</v>
      </c>
      <c r="B5715" s="4" t="s">
        <v>7185</v>
      </c>
      <c r="C5715" s="5" t="str">
        <f>IFERROR(__xludf.DUMMYFUNCTION("GOOGLETRANSLATE(B5715,""en"",""zh-CN"")"),"女子三人回到屏幕上，继续在工作室里舞动。")</f>
        <v>女子三人回到屏幕上，继续在工作室里舞动。</v>
      </c>
    </row>
    <row r="5716">
      <c r="A5716" s="4" t="s">
        <v>7181</v>
      </c>
      <c r="B5716" s="4" t="s">
        <v>7186</v>
      </c>
      <c r="C5716" s="5" t="str">
        <f>IFERROR(__xludf.DUMMYFUNCTION("GOOGLETRANSLATE(B5716,""en"",""zh-CN"")"),"当摄像机拍摄他们时，他们出现在舞台上进行舞蹈。")</f>
        <v>当摄像机拍摄他们时，他们出现在舞台上进行舞蹈。</v>
      </c>
    </row>
    <row r="5717">
      <c r="A5717" s="4" t="s">
        <v>7181</v>
      </c>
      <c r="B5717" s="6" t="s">
        <v>7187</v>
      </c>
      <c r="C5717" s="5" t="str">
        <f>IFERROR(__xludf.DUMMYFUNCTION("GOOGLETRANSLATE(B5717,""en"",""zh-CN"")"),"相机在他们在舞台上进行舞蹈和舞台上的舞蹈之间来回走动。")</f>
        <v>相机在他们在舞台上进行舞蹈和舞台上的舞蹈之间来回走动。</v>
      </c>
    </row>
    <row r="5718">
      <c r="A5718" s="4" t="s">
        <v>7188</v>
      </c>
      <c r="B5718" s="4" t="s">
        <v>7189</v>
      </c>
      <c r="C5718" s="5" t="str">
        <f>IFERROR(__xludf.DUMMYFUNCTION("GOOGLETRANSLATE(B5718,""en"",""zh-CN"")"),"两个男人在室内健身房内。")</f>
        <v>两个男人在室内健身房内。</v>
      </c>
    </row>
    <row r="5719">
      <c r="A5719" s="4" t="s">
        <v>7188</v>
      </c>
      <c r="B5719" s="4" t="s">
        <v>7190</v>
      </c>
      <c r="C5719" s="5" t="str">
        <f>IFERROR(__xludf.DUMMYFUNCTION("GOOGLETRANSLATE(B5719,""en"",""zh-CN"")"),"他们从事称为跆拳道的武术。")</f>
        <v>他们从事称为跆拳道的武术。</v>
      </c>
    </row>
    <row r="5720">
      <c r="A5720" s="4" t="s">
        <v>7188</v>
      </c>
      <c r="B5720" s="4" t="s">
        <v>7191</v>
      </c>
      <c r="C5720" s="5" t="str">
        <f>IFERROR(__xludf.DUMMYFUNCTION("GOOGLETRANSLATE(B5720,""en"",""zh-CN"")"),"他们互相踢，试图互相击打。")</f>
        <v>他们互相踢，试图互相击打。</v>
      </c>
    </row>
    <row r="5721">
      <c r="A5721" s="4" t="s">
        <v>7192</v>
      </c>
      <c r="B5721" s="4" t="s">
        <v>7193</v>
      </c>
      <c r="C5721" s="5" t="str">
        <f>IFERROR(__xludf.DUMMYFUNCTION("GOOGLETRANSLATE(B5721,""en"",""zh-CN"")"),"两个家伙在镜头上愚蠢地说话，头上缠着东西。")</f>
        <v>两个家伙在镜头上愚蠢地说话，头上缠着东西。</v>
      </c>
    </row>
    <row r="5722">
      <c r="A5722" s="4" t="s">
        <v>7192</v>
      </c>
      <c r="B5722" s="4" t="s">
        <v>7194</v>
      </c>
      <c r="C5722" s="5" t="str">
        <f>IFERROR(__xludf.DUMMYFUNCTION("GOOGLETRANSLATE(B5722,""en"",""zh-CN"")"),"然后，您会看到每个人都在玩啤酒乒乓球，在开玩笑和跳舞之外度过了愉快的时光。")</f>
        <v>然后，您会看到每个人都在玩啤酒乒乓球，在开玩笑和跳舞之外度过了愉快的时光。</v>
      </c>
    </row>
    <row r="5723">
      <c r="A5723" s="4" t="s">
        <v>7192</v>
      </c>
      <c r="B5723" s="4" t="s">
        <v>7195</v>
      </c>
      <c r="C5723" s="5" t="str">
        <f>IFERROR(__xludf.DUMMYFUNCTION("GOOGLETRANSLATE(B5723,""en"",""zh-CN"")"),"一个小组开始拍照，每个人都穿着真的很有趣。")</f>
        <v>一个小组开始拍照，每个人都穿着真的很有趣。</v>
      </c>
    </row>
    <row r="5724">
      <c r="A5724" s="4" t="s">
        <v>7192</v>
      </c>
      <c r="B5724" s="6" t="s">
        <v>7196</v>
      </c>
      <c r="C5724" s="5" t="str">
        <f>IFERROR(__xludf.DUMMYFUNCTION("GOOGLETRANSLATE(B5724,""en"",""zh-CN"")"),"其中一个帅哥从相机上轻弹，每个人都继续扮演蜜蜂，并疯狂地享受自己的时光。")</f>
        <v>其中一个帅哥从相机上轻弹，每个人都继续扮演蜜蜂，并疯狂地享受自己的时光。</v>
      </c>
    </row>
    <row r="5725">
      <c r="A5725" s="4" t="s">
        <v>7197</v>
      </c>
      <c r="B5725" s="6" t="s">
        <v>7198</v>
      </c>
      <c r="C5725" s="5" t="str">
        <f>IFERROR(__xludf.DUMMYFUNCTION("GOOGLETRANSLATE(B5725,""en"",""zh-CN"")"),"显示了几次打篮球的人，并导致了两个人展示了一个动作。")</f>
        <v>显示了几次打篮球的人，并导致了两个人展示了一个动作。</v>
      </c>
    </row>
    <row r="5726">
      <c r="A5726" s="4" t="s">
        <v>7197</v>
      </c>
      <c r="B5726" s="4" t="s">
        <v>7199</v>
      </c>
      <c r="C5726" s="5" t="str">
        <f>IFERROR(__xludf.DUMMYFUNCTION("GOOGLETRANSLATE(B5726,""en"",""zh-CN"")"),"从各个角度和讲师如何完成同一动作。")</f>
        <v>从各个角度和讲师如何完成同一动作。</v>
      </c>
    </row>
    <row r="5727">
      <c r="A5727" s="4" t="s">
        <v>7197</v>
      </c>
      <c r="B5727" s="4" t="s">
        <v>7200</v>
      </c>
      <c r="C5727" s="5" t="str">
        <f>IFERROR(__xludf.DUMMYFUNCTION("GOOGLETRANSLATE(B5727,""en"",""zh-CN"")"),"显示了更多技巧以及有关如何正确执行的逐步指导。")</f>
        <v>显示了更多技巧以及有关如何正确执行的逐步指导。</v>
      </c>
    </row>
    <row r="5728">
      <c r="A5728" s="4" t="s">
        <v>7201</v>
      </c>
      <c r="B5728" s="4" t="s">
        <v>7202</v>
      </c>
      <c r="C5728" s="5" t="str">
        <f>IFERROR(__xludf.DUMMYFUNCTION("GOOGLETRANSLATE(B5728,""en"",""zh-CN"")"),"一个女人站在厨房里的一系列糖果后面。")</f>
        <v>一个女人站在厨房里的一系列糖果后面。</v>
      </c>
    </row>
    <row r="5729">
      <c r="A5729" s="4" t="s">
        <v>7201</v>
      </c>
      <c r="B5729" s="4" t="s">
        <v>7203</v>
      </c>
      <c r="C5729" s="5" t="str">
        <f>IFERROR(__xludf.DUMMYFUNCTION("GOOGLETRANSLATE(B5729,""en"",""zh-CN"")"),"显示了几种不同的蛋糕流行音乐。")</f>
        <v>显示了几种不同的蛋糕流行音乐。</v>
      </c>
    </row>
    <row r="5730">
      <c r="A5730" s="4" t="s">
        <v>7201</v>
      </c>
      <c r="B5730" s="4" t="s">
        <v>7204</v>
      </c>
      <c r="C5730" s="5" t="str">
        <f>IFERROR(__xludf.DUMMYFUNCTION("GOOGLETRANSLATE(B5730,""en"",""zh-CN"")"),"配料在混合成分旁边显示。")</f>
        <v>配料在混合成分旁边显示。</v>
      </c>
    </row>
    <row r="5731">
      <c r="A5731" s="4" t="s">
        <v>7201</v>
      </c>
      <c r="B5731" s="4" t="s">
        <v>7205</v>
      </c>
      <c r="C5731" s="5" t="str">
        <f>IFERROR(__xludf.DUMMYFUNCTION("GOOGLETRANSLATE(B5731,""en"",""zh-CN"")"),"女人把蛋糕碎成碗，然后在说话时添加糖霜。")</f>
        <v>女人把蛋糕碎成碗，然后在说话时添加糖霜。</v>
      </c>
    </row>
    <row r="5732">
      <c r="A5732" s="4" t="s">
        <v>7201</v>
      </c>
      <c r="B5732" s="4" t="s">
        <v>7206</v>
      </c>
      <c r="C5732" s="5" t="str">
        <f>IFERROR(__xludf.DUMMYFUNCTION("GOOGLETRANSLATE(B5732,""en"",""zh-CN"")"),"她允许他们坐在融化糖果涂层之前，然后将蛋糕球浸入其中。")</f>
        <v>她允许他们坐在融化糖果涂层之前，然后将蛋糕球浸入其中。</v>
      </c>
    </row>
    <row r="5733">
      <c r="A5733" s="4" t="s">
        <v>7201</v>
      </c>
      <c r="B5733" s="4" t="s">
        <v>7207</v>
      </c>
      <c r="C5733" s="5" t="str">
        <f>IFERROR(__xludf.DUMMYFUNCTION("GOOGLETRANSLATE(B5733,""en"",""zh-CN"")"),"她在最后阶段装饰了蛋糕球。")</f>
        <v>她在最后阶段装饰了蛋糕球。</v>
      </c>
    </row>
    <row r="5734">
      <c r="A5734" s="4" t="s">
        <v>7201</v>
      </c>
      <c r="B5734" s="4" t="s">
        <v>7208</v>
      </c>
      <c r="C5734" s="5" t="str">
        <f>IFERROR(__xludf.DUMMYFUNCTION("GOOGLETRANSLATE(B5734,""en"",""zh-CN"")"),"当她结束细分市场时，显示了最终的蛋糕流行音乐。")</f>
        <v>当她结束细分市场时，显示了最终的蛋糕流行音乐。</v>
      </c>
    </row>
    <row r="5735">
      <c r="A5735" s="4" t="s">
        <v>7209</v>
      </c>
      <c r="B5735" s="4" t="s">
        <v>7210</v>
      </c>
      <c r="C5735" s="5" t="str">
        <f>IFERROR(__xludf.DUMMYFUNCTION("GOOGLETRANSLATE(B5735,""en"",""zh-CN"")"),"一个女人在健身房里抬起并蹲下，肩膀上有杠铃。")</f>
        <v>一个女人在健身房里抬起并蹲下，肩膀上有杠铃。</v>
      </c>
    </row>
    <row r="5736">
      <c r="A5736" s="4" t="s">
        <v>7209</v>
      </c>
      <c r="B5736" s="4" t="s">
        <v>7211</v>
      </c>
      <c r="C5736" s="5" t="str">
        <f>IFERROR(__xludf.DUMMYFUNCTION("GOOGLETRANSLATE(B5736,""en"",""zh-CN"")"),"她抬起，然后一遍又一遍地坐着。")</f>
        <v>她抬起，然后一遍又一遍地坐着。</v>
      </c>
    </row>
    <row r="5737">
      <c r="A5737" s="4" t="s">
        <v>7212</v>
      </c>
      <c r="B5737" s="4" t="s">
        <v>7213</v>
      </c>
      <c r="C5737" s="5" t="str">
        <f>IFERROR(__xludf.DUMMYFUNCTION("GOOGLETRANSLATE(B5737,""en"",""zh-CN"")"),"穿着黑色衬衫的男人拿着萨克斯管。")</f>
        <v>穿着黑色衬衫的男人拿着萨克斯管。</v>
      </c>
    </row>
    <row r="5738">
      <c r="A5738" s="4" t="s">
        <v>7212</v>
      </c>
      <c r="B5738" s="4" t="s">
        <v>7214</v>
      </c>
      <c r="C5738" s="5" t="str">
        <f>IFERROR(__xludf.DUMMYFUNCTION("GOOGLETRANSLATE(B5738,""en"",""zh-CN"")"),"他开始演奏萨克斯管。")</f>
        <v>他开始演奏萨克斯管。</v>
      </c>
    </row>
    <row r="5739">
      <c r="A5739" s="4" t="s">
        <v>7212</v>
      </c>
      <c r="B5739" s="4" t="s">
        <v>7215</v>
      </c>
      <c r="C5739" s="5" t="str">
        <f>IFERROR(__xludf.DUMMYFUNCTION("GOOGLETRANSLATE(B5739,""en"",""zh-CN"")"),"他停止比赛并继续说话。")</f>
        <v>他停止比赛并继续说话。</v>
      </c>
    </row>
    <row r="5740">
      <c r="A5740" s="4" t="s">
        <v>7216</v>
      </c>
      <c r="B5740" s="6" t="s">
        <v>7217</v>
      </c>
      <c r="C5740" s="5" t="str">
        <f>IFERROR(__xludf.DUMMYFUNCTION("GOOGLETRANSLATE(B5740,""en"",""zh-CN"")"),"介绍会导致在木板上放置的各种成分的几镜，然后一组削减了某些成分。")</f>
        <v>介绍会导致在木板上放置的各种成分的几镜，然后一组削减了某些成分。</v>
      </c>
    </row>
    <row r="5741">
      <c r="A5741" s="4" t="s">
        <v>7216</v>
      </c>
      <c r="B5741" s="4" t="s">
        <v>7218</v>
      </c>
      <c r="C5741" s="5" t="str">
        <f>IFERROR(__xludf.DUMMYFUNCTION("GOOGLETRANSLATE(B5741,""en"",""zh-CN"")"),"然后，一个人将一些奶酪分成一个碗中，然后打开意大利面。")</f>
        <v>然后，一个人将一些奶酪分成一个碗中，然后打开意大利面。</v>
      </c>
    </row>
    <row r="5742">
      <c r="A5742" s="4" t="s">
        <v>7216</v>
      </c>
      <c r="B5742" s="6" t="s">
        <v>7219</v>
      </c>
      <c r="C5742" s="5" t="str">
        <f>IFERROR(__xludf.DUMMYFUNCTION("GOOGLETRANSLATE(B5742,""en"",""zh-CN"")"),"他们将意大利面放入碗中，并炸虾，并将所有成分放在一个锅中。")</f>
        <v>他们将意大利面放入碗中，并炸虾，并将所有成分放在一个锅中。</v>
      </c>
    </row>
    <row r="5743">
      <c r="A5743" s="4" t="s">
        <v>7216</v>
      </c>
      <c r="B5743" s="4" t="s">
        <v>7220</v>
      </c>
      <c r="C5743" s="5" t="str">
        <f>IFERROR(__xludf.DUMMYFUNCTION("GOOGLETRANSLATE(B5743,""en"",""zh-CN"")"),"然后，该人将食物提供在盘子上，并在屏幕上出现文字。")</f>
        <v>然后，该人将食物提供在盘子上，并在屏幕上出现文字。</v>
      </c>
    </row>
    <row r="5744">
      <c r="A5744" s="4" t="s">
        <v>7221</v>
      </c>
      <c r="B5744" s="4" t="s">
        <v>7222</v>
      </c>
      <c r="C5744" s="5" t="str">
        <f>IFERROR(__xludf.DUMMYFUNCTION("GOOGLETRANSLATE(B5744,""en"",""zh-CN"")"),"标题出现并消失了。")</f>
        <v>标题出现并消失了。</v>
      </c>
    </row>
    <row r="5745">
      <c r="A5745" s="4" t="s">
        <v>7221</v>
      </c>
      <c r="B5745" s="4" t="s">
        <v>7223</v>
      </c>
      <c r="C5745" s="5" t="str">
        <f>IFERROR(__xludf.DUMMYFUNCTION("GOOGLETRANSLATE(B5745,""en"",""zh-CN"")"),"我们看到一个男人拉近他的头。")</f>
        <v>我们看到一个男人拉近他的头。</v>
      </c>
    </row>
    <row r="5746">
      <c r="A5746" s="4" t="s">
        <v>7221</v>
      </c>
      <c r="B5746" s="4" t="s">
        <v>7224</v>
      </c>
      <c r="C5746" s="5" t="str">
        <f>IFERROR(__xludf.DUMMYFUNCTION("GOOGLETRANSLATE(B5746,""en"",""zh-CN"")"),"三个人在镜子里经过。")</f>
        <v>三个人在镜子里经过。</v>
      </c>
    </row>
    <row r="5747">
      <c r="A5747" s="4" t="s">
        <v>7221</v>
      </c>
      <c r="B5747" s="4" t="s">
        <v>7225</v>
      </c>
      <c r="C5747" s="5" t="str">
        <f>IFERROR(__xludf.DUMMYFUNCTION("GOOGLETRANSLATE(B5747,""en"",""zh-CN"")"),"相机放大了主要主题。")</f>
        <v>相机放大了主要主题。</v>
      </c>
    </row>
    <row r="5748">
      <c r="A5748" s="4" t="s">
        <v>7221</v>
      </c>
      <c r="B5748" s="4" t="s">
        <v>7226</v>
      </c>
      <c r="C5748" s="5" t="str">
        <f>IFERROR(__xludf.DUMMYFUNCTION("GOOGLETRANSLATE(B5748,""en"",""zh-CN"")"),"一个灰色的男人走过镜子。")</f>
        <v>一个灰色的男人走过镜子。</v>
      </c>
    </row>
    <row r="5749">
      <c r="A5749" s="4" t="s">
        <v>7221</v>
      </c>
      <c r="B5749" s="4" t="s">
        <v>7227</v>
      </c>
      <c r="C5749" s="5" t="str">
        <f>IFERROR(__xludf.DUMMYFUNCTION("GOOGLETRANSLATE(B5749,""en"",""zh-CN"")"),"屏幕变黑了，我们看到了最终积分。")</f>
        <v>屏幕变黑了，我们看到了最终积分。</v>
      </c>
    </row>
    <row r="5750">
      <c r="A5750" s="4" t="s">
        <v>7228</v>
      </c>
      <c r="B5750" s="4" t="s">
        <v>7229</v>
      </c>
      <c r="C5750" s="5" t="str">
        <f>IFERROR(__xludf.DUMMYFUNCTION("GOOGLETRANSLATE(B5750,""en"",""zh-CN"")"),"显示了一瓶深清洁凝胶。")</f>
        <v>显示了一瓶深清洁凝胶。</v>
      </c>
    </row>
    <row r="5751">
      <c r="A5751" s="4" t="s">
        <v>7228</v>
      </c>
      <c r="B5751" s="6" t="s">
        <v>7230</v>
      </c>
      <c r="C5751" s="5" t="str">
        <f>IFERROR(__xludf.DUMMYFUNCTION("GOOGLETRANSLATE(B5751,""en"",""zh-CN"")"),"一个女人握住瓶子，然后使用几种不同的解决方案来显示她在柜台上排队在一起的解决方案。")</f>
        <v>一个女人握住瓶子，然后使用几种不同的解决方案来显示她在柜台上排队在一起的解决方案。</v>
      </c>
    </row>
    <row r="5752">
      <c r="A5752" s="4" t="s">
        <v>7228</v>
      </c>
      <c r="B5752" s="4" t="s">
        <v>7231</v>
      </c>
      <c r="C5752" s="5" t="str">
        <f>IFERROR(__xludf.DUMMYFUNCTION("GOOGLETRANSLATE(B5752,""en"",""zh-CN"")"),"她用每个人都在脸上冲洗掉。")</f>
        <v>她用每个人都在脸上冲洗掉。</v>
      </c>
    </row>
    <row r="5753">
      <c r="A5753" s="4" t="s">
        <v>7232</v>
      </c>
      <c r="B5753" s="4" t="s">
        <v>7233</v>
      </c>
      <c r="C5753" s="5" t="str">
        <f>IFERROR(__xludf.DUMMYFUNCTION("GOOGLETRANSLATE(B5753,""en"",""zh-CN"")"),"我们看到带有白色字母的蓝色标题屏幕。")</f>
        <v>我们看到带有白色字母的蓝色标题屏幕。</v>
      </c>
    </row>
    <row r="5754">
      <c r="A5754" s="4" t="s">
        <v>7232</v>
      </c>
      <c r="B5754" s="4" t="s">
        <v>7234</v>
      </c>
      <c r="C5754" s="5" t="str">
        <f>IFERROR(__xludf.DUMMYFUNCTION("GOOGLETRANSLATE(B5754,""en"",""zh-CN"")"),"我们看到两个女孩站在一个房间里，然后进行翻转。")</f>
        <v>我们看到两个女孩站在一个房间里，然后进行翻转。</v>
      </c>
    </row>
    <row r="5755">
      <c r="A5755" s="4" t="s">
        <v>7232</v>
      </c>
      <c r="B5755" s="4" t="s">
        <v>7235</v>
      </c>
      <c r="C5755" s="5" t="str">
        <f>IFERROR(__xludf.DUMMYFUNCTION("GOOGLETRANSLATE(B5755,""en"",""zh-CN"")"),"我们看到2个不同的女孩进行不同的翻转。")</f>
        <v>我们看到2个不同的女孩进行不同的翻转。</v>
      </c>
    </row>
    <row r="5756">
      <c r="A5756" s="4" t="s">
        <v>7232</v>
      </c>
      <c r="B5756" s="4" t="s">
        <v>7236</v>
      </c>
      <c r="C5756" s="5" t="str">
        <f>IFERROR(__xludf.DUMMYFUNCTION("GOOGLETRANSLATE(B5756,""en"",""zh-CN"")"),"一个女孩向后翻转。")</f>
        <v>一个女孩向后翻转。</v>
      </c>
    </row>
    <row r="5757">
      <c r="A5757" s="4" t="s">
        <v>7232</v>
      </c>
      <c r="B5757" s="4" t="s">
        <v>7237</v>
      </c>
      <c r="C5757" s="5" t="str">
        <f>IFERROR(__xludf.DUMMYFUNCTION("GOOGLETRANSLATE(B5757,""en"",""zh-CN"")"),"然后，我们看到四个女孩一起翻转。")</f>
        <v>然后，我们看到四个女孩一起翻转。</v>
      </c>
    </row>
    <row r="5758">
      <c r="A5758" s="4" t="s">
        <v>7238</v>
      </c>
      <c r="B5758" s="4" t="s">
        <v>7239</v>
      </c>
      <c r="C5758" s="5" t="str">
        <f>IFERROR(__xludf.DUMMYFUNCTION("GOOGLETRANSLATE(B5758,""en"",""zh-CN"")"),"我们看到一个黑色标题屏幕。")</f>
        <v>我们看到一个黑色标题屏幕。</v>
      </c>
    </row>
    <row r="5759">
      <c r="A5759" s="4" t="s">
        <v>7238</v>
      </c>
      <c r="B5759" s="4" t="s">
        <v>7240</v>
      </c>
      <c r="C5759" s="5" t="str">
        <f>IFERROR(__xludf.DUMMYFUNCTION("GOOGLETRANSLATE(B5759,""en"",""zh-CN"")"),"我们看到一个男人的面部头发用电动剃须刀修剪。")</f>
        <v>我们看到一个男人的面部头发用电动剃须刀修剪。</v>
      </c>
    </row>
    <row r="5760">
      <c r="A5760" s="4" t="s">
        <v>7238</v>
      </c>
      <c r="B5760" s="4" t="s">
        <v>7241</v>
      </c>
      <c r="C5760" s="5" t="str">
        <f>IFERROR(__xludf.DUMMYFUNCTION("GOOGLETRANSLATE(B5760,""en"",""zh-CN"")"),"我们看到一个男人被剃须刀剃光。")</f>
        <v>我们看到一个男人被剃须刀剃光。</v>
      </c>
    </row>
    <row r="5761">
      <c r="A5761" s="4" t="s">
        <v>7238</v>
      </c>
      <c r="B5761" s="4" t="s">
        <v>7242</v>
      </c>
      <c r="C5761" s="5" t="str">
        <f>IFERROR(__xludf.DUMMYFUNCTION("GOOGLETRANSLATE(B5761,""en"",""zh-CN"")"),"然后，我们看到关闭屏幕。")</f>
        <v>然后，我们看到关闭屏幕。</v>
      </c>
    </row>
    <row r="5762">
      <c r="A5762" s="4" t="s">
        <v>7243</v>
      </c>
      <c r="B5762" s="4" t="s">
        <v>7244</v>
      </c>
      <c r="C5762" s="5" t="str">
        <f>IFERROR(__xludf.DUMMYFUNCTION("GOOGLETRANSLATE(B5762,""en"",""zh-CN"")"),"一个男人走到杠铃上，弯腰，膝盖举起。")</f>
        <v>一个男人走到杠铃上，弯腰，膝盖举起。</v>
      </c>
    </row>
    <row r="5763">
      <c r="A5763" s="4" t="s">
        <v>7243</v>
      </c>
      <c r="B5763" s="4" t="s">
        <v>7245</v>
      </c>
      <c r="C5763" s="5" t="str">
        <f>IFERROR(__xludf.DUMMYFUNCTION("GOOGLETRANSLATE(B5763,""en"",""zh-CN"")"),"他将杠铃抬到胸前，休息了一会儿，然后将其抬到头上。")</f>
        <v>他将杠铃抬到胸前，休息了一会儿，然后将其抬到头上。</v>
      </c>
    </row>
    <row r="5764">
      <c r="A5764" s="4" t="s">
        <v>7243</v>
      </c>
      <c r="B5764" s="4" t="s">
        <v>7246</v>
      </c>
      <c r="C5764" s="5" t="str">
        <f>IFERROR(__xludf.DUMMYFUNCTION("GOOGLETRANSLATE(B5764,""en"",""zh-CN"")"),"他将姿势持续了几秒钟，然后将其放到地上。")</f>
        <v>他将姿势持续了几秒钟，然后将其放到地上。</v>
      </c>
    </row>
    <row r="5765">
      <c r="A5765" s="4" t="s">
        <v>7247</v>
      </c>
      <c r="B5765" s="4" t="s">
        <v>7248</v>
      </c>
      <c r="C5765" s="5" t="str">
        <f>IFERROR(__xludf.DUMMYFUNCTION("GOOGLETRANSLATE(B5765,""en"",""zh-CN"")"),"在烟熏室里看到阴影。")</f>
        <v>在烟熏室里看到阴影。</v>
      </c>
    </row>
    <row r="5766">
      <c r="A5766" s="4" t="s">
        <v>7247</v>
      </c>
      <c r="B5766" s="4" t="s">
        <v>7249</v>
      </c>
      <c r="C5766" s="5" t="str">
        <f>IFERROR(__xludf.DUMMYFUNCTION("GOOGLETRANSLATE(B5766,""en"",""zh-CN"")"),"一个女人正在洗个澡，洗头。")</f>
        <v>一个女人正在洗个澡，洗头。</v>
      </c>
    </row>
    <row r="5767">
      <c r="A5767" s="4" t="s">
        <v>7247</v>
      </c>
      <c r="B5767" s="4" t="s">
        <v>7250</v>
      </c>
      <c r="C5767" s="5" t="str">
        <f>IFERROR(__xludf.DUMMYFUNCTION("GOOGLETRANSLATE(B5767,""en"",""zh-CN"")"),"她将其分开，将护发素放在上面。")</f>
        <v>她将其分开，将护发素放在上面。</v>
      </c>
    </row>
    <row r="5768">
      <c r="A5768" s="4" t="s">
        <v>7251</v>
      </c>
      <c r="B5768" s="4" t="s">
        <v>7252</v>
      </c>
      <c r="C5768" s="5" t="str">
        <f>IFERROR(__xludf.DUMMYFUNCTION("GOOGLETRANSLATE(B5768,""en"",""zh-CN"")"),"看到一个女人在与镜头说话并坐在椅子上时戴着有趣的帽子。")</f>
        <v>看到一个女人在与镜头说话并坐在椅子上时戴着有趣的帽子。</v>
      </c>
    </row>
    <row r="5769">
      <c r="A5769" s="4" t="s">
        <v>7251</v>
      </c>
      <c r="B5769" s="4" t="s">
        <v>7253</v>
      </c>
      <c r="C5769" s="5" t="str">
        <f>IFERROR(__xludf.DUMMYFUNCTION("GOOGLETRANSLATE(B5769,""en"",""zh-CN"")"),"那个女人然后用另一张照片结尾，在椅子上编织。")</f>
        <v>那个女人然后用另一张照片结尾，在椅子上编织。</v>
      </c>
    </row>
    <row r="5770">
      <c r="A5770" s="4" t="s">
        <v>7254</v>
      </c>
      <c r="B5770" s="6" t="s">
        <v>7255</v>
      </c>
      <c r="C5770" s="5" t="str">
        <f>IFERROR(__xludf.DUMMYFUNCTION("GOOGLETRANSLATE(B5770,""en"",""zh-CN"")"),"一个小男孩坐在椅子上，穿着防护礼服，妈妈在家里用电剪子剪头。")</f>
        <v>一个小男孩坐在椅子上，穿着防护礼服，妈妈在家里用电剪子剪头。</v>
      </c>
    </row>
    <row r="5771">
      <c r="A5771" s="4" t="s">
        <v>7254</v>
      </c>
      <c r="B5771" s="4" t="s">
        <v>7256</v>
      </c>
      <c r="C5771" s="5" t="str">
        <f>IFERROR(__xludf.DUMMYFUNCTION("GOOGLETRANSLATE(B5771,""en"",""zh-CN"")"),"母亲用手指从男孩头上剪掉头发。")</f>
        <v>母亲用手指从男孩头上剪掉头发。</v>
      </c>
    </row>
    <row r="5772">
      <c r="A5772" s="4" t="s">
        <v>7254</v>
      </c>
      <c r="B5772" s="4" t="s">
        <v>7257</v>
      </c>
      <c r="C5772" s="5" t="str">
        <f>IFERROR(__xludf.DUMMYFUNCTION("GOOGLETRANSLATE(B5772,""en"",""zh-CN"")"),"看到一个女孩在房间里看着。")</f>
        <v>看到一个女孩在房间里看着。</v>
      </c>
    </row>
    <row r="5773">
      <c r="A5773" s="4" t="s">
        <v>7258</v>
      </c>
      <c r="B5773" s="6" t="s">
        <v>7259</v>
      </c>
      <c r="C5773" s="5" t="str">
        <f>IFERROR(__xludf.DUMMYFUNCTION("GOOGLETRANSLATE(B5773,""en"",""zh-CN"")"),"看到一个女人在举起鲍比销的同时，在相机上说话，然后将头发翻转下来并开始编织。")</f>
        <v>看到一个女人在举起鲍比销的同时，在相机上说话，然后将头发翻转下来并开始编织。</v>
      </c>
    </row>
    <row r="5774">
      <c r="A5774" s="4" t="s">
        <v>7258</v>
      </c>
      <c r="B5774" s="4" t="s">
        <v>7260</v>
      </c>
      <c r="C5774" s="5" t="str">
        <f>IFERROR(__xludf.DUMMYFUNCTION("GOOGLETRANSLATE(B5774,""en"",""zh-CN"")"),"然后，女孩将头发放在小马的尾巴上，将头发缠绕着双关语。")</f>
        <v>然后，女孩将头发放在小马的尾巴上，将头发缠绕着双关语。</v>
      </c>
    </row>
    <row r="5775">
      <c r="A5775" s="4" t="s">
        <v>7258</v>
      </c>
      <c r="B5775" s="4" t="s">
        <v>7261</v>
      </c>
      <c r="C5775" s="5" t="str">
        <f>IFERROR(__xludf.DUMMYFUNCTION("GOOGLETRANSLATE(B5775,""en"",""zh-CN"")"),"她终于将头发固定下来，然后在指向相机时炫耀头发。")</f>
        <v>她终于将头发固定下来，然后在指向相机时炫耀头发。</v>
      </c>
    </row>
    <row r="5776">
      <c r="A5776" s="4" t="s">
        <v>7262</v>
      </c>
      <c r="B5776" s="4" t="s">
        <v>7263</v>
      </c>
      <c r="C5776" s="5" t="str">
        <f>IFERROR(__xludf.DUMMYFUNCTION("GOOGLETRANSLATE(B5776,""en"",""zh-CN"")"),"一位女新闻记者正在新闻室说话。")</f>
        <v>一位女新闻记者正在新闻室说话。</v>
      </c>
    </row>
    <row r="5777">
      <c r="A5777" s="4" t="s">
        <v>7262</v>
      </c>
      <c r="B5777" s="4" t="s">
        <v>7264</v>
      </c>
      <c r="C5777" s="5" t="str">
        <f>IFERROR(__xludf.DUMMYFUNCTION("GOOGLETRANSLATE(B5777,""en"",""zh-CN"")"),"我们看到几个人在人群观看时骑马。")</f>
        <v>我们看到几个人在人群观看时骑马。</v>
      </c>
    </row>
    <row r="5778">
      <c r="A5778" s="4" t="s">
        <v>7262</v>
      </c>
      <c r="B5778" s="4" t="s">
        <v>7265</v>
      </c>
      <c r="C5778" s="5" t="str">
        <f>IFERROR(__xludf.DUMMYFUNCTION("GOOGLETRANSLATE(B5778,""en"",""zh-CN"")"),"人们在骑车时用棍子撞到袋子。")</f>
        <v>人们在骑车时用棍子撞到袋子。</v>
      </c>
    </row>
    <row r="5779">
      <c r="A5779" s="4" t="s">
        <v>7262</v>
      </c>
      <c r="B5779" s="4" t="s">
        <v>7266</v>
      </c>
      <c r="C5779" s="5" t="str">
        <f>IFERROR(__xludf.DUMMYFUNCTION("GOOGLETRANSLATE(B5779,""en"",""zh-CN"")"),"然后对人民进行有关游戏的采访，并显示一个男人被射击箭。")</f>
        <v>然后对人民进行有关游戏的采访，并显示一个男人被射击箭。</v>
      </c>
    </row>
    <row r="5780">
      <c r="A5780" s="4" t="s">
        <v>7267</v>
      </c>
      <c r="B5780" s="4" t="s">
        <v>7268</v>
      </c>
      <c r="C5780" s="5" t="str">
        <f>IFERROR(__xludf.DUMMYFUNCTION("GOOGLETRANSLATE(B5780,""en"",""zh-CN"")"),"男人在屋顶健身房举重。")</f>
        <v>男人在屋顶健身房举重。</v>
      </c>
    </row>
    <row r="5781">
      <c r="A5781" s="4" t="s">
        <v>7267</v>
      </c>
      <c r="B5781" s="4" t="s">
        <v>7269</v>
      </c>
      <c r="C5781" s="5" t="str">
        <f>IFERROR(__xludf.DUMMYFUNCTION("GOOGLETRANSLATE(B5781,""en"",""zh-CN"")"),"女人在看着男人的男人后面走路。")</f>
        <v>女人在看着男人的男人后面走路。</v>
      </c>
    </row>
    <row r="5782">
      <c r="A5782" s="4" t="s">
        <v>7267</v>
      </c>
      <c r="B5782" s="4" t="s">
        <v>7270</v>
      </c>
      <c r="C5782" s="5" t="str">
        <f>IFERROR(__xludf.DUMMYFUNCTION("GOOGLETRANSLATE(B5782,""en"",""zh-CN"")"),"女人坐在男人坐着看着她的同时举起八人。")</f>
        <v>女人坐在男人坐着看着她的同时举起八人。</v>
      </c>
    </row>
    <row r="5783">
      <c r="A5783" s="4" t="s">
        <v>7271</v>
      </c>
      <c r="B5783" s="4" t="s">
        <v>7272</v>
      </c>
      <c r="C5783" s="5" t="str">
        <f>IFERROR(__xludf.DUMMYFUNCTION("GOOGLETRANSLATE(B5783,""en"",""zh-CN"")"),"一个人站在外面拿着小提琴。")</f>
        <v>一个人站在外面拿着小提琴。</v>
      </c>
    </row>
    <row r="5784">
      <c r="A5784" s="4" t="s">
        <v>7271</v>
      </c>
      <c r="B5784" s="4" t="s">
        <v>7273</v>
      </c>
      <c r="C5784" s="5" t="str">
        <f>IFERROR(__xludf.DUMMYFUNCTION("GOOGLETRANSLATE(B5784,""en"",""zh-CN"")"),"他开始弹小提琴。")</f>
        <v>他开始弹小提琴。</v>
      </c>
    </row>
    <row r="5785">
      <c r="A5785" s="4" t="s">
        <v>7271</v>
      </c>
      <c r="B5785" s="4" t="s">
        <v>7274</v>
      </c>
      <c r="C5785" s="5" t="str">
        <f>IFERROR(__xludf.DUMMYFUNCTION("GOOGLETRANSLATE(B5785,""en"",""zh-CN"")"),"他停下来，将小提琴放到身边。")</f>
        <v>他停下来，将小提琴放到身边。</v>
      </c>
    </row>
    <row r="5786">
      <c r="A5786" s="4" t="s">
        <v>7275</v>
      </c>
      <c r="B5786" s="6" t="s">
        <v>7276</v>
      </c>
      <c r="C5786" s="5" t="str">
        <f>IFERROR(__xludf.DUMMYFUNCTION("GOOGLETRANSLATE(B5786,""en"",""zh-CN"")"),"有两个男人穿着白色衬衫，戴着帽子在室内体育场摔跤。")</f>
        <v>有两个男人穿着白色衬衫，戴着帽子在室内体育场摔跤。</v>
      </c>
    </row>
    <row r="5787">
      <c r="A5787" s="4" t="s">
        <v>7275</v>
      </c>
      <c r="B5787" s="6" t="s">
        <v>7277</v>
      </c>
      <c r="C5787" s="5" t="str">
        <f>IFERROR(__xludf.DUMMYFUNCTION("GOOGLETRANSLATE(B5787,""en"",""zh-CN"")"),"有几个观众看着他们，有些坐在椅子上，有些坐在地上。")</f>
        <v>有几个观众看着他们，有些坐在椅子上，有些坐在地上。</v>
      </c>
    </row>
    <row r="5788">
      <c r="A5788" s="4" t="s">
        <v>7275</v>
      </c>
      <c r="B5788" s="6" t="s">
        <v>7278</v>
      </c>
      <c r="C5788" s="5" t="str">
        <f>IFERROR(__xludf.DUMMYFUNCTION("GOOGLETRANSLATE(B5788,""en"",""zh-CN"")"),"有些人坐在椅子上演奏各种手乐器，并唱歌为战士加油。")</f>
        <v>有些人坐在椅子上演奏各种手乐器，并唱歌为战士加油。</v>
      </c>
    </row>
    <row r="5789">
      <c r="A5789" s="4" t="s">
        <v>7275</v>
      </c>
      <c r="B5789" s="6" t="s">
        <v>7279</v>
      </c>
      <c r="C5789" s="5" t="str">
        <f>IFERROR(__xludf.DUMMYFUNCTION("GOOGLETRANSLATE(B5789,""en"",""zh-CN"")"),"两人通过轮流攻击对手，继续以非侵略性的方式摔跤。")</f>
        <v>两人通过轮流攻击对手，继续以非侵略性的方式摔跤。</v>
      </c>
    </row>
    <row r="5790">
      <c r="A5790" s="4" t="s">
        <v>7275</v>
      </c>
      <c r="B5790" s="4" t="s">
        <v>7280</v>
      </c>
      <c r="C5790" s="5" t="str">
        <f>IFERROR(__xludf.DUMMYFUNCTION("GOOGLETRANSLATE(B5790,""en"",""zh-CN"")"),"他们继续战斗，就像一个人进行前翻。")</f>
        <v>他们继续战斗，就像一个人进行前翻。</v>
      </c>
    </row>
    <row r="5791">
      <c r="A5791" s="4" t="s">
        <v>7275</v>
      </c>
      <c r="B5791" s="4" t="s">
        <v>7281</v>
      </c>
      <c r="C5791" s="5" t="str">
        <f>IFERROR(__xludf.DUMMYFUNCTION("GOOGLETRANSLATE(B5791,""en"",""zh-CN"")"),"在最后一轮中，他们以更快的踢和动作加快了战斗。")</f>
        <v>在最后一轮中，他们以更快的踢和动作加快了战斗。</v>
      </c>
    </row>
    <row r="5792">
      <c r="A5792" s="4" t="s">
        <v>7282</v>
      </c>
      <c r="B5792" s="4" t="s">
        <v>7283</v>
      </c>
      <c r="C5792" s="5" t="str">
        <f>IFERROR(__xludf.DUMMYFUNCTION("GOOGLETRANSLATE(B5792,""en"",""zh-CN"")"),"一群男孩的凿子在沙滩上用手在沙滩上一个名字。")</f>
        <v>一群男孩的凿子在沙滩上用手在沙滩上一个名字。</v>
      </c>
    </row>
    <row r="5793">
      <c r="A5793" s="4" t="s">
        <v>7282</v>
      </c>
      <c r="B5793" s="4" t="s">
        <v>7284</v>
      </c>
      <c r="C5793" s="5" t="str">
        <f>IFERROR(__xludf.DUMMYFUNCTION("GOOGLETRANSLATE(B5793,""en"",""zh-CN"")"),"这些男孩把艺术品留下了一件男孩，穿着红色的T恤独自一人。")</f>
        <v>这些男孩把艺术品留下了一件男孩，穿着红色的T恤独自一人。</v>
      </c>
    </row>
    <row r="5794">
      <c r="A5794" s="4" t="s">
        <v>7282</v>
      </c>
      <c r="B5794" s="6" t="s">
        <v>7285</v>
      </c>
      <c r="C5794" s="5" t="str">
        <f>IFERROR(__xludf.DUMMYFUNCTION("GOOGLETRANSLATE(B5794,""en"",""zh-CN"")"),"两个男孩在圈子里带着两个沙子返回，并坐在艺术品旁边，他们努力将他们聚集的沙子围起来，而一群孩子聚集在一起观看。")</f>
        <v>两个男孩在圈子里带着两个沙子返回，并坐在艺术品旁边，他们努力将他们聚集的沙子围起来，而一群孩子聚集在一起观看。</v>
      </c>
    </row>
    <row r="5795">
      <c r="A5795" s="4" t="s">
        <v>7286</v>
      </c>
      <c r="B5795" s="6" t="s">
        <v>7287</v>
      </c>
      <c r="C5795" s="5" t="str">
        <f>IFERROR(__xludf.DUMMYFUNCTION("GOOGLETRANSLATE(B5795,""en"",""zh-CN"")"),"介绍会导致墙上的几镜涂鸦，以及人们四处走动并互相交谈。")</f>
        <v>介绍会导致墙上的几镜涂鸦，以及人们四处走动并互相交谈。</v>
      </c>
    </row>
    <row r="5796">
      <c r="A5796" s="4" t="s">
        <v>7286</v>
      </c>
      <c r="B5796" s="6" t="s">
        <v>7288</v>
      </c>
      <c r="C5796" s="5" t="str">
        <f>IFERROR(__xludf.DUMMYFUNCTION("GOOGLETRANSLATE(B5796,""en"",""zh-CN"")"),"然后看到说唱歌手从一个男人那里得到纹身，而相机捕捉到几个角度并展示艺术作品。")</f>
        <v>然后看到说唱歌手从一个男人那里得到纹身，而相机捕捉到几个角度并展示艺术作品。</v>
      </c>
    </row>
    <row r="5797">
      <c r="A5797" s="4" t="s">
        <v>7286</v>
      </c>
      <c r="B5797" s="6" t="s">
        <v>7289</v>
      </c>
      <c r="C5797" s="5" t="str">
        <f>IFERROR(__xludf.DUMMYFUNCTION("GOOGLETRANSLATE(B5797,""en"",""zh-CN"")"),"越来越多的人炫耀他们的纹身，说唱歌手指向相机，并展示完成的纹身和专辑封面。")</f>
        <v>越来越多的人炫耀他们的纹身，说唱歌手指向相机，并展示完成的纹身和专辑封面。</v>
      </c>
    </row>
    <row r="5798">
      <c r="A5798" s="4" t="s">
        <v>7290</v>
      </c>
      <c r="B5798" s="4" t="s">
        <v>7291</v>
      </c>
      <c r="C5798" s="5" t="str">
        <f>IFERROR(__xludf.DUMMYFUNCTION("GOOGLETRANSLATE(B5798,""en"",""zh-CN"")"),"乐队正在健身房练习。")</f>
        <v>乐队正在健身房练习。</v>
      </c>
    </row>
    <row r="5799">
      <c r="A5799" s="4" t="s">
        <v>7290</v>
      </c>
      <c r="B5799" s="4" t="s">
        <v>7292</v>
      </c>
      <c r="C5799" s="5" t="str">
        <f>IFERROR(__xludf.DUMMYFUNCTION("GOOGLETRANSLATE(B5799,""en"",""zh-CN"")"),"人们站在一条线上时是旋转的旗帜。")</f>
        <v>人们站在一条线上时是旋转的旗帜。</v>
      </c>
    </row>
    <row r="5800">
      <c r="A5800" s="4" t="s">
        <v>7290</v>
      </c>
      <c r="B5800" s="4" t="s">
        <v>7293</v>
      </c>
      <c r="C5800" s="5" t="str">
        <f>IFERROR(__xludf.DUMMYFUNCTION("GOOGLETRANSLATE(B5800,""en"",""zh-CN"")"),"鼓手在健身房周围游行。")</f>
        <v>鼓手在健身房周围游行。</v>
      </c>
    </row>
    <row r="5801">
      <c r="A5801" s="4" t="s">
        <v>7290</v>
      </c>
      <c r="B5801" s="4" t="s">
        <v>7294</v>
      </c>
      <c r="C5801" s="5" t="str">
        <f>IFERROR(__xludf.DUMMYFUNCTION("GOOGLETRANSLATE(B5801,""en"",""zh-CN"")"),"他们进入一条线，从健身房跳舞。")</f>
        <v>他们进入一条线，从健身房跳舞。</v>
      </c>
    </row>
    <row r="5802">
      <c r="A5802" s="4" t="s">
        <v>7295</v>
      </c>
      <c r="B5802" s="4" t="s">
        <v>7296</v>
      </c>
      <c r="C5802" s="5" t="str">
        <f>IFERROR(__xludf.DUMMYFUNCTION("GOOGLETRANSLATE(B5802,""en"",""zh-CN"")"),"看到一个人在相机上说话，并用水烟管吸烟。")</f>
        <v>看到一个人在相机上说话，并用水烟管吸烟。</v>
      </c>
    </row>
    <row r="5803">
      <c r="A5803" s="4" t="s">
        <v>7295</v>
      </c>
      <c r="B5803" s="6" t="s">
        <v>7297</v>
      </c>
      <c r="C5803" s="5" t="str">
        <f>IFERROR(__xludf.DUMMYFUNCTION("GOOGLETRANSLATE(B5803,""en"",""zh-CN"")"),"摄像机在该地区周围竖起，并继续与该男子说话，并导致一艘船驶过并近距离大火。")</f>
        <v>摄像机在该地区周围竖起，并继续与该男子说话，并导致一艘船驶过并近距离大火。</v>
      </c>
    </row>
    <row r="5804">
      <c r="A5804" s="4" t="s">
        <v>7298</v>
      </c>
      <c r="B5804" s="4" t="s">
        <v>7299</v>
      </c>
      <c r="C5804" s="5" t="str">
        <f>IFERROR(__xludf.DUMMYFUNCTION("GOOGLETRANSLATE(B5804,""en"",""zh-CN"")"),"一个女人开始在聚集的人群面前的男人旁边跳舞。")</f>
        <v>一个女人开始在聚集的人群面前的男人旁边跳舞。</v>
      </c>
    </row>
    <row r="5805">
      <c r="A5805" s="4" t="s">
        <v>7298</v>
      </c>
      <c r="B5805" s="4" t="s">
        <v>7300</v>
      </c>
      <c r="C5805" s="5" t="str">
        <f>IFERROR(__xludf.DUMMYFUNCTION("GOOGLETRANSLATE(B5805,""en"",""zh-CN"")"),"他们跳舞时旋转着旋转。")</f>
        <v>他们跳舞时旋转着旋转。</v>
      </c>
    </row>
    <row r="5806">
      <c r="A5806" s="4" t="s">
        <v>7298</v>
      </c>
      <c r="B5806" s="4" t="s">
        <v>7301</v>
      </c>
      <c r="C5806" s="5" t="str">
        <f>IFERROR(__xludf.DUMMYFUNCTION("GOOGLETRANSLATE(B5806,""en"",""zh-CN"")"),"她走到他的双腿之间，向外滑动并伤害了脖子。")</f>
        <v>她走到他的双腿之间，向外滑动并伤害了脖子。</v>
      </c>
    </row>
    <row r="5807">
      <c r="A5807" s="4" t="s">
        <v>7298</v>
      </c>
      <c r="B5807" s="4" t="s">
        <v>7302</v>
      </c>
      <c r="C5807" s="5" t="str">
        <f>IFERROR(__xludf.DUMMYFUNCTION("GOOGLETRANSLATE(B5807,""en"",""zh-CN"")"),"她起床笑，给男人一个拥抱。")</f>
        <v>她起床笑，给男人一个拥抱。</v>
      </c>
    </row>
    <row r="5808">
      <c r="A5808" s="4" t="s">
        <v>7303</v>
      </c>
      <c r="B5808" s="6" t="s">
        <v>7304</v>
      </c>
      <c r="C5808" s="5" t="str">
        <f>IFERROR(__xludf.DUMMYFUNCTION("GOOGLETRANSLATE(B5808,""en"",""zh-CN"")"),"看到一个女人在用各种时尚和使用不同产品的梳子时吹干头发。")</f>
        <v>看到一个女人在用各种时尚和使用不同产品的梳子时吹干头发。</v>
      </c>
    </row>
    <row r="5809">
      <c r="A5809" s="4" t="s">
        <v>7303</v>
      </c>
      <c r="B5809" s="4" t="s">
        <v>7305</v>
      </c>
      <c r="C5809" s="5" t="str">
        <f>IFERROR(__xludf.DUMMYFUNCTION("GOOGLETRANSLATE(B5809,""en"",""zh-CN"")"),"该名女子继续在头发上使用吹风机，并通过炫耀她的头发结束。")</f>
        <v>该名女子继续在头发上使用吹风机，并通过炫耀她的头发结束。</v>
      </c>
    </row>
    <row r="5810">
      <c r="A5810" s="4" t="s">
        <v>7306</v>
      </c>
      <c r="B5810" s="4" t="s">
        <v>7307</v>
      </c>
      <c r="C5810" s="5" t="str">
        <f>IFERROR(__xludf.DUMMYFUNCTION("GOOGLETRANSLATE(B5810,""en"",""zh-CN"")"),"穿着黄色和黑色西装的男人焊接钢。")</f>
        <v>穿着黄色和黑色西装的男人焊接钢。</v>
      </c>
    </row>
    <row r="5811">
      <c r="A5811" s="4" t="s">
        <v>7306</v>
      </c>
      <c r="B5811" s="4" t="s">
        <v>7308</v>
      </c>
      <c r="C5811" s="5" t="str">
        <f>IFERROR(__xludf.DUMMYFUNCTION("GOOGLETRANSLATE(B5811,""en"",""zh-CN"")"),"他停止了焊接工作。")</f>
        <v>他停止了焊接工作。</v>
      </c>
    </row>
    <row r="5812">
      <c r="A5812" s="4" t="s">
        <v>7306</v>
      </c>
      <c r="B5812" s="4" t="s">
        <v>7309</v>
      </c>
      <c r="C5812" s="5" t="str">
        <f>IFERROR(__xludf.DUMMYFUNCTION("GOOGLETRANSLATE(B5812,""en"",""zh-CN"")"),"然后他移开并检查它。")</f>
        <v>然后他移开并检查它。</v>
      </c>
    </row>
    <row r="5813">
      <c r="A5813" s="4" t="s">
        <v>7310</v>
      </c>
      <c r="B5813" s="6" t="s">
        <v>7311</v>
      </c>
      <c r="C5813" s="5" t="str">
        <f>IFERROR(__xludf.DUMMYFUNCTION("GOOGLETRANSLATE(B5813,""en"",""zh-CN"")"),"在第一轮比赛中，不同国家的三名运动员在陪审团的面前举重比赛，所有运动员都成功地举重了。")</f>
        <v>在第一轮比赛中，不同国家的三名运动员在陪审团的面前举重比赛，所有运动员都成功地举重了。</v>
      </c>
    </row>
    <row r="5814">
      <c r="A5814" s="4" t="s">
        <v>7310</v>
      </c>
      <c r="B5814" s="6" t="s">
        <v>7312</v>
      </c>
      <c r="C5814" s="5" t="str">
        <f>IFERROR(__xludf.DUMMYFUNCTION("GOOGLETRANSLATE(B5814,""en"",""zh-CN"")"),"在第二轮中，拥有蓝色制服的运动员成功地崛起并亲吻体重的酒吧，其他运动员也成功了。")</f>
        <v>在第二轮中，拥有蓝色制服的运动员成功地崛起并亲吻体重的酒吧，其他运动员也成功了。</v>
      </c>
    </row>
    <row r="5815">
      <c r="A5815" s="4" t="s">
        <v>7310</v>
      </c>
      <c r="B5815" s="4" t="s">
        <v>7313</v>
      </c>
      <c r="C5815" s="5" t="str">
        <f>IFERROR(__xludf.DUMMYFUNCTION("GOOGLETRANSLATE(B5815,""en"",""zh-CN"")"),"在第三轮比赛中，印度运动员让体重减轻。")</f>
        <v>在第三轮比赛中，印度运动员让体重减轻。</v>
      </c>
    </row>
    <row r="5816">
      <c r="A5816" s="4" t="s">
        <v>7310</v>
      </c>
      <c r="B5816" s="6" t="s">
        <v>7314</v>
      </c>
      <c r="C5816" s="5" t="str">
        <f>IFERROR(__xludf.DUMMYFUNCTION("GOOGLETRANSLATE(B5816,""en"",""zh-CN"")"),"祝贺身穿红色制服的运动员，然后在讲台的第一名和谈话中站立。")</f>
        <v>祝贺身穿红色制服的运动员，然后在讲台的第一名和谈话中站立。</v>
      </c>
    </row>
    <row r="5817">
      <c r="A5817" s="4" t="s">
        <v>7315</v>
      </c>
      <c r="B5817" s="4" t="s">
        <v>7316</v>
      </c>
      <c r="C5817" s="5" t="str">
        <f>IFERROR(__xludf.DUMMYFUNCTION("GOOGLETRANSLATE(B5817,""en"",""zh-CN"")"),"覆盖房间是为了避免油漆溅到房间中的物体上。")</f>
        <v>覆盖房间是为了避免油漆溅到房间中的物体上。</v>
      </c>
    </row>
    <row r="5818">
      <c r="A5818" s="4" t="s">
        <v>7315</v>
      </c>
      <c r="B5818" s="4" t="s">
        <v>7317</v>
      </c>
      <c r="C5818" s="5" t="str">
        <f>IFERROR(__xludf.DUMMYFUNCTION("GOOGLETRANSLATE(B5818,""en"",""zh-CN"")"),"在其边界和墙壁上看到一个蓝色胶带的房间。")</f>
        <v>在其边界和墙壁上看到一个蓝色胶带的房间。</v>
      </c>
    </row>
    <row r="5819">
      <c r="A5819" s="4" t="s">
        <v>7315</v>
      </c>
      <c r="B5819" s="4" t="s">
        <v>7318</v>
      </c>
      <c r="C5819" s="5" t="str">
        <f>IFERROR(__xludf.DUMMYFUNCTION("GOOGLETRANSLATE(B5819,""en"",""zh-CN"")"),"房间的地板上也有地毯上的袋子。")</f>
        <v>房间的地板上也有地毯上的袋子。</v>
      </c>
    </row>
    <row r="5820">
      <c r="A5820" s="4" t="s">
        <v>7315</v>
      </c>
      <c r="B5820" s="4" t="s">
        <v>7319</v>
      </c>
      <c r="C5820" s="5" t="str">
        <f>IFERROR(__xludf.DUMMYFUNCTION("GOOGLETRANSLATE(B5820,""en"",""zh-CN"")"),"房屋的楼梯上有袋子，以避免涂漆损坏。")</f>
        <v>房屋的楼梯上有袋子，以避免涂漆损坏。</v>
      </c>
    </row>
    <row r="5821">
      <c r="A5821" s="4" t="s">
        <v>7315</v>
      </c>
      <c r="B5821" s="4" t="s">
        <v>7320</v>
      </c>
      <c r="C5821" s="5" t="str">
        <f>IFERROR(__xludf.DUMMYFUNCTION("GOOGLETRANSLATE(B5821,""en"",""zh-CN"")"),"看到了闪闪发光的天花板。")</f>
        <v>看到了闪闪发光的天花板。</v>
      </c>
    </row>
    <row r="5822">
      <c r="A5822" s="4" t="s">
        <v>7321</v>
      </c>
      <c r="B5822" s="4" t="s">
        <v>7322</v>
      </c>
      <c r="C5822" s="5" t="str">
        <f>IFERROR(__xludf.DUMMYFUNCTION("GOOGLETRANSLATE(B5822,""en"",""zh-CN"")"),"看到一条船沿着水骑行，一个人在滑雪板上骑行。")</f>
        <v>看到一条船沿着水骑行，一个人在滑雪板上骑行。</v>
      </c>
    </row>
    <row r="5823">
      <c r="A5823" s="4" t="s">
        <v>7321</v>
      </c>
      <c r="B5823" s="4" t="s">
        <v>7323</v>
      </c>
      <c r="C5823" s="5" t="str">
        <f>IFERROR(__xludf.DUMMYFUNCTION("GOOGLETRANSLATE(B5823,""en"",""zh-CN"")"),"该人翻转并向后降落在水中。")</f>
        <v>该人翻转并向后降落在水中。</v>
      </c>
    </row>
    <row r="5824">
      <c r="A5824" s="4" t="s">
        <v>7324</v>
      </c>
      <c r="B5824" s="4" t="s">
        <v>7325</v>
      </c>
      <c r="C5824" s="5" t="str">
        <f>IFERROR(__xludf.DUMMYFUNCTION("GOOGLETRANSLATE(B5824,""en"",""zh-CN"")"),"一个女人和一个男人在汽车里说话，然后男人转过头。")</f>
        <v>一个女人和一个男人在汽车里说话，然后男人转过头。</v>
      </c>
    </row>
    <row r="5825">
      <c r="A5825" s="4" t="s">
        <v>7324</v>
      </c>
      <c r="B5825" s="6" t="s">
        <v>7326</v>
      </c>
      <c r="C5825" s="5" t="str">
        <f>IFERROR(__xludf.DUMMYFUNCTION("GOOGLETRANSLATE(B5825,""en"",""zh-CN"")"),"一位年轻的女士洗车只穿着胸罩和短裤，然后她在头上撒上水。")</f>
        <v>一位年轻的女士洗车只穿着胸罩和短裤，然后她在头上撒上水。</v>
      </c>
    </row>
    <row r="5826">
      <c r="A5826" s="4" t="s">
        <v>7324</v>
      </c>
      <c r="B5826" s="4" t="s">
        <v>7327</v>
      </c>
      <c r="C5826" s="5" t="str">
        <f>IFERROR(__xludf.DUMMYFUNCTION("GOOGLETRANSLATE(B5826,""en"",""zh-CN"")"),"之后，男人转身看见愤怒的女人并尖叫。")</f>
        <v>之后，男人转身看见愤怒的女人并尖叫。</v>
      </c>
    </row>
    <row r="5827">
      <c r="A5827" s="4" t="s">
        <v>7328</v>
      </c>
      <c r="B5827" s="4" t="s">
        <v>7329</v>
      </c>
      <c r="C5827" s="5" t="str">
        <f>IFERROR(__xludf.DUMMYFUNCTION("GOOGLETRANSLATE(B5827,""en"",""zh-CN"")"),"小孩在沙滩上用小型玩具铲子小子叶做城堡。")</f>
        <v>小孩在沙滩上用小型玩具铲子小子叶做城堡。</v>
      </c>
    </row>
    <row r="5828">
      <c r="A5828" s="4" t="s">
        <v>7328</v>
      </c>
      <c r="B5828" s="6" t="s">
        <v>7330</v>
      </c>
      <c r="C5828" s="5" t="str">
        <f>IFERROR(__xludf.DUMMYFUNCTION("GOOGLETRANSLATE(B5828,""en"",""zh-CN"")"),"小女孩在沙滩上的城堡中敌人开始玩耍，而孩子从海上带来了更多的水。")</f>
        <v>小女孩在沙滩上的城堡中敌人开始玩耍，而孩子从海上带来了更多的水。</v>
      </c>
    </row>
    <row r="5829">
      <c r="A5829" s="4" t="s">
        <v>7331</v>
      </c>
      <c r="B5829" s="4" t="s">
        <v>7332</v>
      </c>
      <c r="C5829" s="5" t="str">
        <f>IFERROR(__xludf.DUMMYFUNCTION("GOOGLETRANSLATE(B5829,""en"",""zh-CN"")"),"一个女人和一个婴儿坐在怀里。")</f>
        <v>一个女人和一个婴儿坐在怀里。</v>
      </c>
    </row>
    <row r="5830">
      <c r="A5830" s="4" t="s">
        <v>7331</v>
      </c>
      <c r="B5830" s="4" t="s">
        <v>7333</v>
      </c>
      <c r="C5830" s="5" t="str">
        <f>IFERROR(__xludf.DUMMYFUNCTION("GOOGLETRANSLATE(B5830,""en"",""zh-CN"")"),"她舔了舔冰淇淋蛋筒，婴儿每次都歇斯底里地笑。")</f>
        <v>她舔了舔冰淇淋蛋筒，婴儿每次都歇斯底里地笑。</v>
      </c>
    </row>
    <row r="5831">
      <c r="A5831" s="4" t="s">
        <v>7331</v>
      </c>
      <c r="B5831" s="4" t="s">
        <v>7334</v>
      </c>
      <c r="C5831" s="5" t="str">
        <f>IFERROR(__xludf.DUMMYFUNCTION("GOOGLETRANSLATE(B5831,""en"",""zh-CN"")"),"她给他咬了一下，将圆锥形拉开，让他发笑。")</f>
        <v>她给他咬了一下，将圆锥形拉开，让他发笑。</v>
      </c>
    </row>
    <row r="5832">
      <c r="A5832" s="4" t="s">
        <v>7335</v>
      </c>
      <c r="B5832" s="4" t="s">
        <v>7336</v>
      </c>
      <c r="C5832" s="5" t="str">
        <f>IFERROR(__xludf.DUMMYFUNCTION("GOOGLETRANSLATE(B5832,""en"",""zh-CN"")"),"一个人将独木舟划为河流。")</f>
        <v>一个人将独木舟划为河流。</v>
      </c>
    </row>
    <row r="5833">
      <c r="A5833" s="4" t="s">
        <v>7335</v>
      </c>
      <c r="B5833" s="4" t="s">
        <v>7337</v>
      </c>
      <c r="C5833" s="5" t="str">
        <f>IFERROR(__xludf.DUMMYFUNCTION("GOOGLETRANSLATE(B5833,""en"",""zh-CN"")"),"其他几个人也在划船。")</f>
        <v>其他几个人也在划船。</v>
      </c>
    </row>
    <row r="5834">
      <c r="A5834" s="4" t="s">
        <v>7335</v>
      </c>
      <c r="B5834" s="4" t="s">
        <v>7338</v>
      </c>
      <c r="C5834" s="5" t="str">
        <f>IFERROR(__xludf.DUMMYFUNCTION("GOOGLETRANSLATE(B5834,""en"",""zh-CN"")"),"他的独木舟是红色的。")</f>
        <v>他的独木舟是红色的。</v>
      </c>
    </row>
    <row r="5835">
      <c r="A5835" s="4" t="s">
        <v>7335</v>
      </c>
      <c r="B5835" s="4" t="s">
        <v>7339</v>
      </c>
      <c r="C5835" s="5" t="str">
        <f>IFERROR(__xludf.DUMMYFUNCTION("GOOGLETRANSLATE(B5835,""en"",""zh-CN"")"),"他终于通过了重点。")</f>
        <v>他终于通过了重点。</v>
      </c>
    </row>
    <row r="5836">
      <c r="A5836" s="4" t="s">
        <v>7340</v>
      </c>
      <c r="B5836" s="4" t="s">
        <v>7341</v>
      </c>
      <c r="C5836" s="5" t="str">
        <f>IFERROR(__xludf.DUMMYFUNCTION("GOOGLETRANSLATE(B5836,""en"",""zh-CN"")"),"女人使用滚动销将面团滚到柜台上。")</f>
        <v>女人使用滚动销将面团滚到柜台上。</v>
      </c>
    </row>
    <row r="5837">
      <c r="A5837" s="4" t="s">
        <v>7340</v>
      </c>
      <c r="B5837" s="4" t="s">
        <v>7342</v>
      </c>
      <c r="C5837" s="5" t="str">
        <f>IFERROR(__xludf.DUMMYFUNCTION("GOOGLETRANSLATE(B5837,""en"",""zh-CN"")"),"另一个女人正在从烤盘上取出东西。")</f>
        <v>另一个女人正在从烤盘上取出东西。</v>
      </c>
    </row>
    <row r="5838">
      <c r="A5838" s="4" t="s">
        <v>7343</v>
      </c>
      <c r="B5838" s="4" t="s">
        <v>7344</v>
      </c>
      <c r="C5838" s="5" t="str">
        <f>IFERROR(__xludf.DUMMYFUNCTION("GOOGLETRANSLATE(B5838,""en"",""zh-CN"")"),"妇女正站在桌子上，在比赛中摔跤。")</f>
        <v>妇女正站在桌子上，在比赛中摔跤。</v>
      </c>
    </row>
    <row r="5839">
      <c r="A5839" s="4" t="s">
        <v>7343</v>
      </c>
      <c r="B5839" s="4" t="s">
        <v>7345</v>
      </c>
      <c r="C5839" s="5" t="str">
        <f>IFERROR(__xludf.DUMMYFUNCTION("GOOGLETRANSLATE(B5839,""en"",""zh-CN"")"),"桌子侧面有两个裁判，互相观察。")</f>
        <v>桌子侧面有两个裁判，互相观察。</v>
      </c>
    </row>
    <row r="5840">
      <c r="A5840" s="4" t="s">
        <v>7343</v>
      </c>
      <c r="B5840" s="4" t="s">
        <v>7346</v>
      </c>
      <c r="C5840" s="5" t="str">
        <f>IFERROR(__xludf.DUMMYFUNCTION("GOOGLETRANSLATE(B5840,""en"",""zh-CN"")"),"妇女再次在桌子上摔跤，最终彼此高高。")</f>
        <v>妇女再次在桌子上摔跤，最终彼此高高。</v>
      </c>
    </row>
    <row r="5841">
      <c r="A5841" s="4" t="s">
        <v>7347</v>
      </c>
      <c r="B5841" s="4" t="s">
        <v>7348</v>
      </c>
      <c r="C5841" s="5" t="str">
        <f>IFERROR(__xludf.DUMMYFUNCTION("GOOGLETRANSLATE(B5841,""en"",""zh-CN"")"),"人们在草地上玩鳄鱼。")</f>
        <v>人们在草地上玩鳄鱼。</v>
      </c>
    </row>
    <row r="5842">
      <c r="A5842" s="4" t="s">
        <v>7347</v>
      </c>
      <c r="B5842" s="4" t="s">
        <v>7349</v>
      </c>
      <c r="C5842" s="5" t="str">
        <f>IFERROR(__xludf.DUMMYFUNCTION("GOOGLETRANSLATE(B5842,""en"",""zh-CN"")"),"显示了世界地图。")</f>
        <v>显示了世界地图。</v>
      </c>
    </row>
    <row r="5843">
      <c r="A5843" s="4" t="s">
        <v>7347</v>
      </c>
      <c r="B5843" s="4" t="s">
        <v>7350</v>
      </c>
      <c r="C5843" s="5" t="str">
        <f>IFERROR(__xludf.DUMMYFUNCTION("GOOGLETRANSLATE(B5843,""en"",""zh-CN"")"),"奖杯显示在屏幕上。")</f>
        <v>奖杯显示在屏幕上。</v>
      </c>
    </row>
    <row r="5844">
      <c r="A5844" s="4" t="s">
        <v>7351</v>
      </c>
      <c r="B5844" s="4" t="s">
        <v>7352</v>
      </c>
      <c r="C5844" s="5" t="str">
        <f>IFERROR(__xludf.DUMMYFUNCTION("GOOGLETRANSLATE(B5844,""en"",""zh-CN"")"),"一个男人戴着帽子，跪在蓝色垫子上。")</f>
        <v>一个男人戴着帽子，跪在蓝色垫子上。</v>
      </c>
    </row>
    <row r="5845">
      <c r="A5845" s="4" t="s">
        <v>7351</v>
      </c>
      <c r="B5845" s="4" t="s">
        <v>7353</v>
      </c>
      <c r="C5845" s="5" t="str">
        <f>IFERROR(__xludf.DUMMYFUNCTION("GOOGLETRANSLATE(B5845,""en"",""zh-CN"")"),"他开始在锻炼机上拉绳子。")</f>
        <v>他开始在锻炼机上拉绳子。</v>
      </c>
    </row>
    <row r="5846">
      <c r="A5846" s="4" t="s">
        <v>7354</v>
      </c>
      <c r="B5846" s="4" t="s">
        <v>7355</v>
      </c>
      <c r="C5846" s="5" t="str">
        <f>IFERROR(__xludf.DUMMYFUNCTION("GOOGLETRANSLATE(B5846,""en"",""zh-CN"")"),"一个穿着粉红色顶部的女人拿着箍并与镜头交谈。")</f>
        <v>一个穿着粉红色顶部的女人拿着箍并与镜头交谈。</v>
      </c>
    </row>
    <row r="5847">
      <c r="A5847" s="4" t="s">
        <v>7354</v>
      </c>
      <c r="B5847" s="4" t="s">
        <v>7356</v>
      </c>
      <c r="C5847" s="5" t="str">
        <f>IFERROR(__xludf.DUMMYFUNCTION("GOOGLETRANSLATE(B5847,""en"",""zh-CN"")"),"那个女人把箍放在腰上，开始箍。")</f>
        <v>那个女人把箍放在腰上，开始箍。</v>
      </c>
    </row>
    <row r="5848">
      <c r="A5848" s="4" t="s">
        <v>7354</v>
      </c>
      <c r="B5848" s="6" t="s">
        <v>7357</v>
      </c>
      <c r="C5848" s="5" t="str">
        <f>IFERROR(__xludf.DUMMYFUNCTION("GOOGLETRANSLATE(B5848,""en"",""zh-CN"")"),"那个女人停了下来，转过身，开始摇动臀部，她将箍变成了较小的箍，但是那个小的箍不断掉下来，然后将箍变成了更大的箍，她开始用箍摇动臀部。")</f>
        <v>那个女人停了下来，转过身，开始摇动臀部，她将箍变成了较小的箍，但是那个小的箍不断掉下来，然后将箍变成了更大的箍，她开始用箍摇动臀部。</v>
      </c>
    </row>
    <row r="5849">
      <c r="A5849" s="4" t="s">
        <v>7358</v>
      </c>
      <c r="B5849" s="4" t="s">
        <v>7359</v>
      </c>
      <c r="C5849" s="5" t="str">
        <f>IFERROR(__xludf.DUMMYFUNCTION("GOOGLETRANSLATE(B5849,""en"",""zh-CN"")"),"一群男人在一个黑暗的俱乐部里。")</f>
        <v>一群男人在一个黑暗的俱乐部里。</v>
      </c>
    </row>
    <row r="5850">
      <c r="A5850" s="4" t="s">
        <v>7358</v>
      </c>
      <c r="B5850" s="4" t="s">
        <v>7360</v>
      </c>
      <c r="C5850" s="5" t="str">
        <f>IFERROR(__xludf.DUMMYFUNCTION("GOOGLETRANSLATE(B5850,""en"",""zh-CN"")"),"一个男人开始在屏幕上的东西上扔飞镖。")</f>
        <v>一个男人开始在屏幕上的东西上扔飞镖。</v>
      </c>
    </row>
    <row r="5851">
      <c r="A5851" s="4" t="s">
        <v>7358</v>
      </c>
      <c r="B5851" s="6" t="s">
        <v>7361</v>
      </c>
      <c r="C5851" s="5" t="str">
        <f>IFERROR(__xludf.DUMMYFUNCTION("GOOGLETRANSLATE(B5851,""en"",""zh-CN"")"),"在放弃，耸耸肩和将相机转向飞镖板之前，他重复了很多次。")</f>
        <v>在放弃，耸耸肩和将相机转向飞镖板之前，他重复了很多次。</v>
      </c>
    </row>
    <row r="5852">
      <c r="A5852" s="4" t="s">
        <v>7358</v>
      </c>
      <c r="B5852" s="4" t="s">
        <v>7362</v>
      </c>
      <c r="C5852" s="5" t="str">
        <f>IFERROR(__xludf.DUMMYFUNCTION("GOOGLETRANSLATE(B5852,""en"",""zh-CN"")"),"我们看到其中四个飞镖已经达到了完全相同的位置。")</f>
        <v>我们看到其中四个飞镖已经达到了完全相同的位置。</v>
      </c>
    </row>
    <row r="5853">
      <c r="A5853" s="4" t="s">
        <v>7363</v>
      </c>
      <c r="B5853" s="6" t="s">
        <v>7364</v>
      </c>
      <c r="C5853" s="5" t="str">
        <f>IFERROR(__xludf.DUMMYFUNCTION("GOOGLETRANSLATE(B5853,""en"",""zh-CN"")"),"看到一小群人在游泳池周围游泳，并导致游泳者将球扔进网。")</f>
        <v>看到一小群人在游泳池周围游泳，并导致游泳者将球扔进网。</v>
      </c>
    </row>
    <row r="5854">
      <c r="A5854" s="4" t="s">
        <v>7363</v>
      </c>
      <c r="B5854" s="6" t="s">
        <v>7365</v>
      </c>
      <c r="C5854" s="5" t="str">
        <f>IFERROR(__xludf.DUMMYFUNCTION("GOOGLETRANSLATE(B5854,""en"",""zh-CN"")"),"守门员挡住了几枪，然后在观众欢呼时与另一个队友进行切换。")</f>
        <v>守门员挡住了几枪，然后在观众欢呼时与另一个队友进行切换。</v>
      </c>
    </row>
    <row r="5855">
      <c r="A5855" s="4" t="s">
        <v>7363</v>
      </c>
      <c r="B5855" s="6" t="s">
        <v>7366</v>
      </c>
      <c r="C5855" s="5" t="str">
        <f>IFERROR(__xludf.DUMMYFUNCTION("GOOGLETRANSLATE(B5855,""en"",""zh-CN"")"),"人们不断切换，导致一支球队赢得并在水中一起庆祝。")</f>
        <v>人们不断切换，导致一支球队赢得并在水中一起庆祝。</v>
      </c>
    </row>
    <row r="5856">
      <c r="A5856" s="4" t="s">
        <v>7367</v>
      </c>
      <c r="B5856" s="6" t="s">
        <v>7368</v>
      </c>
      <c r="C5856" s="5" t="str">
        <f>IFERROR(__xludf.DUMMYFUNCTION("GOOGLETRANSLATE(B5856,""en"",""zh-CN"")"),"几名男子在骑马的不同牛仔竞技表演中显示出来，并捕获了绳子上的小腿。")</f>
        <v>几名男子在骑马的不同牛仔竞技表演中显示出来，并捕获了绳子上的小腿。</v>
      </c>
    </row>
    <row r="5857">
      <c r="A5857" s="4" t="s">
        <v>7367</v>
      </c>
      <c r="B5857" s="6" t="s">
        <v>7369</v>
      </c>
      <c r="C5857" s="5" t="str">
        <f>IFERROR(__xludf.DUMMYFUNCTION("GOOGLETRANSLATE(B5857,""en"",""zh-CN"")"),"随着更多地点的显示，捕获更多的动物，并显示越来越多的人观看发生的动作。")</f>
        <v>随着更多地点的显示，捕获更多的动物，并显示越来越多的人观看发生的动作。</v>
      </c>
    </row>
    <row r="5858">
      <c r="A5858" s="4" t="s">
        <v>7370</v>
      </c>
      <c r="B5858" s="4" t="s">
        <v>7371</v>
      </c>
      <c r="C5858" s="5" t="str">
        <f>IFERROR(__xludf.DUMMYFUNCTION("GOOGLETRANSLATE(B5858,""en"",""zh-CN"")"),"一位年轻女士在镜头前做面孔。")</f>
        <v>一位年轻女士在镜头前做面孔。</v>
      </c>
    </row>
    <row r="5859">
      <c r="A5859" s="4" t="s">
        <v>7370</v>
      </c>
      <c r="B5859" s="4" t="s">
        <v>7372</v>
      </c>
      <c r="C5859" s="5" t="str">
        <f>IFERROR(__xludf.DUMMYFUNCTION("GOOGLETRANSLATE(B5859,""en"",""zh-CN"")"),"她举起一个盒子，上面有条形码，上面写着“纯灰色”。")</f>
        <v>她举起一个盒子，上面有条形码，上面写着“纯灰色”。</v>
      </c>
    </row>
    <row r="5860">
      <c r="A5860" s="4" t="s">
        <v>7370</v>
      </c>
      <c r="B5860" s="4" t="s">
        <v>7373</v>
      </c>
      <c r="C5860" s="5" t="str">
        <f>IFERROR(__xludf.DUMMYFUNCTION("GOOGLETRANSLATE(B5860,""en"",""zh-CN"")"),"她展示了一瓶更新和眼神镜壳。")</f>
        <v>她展示了一瓶更新和眼神镜壳。</v>
      </c>
    </row>
    <row r="5861">
      <c r="A5861" s="4" t="s">
        <v>7370</v>
      </c>
      <c r="B5861" s="4" t="s">
        <v>7374</v>
      </c>
      <c r="C5861" s="5" t="str">
        <f>IFERROR(__xludf.DUMMYFUNCTION("GOOGLETRANSLATE(B5861,""en"",""zh-CN"")"),"她应用了隐形眼镜和哭声。")</f>
        <v>她应用了隐形眼镜和哭声。</v>
      </c>
    </row>
    <row r="5862">
      <c r="A5862" s="4" t="s">
        <v>7375</v>
      </c>
      <c r="B5862" s="4" t="s">
        <v>7376</v>
      </c>
      <c r="C5862" s="5" t="str">
        <f>IFERROR(__xludf.DUMMYFUNCTION("GOOGLETRANSLATE(B5862,""en"",""zh-CN"")"),"男人正在打开一个带剪刀的盒子，拿出一辆无武装的自行车。")</f>
        <v>男人正在打开一个带剪刀的盒子，拿出一辆无武装的自行车。</v>
      </c>
    </row>
    <row r="5863">
      <c r="A5863" s="4" t="s">
        <v>7375</v>
      </c>
      <c r="B5863" s="4" t="s">
        <v>7377</v>
      </c>
      <c r="C5863" s="5" t="str">
        <f>IFERROR(__xludf.DUMMYFUNCTION("GOOGLETRANSLATE(B5863,""en"",""zh-CN"")"),"男子将自行车武装在带有木地板的房间里。")</f>
        <v>男子将自行车武装在带有木地板的房间里。</v>
      </c>
    </row>
    <row r="5864">
      <c r="A5864" s="4" t="s">
        <v>7378</v>
      </c>
      <c r="B5864" s="4" t="s">
        <v>7379</v>
      </c>
      <c r="C5864" s="5" t="str">
        <f>IFERROR(__xludf.DUMMYFUNCTION("GOOGLETRANSLATE(B5864,""en"",""zh-CN"")"),"该人握住刀片以使其锐化。")</f>
        <v>该人握住刀片以使其锐化。</v>
      </c>
    </row>
    <row r="5865">
      <c r="A5865" s="4" t="s">
        <v>7378</v>
      </c>
      <c r="B5865" s="4" t="s">
        <v>7380</v>
      </c>
      <c r="C5865" s="5" t="str">
        <f>IFERROR(__xludf.DUMMYFUNCTION("GOOGLETRANSLATE(B5865,""en"",""zh-CN"")"),"该人从机器上取下皮带。")</f>
        <v>该人从机器上取下皮带。</v>
      </c>
    </row>
    <row r="5866">
      <c r="A5866" s="4" t="s">
        <v>7378</v>
      </c>
      <c r="B5866" s="4" t="s">
        <v>7381</v>
      </c>
      <c r="C5866" s="5" t="str">
        <f>IFERROR(__xludf.DUMMYFUNCTION("GOOGLETRANSLATE(B5866,""en"",""zh-CN"")"),"该人在机器上放了一条新皮带。")</f>
        <v>该人在机器上放了一条新皮带。</v>
      </c>
    </row>
    <row r="5867">
      <c r="A5867" s="4" t="s">
        <v>7378</v>
      </c>
      <c r="B5867" s="4" t="s">
        <v>7382</v>
      </c>
      <c r="C5867" s="5" t="str">
        <f>IFERROR(__xludf.DUMMYFUNCTION("GOOGLETRANSLATE(B5867,""en"",""zh-CN"")"),"该人锐化了第二腰带上的刀片。")</f>
        <v>该人锐化了第二腰带上的刀片。</v>
      </c>
    </row>
    <row r="5868">
      <c r="A5868" s="4" t="s">
        <v>7378</v>
      </c>
      <c r="B5868" s="4" t="s">
        <v>7383</v>
      </c>
      <c r="C5868" s="5" t="str">
        <f>IFERROR(__xludf.DUMMYFUNCTION("GOOGLETRANSLATE(B5868,""en"",""zh-CN"")"),"该人脱下第二腰带。")</f>
        <v>该人脱下第二腰带。</v>
      </c>
    </row>
    <row r="5869">
      <c r="A5869" s="4" t="s">
        <v>7378</v>
      </c>
      <c r="B5869" s="4" t="s">
        <v>7384</v>
      </c>
      <c r="C5869" s="5" t="str">
        <f>IFERROR(__xludf.DUMMYFUNCTION("GOOGLETRANSLATE(B5869,""en"",""zh-CN"")"),"该人戴上第三条皮带。")</f>
        <v>该人戴上第三条皮带。</v>
      </c>
    </row>
    <row r="5870">
      <c r="A5870" s="4" t="s">
        <v>7378</v>
      </c>
      <c r="B5870" s="4" t="s">
        <v>7385</v>
      </c>
      <c r="C5870" s="5" t="str">
        <f>IFERROR(__xludf.DUMMYFUNCTION("GOOGLETRANSLATE(B5870,""en"",""zh-CN"")"),"该人在第三腰带上锐化了刀片。")</f>
        <v>该人在第三腰带上锐化了刀片。</v>
      </c>
    </row>
    <row r="5871">
      <c r="A5871" s="4" t="s">
        <v>7378</v>
      </c>
      <c r="B5871" s="4" t="s">
        <v>7386</v>
      </c>
      <c r="C5871" s="5" t="str">
        <f>IFERROR(__xludf.DUMMYFUNCTION("GOOGLETRANSLATE(B5871,""en"",""zh-CN"")"),"该人展示了刀片的边缘。")</f>
        <v>该人展示了刀片的边缘。</v>
      </c>
    </row>
    <row r="5872">
      <c r="A5872" s="4" t="s">
        <v>7387</v>
      </c>
      <c r="B5872" s="4" t="s">
        <v>7388</v>
      </c>
      <c r="C5872" s="5" t="str">
        <f>IFERROR(__xludf.DUMMYFUNCTION("GOOGLETRANSLATE(B5872,""en"",""zh-CN"")"),"看到一辆汽车四处开车，并导致一个人在轮胎上抽空。")</f>
        <v>看到一辆汽车四处开车，并导致一个人在轮胎上抽空。</v>
      </c>
    </row>
    <row r="5873">
      <c r="A5873" s="4" t="s">
        <v>7387</v>
      </c>
      <c r="B5873" s="4" t="s">
        <v>7389</v>
      </c>
      <c r="C5873" s="5" t="str">
        <f>IFERROR(__xludf.DUMMYFUNCTION("GOOGLETRANSLATE(B5873,""en"",""zh-CN"")"),"该男子沿着轮胎放一根电线，并继续旋转。")</f>
        <v>该男子沿着轮胎放一根电线，并继续旋转。</v>
      </c>
    </row>
    <row r="5874">
      <c r="A5874" s="4" t="s">
        <v>7387</v>
      </c>
      <c r="B5874" s="4" t="s">
        <v>7390</v>
      </c>
      <c r="C5874" s="5" t="str">
        <f>IFERROR(__xludf.DUMMYFUNCTION("GOOGLETRANSLATE(B5874,""en"",""zh-CN"")"),"他将更多的头发抽到轮胎中，然后摘下千斤顶将其驱逐出去。")</f>
        <v>他将更多的头发抽到轮胎中，然后摘下千斤顶将其驱逐出去。</v>
      </c>
    </row>
    <row r="5875">
      <c r="A5875" s="4" t="s">
        <v>7391</v>
      </c>
      <c r="B5875" s="4" t="s">
        <v>7392</v>
      </c>
      <c r="C5875" s="5" t="str">
        <f>IFERROR(__xludf.DUMMYFUNCTION("GOOGLETRANSLATE(B5875,""en"",""zh-CN"")"),"一个女人在浴室里刷牙。")</f>
        <v>一个女人在浴室里刷牙。</v>
      </c>
    </row>
    <row r="5876">
      <c r="A5876" s="4" t="s">
        <v>7391</v>
      </c>
      <c r="B5876" s="4" t="s">
        <v>7393</v>
      </c>
      <c r="C5876" s="5" t="str">
        <f>IFERROR(__xludf.DUMMYFUNCTION("GOOGLETRANSLATE(B5876,""en"",""zh-CN"")"),"有人在她身后拍摄她。")</f>
        <v>有人在她身后拍摄她。</v>
      </c>
    </row>
    <row r="5877">
      <c r="A5877" s="4" t="s">
        <v>7391</v>
      </c>
      <c r="B5877" s="4" t="s">
        <v>7394</v>
      </c>
      <c r="C5877" s="5" t="str">
        <f>IFERROR(__xludf.DUMMYFUNCTION("GOOGLETRANSLATE(B5877,""en"",""zh-CN"")"),"她将牙膏吐到她面前的水槽中。")</f>
        <v>她将牙膏吐到她面前的水槽中。</v>
      </c>
    </row>
    <row r="5878">
      <c r="A5878" s="4" t="s">
        <v>7395</v>
      </c>
      <c r="B5878" s="4" t="s">
        <v>7396</v>
      </c>
      <c r="C5878" s="5" t="str">
        <f>IFERROR(__xludf.DUMMYFUNCTION("GOOGLETRANSLATE(B5878,""en"",""zh-CN"")"),"看到一小群男人站在一个拿着网球球拍的房间里。")</f>
        <v>看到一小群男人站在一个拿着网球球拍的房间里。</v>
      </c>
    </row>
    <row r="5879">
      <c r="A5879" s="4" t="s">
        <v>7395</v>
      </c>
      <c r="B5879" s="4" t="s">
        <v>7397</v>
      </c>
      <c r="C5879" s="5" t="str">
        <f>IFERROR(__xludf.DUMMYFUNCTION("GOOGLETRANSLATE(B5879,""en"",""zh-CN"")"),"然后，这些人在击球时开始互相打网球。")</f>
        <v>然后，这些人在击球时开始互相打网球。</v>
      </c>
    </row>
    <row r="5880">
      <c r="A5880" s="4" t="s">
        <v>7395</v>
      </c>
      <c r="B5880" s="4" t="s">
        <v>7398</v>
      </c>
      <c r="C5880" s="5" t="str">
        <f>IFERROR(__xludf.DUMMYFUNCTION("GOOGLETRANSLATE(B5880,""en"",""zh-CN"")"),"这些人继续在房间周围撞到球，最后几个走了。")</f>
        <v>这些人继续在房间周围撞到球，最后几个走了。</v>
      </c>
    </row>
    <row r="5881">
      <c r="A5881" s="4" t="s">
        <v>7399</v>
      </c>
      <c r="B5881" s="4" t="s">
        <v>7400</v>
      </c>
      <c r="C5881" s="5" t="str">
        <f>IFERROR(__xludf.DUMMYFUNCTION("GOOGLETRANSLATE(B5881,""en"",""zh-CN"")"),"一件白衬衫的男人正在用斧头切碎一块木头。")</f>
        <v>一件白衬衫的男人正在用斧头切碎一块木头。</v>
      </c>
    </row>
    <row r="5882">
      <c r="A5882" s="4" t="s">
        <v>7399</v>
      </c>
      <c r="B5882" s="4" t="s">
        <v>7401</v>
      </c>
      <c r="C5882" s="5" t="str">
        <f>IFERROR(__xludf.DUMMYFUNCTION("GOOGLETRANSLATE(B5882,""en"",""zh-CN"")"),"他在木头上摇摆，错过了地面。")</f>
        <v>他在木头上摇摆，错过了地面。</v>
      </c>
    </row>
    <row r="5883">
      <c r="A5883" s="4" t="s">
        <v>7399</v>
      </c>
      <c r="B5883" s="4" t="s">
        <v>7402</v>
      </c>
      <c r="C5883" s="5" t="str">
        <f>IFERROR(__xludf.DUMMYFUNCTION("GOOGLETRANSLATE(B5883,""en"",""zh-CN"")"),"另一个背着锅的男人走在他身后。")</f>
        <v>另一个背着锅的男人走在他身后。</v>
      </c>
    </row>
    <row r="5884">
      <c r="A5884" s="4" t="s">
        <v>7403</v>
      </c>
      <c r="B5884" s="4" t="s">
        <v>7404</v>
      </c>
      <c r="C5884" s="5" t="str">
        <f>IFERROR(__xludf.DUMMYFUNCTION("GOOGLETRANSLATE(B5884,""en"",""zh-CN"")"),"我们看到一个年轻的女孩体操运动员在与镜头交谈。")</f>
        <v>我们看到一个年轻的女孩体操运动员在与镜头交谈。</v>
      </c>
    </row>
    <row r="5885">
      <c r="A5885" s="4" t="s">
        <v>7403</v>
      </c>
      <c r="B5885" s="4" t="s">
        <v>991</v>
      </c>
      <c r="C5885" s="5" t="str">
        <f>IFERROR(__xludf.DUMMYFUNCTION("GOOGLETRANSLATE(B5885,""en"",""zh-CN"")"),"然后，我们看到标题屏幕。")</f>
        <v>然后，我们看到标题屏幕。</v>
      </c>
    </row>
    <row r="5886">
      <c r="A5886" s="4" t="s">
        <v>7403</v>
      </c>
      <c r="B5886" s="4" t="s">
        <v>7405</v>
      </c>
      <c r="C5886" s="5" t="str">
        <f>IFERROR(__xludf.DUMMYFUNCTION("GOOGLETRANSLATE(B5886,""en"",""zh-CN"")"),"我们看到女孩表演翻转。")</f>
        <v>我们看到女孩表演翻转。</v>
      </c>
    </row>
    <row r="5887">
      <c r="A5887" s="4" t="s">
        <v>7403</v>
      </c>
      <c r="B5887" s="4" t="s">
        <v>7406</v>
      </c>
      <c r="C5887" s="5" t="str">
        <f>IFERROR(__xludf.DUMMYFUNCTION("GOOGLETRANSLATE(B5887,""en"",""zh-CN"")"),"女孩翻转蹦床。")</f>
        <v>女孩翻转蹦床。</v>
      </c>
    </row>
    <row r="5888">
      <c r="A5888" s="4" t="s">
        <v>7403</v>
      </c>
      <c r="B5888" s="4" t="s">
        <v>7407</v>
      </c>
      <c r="C5888" s="5" t="str">
        <f>IFERROR(__xludf.DUMMYFUNCTION("GOOGLETRANSLATE(B5888,""en"",""zh-CN"")"),"她跳了起来，在空中分裂。")</f>
        <v>她跳了起来，在空中分裂。</v>
      </c>
    </row>
    <row r="5889">
      <c r="A5889" s="4" t="s">
        <v>7403</v>
      </c>
      <c r="B5889" s="4" t="s">
        <v>7408</v>
      </c>
      <c r="C5889" s="5" t="str">
        <f>IFERROR(__xludf.DUMMYFUNCTION("GOOGLETRANSLATE(B5889,""en"",""zh-CN"")"),"我们看到了她跌倒的泡沫和标题屏幕。")</f>
        <v>我们看到了她跌倒的泡沫和标题屏幕。</v>
      </c>
    </row>
    <row r="5890">
      <c r="A5890" s="4" t="s">
        <v>7403</v>
      </c>
      <c r="B5890" s="4" t="s">
        <v>7409</v>
      </c>
      <c r="C5890" s="5" t="str">
        <f>IFERROR(__xludf.DUMMYFUNCTION("GOOGLETRANSLATE(B5890,""en"",""zh-CN"")"),"然后，我们看到结尾屏幕。")</f>
        <v>然后，我们看到结尾屏幕。</v>
      </c>
    </row>
    <row r="5891">
      <c r="A5891" s="4" t="s">
        <v>7410</v>
      </c>
      <c r="B5891" s="4" t="s">
        <v>7411</v>
      </c>
      <c r="C5891" s="5" t="str">
        <f>IFERROR(__xludf.DUMMYFUNCTION("GOOGLETRANSLATE(B5891,""en"",""zh-CN"")"),"我们看到一个蓝色的打开屏幕。")</f>
        <v>我们看到一个蓝色的打开屏幕。</v>
      </c>
    </row>
    <row r="5892">
      <c r="A5892" s="4" t="s">
        <v>7410</v>
      </c>
      <c r="B5892" s="4" t="s">
        <v>7412</v>
      </c>
      <c r="C5892" s="5" t="str">
        <f>IFERROR(__xludf.DUMMYFUNCTION("GOOGLETRANSLATE(B5892,""en"",""zh-CN"")"),"我们看到一个男人翻转并表演带有蓝色标题屏幕的Capoeira。")</f>
        <v>我们看到一个男人翻转并表演带有蓝色标题屏幕的Capoeira。</v>
      </c>
    </row>
    <row r="5893">
      <c r="A5893" s="4" t="s">
        <v>7410</v>
      </c>
      <c r="B5893" s="4" t="s">
        <v>7413</v>
      </c>
      <c r="C5893" s="5" t="str">
        <f>IFERROR(__xludf.DUMMYFUNCTION("GOOGLETRANSLATE(B5893,""en"",""zh-CN"")"),"该男子旋转踢。")</f>
        <v>该男子旋转踢。</v>
      </c>
    </row>
    <row r="5894">
      <c r="A5894" s="4" t="s">
        <v>7410</v>
      </c>
      <c r="B5894" s="4" t="s">
        <v>7414</v>
      </c>
      <c r="C5894" s="5" t="str">
        <f>IFERROR(__xludf.DUMMYFUNCTION("GOOGLETRANSLATE(B5894,""en"",""zh-CN"")"),"这个男人旋转着鸭子。")</f>
        <v>这个男人旋转着鸭子。</v>
      </c>
    </row>
    <row r="5895">
      <c r="A5895" s="4" t="s">
        <v>7410</v>
      </c>
      <c r="B5895" s="4" t="s">
        <v>7415</v>
      </c>
      <c r="C5895" s="5" t="str">
        <f>IFERROR(__xludf.DUMMYFUNCTION("GOOGLETRANSLATE(B5895,""en"",""zh-CN"")"),"该男子在地板上进行了旋转。")</f>
        <v>该男子在地板上进行了旋转。</v>
      </c>
    </row>
    <row r="5896">
      <c r="A5896" s="4" t="s">
        <v>7416</v>
      </c>
      <c r="B5896" s="4" t="s">
        <v>7417</v>
      </c>
      <c r="C5896" s="5" t="str">
        <f>IFERROR(__xludf.DUMMYFUNCTION("GOOGLETRANSLATE(B5896,""en"",""zh-CN"")"),"一个小孩在浴室里刷牙。")</f>
        <v>一个小孩在浴室里刷牙。</v>
      </c>
    </row>
    <row r="5897">
      <c r="A5897" s="4" t="s">
        <v>7416</v>
      </c>
      <c r="B5897" s="6" t="s">
        <v>7418</v>
      </c>
      <c r="C5897" s="5" t="str">
        <f>IFERROR(__xludf.DUMMYFUNCTION("GOOGLETRANSLATE(B5897,""en"",""zh-CN"")"),"当他疯狂地刷牙时，一个女人来帮助他，因为他指出柜台上的不同事情。")</f>
        <v>当他疯狂地刷牙时，一个女人来帮助他，因为他指出柜台上的不同事情。</v>
      </c>
    </row>
    <row r="5898">
      <c r="A5898" s="4" t="s">
        <v>7416</v>
      </c>
      <c r="B5898" s="4" t="s">
        <v>7419</v>
      </c>
      <c r="C5898" s="5" t="str">
        <f>IFERROR(__xludf.DUMMYFUNCTION("GOOGLETRANSLATE(B5898,""en"",""zh-CN"")"),"小男孩不断刷牙，然后他们最终切换了牙刷。")</f>
        <v>小男孩不断刷牙，然后他们最终切换了牙刷。</v>
      </c>
    </row>
    <row r="5899">
      <c r="A5899" s="4" t="s">
        <v>7416</v>
      </c>
      <c r="B5899" s="4" t="s">
        <v>7420</v>
      </c>
      <c r="C5899" s="5" t="str">
        <f>IFERROR(__xludf.DUMMYFUNCTION("GOOGLETRANSLATE(B5899,""en"",""zh-CN"")"),"最终，女人把牙膏放在刷子上，男孩清洁了牙齿。")</f>
        <v>最终，女人把牙膏放在刷子上，男孩清洁了牙齿。</v>
      </c>
    </row>
    <row r="5900">
      <c r="A5900" s="4" t="s">
        <v>7416</v>
      </c>
      <c r="B5900" s="4" t="s">
        <v>7421</v>
      </c>
      <c r="C5900" s="5" t="str">
        <f>IFERROR(__xludf.DUMMYFUNCTION("GOOGLETRANSLATE(B5900,""en"",""zh-CN"")"),"完成后，他将获得一根肥皂，必须洗手。")</f>
        <v>完成后，他将获得一根肥皂，必须洗手。</v>
      </c>
    </row>
    <row r="5901">
      <c r="A5901" s="4" t="s">
        <v>7416</v>
      </c>
      <c r="B5901" s="4" t="s">
        <v>7422</v>
      </c>
      <c r="C5901" s="5" t="str">
        <f>IFERROR(__xludf.DUMMYFUNCTION("GOOGLETRANSLATE(B5901,""en"",""zh-CN"")"),"最终，他完成了，他抓住了玩具，跑出浴室。")</f>
        <v>最终，他完成了，他抓住了玩具，跑出浴室。</v>
      </c>
    </row>
    <row r="5902">
      <c r="A5902" s="4" t="s">
        <v>7423</v>
      </c>
      <c r="B5902" s="4" t="s">
        <v>7424</v>
      </c>
      <c r="C5902" s="5" t="str">
        <f>IFERROR(__xludf.DUMMYFUNCTION("GOOGLETRANSLATE(B5902,""en"",""zh-CN"")"),"该视频导致了几张镜头的镜头，这些人在滑板板和表演技巧上骑行。")</f>
        <v>该视频导致了几张镜头的镜头，这些人在滑板板和表演技巧上骑行。</v>
      </c>
    </row>
    <row r="5903">
      <c r="A5903" s="4" t="s">
        <v>7423</v>
      </c>
      <c r="B5903" s="6" t="s">
        <v>7425</v>
      </c>
      <c r="C5903" s="5" t="str">
        <f>IFERROR(__xludf.DUMMYFUNCTION("GOOGLETRANSLATE(B5903,""en"",""zh-CN"")"),"显示了更多的人骑行，并导致一个年轻人在相机上讲话和一件T恤的照片。")</f>
        <v>显示了更多的人骑行，并导致一个年轻人在相机上讲话和一件T恤的照片。</v>
      </c>
    </row>
    <row r="5904">
      <c r="A5904" s="4" t="s">
        <v>7426</v>
      </c>
      <c r="B5904" s="6" t="s">
        <v>7427</v>
      </c>
      <c r="C5904" s="5" t="str">
        <f>IFERROR(__xludf.DUMMYFUNCTION("GOOGLETRANSLATE(B5904,""en"",""zh-CN"")"),"看到一个男人在镜头上说话，并导致他剪瓷砖并沿着墙壁进行测量。")</f>
        <v>看到一个男人在镜头上说话，并导致他剪瓷砖并沿着墙壁进行测量。</v>
      </c>
    </row>
    <row r="5905">
      <c r="A5905" s="4" t="s">
        <v>7426</v>
      </c>
      <c r="B5905" s="6" t="s">
        <v>7428</v>
      </c>
      <c r="C5905" s="5" t="str">
        <f>IFERROR(__xludf.DUMMYFUNCTION("GOOGLETRANSLATE(B5905,""en"",""zh-CN"")"),"该男子使用锯切开墙壁和瓷砖，同时使用各种其他工具在侧面切割。")</f>
        <v>该男子使用锯切开墙壁和瓷砖，同时使用各种其他工具在侧面切割。</v>
      </c>
    </row>
    <row r="5906">
      <c r="A5906" s="4" t="s">
        <v>7426</v>
      </c>
      <c r="B5906" s="6" t="s">
        <v>7429</v>
      </c>
      <c r="C5906" s="5" t="str">
        <f>IFERROR(__xludf.DUMMYFUNCTION("GOOGLETRANSLATE(B5906,""en"",""zh-CN"")"),"当男人继续说话并将其放在地板上时，正在显示更多的瓷砖。")</f>
        <v>当男人继续说话并将其放在地板上时，正在显示更多的瓷砖。</v>
      </c>
    </row>
    <row r="5907">
      <c r="A5907" s="4" t="s">
        <v>7430</v>
      </c>
      <c r="B5907" s="4" t="s">
        <v>7431</v>
      </c>
      <c r="C5907" s="5" t="str">
        <f>IFERROR(__xludf.DUMMYFUNCTION("GOOGLETRANSLATE(B5907,""en"",""zh-CN"")"),"一个女孩用手在和镜头说话。")</f>
        <v>一个女孩用手在和镜头说话。</v>
      </c>
    </row>
    <row r="5908">
      <c r="A5908" s="4" t="s">
        <v>7430</v>
      </c>
      <c r="B5908" s="4" t="s">
        <v>7432</v>
      </c>
      <c r="C5908" s="5" t="str">
        <f>IFERROR(__xludf.DUMMYFUNCTION("GOOGLETRANSLATE(B5908,""en"",""zh-CN"")"),"相机的场景变化模糊。")</f>
        <v>相机的场景变化模糊。</v>
      </c>
    </row>
    <row r="5909">
      <c r="A5909" s="4" t="s">
        <v>7430</v>
      </c>
      <c r="B5909" s="4" t="s">
        <v>7433</v>
      </c>
      <c r="C5909" s="5" t="str">
        <f>IFERROR(__xludf.DUMMYFUNCTION("GOOGLETRANSLATE(B5909,""en"",""zh-CN"")"),"这个女孩指着擦头。")</f>
        <v>这个女孩指着擦头。</v>
      </c>
    </row>
    <row r="5910">
      <c r="A5910" s="4" t="s">
        <v>7430</v>
      </c>
      <c r="B5910" s="4" t="s">
        <v>7434</v>
      </c>
      <c r="C5910" s="5" t="str">
        <f>IFERROR(__xludf.DUMMYFUNCTION("GOOGLETRANSLATE(B5910,""en"",""zh-CN"")"),"女孩在屏幕上挥手。")</f>
        <v>女孩在屏幕上挥手。</v>
      </c>
    </row>
    <row r="5911">
      <c r="A5911" s="4" t="s">
        <v>7430</v>
      </c>
      <c r="B5911" s="4" t="s">
        <v>7435</v>
      </c>
      <c r="C5911" s="5" t="str">
        <f>IFERROR(__xludf.DUMMYFUNCTION("GOOGLETRANSLATE(B5911,""en"",""zh-CN"")"),"场景变成了站在淋浴中的女孩。")</f>
        <v>场景变成了站在淋浴中的女孩。</v>
      </c>
    </row>
    <row r="5912">
      <c r="A5912" s="4" t="s">
        <v>7430</v>
      </c>
      <c r="B5912" s="4" t="s">
        <v>7436</v>
      </c>
      <c r="C5912" s="5" t="str">
        <f>IFERROR(__xludf.DUMMYFUNCTION("GOOGLETRANSLATE(B5912,""en"",""zh-CN"")"),"女孩在淋浴时剃了腿。")</f>
        <v>女孩在淋浴时剃了腿。</v>
      </c>
    </row>
    <row r="5913">
      <c r="A5913" s="4" t="s">
        <v>7430</v>
      </c>
      <c r="B5913" s="4" t="s">
        <v>7437</v>
      </c>
      <c r="C5913" s="5" t="str">
        <f>IFERROR(__xludf.DUMMYFUNCTION("GOOGLETRANSLATE(B5913,""en"",""zh-CN"")"),"她向我们展示了她的剃须产品和手上。")</f>
        <v>她向我们展示了她的剃须产品和手上。</v>
      </c>
    </row>
    <row r="5914">
      <c r="A5914" s="4" t="s">
        <v>7430</v>
      </c>
      <c r="B5914" s="4" t="s">
        <v>7438</v>
      </c>
      <c r="C5914" s="5" t="str">
        <f>IFERROR(__xludf.DUMMYFUNCTION("GOOGLETRANSLATE(B5914,""en"",""zh-CN"")"),"女孩向我们展示了她的剃刀，然后开始剃须。")</f>
        <v>女孩向我们展示了她的剃刀，然后开始剃须。</v>
      </c>
    </row>
    <row r="5915">
      <c r="A5915" s="4" t="s">
        <v>7439</v>
      </c>
      <c r="B5915" s="4" t="s">
        <v>7440</v>
      </c>
      <c r="C5915" s="5" t="str">
        <f>IFERROR(__xludf.DUMMYFUNCTION("GOOGLETRANSLATE(B5915,""en"",""zh-CN"")"),"看到两个人站在一组鼓后面看着相机。")</f>
        <v>看到两个人站在一组鼓后面看着相机。</v>
      </c>
    </row>
    <row r="5916">
      <c r="A5916" s="4" t="s">
        <v>7439</v>
      </c>
      <c r="B5916" s="4" t="s">
        <v>7441</v>
      </c>
      <c r="C5916" s="5" t="str">
        <f>IFERROR(__xludf.DUMMYFUNCTION("GOOGLETRANSLATE(B5916,""en"",""zh-CN"")"),"然后，两人开始演奏鼓，而一个小女孩走进框架。")</f>
        <v>然后，两人开始演奏鼓，而一个小女孩走进框架。</v>
      </c>
    </row>
    <row r="5917">
      <c r="A5917" s="4" t="s">
        <v>7439</v>
      </c>
      <c r="B5917" s="4" t="s">
        <v>7442</v>
      </c>
      <c r="C5917" s="5" t="str">
        <f>IFERROR(__xludf.DUMMYFUNCTION("GOOGLETRANSLATE(B5917,""en"",""zh-CN"")"),"两个暂停片刻，然后继续玩一个停下来，让另一个终点。")</f>
        <v>两个暂停片刻，然后继续玩一个停下来，让另一个终点。</v>
      </c>
    </row>
    <row r="5918">
      <c r="A5918" s="4" t="s">
        <v>7443</v>
      </c>
      <c r="B5918" s="4" t="s">
        <v>7444</v>
      </c>
      <c r="C5918" s="5" t="str">
        <f>IFERROR(__xludf.DUMMYFUNCTION("GOOGLETRANSLATE(B5918,""en"",""zh-CN"")"),"一名苏格兰短裙的男人准备在比赛中扔大锤子。")</f>
        <v>一名苏格兰短裙的男人准备在比赛中扔大锤子。</v>
      </c>
    </row>
    <row r="5919">
      <c r="A5919" s="4" t="s">
        <v>7443</v>
      </c>
      <c r="B5919" s="4" t="s">
        <v>7445</v>
      </c>
      <c r="C5919" s="5" t="str">
        <f>IFERROR(__xludf.DUMMYFUNCTION("GOOGLETRANSLATE(B5919,""en"",""zh-CN"")"),"准备工作后，他将锤子绕开，并尽可能地扔掉。")</f>
        <v>准备工作后，他将锤子绕开，并尽可能地扔掉。</v>
      </c>
    </row>
    <row r="5920">
      <c r="A5920" s="4" t="s">
        <v>7446</v>
      </c>
      <c r="B5920" s="6" t="s">
        <v>7447</v>
      </c>
      <c r="C5920" s="5" t="str">
        <f>IFERROR(__xludf.DUMMYFUNCTION("GOOGLETRANSLATE(B5920,""en"",""zh-CN"")"),"看到一小群人在田野上的田野上玩曲棍球，互相推动。")</f>
        <v>看到一小群人在田野上的田野上玩曲棍球，互相推动。</v>
      </c>
    </row>
    <row r="5921">
      <c r="A5921" s="4" t="s">
        <v>7446</v>
      </c>
      <c r="B5921" s="4" t="s">
        <v>7448</v>
      </c>
      <c r="C5921" s="5" t="str">
        <f>IFERROR(__xludf.DUMMYFUNCTION("GOOGLETRANSLATE(B5921,""en"",""zh-CN"")"),"显示了几张球员互相击球的镜头以及推动其他人的球员。")</f>
        <v>显示了几张球员互相击球的镜头以及推动其他人的球员。</v>
      </c>
    </row>
    <row r="5922">
      <c r="A5922" s="4" t="s">
        <v>7446</v>
      </c>
      <c r="B5922" s="4" t="s">
        <v>7449</v>
      </c>
      <c r="C5922" s="5" t="str">
        <f>IFERROR(__xludf.DUMMYFUNCTION("GOOGLETRANSLATE(B5922,""en"",""zh-CN"")"),"一个团队得分几个进球，紧随其后的是队友欢呼。")</f>
        <v>一个团队得分几个进球，紧随其后的是队友欢呼。</v>
      </c>
    </row>
    <row r="5923">
      <c r="A5923" s="4" t="s">
        <v>7450</v>
      </c>
      <c r="B5923" s="4" t="s">
        <v>7451</v>
      </c>
      <c r="C5923" s="5" t="str">
        <f>IFERROR(__xludf.DUMMYFUNCTION("GOOGLETRANSLATE(B5923,""en"",""zh-CN"")"),"一名医生走进房间，然后她洗手，用纸巾擦手。")</f>
        <v>一名医生走进房间，然后她洗手，用纸巾擦手。</v>
      </c>
    </row>
    <row r="5924">
      <c r="A5924" s="4" t="s">
        <v>7450</v>
      </c>
      <c r="B5924" s="6" t="s">
        <v>7452</v>
      </c>
      <c r="C5924" s="5" t="str">
        <f>IFERROR(__xludf.DUMMYFUNCTION("GOOGLETRANSLATE(B5924,""en"",""zh-CN"")"),"一名医生正在用肥皂和水洗手，而另一位穿着白色外套的医生则在手机上。")</f>
        <v>一名医生正在用肥皂和水洗手，而另一位穿着白色外套的医生则在手机上。</v>
      </c>
    </row>
    <row r="5925">
      <c r="A5925" s="4" t="s">
        <v>7450</v>
      </c>
      <c r="B5925" s="4" t="s">
        <v>7453</v>
      </c>
      <c r="C5925" s="5" t="str">
        <f>IFERROR(__xludf.DUMMYFUNCTION("GOOGLETRANSLATE(B5925,""en"",""zh-CN"")"),"一个穿着黄色外套的男人正在洗手，然后穿着蓝色衬衫的男人正在接受采访。")</f>
        <v>一个穿着黄色外套的男人正在洗手，然后穿着蓝色衬衫的男人正在接受采访。</v>
      </c>
    </row>
    <row r="5926">
      <c r="A5926" s="4" t="s">
        <v>7454</v>
      </c>
      <c r="B5926" s="4" t="s">
        <v>7455</v>
      </c>
      <c r="C5926" s="5" t="str">
        <f>IFERROR(__xludf.DUMMYFUNCTION("GOOGLETRANSLATE(B5926,""en"",""zh-CN"")"),"一个男人在拿着风笛时说话。")</f>
        <v>一个男人在拿着风笛时说话。</v>
      </c>
    </row>
    <row r="5927">
      <c r="A5927" s="4" t="s">
        <v>7454</v>
      </c>
      <c r="B5927" s="4" t="s">
        <v>7456</v>
      </c>
      <c r="C5927" s="5" t="str">
        <f>IFERROR(__xludf.DUMMYFUNCTION("GOOGLETRANSLATE(B5927,""en"",""zh-CN"")"),"然后，他演奏风笛。")</f>
        <v>然后，他演奏风笛。</v>
      </c>
    </row>
    <row r="5928">
      <c r="A5928" s="4" t="s">
        <v>7454</v>
      </c>
      <c r="B5928" s="4" t="s">
        <v>7457</v>
      </c>
      <c r="C5928" s="5" t="str">
        <f>IFERROR(__xludf.DUMMYFUNCTION("GOOGLETRANSLATE(B5928,""en"",""zh-CN"")"),"那个男人在演奏时移动手指以改变声音。")</f>
        <v>那个男人在演奏时移动手指以改变声音。</v>
      </c>
    </row>
    <row r="5929">
      <c r="A5929" s="4" t="s">
        <v>7458</v>
      </c>
      <c r="B5929" s="4" t="s">
        <v>7459</v>
      </c>
      <c r="C5929" s="5" t="str">
        <f>IFERROR(__xludf.DUMMYFUNCTION("GOOGLETRANSLATE(B5929,""en"",""zh-CN"")"),"一个人在下雪的山上滑雪。")</f>
        <v>一个人在下雪的山上滑雪。</v>
      </c>
    </row>
    <row r="5930">
      <c r="A5930" s="4" t="s">
        <v>7458</v>
      </c>
      <c r="B5930" s="4" t="s">
        <v>7460</v>
      </c>
      <c r="C5930" s="5" t="str">
        <f>IFERROR(__xludf.DUMMYFUNCTION("GOOGLETRANSLATE(B5930,""en"",""zh-CN"")"),"他们跳下跳跃，在空中飞行。")</f>
        <v>他们跳下跳跃，在空中飞行。</v>
      </c>
    </row>
    <row r="5931">
      <c r="A5931" s="4" t="s">
        <v>7458</v>
      </c>
      <c r="B5931" s="4" t="s">
        <v>7461</v>
      </c>
      <c r="C5931" s="5" t="str">
        <f>IFERROR(__xludf.DUMMYFUNCTION("GOOGLETRANSLATE(B5931,""en"",""zh-CN"")"),"他们降落在雪地上，继续下山。")</f>
        <v>他们降落在雪地上，继续下山。</v>
      </c>
    </row>
    <row r="5932">
      <c r="A5932" s="4" t="s">
        <v>7462</v>
      </c>
      <c r="B5932" s="6" t="s">
        <v>7463</v>
      </c>
      <c r="C5932" s="5" t="str">
        <f>IFERROR(__xludf.DUMMYFUNCTION("GOOGLETRANSLATE(B5932,""en"",""zh-CN"")"),"一台相机放大了一辆大卡车，该卡车显示一个人从后面和另一个人走来走去。")</f>
        <v>一台相机放大了一辆大卡车，该卡车显示一个人从后面和另一个人走来走去。</v>
      </c>
    </row>
    <row r="5933">
      <c r="A5933" s="4" t="s">
        <v>7462</v>
      </c>
      <c r="B5933" s="6" t="s">
        <v>7464</v>
      </c>
      <c r="C5933" s="5" t="str">
        <f>IFERROR(__xludf.DUMMYFUNCTION("GOOGLETRANSLATE(B5933,""en"",""zh-CN"")"),"当摄影师对镜头说话时，这些人开始拉绳子并从后部工作。")</f>
        <v>当摄影师对镜头说话时，这些人开始拉绳子并从后部工作。</v>
      </c>
    </row>
    <row r="5934">
      <c r="A5934" s="4" t="s">
        <v>7462</v>
      </c>
      <c r="B5934" s="4" t="s">
        <v>7465</v>
      </c>
      <c r="C5934" s="5" t="str">
        <f>IFERROR(__xludf.DUMMYFUNCTION("GOOGLETRANSLATE(B5934,""en"",""zh-CN"")"),"该男子继续在雪地周围泛滥，看着男人从后面工作。")</f>
        <v>该男子继续在雪地周围泛滥，看着男人从后面工作。</v>
      </c>
    </row>
    <row r="5935">
      <c r="A5935" s="4" t="s">
        <v>7466</v>
      </c>
      <c r="B5935" s="4" t="s">
        <v>7467</v>
      </c>
      <c r="C5935" s="5" t="str">
        <f>IFERROR(__xludf.DUMMYFUNCTION("GOOGLETRANSLATE(B5935,""en"",""zh-CN"")"),"看到一个小孩坐在滑梯的顶部，同时看另一个孩子玩耍。")</f>
        <v>看到一个小孩坐在滑梯的顶部，同时看另一个孩子玩耍。</v>
      </c>
    </row>
    <row r="5936">
      <c r="A5936" s="4" t="s">
        <v>7466</v>
      </c>
      <c r="B5936" s="6" t="s">
        <v>7468</v>
      </c>
      <c r="C5936" s="5" t="str">
        <f>IFERROR(__xludf.DUMMYFUNCTION("GOOGLETRANSLATE(B5936,""en"",""zh-CN"")"),"这个男孩在女孩的协助下再骑着几次幻灯片，一个男人站着抱着婴儿看着。")</f>
        <v>这个男孩在女孩的协助下再骑着几次幻灯片，一个男人站着抱着婴儿看着。</v>
      </c>
    </row>
    <row r="5937">
      <c r="A5937" s="4" t="s">
        <v>7469</v>
      </c>
      <c r="B5937" s="4" t="s">
        <v>7470</v>
      </c>
      <c r="C5937" s="5" t="str">
        <f>IFERROR(__xludf.DUMMYFUNCTION("GOOGLETRANSLATE(B5937,""en"",""zh-CN"")"),"一个女孩看着相机。")</f>
        <v>一个女孩看着相机。</v>
      </c>
    </row>
    <row r="5938">
      <c r="A5938" s="4" t="s">
        <v>7469</v>
      </c>
      <c r="B5938" s="4" t="s">
        <v>7471</v>
      </c>
      <c r="C5938" s="5" t="str">
        <f>IFERROR(__xludf.DUMMYFUNCTION("GOOGLETRANSLATE(B5938,""en"",""zh-CN"")"),"她转过身，正在刷头发。")</f>
        <v>她转过身，正在刷头发。</v>
      </c>
    </row>
    <row r="5939">
      <c r="A5939" s="4" t="s">
        <v>7469</v>
      </c>
      <c r="B5939" s="4" t="s">
        <v>7472</v>
      </c>
      <c r="C5939" s="5" t="str">
        <f>IFERROR(__xludf.DUMMYFUNCTION("GOOGLETRANSLATE(B5939,""en"",""zh-CN"")"),"她正在看手机。")</f>
        <v>她正在看手机。</v>
      </c>
    </row>
    <row r="5940">
      <c r="A5940" s="4" t="s">
        <v>7473</v>
      </c>
      <c r="B5940" s="4" t="s">
        <v>7474</v>
      </c>
      <c r="C5940" s="5" t="str">
        <f>IFERROR(__xludf.DUMMYFUNCTION("GOOGLETRANSLATE(B5940,""en"",""zh-CN"")"),"女人的脚在芭蕾舞中升起时显示出她的脚。")</f>
        <v>女人的脚在芭蕾舞中升起时显示出她的脚。</v>
      </c>
    </row>
    <row r="5941">
      <c r="A5941" s="4" t="s">
        <v>7473</v>
      </c>
      <c r="B5941" s="6" t="s">
        <v>7475</v>
      </c>
      <c r="C5941" s="5" t="str">
        <f>IFERROR(__xludf.DUMMYFUNCTION("GOOGLETRANSLATE(B5941,""en"",""zh-CN"")"),"一个金发女郎正在与镜头说话，她在说话时向她表演各种舞蹈动作。")</f>
        <v>一个金发女郎正在与镜头说话，她在说话时向她表演各种舞蹈动作。</v>
      </c>
    </row>
    <row r="5942">
      <c r="A5942" s="4" t="s">
        <v>7473</v>
      </c>
      <c r="B5942" s="4" t="s">
        <v>7476</v>
      </c>
      <c r="C5942" s="5" t="str">
        <f>IFERROR(__xludf.DUMMYFUNCTION("GOOGLETRANSLATE(B5942,""en"",""zh-CN"")"),"她在每个步骤都缓慢移动。")</f>
        <v>她在每个步骤都缓慢移动。</v>
      </c>
    </row>
    <row r="5943">
      <c r="A5943" s="4" t="s">
        <v>7473</v>
      </c>
      <c r="B5943" s="4" t="s">
        <v>7477</v>
      </c>
      <c r="C5943" s="5" t="str">
        <f>IFERROR(__xludf.DUMMYFUNCTION("GOOGLETRANSLATE(B5943,""en"",""zh-CN"")"),"然后，她停下来说她的最后一句话。")</f>
        <v>然后，她停下来说她的最后一句话。</v>
      </c>
    </row>
    <row r="5944">
      <c r="A5944" s="4" t="s">
        <v>7478</v>
      </c>
      <c r="B5944" s="4" t="s">
        <v>7479</v>
      </c>
      <c r="C5944" s="5" t="str">
        <f>IFERROR(__xludf.DUMMYFUNCTION("GOOGLETRANSLATE(B5944,""en"",""zh-CN"")"),"看到一个大个子走到一个圆圈中，投掷了几杆，将远距离投掷到远处。")</f>
        <v>看到一个大个子走到一个圆圈中，投掷了几杆，将远距离投掷到远处。</v>
      </c>
    </row>
    <row r="5945">
      <c r="A5945" s="4" t="s">
        <v>7478</v>
      </c>
      <c r="B5945" s="4" t="s">
        <v>7480</v>
      </c>
      <c r="C5945" s="5" t="str">
        <f>IFERROR(__xludf.DUMMYFUNCTION("GOOGLETRANSLATE(B5945,""en"",""zh-CN"")"),"看到又有几名男子走到圈子上，将射门投掷到远处。")</f>
        <v>看到又有几名男子走到圈子上，将射门投掷到远处。</v>
      </c>
    </row>
    <row r="5946">
      <c r="A5946" s="4" t="s">
        <v>7478</v>
      </c>
      <c r="B5946" s="4" t="s">
        <v>7481</v>
      </c>
      <c r="C5946" s="5" t="str">
        <f>IFERROR(__xludf.DUMMYFUNCTION("GOOGLETRANSLATE(B5946,""en"",""zh-CN"")"),"看到观众中的人们彼此欢呼，因为最终显示了他们的分数。")</f>
        <v>看到观众中的人们彼此欢呼，因为最终显示了他们的分数。</v>
      </c>
    </row>
    <row r="5947">
      <c r="A5947" s="4" t="s">
        <v>7482</v>
      </c>
      <c r="B5947" s="4" t="s">
        <v>7483</v>
      </c>
      <c r="C5947" s="5" t="str">
        <f>IFERROR(__xludf.DUMMYFUNCTION("GOOGLETRANSLATE(B5947,""en"",""zh-CN"")"),"一个男人在相机上说话，而另一个男人则坐在他身后的一块运动器材上。")</f>
        <v>一个男人在相机上说话，而另一个男人则坐在他身后的一块运动器材上。</v>
      </c>
    </row>
    <row r="5948">
      <c r="A5948" s="4" t="s">
        <v>7482</v>
      </c>
      <c r="B5948" s="4" t="s">
        <v>7484</v>
      </c>
      <c r="C5948" s="5" t="str">
        <f>IFERROR(__xludf.DUMMYFUNCTION("GOOGLETRANSLATE(B5948,""en"",""zh-CN"")"),"讲师继续在男人附近四处走动，并让他展示如何机械工作。")</f>
        <v>讲师继续在男人附近四处走动，并让他展示如何机械工作。</v>
      </c>
    </row>
    <row r="5949">
      <c r="A5949" s="4" t="s">
        <v>7482</v>
      </c>
      <c r="B5949" s="4" t="s">
        <v>7485</v>
      </c>
      <c r="C5949" s="5" t="str">
        <f>IFERROR(__xludf.DUMMYFUNCTION("GOOGLETRANSLATE(B5949,""en"",""zh-CN"")"),"他指着自己的身体表现出肌肉有效，并在男人锻炼周围走动。")</f>
        <v>他指着自己的身体表现出肌肉有效，并在男人锻炼周围走动。</v>
      </c>
    </row>
    <row r="5950">
      <c r="A5950" s="4" t="s">
        <v>7486</v>
      </c>
      <c r="B5950" s="4" t="s">
        <v>7487</v>
      </c>
      <c r="C5950" s="5" t="str">
        <f>IFERROR(__xludf.DUMMYFUNCTION("GOOGLETRANSLATE(B5950,""en"",""zh-CN"")"),"一名体操运动员在准备好时湿透了粉笔。")</f>
        <v>一名体操运动员在准备好时湿透了粉笔。</v>
      </c>
    </row>
    <row r="5951">
      <c r="A5951" s="4" t="s">
        <v>7486</v>
      </c>
      <c r="B5951" s="4" t="s">
        <v>7488</v>
      </c>
      <c r="C5951" s="5" t="str">
        <f>IFERROR(__xludf.DUMMYFUNCTION("GOOGLETRANSLATE(B5951,""en"",""zh-CN"")"),"体操运动员站在平台上，将自己摇摆到一组双杆上。")</f>
        <v>体操运动员站在平台上，将自己摇摆到一组双杆上。</v>
      </c>
    </row>
    <row r="5952">
      <c r="A5952" s="4" t="s">
        <v>7486</v>
      </c>
      <c r="B5952" s="4" t="s">
        <v>7489</v>
      </c>
      <c r="C5952" s="5" t="str">
        <f>IFERROR(__xludf.DUMMYFUNCTION("GOOGLETRANSLATE(B5952,""en"",""zh-CN"")"),"体操运动员在比赛中进行了双杆例程。")</f>
        <v>体操运动员在比赛中进行了双杆例程。</v>
      </c>
    </row>
    <row r="5953">
      <c r="A5953" s="4" t="s">
        <v>7486</v>
      </c>
      <c r="B5953" s="4" t="s">
        <v>7490</v>
      </c>
      <c r="C5953" s="5" t="str">
        <f>IFERROR(__xludf.DUMMYFUNCTION("GOOGLETRANSLATE(B5953,""en"",""zh-CN"")"),"体操运动员不小心在酒吧上撞到他的腿，使他停下来。")</f>
        <v>体操运动员不小心在酒吧上撞到他的腿，使他停下来。</v>
      </c>
    </row>
    <row r="5954">
      <c r="A5954" s="4" t="s">
        <v>7486</v>
      </c>
      <c r="B5954" s="4" t="s">
        <v>7491</v>
      </c>
      <c r="C5954" s="5" t="str">
        <f>IFERROR(__xludf.DUMMYFUNCTION("GOOGLETRANSLATE(B5954,""en"",""zh-CN"")"),"体操运动员从双杆上卸下，并降落在垫子上。")</f>
        <v>体操运动员从双杆上卸下，并降落在垫子上。</v>
      </c>
    </row>
    <row r="5955">
      <c r="A5955" s="4" t="s">
        <v>7486</v>
      </c>
      <c r="B5955" s="4" t="s">
        <v>7492</v>
      </c>
      <c r="C5955" s="5" t="str">
        <f>IFERROR(__xludf.DUMMYFUNCTION("GOOGLETRANSLATE(B5955,""en"",""zh-CN"")"),"一名女体操运动员坐在椅子上，等待她的轮胎。")</f>
        <v>一名女体操运动员坐在椅子上，等待她的轮胎。</v>
      </c>
    </row>
    <row r="5956">
      <c r="A5956" s="4" t="s">
        <v>7486</v>
      </c>
      <c r="B5956" s="4" t="s">
        <v>7493</v>
      </c>
      <c r="C5956" s="5" t="str">
        <f>IFERROR(__xludf.DUMMYFUNCTION("GOOGLETRANSLATE(B5956,""en"",""zh-CN"")"),"女性体操运动员在例行前伸出手臂。")</f>
        <v>女性体操运动员在例行前伸出手臂。</v>
      </c>
    </row>
    <row r="5957">
      <c r="A5957" s="4" t="s">
        <v>7486</v>
      </c>
      <c r="B5957" s="4" t="s">
        <v>7494</v>
      </c>
      <c r="C5957" s="5" t="str">
        <f>IFERROR(__xludf.DUMMYFUNCTION("GOOGLETRANSLATE(B5957,""en"",""zh-CN"")"),"一个重播显示了双杆上体操运动员的亮点。")</f>
        <v>一个重播显示了双杆上体操运动员的亮点。</v>
      </c>
    </row>
    <row r="5958">
      <c r="A5958" s="4" t="s">
        <v>7495</v>
      </c>
      <c r="B5958" s="4" t="s">
        <v>7496</v>
      </c>
      <c r="C5958" s="5" t="str">
        <f>IFERROR(__xludf.DUMMYFUNCTION("GOOGLETRANSLATE(B5958,""en"",""zh-CN"")"),"一个男人把黑色的镜头放在他的眼中。")</f>
        <v>一个男人把黑色的镜头放在他的眼中。</v>
      </c>
    </row>
    <row r="5959">
      <c r="A5959" s="4" t="s">
        <v>7495</v>
      </c>
      <c r="B5959" s="4" t="s">
        <v>7497</v>
      </c>
      <c r="C5959" s="5" t="str">
        <f>IFERROR(__xludf.DUMMYFUNCTION("GOOGLETRANSLATE(B5959,""en"",""zh-CN"")"),"然后，那个男人脱下镜头，然后再次放置。")</f>
        <v>然后，那个男人脱下镜头，然后再次放置。</v>
      </c>
    </row>
    <row r="5960">
      <c r="A5960" s="4" t="s">
        <v>7498</v>
      </c>
      <c r="B5960" s="4" t="s">
        <v>7499</v>
      </c>
      <c r="C5960" s="5" t="str">
        <f>IFERROR(__xludf.DUMMYFUNCTION("GOOGLETRANSLATE(B5960,""en"",""zh-CN"")"),"看到一个男人向前弯曲，抓住了一大堆重物，并将其举起肩膀。")</f>
        <v>看到一个男人向前弯曲，抓住了一大堆重物，并将其举起肩膀。</v>
      </c>
    </row>
    <row r="5961">
      <c r="A5961" s="4" t="s">
        <v>7498</v>
      </c>
      <c r="B5961" s="4" t="s">
        <v>7500</v>
      </c>
      <c r="C5961" s="5" t="str">
        <f>IFERROR(__xludf.DUMMYFUNCTION("GOOGLETRANSLATE(B5961,""en"",""zh-CN"")"),"然后，该男子将其抬起头，然后将其扔回去。")</f>
        <v>然后，该男子将其抬起头，然后将其扔回去。</v>
      </c>
    </row>
    <row r="5962">
      <c r="A5962" s="4" t="s">
        <v>7501</v>
      </c>
      <c r="B5962" s="4" t="s">
        <v>7502</v>
      </c>
      <c r="C5962" s="5" t="str">
        <f>IFERROR(__xludf.DUMMYFUNCTION("GOOGLETRANSLATE(B5962,""en"",""zh-CN"")"),"一名黑人男运动员在球场上奔跑，然后跳跃并降落在桑迪田地。")</f>
        <v>一名黑人男运动员在球场上奔跑，然后跳跃并降落在桑迪田地。</v>
      </c>
    </row>
    <row r="5963">
      <c r="A5963" s="4" t="s">
        <v>7501</v>
      </c>
      <c r="B5963" s="4" t="s">
        <v>7503</v>
      </c>
      <c r="C5963" s="5" t="str">
        <f>IFERROR(__xludf.DUMMYFUNCTION("GOOGLETRANSLATE(B5963,""en"",""zh-CN"")"),"运动员跑来跑去，跪下并祈祷。")</f>
        <v>运动员跑来跑去，跪下并祈祷。</v>
      </c>
    </row>
    <row r="5964">
      <c r="A5964" s="4" t="s">
        <v>7501</v>
      </c>
      <c r="B5964" s="6" t="s">
        <v>7504</v>
      </c>
      <c r="C5964" s="5" t="str">
        <f>IFERROR(__xludf.DUMMYFUNCTION("GOOGLETRANSLATE(B5964,""en"",""zh-CN"")"),"当他伸手去拿那个女人时，运动员奔跑并撕开了衬衫，并给她一个拥抱和欢呼。")</f>
        <v>当他伸手去拿那个女人时，运动员奔跑并撕开了衬衫，并给她一个拥抱和欢呼。</v>
      </c>
    </row>
    <row r="5965">
      <c r="A5965" s="4" t="s">
        <v>7505</v>
      </c>
      <c r="B5965" s="4" t="s">
        <v>7506</v>
      </c>
      <c r="C5965" s="5" t="str">
        <f>IFERROR(__xludf.DUMMYFUNCTION("GOOGLETRANSLATE(B5965,""en"",""zh-CN"")"),"一个男人跪在水槽前。")</f>
        <v>一个男人跪在水槽前。</v>
      </c>
    </row>
    <row r="5966">
      <c r="A5966" s="4" t="s">
        <v>7505</v>
      </c>
      <c r="B5966" s="4" t="s">
        <v>7507</v>
      </c>
      <c r="C5966" s="5" t="str">
        <f>IFERROR(__xludf.DUMMYFUNCTION("GOOGLETRANSLATE(B5966,""en"",""zh-CN"")"),"他开始用海绵擦洗水槽内部。")</f>
        <v>他开始用海绵擦洗水槽内部。</v>
      </c>
    </row>
    <row r="5967">
      <c r="A5967" s="4" t="s">
        <v>7505</v>
      </c>
      <c r="B5967" s="4" t="s">
        <v>7508</v>
      </c>
      <c r="C5967" s="5" t="str">
        <f>IFERROR(__xludf.DUMMYFUNCTION("GOOGLETRANSLATE(B5967,""en"",""zh-CN"")"),"他拿起一条白色毛巾，从柜台上擦去并下沉。")</f>
        <v>他拿起一条白色毛巾，从柜台上擦去并下沉。</v>
      </c>
    </row>
    <row r="5968">
      <c r="A5968" s="4" t="s">
        <v>7505</v>
      </c>
      <c r="B5968" s="4" t="s">
        <v>7509</v>
      </c>
      <c r="C5968" s="5" t="str">
        <f>IFERROR(__xludf.DUMMYFUNCTION("GOOGLETRANSLATE(B5968,""en"",""zh-CN"")"),"他用风将镜子喷洒，擦掉镜子。")</f>
        <v>他用风将镜子喷洒，擦掉镜子。</v>
      </c>
    </row>
    <row r="5969">
      <c r="A5969" s="4" t="s">
        <v>7510</v>
      </c>
      <c r="B5969" s="4" t="s">
        <v>7511</v>
      </c>
      <c r="C5969" s="5" t="str">
        <f>IFERROR(__xludf.DUMMYFUNCTION("GOOGLETRANSLATE(B5969,""en"",""zh-CN"")"),"一条快速的河流经过一棵树。")</f>
        <v>一条快速的河流经过一棵树。</v>
      </c>
    </row>
    <row r="5970">
      <c r="A5970" s="4" t="s">
        <v>7510</v>
      </c>
      <c r="B5970" s="4" t="s">
        <v>7512</v>
      </c>
      <c r="C5970" s="5" t="str">
        <f>IFERROR(__xludf.DUMMYFUNCTION("GOOGLETRANSLATE(B5970,""en"",""zh-CN"")"),"一群a子戴上了他们的装备，将木筏推入水中。")</f>
        <v>一群a子戴上了他们的装备，将木筏推入水中。</v>
      </c>
    </row>
    <row r="5971">
      <c r="A5971" s="4" t="s">
        <v>7510</v>
      </c>
      <c r="B5971" s="4" t="s">
        <v>7513</v>
      </c>
      <c r="C5971" s="5" t="str">
        <f>IFERROR(__xludf.DUMMYFUNCTION("GOOGLETRANSLATE(B5971,""en"",""zh-CN"")"),"桨穿过急流，试图保持直立和在一起。")</f>
        <v>桨穿过急流，试图保持直立和在一起。</v>
      </c>
    </row>
    <row r="5972">
      <c r="A5972" s="4" t="s">
        <v>7514</v>
      </c>
      <c r="B5972" s="4" t="s">
        <v>7515</v>
      </c>
      <c r="C5972" s="5" t="str">
        <f>IFERROR(__xludf.DUMMYFUNCTION("GOOGLETRANSLATE(B5972,""en"",""zh-CN"")"),"看到一大批孩子站在田野上，彼此玩游戏。")</f>
        <v>看到一大批孩子站在田野上，彼此玩游戏。</v>
      </c>
    </row>
    <row r="5973">
      <c r="A5973" s="4" t="s">
        <v>7514</v>
      </c>
      <c r="B5973" s="4" t="s">
        <v>7516</v>
      </c>
      <c r="C5973" s="5" t="str">
        <f>IFERROR(__xludf.DUMMYFUNCTION("GOOGLETRANSLATE(B5973,""en"",""zh-CN"")"),"一个男孩将球扔到另一个，另一个男孩将球踢到远处。")</f>
        <v>一个男孩将球扔到另一个，另一个男孩将球踢到远处。</v>
      </c>
    </row>
    <row r="5974">
      <c r="A5974" s="4" t="s">
        <v>7514</v>
      </c>
      <c r="B5974" s="4" t="s">
        <v>7517</v>
      </c>
      <c r="C5974" s="5" t="str">
        <f>IFERROR(__xludf.DUMMYFUNCTION("GOOGLETRANSLATE(B5974,""en"",""zh-CN"")"),"孩子们继续互相比赛，并沿着球场奔跑。")</f>
        <v>孩子们继续互相比赛，并沿着球场奔跑。</v>
      </c>
    </row>
    <row r="5975">
      <c r="A5975" s="4" t="s">
        <v>7518</v>
      </c>
      <c r="B5975" s="4" t="s">
        <v>7519</v>
      </c>
      <c r="C5975" s="5" t="str">
        <f>IFERROR(__xludf.DUMMYFUNCTION("GOOGLETRANSLATE(B5975,""en"",""zh-CN"")"),"三名男子穿着悬挂式悬挂的衣服穿着沉重的衣服站在一起。")</f>
        <v>三名男子穿着悬挂式悬挂的衣服穿着沉重的衣服站在一起。</v>
      </c>
    </row>
    <row r="5976">
      <c r="A5976" s="4" t="s">
        <v>7518</v>
      </c>
      <c r="B5976" s="6" t="s">
        <v>7520</v>
      </c>
      <c r="C5976" s="5" t="str">
        <f>IFERROR(__xludf.DUMMYFUNCTION("GOOGLETRANSLATE(B5976,""en"",""zh-CN"")"),"最后的两个人撞到了皮带下方的中间，他痛苦地跌落到地面上。")</f>
        <v>最后的两个人撞到了皮带下方的中间，他痛苦地跌落到地面上。</v>
      </c>
    </row>
    <row r="5977">
      <c r="A5977" s="4" t="s">
        <v>7518</v>
      </c>
      <c r="B5977" s="4" t="s">
        <v>7521</v>
      </c>
      <c r="C5977" s="5" t="str">
        <f>IFERROR(__xludf.DUMMYFUNCTION("GOOGLETRANSLATE(B5977,""en"",""zh-CN"")"),"从走廊上行走的后面看到其中一个人。")</f>
        <v>从走廊上行走的后面看到其中一个人。</v>
      </c>
    </row>
    <row r="5978">
      <c r="A5978" s="4" t="s">
        <v>7518</v>
      </c>
      <c r="B5978" s="4" t="s">
        <v>7522</v>
      </c>
      <c r="C5978" s="5" t="str">
        <f>IFERROR(__xludf.DUMMYFUNCTION("GOOGLETRANSLATE(B5978,""en"",""zh-CN"")"),"该男子坐在坡道上准备的BMX自行车上。")</f>
        <v>该男子坐在坡道上准备的BMX自行车上。</v>
      </c>
    </row>
    <row r="5979">
      <c r="A5979" s="4" t="s">
        <v>7518</v>
      </c>
      <c r="B5979" s="4" t="s">
        <v>7523</v>
      </c>
      <c r="C5979" s="5" t="str">
        <f>IFERROR(__xludf.DUMMYFUNCTION("GOOGLETRANSLATE(B5979,""en"",""zh-CN"")"),"该男子掉进坡道，跌倒在底部。")</f>
        <v>该男子掉进坡道，跌倒在底部。</v>
      </c>
    </row>
    <row r="5980">
      <c r="A5980" s="4" t="s">
        <v>7518</v>
      </c>
      <c r="B5980" s="4" t="s">
        <v>7524</v>
      </c>
      <c r="C5980" s="5" t="str">
        <f>IFERROR(__xludf.DUMMYFUNCTION("GOOGLETRANSLATE(B5980,""en"",""zh-CN"")"),"这个男人确实欺骗并跳上骑自行车的坡道。")</f>
        <v>这个男人确实欺骗并跳上骑自行车的坡道。</v>
      </c>
    </row>
    <row r="5981">
      <c r="A5981" s="4" t="s">
        <v>7518</v>
      </c>
      <c r="B5981" s="4" t="s">
        <v>7525</v>
      </c>
      <c r="C5981" s="5" t="str">
        <f>IFERROR(__xludf.DUMMYFUNCTION("GOOGLETRANSLATE(B5981,""en"",""zh-CN"")"),"一名穿着紫色的男人穿着带衬垫西装的滑板板公园。")</f>
        <v>一名穿着紫色的男人穿着带衬垫西装的滑板板公园。</v>
      </c>
    </row>
    <row r="5982">
      <c r="A5982" s="4" t="s">
        <v>7518</v>
      </c>
      <c r="B5982" s="4" t="s">
        <v>7526</v>
      </c>
      <c r="C5982" s="5" t="str">
        <f>IFERROR(__xludf.DUMMYFUNCTION("GOOGLETRANSLATE(B5982,""en"",""zh-CN"")"),"另一个穿着灰色衬衫的男人在半管坡道上骑滑板，并做窍门。")</f>
        <v>另一个穿着灰色衬衫的男人在半管坡道上骑滑板，并做窍门。</v>
      </c>
    </row>
    <row r="5983">
      <c r="A5983" s="4" t="s">
        <v>7518</v>
      </c>
      <c r="B5983" s="4" t="s">
        <v>7527</v>
      </c>
      <c r="C5983" s="5" t="str">
        <f>IFERROR(__xludf.DUMMYFUNCTION("GOOGLETRANSLATE(B5983,""en"",""zh-CN"")"),"这三个人一起骑在大型坡道上。")</f>
        <v>这三个人一起骑在大型坡道上。</v>
      </c>
    </row>
    <row r="5984">
      <c r="A5984" s="4" t="s">
        <v>7518</v>
      </c>
      <c r="B5984" s="4" t="s">
        <v>7528</v>
      </c>
      <c r="C5984" s="5" t="str">
        <f>IFERROR(__xludf.DUMMYFUNCTION("GOOGLETRANSLATE(B5984,""en"",""zh-CN"")"),"紫色瀑布的那个人被滑板击中了脸。")</f>
        <v>紫色瀑布的那个人被滑板击中了脸。</v>
      </c>
    </row>
    <row r="5985">
      <c r="A5985" s="4" t="s">
        <v>7529</v>
      </c>
      <c r="B5985" s="4" t="s">
        <v>7530</v>
      </c>
      <c r="C5985" s="5" t="str">
        <f>IFERROR(__xludf.DUMMYFUNCTION("GOOGLETRANSLATE(B5985,""en"",""zh-CN"")"),"两个人跪着拿着彩弹枪。")</f>
        <v>两个人跪着拿着彩弹枪。</v>
      </c>
    </row>
    <row r="5986">
      <c r="A5986" s="4" t="s">
        <v>7529</v>
      </c>
      <c r="B5986" s="4" t="s">
        <v>7531</v>
      </c>
      <c r="C5986" s="5" t="str">
        <f>IFERROR(__xludf.DUMMYFUNCTION("GOOGLETRANSLATE(B5986,""en"",""zh-CN"")"),"他们拿着彩弹枪走在街上。")</f>
        <v>他们拿着彩弹枪走在街上。</v>
      </c>
    </row>
    <row r="5987">
      <c r="A5987" s="4" t="s">
        <v>7529</v>
      </c>
      <c r="B5987" s="4" t="s">
        <v>7532</v>
      </c>
      <c r="C5987" s="5" t="str">
        <f>IFERROR(__xludf.DUMMYFUNCTION("GOOGLETRANSLATE(B5987,""en"",""zh-CN"")"),"他们开始玩彩漆游戏。")</f>
        <v>他们开始玩彩漆游戏。</v>
      </c>
    </row>
    <row r="5988">
      <c r="A5988" s="4" t="s">
        <v>7533</v>
      </c>
      <c r="B5988" s="4" t="s">
        <v>7534</v>
      </c>
      <c r="C5988" s="5" t="str">
        <f>IFERROR(__xludf.DUMMYFUNCTION("GOOGLETRANSLATE(B5988,""en"",""zh-CN"")"),"看到一个人穿着蓝色衬衫，站在篱笆前。")</f>
        <v>看到一个人穿着蓝色衬衫，站在篱笆前。</v>
      </c>
    </row>
    <row r="5989">
      <c r="A5989" s="4" t="s">
        <v>7533</v>
      </c>
      <c r="B5989" s="4" t="s">
        <v>7535</v>
      </c>
      <c r="C5989" s="5" t="str">
        <f>IFERROR(__xludf.DUMMYFUNCTION("GOOGLETRANSLATE(B5989,""en"",""zh-CN"")"),"该人在栅栏前向下弯曲，然后开始向下喷涂。")</f>
        <v>该人在栅栏前向下弯曲，然后开始向下喷涂。</v>
      </c>
    </row>
    <row r="5990">
      <c r="A5990" s="4" t="s">
        <v>7533</v>
      </c>
      <c r="B5990" s="4" t="s">
        <v>7536</v>
      </c>
      <c r="C5990" s="5" t="str">
        <f>IFERROR(__xludf.DUMMYFUNCTION("GOOGLETRANSLATE(B5990,""en"",""zh-CN"")"),"当相机从后面捕获时，该人继续喷洒围栏。")</f>
        <v>当相机从后面捕获时，该人继续喷洒围栏。</v>
      </c>
    </row>
    <row r="5991">
      <c r="A5991" s="4" t="s">
        <v>7537</v>
      </c>
      <c r="B5991" s="6" t="s">
        <v>7538</v>
      </c>
      <c r="C5991" s="5" t="str">
        <f>IFERROR(__xludf.DUMMYFUNCTION("GOOGLETRANSLATE(B5991,""en"",""zh-CN"")"),"三个男人正坐在沙发上，中间微笑着那个男人，右边的那个男人扮演口琴，最左边的那个男人握住他的手指到上唇区域，并用嘴唇发出声音，然后用它拔出声音。他的手。")</f>
        <v>三个男人正坐在沙发上，中间微笑着那个男人，右边的那个男人扮演口琴，最左边的那个男人握住他的手指到上唇区域，并用嘴唇发出声音，然后用它拔出声音。他的手。</v>
      </c>
    </row>
    <row r="5992">
      <c r="A5992" s="4" t="s">
        <v>7537</v>
      </c>
      <c r="B5992" s="4" t="s">
        <v>7539</v>
      </c>
      <c r="C5992" s="5" t="str">
        <f>IFERROR(__xludf.DUMMYFUNCTION("GOOGLETRANSLATE(B5992,""en"",""zh-CN"")"),"当两个男人演奏音乐时，右边的那个人敲打了他的脚。")</f>
        <v>当两个男人演奏音乐时，右边的那个人敲打了他的脚。</v>
      </c>
    </row>
    <row r="5993">
      <c r="A5993" s="4" t="s">
        <v>7537</v>
      </c>
      <c r="B5993" s="4" t="s">
        <v>7540</v>
      </c>
      <c r="C5993" s="5" t="str">
        <f>IFERROR(__xludf.DUMMYFUNCTION("GOOGLETRANSLATE(B5993,""en"",""zh-CN"")"),"摄像机朝着站在房间侧面的旁观者看着和微笑的旁观者。")</f>
        <v>摄像机朝着站在房间侧面的旁观者看着和微笑的旁观者。</v>
      </c>
    </row>
    <row r="5994">
      <c r="A5994" s="4" t="s">
        <v>7537</v>
      </c>
      <c r="B5994" s="4" t="s">
        <v>7541</v>
      </c>
      <c r="C5994" s="5" t="str">
        <f>IFERROR(__xludf.DUMMYFUNCTION("GOOGLETRANSLATE(B5994,""en"",""zh-CN"")"),"两个人停止玩耍，当其他两个人微笑时，中间的男人耸了耸肩。")</f>
        <v>两个人停止玩耍，当其他两个人微笑时，中间的男人耸了耸肩。</v>
      </c>
    </row>
    <row r="5995">
      <c r="A5995" s="4" t="s">
        <v>7542</v>
      </c>
      <c r="B5995" s="6" t="s">
        <v>7543</v>
      </c>
      <c r="C5995" s="5" t="str">
        <f>IFERROR(__xludf.DUMMYFUNCTION("GOOGLETRANSLATE(B5995,""en"",""zh-CN"")"),"三个小孩，两个女孩和一个男孩在海滩上玩耍，随着海浪继续进出，将沙子堆放在一大堆上。")</f>
        <v>三个小孩，两个女孩和一个男孩在海滩上玩耍，随着海浪继续进出，将沙子堆放在一大堆上。</v>
      </c>
    </row>
    <row r="5996">
      <c r="A5996" s="4" t="s">
        <v>7542</v>
      </c>
      <c r="B5996" s="6" t="s">
        <v>7544</v>
      </c>
      <c r="C5996" s="5" t="str">
        <f>IFERROR(__xludf.DUMMYFUNCTION("GOOGLETRANSLATE(B5996,""en"",""zh-CN"")"),"然后，摄像机的人在海滩周围摇晃，以展示其余的海滩和其他各种各样的人。")</f>
        <v>然后，摄像机的人在海滩周围摇晃，以展示其余的海滩和其他各种各样的人。</v>
      </c>
    </row>
    <row r="5997">
      <c r="A5997" s="4" t="s">
        <v>7542</v>
      </c>
      <c r="B5997" s="4" t="s">
        <v>7545</v>
      </c>
      <c r="C5997" s="5" t="str">
        <f>IFERROR(__xludf.DUMMYFUNCTION("GOOGLETRANSLATE(B5997,""en"",""zh-CN"")"),"然后，相机人员专注于两个女人说话和站在一起。")</f>
        <v>然后，相机人员专注于两个女人说话和站在一起。</v>
      </c>
    </row>
    <row r="5998">
      <c r="A5998" s="4" t="s">
        <v>7542</v>
      </c>
      <c r="B5998" s="6" t="s">
        <v>7546</v>
      </c>
      <c r="C5998" s="5" t="str">
        <f>IFERROR(__xludf.DUMMYFUNCTION("GOOGLETRANSLATE(B5998,""en"",""zh-CN"")"),"然后将重点放在沙滩上的孩子们，这些孩子继续挖进沙子，然后堆成一堆大堆。")</f>
        <v>然后将重点放在沙滩上的孩子们，这些孩子继续挖进沙子，然后堆成一堆大堆。</v>
      </c>
    </row>
    <row r="5999">
      <c r="A5999" s="4" t="s">
        <v>7542</v>
      </c>
      <c r="B5999" s="6" t="s">
        <v>7547</v>
      </c>
      <c r="C5999" s="5" t="str">
        <f>IFERROR(__xludf.DUMMYFUNCTION("GOOGLETRANSLATE(B5999,""en"",""zh-CN"")"),"然后，一个女孩用光了，另一个女孩和唯一的男孩留在了一小堆沙子附近。")</f>
        <v>然后，一个女孩用光了，另一个女孩和唯一的男孩留在了一小堆沙子附近。</v>
      </c>
    </row>
    <row r="6000">
      <c r="A6000" s="4" t="s">
        <v>7548</v>
      </c>
      <c r="B6000" s="6" t="s">
        <v>7549</v>
      </c>
      <c r="C6000" s="5" t="str">
        <f>IFERROR(__xludf.DUMMYFUNCTION("GOOGLETRANSLATE(B6000,""en"",""zh-CN"")"),"一个有金色头发和红色指甲的女孩坐在卧室的椅子上，在吸烟时与镜头交谈，并炫耀一瓶蓝色的指甲油。")</f>
        <v>一个有金色头发和红色指甲的女孩坐在卧室的椅子上，在吸烟时与镜头交谈，并炫耀一瓶蓝色的指甲油。</v>
      </c>
    </row>
    <row r="6001">
      <c r="A6001" s="4" t="s">
        <v>7548</v>
      </c>
      <c r="B6001" s="6" t="s">
        <v>7550</v>
      </c>
      <c r="C6001" s="5" t="str">
        <f>IFERROR(__xludf.DUMMYFUNCTION("GOOGLETRANSLATE(B6001,""en"",""zh-CN"")"),"女孩从椅子上的相机滚开，以获取一瓶蓝色指甲油，然后将其固定在屏幕上。")</f>
        <v>女孩从椅子上的相机滚开，以获取一瓶蓝色指甲油，然后将其固定在屏幕上。</v>
      </c>
    </row>
    <row r="6002">
      <c r="A6002" s="4" t="s">
        <v>7548</v>
      </c>
      <c r="B6002" s="4" t="s">
        <v>7551</v>
      </c>
      <c r="C6002" s="5" t="str">
        <f>IFERROR(__xludf.DUMMYFUNCTION("GOOGLETRANSLATE(B6002,""en"",""zh-CN"")"),"然后，女孩在说话时开始在相机前抽烟。")</f>
        <v>然后，女孩在说话时开始在相机前抽烟。</v>
      </c>
    </row>
    <row r="6003">
      <c r="A6003" s="4" t="s">
        <v>7548</v>
      </c>
      <c r="B6003" s="4" t="s">
        <v>7552</v>
      </c>
      <c r="C6003" s="5" t="str">
        <f>IFERROR(__xludf.DUMMYFUNCTION("GOOGLETRANSLATE(B6003,""en"",""zh-CN"")"),"终于，女孩花了一个长时间的吸气，然后俯身向相机呼气，然后倒下。")</f>
        <v>终于，女孩花了一个长时间的吸气，然后俯身向相机呼气，然后倒下。</v>
      </c>
    </row>
    <row r="6004">
      <c r="A6004" s="4" t="s">
        <v>7553</v>
      </c>
      <c r="B6004" s="4" t="s">
        <v>7554</v>
      </c>
      <c r="C6004" s="5" t="str">
        <f>IFERROR(__xludf.DUMMYFUNCTION("GOOGLETRANSLATE(B6004,""en"",""zh-CN"")"),"戴上头盔摄像头，然后一个男人滑板。")</f>
        <v>戴上头盔摄像头，然后一个男人滑板。</v>
      </c>
    </row>
    <row r="6005">
      <c r="A6005" s="4" t="s">
        <v>7553</v>
      </c>
      <c r="B6005" s="4" t="s">
        <v>7555</v>
      </c>
      <c r="C6005" s="5" t="str">
        <f>IFERROR(__xludf.DUMMYFUNCTION("GOOGLETRANSLATE(B6005,""en"",""zh-CN"")"),"他放大了整个城市，并在高速公路上。")</f>
        <v>他放大了整个城市，并在高速公路上。</v>
      </c>
    </row>
    <row r="6006">
      <c r="A6006" s="4" t="s">
        <v>7553</v>
      </c>
      <c r="B6006" s="4" t="s">
        <v>7556</v>
      </c>
      <c r="C6006" s="5" t="str">
        <f>IFERROR(__xludf.DUMMYFUNCTION("GOOGLETRANSLATE(B6006,""en"",""zh-CN"")"),"他经过卡车和其他人。")</f>
        <v>他经过卡车和其他人。</v>
      </c>
    </row>
    <row r="6007">
      <c r="A6007" s="4" t="s">
        <v>7557</v>
      </c>
      <c r="B6007" s="4" t="s">
        <v>7558</v>
      </c>
      <c r="C6007" s="5" t="str">
        <f>IFERROR(__xludf.DUMMYFUNCTION("GOOGLETRANSLATE(B6007,""en"",""zh-CN"")"),"一个人站在一个田野里。")</f>
        <v>一个人站在一个田野里。</v>
      </c>
    </row>
    <row r="6008">
      <c r="A6008" s="4" t="s">
        <v>7557</v>
      </c>
      <c r="B6008" s="4" t="s">
        <v>7559</v>
      </c>
      <c r="C6008" s="5" t="str">
        <f>IFERROR(__xludf.DUMMYFUNCTION("GOOGLETRANSLATE(B6008,""en"",""zh-CN"")"),"他用槌球槌击中保龄球，然后举起一个带有大8号大的保龄球。")</f>
        <v>他用槌球槌击中保龄球，然后举起一个带有大8号大的保龄球。</v>
      </c>
    </row>
    <row r="6009">
      <c r="A6009" s="4" t="s">
        <v>7557</v>
      </c>
      <c r="B6009" s="4" t="s">
        <v>7560</v>
      </c>
      <c r="C6009" s="5" t="str">
        <f>IFERROR(__xludf.DUMMYFUNCTION("GOOGLETRANSLATE(B6009,""en"",""zh-CN"")"),"一个拥有大圣杯的女人在同一领域说话。")</f>
        <v>一个拥有大圣杯的女人在同一领域说话。</v>
      </c>
    </row>
    <row r="6010">
      <c r="A6010" s="4" t="s">
        <v>7557</v>
      </c>
      <c r="B6010" s="4" t="s">
        <v>7561</v>
      </c>
      <c r="C6010" s="5" t="str">
        <f>IFERROR(__xludf.DUMMYFUNCTION("GOOGLETRANSLATE(B6010,""en"",""zh-CN"")"),"汽车经过，人们在后台走来走去。")</f>
        <v>汽车经过，人们在后台走来走去。</v>
      </c>
    </row>
    <row r="6011">
      <c r="A6011" s="4" t="s">
        <v>7557</v>
      </c>
      <c r="B6011" s="4" t="s">
        <v>7562</v>
      </c>
      <c r="C6011" s="5" t="str">
        <f>IFERROR(__xludf.DUMMYFUNCTION("GOOGLETRANSLATE(B6011,""en"",""zh-CN"")"),"一半被切成一半的保龄球在地面上。")</f>
        <v>一半被切成一半的保龄球在地面上。</v>
      </c>
    </row>
    <row r="6012">
      <c r="A6012" s="4" t="s">
        <v>7557</v>
      </c>
      <c r="B6012" s="4" t="s">
        <v>7563</v>
      </c>
      <c r="C6012" s="5" t="str">
        <f>IFERROR(__xludf.DUMMYFUNCTION("GOOGLETRANSLATE(B6012,""en"",""zh-CN"")"),"几个孩子看着半保龄球。")</f>
        <v>几个孩子看着半保龄球。</v>
      </c>
    </row>
    <row r="6013">
      <c r="A6013" s="4" t="s">
        <v>7557</v>
      </c>
      <c r="B6013" s="4" t="s">
        <v>7564</v>
      </c>
      <c r="C6013" s="5" t="str">
        <f>IFERROR(__xludf.DUMMYFUNCTION("GOOGLETRANSLATE(B6013,""en"",""zh-CN"")"),"一个男人用槌球槌击中“ 8”球，然后跳舞。")</f>
        <v>一个男人用槌球槌击中“ 8”球，然后跳舞。</v>
      </c>
    </row>
    <row r="6014">
      <c r="A6014" s="4" t="s">
        <v>7557</v>
      </c>
      <c r="B6014" s="4" t="s">
        <v>7565</v>
      </c>
      <c r="C6014" s="5" t="str">
        <f>IFERROR(__xludf.DUMMYFUNCTION("GOOGLETRANSLATE(B6014,""en"",""zh-CN"")"),"一个女人用槌槌击中1个保龄球。")</f>
        <v>一个女人用槌槌击中1个保龄球。</v>
      </c>
    </row>
    <row r="6015">
      <c r="A6015" s="4" t="s">
        <v>7557</v>
      </c>
      <c r="B6015" s="4" t="s">
        <v>7566</v>
      </c>
      <c r="C6015" s="5" t="str">
        <f>IFERROR(__xludf.DUMMYFUNCTION("GOOGLETRANSLATE(B6015,""en"",""zh-CN"")"),"另一个男人用槌槌击中保龄球。")</f>
        <v>另一个男人用槌槌击中保龄球。</v>
      </c>
    </row>
    <row r="6016">
      <c r="A6016" s="4" t="s">
        <v>7557</v>
      </c>
      <c r="B6016" s="4" t="s">
        <v>7567</v>
      </c>
      <c r="C6016" s="5" t="str">
        <f>IFERROR(__xludf.DUMMYFUNCTION("GOOGLETRANSLATE(B6016,""en"",""zh-CN"")"),"一个年轻的女孩用槌槌击球。")</f>
        <v>一个年轻的女孩用槌槌击球。</v>
      </c>
    </row>
    <row r="6017">
      <c r="A6017" s="4" t="s">
        <v>7557</v>
      </c>
      <c r="B6017" s="6" t="s">
        <v>7568</v>
      </c>
      <c r="C6017" s="5" t="str">
        <f>IFERROR(__xludf.DUMMYFUNCTION("GOOGLETRANSLATE(B6017,""en"",""zh-CN"")"),"另一个男人打保龄球并跳舞，年轻的女孩在一个男人打扮得像小丑说话时玩。")</f>
        <v>另一个男人打保龄球并跳舞，年轻的女孩在一个男人打扮得像小丑说话时玩。</v>
      </c>
    </row>
    <row r="6018">
      <c r="A6018" s="4" t="s">
        <v>7557</v>
      </c>
      <c r="B6018" s="4" t="s">
        <v>7569</v>
      </c>
      <c r="C6018" s="5" t="str">
        <f>IFERROR(__xludf.DUMMYFUNCTION("GOOGLETRANSLATE(B6018,""en"",""zh-CN"")"),"游戏结束，游戏的所有材料都聚集在一起。")</f>
        <v>游戏结束，游戏的所有材料都聚集在一起。</v>
      </c>
    </row>
    <row r="6019">
      <c r="A6019" s="4" t="s">
        <v>7557</v>
      </c>
      <c r="B6019" s="4" t="s">
        <v>7570</v>
      </c>
      <c r="C6019" s="5" t="str">
        <f>IFERROR(__xludf.DUMMYFUNCTION("GOOGLETRANSLATE(B6019,""en"",""zh-CN"")"),"这个女人将她的圣杯交给了非常兴奋的年轻女孩。")</f>
        <v>这个女人将她的圣杯交给了非常兴奋的年轻女孩。</v>
      </c>
    </row>
    <row r="6020">
      <c r="A6020" s="4" t="s">
        <v>7571</v>
      </c>
      <c r="B6020" s="4" t="s">
        <v>7572</v>
      </c>
      <c r="C6020" s="5" t="str">
        <f>IFERROR(__xludf.DUMMYFUNCTION("GOOGLETRANSLATE(B6020,""en"",""zh-CN"")"),"文本指出该视频将显示如何粉刷颜料。")</f>
        <v>文本指出该视频将显示如何粉刷颜料。</v>
      </c>
    </row>
    <row r="6021">
      <c r="A6021" s="4" t="s">
        <v>7571</v>
      </c>
      <c r="B6021" s="4" t="s">
        <v>7573</v>
      </c>
      <c r="C6021" s="5" t="str">
        <f>IFERROR(__xludf.DUMMYFUNCTION("GOOGLETRANSLATE(B6021,""en"",""zh-CN"")"),"显示了一个衣橱，一个女人拿着一个抽屉。")</f>
        <v>显示了一个衣橱，一个女人拿着一个抽屉。</v>
      </c>
    </row>
    <row r="6022">
      <c r="A6022" s="4" t="s">
        <v>7571</v>
      </c>
      <c r="B6022" s="4" t="s">
        <v>7574</v>
      </c>
      <c r="C6022" s="5" t="str">
        <f>IFERROR(__xludf.DUMMYFUNCTION("GOOGLETRANSLATE(B6022,""en"",""zh-CN"")"),"她在用刷子涂一层粉笔涂料之前将木头打磨。")</f>
        <v>她在用刷子涂一层粉笔涂料之前将木头打磨。</v>
      </c>
    </row>
    <row r="6023">
      <c r="A6023" s="4" t="s">
        <v>7571</v>
      </c>
      <c r="B6023" s="4" t="s">
        <v>7575</v>
      </c>
      <c r="C6023" s="5" t="str">
        <f>IFERROR(__xludf.DUMMYFUNCTION("GOOGLETRANSLATE(B6023,""en"",""zh-CN"")"),"在谈论成品时，她拿着油漆罐。")</f>
        <v>在谈论成品时，她拿着油漆罐。</v>
      </c>
    </row>
    <row r="6024">
      <c r="A6024" s="4" t="s">
        <v>7571</v>
      </c>
      <c r="B6024" s="4" t="s">
        <v>7576</v>
      </c>
      <c r="C6024" s="5" t="str">
        <f>IFERROR(__xludf.DUMMYFUNCTION("GOOGLETRANSLATE(B6024,""en"",""zh-CN"")"),"最后一次显示彩绘的衣橱。")</f>
        <v>最后一次显示彩绘的衣橱。</v>
      </c>
    </row>
    <row r="6025">
      <c r="A6025" s="4" t="s">
        <v>7577</v>
      </c>
      <c r="B6025" s="4" t="s">
        <v>7578</v>
      </c>
      <c r="C6025" s="5" t="str">
        <f>IFERROR(__xludf.DUMMYFUNCTION("GOOGLETRANSLATE(B6025,""en"",""zh-CN"")"),"显示了一个垃圾箱的表演以及站在其前面的齿轮的女性。")</f>
        <v>显示了一个垃圾箱的表演以及站在其前面的齿轮的女性。</v>
      </c>
    </row>
    <row r="6026">
      <c r="A6026" s="4" t="s">
        <v>7577</v>
      </c>
      <c r="B6026" s="4" t="s">
        <v>7579</v>
      </c>
      <c r="C6026" s="5" t="str">
        <f>IFERROR(__xludf.DUMMYFUNCTION("GOOGLETRANSLATE(B6026,""en"",""zh-CN"")"),"当其他人走进框架时，女人沿着垃圾箱边缘边缘。")</f>
        <v>当其他人走进框架时，女人沿着垃圾箱边缘边缘。</v>
      </c>
    </row>
    <row r="6027">
      <c r="A6027" s="4" t="s">
        <v>7577</v>
      </c>
      <c r="B6027" s="6" t="s">
        <v>7580</v>
      </c>
      <c r="C6027" s="5" t="str">
        <f>IFERROR(__xludf.DUMMYFUNCTION("GOOGLETRANSLATE(B6027,""en"",""zh-CN"")"),"然后，当相机跟随她的动作时，该名女子随后在滚筒上移动。")</f>
        <v>然后，当相机跟随她的动作时，该名女子随后在滚筒上移动。</v>
      </c>
    </row>
    <row r="6028">
      <c r="A6028" s="4" t="s">
        <v>7581</v>
      </c>
      <c r="B6028" s="4" t="s">
        <v>7582</v>
      </c>
      <c r="C6028" s="5" t="str">
        <f>IFERROR(__xludf.DUMMYFUNCTION("GOOGLETRANSLATE(B6028,""en"",""zh-CN"")"),"我们看到一个快速标题屏幕。")</f>
        <v>我们看到一个快速标题屏幕。</v>
      </c>
    </row>
    <row r="6029">
      <c r="A6029" s="4" t="s">
        <v>7581</v>
      </c>
      <c r="B6029" s="4" t="s">
        <v>7583</v>
      </c>
      <c r="C6029" s="5" t="str">
        <f>IFERROR(__xludf.DUMMYFUNCTION("GOOGLETRANSLATE(B6029,""en"",""zh-CN"")"),"然后，我们看到一个人在自行车工厂里从事各种事情。")</f>
        <v>然后，我们看到一个人在自行车工厂里从事各种事情。</v>
      </c>
    </row>
    <row r="6030">
      <c r="A6030" s="4" t="s">
        <v>7581</v>
      </c>
      <c r="B6030" s="4" t="s">
        <v>7584</v>
      </c>
      <c r="C6030" s="5" t="str">
        <f>IFERROR(__xludf.DUMMYFUNCTION("GOOGLETRANSLATE(B6030,""en"",""zh-CN"")"),"该男子快速放置自行车，将其放在盒子里，然后放在输送带上。")</f>
        <v>该男子快速放置自行车，将其放在盒子里，然后放在输送带上。</v>
      </c>
    </row>
    <row r="6031">
      <c r="A6031" s="4" t="s">
        <v>7581</v>
      </c>
      <c r="B6031" s="4" t="s">
        <v>7585</v>
      </c>
      <c r="C6031" s="5" t="str">
        <f>IFERROR(__xludf.DUMMYFUNCTION("GOOGLETRANSLATE(B6031,""en"",""zh-CN"")"),"然后，我们看到一个人在自行车盒上放置工具。")</f>
        <v>然后，我们看到一个人在自行车盒上放置工具。</v>
      </c>
    </row>
    <row r="6032">
      <c r="A6032" s="4" t="s">
        <v>7581</v>
      </c>
      <c r="B6032" s="4" t="s">
        <v>7586</v>
      </c>
      <c r="C6032" s="5" t="str">
        <f>IFERROR(__xludf.DUMMYFUNCTION("GOOGLETRANSLATE(B6032,""en"",""zh-CN"")"),"该男子开始将部分放在一部分，然后将自行车放在一起。")</f>
        <v>该男子开始将部分放在一部分，然后将自行车放在一起。</v>
      </c>
    </row>
    <row r="6033">
      <c r="A6033" s="4" t="s">
        <v>7581</v>
      </c>
      <c r="B6033" s="4" t="s">
        <v>7587</v>
      </c>
      <c r="C6033" s="5" t="str">
        <f>IFERROR(__xludf.DUMMYFUNCTION("GOOGLETRANSLATE(B6033,""en"",""zh-CN"")"),"我们短暂地看到了工厂。")</f>
        <v>我们短暂地看到了工厂。</v>
      </c>
    </row>
    <row r="6034">
      <c r="A6034" s="4" t="s">
        <v>7581</v>
      </c>
      <c r="B6034" s="4" t="s">
        <v>7588</v>
      </c>
      <c r="C6034" s="5" t="str">
        <f>IFERROR(__xludf.DUMMYFUNCTION("GOOGLETRANSLATE(B6034,""en"",""zh-CN"")"),"我们回到那个将自行车放在一起的人。")</f>
        <v>我们回到那个将自行车放在一起的人。</v>
      </c>
    </row>
    <row r="6035">
      <c r="A6035" s="4" t="s">
        <v>7581</v>
      </c>
      <c r="B6035" s="4" t="s">
        <v>7589</v>
      </c>
      <c r="C6035" s="5" t="str">
        <f>IFERROR(__xludf.DUMMYFUNCTION("GOOGLETRANSLATE(B6035,""en"",""zh-CN"")"),"他完成了，我们看到了客户服务电话号码。")</f>
        <v>他完成了，我们看到了客户服务电话号码。</v>
      </c>
    </row>
    <row r="6036">
      <c r="A6036" s="4" t="s">
        <v>7581</v>
      </c>
      <c r="B6036" s="4" t="s">
        <v>7590</v>
      </c>
      <c r="C6036" s="5" t="str">
        <f>IFERROR(__xludf.DUMMYFUNCTION("GOOGLETRANSLATE(B6036,""en"",""zh-CN"")"),"然后，我们看到最终标题屏幕。")</f>
        <v>然后，我们看到最终标题屏幕。</v>
      </c>
    </row>
    <row r="6037">
      <c r="A6037" s="4" t="s">
        <v>7591</v>
      </c>
      <c r="B6037" s="4" t="s">
        <v>7592</v>
      </c>
      <c r="C6037" s="5" t="str">
        <f>IFERROR(__xludf.DUMMYFUNCTION("GOOGLETRANSLATE(B6037,""en"",""zh-CN"")"),"一群男人和三个女人在健身房。")</f>
        <v>一群男人和三个女人在健身房。</v>
      </c>
    </row>
    <row r="6038">
      <c r="A6038" s="4" t="s">
        <v>7591</v>
      </c>
      <c r="B6038" s="4" t="s">
        <v>7593</v>
      </c>
      <c r="C6038" s="5" t="str">
        <f>IFERROR(__xludf.DUMMYFUNCTION("GOOGLETRANSLATE(B6038,""en"",""zh-CN"")"),"他们一致跳舞，执行多个动作。")</f>
        <v>他们一致跳舞，执行多个动作。</v>
      </c>
    </row>
    <row r="6039">
      <c r="A6039" s="4" t="s">
        <v>7591</v>
      </c>
      <c r="B6039" s="4" t="s">
        <v>7594</v>
      </c>
      <c r="C6039" s="5" t="str">
        <f>IFERROR(__xludf.DUMMYFUNCTION("GOOGLETRANSLATE(B6039,""en"",""zh-CN"")"),"完成后，一个女人笑着逃跑。")</f>
        <v>完成后，一个女人笑着逃跑。</v>
      </c>
    </row>
    <row r="6040">
      <c r="A6040" s="4" t="s">
        <v>7595</v>
      </c>
      <c r="B6040" s="4" t="s">
        <v>7596</v>
      </c>
      <c r="C6040" s="5" t="str">
        <f>IFERROR(__xludf.DUMMYFUNCTION("GOOGLETRANSLATE(B6040,""en"",""zh-CN"")"),"一个人在室内骑滑板，然后将其骑到地面上的短杆上。")</f>
        <v>一个人在室内骑滑板，然后将其骑到地面上的短杆上。</v>
      </c>
    </row>
    <row r="6041">
      <c r="A6041" s="4" t="s">
        <v>7595</v>
      </c>
      <c r="B6041" s="6" t="s">
        <v>7597</v>
      </c>
      <c r="C6041" s="5" t="str">
        <f>IFERROR(__xludf.DUMMYFUNCTION("GOOGLETRANSLATE(B6041,""en"",""zh-CN"")"),"同一个人现在站在外面说话，屏幕底部的单词说他的名字叫“肖恩·康纳利”，他是旧金山滑板俱乐部的创始人，而他说的是，在不同时间出现了各个单词除了他的滑板剪辑外，还显示了各种各样的动作。")</f>
        <v>同一个人现在站在外面说话，屏幕底部的单词说他的名字叫“肖恩·康纳利”，他是旧金山滑板俱乐部的创始人，而他说的是，在不同时间出现了各个单词除了他的滑板剪辑外，还显示了各种各样的动作。</v>
      </c>
    </row>
    <row r="6042">
      <c r="A6042" s="4" t="s">
        <v>7595</v>
      </c>
      <c r="B6042" s="6" t="s">
        <v>7598</v>
      </c>
      <c r="C6042" s="5" t="str">
        <f>IFERROR(__xludf.DUMMYFUNCTION("GOOGLETRANSLATE(B6042,""en"",""zh-CN"")"),"这个人结束了只有他说话的视频，屏幕上没有文字，也没有其他剪辑在他说话时显示。")</f>
        <v>这个人结束了只有他说话的视频，屏幕上没有文字，也没有其他剪辑在他说话时显示。</v>
      </c>
    </row>
    <row r="6043">
      <c r="A6043" s="4" t="s">
        <v>7599</v>
      </c>
      <c r="B6043" s="4" t="s">
        <v>7600</v>
      </c>
      <c r="C6043" s="5" t="str">
        <f>IFERROR(__xludf.DUMMYFUNCTION("GOOGLETRANSLATE(B6043,""en"",""zh-CN"")"),"一个穿着红皮划艇的人滚入水中，然后从水中滚出来。")</f>
        <v>一个穿着红皮划艇的人滚入水中，然后从水中滚出来。</v>
      </c>
    </row>
    <row r="6044">
      <c r="A6044" s="4" t="s">
        <v>7599</v>
      </c>
      <c r="B6044" s="4" t="s">
        <v>7601</v>
      </c>
      <c r="C6044" s="5" t="str">
        <f>IFERROR(__xludf.DUMMYFUNCTION("GOOGLETRANSLATE(B6044,""en"",""zh-CN"")"),"他再次滚入水中。")</f>
        <v>他再次滚入水中。</v>
      </c>
    </row>
    <row r="6045">
      <c r="A6045" s="4" t="s">
        <v>7599</v>
      </c>
      <c r="B6045" s="4" t="s">
        <v>7602</v>
      </c>
      <c r="C6045" s="5" t="str">
        <f>IFERROR(__xludf.DUMMYFUNCTION("GOOGLETRANSLATE(B6045,""en"",""zh-CN"")"),"然后，他穿着蓝色皮划艇，滚入水中并从水中滚出来。")</f>
        <v>然后，他穿着蓝色皮划艇，滚入水中并从水中滚出来。</v>
      </c>
    </row>
    <row r="6046">
      <c r="A6046" s="4" t="s">
        <v>7599</v>
      </c>
      <c r="B6046" s="4" t="s">
        <v>7603</v>
      </c>
      <c r="C6046" s="5" t="str">
        <f>IFERROR(__xludf.DUMMYFUNCTION("GOOGLETRANSLATE(B6046,""en"",""zh-CN"")"),"他再次做。")</f>
        <v>他再次做。</v>
      </c>
    </row>
    <row r="6047">
      <c r="A6047" s="4" t="s">
        <v>7604</v>
      </c>
      <c r="B6047" s="4" t="s">
        <v>7605</v>
      </c>
      <c r="C6047" s="5" t="str">
        <f>IFERROR(__xludf.DUMMYFUNCTION("GOOGLETRANSLATE(B6047,""en"",""zh-CN"")"),"一个穿着黑色衬衫的男人打开一袋面包，拉出三片面包。")</f>
        <v>一个穿着黑色衬衫的男人打开一袋面包，拉出三片面包。</v>
      </c>
    </row>
    <row r="6048">
      <c r="A6048" s="4" t="s">
        <v>7604</v>
      </c>
      <c r="B6048" s="4" t="s">
        <v>7606</v>
      </c>
      <c r="C6048" s="5" t="str">
        <f>IFERROR(__xludf.DUMMYFUNCTION("GOOGLETRANSLATE(B6048,""en"",""zh-CN"")"),"该名男子举起一瓶空的奇迹鞭子，然后反手扔掉它。")</f>
        <v>该名男子举起一瓶空的奇迹鞭子，然后反手扔掉它。</v>
      </c>
    </row>
    <row r="6049">
      <c r="A6049" s="4" t="s">
        <v>7604</v>
      </c>
      <c r="B6049" s="4" t="s">
        <v>7607</v>
      </c>
      <c r="C6049" s="5" t="str">
        <f>IFERROR(__xludf.DUMMYFUNCTION("GOOGLETRANSLATE(B6049,""en"",""zh-CN"")"),"然后，该名男子打开冰箱，然后掏出一瓶新的奇迹鞭子。")</f>
        <v>然后，该名男子打开冰箱，然后掏出一瓶新的奇迹鞭子。</v>
      </c>
    </row>
    <row r="6050">
      <c r="A6050" s="4" t="s">
        <v>7604</v>
      </c>
      <c r="B6050" s="4" t="s">
        <v>7608</v>
      </c>
      <c r="C6050" s="5" t="str">
        <f>IFERROR(__xludf.DUMMYFUNCTION("GOOGLETRANSLATE(B6050,""en"",""zh-CN"")"),"然后，他用刀将奇迹鞭子挖出到面包片上。")</f>
        <v>然后，他用刀将奇迹鞭子挖出到面包片上。</v>
      </c>
    </row>
    <row r="6051">
      <c r="A6051" s="4" t="s">
        <v>7604</v>
      </c>
      <c r="B6051" s="4" t="s">
        <v>7609</v>
      </c>
      <c r="C6051" s="5" t="str">
        <f>IFERROR(__xludf.DUMMYFUNCTION("GOOGLETRANSLATE(B6051,""en"",""zh-CN"")"),"然后，该男子打开一袋瑞士奶酪，并在每个面包片上放一片。")</f>
        <v>然后，该男子打开一袋瑞士奶酪，并在每个面包片上放一片。</v>
      </c>
    </row>
    <row r="6052">
      <c r="A6052" s="4" t="s">
        <v>7604</v>
      </c>
      <c r="B6052" s="6" t="s">
        <v>7610</v>
      </c>
      <c r="C6052" s="5" t="str">
        <f>IFERROR(__xludf.DUMMYFUNCTION("GOOGLETRANSLATE(B6052,""en"",""zh-CN"")"),"然后，该名男子从冰箱中获得了一个热那亚萨拉米人的容器，并将其堆积在面包片上。")</f>
        <v>然后，该名男子从冰箱中获得了一个热那亚萨拉米人的容器，并将其堆积在面包片上。</v>
      </c>
    </row>
    <row r="6053">
      <c r="A6053" s="4" t="s">
        <v>7604</v>
      </c>
      <c r="B6053" s="4" t="s">
        <v>7611</v>
      </c>
      <c r="C6053" s="5" t="str">
        <f>IFERROR(__xludf.DUMMYFUNCTION("GOOGLETRANSLATE(B6053,""en"",""zh-CN"")"),"然后，他将面包片放在彼此的顶部，然后完成三明治。")</f>
        <v>然后，他将面包片放在彼此的顶部，然后完成三明治。</v>
      </c>
    </row>
    <row r="6054">
      <c r="A6054" s="4" t="s">
        <v>7612</v>
      </c>
      <c r="B6054" s="4" t="s">
        <v>7613</v>
      </c>
      <c r="C6054" s="5" t="str">
        <f>IFERROR(__xludf.DUMMYFUNCTION("GOOGLETRANSLATE(B6054,""en"",""zh-CN"")"),"我们看到一个男人和一个女人站在一起。")</f>
        <v>我们看到一个男人和一个女人站在一起。</v>
      </c>
    </row>
    <row r="6055">
      <c r="A6055" s="4" t="s">
        <v>7612</v>
      </c>
      <c r="B6055" s="4" t="s">
        <v>7614</v>
      </c>
      <c r="C6055" s="5" t="str">
        <f>IFERROR(__xludf.DUMMYFUNCTION("GOOGLETRANSLATE(B6055,""en"",""zh-CN"")"),"人们一起跳舞。")</f>
        <v>人们一起跳舞。</v>
      </c>
    </row>
    <row r="6056">
      <c r="A6056" s="4" t="s">
        <v>7612</v>
      </c>
      <c r="B6056" s="4" t="s">
        <v>7615</v>
      </c>
      <c r="C6056" s="5" t="str">
        <f>IFERROR(__xludf.DUMMYFUNCTION("GOOGLETRANSLATE(B6056,""en"",""zh-CN"")"),"那位女士将双腿伸到她的身边。")</f>
        <v>那位女士将双腿伸到她的身边。</v>
      </c>
    </row>
    <row r="6057">
      <c r="A6057" s="4" t="s">
        <v>7612</v>
      </c>
      <c r="B6057" s="4" t="s">
        <v>7616</v>
      </c>
      <c r="C6057" s="5" t="str">
        <f>IFERROR(__xludf.DUMMYFUNCTION("GOOGLETRANSLATE(B6057,""en"",""zh-CN"")"),"那个男人摆动女人。")</f>
        <v>那个男人摆动女人。</v>
      </c>
    </row>
    <row r="6058">
      <c r="A6058" s="4" t="s">
        <v>7612</v>
      </c>
      <c r="B6058" s="4" t="s">
        <v>7617</v>
      </c>
      <c r="C6058" s="5" t="str">
        <f>IFERROR(__xludf.DUMMYFUNCTION("GOOGLETRANSLATE(B6058,""en"",""zh-CN"")"),"那位女士摇了摇臀部。")</f>
        <v>那位女士摇了摇臀部。</v>
      </c>
    </row>
    <row r="6059">
      <c r="A6059" s="4" t="s">
        <v>7612</v>
      </c>
      <c r="B6059" s="4" t="s">
        <v>7618</v>
      </c>
      <c r="C6059" s="5" t="str">
        <f>IFERROR(__xludf.DUMMYFUNCTION("GOOGLETRANSLATE(B6059,""en"",""zh-CN"")"),"那个女士弯下腰，那个男人把胳膊缠在她周围。")</f>
        <v>那个女士弯下腰，那个男人把胳膊缠在她周围。</v>
      </c>
    </row>
    <row r="6060">
      <c r="A6060" s="4" t="s">
        <v>7612</v>
      </c>
      <c r="B6060" s="4" t="s">
        <v>7619</v>
      </c>
      <c r="C6060" s="5" t="str">
        <f>IFERROR(__xludf.DUMMYFUNCTION("GOOGLETRANSLATE(B6060,""en"",""zh-CN"")"),"人们互相支持。")</f>
        <v>人们互相支持。</v>
      </c>
    </row>
    <row r="6061">
      <c r="A6061" s="4" t="s">
        <v>7620</v>
      </c>
      <c r="B6061" s="6" t="s">
        <v>7621</v>
      </c>
      <c r="C6061" s="5" t="str">
        <f>IFERROR(__xludf.DUMMYFUNCTION("GOOGLETRANSLATE(B6061,""en"",""zh-CN"")"),"曲棍球运动员穿着白色球衣并拿着曲棍球棒正在谈论曲棍网兜球的位置。")</f>
        <v>曲棍球运动员穿着白色球衣并拿着曲棍球棒正在谈论曲棍网兜球的位置。</v>
      </c>
    </row>
    <row r="6062">
      <c r="A6062" s="4" t="s">
        <v>7620</v>
      </c>
      <c r="B6062" s="4" t="s">
        <v>7622</v>
      </c>
      <c r="C6062" s="5" t="str">
        <f>IFERROR(__xludf.DUMMYFUNCTION("GOOGLETRANSLATE(B6062,""en"",""zh-CN"")"),"他站在一条旁边的田野里，有许多汽车经过。")</f>
        <v>他站在一条旁边的田野里，有许多汽车经过。</v>
      </c>
    </row>
    <row r="6063">
      <c r="A6063" s="4" t="s">
        <v>7620</v>
      </c>
      <c r="B6063" s="4" t="s">
        <v>7623</v>
      </c>
      <c r="C6063" s="5" t="str">
        <f>IFERROR(__xludf.DUMMYFUNCTION("GOOGLETRANSLATE(B6063,""en"",""zh-CN"")"),"他正在演示与另一个男人使用曲棍球棒的各种位置和方式。")</f>
        <v>他正在演示与另一个男人使用曲棍球棒的各种位置和方式。</v>
      </c>
    </row>
    <row r="6064">
      <c r="A6064" s="4" t="s">
        <v>7620</v>
      </c>
      <c r="B6064" s="4" t="s">
        <v>7624</v>
      </c>
      <c r="C6064" s="5" t="str">
        <f>IFERROR(__xludf.DUMMYFUNCTION("GOOGLETRANSLATE(B6064,""en"",""zh-CN"")"),"他解释了如何在曲棍网兜球中得分。")</f>
        <v>他解释了如何在曲棍网兜球中得分。</v>
      </c>
    </row>
    <row r="6065">
      <c r="A6065" s="4" t="s">
        <v>7625</v>
      </c>
      <c r="B6065" s="4" t="s">
        <v>7626</v>
      </c>
      <c r="C6065" s="5" t="str">
        <f>IFERROR(__xludf.DUMMYFUNCTION("GOOGLETRANSLATE(B6065,""en"",""zh-CN"")"),"一个男孩在房间里拿着吉他。")</f>
        <v>一个男孩在房间里拿着吉他。</v>
      </c>
    </row>
    <row r="6066">
      <c r="A6066" s="4" t="s">
        <v>7625</v>
      </c>
      <c r="B6066" s="4" t="s">
        <v>7627</v>
      </c>
      <c r="C6066" s="5" t="str">
        <f>IFERROR(__xludf.DUMMYFUNCTION("GOOGLETRANSLATE(B6066,""en"",""zh-CN"")"),"他坐在床上。")</f>
        <v>他坐在床上。</v>
      </c>
    </row>
    <row r="6067">
      <c r="A6067" s="4" t="s">
        <v>7625</v>
      </c>
      <c r="B6067" s="4" t="s">
        <v>7628</v>
      </c>
      <c r="C6067" s="5" t="str">
        <f>IFERROR(__xludf.DUMMYFUNCTION("GOOGLETRANSLATE(B6067,""en"",""zh-CN"")"),"他开始弹吉他。")</f>
        <v>他开始弹吉他。</v>
      </c>
    </row>
    <row r="6068">
      <c r="A6068" s="4" t="s">
        <v>7625</v>
      </c>
      <c r="B6068" s="4" t="s">
        <v>7629</v>
      </c>
      <c r="C6068" s="5" t="str">
        <f>IFERROR(__xludf.DUMMYFUNCTION("GOOGLETRANSLATE(B6068,""en"",""zh-CN"")"),"最终他完成了这首歌。")</f>
        <v>最终他完成了这首歌。</v>
      </c>
    </row>
    <row r="6069">
      <c r="A6069" s="4" t="s">
        <v>7630</v>
      </c>
      <c r="B6069" s="4" t="s">
        <v>7631</v>
      </c>
      <c r="C6069" s="5" t="str">
        <f>IFERROR(__xludf.DUMMYFUNCTION("GOOGLETRANSLATE(B6069,""en"",""zh-CN"")"),"有一个人在人行道上的高跷上行走，在那里停着几辆汽车。")</f>
        <v>有一个人在人行道上的高跷上行走，在那里停着几辆汽车。</v>
      </c>
    </row>
    <row r="6070">
      <c r="A6070" s="4" t="s">
        <v>7630</v>
      </c>
      <c r="B6070" s="4" t="s">
        <v>7632</v>
      </c>
      <c r="C6070" s="5" t="str">
        <f>IFERROR(__xludf.DUMMYFUNCTION("GOOGLETRANSLATE(B6070,""en"",""zh-CN"")"),"他正在演示如何戴高跷。")</f>
        <v>他正在演示如何戴高跷。</v>
      </c>
    </row>
    <row r="6071">
      <c r="A6071" s="4" t="s">
        <v>7630</v>
      </c>
      <c r="B6071" s="4" t="s">
        <v>7633</v>
      </c>
      <c r="C6071" s="5" t="str">
        <f>IFERROR(__xludf.DUMMYFUNCTION("GOOGLETRANSLATE(B6071,""en"",""zh-CN"")"),"他加入了另外两个人，他们也加入了教程。")</f>
        <v>他加入了另外两个人，他们也加入了教程。</v>
      </c>
    </row>
    <row r="6072">
      <c r="A6072" s="4" t="s">
        <v>7630</v>
      </c>
      <c r="B6072" s="4" t="s">
        <v>7634</v>
      </c>
      <c r="C6072" s="5" t="str">
        <f>IFERROR(__xludf.DUMMYFUNCTION("GOOGLETRANSLATE(B6072,""en"",""zh-CN"")"),"高跷的那个人表明他在高跷上可以跑得多快，并跳高。")</f>
        <v>高跷的那个人表明他在高跷上可以跑得多快，并跳高。</v>
      </c>
    </row>
    <row r="6073">
      <c r="A6073" s="4" t="s">
        <v>7630</v>
      </c>
      <c r="B6073" s="4" t="s">
        <v>7635</v>
      </c>
      <c r="C6073" s="5" t="str">
        <f>IFERROR(__xludf.DUMMYFUNCTION("GOOGLETRANSLATE(B6073,""en"",""zh-CN"")"),"当他在高跷上奔跑时，他的朋友乘坐汽车和他一起开车。")</f>
        <v>当他在高跷上奔跑时，他的朋友乘坐汽车和他一起开车。</v>
      </c>
    </row>
    <row r="6074">
      <c r="A6074" s="4" t="s">
        <v>7630</v>
      </c>
      <c r="B6074" s="4" t="s">
        <v>7636</v>
      </c>
      <c r="C6074" s="5" t="str">
        <f>IFERROR(__xludf.DUMMYFUNCTION("GOOGLETRANSLATE(B6074,""en"",""zh-CN"")"),"该男子继续在高跷上做特技。")</f>
        <v>该男子继续在高跷上做特技。</v>
      </c>
    </row>
    <row r="6075">
      <c r="A6075" s="4" t="s">
        <v>7637</v>
      </c>
      <c r="B6075" s="4" t="s">
        <v>7638</v>
      </c>
      <c r="C6075" s="5" t="str">
        <f>IFERROR(__xludf.DUMMYFUNCTION("GOOGLETRANSLATE(B6075,""en"",""zh-CN"")"),"看到一个年轻的女孩站在芭蕾舞酒吧表演芭蕾舞动作。")</f>
        <v>看到一个年轻的女孩站在芭蕾舞酒吧表演芭蕾舞动作。</v>
      </c>
    </row>
    <row r="6076">
      <c r="A6076" s="4" t="s">
        <v>7637</v>
      </c>
      <c r="B6076" s="4" t="s">
        <v>7639</v>
      </c>
      <c r="C6076" s="5" t="str">
        <f>IFERROR(__xludf.DUMMYFUNCTION("GOOGLETRANSLATE(B6076,""en"",""zh-CN"")"),"看到一个女孩在舞台上跳舞，随后有一大批女孩热身。")</f>
        <v>看到一个女孩在舞台上跳舞，随后有一大批女孩热身。</v>
      </c>
    </row>
    <row r="6077">
      <c r="A6077" s="4" t="s">
        <v>7637</v>
      </c>
      <c r="B6077" s="4" t="s">
        <v>7640</v>
      </c>
      <c r="C6077" s="5" t="str">
        <f>IFERROR(__xludf.DUMMYFUNCTION("GOOGLETRANSLATE(B6077,""en"",""zh-CN"")"),"女孩们继续伸展并带领那个女人指着她的脚。")</f>
        <v>女孩们继续伸展并带领那个女人指着她的脚。</v>
      </c>
    </row>
    <row r="6078">
      <c r="A6078" s="4" t="s">
        <v>7641</v>
      </c>
      <c r="B6078" s="4" t="s">
        <v>7642</v>
      </c>
      <c r="C6078" s="5" t="str">
        <f>IFERROR(__xludf.DUMMYFUNCTION("GOOGLETRANSLATE(B6078,""en"",""zh-CN"")"),"一个青少年把一个男人弄成脸上。")</f>
        <v>一个青少年把一个男人弄成脸上。</v>
      </c>
    </row>
    <row r="6079">
      <c r="A6079" s="4" t="s">
        <v>7641</v>
      </c>
      <c r="B6079" s="4" t="s">
        <v>7643</v>
      </c>
      <c r="C6079" s="5" t="str">
        <f>IFERROR(__xludf.DUMMYFUNCTION("GOOGLETRANSLATE(B6079,""en"",""zh-CN"")"),"然后，这名少年放置睫毛膏，唇棒，并用眼线笔涂上眼睑。")</f>
        <v>然后，这名少年放置睫毛膏，唇棒，并用眼线笔涂上眼睑。</v>
      </c>
    </row>
    <row r="6080">
      <c r="A6080" s="4" t="s">
        <v>7641</v>
      </c>
      <c r="B6080" s="4" t="s">
        <v>7644</v>
      </c>
      <c r="C6080" s="5" t="str">
        <f>IFERROR(__xludf.DUMMYFUNCTION("GOOGLETRANSLATE(B6080,""en"",""zh-CN"")"),"然后，这名少年在脸颊上涂上颜色，然后她眼线笔。")</f>
        <v>然后，这名少年在脸颊上涂上颜色，然后她眼线笔。</v>
      </c>
    </row>
    <row r="6081">
      <c r="A6081" s="4" t="s">
        <v>7641</v>
      </c>
      <c r="B6081" s="4" t="s">
        <v>7645</v>
      </c>
      <c r="C6081" s="5" t="str">
        <f>IFERROR(__xludf.DUMMYFUNCTION("GOOGLETRANSLATE(B6081,""en"",""zh-CN"")"),"之后，这名少年画了嘴，将口红放在脸颊上，然后将眼睑涂上油漆。")</f>
        <v>之后，这名少年画了嘴，将口红放在脸颊上，然后将眼睑涂上油漆。</v>
      </c>
    </row>
    <row r="6082">
      <c r="A6082" s="4" t="s">
        <v>7646</v>
      </c>
      <c r="B6082" s="4" t="s">
        <v>7647</v>
      </c>
      <c r="C6082" s="5" t="str">
        <f>IFERROR(__xludf.DUMMYFUNCTION("GOOGLETRANSLATE(B6082,""en"",""zh-CN"")"),"两个人在房间里围栏。")</f>
        <v>两个人在房间里围栏。</v>
      </c>
    </row>
    <row r="6083">
      <c r="A6083" s="4" t="s">
        <v>7646</v>
      </c>
      <c r="B6083" s="4" t="s">
        <v>7648</v>
      </c>
      <c r="C6083" s="5" t="str">
        <f>IFERROR(__xludf.DUMMYFUNCTION("GOOGLETRANSLATE(B6083,""en"",""zh-CN"")"),"一个人站在墙旁边看着他们。")</f>
        <v>一个人站在墙旁边看着他们。</v>
      </c>
    </row>
    <row r="6084">
      <c r="A6084" s="4" t="s">
        <v>7646</v>
      </c>
      <c r="B6084" s="4" t="s">
        <v>7649</v>
      </c>
      <c r="C6084" s="5" t="str">
        <f>IFERROR(__xludf.DUMMYFUNCTION("GOOGLETRANSLATE(B6084,""en"",""zh-CN"")"),"他们停止围栏并走开。")</f>
        <v>他们停止围栏并走开。</v>
      </c>
    </row>
    <row r="6085">
      <c r="A6085" s="4" t="s">
        <v>7650</v>
      </c>
      <c r="B6085" s="4" t="s">
        <v>7651</v>
      </c>
      <c r="C6085" s="5" t="str">
        <f>IFERROR(__xludf.DUMMYFUNCTION("GOOGLETRANSLATE(B6085,""en"",""zh-CN"")"),"一个男孩在外面的网球场上。")</f>
        <v>一个男孩在外面的网球场上。</v>
      </c>
    </row>
    <row r="6086">
      <c r="A6086" s="4" t="s">
        <v>7650</v>
      </c>
      <c r="B6086" s="4" t="s">
        <v>7652</v>
      </c>
      <c r="C6086" s="5" t="str">
        <f>IFERROR(__xludf.DUMMYFUNCTION("GOOGLETRANSLATE(B6086,""en"",""zh-CN"")"),"他用球拍将球输给球。")</f>
        <v>他用球拍将球输给球。</v>
      </c>
    </row>
    <row r="6087">
      <c r="A6087" s="4" t="s">
        <v>7650</v>
      </c>
      <c r="B6087" s="4" t="s">
        <v>7653</v>
      </c>
      <c r="C6087" s="5" t="str">
        <f>IFERROR(__xludf.DUMMYFUNCTION("GOOGLETRANSLATE(B6087,""en"",""zh-CN"")"),"他多次服务，每次击中它。")</f>
        <v>他多次服务，每次击中它。</v>
      </c>
    </row>
    <row r="6088">
      <c r="A6088" s="4" t="s">
        <v>7654</v>
      </c>
      <c r="B6088" s="4" t="s">
        <v>7655</v>
      </c>
      <c r="C6088" s="5" t="str">
        <f>IFERROR(__xludf.DUMMYFUNCTION("GOOGLETRANSLATE(B6088,""en"",""zh-CN"")"),"咖啡在电动研磨机中磨碎。")</f>
        <v>咖啡在电动研磨机中磨碎。</v>
      </c>
    </row>
    <row r="6089">
      <c r="A6089" s="4" t="s">
        <v>7654</v>
      </c>
      <c r="B6089" s="4" t="s">
        <v>7656</v>
      </c>
      <c r="C6089" s="5" t="str">
        <f>IFERROR(__xludf.DUMMYFUNCTION("GOOGLETRANSLATE(B6089,""en"",""zh-CN"")"),"一杯咖啡和咖啡压在桌子上。")</f>
        <v>一杯咖啡和咖啡压在桌子上。</v>
      </c>
    </row>
    <row r="6090">
      <c r="A6090" s="4" t="s">
        <v>7654</v>
      </c>
      <c r="B6090" s="4" t="s">
        <v>7657</v>
      </c>
      <c r="C6090" s="5" t="str">
        <f>IFERROR(__xludf.DUMMYFUNCTION("GOOGLETRANSLATE(B6090,""en"",""zh-CN"")"),"将牛奶倒入咖啡中。")</f>
        <v>将牛奶倒入咖啡中。</v>
      </c>
    </row>
    <row r="6091">
      <c r="A6091" s="4" t="s">
        <v>7654</v>
      </c>
      <c r="B6091" s="4" t="s">
        <v>7658</v>
      </c>
      <c r="C6091" s="5" t="str">
        <f>IFERROR(__xludf.DUMMYFUNCTION("GOOGLETRANSLATE(B6091,""en"",""zh-CN"")"),"杯咖啡被捡起，放回碟子上。")</f>
        <v>杯咖啡被捡起，放回碟子上。</v>
      </c>
    </row>
    <row r="6092">
      <c r="A6092" s="4" t="s">
        <v>7659</v>
      </c>
      <c r="B6092" s="6" t="s">
        <v>7660</v>
      </c>
      <c r="C6092" s="5" t="str">
        <f>IFERROR(__xludf.DUMMYFUNCTION("GOOGLETRANSLATE(B6092,""en"",""zh-CN"")"),"在垫子上的健身房弯曲中可以看到男性身材，并向相机执行有关如何进行运动的说明。")</f>
        <v>在垫子上的健身房弯曲中可以看到男性身材，并向相机执行有关如何进行运动的说明。</v>
      </c>
    </row>
    <row r="6093">
      <c r="A6093" s="4" t="s">
        <v>7659</v>
      </c>
      <c r="B6093" s="6" t="s">
        <v>7661</v>
      </c>
      <c r="C6093" s="5" t="str">
        <f>IFERROR(__xludf.DUMMYFUNCTION("GOOGLETRANSLATE(B6093,""en"",""zh-CN"")"),"他展示了如何在附着在固定杆上的弹性带上正确进行练习。")</f>
        <v>他展示了如何在附着在固定杆上的弹性带上正确进行练习。</v>
      </c>
    </row>
    <row r="6094">
      <c r="A6094" s="4" t="s">
        <v>7659</v>
      </c>
      <c r="B6094" s="4" t="s">
        <v>7662</v>
      </c>
      <c r="C6094" s="5" t="str">
        <f>IFERROR(__xludf.DUMMYFUNCTION("GOOGLETRANSLATE(B6094,""en"",""zh-CN"")"),"他抓住了弹性乐队，将其拉向自己。")</f>
        <v>他抓住了弹性乐队，将其拉向自己。</v>
      </c>
    </row>
    <row r="6095">
      <c r="A6095" s="4" t="s">
        <v>7659</v>
      </c>
      <c r="B6095" s="6" t="s">
        <v>7663</v>
      </c>
      <c r="C6095" s="5" t="str">
        <f>IFERROR(__xludf.DUMMYFUNCTION("GOOGLETRANSLATE(B6095,""en"",""zh-CN"")"),"之后，他将乐队推开时，并展示了设备的正确使用。")</f>
        <v>之后，他将乐队推开时，并展示了设备的正确使用。</v>
      </c>
    </row>
    <row r="6096">
      <c r="A6096" s="4" t="s">
        <v>7664</v>
      </c>
      <c r="B6096" s="4" t="s">
        <v>7665</v>
      </c>
      <c r="C6096" s="5" t="str">
        <f>IFERROR(__xludf.DUMMYFUNCTION("GOOGLETRANSLATE(B6096,""en"",""zh-CN"")"),"看到一名妇女带领骆驼带着两个小孩骑在后面。")</f>
        <v>看到一名妇女带领骆驼带着两个小孩骑在后面。</v>
      </c>
    </row>
    <row r="6097">
      <c r="A6097" s="4" t="s">
        <v>7664</v>
      </c>
      <c r="B6097" s="4" t="s">
        <v>7666</v>
      </c>
      <c r="C6097" s="5" t="str">
        <f>IFERROR(__xludf.DUMMYFUNCTION("GOOGLETRANSLATE(B6097,""en"",""zh-CN"")"),"孩子们挥舞着相机，同时骑着骑行，骆驼吐在空中。")</f>
        <v>孩子们挥舞着相机，同时骑着骑行，骆驼吐在空中。</v>
      </c>
    </row>
    <row r="6098">
      <c r="A6098" s="4" t="s">
        <v>7667</v>
      </c>
      <c r="B6098" s="4" t="s">
        <v>7668</v>
      </c>
      <c r="C6098" s="5" t="str">
        <f>IFERROR(__xludf.DUMMYFUNCTION("GOOGLETRANSLATE(B6098,""en"",""zh-CN"")"),"一名女体操运动员在被人群看着时闲着。")</f>
        <v>一名女体操运动员在被人群看着时闲着。</v>
      </c>
    </row>
    <row r="6099">
      <c r="A6099" s="4" t="s">
        <v>7667</v>
      </c>
      <c r="B6099" s="4" t="s">
        <v>7669</v>
      </c>
      <c r="C6099" s="5" t="str">
        <f>IFERROR(__xludf.DUMMYFUNCTION("GOOGLETRANSLATE(B6099,""en"",""zh-CN"")"),"第二个女人的近距离说有什么东西。")</f>
        <v>第二个女人的近距离说有什么东西。</v>
      </c>
    </row>
    <row r="6100">
      <c r="A6100" s="4" t="s">
        <v>7667</v>
      </c>
      <c r="B6100" s="4" t="s">
        <v>7670</v>
      </c>
      <c r="C6100" s="5" t="str">
        <f>IFERROR(__xludf.DUMMYFUNCTION("GOOGLETRANSLATE(B6100,""en"",""zh-CN"")"),"体操运动员在光束上执行例程。")</f>
        <v>体操运动员在光束上执行例程。</v>
      </c>
    </row>
    <row r="6101">
      <c r="A6101" s="4" t="s">
        <v>7667</v>
      </c>
      <c r="B6101" s="4" t="s">
        <v>7671</v>
      </c>
      <c r="C6101" s="5" t="str">
        <f>IFERROR(__xludf.DUMMYFUNCTION("GOOGLETRANSLATE(B6101,""en"",""zh-CN"")"),"女体操运动员完成了她的日常工作和下马。")</f>
        <v>女体操运动员完成了她的日常工作和下马。</v>
      </c>
    </row>
    <row r="6102">
      <c r="A6102" s="4" t="s">
        <v>7667</v>
      </c>
      <c r="B6102" s="4" t="s">
        <v>7672</v>
      </c>
      <c r="C6102" s="5" t="str">
        <f>IFERROR(__xludf.DUMMYFUNCTION("GOOGLETRANSLATE(B6102,""en"",""zh-CN"")"),"人们对体操运动员表示鼓掌。")</f>
        <v>人们对体操运动员表示鼓掌。</v>
      </c>
    </row>
    <row r="6103">
      <c r="A6103" s="4" t="s">
        <v>7667</v>
      </c>
      <c r="B6103" s="4" t="s">
        <v>7673</v>
      </c>
      <c r="C6103" s="5" t="str">
        <f>IFERROR(__xludf.DUMMYFUNCTION("GOOGLETRANSLATE(B6103,""en"",""zh-CN"")"),"体操运动员远离光束。")</f>
        <v>体操运动员远离光束。</v>
      </c>
    </row>
    <row r="6104">
      <c r="A6104" s="4" t="s">
        <v>7674</v>
      </c>
      <c r="B6104" s="4" t="s">
        <v>7675</v>
      </c>
      <c r="C6104" s="5" t="str">
        <f>IFERROR(__xludf.DUMMYFUNCTION("GOOGLETRANSLATE(B6104,""en"",""zh-CN"")"),"看到一个男人弯腰在大量的举重上，另一个人走在他身后。")</f>
        <v>看到一个男人弯腰在大量的举重上，另一个人走在他身后。</v>
      </c>
    </row>
    <row r="6105">
      <c r="A6105" s="4" t="s">
        <v>7674</v>
      </c>
      <c r="B6105" s="4" t="s">
        <v>7676</v>
      </c>
      <c r="C6105" s="5" t="str">
        <f>IFERROR(__xludf.DUMMYFUNCTION("GOOGLETRANSLATE(B6105,""en"",""zh-CN"")"),"该男子将酒吧抬起头，将其扔回去。")</f>
        <v>该男子将酒吧抬起头，将其扔回去。</v>
      </c>
    </row>
    <row r="6106">
      <c r="A6106" s="4" t="s">
        <v>7674</v>
      </c>
      <c r="B6106" s="4" t="s">
        <v>7677</v>
      </c>
      <c r="C6106" s="5" t="str">
        <f>IFERROR(__xludf.DUMMYFUNCTION("GOOGLETRANSLATE(B6106,""en"",""zh-CN"")"),"当人们看着侧面时，男人再次这样做。")</f>
        <v>当人们看着侧面时，男人再次这样做。</v>
      </c>
    </row>
    <row r="6107">
      <c r="A6107" s="4" t="s">
        <v>7678</v>
      </c>
      <c r="B6107" s="4" t="s">
        <v>7679</v>
      </c>
      <c r="C6107" s="5" t="str">
        <f>IFERROR(__xludf.DUMMYFUNCTION("GOOGLETRANSLATE(B6107,""en"",""zh-CN"")"),"看到皮纳塔在中间的中间摇摆，然后一个女孩抓住了一根棍子。")</f>
        <v>看到皮纳塔在中间的中间摇摆，然后一个女孩抓住了一根棍子。</v>
      </c>
    </row>
    <row r="6108">
      <c r="A6108" s="4" t="s">
        <v>7678</v>
      </c>
      <c r="B6108" s="6" t="s">
        <v>7680</v>
      </c>
      <c r="C6108" s="5" t="str">
        <f>IFERROR(__xludf.DUMMYFUNCTION("GOOGLETRANSLATE(B6108,""en"",""zh-CN"")"),"她在房间里移动到Pinata，还有另一个和父亲摇摆的女孩。")</f>
        <v>她在房间里移动到Pinata，还有另一个和父亲摇摆的女孩。</v>
      </c>
    </row>
    <row r="6109">
      <c r="A6109" s="4" t="s">
        <v>7678</v>
      </c>
      <c r="B6109" s="4" t="s">
        <v>7681</v>
      </c>
      <c r="C6109" s="5" t="str">
        <f>IFERROR(__xludf.DUMMYFUNCTION("GOOGLETRANSLATE(B6109,""en"",""zh-CN"")"),"一个小男孩走上去试图击中它，还有另一个男孩。")</f>
        <v>一个小男孩走上去试图击中它，还有另一个男孩。</v>
      </c>
    </row>
    <row r="6110">
      <c r="A6110" s="4" t="s">
        <v>7682</v>
      </c>
      <c r="B6110" s="4" t="s">
        <v>7683</v>
      </c>
      <c r="C6110" s="5" t="str">
        <f>IFERROR(__xludf.DUMMYFUNCTION("GOOGLETRANSLATE(B6110,""en"",""zh-CN"")"),"一个人挥手，然后说话。")</f>
        <v>一个人挥手，然后说话。</v>
      </c>
    </row>
    <row r="6111">
      <c r="A6111" s="4" t="s">
        <v>7682</v>
      </c>
      <c r="B6111" s="4" t="s">
        <v>7684</v>
      </c>
      <c r="C6111" s="5" t="str">
        <f>IFERROR(__xludf.DUMMYFUNCTION("GOOGLETRANSLATE(B6111,""en"",""zh-CN"")"),"男性接近并抓住盘子。")</f>
        <v>男性接近并抓住盘子。</v>
      </c>
    </row>
    <row r="6112">
      <c r="A6112" s="4" t="s">
        <v>7682</v>
      </c>
      <c r="B6112" s="4" t="s">
        <v>7685</v>
      </c>
      <c r="C6112" s="5" t="str">
        <f>IFERROR(__xludf.DUMMYFUNCTION("GOOGLETRANSLATE(B6112,""en"",""zh-CN"")"),"雄性将盘子带到水槽。")</f>
        <v>雄性将盘子带到水槽。</v>
      </c>
    </row>
    <row r="6113">
      <c r="A6113" s="4" t="s">
        <v>7682</v>
      </c>
      <c r="B6113" s="4" t="s">
        <v>7686</v>
      </c>
      <c r="C6113" s="5" t="str">
        <f>IFERROR(__xludf.DUMMYFUNCTION("GOOGLETRANSLATE(B6113,""en"",""zh-CN"")"),"雄性将盘子浸入水中，并用白色地毯将其洗净。")</f>
        <v>雄性将盘子浸入水中，并用白色地毯将其洗净。</v>
      </c>
    </row>
    <row r="6114">
      <c r="A6114" s="4" t="s">
        <v>7682</v>
      </c>
      <c r="B6114" s="4" t="s">
        <v>7687</v>
      </c>
      <c r="C6114" s="5" t="str">
        <f>IFERROR(__xludf.DUMMYFUNCTION("GOOGLETRANSLATE(B6114,""en"",""zh-CN"")"),"雄性冲洗洗涤板。")</f>
        <v>雄性冲洗洗涤板。</v>
      </c>
    </row>
    <row r="6115">
      <c r="A6115" s="4" t="s">
        <v>7682</v>
      </c>
      <c r="B6115" s="4" t="s">
        <v>7688</v>
      </c>
      <c r="C6115" s="5" t="str">
        <f>IFERROR(__xludf.DUMMYFUNCTION("GOOGLETRANSLATE(B6115,""en"",""zh-CN"")"),"雄性将白板浸泡，然后将其放在洗碗架上。")</f>
        <v>雄性将白板浸泡，然后将其放在洗碗架上。</v>
      </c>
    </row>
    <row r="6116">
      <c r="A6116" s="4" t="s">
        <v>7682</v>
      </c>
      <c r="B6116" s="4" t="s">
        <v>7689</v>
      </c>
      <c r="C6116" s="5" t="str">
        <f>IFERROR(__xludf.DUMMYFUNCTION("GOOGLETRANSLATE(B6116,""en"",""zh-CN"")"),"雄性竖起大拇指。")</f>
        <v>雄性竖起大拇指。</v>
      </c>
    </row>
    <row r="6117">
      <c r="A6117" s="4" t="s">
        <v>7690</v>
      </c>
      <c r="B6117" s="6" t="s">
        <v>7691</v>
      </c>
      <c r="C6117" s="5" t="str">
        <f>IFERROR(__xludf.DUMMYFUNCTION("GOOGLETRANSLATE(B6117,""en"",""zh-CN"")"),"看到一个男人在他的手中旋转了一个rubix多维数据集，然后有更多的人试图解决难题并与相机交谈。")</f>
        <v>看到一个男人在他的手中旋转了一个rubix多维数据集，然后有更多的人试图解决难题并与相机交谈。</v>
      </c>
    </row>
    <row r="6118">
      <c r="A6118" s="4" t="s">
        <v>7690</v>
      </c>
      <c r="B6118" s="6" t="s">
        <v>7692</v>
      </c>
      <c r="C6118" s="5" t="str">
        <f>IFERROR(__xludf.DUMMYFUNCTION("GOOGLETRANSLATE(B6118,""en"",""zh-CN"")"),"展示了更多的人试图解决难题以及对相机和微笑。")</f>
        <v>展示了更多的人试图解决难题以及对相机和微笑。</v>
      </c>
    </row>
    <row r="6119">
      <c r="A6119" s="4" t="s">
        <v>7693</v>
      </c>
      <c r="B6119" s="6" t="s">
        <v>7694</v>
      </c>
      <c r="C6119" s="5" t="str">
        <f>IFERROR(__xludf.DUMMYFUNCTION("GOOGLETRANSLATE(B6119,""en"",""zh-CN"")"),"一群人坐在场上，以及为活动准备的各种运动员。")</f>
        <v>一群人坐在场上，以及为活动准备的各种运动员。</v>
      </c>
    </row>
    <row r="6120">
      <c r="A6120" s="4" t="s">
        <v>7693</v>
      </c>
      <c r="B6120" s="4" t="s">
        <v>7695</v>
      </c>
      <c r="C6120" s="5" t="str">
        <f>IFERROR(__xludf.DUMMYFUNCTION("GOOGLETRANSLATE(B6120,""en"",""zh-CN"")"),"看到一名妇女在教练大喊鼓励她时多次举起酒吧。")</f>
        <v>看到一名妇女在教练大喊鼓励她时多次举起酒吧。</v>
      </c>
    </row>
    <row r="6121">
      <c r="A6121" s="4" t="s">
        <v>7693</v>
      </c>
      <c r="B6121" s="4" t="s">
        <v>7696</v>
      </c>
      <c r="C6121" s="5" t="str">
        <f>IFERROR(__xludf.DUMMYFUNCTION("GOOGLETRANSLATE(B6121,""en"",""zh-CN"")"),"她完成了比赛，并与附近的其他几个人走开。")</f>
        <v>她完成了比赛，并与附近的其他几个人走开。</v>
      </c>
    </row>
    <row r="6122">
      <c r="A6122" s="4" t="s">
        <v>7697</v>
      </c>
      <c r="B6122" s="4" t="s">
        <v>7698</v>
      </c>
      <c r="C6122" s="5" t="str">
        <f>IFERROR(__xludf.DUMMYFUNCTION("GOOGLETRANSLATE(B6122,""en"",""zh-CN"")"),"一个摄影师跟随一个男人走上潜水板。")</f>
        <v>一个摄影师跟随一个男人走上潜水板。</v>
      </c>
    </row>
    <row r="6123">
      <c r="A6123" s="4" t="s">
        <v>7697</v>
      </c>
      <c r="B6123" s="4" t="s">
        <v>7699</v>
      </c>
      <c r="C6123" s="5" t="str">
        <f>IFERROR(__xludf.DUMMYFUNCTION("GOOGLETRANSLATE(B6123,""en"",""zh-CN"")"),"潜水员到达板的边缘并延伸，然后向前掉入水中。")</f>
        <v>潜水员到达板的边缘并延伸，然后向前掉入水中。</v>
      </c>
    </row>
    <row r="6124">
      <c r="A6124" s="4" t="s">
        <v>7697</v>
      </c>
      <c r="B6124" s="4" t="s">
        <v>7700</v>
      </c>
      <c r="C6124" s="5" t="str">
        <f>IFERROR(__xludf.DUMMYFUNCTION("GOOGLETRANSLATE(B6124,""en"",""zh-CN"")"),"潜水员第二次潜入水中。")</f>
        <v>潜水员第二次潜入水中。</v>
      </c>
    </row>
    <row r="6125">
      <c r="A6125" s="4" t="s">
        <v>7697</v>
      </c>
      <c r="B6125" s="4" t="s">
        <v>7701</v>
      </c>
      <c r="C6125" s="5" t="str">
        <f>IFERROR(__xludf.DUMMYFUNCTION("GOOGLETRANSLATE(B6125,""en"",""zh-CN"")"),"潜水员从水中下车，当摄影师跟随他时走开。")</f>
        <v>潜水员从水中下车，当摄影师跟随他时走开。</v>
      </c>
    </row>
    <row r="6126">
      <c r="A6126" s="4" t="s">
        <v>7702</v>
      </c>
      <c r="B6126" s="4" t="s">
        <v>7703</v>
      </c>
      <c r="C6126" s="5" t="str">
        <f>IFERROR(__xludf.DUMMYFUNCTION("GOOGLETRANSLATE(B6126,""en"",""zh-CN"")"),"一个男人摇摆并反复扔锤子。")</f>
        <v>一个男人摇摆并反复扔锤子。</v>
      </c>
    </row>
    <row r="6127">
      <c r="A6127" s="4" t="s">
        <v>7702</v>
      </c>
      <c r="B6127" s="4" t="s">
        <v>7704</v>
      </c>
      <c r="C6127" s="5" t="str">
        <f>IFERROR(__xludf.DUMMYFUNCTION("GOOGLETRANSLATE(B6127,""en"",""zh-CN"")"),"该男子在一只腿的一条腿上跳走，然后走开。")</f>
        <v>该男子在一只腿的一条腿上跳走，然后走开。</v>
      </c>
    </row>
    <row r="6128">
      <c r="A6128" s="4" t="s">
        <v>7702</v>
      </c>
      <c r="B6128" s="4" t="s">
        <v>7705</v>
      </c>
      <c r="C6128" s="5" t="str">
        <f>IFERROR(__xludf.DUMMYFUNCTION("GOOGLETRANSLATE(B6128,""en"",""zh-CN"")"),"我们切换到一个男人投掷射门。")</f>
        <v>我们切换到一个男人投掷射门。</v>
      </c>
    </row>
    <row r="6129">
      <c r="A6129" s="4" t="s">
        <v>7702</v>
      </c>
      <c r="B6129" s="4" t="s">
        <v>7706</v>
      </c>
      <c r="C6129" s="5" t="str">
        <f>IFERROR(__xludf.DUMMYFUNCTION("GOOGLETRANSLATE(B6129,""en"",""zh-CN"")"),"边线上的男人拍打着跳跃。")</f>
        <v>边线上的男人拍打着跳跃。</v>
      </c>
    </row>
    <row r="6130">
      <c r="A6130" s="4" t="s">
        <v>7702</v>
      </c>
      <c r="B6130" s="4" t="s">
        <v>7707</v>
      </c>
      <c r="C6130" s="5" t="str">
        <f>IFERROR(__xludf.DUMMYFUNCTION("GOOGLETRANSLATE(B6130,""en"",""zh-CN"")"),"红色和蓝色的男人举起了红旗。")</f>
        <v>红色和蓝色的男人举起了红旗。</v>
      </c>
    </row>
    <row r="6131">
      <c r="A6131" s="4" t="s">
        <v>7702</v>
      </c>
      <c r="B6131" s="4" t="s">
        <v>7708</v>
      </c>
      <c r="C6131" s="5" t="str">
        <f>IFERROR(__xludf.DUMMYFUNCTION("GOOGLETRANSLATE(B6131,""en"",""zh-CN"")"),"我们看到一个男人反复扔锤子。")</f>
        <v>我们看到一个男人反复扔锤子。</v>
      </c>
    </row>
    <row r="6132">
      <c r="A6132" s="4" t="s">
        <v>7709</v>
      </c>
      <c r="B6132" s="4" t="s">
        <v>7710</v>
      </c>
      <c r="C6132" s="5" t="str">
        <f>IFERROR(__xludf.DUMMYFUNCTION("GOOGLETRANSLATE(B6132,""en"",""zh-CN"")"),"有两辆白色汽车到达有仓库的僻静地区。")</f>
        <v>有两辆白色汽车到达有仓库的僻静地区。</v>
      </c>
    </row>
    <row r="6133">
      <c r="A6133" s="4" t="s">
        <v>7709</v>
      </c>
      <c r="B6133" s="4" t="s">
        <v>7711</v>
      </c>
      <c r="C6133" s="5" t="str">
        <f>IFERROR(__xludf.DUMMYFUNCTION("GOOGLETRANSLATE(B6133,""en"",""zh-CN"")"),"四个男人下车，走向一个戴着面具的男人遮住脸。")</f>
        <v>四个男人下车，走向一个戴着面具的男人遮住脸。</v>
      </c>
    </row>
    <row r="6134">
      <c r="A6134" s="4" t="s">
        <v>7709</v>
      </c>
      <c r="B6134" s="4" t="s">
        <v>7712</v>
      </c>
      <c r="C6134" s="5" t="str">
        <f>IFERROR(__xludf.DUMMYFUNCTION("GOOGLETRANSLATE(B6134,""en"",""zh-CN"")"),"有些人手里拿着枪在卡车后面。")</f>
        <v>有些人手里拿着枪在卡车后面。</v>
      </c>
    </row>
    <row r="6135">
      <c r="A6135" s="4" t="s">
        <v>7709</v>
      </c>
      <c r="B6135" s="4" t="s">
        <v>7713</v>
      </c>
      <c r="C6135" s="5" t="str">
        <f>IFERROR(__xludf.DUMMYFUNCTION("GOOGLETRANSLATE(B6135,""en"",""zh-CN"")"),"其中一个人出来开火。")</f>
        <v>其中一个人出来开火。</v>
      </c>
    </row>
    <row r="6136">
      <c r="A6136" s="4" t="s">
        <v>7709</v>
      </c>
      <c r="B6136" s="4" t="s">
        <v>7714</v>
      </c>
      <c r="C6136" s="5" t="str">
        <f>IFERROR(__xludf.DUMMYFUNCTION("GOOGLETRANSLATE(B6136,""en"",""zh-CN"")"),"他在空中射击枪。")</f>
        <v>他在空中射击枪。</v>
      </c>
    </row>
    <row r="6137">
      <c r="A6137" s="4" t="s">
        <v>7709</v>
      </c>
      <c r="B6137" s="4" t="s">
        <v>7715</v>
      </c>
      <c r="C6137" s="5" t="str">
        <f>IFERROR(__xludf.DUMMYFUNCTION("GOOGLETRANSLATE(B6137,""en"",""zh-CN"")"),"这激起了其他人，巨大的枪战爆发了。")</f>
        <v>这激起了其他人，巨大的枪战爆发了。</v>
      </c>
    </row>
    <row r="6138">
      <c r="A6138" s="4" t="s">
        <v>7709</v>
      </c>
      <c r="B6138" s="4" t="s">
        <v>7716</v>
      </c>
      <c r="C6138" s="5" t="str">
        <f>IFERROR(__xludf.DUMMYFUNCTION("GOOGLETRANSLATE(B6138,""en"",""zh-CN"")"),"这些人随机开始互相射击。")</f>
        <v>这些人随机开始互相射击。</v>
      </c>
    </row>
    <row r="6139">
      <c r="A6139" s="4" t="s">
        <v>7709</v>
      </c>
      <c r="B6139" s="4" t="s">
        <v>7717</v>
      </c>
      <c r="C6139" s="5" t="str">
        <f>IFERROR(__xludf.DUMMYFUNCTION("GOOGLETRANSLATE(B6139,""en"",""zh-CN"")"),"在那段时间里，其中一名男子被枪杀，他倒下并摔倒了。")</f>
        <v>在那段时间里，其中一名男子被枪杀，他倒下并摔倒了。</v>
      </c>
    </row>
    <row r="6140">
      <c r="A6140" s="4" t="s">
        <v>7718</v>
      </c>
      <c r="B6140" s="6" t="s">
        <v>7719</v>
      </c>
      <c r="C6140" s="5" t="str">
        <f>IFERROR(__xludf.DUMMYFUNCTION("GOOGLETRANSLATE(B6140,""en"",""zh-CN"")"),"音乐家在高架巨型屏幕上演奏一组鼓，因为摄像机在表演中进出。")</f>
        <v>音乐家在高架巨型屏幕上演奏一组鼓，因为摄像机在表演中进出。</v>
      </c>
    </row>
    <row r="6141">
      <c r="A6141" s="4" t="s">
        <v>7718</v>
      </c>
      <c r="B6141" s="4" t="s">
        <v>7720</v>
      </c>
      <c r="C6141" s="5" t="str">
        <f>IFERROR(__xludf.DUMMYFUNCTION("GOOGLETRANSLATE(B6141,""en"",""zh-CN"")"),"一位带有耳机贴在耳朵和嘴上的音乐家开始演奏鼓。")</f>
        <v>一位带有耳机贴在耳朵和嘴上的音乐家开始演奏鼓。</v>
      </c>
    </row>
    <row r="6142">
      <c r="A6142" s="4" t="s">
        <v>7718</v>
      </c>
      <c r="B6142" s="4" t="s">
        <v>7721</v>
      </c>
      <c r="C6142" s="5" t="str">
        <f>IFERROR(__xludf.DUMMYFUNCTION("GOOGLETRANSLATE(B6142,""en"",""zh-CN"")"),"当音乐家演奏鼓时，摄像机盘中的镜头进行了特写，然后将其放出。")</f>
        <v>当音乐家演奏鼓时，摄像机盘中的镜头进行了特写，然后将其放出。</v>
      </c>
    </row>
    <row r="6143">
      <c r="A6143" s="4" t="s">
        <v>7718</v>
      </c>
      <c r="B6143" s="4" t="s">
        <v>7722</v>
      </c>
      <c r="C6143" s="5" t="str">
        <f>IFERROR(__xludf.DUMMYFUNCTION("GOOGLETRANSLATE(B6143,""en"",""zh-CN"")"),"音乐家结束了表演，站立并放弃观众的棍子。")</f>
        <v>音乐家结束了表演，站立并放弃观众的棍子。</v>
      </c>
    </row>
    <row r="6144">
      <c r="A6144" s="4" t="s">
        <v>7723</v>
      </c>
      <c r="B6144" s="4" t="s">
        <v>7724</v>
      </c>
      <c r="C6144" s="5" t="str">
        <f>IFERROR(__xludf.DUMMYFUNCTION("GOOGLETRANSLATE(B6144,""en"",""zh-CN"")"),"雄性在战争比赛中拉绳。")</f>
        <v>雄性在战争比赛中拉绳。</v>
      </c>
    </row>
    <row r="6145">
      <c r="A6145" s="4" t="s">
        <v>7723</v>
      </c>
      <c r="B6145" s="4" t="s">
        <v>7725</v>
      </c>
      <c r="C6145" s="5" t="str">
        <f>IFERROR(__xludf.DUMMYFUNCTION("GOOGLETRANSLATE(B6145,""en"",""zh-CN"")"),"男性朝右边采取步骤。")</f>
        <v>男性朝右边采取步骤。</v>
      </c>
    </row>
    <row r="6146">
      <c r="A6146" s="4" t="s">
        <v>7723</v>
      </c>
      <c r="B6146" s="4" t="s">
        <v>7726</v>
      </c>
      <c r="C6146" s="5" t="str">
        <f>IFERROR(__xludf.DUMMYFUNCTION("GOOGLETRANSLATE(B6146,""en"",""zh-CN"")"),"男性被拉到左边。")</f>
        <v>男性被拉到左边。</v>
      </c>
    </row>
    <row r="6147">
      <c r="A6147" s="4" t="s">
        <v>7723</v>
      </c>
      <c r="B6147" s="4" t="s">
        <v>7727</v>
      </c>
      <c r="C6147" s="5" t="str">
        <f>IFERROR(__xludf.DUMMYFUNCTION("GOOGLETRANSLATE(B6147,""en"",""zh-CN"")"),"雄性抬起并放开绳索，现在更靠近左边。")</f>
        <v>雄性抬起并放开绳索，现在更靠近左边。</v>
      </c>
    </row>
    <row r="6148">
      <c r="A6148" s="4" t="s">
        <v>7728</v>
      </c>
      <c r="B6148" s="4" t="s">
        <v>7729</v>
      </c>
      <c r="C6148" s="5" t="str">
        <f>IFERROR(__xludf.DUMMYFUNCTION("GOOGLETRANSLATE(B6148,""en"",""zh-CN"")"),"看到一个人的特写是与他们身后的一个人说话，并沿着水划船。")</f>
        <v>看到一个人的特写是与他们身后的一个人说话，并沿着水划船。</v>
      </c>
    </row>
    <row r="6149">
      <c r="A6149" s="4" t="s">
        <v>7728</v>
      </c>
      <c r="B6149" s="6" t="s">
        <v>7730</v>
      </c>
      <c r="C6149" s="5" t="str">
        <f>IFERROR(__xludf.DUMMYFUNCTION("GOOGLETRANSLATE(B6149,""en"",""zh-CN"")"),"当水溅到他们周围时，人们继续沿着水骑行，女人停下来擦去她的脸。")</f>
        <v>当水溅到他们周围时，人们继续沿着水骑行，女人停下来擦去她的脸。</v>
      </c>
    </row>
    <row r="6150">
      <c r="A6150" s="4" t="s">
        <v>7731</v>
      </c>
      <c r="B6150" s="4" t="s">
        <v>7732</v>
      </c>
      <c r="C6150" s="5" t="str">
        <f>IFERROR(__xludf.DUMMYFUNCTION("GOOGLETRANSLATE(B6150,""en"",""zh-CN"")"),"一群运动员在浮标之间在水道上的比赛中划船。")</f>
        <v>一群运动员在浮标之间在水道上的比赛中划船。</v>
      </c>
    </row>
    <row r="6151">
      <c r="A6151" s="4" t="s">
        <v>7731</v>
      </c>
      <c r="B6151" s="4" t="s">
        <v>7733</v>
      </c>
      <c r="C6151" s="5" t="str">
        <f>IFERROR(__xludf.DUMMYFUNCTION("GOOGLETRANSLATE(B6151,""en"",""zh-CN"")"),"在比赛结束后放慢脚步的同时，这些人穿越了最后的浮标并滑行。")</f>
        <v>在比赛结束后放慢脚步的同时，这些人穿越了最后的浮标并滑行。</v>
      </c>
    </row>
    <row r="6152">
      <c r="A6152" s="4" t="s">
        <v>7734</v>
      </c>
      <c r="B6152" s="6" t="s">
        <v>7735</v>
      </c>
      <c r="C6152" s="5" t="str">
        <f>IFERROR(__xludf.DUMMYFUNCTION("GOOGLETRANSLATE(B6152,""en"",""zh-CN"")"),"一个在室外环境中的女人教一个小男孩和女孩如何用洗手间和金属桶洗衣服。")</f>
        <v>一个在室外环境中的女人教一个小男孩和女孩如何用洗手间和金属桶洗衣服。</v>
      </c>
    </row>
    <row r="6153">
      <c r="A6153" s="4" t="s">
        <v>7734</v>
      </c>
      <c r="B6153" s="4" t="s">
        <v>7736</v>
      </c>
      <c r="C6153" s="5" t="str">
        <f>IFERROR(__xludf.DUMMYFUNCTION("GOOGLETRANSLATE(B6153,""en"",""zh-CN"")"),"一个小男孩从一个金属桶上拉出一个金属杆，里面装有垫板。")</f>
        <v>一个小男孩从一个金属桶上拉出一个金属杆，里面装有垫板。</v>
      </c>
    </row>
    <row r="6154">
      <c r="A6154" s="4" t="s">
        <v>7734</v>
      </c>
      <c r="B6154" s="6" t="s">
        <v>7737</v>
      </c>
      <c r="C6154" s="5" t="str">
        <f>IFERROR(__xludf.DUMMYFUNCTION("GOOGLETRANSLATE(B6154,""en"",""zh-CN"")"),"两个年轻的女孩看着一个穿着白色围裙的女人，向男孩和女孩展示了如何旋转杠杆，还可以将衣服挂在晾衣绳上。")</f>
        <v>两个年轻的女孩看着一个穿着白色围裙的女人，向男孩和女孩展示了如何旋转杠杆，还可以将衣服挂在晾衣绳上。</v>
      </c>
    </row>
    <row r="6155">
      <c r="A6155" s="4" t="s">
        <v>7734</v>
      </c>
      <c r="B6155" s="6" t="s">
        <v>7738</v>
      </c>
      <c r="C6155" s="5" t="str">
        <f>IFERROR(__xludf.DUMMYFUNCTION("GOOGLETRANSLATE(B6155,""en"",""zh-CN"")"),"当男孩帮助女人挂衣服时，年轻的女孩开始拉动杠杆，然后所有孩子轮流操作垫板机构的不同部分。")</f>
        <v>当男孩帮助女人挂衣服时，年轻的女孩开始拉动杠杆，然后所有孩子轮流操作垫板机构的不同部分。</v>
      </c>
    </row>
    <row r="6156">
      <c r="A6156" s="4" t="s">
        <v>7739</v>
      </c>
      <c r="B6156" s="4" t="s">
        <v>7740</v>
      </c>
      <c r="C6156" s="5" t="str">
        <f>IFERROR(__xludf.DUMMYFUNCTION("GOOGLETRANSLATE(B6156,""en"",""zh-CN"")"),"该视频发生在一个剧院中，展示交响曲播放一首歌。")</f>
        <v>该视频发生在一个剧院中，展示交响曲播放一首歌。</v>
      </c>
    </row>
    <row r="6157">
      <c r="A6157" s="4" t="s">
        <v>7739</v>
      </c>
      <c r="B6157" s="4" t="s">
        <v>7741</v>
      </c>
      <c r="C6157" s="5" t="str">
        <f>IFERROR(__xludf.DUMMYFUNCTION("GOOGLETRANSLATE(B6157,""en"",""zh-CN"")"),"该视频显示了几位交响乐会员演奏乐器时的关闭。")</f>
        <v>该视频显示了几位交响乐会员演奏乐器时的关闭。</v>
      </c>
    </row>
    <row r="6158">
      <c r="A6158" s="4" t="s">
        <v>7739</v>
      </c>
      <c r="B6158" s="4" t="s">
        <v>7742</v>
      </c>
      <c r="C6158" s="5" t="str">
        <f>IFERROR(__xludf.DUMMYFUNCTION("GOOGLETRANSLATE(B6158,""en"",""zh-CN"")"),"然后，摄像机摇晃以向观众展示。")</f>
        <v>然后，摄像机摇晃以向观众展示。</v>
      </c>
    </row>
    <row r="6159">
      <c r="A6159" s="4" t="s">
        <v>7739</v>
      </c>
      <c r="B6159" s="4" t="s">
        <v>7743</v>
      </c>
      <c r="C6159" s="5" t="str">
        <f>IFERROR(__xludf.DUMMYFUNCTION("GOOGLETRANSLATE(B6159,""en"",""zh-CN"")"),"交响曲继续在指挥人的带领下发挥作用。")</f>
        <v>交响曲继续在指挥人的带领下发挥作用。</v>
      </c>
    </row>
    <row r="6160">
      <c r="A6160" s="4" t="s">
        <v>7739</v>
      </c>
      <c r="B6160" s="4" t="s">
        <v>7744</v>
      </c>
      <c r="C6160" s="5" t="str">
        <f>IFERROR(__xludf.DUMMYFUNCTION("GOOGLETRANSLATE(B6160,""en"",""zh-CN"")"),"视频结束了整个交响曲。")</f>
        <v>视频结束了整个交响曲。</v>
      </c>
    </row>
    <row r="6161">
      <c r="A6161" s="4" t="s">
        <v>7745</v>
      </c>
      <c r="B6161" s="4" t="s">
        <v>7746</v>
      </c>
      <c r="C6161" s="5" t="str">
        <f>IFERROR(__xludf.DUMMYFUNCTION("GOOGLETRANSLATE(B6161,""en"",""zh-CN"")"),"看到一个女人站在酒吧前，弯腰在他面前。")</f>
        <v>看到一个女人站在酒吧前，弯腰在他面前。</v>
      </c>
    </row>
    <row r="6162">
      <c r="A6162" s="4" t="s">
        <v>7745</v>
      </c>
      <c r="B6162" s="4" t="s">
        <v>7747</v>
      </c>
      <c r="C6162" s="5" t="str">
        <f>IFERROR(__xludf.DUMMYFUNCTION("GOOGLETRANSLATE(B6162,""en"",""zh-CN"")"),"她抓住了举重，将其抬起头顶，然后向下向下。")</f>
        <v>她抓住了举重，将其抬起头顶，然后向下向下。</v>
      </c>
    </row>
    <row r="6163">
      <c r="A6163" s="4" t="s">
        <v>7745</v>
      </c>
      <c r="B6163" s="4" t="s">
        <v>7748</v>
      </c>
      <c r="C6163" s="5" t="str">
        <f>IFERROR(__xludf.DUMMYFUNCTION("GOOGLETRANSLATE(B6163,""en"",""zh-CN"")"),"她不断地将重物抬起头顶。")</f>
        <v>她不断地将重物抬起头顶。</v>
      </c>
    </row>
    <row r="6164">
      <c r="A6164" s="4" t="s">
        <v>7749</v>
      </c>
      <c r="B6164" s="4" t="s">
        <v>7750</v>
      </c>
      <c r="C6164" s="5" t="str">
        <f>IFERROR(__xludf.DUMMYFUNCTION("GOOGLETRANSLATE(B6164,""en"",""zh-CN"")"),"这位年轻的女性正站在厨房里与镜头说话。")</f>
        <v>这位年轻的女性正站在厨房里与镜头说话。</v>
      </c>
    </row>
    <row r="6165">
      <c r="A6165" s="4" t="s">
        <v>7749</v>
      </c>
      <c r="B6165" s="6" t="s">
        <v>7751</v>
      </c>
      <c r="C6165" s="5" t="str">
        <f>IFERROR(__xludf.DUMMYFUNCTION("GOOGLETRANSLATE(B6165,""en"",""zh-CN"")"),"雌性将意大利面放在沸水中，切碎大蒜，然后将橄榄油倒入锅中，将橙皮切碎，然后放入锅中，添加西红柿和海鲜。")</f>
        <v>雌性将意大利面放在沸水中，切碎大蒜，然后将橄榄油倒入锅中，将橙皮切碎，然后放入锅中，添加西红柿和海鲜。</v>
      </c>
    </row>
    <row r="6166">
      <c r="A6166" s="4" t="s">
        <v>7749</v>
      </c>
      <c r="B6166" s="4" t="s">
        <v>7752</v>
      </c>
      <c r="C6166" s="5" t="str">
        <f>IFERROR(__xludf.DUMMYFUNCTION("GOOGLETRANSLATE(B6166,""en"",""zh-CN"")"),"女人会排干面食，将其放在酱汁上，然后将其放入白碗中。")</f>
        <v>女人会排干面食，将其放在酱汁上，然后将其放入白碗中。</v>
      </c>
    </row>
    <row r="6167">
      <c r="A6167" s="4" t="s">
        <v>7753</v>
      </c>
      <c r="B6167" s="4" t="s">
        <v>7754</v>
      </c>
      <c r="C6167" s="5" t="str">
        <f>IFERROR(__xludf.DUMMYFUNCTION("GOOGLETRANSLATE(B6167,""en"",""zh-CN"")"),"一大批人骑着巨大的木筏。")</f>
        <v>一大批人骑着巨大的木筏。</v>
      </c>
    </row>
    <row r="6168">
      <c r="A6168" s="4" t="s">
        <v>7753</v>
      </c>
      <c r="B6168" s="4" t="s">
        <v>7755</v>
      </c>
      <c r="C6168" s="5" t="str">
        <f>IFERROR(__xludf.DUMMYFUNCTION("GOOGLETRANSLATE(B6168,""en"",""zh-CN"")"),"他们划过急流，试图保持直立。")</f>
        <v>他们划过急流，试图保持直立。</v>
      </c>
    </row>
    <row r="6169">
      <c r="A6169" s="4" t="s">
        <v>7753</v>
      </c>
      <c r="B6169" s="4" t="s">
        <v>7756</v>
      </c>
      <c r="C6169" s="5" t="str">
        <f>IFERROR(__xludf.DUMMYFUNCTION("GOOGLETRANSLATE(B6169,""en"",""zh-CN"")"),"他们翻转，从木筏上掉下来。")</f>
        <v>他们翻转，从木筏上掉下来。</v>
      </c>
    </row>
    <row r="6170">
      <c r="A6170" s="4" t="s">
        <v>7757</v>
      </c>
      <c r="B6170" s="4" t="s">
        <v>7758</v>
      </c>
      <c r="C6170" s="5" t="str">
        <f>IFERROR(__xludf.DUMMYFUNCTION("GOOGLETRANSLATE(B6170,""en"",""zh-CN"")"),"我们看到标题卡和痛苦的梳妆台。")</f>
        <v>我们看到标题卡和痛苦的梳妆台。</v>
      </c>
    </row>
    <row r="6171">
      <c r="A6171" s="4" t="s">
        <v>7757</v>
      </c>
      <c r="B6171" s="4" t="s">
        <v>7759</v>
      </c>
      <c r="C6171" s="5" t="str">
        <f>IFERROR(__xludf.DUMMYFUNCTION("GOOGLETRANSLATE(B6171,""en"",""zh-CN"")"),"一位女士坐在地板上讨论绘画。")</f>
        <v>一位女士坐在地板上讨论绘画。</v>
      </c>
    </row>
    <row r="6172">
      <c r="A6172" s="4" t="s">
        <v>7757</v>
      </c>
      <c r="B6172" s="4" t="s">
        <v>7760</v>
      </c>
      <c r="C6172" s="5" t="str">
        <f>IFERROR(__xludf.DUMMYFUNCTION("GOOGLETRANSLATE(B6172,""en"",""zh-CN"")"),"女士在谈论它的同时画梳妆台。")</f>
        <v>女士在谈论它的同时画梳妆台。</v>
      </c>
    </row>
    <row r="6173">
      <c r="A6173" s="4" t="s">
        <v>7757</v>
      </c>
      <c r="B6173" s="4" t="s">
        <v>7761</v>
      </c>
      <c r="C6173" s="5" t="str">
        <f>IFERROR(__xludf.DUMMYFUNCTION("GOOGLETRANSLATE(B6173,""en"",""zh-CN"")"),"我们看到了涂漆的最终产品。")</f>
        <v>我们看到了涂漆的最终产品。</v>
      </c>
    </row>
    <row r="6174">
      <c r="A6174" s="4" t="s">
        <v>7757</v>
      </c>
      <c r="B6174" s="4" t="s">
        <v>7762</v>
      </c>
      <c r="C6174" s="5" t="str">
        <f>IFERROR(__xludf.DUMMYFUNCTION("GOOGLETRANSLATE(B6174,""en"",""zh-CN"")"),"我们看到视频的最终卡。")</f>
        <v>我们看到视频的最终卡。</v>
      </c>
    </row>
    <row r="6175">
      <c r="A6175" s="4" t="s">
        <v>7763</v>
      </c>
      <c r="B6175" s="4" t="s">
        <v>7764</v>
      </c>
      <c r="C6175" s="5" t="str">
        <f>IFERROR(__xludf.DUMMYFUNCTION("GOOGLETRANSLATE(B6175,""en"",""zh-CN"")"),"一位女士携带一桶清洁用品，走在大厅里。")</f>
        <v>一位女士携带一桶清洁用品，走在大厅里。</v>
      </c>
    </row>
    <row r="6176">
      <c r="A6176" s="4" t="s">
        <v>7763</v>
      </c>
      <c r="B6176" s="4" t="s">
        <v>7765</v>
      </c>
      <c r="C6176" s="5" t="str">
        <f>IFERROR(__xludf.DUMMYFUNCTION("GOOGLETRANSLATE(B6176,""en"",""zh-CN"")"),"一位女士用报纸清洁窗户。")</f>
        <v>一位女士用报纸清洁窗户。</v>
      </c>
    </row>
    <row r="6177">
      <c r="A6177" s="4" t="s">
        <v>7763</v>
      </c>
      <c r="B6177" s="4" t="s">
        <v>7766</v>
      </c>
      <c r="C6177" s="5" t="str">
        <f>IFERROR(__xludf.DUMMYFUNCTION("GOOGLETRANSLATE(B6177,""en"",""zh-CN"")"),"女士喷洒了报纸。")</f>
        <v>女士喷洒了报纸。</v>
      </c>
    </row>
    <row r="6178">
      <c r="A6178" s="4" t="s">
        <v>7763</v>
      </c>
      <c r="B6178" s="4" t="s">
        <v>7767</v>
      </c>
      <c r="C6178" s="5" t="str">
        <f>IFERROR(__xludf.DUMMYFUNCTION("GOOGLETRANSLATE(B6178,""en"",""zh-CN"")"),"显示了进行喷雾的成分。")</f>
        <v>显示了进行喷雾的成分。</v>
      </c>
    </row>
    <row r="6179">
      <c r="A6179" s="4" t="s">
        <v>7763</v>
      </c>
      <c r="B6179" s="4" t="s">
        <v>7768</v>
      </c>
      <c r="C6179" s="5" t="str">
        <f>IFERROR(__xludf.DUMMYFUNCTION("GOOGLETRANSLATE(B6179,""en"",""zh-CN"")"),"女士喷洒了窗户。")</f>
        <v>女士喷洒了窗户。</v>
      </c>
    </row>
    <row r="6180">
      <c r="A6180" s="4" t="s">
        <v>7769</v>
      </c>
      <c r="B6180" s="4" t="s">
        <v>7770</v>
      </c>
      <c r="C6180" s="5" t="str">
        <f>IFERROR(__xludf.DUMMYFUNCTION("GOOGLETRANSLATE(B6180,""en"",""zh-CN"")"),"管道正在岩石上显示。")</f>
        <v>管道正在岩石上显示。</v>
      </c>
    </row>
    <row r="6181">
      <c r="A6181" s="4" t="s">
        <v>7769</v>
      </c>
      <c r="B6181" s="4" t="s">
        <v>7771</v>
      </c>
      <c r="C6181" s="5" t="str">
        <f>IFERROR(__xludf.DUMMYFUNCTION("GOOGLETRANSLATE(B6181,""en"",""zh-CN"")"),"一个男人在小径上行走。")</f>
        <v>一个男人在小径上行走。</v>
      </c>
    </row>
    <row r="6182">
      <c r="A6182" s="4" t="s">
        <v>7769</v>
      </c>
      <c r="B6182" s="4" t="s">
        <v>7772</v>
      </c>
      <c r="C6182" s="5" t="str">
        <f>IFERROR(__xludf.DUMMYFUNCTION("GOOGLETRANSLATE(B6182,""en"",""zh-CN"")"),"显示了围栏后面的大结构。")</f>
        <v>显示了围栏后面的大结构。</v>
      </c>
    </row>
    <row r="6183">
      <c r="A6183" s="4" t="s">
        <v>7769</v>
      </c>
      <c r="B6183" s="4" t="s">
        <v>7773</v>
      </c>
      <c r="C6183" s="5" t="str">
        <f>IFERROR(__xludf.DUMMYFUNCTION("GOOGLETRANSLATE(B6183,""en"",""zh-CN"")"),"一条船在岩石周围的水中。")</f>
        <v>一条船在岩石周围的水中。</v>
      </c>
    </row>
    <row r="6184">
      <c r="A6184" s="4" t="s">
        <v>7769</v>
      </c>
      <c r="B6184" s="4" t="s">
        <v>7774</v>
      </c>
      <c r="C6184" s="5" t="str">
        <f>IFERROR(__xludf.DUMMYFUNCTION("GOOGLETRANSLATE(B6184,""en"",""zh-CN"")"),"一个人坐在岩石的顶部。")</f>
        <v>一个人坐在岩石的顶部。</v>
      </c>
    </row>
    <row r="6185">
      <c r="A6185" s="4" t="s">
        <v>7769</v>
      </c>
      <c r="B6185" s="4" t="s">
        <v>7775</v>
      </c>
      <c r="C6185" s="5" t="str">
        <f>IFERROR(__xludf.DUMMYFUNCTION("GOOGLETRANSLATE(B6185,""en"",""zh-CN"")"),"一个人开始演奏乐器。")</f>
        <v>一个人开始演奏乐器。</v>
      </c>
    </row>
    <row r="6186">
      <c r="A6186" s="4" t="s">
        <v>7769</v>
      </c>
      <c r="B6186" s="4" t="s">
        <v>7776</v>
      </c>
      <c r="C6186" s="5" t="str">
        <f>IFERROR(__xludf.DUMMYFUNCTION("GOOGLETRANSLATE(B6186,""en"",""zh-CN"")"),"显示了一个大岩壁。")</f>
        <v>显示了一个大岩壁。</v>
      </c>
    </row>
    <row r="6187">
      <c r="A6187" s="4" t="s">
        <v>7769</v>
      </c>
      <c r="B6187" s="4" t="s">
        <v>7777</v>
      </c>
      <c r="C6187" s="5" t="str">
        <f>IFERROR(__xludf.DUMMYFUNCTION("GOOGLETRANSLATE(B6187,""en"",""zh-CN"")"),"该男子继续演奏乐器。")</f>
        <v>该男子继续演奏乐器。</v>
      </c>
    </row>
    <row r="6188">
      <c r="A6188" s="4" t="s">
        <v>7778</v>
      </c>
      <c r="B6188" s="4" t="s">
        <v>7779</v>
      </c>
      <c r="C6188" s="5" t="str">
        <f>IFERROR(__xludf.DUMMYFUNCTION("GOOGLETRANSLATE(B6188,""en"",""zh-CN"")"),"相机看着一个戴着帽子的男人从低角度与某人交谈。")</f>
        <v>相机看着一个戴着帽子的男人从低角度与某人交谈。</v>
      </c>
    </row>
    <row r="6189">
      <c r="A6189" s="4" t="s">
        <v>7778</v>
      </c>
      <c r="B6189" s="4" t="s">
        <v>7780</v>
      </c>
      <c r="C6189" s="5" t="str">
        <f>IFERROR(__xludf.DUMMYFUNCTION("GOOGLETRANSLATE(B6189,""en"",""zh-CN"")"),"设置发生了变化，帽子里的男人在看书时与另一个男人对话。")</f>
        <v>设置发生了变化，帽子里的男人在看书时与另一个男人对话。</v>
      </c>
    </row>
    <row r="6190">
      <c r="A6190" s="4" t="s">
        <v>7778</v>
      </c>
      <c r="B6190" s="4" t="s">
        <v>7781</v>
      </c>
      <c r="C6190" s="5" t="str">
        <f>IFERROR(__xludf.DUMMYFUNCTION("GOOGLETRANSLATE(B6190,""en"",""zh-CN"")"),"戴帽子的那个人坐下来与镜头交谈。")</f>
        <v>戴帽子的那个人坐下来与镜头交谈。</v>
      </c>
    </row>
    <row r="6191">
      <c r="A6191" s="4" t="s">
        <v>7778</v>
      </c>
      <c r="B6191" s="4" t="s">
        <v>7782</v>
      </c>
      <c r="C6191" s="5" t="str">
        <f>IFERROR(__xludf.DUMMYFUNCTION("GOOGLETRANSLATE(B6191,""en"",""zh-CN"")"),"该男子从一瓶水中喝酒。")</f>
        <v>该男子从一瓶水中喝酒。</v>
      </c>
    </row>
    <row r="6192">
      <c r="A6192" s="4" t="s">
        <v>7778</v>
      </c>
      <c r="B6192" s="4" t="s">
        <v>7783</v>
      </c>
      <c r="C6192" s="5" t="str">
        <f>IFERROR(__xludf.DUMMYFUNCTION("GOOGLETRANSLATE(B6192,""en"",""zh-CN"")"),"女人在男人的身体上使用墨水图案。")</f>
        <v>女人在男人的身体上使用墨水图案。</v>
      </c>
    </row>
    <row r="6193">
      <c r="A6193" s="4" t="s">
        <v>7778</v>
      </c>
      <c r="B6193" s="4" t="s">
        <v>7784</v>
      </c>
      <c r="C6193" s="5" t="str">
        <f>IFERROR(__xludf.DUMMYFUNCTION("GOOGLETRANSLATE(B6193,""en"",""zh-CN"")"),"男人在墨水图案上纹身时躺在他的身边。")</f>
        <v>男人在墨水图案上纹身时躺在他的身边。</v>
      </c>
    </row>
    <row r="6194">
      <c r="A6194" s="4" t="s">
        <v>7778</v>
      </c>
      <c r="B6194" s="4" t="s">
        <v>7785</v>
      </c>
      <c r="C6194" s="5" t="str">
        <f>IFERROR(__xludf.DUMMYFUNCTION("GOOGLETRANSLATE(B6194,""en"",""zh-CN"")"),"显示了完整纹身的静止图像。")</f>
        <v>显示了完整纹身的静止图像。</v>
      </c>
    </row>
    <row r="6195">
      <c r="A6195" s="4" t="s">
        <v>7786</v>
      </c>
      <c r="B6195" s="4" t="s">
        <v>7787</v>
      </c>
      <c r="C6195" s="5" t="str">
        <f>IFERROR(__xludf.DUMMYFUNCTION("GOOGLETRANSLATE(B6195,""en"",""zh-CN"")"),"当狗站在她的脚下时，一个女人被拿着猫。")</f>
        <v>当狗站在她的脚下时，一个女人被拿着猫。</v>
      </c>
    </row>
    <row r="6196">
      <c r="A6196" s="4" t="s">
        <v>7786</v>
      </c>
      <c r="B6196" s="4" t="s">
        <v>7788</v>
      </c>
      <c r="C6196" s="5" t="str">
        <f>IFERROR(__xludf.DUMMYFUNCTION("GOOGLETRANSLATE(B6196,""en"",""zh-CN"")"),"她与镜头说话，炫耀她的猫指甲。")</f>
        <v>她与镜头说话，炫耀她的猫指甲。</v>
      </c>
    </row>
    <row r="6197">
      <c r="A6197" s="4" t="s">
        <v>7786</v>
      </c>
      <c r="B6197" s="4" t="s">
        <v>7789</v>
      </c>
      <c r="C6197" s="5" t="str">
        <f>IFERROR(__xludf.DUMMYFUNCTION("GOOGLETRANSLATE(B6197,""en"",""zh-CN"")"),"她抓住了一个工具，开始割断猫的爪子。")</f>
        <v>她抓住了一个工具，开始割断猫的爪子。</v>
      </c>
    </row>
    <row r="6198">
      <c r="A6198" s="4" t="s">
        <v>7786</v>
      </c>
      <c r="B6198" s="4" t="s">
        <v>7790</v>
      </c>
      <c r="C6198" s="5" t="str">
        <f>IFERROR(__xludf.DUMMYFUNCTION("GOOGLETRANSLATE(B6198,""en"",""zh-CN"")"),"她调整了猫，但完成了指甲，放开了她。")</f>
        <v>她调整了猫，但完成了指甲，放开了她。</v>
      </c>
    </row>
    <row r="6199">
      <c r="A6199" s="4" t="s">
        <v>7791</v>
      </c>
      <c r="B6199" s="6" t="s">
        <v>7792</v>
      </c>
      <c r="C6199" s="5" t="str">
        <f>IFERROR(__xludf.DUMMYFUNCTION("GOOGLETRANSLATE(B6199,""en"",""zh-CN"")"),"一类穿着白色gi的孩子在教室里走路，踢和打孔，而他们的老师在他们周围走来走去。")</f>
        <v>一类穿着白色gi的孩子在教室里走路，踢和打孔，而他们的老师在他们周围走来走去。</v>
      </c>
    </row>
    <row r="6200">
      <c r="A6200" s="4" t="s">
        <v>7791</v>
      </c>
      <c r="B6200" s="4" t="s">
        <v>7793</v>
      </c>
      <c r="C6200" s="5" t="str">
        <f>IFERROR(__xludf.DUMMYFUNCTION("GOOGLETRANSLATE(B6200,""en"",""zh-CN"")"),"班级停下来，讲师在谈话和四处走动。")</f>
        <v>班级停下来，讲师在谈话和四处走动。</v>
      </c>
    </row>
    <row r="6201">
      <c r="A6201" s="4" t="s">
        <v>7791</v>
      </c>
      <c r="B6201" s="6" t="s">
        <v>7794</v>
      </c>
      <c r="C6201" s="5" t="str">
        <f>IFERROR(__xludf.DUMMYFUNCTION("GOOGLETRANSLATE(B6201,""en"",""zh-CN"")"),"班级然后转身开始走路，踢和猛击他们刚来自的方向。")</f>
        <v>班级然后转身开始走路，踢和猛击他们刚来自的方向。</v>
      </c>
    </row>
    <row r="6202">
      <c r="A6202" s="4" t="s">
        <v>7791</v>
      </c>
      <c r="B6202" s="6" t="s">
        <v>7795</v>
      </c>
      <c r="C6202" s="5" t="str">
        <f>IFERROR(__xludf.DUMMYFUNCTION("GOOGLETRANSLATE(B6202,""en"",""zh-CN"")"),"当他们走到尽头时，班上的班上开始了，教练开始说话并向他们展示踢和拳，移开，班级恢复。")</f>
        <v>当他们走到尽头时，班上的班上开始了，教练开始说话并向他们展示踢和拳，移开，班级恢复。</v>
      </c>
    </row>
    <row r="6203">
      <c r="A6203" s="4" t="s">
        <v>7791</v>
      </c>
      <c r="B6203" s="6" t="s">
        <v>7796</v>
      </c>
      <c r="C6203" s="5" t="str">
        <f>IFERROR(__xludf.DUMMYFUNCTION("GOOGLETRANSLATE(B6203,""en"",""zh-CN"")"),"当他们到达末端时，他们再次转身走路，踢回去，向后踢回去，讲师再次阻止他们说话并演示动作，并再次恢复了他们的动作在房间里，他们转身结束了腿部，双腿分开，手臂在他们的前面。")</f>
        <v>当他们到达末端时，他们再次转身走路，踢回去，向后踢回去，讲师再次阻止他们说话并演示动作，并再次恢复了他们的动作在房间里，他们转身结束了腿部，双腿分开，手臂在他们的前面。</v>
      </c>
    </row>
    <row r="6204">
      <c r="A6204" s="4" t="s">
        <v>7797</v>
      </c>
      <c r="B6204" s="4" t="s">
        <v>7798</v>
      </c>
      <c r="C6204" s="5" t="str">
        <f>IFERROR(__xludf.DUMMYFUNCTION("GOOGLETRANSLATE(B6204,""en"",""zh-CN"")"),"看到一个男人在与镜头说话并微笑时拿着手风琴。")</f>
        <v>看到一个男人在与镜头说话并微笑时拿着手风琴。</v>
      </c>
    </row>
    <row r="6205">
      <c r="A6205" s="4" t="s">
        <v>7797</v>
      </c>
      <c r="B6205" s="6" t="s">
        <v>7799</v>
      </c>
      <c r="C6205" s="5" t="str">
        <f>IFERROR(__xludf.DUMMYFUNCTION("GOOGLETRANSLATE(B6205,""en"",""zh-CN"")"),"然后，他在看着相机时弹奏乐器，并通过对相机说话更多。")</f>
        <v>然后，他在看着相机时弹奏乐器，并通过对相机说话更多。</v>
      </c>
    </row>
    <row r="6206">
      <c r="A6206" s="4" t="s">
        <v>7800</v>
      </c>
      <c r="B6206" s="4" t="s">
        <v>7801</v>
      </c>
      <c r="C6206" s="5" t="str">
        <f>IFERROR(__xludf.DUMMYFUNCTION("GOOGLETRANSLATE(B6206,""en"",""zh-CN"")"),"一个男孩站在厨房水槽前的凳子上。")</f>
        <v>一个男孩站在厨房水槽前的凳子上。</v>
      </c>
    </row>
    <row r="6207">
      <c r="A6207" s="4" t="s">
        <v>7800</v>
      </c>
      <c r="B6207" s="4" t="s">
        <v>7802</v>
      </c>
      <c r="C6207" s="5" t="str">
        <f>IFERROR(__xludf.DUMMYFUNCTION("GOOGLETRANSLATE(B6207,""en"",""zh-CN"")"),"他正在水下洗碗。")</f>
        <v>他正在水下洗碗。</v>
      </c>
    </row>
    <row r="6208">
      <c r="A6208" s="4" t="s">
        <v>7800</v>
      </c>
      <c r="B6208" s="4" t="s">
        <v>7803</v>
      </c>
      <c r="C6208" s="5" t="str">
        <f>IFERROR(__xludf.DUMMYFUNCTION("GOOGLETRANSLATE(B6208,""en"",""zh-CN"")"),"他将菜肴放入黑色过滤器中。")</f>
        <v>他将菜肴放入黑色过滤器中。</v>
      </c>
    </row>
    <row r="6209">
      <c r="A6209" s="4" t="s">
        <v>7804</v>
      </c>
      <c r="B6209" s="6" t="s">
        <v>7805</v>
      </c>
      <c r="C6209" s="5" t="str">
        <f>IFERROR(__xludf.DUMMYFUNCTION("GOOGLETRANSLATE(B6209,""en"",""zh-CN"")"),"还显示了几张骑着风筝冲浪的人以及与镜头说话的人。")</f>
        <v>还显示了几张骑着风筝冲浪的人以及与镜头说话的人。</v>
      </c>
    </row>
    <row r="6210">
      <c r="A6210" s="4" t="s">
        <v>7804</v>
      </c>
      <c r="B6210" s="6" t="s">
        <v>7806</v>
      </c>
      <c r="C6210" s="5" t="str">
        <f>IFERROR(__xludf.DUMMYFUNCTION("GOOGLETRANSLATE(B6210,""en"",""zh-CN"")"),"孩子们尝试冲浪，看到他们的胳膊和腿四处移动，向相机挥手。")</f>
        <v>孩子们尝试冲浪，看到他们的胳膊和腿四处移动，向相机挥手。</v>
      </c>
    </row>
    <row r="6211">
      <c r="A6211" s="4" t="s">
        <v>7804</v>
      </c>
      <c r="B6211" s="6" t="s">
        <v>7807</v>
      </c>
      <c r="C6211" s="5" t="str">
        <f>IFERROR(__xludf.DUMMYFUNCTION("GOOGLETRANSLATE(B6211,""en"",""zh-CN"")"),"看到两个女孩在跳舞，以及与镜头说话的人，孩子们看着相机。")</f>
        <v>看到两个女孩在跳舞，以及与镜头说话的人，孩子们看着相机。</v>
      </c>
    </row>
    <row r="6212">
      <c r="A6212" s="4" t="s">
        <v>7808</v>
      </c>
      <c r="B6212" s="4" t="s">
        <v>7809</v>
      </c>
      <c r="C6212" s="5" t="str">
        <f>IFERROR(__xludf.DUMMYFUNCTION("GOOGLETRANSLATE(B6212,""en"",""zh-CN"")"),"女人正在解释如何去除墙纸。")</f>
        <v>女人正在解释如何去除墙纸。</v>
      </c>
    </row>
    <row r="6213">
      <c r="A6213" s="4" t="s">
        <v>7808</v>
      </c>
      <c r="B6213" s="4" t="s">
        <v>7810</v>
      </c>
      <c r="C6213" s="5" t="str">
        <f>IFERROR(__xludf.DUMMYFUNCTION("GOOGLETRANSLATE(B6213,""en"",""zh-CN"")"),"她转身弯腰捡起蒸笼。")</f>
        <v>她转身弯腰捡起蒸笼。</v>
      </c>
    </row>
    <row r="6214">
      <c r="A6214" s="4" t="s">
        <v>7808</v>
      </c>
      <c r="B6214" s="4" t="s">
        <v>7811</v>
      </c>
      <c r="C6214" s="5" t="str">
        <f>IFERROR(__xludf.DUMMYFUNCTION("GOOGLETRANSLATE(B6214,""en"",""zh-CN"")"),"她展示了如何在各节中蒸墙纸。")</f>
        <v>她展示了如何在各节中蒸墙纸。</v>
      </c>
    </row>
    <row r="6215">
      <c r="A6215" s="4" t="s">
        <v>7808</v>
      </c>
      <c r="B6215" s="4" t="s">
        <v>7812</v>
      </c>
      <c r="C6215" s="5" t="str">
        <f>IFERROR(__xludf.DUMMYFUNCTION("GOOGLETRANSLATE(B6215,""en"",""zh-CN"")"),"她走下梯子，继续蒸墙纸。")</f>
        <v>她走下梯子，继续蒸墙纸。</v>
      </c>
    </row>
    <row r="6216">
      <c r="A6216" s="4" t="s">
        <v>7808</v>
      </c>
      <c r="B6216" s="6" t="s">
        <v>7813</v>
      </c>
      <c r="C6216" s="5" t="str">
        <f>IFERROR(__xludf.DUMMYFUNCTION("GOOGLETRANSLATE(B6216,""en"",""zh-CN"")"),"她将梯子移开了路，然后她将更多的墙纸蒸到底部，越过中间。")</f>
        <v>她将梯子移开了路，然后她将更多的墙纸蒸到底部，越过中间。</v>
      </c>
    </row>
    <row r="6217">
      <c r="A6217" s="4" t="s">
        <v>7808</v>
      </c>
      <c r="B6217" s="6" t="s">
        <v>7814</v>
      </c>
      <c r="C6217" s="5" t="str">
        <f>IFERROR(__xludf.DUMMYFUNCTION("GOOGLETRANSLATE(B6217,""en"",""zh-CN"")"),"她移动梯子，爬上它，从墙壁上剥离墙纸，从墙壁上捡起碎片。")</f>
        <v>她移动梯子，爬上它，从墙壁上剥离墙纸，从墙壁上捡起碎片。</v>
      </c>
    </row>
    <row r="6218">
      <c r="A6218" s="4" t="s">
        <v>7808</v>
      </c>
      <c r="B6218" s="4" t="s">
        <v>7815</v>
      </c>
      <c r="C6218" s="5" t="str">
        <f>IFERROR(__xludf.DUMMYFUNCTION("GOOGLETRANSLATE(B6218,""en"",""zh-CN"")"),"她从墙上拉出残留物。")</f>
        <v>她从墙上拉出残留物。</v>
      </c>
    </row>
    <row r="6219">
      <c r="A6219" s="4" t="s">
        <v>7808</v>
      </c>
      <c r="B6219" s="4" t="s">
        <v>7816</v>
      </c>
      <c r="C6219" s="5" t="str">
        <f>IFERROR(__xludf.DUMMYFUNCTION("GOOGLETRANSLATE(B6219,""en"",""zh-CN"")"),"她走出相机范围，并带着刮刀返回以取下左侧碎片。")</f>
        <v>她走出相机范围，并带着刮刀返回以取下左侧碎片。</v>
      </c>
    </row>
    <row r="6220">
      <c r="A6220" s="4" t="s">
        <v>7808</v>
      </c>
      <c r="B6220" s="4" t="s">
        <v>7817</v>
      </c>
      <c r="C6220" s="5" t="str">
        <f>IFERROR(__xludf.DUMMYFUNCTION("GOOGLETRANSLATE(B6220,""en"",""zh-CN"")"),"她再次弯腰，再次走出相机范围。")</f>
        <v>她再次弯腰，再次走出相机范围。</v>
      </c>
    </row>
    <row r="6221">
      <c r="A6221" s="4" t="s">
        <v>7808</v>
      </c>
      <c r="B6221" s="4" t="s">
        <v>7818</v>
      </c>
      <c r="C6221" s="5" t="str">
        <f>IFERROR(__xludf.DUMMYFUNCTION("GOOGLETRANSLATE(B6221,""en"",""zh-CN"")"),"她有一个海绵，正在打扫墙。")</f>
        <v>她有一个海绵，正在打扫墙。</v>
      </c>
    </row>
    <row r="6222">
      <c r="A6222" s="4" t="s">
        <v>7808</v>
      </c>
      <c r="B6222" s="4" t="s">
        <v>7819</v>
      </c>
      <c r="C6222" s="5" t="str">
        <f>IFERROR(__xludf.DUMMYFUNCTION("GOOGLETRANSLATE(B6222,""en"",""zh-CN"")"),"她做更多的刮擦和擦洗。")</f>
        <v>她做更多的刮擦和擦洗。</v>
      </c>
    </row>
    <row r="6223">
      <c r="A6223" s="4" t="s">
        <v>7808</v>
      </c>
      <c r="B6223" s="4" t="s">
        <v>7820</v>
      </c>
      <c r="C6223" s="5" t="str">
        <f>IFERROR(__xludf.DUMMYFUNCTION("GOOGLETRANSLATE(B6223,""en"",""zh-CN"")"),"她转过身微笑。")</f>
        <v>她转过身微笑。</v>
      </c>
    </row>
    <row r="6224">
      <c r="A6224" s="4" t="s">
        <v>7821</v>
      </c>
      <c r="B6224" s="4" t="s">
        <v>7822</v>
      </c>
      <c r="C6224" s="5" t="str">
        <f>IFERROR(__xludf.DUMMYFUNCTION("GOOGLETRANSLATE(B6224,""en"",""zh-CN"")"),"有雪花落在森林上。")</f>
        <v>有雪花落在森林上。</v>
      </c>
    </row>
    <row r="6225">
      <c r="A6225" s="4" t="s">
        <v>7821</v>
      </c>
      <c r="B6225" s="4" t="s">
        <v>7823</v>
      </c>
      <c r="C6225" s="5" t="str">
        <f>IFERROR(__xludf.DUMMYFUNCTION("GOOGLETRANSLATE(B6225,""en"",""zh-CN"")"),"一个穿着白雪皑皑的田野的橙色夹克雪地摩托的男人。")</f>
        <v>一个穿着白雪皑皑的田野的橙色夹克雪地摩托的男人。</v>
      </c>
    </row>
    <row r="6226">
      <c r="A6226" s="4" t="s">
        <v>7821</v>
      </c>
      <c r="B6226" s="4" t="s">
        <v>7824</v>
      </c>
      <c r="C6226" s="5" t="str">
        <f>IFERROR(__xludf.DUMMYFUNCTION("GOOGLETRANSLATE(B6226,""en"",""zh-CN"")"),"那人滑雪板。")</f>
        <v>那人滑雪板。</v>
      </c>
    </row>
    <row r="6227">
      <c r="A6227" s="4" t="s">
        <v>7821</v>
      </c>
      <c r="B6227" s="4" t="s">
        <v>7825</v>
      </c>
      <c r="C6227" s="5" t="str">
        <f>IFERROR(__xludf.DUMMYFUNCTION("GOOGLETRANSLATE(B6227,""en"",""zh-CN"")"),"两个人穿过森林。")</f>
        <v>两个人穿过森林。</v>
      </c>
    </row>
    <row r="6228">
      <c r="A6228" s="4" t="s">
        <v>7821</v>
      </c>
      <c r="B6228" s="4" t="s">
        <v>7826</v>
      </c>
      <c r="C6228" s="5" t="str">
        <f>IFERROR(__xludf.DUMMYFUNCTION("GOOGLETRANSLATE(B6228,""en"",""zh-CN"")"),"一个穿着深色外套滑雪的男人穿过一条充满树木的路线。")</f>
        <v>一个穿着深色外套滑雪的男人穿过一条充满树木的路线。</v>
      </c>
    </row>
    <row r="6229">
      <c r="A6229" s="4" t="s">
        <v>7821</v>
      </c>
      <c r="B6229" s="4" t="s">
        <v>7827</v>
      </c>
      <c r="C6229" s="5" t="str">
        <f>IFERROR(__xludf.DUMMYFUNCTION("GOOGLETRANSLATE(B6229,""en"",""zh-CN"")"),"穿着橙色外套的人看着相机。")</f>
        <v>穿着橙色外套的人看着相机。</v>
      </c>
    </row>
    <row r="6230">
      <c r="A6230" s="4" t="s">
        <v>7821</v>
      </c>
      <c r="B6230" s="4" t="s">
        <v>7828</v>
      </c>
      <c r="C6230" s="5" t="str">
        <f>IFERROR(__xludf.DUMMYFUNCTION("GOOGLETRANSLATE(B6230,""en"",""zh-CN"")"),"那个穿着橙色夹克雪地摩托的人沿着一座非常陡峭的山上。")</f>
        <v>那个穿着橙色夹克雪地摩托的人沿着一座非常陡峭的山上。</v>
      </c>
    </row>
    <row r="6231">
      <c r="A6231" s="4" t="s">
        <v>7821</v>
      </c>
      <c r="B6231" s="4" t="s">
        <v>7829</v>
      </c>
      <c r="C6231" s="5" t="str">
        <f>IFERROR(__xludf.DUMMYFUNCTION("GOOGLETRANSLATE(B6231,""en"",""zh-CN"")"),"那个穿着橙色夹克雪地摩托的人跳了起来，做窍门。")</f>
        <v>那个穿着橙色夹克雪地摩托的人跳了起来，做窍门。</v>
      </c>
    </row>
    <row r="6232">
      <c r="A6232" s="4" t="s">
        <v>7821</v>
      </c>
      <c r="B6232" s="4" t="s">
        <v>7830</v>
      </c>
      <c r="C6232" s="5" t="str">
        <f>IFERROR(__xludf.DUMMYFUNCTION("GOOGLETRANSLATE(B6232,""en"",""zh-CN"")"),"穿着橙色夹克的男人开火。")</f>
        <v>穿着橙色夹克的男人开火。</v>
      </c>
    </row>
    <row r="6233">
      <c r="A6233" s="4" t="s">
        <v>7821</v>
      </c>
      <c r="B6233" s="4" t="s">
        <v>7831</v>
      </c>
      <c r="C6233" s="5" t="str">
        <f>IFERROR(__xludf.DUMMYFUNCTION("GOOGLETRANSLATE(B6233,""en"",""zh-CN"")"),"黑夹克中的那个人继续穿过充满树木的危险地区滑雪。")</f>
        <v>黑夹克中的那个人继续穿过充满树木的危险地区滑雪。</v>
      </c>
    </row>
    <row r="6234">
      <c r="A6234" s="4" t="s">
        <v>7832</v>
      </c>
      <c r="B6234" s="4" t="s">
        <v>7833</v>
      </c>
      <c r="C6234" s="5" t="str">
        <f>IFERROR(__xludf.DUMMYFUNCTION("GOOGLETRANSLATE(B6234,""en"",""zh-CN"")"),"人正在黑暗的房间里焊接机器。")</f>
        <v>人正在黑暗的房间里焊接机器。</v>
      </c>
    </row>
    <row r="6235">
      <c r="A6235" s="4" t="s">
        <v>7832</v>
      </c>
      <c r="B6235" s="4" t="s">
        <v>7834</v>
      </c>
      <c r="C6235" s="5" t="str">
        <f>IFERROR(__xludf.DUMMYFUNCTION("GOOGLETRANSLATE(B6235,""en"",""zh-CN"")"),"人正在焊接金属锅，烟雾从锅中散开。")</f>
        <v>人正在焊接金属锅，烟雾从锅中散开。</v>
      </c>
    </row>
    <row r="6236">
      <c r="A6236" s="4" t="s">
        <v>7832</v>
      </c>
      <c r="B6236" s="4" t="s">
        <v>7835</v>
      </c>
      <c r="C6236" s="5" t="str">
        <f>IFERROR(__xludf.DUMMYFUNCTION("GOOGLETRANSLATE(B6236,""en"",""zh-CN"")"),"男人在黑暗的房间里戴着焊接面具，焊接一些东西。")</f>
        <v>男人在黑暗的房间里戴着焊接面具，焊接一些东西。</v>
      </c>
    </row>
    <row r="6237">
      <c r="A6237" s="4" t="s">
        <v>7836</v>
      </c>
      <c r="B6237" s="4" t="s">
        <v>7837</v>
      </c>
      <c r="C6237" s="5" t="str">
        <f>IFERROR(__xludf.DUMMYFUNCTION("GOOGLETRANSLATE(B6237,""en"",""zh-CN"")"),"显示了一个男人骑行的近距离镜头，并导致他脱颖而出。")</f>
        <v>显示了一个男人骑行的近距离镜头，并导致他脱颖而出。</v>
      </c>
    </row>
    <row r="6238">
      <c r="A6238" s="4" t="s">
        <v>7836</v>
      </c>
      <c r="B6238" s="6" t="s">
        <v>7838</v>
      </c>
      <c r="C6238" s="5" t="str">
        <f>IFERROR(__xludf.DUMMYFUNCTION("GOOGLETRANSLATE(B6238,""en"",""zh-CN"")"),"当相机坐在物体上时，他炫耀了几个物体，并沿着一些冰推开了冰球，而男人则跟随。")</f>
        <v>当相机坐在物体上时，他炫耀了几个物体，并沿着一些冰推开了冰球，而男人则跟随。</v>
      </c>
    </row>
    <row r="6239">
      <c r="A6239" s="4" t="s">
        <v>7839</v>
      </c>
      <c r="B6239" s="4" t="s">
        <v>7840</v>
      </c>
      <c r="C6239" s="5" t="str">
        <f>IFERROR(__xludf.DUMMYFUNCTION("GOOGLETRANSLATE(B6239,""en"",""zh-CN"")"),"一条船将一个人从水中拉出。")</f>
        <v>一条船将一个人从水中拉出。</v>
      </c>
    </row>
    <row r="6240">
      <c r="A6240" s="4" t="s">
        <v>7839</v>
      </c>
      <c r="B6240" s="4" t="s">
        <v>7841</v>
      </c>
      <c r="C6240" s="5" t="str">
        <f>IFERROR(__xludf.DUMMYFUNCTION("GOOGLETRANSLATE(B6240,""en"",""zh-CN"")"),"他们站起来，开始在船后滑水。")</f>
        <v>他们站起来，开始在船后滑水。</v>
      </c>
    </row>
    <row r="6241">
      <c r="A6241" s="4" t="s">
        <v>7839</v>
      </c>
      <c r="B6241" s="4" t="s">
        <v>7842</v>
      </c>
      <c r="C6241" s="5" t="str">
        <f>IFERROR(__xludf.DUMMYFUNCTION("GOOGLETRANSLATE(B6241,""en"",""zh-CN"")"),"这个人跌倒了，放开绳子。")</f>
        <v>这个人跌倒了，放开绳子。</v>
      </c>
    </row>
    <row r="6242">
      <c r="A6242" s="4" t="s">
        <v>7843</v>
      </c>
      <c r="B6242" s="4" t="s">
        <v>7844</v>
      </c>
      <c r="C6242" s="5" t="str">
        <f>IFERROR(__xludf.DUMMYFUNCTION("GOOGLETRANSLATE(B6242,""en"",""zh-CN"")"),"显示了一张大幻灯片，数十名孩子爬上去。")</f>
        <v>显示了一张大幻灯片，数十名孩子爬上去。</v>
      </c>
    </row>
    <row r="6243">
      <c r="A6243" s="4" t="s">
        <v>7843</v>
      </c>
      <c r="B6243" s="4" t="s">
        <v>7845</v>
      </c>
      <c r="C6243" s="5" t="str">
        <f>IFERROR(__xludf.DUMMYFUNCTION("GOOGLETRANSLATE(B6243,""en"",""zh-CN"")"),"孩子们在侧面上下奔跑，继续沿着滑梯骑行。")</f>
        <v>孩子们在侧面上下奔跑，继续沿着滑梯骑行。</v>
      </c>
    </row>
    <row r="6244">
      <c r="A6244" s="4" t="s">
        <v>7843</v>
      </c>
      <c r="B6244" s="4" t="s">
        <v>7846</v>
      </c>
      <c r="C6244" s="5" t="str">
        <f>IFERROR(__xludf.DUMMYFUNCTION("GOOGLETRANSLATE(B6244,""en"",""zh-CN"")"),"摄像机在幻灯片周围摇晃，并显示孩子们下来。")</f>
        <v>摄像机在幻灯片周围摇晃，并显示孩子们下来。</v>
      </c>
    </row>
    <row r="6245">
      <c r="A6245" s="4" t="s">
        <v>7847</v>
      </c>
      <c r="B6245" s="4" t="s">
        <v>7848</v>
      </c>
      <c r="C6245" s="5" t="str">
        <f>IFERROR(__xludf.DUMMYFUNCTION("GOOGLETRANSLATE(B6245,""en"",""zh-CN"")"),"女人通过刷毛和吹毛来做一发梳子。")</f>
        <v>女人通过刷毛和吹毛来做一发梳子。</v>
      </c>
    </row>
    <row r="6246">
      <c r="A6246" s="4" t="s">
        <v>7847</v>
      </c>
      <c r="B6246" s="4" t="s">
        <v>7849</v>
      </c>
      <c r="C6246" s="5" t="str">
        <f>IFERROR(__xludf.DUMMYFUNCTION("GOOGLETRANSLATE(B6246,""en"",""zh-CN"")"),"该名女子坐着，让美发师在不到十分钟的时间内发挥魔力。")</f>
        <v>该名女子坐着，让美发师在不到十分钟的时间内发挥魔力。</v>
      </c>
    </row>
    <row r="6247">
      <c r="A6247" s="4" t="s">
        <v>7850</v>
      </c>
      <c r="B6247" s="4" t="s">
        <v>7851</v>
      </c>
      <c r="C6247" s="5" t="str">
        <f>IFERROR(__xludf.DUMMYFUNCTION("GOOGLETRANSLATE(B6247,""en"",""zh-CN"")"),"一个女人用腿绘制一个方形框架。")</f>
        <v>一个女人用腿绘制一个方形框架。</v>
      </c>
    </row>
    <row r="6248">
      <c r="A6248" s="4" t="s">
        <v>7850</v>
      </c>
      <c r="B6248" s="4" t="s">
        <v>7852</v>
      </c>
      <c r="C6248" s="5" t="str">
        <f>IFERROR(__xludf.DUMMYFUNCTION("GOOGLETRANSLATE(B6248,""en"",""zh-CN"")"),"她转过身来画另一面。")</f>
        <v>她转过身来画另一面。</v>
      </c>
    </row>
    <row r="6249">
      <c r="A6249" s="4" t="s">
        <v>7850</v>
      </c>
      <c r="B6249" s="4" t="s">
        <v>7853</v>
      </c>
      <c r="C6249" s="5" t="str">
        <f>IFERROR(__xludf.DUMMYFUNCTION("GOOGLETRANSLATE(B6249,""en"",""zh-CN"")"),"摄像机锅上花。")</f>
        <v>摄像机锅上花。</v>
      </c>
    </row>
    <row r="6250">
      <c r="A6250" s="4" t="s">
        <v>7854</v>
      </c>
      <c r="B6250" s="4" t="s">
        <v>7855</v>
      </c>
      <c r="C6250" s="5" t="str">
        <f>IFERROR(__xludf.DUMMYFUNCTION("GOOGLETRANSLATE(B6250,""en"",""zh-CN"")"),"看到一个人坐在椅子上，一个女人站在他身后剪头发。")</f>
        <v>看到一个人坐在椅子上，一个女人站在他身后剪头发。</v>
      </c>
    </row>
    <row r="6251">
      <c r="A6251" s="4" t="s">
        <v>7854</v>
      </c>
      <c r="B6251" s="4" t="s">
        <v>7856</v>
      </c>
      <c r="C6251" s="5" t="str">
        <f>IFERROR(__xludf.DUMMYFUNCTION("GOOGLETRANSLATE(B6251,""en"",""zh-CN"")"),"她不断地梳理他的头发，并沿着侧面进行测量。")</f>
        <v>她不断地梳理他的头发，并沿着侧面进行测量。</v>
      </c>
    </row>
    <row r="6252">
      <c r="A6252" s="4" t="s">
        <v>7854</v>
      </c>
      <c r="B6252" s="4" t="s">
        <v>7857</v>
      </c>
      <c r="C6252" s="5" t="str">
        <f>IFERROR(__xludf.DUMMYFUNCTION("GOOGLETRANSLATE(B6252,""en"",""zh-CN"")"),"她终于完成了切割，并从他的脸上消失了。")</f>
        <v>她终于完成了切割，并从他的脸上消失了。</v>
      </c>
    </row>
    <row r="6253">
      <c r="A6253" s="4" t="s">
        <v>7858</v>
      </c>
      <c r="B6253" s="6" t="s">
        <v>7859</v>
      </c>
      <c r="C6253" s="5" t="str">
        <f>IFERROR(__xludf.DUMMYFUNCTION("GOOGLETRANSLATE(B6253,""en"",""zh-CN"")"),"一个人清洁窗户屏幕，然后将洗涤剂放在窗户和刷子的下部。")</f>
        <v>一个人清洁窗户屏幕，然后将洗涤剂放在窗户和刷子的下部。</v>
      </c>
    </row>
    <row r="6254">
      <c r="A6254" s="4" t="s">
        <v>7858</v>
      </c>
      <c r="B6254" s="4" t="s">
        <v>7860</v>
      </c>
      <c r="C6254" s="5" t="str">
        <f>IFERROR(__xludf.DUMMYFUNCTION("GOOGLETRANSLATE(B6254,""en"",""zh-CN"")"),"然后，该人用布清洁窗户的边界，并在布上显示污垢。")</f>
        <v>然后，该人用布清洁窗户的边界，并在布上显示污垢。</v>
      </c>
    </row>
    <row r="6255">
      <c r="A6255" s="4" t="s">
        <v>7858</v>
      </c>
      <c r="B6255" s="6" t="s">
        <v>7861</v>
      </c>
      <c r="C6255" s="5" t="str">
        <f>IFERROR(__xludf.DUMMYFUNCTION("GOOGLETRANSLATE(B6255,""en"",""zh-CN"")"),"之后，该人从窗台上取一瓶，并继续清洁窗户的边界。")</f>
        <v>之后，该人从窗台上取一瓶，并继续清洁窗户的边界。</v>
      </c>
    </row>
    <row r="6256">
      <c r="A6256" s="4" t="s">
        <v>7862</v>
      </c>
      <c r="B6256" s="4" t="s">
        <v>7863</v>
      </c>
      <c r="C6256" s="5" t="str">
        <f>IFERROR(__xludf.DUMMYFUNCTION("GOOGLETRANSLATE(B6256,""en"",""zh-CN"")"),"一个年轻女子坐在台阶上，然后一张海报说我可以做到这一点。")</f>
        <v>一个年轻女子坐在台阶上，然后一张海报说我可以做到这一点。</v>
      </c>
    </row>
    <row r="6257">
      <c r="A6257" s="4" t="s">
        <v>7862</v>
      </c>
      <c r="B6257" s="4" t="s">
        <v>7864</v>
      </c>
      <c r="C6257" s="5" t="str">
        <f>IFERROR(__xludf.DUMMYFUNCTION("GOOGLETRANSLATE(B6257,""en"",""zh-CN"")"),"这个女孩回来了，继续谈论她将要做什么。")</f>
        <v>这个女孩回来了，继续谈论她将要做什么。</v>
      </c>
    </row>
    <row r="6258">
      <c r="A6258" s="4" t="s">
        <v>7862</v>
      </c>
      <c r="B6258" s="4" t="s">
        <v>7865</v>
      </c>
      <c r="C6258" s="5" t="str">
        <f>IFERROR(__xludf.DUMMYFUNCTION("GOOGLETRANSLATE(B6258,""en"",""zh-CN"")"),"然后，当摄像机放大时，她拿起一把刀并谈论它。")</f>
        <v>然后，当摄像机放大时，她拿起一把刀并谈论它。</v>
      </c>
    </row>
    <row r="6259">
      <c r="A6259" s="4" t="s">
        <v>7862</v>
      </c>
      <c r="B6259" s="6" t="s">
        <v>7866</v>
      </c>
      <c r="C6259" s="5" t="str">
        <f>IFERROR(__xludf.DUMMYFUNCTION("GOOGLETRANSLATE(B6259,""en"",""zh-CN"")"),"然后，她开始切割一根棍子，并在底部显示单词，显示了完成火灾所需的步骤。")</f>
        <v>然后，她开始切割一根棍子，并在底部显示单词，显示了完成火灾所需的步骤。</v>
      </c>
    </row>
    <row r="6260">
      <c r="A6260" s="4" t="s">
        <v>7862</v>
      </c>
      <c r="B6260" s="4" t="s">
        <v>7867</v>
      </c>
      <c r="C6260" s="5" t="str">
        <f>IFERROR(__xludf.DUMMYFUNCTION("GOOGLETRANSLATE(B6260,""en"",""zh-CN"")"),"一把小刀被拉出，她开始切割一小块火种。")</f>
        <v>一把小刀被拉出，她开始切割一小块火种。</v>
      </c>
    </row>
    <row r="6261">
      <c r="A6261" s="4" t="s">
        <v>7868</v>
      </c>
      <c r="B6261" s="4" t="s">
        <v>7869</v>
      </c>
      <c r="C6261" s="5" t="str">
        <f>IFERROR(__xludf.DUMMYFUNCTION("GOOGLETRANSLATE(B6261,""en"",""zh-CN"")"),"一个戴着耳环的男人向侧面看。")</f>
        <v>一个戴着耳环的男人向侧面看。</v>
      </c>
    </row>
    <row r="6262">
      <c r="A6262" s="4" t="s">
        <v>7868</v>
      </c>
      <c r="B6262" s="4" t="s">
        <v>7870</v>
      </c>
      <c r="C6262" s="5" t="str">
        <f>IFERROR(__xludf.DUMMYFUNCTION("GOOGLETRANSLATE(B6262,""en"",""zh-CN"")"),"他被证明握着弓箭，瞄准，然后射击他的目标。")</f>
        <v>他被证明握着弓箭，瞄准，然后射击他的目标。</v>
      </c>
    </row>
    <row r="6263">
      <c r="A6263" s="4" t="s">
        <v>7868</v>
      </c>
      <c r="B6263" s="4" t="s">
        <v>7871</v>
      </c>
      <c r="C6263" s="5" t="str">
        <f>IFERROR(__xludf.DUMMYFUNCTION("GOOGLETRANSLATE(B6263,""en"",""zh-CN"")"),"场景重复几次。")</f>
        <v>场景重复几次。</v>
      </c>
    </row>
    <row r="6264">
      <c r="A6264" s="4" t="s">
        <v>7872</v>
      </c>
      <c r="B6264" s="4" t="s">
        <v>7873</v>
      </c>
      <c r="C6264" s="5" t="str">
        <f>IFERROR(__xludf.DUMMYFUNCTION("GOOGLETRANSLATE(B6264,""en"",""zh-CN"")"),"显示了人们在房子里走来走去的时间失误视频。")</f>
        <v>显示了人们在房子里走来走去的时间失误视频。</v>
      </c>
    </row>
    <row r="6265">
      <c r="A6265" s="4" t="s">
        <v>7872</v>
      </c>
      <c r="B6265" s="4" t="s">
        <v>7874</v>
      </c>
      <c r="C6265" s="5" t="str">
        <f>IFERROR(__xludf.DUMMYFUNCTION("GOOGLETRANSLATE(B6265,""en"",""zh-CN"")"),"后来，他们开始建立一棵圣诞树，其中有两个参与该过程的人。")</f>
        <v>后来，他们开始建立一棵圣诞树，其中有两个参与该过程的人。</v>
      </c>
    </row>
    <row r="6266">
      <c r="A6266" s="4" t="s">
        <v>7872</v>
      </c>
      <c r="B6266" s="4" t="s">
        <v>7875</v>
      </c>
      <c r="C6266" s="5" t="str">
        <f>IFERROR(__xludf.DUMMYFUNCTION("GOOGLETRANSLATE(B6266,""en"",""zh-CN"")"),"他们将灯光放在树上，并将其点亮。")</f>
        <v>他们将灯光放在树上，并将其点亮。</v>
      </c>
    </row>
    <row r="6267">
      <c r="A6267" s="4" t="s">
        <v>7872</v>
      </c>
      <c r="B6267" s="4" t="s">
        <v>7876</v>
      </c>
      <c r="C6267" s="5" t="str">
        <f>IFERROR(__xludf.DUMMYFUNCTION("GOOGLETRANSLATE(B6267,""en"",""zh-CN"")"),"接下来，他们开始在树上放几个不同的装饰品。")</f>
        <v>接下来，他们开始在树上放几个不同的装饰品。</v>
      </c>
    </row>
    <row r="6268">
      <c r="A6268" s="4" t="s">
        <v>7872</v>
      </c>
      <c r="B6268" s="4" t="s">
        <v>7877</v>
      </c>
      <c r="C6268" s="5" t="str">
        <f>IFERROR(__xludf.DUMMYFUNCTION("GOOGLETRANSLATE(B6268,""en"",""zh-CN"")"),"最后，他们将裙子放在树下，并以一个吻结束视频。")</f>
        <v>最后，他们将裙子放在树下，并以一个吻结束视频。</v>
      </c>
    </row>
    <row r="6269">
      <c r="A6269" s="4" t="s">
        <v>7878</v>
      </c>
      <c r="B6269" s="4" t="s">
        <v>7879</v>
      </c>
      <c r="C6269" s="5" t="str">
        <f>IFERROR(__xludf.DUMMYFUNCTION("GOOGLETRANSLATE(B6269,""en"",""zh-CN"")"),"乐队在舞台上，主人在唱歌。")</f>
        <v>乐队在舞台上，主人在唱歌。</v>
      </c>
    </row>
    <row r="6270">
      <c r="A6270" s="4" t="s">
        <v>7878</v>
      </c>
      <c r="B6270" s="4" t="s">
        <v>7880</v>
      </c>
      <c r="C6270" s="5" t="str">
        <f>IFERROR(__xludf.DUMMYFUNCTION("GOOGLETRANSLATE(B6270,""en"",""zh-CN"")"),"女人正在戴着黑色帽子打鼓。")</f>
        <v>女人正在戴着黑色帽子打鼓。</v>
      </c>
    </row>
    <row r="6271">
      <c r="A6271" s="4" t="s">
        <v>7881</v>
      </c>
      <c r="B6271" s="4" t="s">
        <v>7882</v>
      </c>
      <c r="C6271" s="5" t="str">
        <f>IFERROR(__xludf.DUMMYFUNCTION("GOOGLETRANSLATE(B6271,""en"",""zh-CN"")"),"从房子的外面展示了一个花园。")</f>
        <v>从房子的外面展示了一个花园。</v>
      </c>
    </row>
    <row r="6272">
      <c r="A6272" s="4" t="s">
        <v>7881</v>
      </c>
      <c r="B6272" s="4" t="s">
        <v>7883</v>
      </c>
      <c r="C6272" s="5" t="str">
        <f>IFERROR(__xludf.DUMMYFUNCTION("GOOGLETRANSLATE(B6272,""en"",""zh-CN"")"),"相机转向吸收各种植物和花朵。")</f>
        <v>相机转向吸收各种植物和花朵。</v>
      </c>
    </row>
    <row r="6273">
      <c r="A6273" s="4" t="s">
        <v>7881</v>
      </c>
      <c r="B6273" s="4" t="s">
        <v>7884</v>
      </c>
      <c r="C6273" s="5" t="str">
        <f>IFERROR(__xludf.DUMMYFUNCTION("GOOGLETRANSLATE(B6273,""en"",""zh-CN"")"),"然后，我们可以很好地看待草。")</f>
        <v>然后，我们可以很好地看待草。</v>
      </c>
    </row>
    <row r="6274">
      <c r="A6274" s="4" t="s">
        <v>7885</v>
      </c>
      <c r="B6274" s="4" t="s">
        <v>7886</v>
      </c>
      <c r="C6274" s="5" t="str">
        <f>IFERROR(__xludf.DUMMYFUNCTION("GOOGLETRANSLATE(B6274,""en"",""zh-CN"")"),"男孩在松懈的线条上平衡并做各种技巧。")</f>
        <v>男孩在松懈的线条上平衡并做各种技巧。</v>
      </c>
    </row>
    <row r="6275">
      <c r="A6275" s="4" t="s">
        <v>7885</v>
      </c>
      <c r="B6275" s="6" t="s">
        <v>7887</v>
      </c>
      <c r="C6275" s="5" t="str">
        <f>IFERROR(__xludf.DUMMYFUNCTION("GOOGLETRANSLATE(B6275,""en"",""zh-CN"")"),"人们在公园的松弛线上平衡，慢慢地越过两棵树之间的绳索。")</f>
        <v>人们在公园的松弛线上平衡，慢慢地越过两棵树之间的绳索。</v>
      </c>
    </row>
    <row r="6276">
      <c r="A6276" s="4" t="s">
        <v>7885</v>
      </c>
      <c r="B6276" s="4" t="s">
        <v>7888</v>
      </c>
      <c r="C6276" s="5" t="str">
        <f>IFERROR(__xludf.DUMMYFUNCTION("GOOGLETRANSLATE(B6276,""en"",""zh-CN"")"),"男孩在公园的一个小池塘上平衡了一条松弛的线。")</f>
        <v>男孩在公园的一个小池塘上平衡了一条松弛的线。</v>
      </c>
    </row>
    <row r="6277">
      <c r="A6277" s="4" t="s">
        <v>7889</v>
      </c>
      <c r="B6277" s="4" t="s">
        <v>7890</v>
      </c>
      <c r="C6277" s="5" t="str">
        <f>IFERROR(__xludf.DUMMYFUNCTION("GOOGLETRANSLATE(B6277,""en"",""zh-CN"")"),"女人正坐在人行道上与绿色水桶旁边的相机交谈。")</f>
        <v>女人正坐在人行道上与绿色水桶旁边的相机交谈。</v>
      </c>
    </row>
    <row r="6278">
      <c r="A6278" s="4" t="s">
        <v>7889</v>
      </c>
      <c r="B6278" s="4" t="s">
        <v>7891</v>
      </c>
      <c r="C6278" s="5" t="str">
        <f>IFERROR(__xludf.DUMMYFUNCTION("GOOGLETRANSLATE(B6278,""en"",""zh-CN"")"),"女人在人行道上跳动的戏法。")</f>
        <v>女人在人行道上跳动的戏法。</v>
      </c>
    </row>
    <row r="6279">
      <c r="A6279" s="4" t="s">
        <v>7889</v>
      </c>
      <c r="B6279" s="4" t="s">
        <v>7892</v>
      </c>
      <c r="C6279" s="5" t="str">
        <f>IFERROR(__xludf.DUMMYFUNCTION("GOOGLETRANSLATE(B6279,""en"",""zh-CN"")"),"另一个女人在人行道上跳动的戏法。")</f>
        <v>另一个女人在人行道上跳动的戏法。</v>
      </c>
    </row>
    <row r="6280">
      <c r="A6280" s="4" t="s">
        <v>7893</v>
      </c>
      <c r="B6280" s="4" t="s">
        <v>7894</v>
      </c>
      <c r="C6280" s="5" t="str">
        <f>IFERROR(__xludf.DUMMYFUNCTION("GOOGLETRANSLATE(B6280,""en"",""zh-CN"")"),"乐队坐在沥青上。")</f>
        <v>乐队坐在沥青上。</v>
      </c>
    </row>
    <row r="6281">
      <c r="A6281" s="4" t="s">
        <v>7893</v>
      </c>
      <c r="B6281" s="4" t="s">
        <v>7895</v>
      </c>
      <c r="C6281" s="5" t="str">
        <f>IFERROR(__xludf.DUMMYFUNCTION("GOOGLETRANSLATE(B6281,""en"",""zh-CN"")"),"他们正在演奏一系列的鼓和手。")</f>
        <v>他们正在演奏一系列的鼓和手。</v>
      </c>
    </row>
    <row r="6282">
      <c r="A6282" s="4" t="s">
        <v>7893</v>
      </c>
      <c r="B6282" s="4" t="s">
        <v>7896</v>
      </c>
      <c r="C6282" s="5" t="str">
        <f>IFERROR(__xludf.DUMMYFUNCTION("GOOGLETRANSLATE(B6282,""en"",""zh-CN"")"),"许多人步行和自行车经过。")</f>
        <v>许多人步行和自行车经过。</v>
      </c>
    </row>
    <row r="6283">
      <c r="A6283" s="4" t="s">
        <v>7897</v>
      </c>
      <c r="B6283" s="4" t="s">
        <v>7898</v>
      </c>
      <c r="C6283" s="5" t="str">
        <f>IFERROR(__xludf.DUMMYFUNCTION("GOOGLETRANSLATE(B6283,""en"",""zh-CN"")"),"人们在舞台上跳绳。")</f>
        <v>人们在舞台上跳绳。</v>
      </c>
    </row>
    <row r="6284">
      <c r="A6284" s="4" t="s">
        <v>7897</v>
      </c>
      <c r="B6284" s="4" t="s">
        <v>7899</v>
      </c>
      <c r="C6284" s="5" t="str">
        <f>IFERROR(__xludf.DUMMYFUNCTION("GOOGLETRANSLATE(B6284,""en"",""zh-CN"")"),"他们切换位置，另一个人开始跳跃。")</f>
        <v>他们切换位置，另一个人开始跳跃。</v>
      </c>
    </row>
    <row r="6285">
      <c r="A6285" s="4" t="s">
        <v>7897</v>
      </c>
      <c r="B6285" s="4" t="s">
        <v>7900</v>
      </c>
      <c r="C6285" s="5" t="str">
        <f>IFERROR(__xludf.DUMMYFUNCTION("GOOGLETRANSLATE(B6285,""en"",""zh-CN"")"),"一个人站着并握住跳绳。")</f>
        <v>一个人站着并握住跳绳。</v>
      </c>
    </row>
    <row r="6286">
      <c r="A6286" s="4" t="s">
        <v>7901</v>
      </c>
      <c r="B6286" s="4" t="s">
        <v>7902</v>
      </c>
      <c r="C6286" s="5" t="str">
        <f>IFERROR(__xludf.DUMMYFUNCTION("GOOGLETRANSLATE(B6286,""en"",""zh-CN"")"),"显示了阿尔巴海豹省。")</f>
        <v>显示了阿尔巴海豹省。</v>
      </c>
    </row>
    <row r="6287">
      <c r="A6287" s="4" t="s">
        <v>7901</v>
      </c>
      <c r="B6287" s="4" t="s">
        <v>7903</v>
      </c>
      <c r="C6287" s="5" t="str">
        <f>IFERROR(__xludf.DUMMYFUNCTION("GOOGLETRANSLATE(B6287,""en"",""zh-CN"")"),"几个团队成员在户外打球，打排球。")</f>
        <v>几个团队成员在户外打球，打排球。</v>
      </c>
    </row>
    <row r="6288">
      <c r="A6288" s="4" t="s">
        <v>7901</v>
      </c>
      <c r="B6288" s="4" t="s">
        <v>7904</v>
      </c>
      <c r="C6288" s="5" t="str">
        <f>IFERROR(__xludf.DUMMYFUNCTION("GOOGLETRANSLATE(B6288,""en"",""zh-CN"")"),"他们在观众面前来回将球来回移动。")</f>
        <v>他们在观众面前来回将球来回移动。</v>
      </c>
    </row>
    <row r="6289">
      <c r="A6289" s="4" t="s">
        <v>7901</v>
      </c>
      <c r="B6289" s="4" t="s">
        <v>7905</v>
      </c>
      <c r="C6289" s="5" t="str">
        <f>IFERROR(__xludf.DUMMYFUNCTION("GOOGLETRANSLATE(B6289,""en"",""zh-CN"")"),"之后，他们庆祝，笑着微笑。")</f>
        <v>之后，他们庆祝，笑着微笑。</v>
      </c>
    </row>
    <row r="6290">
      <c r="A6290" s="4" t="s">
        <v>7906</v>
      </c>
      <c r="B6290" s="4" t="s">
        <v>7907</v>
      </c>
      <c r="C6290" s="5" t="str">
        <f>IFERROR(__xludf.DUMMYFUNCTION("GOOGLETRANSLATE(B6290,""en"",""zh-CN"")"),"室内拳击室里有两个男人拳击，整个墙上都有镜子。")</f>
        <v>室内拳击室里有两个男人拳击，整个墙上都有镜子。</v>
      </c>
    </row>
    <row r="6291">
      <c r="A6291" s="4" t="s">
        <v>7906</v>
      </c>
      <c r="B6291" s="4" t="s">
        <v>7908</v>
      </c>
      <c r="C6291" s="5" t="str">
        <f>IFERROR(__xludf.DUMMYFUNCTION("GOOGLETRANSLATE(B6291,""en"",""zh-CN"")"),"另一个人站在同一个房间里，正在录制他们的战斗。")</f>
        <v>另一个人站在同一个房间里，正在录制他们的战斗。</v>
      </c>
    </row>
    <row r="6292">
      <c r="A6292" s="4" t="s">
        <v>7906</v>
      </c>
      <c r="B6292" s="4" t="s">
        <v>7909</v>
      </c>
      <c r="C6292" s="5" t="str">
        <f>IFERROR(__xludf.DUMMYFUNCTION("GOOGLETRANSLATE(B6292,""en"",""zh-CN"")"),"红色短裤中的拳击手在黑色短裤中拳打了拳击手。")</f>
        <v>红色短裤中的拳击手在黑色短裤中拳打了拳击手。</v>
      </c>
    </row>
    <row r="6293">
      <c r="A6293" s="4" t="s">
        <v>7906</v>
      </c>
      <c r="B6293" s="4" t="s">
        <v>7910</v>
      </c>
      <c r="C6293" s="5" t="str">
        <f>IFERROR(__xludf.DUMMYFUNCTION("GOOGLETRANSLATE(B6293,""en"",""zh-CN"")"),"黑色的拳击手掉下来，降落在他的背上和gro吟。")</f>
        <v>黑色的拳击手掉下来，降落在他的背上和gro吟。</v>
      </c>
    </row>
    <row r="6294">
      <c r="A6294" s="4" t="s">
        <v>7906</v>
      </c>
      <c r="B6294" s="4" t="s">
        <v>7911</v>
      </c>
      <c r="C6294" s="5" t="str">
        <f>IFERROR(__xludf.DUMMYFUNCTION("GOOGLETRANSLATE(B6294,""en"",""zh-CN"")"),"然后，他立即站起来，而拳击手在红色周围走来走去。")</f>
        <v>然后，他立即站起来，而拳击手在红色周围走来走去。</v>
      </c>
    </row>
    <row r="6295">
      <c r="A6295" s="4" t="s">
        <v>7912</v>
      </c>
      <c r="B6295" s="4" t="s">
        <v>7913</v>
      </c>
      <c r="C6295" s="5" t="str">
        <f>IFERROR(__xludf.DUMMYFUNCTION("GOOGLETRANSLATE(B6295,""en"",""zh-CN"")"),"一个年轻人戴着耳机，站在麦克风前。")</f>
        <v>一个年轻人戴着耳机，站在麦克风前。</v>
      </c>
    </row>
    <row r="6296">
      <c r="A6296" s="4" t="s">
        <v>7912</v>
      </c>
      <c r="B6296" s="4" t="s">
        <v>7914</v>
      </c>
      <c r="C6296" s="5" t="str">
        <f>IFERROR(__xludf.DUMMYFUNCTION("GOOGLETRANSLATE(B6296,""en"",""zh-CN"")"),"他开始打小提琴。")</f>
        <v>他开始打小提琴。</v>
      </c>
    </row>
    <row r="6297">
      <c r="A6297" s="4" t="s">
        <v>7912</v>
      </c>
      <c r="B6297" s="4" t="s">
        <v>7915</v>
      </c>
      <c r="C6297" s="5" t="str">
        <f>IFERROR(__xludf.DUMMYFUNCTION("GOOGLETRANSLATE(B6297,""en"",""zh-CN"")"),"他闭上眼睛，在演奏时倾听自己的声音。")</f>
        <v>他闭上眼睛，在演奏时倾听自己的声音。</v>
      </c>
    </row>
    <row r="6298">
      <c r="A6298" s="4" t="s">
        <v>7916</v>
      </c>
      <c r="B6298" s="4" t="s">
        <v>7917</v>
      </c>
      <c r="C6298" s="5" t="str">
        <f>IFERROR(__xludf.DUMMYFUNCTION("GOOGLETRANSLATE(B6298,""en"",""zh-CN"")"),"显示了一个带有几个大拳击袋的健身房，沿着房间的周长对齐。")</f>
        <v>显示了一个带有几个大拳击袋的健身房，沿着房间的周长对齐。</v>
      </c>
    </row>
    <row r="6299">
      <c r="A6299" s="4" t="s">
        <v>7916</v>
      </c>
      <c r="B6299" s="4" t="s">
        <v>7918</v>
      </c>
      <c r="C6299" s="5" t="str">
        <f>IFERROR(__xludf.DUMMYFUNCTION("GOOGLETRANSLATE(B6299,""en"",""zh-CN"")"),"然后，一群人进入建筑物，他们开始在袋子里奔跑，随着热身的热身。")</f>
        <v>然后，一群人进入建筑物，他们开始在袋子里奔跑，随着热身的热身。</v>
      </c>
    </row>
    <row r="6300">
      <c r="A6300" s="4" t="s">
        <v>7916</v>
      </c>
      <c r="B6300" s="6" t="s">
        <v>7919</v>
      </c>
      <c r="C6300" s="5" t="str">
        <f>IFERROR(__xludf.DUMMYFUNCTION("GOOGLETRANSLATE(B6300,""en"",""zh-CN"")"),"一旦完成，这些人彼此配对，三个小组互相拳击。")</f>
        <v>一旦完成，这些人彼此配对，三个小组互相拳击。</v>
      </c>
    </row>
    <row r="6301">
      <c r="A6301" s="4" t="s">
        <v>7916</v>
      </c>
      <c r="B6301" s="6" t="s">
        <v>7920</v>
      </c>
      <c r="C6301" s="5" t="str">
        <f>IFERROR(__xludf.DUMMYFUNCTION("GOOGLETRANSLATE(B6301,""en"",""zh-CN"")"),"然后，一个保险杠贴纸说：“保持奖品的目光”，然后更多的男人开始踢拳击。")</f>
        <v>然后，一个保险杠贴纸说：“保持奖品的目光”，然后更多的男人开始踢拳击。</v>
      </c>
    </row>
    <row r="6302">
      <c r="A6302" s="4" t="s">
        <v>7921</v>
      </c>
      <c r="B6302" s="4" t="s">
        <v>7922</v>
      </c>
      <c r="C6302" s="5" t="str">
        <f>IFERROR(__xludf.DUMMYFUNCTION("GOOGLETRANSLATE(B6302,""en"",""zh-CN"")"),"一个男人在院子里有板球蝙蝠。")</f>
        <v>一个男人在院子里有板球蝙蝠。</v>
      </c>
    </row>
    <row r="6303">
      <c r="A6303" s="4" t="s">
        <v>7921</v>
      </c>
      <c r="B6303" s="4" t="s">
        <v>7923</v>
      </c>
      <c r="C6303" s="5" t="str">
        <f>IFERROR(__xludf.DUMMYFUNCTION("GOOGLETRANSLATE(B6303,""en"",""zh-CN"")"),"他一遍又一遍地翻转蝙蝠。")</f>
        <v>他一遍又一遍地翻转蝙蝠。</v>
      </c>
    </row>
    <row r="6304">
      <c r="A6304" s="4" t="s">
        <v>7921</v>
      </c>
      <c r="B6304" s="4" t="s">
        <v>7924</v>
      </c>
      <c r="C6304" s="5" t="str">
        <f>IFERROR(__xludf.DUMMYFUNCTION("GOOGLETRANSLATE(B6304,""en"",""zh-CN"")"),"他绊倒，然后将球踢向空中，撞到它。")</f>
        <v>他绊倒，然后将球踢向空中，撞到它。</v>
      </c>
    </row>
    <row r="6305">
      <c r="A6305" s="4" t="s">
        <v>7925</v>
      </c>
      <c r="B6305" s="4" t="s">
        <v>7926</v>
      </c>
      <c r="C6305" s="5" t="str">
        <f>IFERROR(__xludf.DUMMYFUNCTION("GOOGLETRANSLATE(B6305,""en"",""zh-CN"")"),"一个女人站在轨道上说话。")</f>
        <v>一个女人站在轨道上说话。</v>
      </c>
    </row>
    <row r="6306">
      <c r="A6306" s="4" t="s">
        <v>7925</v>
      </c>
      <c r="B6306" s="4" t="s">
        <v>7927</v>
      </c>
      <c r="C6306" s="5" t="str">
        <f>IFERROR(__xludf.DUMMYFUNCTION("GOOGLETRANSLATE(B6306,""en"",""zh-CN"")"),"她跳进一堆沙子。")</f>
        <v>她跳进一堆沙子。</v>
      </c>
    </row>
    <row r="6307">
      <c r="A6307" s="4" t="s">
        <v>7925</v>
      </c>
      <c r="B6307" s="4" t="s">
        <v>7928</v>
      </c>
      <c r="C6307" s="5" t="str">
        <f>IFERROR(__xludf.DUMMYFUNCTION("GOOGLETRANSLATE(B6307,""en"",""zh-CN"")"),"她在赛道上冲刺。")</f>
        <v>她在赛道上冲刺。</v>
      </c>
    </row>
    <row r="6308">
      <c r="A6308" s="4" t="s">
        <v>7925</v>
      </c>
      <c r="B6308" s="4" t="s">
        <v>7929</v>
      </c>
      <c r="C6308" s="5" t="str">
        <f>IFERROR(__xludf.DUMMYFUNCTION("GOOGLETRANSLATE(B6308,""en"",""zh-CN"")"),"它表明她伸展并跳入一堆沙子。")</f>
        <v>它表明她伸展并跳入一堆沙子。</v>
      </c>
    </row>
    <row r="6309">
      <c r="A6309" s="4" t="s">
        <v>7930</v>
      </c>
      <c r="B6309" s="6" t="s">
        <v>7931</v>
      </c>
      <c r="C6309" s="5" t="str">
        <f>IFERROR(__xludf.DUMMYFUNCTION("GOOGLETRANSLATE(B6309,""en"",""zh-CN"")"),"摄像头绕着一大批人四处徘徊，并带领人们参加足球比赛。")</f>
        <v>摄像头绕着一大批人四处徘徊，并带领人们参加足球比赛。</v>
      </c>
    </row>
    <row r="6310">
      <c r="A6310" s="4" t="s">
        <v>7930</v>
      </c>
      <c r="B6310" s="4" t="s">
        <v>7932</v>
      </c>
      <c r="C6310" s="5" t="str">
        <f>IFERROR(__xludf.DUMMYFUNCTION("GOOGLETRANSLATE(B6310,""en"",""zh-CN"")"),"球员们在侧面看着球员，并展示了人民和城市的更多镜头。")</f>
        <v>球员们在侧面看着球员，并展示了人民和城市的更多镜头。</v>
      </c>
    </row>
    <row r="6311">
      <c r="A6311" s="4" t="s">
        <v>7933</v>
      </c>
      <c r="B6311" s="4" t="s">
        <v>7934</v>
      </c>
      <c r="C6311" s="5" t="str">
        <f>IFERROR(__xludf.DUMMYFUNCTION("GOOGLETRANSLATE(B6311,""en"",""zh-CN"")"),"一个小男孩开玩笑坐在鼓盘上。")</f>
        <v>一个小男孩开玩笑坐在鼓盘上。</v>
      </c>
    </row>
    <row r="6312">
      <c r="A6312" s="4" t="s">
        <v>7933</v>
      </c>
      <c r="B6312" s="4" t="s">
        <v>7935</v>
      </c>
      <c r="C6312" s="5" t="str">
        <f>IFERROR(__xludf.DUMMYFUNCTION("GOOGLETRANSLATE(B6312,""en"",""zh-CN"")"),"一个男孩在家里打鼓。")</f>
        <v>一个男孩在家里打鼓。</v>
      </c>
    </row>
    <row r="6313">
      <c r="A6313" s="4" t="s">
        <v>7933</v>
      </c>
      <c r="B6313" s="4" t="s">
        <v>7936</v>
      </c>
      <c r="C6313" s="5" t="str">
        <f>IFERROR(__xludf.DUMMYFUNCTION("GOOGLETRANSLATE(B6313,""en"",""zh-CN"")"),"父母看着男孩打鼓。")</f>
        <v>父母看着男孩打鼓。</v>
      </c>
    </row>
    <row r="6314">
      <c r="A6314" s="4" t="s">
        <v>7937</v>
      </c>
      <c r="B6314" s="4" t="s">
        <v>7938</v>
      </c>
      <c r="C6314" s="5" t="str">
        <f>IFERROR(__xludf.DUMMYFUNCTION("GOOGLETRANSLATE(B6314,""en"",""zh-CN"")"),"一只手正在将粉笔摩擦到蓝色尖端。")</f>
        <v>一只手正在将粉笔摩擦到蓝色尖端。</v>
      </c>
    </row>
    <row r="6315">
      <c r="A6315" s="4" t="s">
        <v>7937</v>
      </c>
      <c r="B6315" s="4" t="s">
        <v>7939</v>
      </c>
      <c r="C6315" s="5" t="str">
        <f>IFERROR(__xludf.DUMMYFUNCTION("GOOGLETRANSLATE(B6315,""en"",""zh-CN"")"),"该男子专注于台球桌，用台球棍子慢慢击球。")</f>
        <v>该男子专注于台球桌，用台球棍子慢慢击球。</v>
      </c>
    </row>
    <row r="6316">
      <c r="A6316" s="4" t="s">
        <v>7937</v>
      </c>
      <c r="B6316" s="4" t="s">
        <v>7940</v>
      </c>
      <c r="C6316" s="5" t="str">
        <f>IFERROR(__xludf.DUMMYFUNCTION("GOOGLETRANSLATE(B6316,""en"",""zh-CN"")"),"一个有胡须的老人正在接受采访。")</f>
        <v>一个有胡须的老人正在接受采访。</v>
      </c>
    </row>
    <row r="6317">
      <c r="A6317" s="4" t="s">
        <v>7937</v>
      </c>
      <c r="B6317" s="4" t="s">
        <v>7941</v>
      </c>
      <c r="C6317" s="5" t="str">
        <f>IFERROR(__xludf.DUMMYFUNCTION("GOOGLETRANSLATE(B6317,""en"",""zh-CN"")"),"该男子将球排在桌子上，然后击中他们，他们都进入了洞。")</f>
        <v>该男子将球排在桌子上，然后击中他们，他们都进入了洞。</v>
      </c>
    </row>
    <row r="6318">
      <c r="A6318" s="4" t="s">
        <v>7942</v>
      </c>
      <c r="B6318" s="6" t="s">
        <v>7943</v>
      </c>
      <c r="C6318" s="5" t="str">
        <f>IFERROR(__xludf.DUMMYFUNCTION("GOOGLETRANSLATE(B6318,""en"",""zh-CN"")"),"穿着灰色紧身裤和黑色衬衫的运动员开始横梁，开始旋转。")</f>
        <v>穿着灰色紧身裤和黑色衬衫的运动员开始横梁，开始旋转。</v>
      </c>
    </row>
    <row r="6319">
      <c r="A6319" s="4" t="s">
        <v>7942</v>
      </c>
      <c r="B6319" s="6" t="s">
        <v>7944</v>
      </c>
      <c r="C6319" s="5" t="str">
        <f>IFERROR(__xludf.DUMMYFUNCTION("GOOGLETRANSLATE(B6319,""en"",""zh-CN"")"),"当他从光束中获得时，他走向包含白色粉末的黄色容器，然后回到光束上，通过旋转旋转来做他的技巧。")</f>
        <v>当他从光束中获得时，他走向包含白色粉末的黄色容器，然后回到光束上，通过旋转旋转来做他的技巧。</v>
      </c>
    </row>
    <row r="6320">
      <c r="A6320" s="4" t="s">
        <v>7945</v>
      </c>
      <c r="B6320" s="4" t="s">
        <v>7946</v>
      </c>
      <c r="C6320" s="5" t="str">
        <f>IFERROR(__xludf.DUMMYFUNCTION("GOOGLETRANSLATE(B6320,""en"",""zh-CN"")"),"一名运动女子被显示在轨道上奔跑，跳入一个大沙坑。")</f>
        <v>一名运动女子被显示在轨道上奔跑，跳入一个大沙坑。</v>
      </c>
    </row>
    <row r="6321">
      <c r="A6321" s="4" t="s">
        <v>7945</v>
      </c>
      <c r="B6321" s="6" t="s">
        <v>7947</v>
      </c>
      <c r="C6321" s="5" t="str">
        <f>IFERROR(__xludf.DUMMYFUNCTION("GOOGLETRANSLATE(B6321,""en"",""zh-CN"")"),"然后以慢动作再次显示她的跳跃几次，另一名跑步者在跳跃时转弯。")</f>
        <v>然后以慢动作再次显示她的跳跃几次，另一名跑步者在跳跃时转弯。</v>
      </c>
    </row>
    <row r="6322">
      <c r="A6322" s="4" t="s">
        <v>7945</v>
      </c>
      <c r="B6322" s="4" t="s">
        <v>7948</v>
      </c>
      <c r="C6322" s="5" t="str">
        <f>IFERROR(__xludf.DUMMYFUNCTION("GOOGLETRANSLATE(B6322,""en"",""zh-CN"")"),"她的跳跃再次以慢动作显示，她在微笑时向观众挥手。")</f>
        <v>她的跳跃再次以慢动作显示，她在微笑时向观众挥手。</v>
      </c>
    </row>
    <row r="6323">
      <c r="A6323" s="4" t="s">
        <v>7949</v>
      </c>
      <c r="B6323" s="4" t="s">
        <v>7950</v>
      </c>
      <c r="C6323" s="5" t="str">
        <f>IFERROR(__xludf.DUMMYFUNCTION("GOOGLETRANSLATE(B6323,""en"",""zh-CN"")"),"一个光着膀子的男人在路边把雪塞在外面。")</f>
        <v>一个光着膀子的男人在路边把雪塞在外面。</v>
      </c>
    </row>
    <row r="6324">
      <c r="A6324" s="4" t="s">
        <v>7949</v>
      </c>
      <c r="B6324" s="4" t="s">
        <v>7951</v>
      </c>
      <c r="C6324" s="5" t="str">
        <f>IFERROR(__xludf.DUMMYFUNCTION("GOOGLETRANSLATE(B6324,""en"",""zh-CN"")"),"他挥舞着双手，在过往的汽车上运动。")</f>
        <v>他挥舞着双手，在过往的汽车上运动。</v>
      </c>
    </row>
    <row r="6325">
      <c r="A6325" s="4" t="s">
        <v>7949</v>
      </c>
      <c r="B6325" s="4" t="s">
        <v>7952</v>
      </c>
      <c r="C6325" s="5" t="str">
        <f>IFERROR(__xludf.DUMMYFUNCTION("GOOGLETRANSLATE(B6325,""en"",""zh-CN"")"),"随着更多的汽车通行证，他继续挥舞着并卷起空中。")</f>
        <v>随着更多的汽车通行证，他继续挥舞着并卷起空中。</v>
      </c>
    </row>
    <row r="6326">
      <c r="A6326" s="4" t="s">
        <v>7949</v>
      </c>
      <c r="B6326" s="4" t="s">
        <v>7953</v>
      </c>
      <c r="C6326" s="5" t="str">
        <f>IFERROR(__xludf.DUMMYFUNCTION("GOOGLETRANSLATE(B6326,""en"",""zh-CN"")"),"他继续铲雪。")</f>
        <v>他继续铲雪。</v>
      </c>
    </row>
    <row r="6327">
      <c r="A6327" s="4" t="s">
        <v>7954</v>
      </c>
      <c r="B6327" s="4" t="s">
        <v>7955</v>
      </c>
      <c r="C6327" s="5" t="str">
        <f>IFERROR(__xludf.DUMMYFUNCTION("GOOGLETRANSLATE(B6327,""en"",""zh-CN"")"),"看到一小群男人站在沙质田地上，向后击球和第四个球。")</f>
        <v>看到一小群男人站在沙质田地上，向后击球和第四个球。</v>
      </c>
    </row>
    <row r="6328">
      <c r="A6328" s="4" t="s">
        <v>7954</v>
      </c>
      <c r="B6328" s="4" t="s">
        <v>7956</v>
      </c>
      <c r="C6328" s="5" t="str">
        <f>IFERROR(__xludf.DUMMYFUNCTION("GOOGLETRANSLATE(B6328,""en"",""zh-CN"")"),"这些人开始了排球的比赛，并在整个地区击球。")</f>
        <v>这些人开始了排球的比赛，并在整个地区击球。</v>
      </c>
    </row>
    <row r="6329">
      <c r="A6329" s="4" t="s">
        <v>7954</v>
      </c>
      <c r="B6329" s="4" t="s">
        <v>7957</v>
      </c>
      <c r="C6329" s="5" t="str">
        <f>IFERROR(__xludf.DUMMYFUNCTION("GOOGLETRANSLATE(B6329,""en"",""zh-CN"")"),"当相机捕捉到他们四处走动时，这些人继续演奏。")</f>
        <v>当相机捕捉到他们四处走动时，这些人继续演奏。</v>
      </c>
    </row>
    <row r="6330">
      <c r="A6330" s="4" t="s">
        <v>7958</v>
      </c>
      <c r="B6330" s="6" t="s">
        <v>7959</v>
      </c>
      <c r="C6330" s="5" t="str">
        <f>IFERROR(__xludf.DUMMYFUNCTION("GOOGLETRANSLATE(B6330,""en"",""zh-CN"")"),"看到一个小男孩在另一个人的帮助下打开礼物，他的各种镜头打了他收到的鼓。")</f>
        <v>看到一个小男孩在另一个人的帮助下打开礼物，他的各种镜头打了他收到的鼓。</v>
      </c>
    </row>
    <row r="6331">
      <c r="A6331" s="4" t="s">
        <v>7958</v>
      </c>
      <c r="B6331" s="4" t="s">
        <v>7960</v>
      </c>
      <c r="C6331" s="5" t="str">
        <f>IFERROR(__xludf.DUMMYFUNCTION("GOOGLETRANSLATE(B6331,""en"",""zh-CN"")"),"对母亲进行了采访，并显示了这个男孩演奏几种不同乐器的更多镜头。")</f>
        <v>对母亲进行了采访，并显示了这个男孩演奏几种不同乐器的更多镜头。</v>
      </c>
    </row>
    <row r="6332">
      <c r="A6332" s="4" t="s">
        <v>7958</v>
      </c>
      <c r="B6332" s="4" t="s">
        <v>7961</v>
      </c>
      <c r="C6332" s="5" t="str">
        <f>IFERROR(__xludf.DUMMYFUNCTION("GOOGLETRANSLATE(B6332,""en"",""zh-CN"")"),"最终，它显示了这个男孩长大的，并以电影预告片的信息结束。")</f>
        <v>最终，它显示了这个男孩长大的，并以电影预告片的信息结束。</v>
      </c>
    </row>
    <row r="6333">
      <c r="A6333" s="4" t="s">
        <v>7962</v>
      </c>
      <c r="B6333" s="4" t="s">
        <v>7963</v>
      </c>
      <c r="C6333" s="5" t="str">
        <f>IFERROR(__xludf.DUMMYFUNCTION("GOOGLETRANSLATE(B6333,""en"",""zh-CN"")"),"看到一个男人在对镜头讲话，并导致演员接受了电影的采访。")</f>
        <v>看到一个男人在对镜头讲话，并导致演员接受了电影的采访。</v>
      </c>
    </row>
    <row r="6334">
      <c r="A6334" s="4" t="s">
        <v>7962</v>
      </c>
      <c r="B6334" s="4" t="s">
        <v>7964</v>
      </c>
      <c r="C6334" s="5" t="str">
        <f>IFERROR(__xludf.DUMMYFUNCTION("GOOGLETRANSLATE(B6334,""en"",""zh-CN"")"),"这部电影的几张照片以及其他电影和外表的剧照都显示出来。")</f>
        <v>这部电影的几张照片以及其他电影和外表的剧照都显示出来。</v>
      </c>
    </row>
    <row r="6335">
      <c r="A6335" s="4" t="s">
        <v>7962</v>
      </c>
      <c r="B6335" s="6" t="s">
        <v>7965</v>
      </c>
      <c r="C6335" s="5" t="str">
        <f>IFERROR(__xludf.DUMMYFUNCTION("GOOGLETRANSLATE(B6335,""en"",""zh-CN"")"),"然后显示这对夫妇在大型舞台上表演探戈例程，并通过与观众欢呼的舞台摆姿势结束。")</f>
        <v>然后显示这对夫妇在大型舞台上表演探戈例程，并通过与观众欢呼的舞台摆姿势结束。</v>
      </c>
    </row>
    <row r="6336">
      <c r="A6336" s="4" t="s">
        <v>7966</v>
      </c>
      <c r="B6336" s="4" t="s">
        <v>7967</v>
      </c>
      <c r="C6336" s="5" t="str">
        <f>IFERROR(__xludf.DUMMYFUNCTION("GOOGLETRANSLATE(B6336,""en"",""zh-CN"")"),"一个女人正在谈论专为女性设计的椭圆运动机。")</f>
        <v>一个女人正在谈论专为女性设计的椭圆运动机。</v>
      </c>
    </row>
    <row r="6337">
      <c r="A6337" s="4" t="s">
        <v>7966</v>
      </c>
      <c r="B6337" s="4" t="s">
        <v>7968</v>
      </c>
      <c r="C6337" s="5" t="str">
        <f>IFERROR(__xludf.DUMMYFUNCTION("GOOGLETRANSLATE(B6337,""en"",""zh-CN"")"),"Pro Fitness专家还展示了机器的工作原理。")</f>
        <v>Pro Fitness专家还展示了机器的工作原理。</v>
      </c>
    </row>
    <row r="6338">
      <c r="A6338" s="4" t="s">
        <v>7966</v>
      </c>
      <c r="B6338" s="4" t="s">
        <v>7969</v>
      </c>
      <c r="C6338" s="5" t="str">
        <f>IFERROR(__xludf.DUMMYFUNCTION("GOOGLETRANSLATE(B6338,""en"",""zh-CN"")"),"他显示了需要按下的按钮才能启动椭圆形。")</f>
        <v>他显示了需要按下的按钮才能启动椭圆形。</v>
      </c>
    </row>
    <row r="6339">
      <c r="A6339" s="4" t="s">
        <v>7966</v>
      </c>
      <c r="B6339" s="4" t="s">
        <v>7970</v>
      </c>
      <c r="C6339" s="5" t="str">
        <f>IFERROR(__xludf.DUMMYFUNCTION("GOOGLETRANSLATE(B6339,""en"",""zh-CN"")"),"在他开始使用机器后，女士跳到机器上，开始使用椭圆形。")</f>
        <v>在他开始使用机器后，女士跳到机器上，开始使用椭圆形。</v>
      </c>
    </row>
    <row r="6340">
      <c r="A6340" s="4" t="s">
        <v>7966</v>
      </c>
      <c r="B6340" s="6" t="s">
        <v>7971</v>
      </c>
      <c r="C6340" s="5" t="str">
        <f>IFERROR(__xludf.DUMMYFUNCTION("GOOGLETRANSLATE(B6340,""en"",""zh-CN"")"),"她继续在机器上锻炼身体，因为健身教练给了她有关机器将如何使她受益的提示。")</f>
        <v>她继续在机器上锻炼身体，因为健身教练给了她有关机器将如何使她受益的提示。</v>
      </c>
    </row>
    <row r="6341">
      <c r="A6341" s="4" t="s">
        <v>7972</v>
      </c>
      <c r="B6341" s="4" t="s">
        <v>7973</v>
      </c>
      <c r="C6341" s="5" t="str">
        <f>IFERROR(__xludf.DUMMYFUNCTION("GOOGLETRANSLATE(B6341,""en"",""zh-CN"")"),"我们看到带有隐形眼镜的介绍屏幕。")</f>
        <v>我们看到带有隐形眼镜的介绍屏幕。</v>
      </c>
    </row>
    <row r="6342">
      <c r="A6342" s="4" t="s">
        <v>7972</v>
      </c>
      <c r="B6342" s="4" t="s">
        <v>7974</v>
      </c>
      <c r="C6342" s="5" t="str">
        <f>IFERROR(__xludf.DUMMYFUNCTION("GOOGLETRANSLATE(B6342,""en"",""zh-CN"")"),"我们看到一个男人洗手并从新包裹中接触。")</f>
        <v>我们看到一个男人洗手并从新包裹中接触。</v>
      </c>
    </row>
    <row r="6343">
      <c r="A6343" s="4" t="s">
        <v>7972</v>
      </c>
      <c r="B6343" s="4" t="s">
        <v>7975</v>
      </c>
      <c r="C6343" s="5" t="str">
        <f>IFERROR(__xludf.DUMMYFUNCTION("GOOGLETRANSLATE(B6343,""en"",""zh-CN"")"),"该人睁大眼睛，插入隐形眼镜。")</f>
        <v>该人睁大眼睛，插入隐形眼镜。</v>
      </c>
    </row>
    <row r="6344">
      <c r="A6344" s="4" t="s">
        <v>7972</v>
      </c>
      <c r="B6344" s="4" t="s">
        <v>7976</v>
      </c>
      <c r="C6344" s="5" t="str">
        <f>IFERROR(__xludf.DUMMYFUNCTION("GOOGLETRANSLATE(B6344,""en"",""zh-CN"")"),"那个人微笑着，我们看到他的脸。")</f>
        <v>那个人微笑着，我们看到他的脸。</v>
      </c>
    </row>
    <row r="6345">
      <c r="A6345" s="4" t="s">
        <v>7972</v>
      </c>
      <c r="B6345" s="4" t="s">
        <v>7977</v>
      </c>
      <c r="C6345" s="5" t="str">
        <f>IFERROR(__xludf.DUMMYFUNCTION("GOOGLETRANSLATE(B6345,""en"",""zh-CN"")"),"然后，向我们展示了如何使用指令去除隐形眼镜。")</f>
        <v>然后，向我们展示了如何使用指令去除隐形眼镜。</v>
      </c>
    </row>
    <row r="6346">
      <c r="A6346" s="4" t="s">
        <v>7972</v>
      </c>
      <c r="B6346" s="4" t="s">
        <v>4452</v>
      </c>
      <c r="C6346" s="5" t="str">
        <f>IFERROR(__xludf.DUMMYFUNCTION("GOOGLETRANSLATE(B6346,""en"",""zh-CN"")"),"然后，我们看到结尾屏幕。")</f>
        <v>然后，我们看到结尾屏幕。</v>
      </c>
    </row>
    <row r="6347">
      <c r="A6347" s="4" t="s">
        <v>7978</v>
      </c>
      <c r="B6347" s="4" t="s">
        <v>7979</v>
      </c>
      <c r="C6347" s="5" t="str">
        <f>IFERROR(__xludf.DUMMYFUNCTION("GOOGLETRANSLATE(B6347,""en"",""zh-CN"")"),"紫色的绳索固定在蓝色的绳索上，然后在两棵树之间伸展。")</f>
        <v>紫色的绳索固定在蓝色的绳索上，然后在两棵树之间伸展。</v>
      </c>
    </row>
    <row r="6348">
      <c r="A6348" s="4" t="s">
        <v>7978</v>
      </c>
      <c r="B6348" s="4" t="s">
        <v>7980</v>
      </c>
      <c r="C6348" s="5" t="str">
        <f>IFERROR(__xludf.DUMMYFUNCTION("GOOGLETRANSLATE(B6348,""en"",""zh-CN"")"),"当另外三个人看着，一个人在绳索上弹跳和平衡。")</f>
        <v>当另外三个人看着，一个人在绳索上弹跳和平衡。</v>
      </c>
    </row>
    <row r="6349">
      <c r="A6349" s="4" t="s">
        <v>7978</v>
      </c>
      <c r="B6349" s="4" t="s">
        <v>7981</v>
      </c>
      <c r="C6349" s="5" t="str">
        <f>IFERROR(__xludf.DUMMYFUNCTION("GOOGLETRANSLATE(B6349,""en"",""zh-CN"")"),"其他人轮流，有些跌倒和重新平衡。")</f>
        <v>其他人轮流，有些跌倒和重新平衡。</v>
      </c>
    </row>
    <row r="6350">
      <c r="A6350" s="4" t="s">
        <v>7982</v>
      </c>
      <c r="B6350" s="4" t="s">
        <v>7983</v>
      </c>
      <c r="C6350" s="5" t="str">
        <f>IFERROR(__xludf.DUMMYFUNCTION("GOOGLETRANSLATE(B6350,""en"",""zh-CN"")"),"首先，向女人展示了她的手指从脖子上追踪。")</f>
        <v>首先，向女人展示了她的手指从脖子上追踪。</v>
      </c>
    </row>
    <row r="6351">
      <c r="A6351" s="4" t="s">
        <v>7982</v>
      </c>
      <c r="B6351" s="4" t="s">
        <v>7984</v>
      </c>
      <c r="C6351" s="5" t="str">
        <f>IFERROR(__xludf.DUMMYFUNCTION("GOOGLETRANSLATE(B6351,""en"",""zh-CN"")"),"然后她将头发的一部分移开，开始编织一部分头发。")</f>
        <v>然后她将头发的一部分移开，开始编织一部分头发。</v>
      </c>
    </row>
    <row r="6352">
      <c r="A6352" s="4" t="s">
        <v>7982</v>
      </c>
      <c r="B6352" s="6" t="s">
        <v>7985</v>
      </c>
      <c r="C6352" s="5" t="str">
        <f>IFERROR(__xludf.DUMMYFUNCTION("GOOGLETRANSLATE(B6352,""en"",""zh-CN"")"),"然后，她编织了另一个比第一个辫子小的辫子，但是通过使用最后一条辫子的几条链，她将头发连接起来。")</f>
        <v>然后，她编织了另一个比第一个辫子小的辫子，但是通过使用最后一条辫子的几条链，她将头发连接起来。</v>
      </c>
    </row>
    <row r="6353">
      <c r="A6353" s="4" t="s">
        <v>7986</v>
      </c>
      <c r="B6353" s="4" t="s">
        <v>7987</v>
      </c>
      <c r="C6353" s="5" t="str">
        <f>IFERROR(__xludf.DUMMYFUNCTION("GOOGLETRANSLATE(B6353,""en"",""zh-CN"")"),"一个女人与伴侣一起做空手道的例行程序，并扔了一堆被阻塞的人。")</f>
        <v>一个女人与伴侣一起做空手道的例行程序，并扔了一堆被阻塞的人。</v>
      </c>
    </row>
    <row r="6354">
      <c r="A6354" s="4" t="s">
        <v>7986</v>
      </c>
      <c r="B6354" s="4" t="s">
        <v>7988</v>
      </c>
      <c r="C6354" s="5" t="str">
        <f>IFERROR(__xludf.DUMMYFUNCTION("GOOGLETRANSLATE(B6354,""en"",""zh-CN"")"),"女人向她的伴侣练习一条空手道，伴侣看着并举手。")</f>
        <v>女人向她的伴侣练习一条空手道，伴侣看着并举手。</v>
      </c>
    </row>
    <row r="6355">
      <c r="A6355" s="4" t="s">
        <v>7986</v>
      </c>
      <c r="B6355" s="4" t="s">
        <v>7989</v>
      </c>
      <c r="C6355" s="5" t="str">
        <f>IFERROR(__xludf.DUMMYFUNCTION("GOOGLETRANSLATE(B6355,""en"",""zh-CN"")"),"那个女人向伴侣扔了一个打击，她的伴侣抓住了它，将她扔到了地上。")</f>
        <v>那个女人向伴侣扔了一个打击，她的伴侣抓住了它，将她扔到了地上。</v>
      </c>
    </row>
    <row r="6356">
      <c r="A6356" s="4" t="s">
        <v>7990</v>
      </c>
      <c r="B6356" s="4" t="s">
        <v>7991</v>
      </c>
      <c r="C6356" s="5" t="str">
        <f>IFERROR(__xludf.DUMMYFUNCTION("GOOGLETRANSLATE(B6356,""en"",""zh-CN"")"),"几个工具坐在桌子的边缘。")</f>
        <v>几个工具坐在桌子的边缘。</v>
      </c>
    </row>
    <row r="6357">
      <c r="A6357" s="4" t="s">
        <v>7990</v>
      </c>
      <c r="B6357" s="4" t="s">
        <v>7992</v>
      </c>
      <c r="C6357" s="5" t="str">
        <f>IFERROR(__xludf.DUMMYFUNCTION("GOOGLETRANSLATE(B6357,""en"",""zh-CN"")"),"一个人调整工具的位置。")</f>
        <v>一个人调整工具的位置。</v>
      </c>
    </row>
    <row r="6358">
      <c r="A6358" s="4" t="s">
        <v>7990</v>
      </c>
      <c r="B6358" s="4" t="s">
        <v>7993</v>
      </c>
      <c r="C6358" s="5" t="str">
        <f>IFERROR(__xludf.DUMMYFUNCTION("GOOGLETRANSLATE(B6358,""en"",""zh-CN"")"),"他在缝隙中使用刀，锐化了刀。")</f>
        <v>他在缝隙中使用刀，锐化了刀。</v>
      </c>
    </row>
    <row r="6359">
      <c r="A6359" s="4" t="s">
        <v>7994</v>
      </c>
      <c r="B6359" s="4" t="s">
        <v>7995</v>
      </c>
      <c r="C6359" s="5" t="str">
        <f>IFERROR(__xludf.DUMMYFUNCTION("GOOGLETRANSLATE(B6359,""en"",""zh-CN"")"),"Vassen Cloud 9红色触点在其所属的容器中。")</f>
        <v>Vassen Cloud 9红色触点在其所属的容器中。</v>
      </c>
    </row>
    <row r="6360">
      <c r="A6360" s="4" t="s">
        <v>7994</v>
      </c>
      <c r="B6360" s="4" t="s">
        <v>7996</v>
      </c>
      <c r="C6360" s="5" t="str">
        <f>IFERROR(__xludf.DUMMYFUNCTION("GOOGLETRANSLATE(B6360,""en"",""zh-CN"")"),"一个有棕色眼睛的金发妇女将其中的一个放在她的眼中。")</f>
        <v>一个有棕色眼睛的金发妇女将其中的一个放在她的眼中。</v>
      </c>
    </row>
    <row r="6361">
      <c r="A6361" s="4" t="s">
        <v>7994</v>
      </c>
      <c r="B6361" s="4" t="s">
        <v>7997</v>
      </c>
      <c r="C6361" s="5" t="str">
        <f>IFERROR(__xludf.DUMMYFUNCTION("GOOGLETRANSLATE(B6361,""en"",""zh-CN"")"),"您可以非常清楚地看到棕色和接触的差异，看起来很棒。")</f>
        <v>您可以非常清楚地看到棕色和接触的差异，看起来很棒。</v>
      </c>
    </row>
    <row r="6362">
      <c r="A6362" s="4" t="s">
        <v>7994</v>
      </c>
      <c r="B6362" s="4" t="s">
        <v>7998</v>
      </c>
      <c r="C6362" s="5" t="str">
        <f>IFERROR(__xludf.DUMMYFUNCTION("GOOGLETRANSLATE(B6362,""en"",""zh-CN"")"),"然后，她将另一个联系人放在其中，以便您可以看到两个镜头的外观。")</f>
        <v>然后，她将另一个联系人放在其中，以便您可以看到两个镜头的外观。</v>
      </c>
    </row>
    <row r="6363">
      <c r="A6363" s="4" t="s">
        <v>7999</v>
      </c>
      <c r="B6363" s="4" t="s">
        <v>8000</v>
      </c>
      <c r="C6363" s="5" t="str">
        <f>IFERROR(__xludf.DUMMYFUNCTION("GOOGLETRANSLATE(B6363,""en"",""zh-CN"")"),"一个年轻人站在网上的绿色圆形区域。")</f>
        <v>一个年轻人站在网上的绿色圆形区域。</v>
      </c>
    </row>
    <row r="6364">
      <c r="A6364" s="4" t="s">
        <v>7999</v>
      </c>
      <c r="B6364" s="6" t="s">
        <v>8001</v>
      </c>
      <c r="C6364" s="5" t="str">
        <f>IFERROR(__xludf.DUMMYFUNCTION("GOOGLETRANSLATE(B6364,""en"",""zh-CN"")"),"该男子拿着球，开始多次旋转自己，然后扔球。")</f>
        <v>该男子拿着球，开始多次旋转自己，然后扔球。</v>
      </c>
    </row>
    <row r="6365">
      <c r="A6365" s="4" t="s">
        <v>7999</v>
      </c>
      <c r="B6365" s="4" t="s">
        <v>8002</v>
      </c>
      <c r="C6365" s="5" t="str">
        <f>IFERROR(__xludf.DUMMYFUNCTION("GOOGLETRANSLATE(B6365,""en"",""zh-CN"")"),"扔球后，他努力摔倒在地上。")</f>
        <v>扔球后，他努力摔倒在地上。</v>
      </c>
    </row>
    <row r="6366">
      <c r="A6366" s="4" t="s">
        <v>8003</v>
      </c>
      <c r="B6366" s="4" t="s">
        <v>8004</v>
      </c>
      <c r="C6366" s="5" t="str">
        <f>IFERROR(__xludf.DUMMYFUNCTION("GOOGLETRANSLATE(B6366,""en"",""zh-CN"")"),"TMZ的视频显示了几个超重男人，这是Sumo Destruction活动的一部分。")</f>
        <v>TMZ的视频显示了几个超重男人，这是Sumo Destruction活动的一部分。</v>
      </c>
    </row>
    <row r="6367">
      <c r="A6367" s="4" t="s">
        <v>8003</v>
      </c>
      <c r="B6367" s="4" t="s">
        <v>8005</v>
      </c>
      <c r="C6367" s="5" t="str">
        <f>IFERROR(__xludf.DUMMYFUNCTION("GOOGLETRANSLATE(B6367,""en"",""zh-CN"")"),"它显示了歌手乔治·迈克尔的照片。")</f>
        <v>它显示了歌手乔治·迈克尔的照片。</v>
      </c>
    </row>
    <row r="6368">
      <c r="A6368" s="4" t="s">
        <v>8003</v>
      </c>
      <c r="B6368" s="4" t="s">
        <v>8006</v>
      </c>
      <c r="C6368" s="5" t="str">
        <f>IFERROR(__xludf.DUMMYFUNCTION("GOOGLETRANSLATE(B6368,""en"",""zh-CN"")"),"有一群人坐在工作室里谈论活动。")</f>
        <v>有一群人坐在工作室里谈论活动。</v>
      </c>
    </row>
    <row r="6369">
      <c r="A6369" s="4" t="s">
        <v>8003</v>
      </c>
      <c r="B6369" s="4" t="s">
        <v>8007</v>
      </c>
      <c r="C6369" s="5" t="str">
        <f>IFERROR(__xludf.DUMMYFUNCTION("GOOGLETRANSLATE(B6369,""en"",""zh-CN"")"),"他们正在阅读剧本和笑。")</f>
        <v>他们正在阅读剧本和笑。</v>
      </c>
    </row>
    <row r="6370">
      <c r="A6370" s="4" t="s">
        <v>8003</v>
      </c>
      <c r="B6370" s="4" t="s">
        <v>8008</v>
      </c>
      <c r="C6370" s="5" t="str">
        <f>IFERROR(__xludf.DUMMYFUNCTION("GOOGLETRANSLATE(B6370,""en"",""zh-CN"")"),"也有相扑摔跤手的图片。")</f>
        <v>也有相扑摔跤手的图片。</v>
      </c>
    </row>
    <row r="6371">
      <c r="A6371" s="4" t="s">
        <v>8003</v>
      </c>
      <c r="B6371" s="4" t="s">
        <v>8009</v>
      </c>
      <c r="C6371" s="5" t="str">
        <f>IFERROR(__xludf.DUMMYFUNCTION("GOOGLETRANSLATE(B6371,""en"",""zh-CN"")"),"这也显示了相比摔跤手观看活动时的摔跤手。")</f>
        <v>这也显示了相比摔跤手观看活动时的摔跤手。</v>
      </c>
    </row>
    <row r="6372">
      <c r="A6372" s="4" t="s">
        <v>8010</v>
      </c>
      <c r="B6372" s="4" t="s">
        <v>8011</v>
      </c>
      <c r="C6372" s="5" t="str">
        <f>IFERROR(__xludf.DUMMYFUNCTION("GOOGLETRANSLATE(B6372,""en"",""zh-CN"")"),"三个女人在停车场的房子旁边走路。")</f>
        <v>三个女人在停车场的房子旁边走路。</v>
      </c>
    </row>
    <row r="6373">
      <c r="A6373" s="4" t="s">
        <v>8010</v>
      </c>
      <c r="B6373" s="4" t="s">
        <v>8012</v>
      </c>
      <c r="C6373" s="5" t="str">
        <f>IFERROR(__xludf.DUMMYFUNCTION("GOOGLETRANSLATE(B6373,""en"",""zh-CN"")"),"人们在一个小礼堂的两个栅栏之间滑雪，沿着一个小坡度沿着小坡度沿着小山坡上。")</f>
        <v>人们在一个小礼堂的两个栅栏之间滑雪，沿着一个小坡度沿着小坡度沿着小山坡上。</v>
      </c>
    </row>
    <row r="6374">
      <c r="A6374" s="4" t="s">
        <v>8010</v>
      </c>
      <c r="B6374" s="4" t="s">
        <v>8013</v>
      </c>
      <c r="C6374" s="5" t="str">
        <f>IFERROR(__xludf.DUMMYFUNCTION("GOOGLETRANSLATE(B6374,""en"",""zh-CN"")"),"人们正站在滑雪板的一座白雪皑皑的山上。")</f>
        <v>人们正站在滑雪板的一座白雪皑皑的山上。</v>
      </c>
    </row>
    <row r="6375">
      <c r="A6375" s="4" t="s">
        <v>8010</v>
      </c>
      <c r="B6375" s="4" t="s">
        <v>8014</v>
      </c>
      <c r="C6375" s="5" t="str">
        <f>IFERROR(__xludf.DUMMYFUNCTION("GOOGLETRANSLATE(B6375,""en"",""zh-CN"")"),"人们正在坐在帐篷外面吃饭。")</f>
        <v>人们正在坐在帐篷外面吃饭。</v>
      </c>
    </row>
    <row r="6376">
      <c r="A6376" s="4" t="s">
        <v>8010</v>
      </c>
      <c r="B6376" s="4" t="s">
        <v>8015</v>
      </c>
      <c r="C6376" s="5" t="str">
        <f>IFERROR(__xludf.DUMMYFUNCTION("GOOGLETRANSLATE(B6376,""en"",""zh-CN"")"),"人们正在努力从山上撒下雪地广告，在山上做技巧。")</f>
        <v>人们正在努力从山上撒下雪地广告，在山上做技巧。</v>
      </c>
    </row>
    <row r="6377">
      <c r="A6377" s="4" t="s">
        <v>8016</v>
      </c>
      <c r="B6377" s="4" t="s">
        <v>8017</v>
      </c>
      <c r="C6377" s="5" t="str">
        <f>IFERROR(__xludf.DUMMYFUNCTION("GOOGLETRANSLATE(B6377,""en"",""zh-CN"")"),"一个男人用弓箭射击箭。")</f>
        <v>一个男人用弓箭射击箭。</v>
      </c>
    </row>
    <row r="6378">
      <c r="A6378" s="4" t="s">
        <v>8016</v>
      </c>
      <c r="B6378" s="4" t="s">
        <v>8018</v>
      </c>
      <c r="C6378" s="5" t="str">
        <f>IFERROR(__xludf.DUMMYFUNCTION("GOOGLETRANSLATE(B6378,""en"",""zh-CN"")"),"他抓住另一支箭，再次射击。")</f>
        <v>他抓住另一支箭，再次射击。</v>
      </c>
    </row>
    <row r="6379">
      <c r="A6379" s="4" t="s">
        <v>8016</v>
      </c>
      <c r="B6379" s="4" t="s">
        <v>8019</v>
      </c>
      <c r="C6379" s="5" t="str">
        <f>IFERROR(__xludf.DUMMYFUNCTION("GOOGLETRANSLATE(B6379,""en"",""zh-CN"")"),"他再次射击了箭。")</f>
        <v>他再次射击了箭。</v>
      </c>
    </row>
    <row r="6380">
      <c r="A6380" s="4" t="s">
        <v>8016</v>
      </c>
      <c r="B6380" s="4" t="s">
        <v>8020</v>
      </c>
      <c r="C6380" s="5" t="str">
        <f>IFERROR(__xludf.DUMMYFUNCTION("GOOGLETRANSLATE(B6380,""en"",""zh-CN"")"),"他找到了另一支箭头并射击。")</f>
        <v>他找到了另一支箭头并射击。</v>
      </c>
    </row>
    <row r="6381">
      <c r="A6381" s="4" t="s">
        <v>8016</v>
      </c>
      <c r="B6381" s="4" t="s">
        <v>8021</v>
      </c>
      <c r="C6381" s="5" t="str">
        <f>IFERROR(__xludf.DUMMYFUNCTION("GOOGLETRANSLATE(B6381,""en"",""zh-CN"")"),"他又拍了箭。")</f>
        <v>他又拍了箭。</v>
      </c>
    </row>
    <row r="6382">
      <c r="A6382" s="4" t="s">
        <v>8016</v>
      </c>
      <c r="B6382" s="4" t="s">
        <v>8022</v>
      </c>
      <c r="C6382" s="5" t="str">
        <f>IFERROR(__xludf.DUMMYFUNCTION("GOOGLETRANSLATE(B6382,""en"",""zh-CN"")"),"另一只箭被抓住，他射击。")</f>
        <v>另一只箭被抓住，他射击。</v>
      </c>
    </row>
    <row r="6383">
      <c r="A6383" s="4" t="s">
        <v>8016</v>
      </c>
      <c r="B6383" s="4" t="s">
        <v>8023</v>
      </c>
      <c r="C6383" s="5" t="str">
        <f>IFERROR(__xludf.DUMMYFUNCTION("GOOGLETRANSLATE(B6383,""en"",""zh-CN"")"),"他又拿着一个射击。")</f>
        <v>他又拿着一个射击。</v>
      </c>
    </row>
    <row r="6384">
      <c r="A6384" s="4" t="s">
        <v>8016</v>
      </c>
      <c r="B6384" s="4" t="s">
        <v>8024</v>
      </c>
      <c r="C6384" s="5" t="str">
        <f>IFERROR(__xludf.DUMMYFUNCTION("GOOGLETRANSLATE(B6384,""en"",""zh-CN"")"),"他从腰部抓住另一支箭，再次射击。")</f>
        <v>他从腰部抓住另一支箭，再次射击。</v>
      </c>
    </row>
    <row r="6385">
      <c r="A6385" s="4" t="s">
        <v>8016</v>
      </c>
      <c r="B6385" s="4" t="s">
        <v>8025</v>
      </c>
      <c r="C6385" s="5" t="str">
        <f>IFERROR(__xludf.DUMMYFUNCTION("GOOGLETRANSLATE(B6385,""en"",""zh-CN"")"),"他再次射击箭。")</f>
        <v>他再次射击箭。</v>
      </c>
    </row>
    <row r="6386">
      <c r="A6386" s="4" t="s">
        <v>8016</v>
      </c>
      <c r="B6386" s="4" t="s">
        <v>8026</v>
      </c>
      <c r="C6386" s="5" t="str">
        <f>IFERROR(__xludf.DUMMYFUNCTION("GOOGLETRANSLATE(B6386,""en"",""zh-CN"")"),"他抓住了最后一只箭并射击。")</f>
        <v>他抓住了最后一只箭并射击。</v>
      </c>
    </row>
    <row r="6387">
      <c r="A6387" s="4" t="s">
        <v>8016</v>
      </c>
      <c r="B6387" s="4" t="s">
        <v>8027</v>
      </c>
      <c r="C6387" s="5" t="str">
        <f>IFERROR(__xludf.DUMMYFUNCTION("GOOGLETRANSLATE(B6387,""en"",""zh-CN"")"),"一个人走向箭的干草。")</f>
        <v>一个人走向箭的干草。</v>
      </c>
    </row>
    <row r="6388">
      <c r="A6388" s="4" t="s">
        <v>8028</v>
      </c>
      <c r="B6388" s="4" t="s">
        <v>8029</v>
      </c>
      <c r="C6388" s="5" t="str">
        <f>IFERROR(__xludf.DUMMYFUNCTION("GOOGLETRANSLATE(B6388,""en"",""zh-CN"")"),"一个人准备沿着轨道跑。")</f>
        <v>一个人准备沿着轨道跑。</v>
      </c>
    </row>
    <row r="6389">
      <c r="A6389" s="4" t="s">
        <v>8028</v>
      </c>
      <c r="B6389" s="4" t="s">
        <v>8030</v>
      </c>
      <c r="C6389" s="5" t="str">
        <f>IFERROR(__xludf.DUMMYFUNCTION("GOOGLETRANSLATE(B6389,""en"",""zh-CN"")"),"他跑得非常快。")</f>
        <v>他跑得非常快。</v>
      </c>
    </row>
    <row r="6390">
      <c r="A6390" s="4" t="s">
        <v>8028</v>
      </c>
      <c r="B6390" s="4" t="s">
        <v>8031</v>
      </c>
      <c r="C6390" s="5" t="str">
        <f>IFERROR(__xludf.DUMMYFUNCTION("GOOGLETRANSLATE(B6390,""en"",""zh-CN"")"),"他巨大的飞跃，降落在沙滩上。")</f>
        <v>他巨大的飞跃，降落在沙滩上。</v>
      </c>
    </row>
    <row r="6391">
      <c r="A6391" s="4" t="s">
        <v>8032</v>
      </c>
      <c r="B6391" s="6" t="s">
        <v>8033</v>
      </c>
      <c r="C6391" s="5" t="str">
        <f>IFERROR(__xludf.DUMMYFUNCTION("GOOGLETRANSLATE(B6391,""en"",""zh-CN"")"),"一个穿着商务服装的男人在他身后带着一些孩子进入厨房，握住女人的手，揉着肩膀，然后将孩子们介绍给女人，整个屏幕顶部的黑色文字都在屏幕上写着“'说谎'瑞安（Ryan）在飞行前有几分钟要杀死”。")</f>
        <v>一个穿着商务服装的男人在他身后带着一些孩子进入厨房，握住女人的手，揉着肩膀，然后将孩子们介绍给女人，整个屏幕顶部的黑色文字都在屏幕上写着“'说谎'瑞安（Ryan）在飞行前有几分钟要杀死”。</v>
      </c>
    </row>
    <row r="6392">
      <c r="A6392" s="4" t="s">
        <v>8032</v>
      </c>
      <c r="B6392" s="6" t="s">
        <v>8034</v>
      </c>
      <c r="C6392" s="5" t="str">
        <f>IFERROR(__xludf.DUMMYFUNCTION("GOOGLETRANSLATE(B6392,""en"",""zh-CN"")"),"更多的剪辑继续在厨房里玩这个男人，谈话，处理清洁产品和洗碗，但是关于他的许多负面词都出现在屏幕上。")</f>
        <v>更多的剪辑继续在厨房里玩这个男人，谈话，处理清洁产品和洗碗，但是关于他的许多负面词都出现在屏幕上。</v>
      </c>
    </row>
    <row r="6393">
      <c r="A6393" s="4" t="s">
        <v>8032</v>
      </c>
      <c r="B6393" s="6" t="s">
        <v>8035</v>
      </c>
      <c r="C6393" s="5" t="str">
        <f>IFERROR(__xludf.DUMMYFUNCTION("GOOGLETRANSLATE(B6393,""en"",""zh-CN"")"),"这个男人现在不在厨房里，然后走路，然后停下来握手并与一个男人说话，但是关于他的负面信息仍然出现在屏幕上。")</f>
        <v>这个男人现在不在厨房里，然后走路，然后停下来握手并与一个男人说话，但是关于他的负面信息仍然出现在屏幕上。</v>
      </c>
    </row>
    <row r="6394">
      <c r="A6394" s="4" t="s">
        <v>8036</v>
      </c>
      <c r="B6394" s="6" t="s">
        <v>8037</v>
      </c>
      <c r="C6394" s="5" t="str">
        <f>IFERROR(__xludf.DUMMYFUNCTION("GOOGLETRANSLATE(B6394,""en"",""zh-CN"")"),"看到一个女人看着她的手表，指着她面前的东西，沿着道路奔跑。")</f>
        <v>看到一个女人看着她的手表，指着她面前的东西，沿着道路奔跑。</v>
      </c>
    </row>
    <row r="6395">
      <c r="A6395" s="4" t="s">
        <v>8036</v>
      </c>
      <c r="B6395" s="4" t="s">
        <v>8038</v>
      </c>
      <c r="C6395" s="5" t="str">
        <f>IFERROR(__xludf.DUMMYFUNCTION("GOOGLETRANSLATE(B6395,""en"",""zh-CN"")"),"她继续在街上跑来跑去，而其他人为她鼓掌，她一直在奔跑。")</f>
        <v>她继续在街上跑来跑去，而其他人为她鼓掌，她一直在奔跑。</v>
      </c>
    </row>
    <row r="6396">
      <c r="A6396" s="4" t="s">
        <v>8039</v>
      </c>
      <c r="B6396" s="4" t="s">
        <v>8040</v>
      </c>
      <c r="C6396" s="5" t="str">
        <f>IFERROR(__xludf.DUMMYFUNCTION("GOOGLETRANSLATE(B6396,""en"",""zh-CN"")"),"人坐在人行道旁边的皮划艇里。")</f>
        <v>人坐在人行道旁边的皮划艇里。</v>
      </c>
    </row>
    <row r="6397">
      <c r="A6397" s="4" t="s">
        <v>8039</v>
      </c>
      <c r="B6397" s="4" t="s">
        <v>8041</v>
      </c>
      <c r="C6397" s="5" t="str">
        <f>IFERROR(__xludf.DUMMYFUNCTION("GOOGLETRANSLATE(B6397,""en"",""zh-CN"")"),"人正在从水中取出皮划艇。")</f>
        <v>人正在从水中取出皮划艇。</v>
      </c>
    </row>
    <row r="6398">
      <c r="A6398" s="4" t="s">
        <v>8039</v>
      </c>
      <c r="B6398" s="4" t="s">
        <v>8042</v>
      </c>
      <c r="C6398" s="5" t="str">
        <f>IFERROR(__xludf.DUMMYFUNCTION("GOOGLETRANSLATE(B6398,""en"",""zh-CN"")"),"男人在河里拿着行，做皮划艇，其他男人在他旁边。")</f>
        <v>男人在河里拿着行，做皮划艇，其他男人在他旁边。</v>
      </c>
    </row>
    <row r="6399">
      <c r="A6399" s="4" t="s">
        <v>8043</v>
      </c>
      <c r="B6399" s="4" t="s">
        <v>8044</v>
      </c>
      <c r="C6399" s="5" t="str">
        <f>IFERROR(__xludf.DUMMYFUNCTION("GOOGLETRANSLATE(B6399,""en"",""zh-CN"")"),"一个男人正在和另一个男人一起记录自己的杠杆。")</f>
        <v>一个男人正在和另一个男人一起记录自己的杠杆。</v>
      </c>
    </row>
    <row r="6400">
      <c r="A6400" s="4" t="s">
        <v>8043</v>
      </c>
      <c r="B6400" s="4" t="s">
        <v>8045</v>
      </c>
      <c r="C6400" s="5" t="str">
        <f>IFERROR(__xludf.DUMMYFUNCTION("GOOGLETRANSLATE(B6400,""en"",""zh-CN"")"),"骑行越来越高，那个戴着帽子的人正在和另一个人说话。")</f>
        <v>骑行越来越高，那个戴着帽子的人正在和另一个人说话。</v>
      </c>
    </row>
    <row r="6401">
      <c r="A6401" s="4" t="s">
        <v>8043</v>
      </c>
      <c r="B6401" s="4" t="s">
        <v>8046</v>
      </c>
      <c r="C6401" s="5" t="str">
        <f>IFERROR(__xludf.DUMMYFUNCTION("GOOGLETRANSLATE(B6401,""en"",""zh-CN"")"),"骑行到达顶部，男人伸出手臂。")</f>
        <v>骑行到达顶部，男人伸出手臂。</v>
      </c>
    </row>
    <row r="6402">
      <c r="A6402" s="4" t="s">
        <v>8043</v>
      </c>
      <c r="B6402" s="4" t="s">
        <v>8047</v>
      </c>
      <c r="C6402" s="5" t="str">
        <f>IFERROR(__xludf.DUMMYFUNCTION("GOOGLETRANSLATE(B6402,""en"",""zh-CN"")"),"他倒下，把男人丢下去跳蹦极跳。")</f>
        <v>他倒下，把男人丢下去跳蹦极跳。</v>
      </c>
    </row>
    <row r="6403">
      <c r="A6403" s="4" t="s">
        <v>8043</v>
      </c>
      <c r="B6403" s="4" t="s">
        <v>8048</v>
      </c>
      <c r="C6403" s="5" t="str">
        <f>IFERROR(__xludf.DUMMYFUNCTION("GOOGLETRANSLATE(B6403,""en"",""zh-CN"")"),"该男子安全地将其放到底部，骑行又回到了。")</f>
        <v>该男子安全地将其放到底部，骑行又回到了。</v>
      </c>
    </row>
    <row r="6404">
      <c r="A6404" s="4" t="s">
        <v>8049</v>
      </c>
      <c r="B6404" s="4" t="s">
        <v>8050</v>
      </c>
      <c r="C6404" s="5" t="str">
        <f>IFERROR(__xludf.DUMMYFUNCTION("GOOGLETRANSLATE(B6404,""en"",""zh-CN"")"),"外面在橡树溪（Oak Creek）外面有一些骑自行车的人准备好在泥土上比赛。")</f>
        <v>外面在橡树溪（Oak Creek）外面有一些骑自行车的人准备好在泥土上比赛。</v>
      </c>
    </row>
    <row r="6405">
      <c r="A6405" s="4" t="s">
        <v>8049</v>
      </c>
      <c r="B6405" s="4" t="s">
        <v>8051</v>
      </c>
      <c r="C6405" s="5" t="str">
        <f>IFERROR(__xludf.DUMMYFUNCTION("GOOGLETRANSLATE(B6405,""en"",""zh-CN"")"),"当大门掉下来时，他们都会尽可能快地穿过污垢的障碍物。")</f>
        <v>当大门掉下来时，他们都会尽可能快地穿过污垢的障碍物。</v>
      </c>
    </row>
    <row r="6406">
      <c r="A6406" s="4" t="s">
        <v>8049</v>
      </c>
      <c r="B6406" s="4" t="s">
        <v>8052</v>
      </c>
      <c r="C6406" s="5" t="str">
        <f>IFERROR(__xludf.DUMMYFUNCTION("GOOGLETRANSLATE(B6406,""en"",""zh-CN"")"),"当骑自行车的人掉下来时，有几个人坐在看着看着。")</f>
        <v>当骑自行车的人掉下来时，有几个人坐在看着看着。</v>
      </c>
    </row>
    <row r="6407">
      <c r="A6407" s="4" t="s">
        <v>8049</v>
      </c>
      <c r="B6407" s="4" t="s">
        <v>8053</v>
      </c>
      <c r="C6407" s="5" t="str">
        <f>IFERROR(__xludf.DUMMYFUNCTION("GOOGLETRANSLATE(B6407,""en"",""zh-CN"")"),"他们甚至展示了一些孩子在等待，并玩得开心。")</f>
        <v>他们甚至展示了一些孩子在等待，并玩得开心。</v>
      </c>
    </row>
    <row r="6408">
      <c r="A6408" s="4" t="s">
        <v>8054</v>
      </c>
      <c r="B6408" s="4" t="s">
        <v>8055</v>
      </c>
      <c r="C6408" s="5" t="str">
        <f>IFERROR(__xludf.DUMMYFUNCTION("GOOGLETRANSLATE(B6408,""en"",""zh-CN"")"),"女性练习地板体操，而其他人则在背景中进行各种活动。")</f>
        <v>女性练习地板体操，而其他人则在背景中进行各种活动。</v>
      </c>
    </row>
    <row r="6409">
      <c r="A6409" s="4" t="s">
        <v>8054</v>
      </c>
      <c r="B6409" s="4" t="s">
        <v>8056</v>
      </c>
      <c r="C6409" s="5" t="str">
        <f>IFERROR(__xludf.DUMMYFUNCTION("GOOGLETRANSLATE(B6409,""en"",""zh-CN"")"),"第二个女人练习地板体操。")</f>
        <v>第二个女人练习地板体操。</v>
      </c>
    </row>
    <row r="6410">
      <c r="A6410" s="4" t="s">
        <v>8054</v>
      </c>
      <c r="B6410" s="4" t="s">
        <v>8057</v>
      </c>
      <c r="C6410" s="5" t="str">
        <f>IFERROR(__xludf.DUMMYFUNCTION("GOOGLETRANSLATE(B6410,""en"",""zh-CN"")"),"表明这两个妇女依次执行相同的动作。")</f>
        <v>表明这两个妇女依次执行相同的动作。</v>
      </c>
    </row>
    <row r="6411">
      <c r="A6411" s="4" t="s">
        <v>8054</v>
      </c>
      <c r="B6411" s="6" t="s">
        <v>8058</v>
      </c>
      <c r="C6411" s="5" t="str">
        <f>IFERROR(__xludf.DUMMYFUNCTION("GOOGLETRANSLATE(B6411,""en"",""zh-CN"")"),"第一位女士被证明是练习更多的地板体操，偶尔会慢动作其动作。")</f>
        <v>第一位女士被证明是练习更多的地板体操，偶尔会慢动作其动作。</v>
      </c>
    </row>
    <row r="6412">
      <c r="A6412" s="4" t="s">
        <v>8054</v>
      </c>
      <c r="B6412" s="4" t="s">
        <v>8059</v>
      </c>
      <c r="C6412" s="5" t="str">
        <f>IFERROR(__xludf.DUMMYFUNCTION("GOOGLETRANSLATE(B6412,""en"",""zh-CN"")"),"显示第二个女人表现出某种姿势。")</f>
        <v>显示第二个女人表现出某种姿势。</v>
      </c>
    </row>
    <row r="6413">
      <c r="A6413" s="4" t="s">
        <v>8054</v>
      </c>
      <c r="B6413" s="4" t="s">
        <v>8060</v>
      </c>
      <c r="C6413" s="5" t="str">
        <f>IFERROR(__xludf.DUMMYFUNCTION("GOOGLETRANSLATE(B6413,""en"",""zh-CN"")"),"第一个女人再次表演体操。")</f>
        <v>第一个女人再次表演体操。</v>
      </c>
    </row>
    <row r="6414">
      <c r="A6414" s="4" t="s">
        <v>8054</v>
      </c>
      <c r="B6414" s="4" t="s">
        <v>8061</v>
      </c>
      <c r="C6414" s="5" t="str">
        <f>IFERROR(__xludf.DUMMYFUNCTION("GOOGLETRANSLATE(B6414,""en"",""zh-CN"")"),"显示第二个女人在空中伸展腿。")</f>
        <v>显示第二个女人在空中伸展腿。</v>
      </c>
    </row>
    <row r="6415">
      <c r="A6415" s="4" t="s">
        <v>8054</v>
      </c>
      <c r="B6415" s="4" t="s">
        <v>8062</v>
      </c>
      <c r="C6415" s="5" t="str">
        <f>IFERROR(__xludf.DUMMYFUNCTION("GOOGLETRANSLATE(B6415,""en"",""zh-CN"")"),"第一个女人再次表演体操。")</f>
        <v>第一个女人再次表演体操。</v>
      </c>
    </row>
    <row r="6416">
      <c r="A6416" s="4" t="s">
        <v>8054</v>
      </c>
      <c r="B6416" s="4" t="s">
        <v>8063</v>
      </c>
      <c r="C6416" s="5" t="str">
        <f>IFERROR(__xludf.DUMMYFUNCTION("GOOGLETRANSLATE(B6416,""en"",""zh-CN"")"),"第二个女人再次以某种姿势显示。")</f>
        <v>第二个女人再次以某种姿势显示。</v>
      </c>
    </row>
    <row r="6417">
      <c r="A6417" s="4" t="s">
        <v>8054</v>
      </c>
      <c r="B6417" s="4" t="s">
        <v>8064</v>
      </c>
      <c r="C6417" s="5" t="str">
        <f>IFERROR(__xludf.DUMMYFUNCTION("GOOGLETRANSLATE(B6417,""en"",""zh-CN"")"),"第一个女人再次表现出表演体操。")</f>
        <v>第一个女人再次表现出表演体操。</v>
      </c>
    </row>
    <row r="6418">
      <c r="A6418" s="4" t="s">
        <v>8065</v>
      </c>
      <c r="B6418" s="6" t="s">
        <v>8066</v>
      </c>
      <c r="C6418" s="5" t="str">
        <f>IFERROR(__xludf.DUMMYFUNCTION("GOOGLETRANSLATE(B6418,""en"",""zh-CN"")"),"水上显示了一艘巨大的红色，黑白船，然后显示一艘较小的船，迅速显示出拍摄的船，突然间它撞到船上，并从顶部的顶部散发出黑烟。")</f>
        <v>水上显示了一艘巨大的红色，黑白船，然后显示一艘较小的船，迅速显示出拍摄的船，突然间它撞到船上，并从顶部的顶部散发出黑烟。</v>
      </c>
    </row>
    <row r="6419">
      <c r="A6419" s="4" t="s">
        <v>8065</v>
      </c>
      <c r="B6419" s="6" t="s">
        <v>8067</v>
      </c>
      <c r="C6419" s="5" t="str">
        <f>IFERROR(__xludf.DUMMYFUNCTION("GOOGLETRANSLATE(B6419,""en"",""zh-CN"")"),"许多人在船上显示了许多人，生命背心在船上迅速移动，男人疯狂地拉起了绳索。")</f>
        <v>许多人在船上显示了许多人，生命背心在船上迅速移动，男人疯狂地拉起了绳索。</v>
      </c>
    </row>
    <row r="6420">
      <c r="A6420" s="4" t="s">
        <v>8065</v>
      </c>
      <c r="B6420" s="6" t="s">
        <v>8068</v>
      </c>
      <c r="C6420" s="5" t="str">
        <f>IFERROR(__xludf.DUMMYFUNCTION("GOOGLETRANSLATE(B6420,""en"",""zh-CN"")"),"一个男人和一个女人现在正在扫除船被击中的区域，另一个男人正在帮助捡起破碎的碎片。")</f>
        <v>一个男人和一个女人现在正在扫除船被击中的区域，另一个男人正在帮助捡起破碎的碎片。</v>
      </c>
    </row>
    <row r="6421">
      <c r="A6421" s="4" t="s">
        <v>8069</v>
      </c>
      <c r="B6421" s="6" t="s">
        <v>8070</v>
      </c>
      <c r="C6421" s="5" t="str">
        <f>IFERROR(__xludf.DUMMYFUNCTION("GOOGLETRANSLATE(B6421,""en"",""zh-CN"")"),"一位女士扮演竖琴，另一个女士在管弦乐队中演奏长笛，我们看到指挥家，然后回到长笛女士。")</f>
        <v>一位女士扮演竖琴，另一个女士在管弦乐队中演奏长笛，我们看到指挥家，然后回到长笛女士。</v>
      </c>
    </row>
    <row r="6422">
      <c r="A6422" s="4" t="s">
        <v>8069</v>
      </c>
      <c r="B6422" s="6" t="s">
        <v>8071</v>
      </c>
      <c r="C6422" s="5" t="str">
        <f>IFERROR(__xludf.DUMMYFUNCTION("GOOGLETRANSLATE(B6422,""en"",""zh-CN"")"),"我们看到整个乐团都在演奏，然后回到长笛女士，乐团来回削减。")</f>
        <v>我们看到整个乐团都在演奏，然后回到长笛女士，乐团来回削减。</v>
      </c>
    </row>
    <row r="6423">
      <c r="A6423" s="4" t="s">
        <v>8069</v>
      </c>
      <c r="B6423" s="4" t="s">
        <v>8072</v>
      </c>
      <c r="C6423" s="5" t="str">
        <f>IFERROR(__xludf.DUMMYFUNCTION("GOOGLETRANSLATE(B6423,""en"",""zh-CN"")"),"我们在工作时看着指挥家，看到乐团。")</f>
        <v>我们在工作时看着指挥家，看到乐团。</v>
      </c>
    </row>
    <row r="6424">
      <c r="A6424" s="4" t="s">
        <v>8069</v>
      </c>
      <c r="B6424" s="4" t="s">
        <v>8073</v>
      </c>
      <c r="C6424" s="5" t="str">
        <f>IFERROR(__xludf.DUMMYFUNCTION("GOOGLETRANSLATE(B6424,""en"",""zh-CN"")"),"我们再次看到竖琴和乐团，然后返回竖琴。")</f>
        <v>我们再次看到竖琴和乐团，然后返回竖琴。</v>
      </c>
    </row>
    <row r="6425">
      <c r="A6425" s="4" t="s">
        <v>8074</v>
      </c>
      <c r="B6425" s="4" t="s">
        <v>8075</v>
      </c>
      <c r="C6425" s="5" t="str">
        <f>IFERROR(__xludf.DUMMYFUNCTION("GOOGLETRANSLATE(B6425,""en"",""zh-CN"")"),"一个女人坐在浴缸的边缘。")</f>
        <v>一个女人坐在浴缸的边缘。</v>
      </c>
    </row>
    <row r="6426">
      <c r="A6426" s="4" t="s">
        <v>8074</v>
      </c>
      <c r="B6426" s="4" t="s">
        <v>8076</v>
      </c>
      <c r="C6426" s="5" t="str">
        <f>IFERROR(__xludf.DUMMYFUNCTION("GOOGLETRANSLATE(B6426,""en"",""zh-CN"")"),"她开始用剃刀剃腿。")</f>
        <v>她开始用剃刀剃腿。</v>
      </c>
    </row>
    <row r="6427">
      <c r="A6427" s="4" t="s">
        <v>8074</v>
      </c>
      <c r="B6427" s="4" t="s">
        <v>8077</v>
      </c>
      <c r="C6427" s="5" t="str">
        <f>IFERROR(__xludf.DUMMYFUNCTION("GOOGLETRANSLATE(B6427,""en"",""zh-CN"")"),"她看着剃刀的底部。")</f>
        <v>她看着剃刀的底部。</v>
      </c>
    </row>
    <row r="6428">
      <c r="A6428" s="4" t="s">
        <v>8078</v>
      </c>
      <c r="B6428" s="6" t="s">
        <v>8079</v>
      </c>
      <c r="C6428" s="5" t="str">
        <f>IFERROR(__xludf.DUMMYFUNCTION("GOOGLETRANSLATE(B6428,""en"",""zh-CN"")"),"有一位运动员在大型体育场里投掷锤子，一些观众和其他球员看着他。")</f>
        <v>有一位运动员在大型体育场里投掷锤子，一些观众和其他球员看着他。</v>
      </c>
    </row>
    <row r="6429">
      <c r="A6429" s="4" t="s">
        <v>8078</v>
      </c>
      <c r="B6429" s="4" t="s">
        <v>8080</v>
      </c>
      <c r="C6429" s="5" t="str">
        <f>IFERROR(__xludf.DUMMYFUNCTION("GOOGLETRANSLATE(B6429,""en"",""zh-CN"")"),"他首先在旋转身体的同时将锤子绳子挥动。")</f>
        <v>他首先在旋转身体的同时将锤子绳子挥动。</v>
      </c>
    </row>
    <row r="6430">
      <c r="A6430" s="4" t="s">
        <v>8078</v>
      </c>
      <c r="B6430" s="4" t="s">
        <v>8081</v>
      </c>
      <c r="C6430" s="5" t="str">
        <f>IFERROR(__xludf.DUMMYFUNCTION("GOOGLETRANSLATE(B6430,""en"",""zh-CN"")"),"两个人向前迈进，看看运动员的球降落在哪里。")</f>
        <v>两个人向前迈进，看看运动员的球降落在哪里。</v>
      </c>
    </row>
    <row r="6431">
      <c r="A6431" s="4" t="s">
        <v>8078</v>
      </c>
      <c r="B6431" s="6" t="s">
        <v>8082</v>
      </c>
      <c r="C6431" s="5" t="str">
        <f>IFERROR(__xludf.DUMMYFUNCTION("GOOGLETRANSLATE(B6431,""en"",""zh-CN"")"),"运动员再掷球，他的掷球距离被测量，他的统计数据显示在屏幕上。")</f>
        <v>运动员再掷球，他的掷球距离被测量，他的统计数据显示在屏幕上。</v>
      </c>
    </row>
    <row r="6432">
      <c r="A6432" s="4" t="s">
        <v>8078</v>
      </c>
      <c r="B6432" s="4" t="s">
        <v>8083</v>
      </c>
      <c r="C6432" s="5" t="str">
        <f>IFERROR(__xludf.DUMMYFUNCTION("GOOGLETRANSLATE(B6432,""en"",""zh-CN"")"),"看台上的观众观看了体育赛事。")</f>
        <v>看台上的观众观看了体育赛事。</v>
      </c>
    </row>
    <row r="6433">
      <c r="A6433" s="4" t="s">
        <v>8084</v>
      </c>
      <c r="B6433" s="4" t="s">
        <v>8085</v>
      </c>
      <c r="C6433" s="5" t="str">
        <f>IFERROR(__xludf.DUMMYFUNCTION("GOOGLETRANSLATE(B6433,""en"",""zh-CN"")"),"看到一个女人和狗站在一个大型田野里，用飞盘表演技巧。")</f>
        <v>看到一个女人和狗站在一个大型田野里，用飞盘表演技巧。</v>
      </c>
    </row>
    <row r="6434">
      <c r="A6434" s="4" t="s">
        <v>8084</v>
      </c>
      <c r="B6434" s="6" t="s">
        <v>8086</v>
      </c>
      <c r="C6434" s="5" t="str">
        <f>IFERROR(__xludf.DUMMYFUNCTION("GOOGLETRANSLATE(B6434,""en"",""zh-CN"")"),"女人和狗在又有几个剪辑中显示了飞盘和表演技巧。")</f>
        <v>女人和狗在又有几个剪辑中显示了飞盘和表演技巧。</v>
      </c>
    </row>
    <row r="6435">
      <c r="A6435" s="4" t="s">
        <v>8084</v>
      </c>
      <c r="B6435" s="6" t="s">
        <v>8087</v>
      </c>
      <c r="C6435" s="5" t="str">
        <f>IFERROR(__xludf.DUMMYFUNCTION("GOOGLETRANSLATE(B6435,""en"",""zh-CN"")"),"当女人在侧面看着时，狗上下跳来跳去，追赶飞盘。")</f>
        <v>当女人在侧面看着时，狗上下跳来跳去，追赶飞盘。</v>
      </c>
    </row>
    <row r="6436">
      <c r="A6436" s="4" t="s">
        <v>8088</v>
      </c>
      <c r="B6436" s="4" t="s">
        <v>8089</v>
      </c>
      <c r="C6436" s="5" t="str">
        <f>IFERROR(__xludf.DUMMYFUNCTION("GOOGLETRANSLATE(B6436,""en"",""zh-CN"")"),"两对女性在一个房间里玩桌上足球比赛。")</f>
        <v>两对女性在一个房间里玩桌上足球比赛。</v>
      </c>
    </row>
    <row r="6437">
      <c r="A6437" s="4" t="s">
        <v>8088</v>
      </c>
      <c r="B6437" s="4" t="s">
        <v>8090</v>
      </c>
      <c r="C6437" s="5" t="str">
        <f>IFERROR(__xludf.DUMMYFUNCTION("GOOGLETRANSLATE(B6437,""en"",""zh-CN"")"),"左边的女孩实现了两个目标，他们开始欢呼。")</f>
        <v>左边的女孩实现了两个目标，他们开始欢呼。</v>
      </c>
    </row>
    <row r="6438">
      <c r="A6438" s="4" t="s">
        <v>8091</v>
      </c>
      <c r="B6438" s="4" t="s">
        <v>8092</v>
      </c>
      <c r="C6438" s="5" t="str">
        <f>IFERROR(__xludf.DUMMYFUNCTION("GOOGLETRANSLATE(B6438,""en"",""zh-CN"")"),"一个男人跑来跑去，在海滩上跳入水中。")</f>
        <v>一个男人跑来跑去，在海滩上跳入水中。</v>
      </c>
    </row>
    <row r="6439">
      <c r="A6439" s="4" t="s">
        <v>8091</v>
      </c>
      <c r="B6439" s="4" t="s">
        <v>8093</v>
      </c>
      <c r="C6439" s="5" t="str">
        <f>IFERROR(__xludf.DUMMYFUNCTION("GOOGLETRANSLATE(B6439,""en"",""zh-CN"")"),"一个携带冲浪板的男子在海滩上行走。")</f>
        <v>一个携带冲浪板的男子在海滩上行走。</v>
      </c>
    </row>
    <row r="6440">
      <c r="A6440" s="4" t="s">
        <v>8091</v>
      </c>
      <c r="B6440" s="4" t="s">
        <v>8094</v>
      </c>
      <c r="C6440" s="5" t="str">
        <f>IFERROR(__xludf.DUMMYFUNCTION("GOOGLETRANSLATE(B6440,""en"",""zh-CN"")"),"人们在水中冲浪。")</f>
        <v>人们在水中冲浪。</v>
      </c>
    </row>
    <row r="6441">
      <c r="A6441" s="4" t="s">
        <v>8091</v>
      </c>
      <c r="B6441" s="4" t="s">
        <v>8095</v>
      </c>
      <c r="C6441" s="5" t="str">
        <f>IFERROR(__xludf.DUMMYFUNCTION("GOOGLETRANSLATE(B6441,""en"",""zh-CN"")"),"一个男人坐在沙滩上。")</f>
        <v>一个男人坐在沙滩上。</v>
      </c>
    </row>
    <row r="6442">
      <c r="A6442" s="4" t="s">
        <v>8091</v>
      </c>
      <c r="B6442" s="4" t="s">
        <v>8096</v>
      </c>
      <c r="C6442" s="5" t="str">
        <f>IFERROR(__xludf.DUMMYFUNCTION("GOOGLETRANSLATE(B6442,""en"",""zh-CN"")"),"更多的人在水中冲浪。")</f>
        <v>更多的人在水中冲浪。</v>
      </c>
    </row>
    <row r="6443">
      <c r="A6443" s="4" t="s">
        <v>8091</v>
      </c>
      <c r="B6443" s="4" t="s">
        <v>8097</v>
      </c>
      <c r="C6443" s="5" t="str">
        <f>IFERROR(__xludf.DUMMYFUNCTION("GOOGLETRANSLATE(B6443,""en"",""zh-CN"")"),"比基尼的两位女士在海滩上。")</f>
        <v>比基尼的两位女士在海滩上。</v>
      </c>
    </row>
    <row r="6444">
      <c r="A6444" s="4" t="s">
        <v>8091</v>
      </c>
      <c r="B6444" s="4" t="s">
        <v>8098</v>
      </c>
      <c r="C6444" s="5" t="str">
        <f>IFERROR(__xludf.DUMMYFUNCTION("GOOGLETRANSLATE(B6444,""en"",""zh-CN"")"),"人们在水冲浪中骑着海浪。")</f>
        <v>人们在水冲浪中骑着海浪。</v>
      </c>
    </row>
    <row r="6445">
      <c r="A6445" s="4" t="s">
        <v>8099</v>
      </c>
      <c r="B6445" s="4" t="s">
        <v>8100</v>
      </c>
      <c r="C6445" s="5" t="str">
        <f>IFERROR(__xludf.DUMMYFUNCTION("GOOGLETRANSLATE(B6445,""en"",""zh-CN"")"),"该视频导致了几个幼儿，在一个大型健身房中练习体操动作。")</f>
        <v>该视频导致了几个幼儿，在一个大型健身房中练习体操动作。</v>
      </c>
    </row>
    <row r="6446">
      <c r="A6446" s="4" t="s">
        <v>8099</v>
      </c>
      <c r="B6446" s="4" t="s">
        <v>8101</v>
      </c>
      <c r="C6446" s="5" t="str">
        <f>IFERROR(__xludf.DUMMYFUNCTION("GOOGLETRANSLATE(B6446,""en"",""zh-CN"")"),"视频继续进行，孩子们在垫子上翻转并跳来跳去。")</f>
        <v>视频继续进行，孩子们在垫子上翻转并跳来跳去。</v>
      </c>
    </row>
    <row r="6447">
      <c r="A6447" s="4" t="s">
        <v>8102</v>
      </c>
      <c r="B6447" s="4" t="s">
        <v>8103</v>
      </c>
      <c r="C6447" s="5" t="str">
        <f>IFERROR(__xludf.DUMMYFUNCTION("GOOGLETRANSLATE(B6447,""en"",""zh-CN"")"),"男人在水下潜水，对相机打招呼。")</f>
        <v>男人在水下潜水，对相机打招呼。</v>
      </c>
    </row>
    <row r="6448">
      <c r="A6448" s="4" t="s">
        <v>8102</v>
      </c>
      <c r="B6448" s="4" t="s">
        <v>8104</v>
      </c>
      <c r="C6448" s="5" t="str">
        <f>IFERROR(__xludf.DUMMYFUNCTION("GOOGLETRANSLATE(B6448,""en"",""zh-CN"")"),"人们正在潜水，看着鱼在岩石之间游泳。")</f>
        <v>人们正在潜水，看着鱼在岩石之间游泳。</v>
      </c>
    </row>
    <row r="6449">
      <c r="A6449" s="4" t="s">
        <v>8102</v>
      </c>
      <c r="B6449" s="4" t="s">
        <v>8105</v>
      </c>
      <c r="C6449" s="5" t="str">
        <f>IFERROR(__xludf.DUMMYFUNCTION("GOOGLETRANSLATE(B6449,""en"",""zh-CN"")"),"人们在海水潜水中记录一切。")</f>
        <v>人们在海水潜水中记录一切。</v>
      </c>
    </row>
    <row r="6450">
      <c r="A6450" s="4" t="s">
        <v>8106</v>
      </c>
      <c r="B6450" s="4" t="s">
        <v>8107</v>
      </c>
      <c r="C6450" s="5" t="str">
        <f>IFERROR(__xludf.DUMMYFUNCTION("GOOGLETRANSLATE(B6450,""en"",""zh-CN"")"),"一个人旋转并把球扔到田野上。")</f>
        <v>一个人旋转并把球扔到田野上。</v>
      </c>
    </row>
    <row r="6451">
      <c r="A6451" s="4" t="s">
        <v>8106</v>
      </c>
      <c r="B6451" s="4" t="s">
        <v>8108</v>
      </c>
      <c r="C6451" s="5" t="str">
        <f>IFERROR(__xludf.DUMMYFUNCTION("GOOGLETRANSLATE(B6451,""en"",""zh-CN"")"),"另一个人旋转并在田野上扔球。")</f>
        <v>另一个人旋转并在田野上扔球。</v>
      </c>
    </row>
    <row r="6452">
      <c r="A6452" s="4" t="s">
        <v>8106</v>
      </c>
      <c r="B6452" s="4" t="s">
        <v>8109</v>
      </c>
      <c r="C6452" s="5" t="str">
        <f>IFERROR(__xludf.DUMMYFUNCTION("GOOGLETRANSLATE(B6452,""en"",""zh-CN"")"),"看台上的人在拥抱运动员。")</f>
        <v>看台上的人在拥抱运动员。</v>
      </c>
    </row>
    <row r="6453">
      <c r="A6453" s="4" t="s">
        <v>8110</v>
      </c>
      <c r="B6453" s="6" t="s">
        <v>8111</v>
      </c>
      <c r="C6453" s="5" t="str">
        <f>IFERROR(__xludf.DUMMYFUNCTION("GOOGLETRANSLATE(B6453,""en"",""zh-CN"")"),"介绍出现在屏幕上，以获取有关如何在小提琴上播放不同歌曲的视频。")</f>
        <v>介绍出现在屏幕上，以获取有关如何在小提琴上播放不同歌曲的视频。</v>
      </c>
    </row>
    <row r="6454">
      <c r="A6454" s="4" t="s">
        <v>8110</v>
      </c>
      <c r="B6454" s="6" t="s">
        <v>8112</v>
      </c>
      <c r="C6454" s="5" t="str">
        <f>IFERROR(__xludf.DUMMYFUNCTION("GOOGLETRANSLATE(B6454,""en"",""zh-CN"")"),"一个人带着小提琴进入屏幕，并开始解释演奏小提琴的不同技术。")</f>
        <v>一个人带着小提琴进入屏幕，并开始解释演奏小提琴的不同技术。</v>
      </c>
    </row>
    <row r="6455">
      <c r="A6455" s="4" t="s">
        <v>8110</v>
      </c>
      <c r="B6455" s="4" t="s">
        <v>8113</v>
      </c>
      <c r="C6455" s="5" t="str">
        <f>IFERROR(__xludf.DUMMYFUNCTION("GOOGLETRANSLATE(B6455,""en"",""zh-CN"")"),"他靠近相机，以便您可以看到他用手做什么的细节。")</f>
        <v>他靠近相机，以便您可以看到他用手做什么的细节。</v>
      </c>
    </row>
    <row r="6456">
      <c r="A6456" s="4" t="s">
        <v>8110</v>
      </c>
      <c r="B6456" s="4" t="s">
        <v>8114</v>
      </c>
      <c r="C6456" s="5" t="str">
        <f>IFERROR(__xludf.DUMMYFUNCTION("GOOGLETRANSLATE(B6456,""en"",""zh-CN"")"),"当他移动手指时，他开始在小提琴上演奏不同的音符。")</f>
        <v>当他移动手指时，他开始在小提琴上演奏不同的音符。</v>
      </c>
    </row>
    <row r="6457">
      <c r="A6457" s="4" t="s">
        <v>8110</v>
      </c>
      <c r="B6457" s="4" t="s">
        <v>8115</v>
      </c>
      <c r="C6457" s="5" t="str">
        <f>IFERROR(__xludf.DUMMYFUNCTION("GOOGLETRANSLATE(B6457,""en"",""zh-CN"")"),"视频以屏幕上显示的结尾学分结束。")</f>
        <v>视频以屏幕上显示的结尾学分结束。</v>
      </c>
    </row>
    <row r="6458">
      <c r="A6458" s="4" t="s">
        <v>8116</v>
      </c>
      <c r="B6458" s="4" t="s">
        <v>8117</v>
      </c>
      <c r="C6458" s="5" t="str">
        <f>IFERROR(__xludf.DUMMYFUNCTION("GOOGLETRANSLATE(B6458,""en"",""zh-CN"")"),"一个人站在镜头前说话，然后在桌子后面移动。")</f>
        <v>一个人站在镜头前说话，然后在桌子后面移动。</v>
      </c>
    </row>
    <row r="6459">
      <c r="A6459" s="4" t="s">
        <v>8116</v>
      </c>
      <c r="B6459" s="6" t="s">
        <v>8118</v>
      </c>
      <c r="C6459" s="5" t="str">
        <f>IFERROR(__xludf.DUMMYFUNCTION("GOOGLETRANSLATE(B6459,""en"",""zh-CN"")"),"在桌子上，他有包裹纸，院子棍，胶带和铅笔，然后将其移至盒子的另一侧。")</f>
        <v>在桌子上，他有包裹纸，院子棍，胶带和铅笔，然后将其移至盒子的另一侧。</v>
      </c>
    </row>
    <row r="6460">
      <c r="A6460" s="4" t="s">
        <v>8116</v>
      </c>
      <c r="B6460" s="6" t="s">
        <v>8119</v>
      </c>
      <c r="C6460" s="5" t="str">
        <f>IFERROR(__xludf.DUMMYFUNCTION("GOOGLETRANSLATE(B6460,""en"",""zh-CN"")"),"然后将盒子捡起并放在包装纸的顶部，该男子测量包装纸。")</f>
        <v>然后将盒子捡起并放在包装纸的顶部，该男子测量包装纸。</v>
      </c>
    </row>
    <row r="6461">
      <c r="A6461" s="4" t="s">
        <v>8116</v>
      </c>
      <c r="B6461" s="4" t="s">
        <v>8120</v>
      </c>
      <c r="C6461" s="5" t="str">
        <f>IFERROR(__xludf.DUMMYFUNCTION("GOOGLETRANSLATE(B6461,""en"",""zh-CN"")"),"然后将包装纸粘贴，然后在粘贴之前测量其余的纸。")</f>
        <v>然后将包装纸粘贴，然后在粘贴之前测量其余的纸。</v>
      </c>
    </row>
    <row r="6462">
      <c r="A6462" s="4" t="s">
        <v>8121</v>
      </c>
      <c r="B6462" s="4" t="s">
        <v>8122</v>
      </c>
      <c r="C6462" s="5" t="str">
        <f>IFERROR(__xludf.DUMMYFUNCTION("GOOGLETRANSLATE(B6462,""en"",""zh-CN"")"),"一个女人和男人在外面玩洗牌板。")</f>
        <v>一个女人和男人在外面玩洗牌板。</v>
      </c>
    </row>
    <row r="6463">
      <c r="A6463" s="4" t="s">
        <v>8121</v>
      </c>
      <c r="B6463" s="4" t="s">
        <v>8123</v>
      </c>
      <c r="C6463" s="5" t="str">
        <f>IFERROR(__xludf.DUMMYFUNCTION("GOOGLETRANSLATE(B6463,""en"",""zh-CN"")"),"那个女人首先走了，然后男人轮到他了。")</f>
        <v>那个女人首先走了，然后男人轮到他了。</v>
      </c>
    </row>
    <row r="6464">
      <c r="A6464" s="4" t="s">
        <v>8124</v>
      </c>
      <c r="B6464" s="4" t="s">
        <v>8125</v>
      </c>
      <c r="C6464" s="5" t="str">
        <f>IFERROR(__xludf.DUMMYFUNCTION("GOOGLETRANSLATE(B6464,""en"",""zh-CN"")"),"一个男人戴着头盔，并在岩壁上爬上。")</f>
        <v>一个男人戴着头盔，并在岩壁上爬上。</v>
      </c>
    </row>
    <row r="6465">
      <c r="A6465" s="4" t="s">
        <v>8124</v>
      </c>
      <c r="B6465" s="6" t="s">
        <v>8126</v>
      </c>
      <c r="C6465" s="5" t="str">
        <f>IFERROR(__xludf.DUMMYFUNCTION("GOOGLETRANSLATE(B6465,""en"",""zh-CN"")"),"当相机捕捉他的动作并在他们周围的山上和水周围，他继续沿着岩壁上努力。")</f>
        <v>当相机捕捉他的动作并在他们周围的山上和水周围，他继续沿着岩壁上努力。</v>
      </c>
    </row>
    <row r="6466">
      <c r="A6466" s="4" t="s">
        <v>8124</v>
      </c>
      <c r="B6466" s="4" t="s">
        <v>8127</v>
      </c>
      <c r="C6466" s="5" t="str">
        <f>IFERROR(__xludf.DUMMYFUNCTION("GOOGLETRANSLATE(B6466,""en"",""zh-CN"")"),"登山者检查他的绳子，摇动绳索。")</f>
        <v>登山者检查他的绳子，摇动绳索。</v>
      </c>
    </row>
    <row r="6467">
      <c r="A6467" s="4" t="s">
        <v>8128</v>
      </c>
      <c r="B6467" s="4" t="s">
        <v>1251</v>
      </c>
      <c r="C6467" s="5" t="str">
        <f>IFERROR(__xludf.DUMMYFUNCTION("GOOGLETRANSLATE(B6467,""en"",""zh-CN"")"),"显示了剪辑的信用。")</f>
        <v>显示了剪辑的信用。</v>
      </c>
    </row>
    <row r="6468">
      <c r="A6468" s="4" t="s">
        <v>8128</v>
      </c>
      <c r="B6468" s="4" t="s">
        <v>8129</v>
      </c>
      <c r="C6468" s="5" t="str">
        <f>IFERROR(__xludf.DUMMYFUNCTION("GOOGLETRANSLATE(B6468,""en"",""zh-CN"")"),"人们装入橙色独木舟。")</f>
        <v>人们装入橙色独木舟。</v>
      </c>
    </row>
    <row r="6469">
      <c r="A6469" s="4" t="s">
        <v>8128</v>
      </c>
      <c r="B6469" s="4" t="s">
        <v>8130</v>
      </c>
      <c r="C6469" s="5" t="str">
        <f>IFERROR(__xludf.DUMMYFUNCTION("GOOGLETRANSLATE(B6469,""en"",""zh-CN"")"),"人们在水体上划独木舟。")</f>
        <v>人们在水体上划独木舟。</v>
      </c>
    </row>
    <row r="6470">
      <c r="A6470" s="4" t="s">
        <v>8128</v>
      </c>
      <c r="B6470" s="4" t="s">
        <v>8131</v>
      </c>
      <c r="C6470" s="5" t="str">
        <f>IFERROR(__xludf.DUMMYFUNCTION("GOOGLETRANSLATE(B6470,""en"",""zh-CN"")"),"两个家伙划独木舟。")</f>
        <v>两个家伙划独木舟。</v>
      </c>
    </row>
    <row r="6471">
      <c r="A6471" s="4" t="s">
        <v>8128</v>
      </c>
      <c r="B6471" s="4" t="s">
        <v>573</v>
      </c>
      <c r="C6471" s="5" t="str">
        <f>IFERROR(__xludf.DUMMYFUNCTION("GOOGLETRANSLATE(B6471,""en"",""zh-CN"")"),"显示了视频的积分。")</f>
        <v>显示了视频的积分。</v>
      </c>
    </row>
    <row r="6472">
      <c r="A6472" s="4" t="s">
        <v>8132</v>
      </c>
      <c r="B6472" s="6" t="s">
        <v>8133</v>
      </c>
      <c r="C6472" s="5" t="str">
        <f>IFERROR(__xludf.DUMMYFUNCTION("GOOGLETRANSLATE(B6472,""en"",""zh-CN"")"),"一个微笑的女孩戴着牙套和眼镜，站在马匹前方的中心前，将一个粉红色的袋子抬起头顶，“与Erin一起修饰”一词。")</f>
        <v>一个微笑的女孩戴着牙套和眼镜，站在马匹前方的中心前，将一个粉红色的袋子抬起头顶，“与Erin一起修饰”一词。</v>
      </c>
    </row>
    <row r="6473">
      <c r="A6473" s="4" t="s">
        <v>8132</v>
      </c>
      <c r="B6473" s="6" t="s">
        <v>8134</v>
      </c>
      <c r="C6473" s="5" t="str">
        <f>IFERROR(__xludf.DUMMYFUNCTION("GOOGLETRANSLATE(B6473,""en"",""zh-CN"")"),"现在，这匹马已经完全可见，女孩伸到她的粉红色袋中抓起刷子，开始从前到后面和每一侧将马刷在身体上。")</f>
        <v>现在，这匹马已经完全可见，女孩伸到她的粉红色袋中抓起刷子，开始从前到后面和每一侧将马刷在身体上。</v>
      </c>
    </row>
    <row r="6474">
      <c r="A6474" s="4" t="s">
        <v>8132</v>
      </c>
      <c r="B6474" s="6" t="s">
        <v>8135</v>
      </c>
      <c r="C6474" s="5" t="str">
        <f>IFERROR(__xludf.DUMMYFUNCTION("GOOGLETRANSLATE(B6474,""en"",""zh-CN"")"),"女孩回到粉红色的袋子，抓住另一刷刷，开始从头到脚趾，每一侧的身体都再次刷马。")</f>
        <v>女孩回到粉红色的袋子，抓住另一刷刷，开始从头到脚趾，每一侧的身体都再次刷马。</v>
      </c>
    </row>
    <row r="6475">
      <c r="A6475" s="4" t="s">
        <v>8132</v>
      </c>
      <c r="B6475" s="6" t="s">
        <v>8136</v>
      </c>
      <c r="C6475" s="5" t="str">
        <f>IFERROR(__xludf.DUMMYFUNCTION("GOOGLETRANSLATE(B6475,""en"",""zh-CN"")"),"这个女孩再次去粉红色，返回她正在使用的刷子，并抓住了另一个刷子，她再次开始从头到脚趾和各个侧面刷马。")</f>
        <v>这个女孩再次去粉红色，返回她正在使用的刷子，并抓住了另一个刷子，她再次开始从头到脚趾和各个侧面刷马。</v>
      </c>
    </row>
    <row r="6476">
      <c r="A6476" s="4" t="s">
        <v>8132</v>
      </c>
      <c r="B6476" s="6" t="s">
        <v>8137</v>
      </c>
      <c r="C6476" s="5" t="str">
        <f>IFERROR(__xludf.DUMMYFUNCTION("GOOGLETRANSLATE(B6476,""en"",""zh-CN"")"),"女孩们到袋子上放下刷子，然后抓住一个绿色工具，走到前左脚上，捡起它，开始清理鞋子，然后在马上走来走去，然后做其余的鞋子。")</f>
        <v>女孩们到袋子上放下刷子，然后抓住一个绿色工具，走到前左脚上，捡起它，开始清理鞋子，然后在马上走来走去，然后做其余的鞋子。</v>
      </c>
    </row>
    <row r="6477">
      <c r="A6477" s="4" t="s">
        <v>8132</v>
      </c>
      <c r="B6477" s="6" t="s">
        <v>8138</v>
      </c>
      <c r="C6477" s="5" t="str">
        <f>IFERROR(__xludf.DUMMYFUNCTION("GOOGLETRANSLATE(B6477,""en"",""zh-CN"")"),"当女孩清理鞋子完成时，她将工具返回到粉红色的袋子中，从相机上抓起刷子，刷鬃毛，亲吻马，然后将刷子返回到粉红色的袋子，走向粉红色的袋子相机并微笑着。")</f>
        <v>当女孩清理鞋子完成时，她将工具返回到粉红色的袋子中，从相机上抓起刷子，刷鬃毛，亲吻马，然后将刷子返回到粉红色的袋子，走向粉红色的袋子相机并微笑着。</v>
      </c>
    </row>
    <row r="6478">
      <c r="A6478" s="4" t="s">
        <v>8139</v>
      </c>
      <c r="B6478" s="6" t="s">
        <v>8140</v>
      </c>
      <c r="C6478" s="5" t="str">
        <f>IFERROR(__xludf.DUMMYFUNCTION("GOOGLETRANSLATE(B6478,""en"",""zh-CN"")"),"一个女人在旋转和跳舞时旋转着一根杆子，然后她将杆子高高地扔进钓竿，以抓住杆子。")</f>
        <v>一个女人在旋转和跳舞时旋转着一根杆子，然后她将杆子高高地扔进钓竿，以抓住杆子。</v>
      </c>
    </row>
    <row r="6479">
      <c r="A6479" s="4" t="s">
        <v>8139</v>
      </c>
      <c r="B6479" s="4" t="s">
        <v>8141</v>
      </c>
      <c r="C6479" s="5" t="str">
        <f>IFERROR(__xludf.DUMMYFUNCTION("GOOGLETRANSLATE(B6479,""en"",""zh-CN"")"),"女人继续将杆旋转在身体周围，也将杆扔到空中。")</f>
        <v>女人继续将杆旋转在身体周围，也将杆扔到空中。</v>
      </c>
    </row>
    <row r="6480">
      <c r="A6480" s="4" t="s">
        <v>8139</v>
      </c>
      <c r="B6480" s="6" t="s">
        <v>8142</v>
      </c>
      <c r="C6480" s="5" t="str">
        <f>IFERROR(__xludf.DUMMYFUNCTION("GOOGLETRANSLATE(B6480,""en"",""zh-CN"")"),"然后，女人将杆滚到手臂上，然后将杆扔在空中，并在抓住杆之前做一个手推车。")</f>
        <v>然后，女人将杆滚到手臂上，然后将杆扔在空中，并在抓住杆之前做一个手推车。</v>
      </c>
    </row>
    <row r="6481">
      <c r="A6481" s="4" t="s">
        <v>8139</v>
      </c>
      <c r="B6481" s="4" t="s">
        <v>8143</v>
      </c>
      <c r="C6481" s="5" t="str">
        <f>IFERROR(__xludf.DUMMYFUNCTION("GOOGLETRANSLATE(B6481,""en"",""zh-CN"")"),"接下来，那个女人慷慨地将杆滚到脖子上，结束了她的表演。")</f>
        <v>接下来，那个女人慷慨地将杆滚到脖子上，结束了她的表演。</v>
      </c>
    </row>
    <row r="6482">
      <c r="A6482" s="4" t="s">
        <v>8144</v>
      </c>
      <c r="B6482" s="6" t="s">
        <v>8145</v>
      </c>
      <c r="C6482" s="5" t="str">
        <f>IFERROR(__xludf.DUMMYFUNCTION("GOOGLETRANSLATE(B6482,""en"",""zh-CN"")"),"首先，老妇人去拥抱那个年轻人，然后穿着蓝色衬衫的男人弹钢琴的钢琴精美。")</f>
        <v>首先，老妇人去拥抱那个年轻人，然后穿着蓝色衬衫的男人弹钢琴的钢琴精美。</v>
      </c>
    </row>
    <row r="6483">
      <c r="A6483" s="4" t="s">
        <v>8144</v>
      </c>
      <c r="B6483" s="6" t="s">
        <v>8146</v>
      </c>
      <c r="C6483" s="5" t="str">
        <f>IFERROR(__xludf.DUMMYFUNCTION("GOOGLETRANSLATE(B6483,""en"",""zh-CN"")"),"然后，两个小男孩在门外奔跑，而站在门旁的男人看起来很疲倦和可怜。")</f>
        <v>然后，两个小男孩在门外奔跑，而站在门旁的男人看起来很疲倦和可怜。</v>
      </c>
    </row>
    <row r="6484">
      <c r="A6484" s="4" t="s">
        <v>8147</v>
      </c>
      <c r="B6484" s="4" t="s">
        <v>8148</v>
      </c>
      <c r="C6484" s="5" t="str">
        <f>IFERROR(__xludf.DUMMYFUNCTION("GOOGLETRANSLATE(B6484,""en"",""zh-CN"")"),"看到一大批人站在拿着乐器的大型田野里。")</f>
        <v>看到一大批人站在拿着乐器的大型田野里。</v>
      </c>
    </row>
    <row r="6485">
      <c r="A6485" s="4" t="s">
        <v>8147</v>
      </c>
      <c r="B6485" s="4" t="s">
        <v>8149</v>
      </c>
      <c r="C6485" s="5" t="str">
        <f>IFERROR(__xludf.DUMMYFUNCTION("GOOGLETRANSLATE(B6485,""en"",""zh-CN"")"),"当小组走开并开始演奏乐队时，一个人领先前面。")</f>
        <v>当小组走开并开始演奏乐队时，一个人领先前面。</v>
      </c>
    </row>
    <row r="6486">
      <c r="A6486" s="4" t="s">
        <v>8147</v>
      </c>
      <c r="B6486" s="4" t="s">
        <v>8150</v>
      </c>
      <c r="C6486" s="5" t="str">
        <f>IFERROR(__xludf.DUMMYFUNCTION("GOOGLETRANSLATE(B6486,""en"",""zh-CN"")"),"小组继续一起玩，结束时走开。")</f>
        <v>小组继续一起玩，结束时走开。</v>
      </c>
    </row>
    <row r="6487">
      <c r="A6487" s="4" t="s">
        <v>8151</v>
      </c>
      <c r="B6487" s="4" t="s">
        <v>8152</v>
      </c>
      <c r="C6487" s="5" t="str">
        <f>IFERROR(__xludf.DUMMYFUNCTION("GOOGLETRANSLATE(B6487,""en"",""zh-CN"")"),"一个有背包的年轻人正在聊天和走过车站。")</f>
        <v>一个有背包的年轻人正在聊天和走过车站。</v>
      </c>
    </row>
    <row r="6488">
      <c r="A6488" s="4" t="s">
        <v>8151</v>
      </c>
      <c r="B6488" s="4" t="s">
        <v>8153</v>
      </c>
      <c r="C6488" s="5" t="str">
        <f>IFERROR(__xludf.DUMMYFUNCTION("GOOGLETRANSLATE(B6488,""en"",""zh-CN"")"),"有一个男人坐在地面上闪闪发光的鞋子。")</f>
        <v>有一个男人坐在地面上闪闪发光的鞋子。</v>
      </c>
    </row>
    <row r="6489">
      <c r="A6489" s="4" t="s">
        <v>8151</v>
      </c>
      <c r="B6489" s="4" t="s">
        <v>8154</v>
      </c>
      <c r="C6489" s="5" t="str">
        <f>IFERROR(__xludf.DUMMYFUNCTION("GOOGLETRANSLATE(B6489,""en"",""zh-CN"")"),"他将软膏涂在鞋子上，并恢复为鞋子抛光。")</f>
        <v>他将软膏涂在鞋子上，并恢复为鞋子抛光。</v>
      </c>
    </row>
    <row r="6490">
      <c r="A6490" s="4" t="s">
        <v>8151</v>
      </c>
      <c r="B6490" s="6" t="s">
        <v>8155</v>
      </c>
      <c r="C6490" s="5" t="str">
        <f>IFERROR(__xludf.DUMMYFUNCTION("GOOGLETRANSLATE(B6490,""en"",""zh-CN"")"),"顾客将右脚向下移动，将左脚放在看台上，男人开始抛光鞋子。")</f>
        <v>顾客将右脚向下移动，将左脚放在看台上，男人开始抛光鞋子。</v>
      </c>
    </row>
    <row r="6491">
      <c r="A6491" s="4" t="s">
        <v>8151</v>
      </c>
      <c r="B6491" s="4" t="s">
        <v>8156</v>
      </c>
      <c r="C6491" s="5" t="str">
        <f>IFERROR(__xludf.DUMMYFUNCTION("GOOGLETRANSLATE(B6491,""en"",""zh-CN"")"),"鞋闪光灯两侧的两个男人正在观察人群。")</f>
        <v>鞋闪光灯两侧的两个男人正在观察人群。</v>
      </c>
    </row>
    <row r="6492">
      <c r="A6492" s="4" t="s">
        <v>8151</v>
      </c>
      <c r="B6492" s="4" t="s">
        <v>8157</v>
      </c>
      <c r="C6492" s="5" t="str">
        <f>IFERROR(__xludf.DUMMYFUNCTION("GOOGLETRANSLATE(B6492,""en"",""zh-CN"")"),"发光器继续抛光左鞋。")</f>
        <v>发光器继续抛光左鞋。</v>
      </c>
    </row>
    <row r="6493">
      <c r="A6493" s="4" t="s">
        <v>8151</v>
      </c>
      <c r="B6493" s="4" t="s">
        <v>8158</v>
      </c>
      <c r="C6493" s="5" t="str">
        <f>IFERROR(__xludf.DUMMYFUNCTION("GOOGLETRANSLATE(B6493,""en"",""zh-CN"")"),"当人群走过时，火车沿着车站移动。")</f>
        <v>当人群走过时，火车沿着车站移动。</v>
      </c>
    </row>
    <row r="6494">
      <c r="A6494" s="4" t="s">
        <v>8151</v>
      </c>
      <c r="B6494" s="4" t="s">
        <v>8159</v>
      </c>
      <c r="C6494" s="5" t="str">
        <f>IFERROR(__xludf.DUMMYFUNCTION("GOOGLETRANSLATE(B6494,""en"",""zh-CN"")"),"发光器返回抛光右鞋。")</f>
        <v>发光器返回抛光右鞋。</v>
      </c>
    </row>
    <row r="6495">
      <c r="A6495" s="4" t="s">
        <v>8151</v>
      </c>
      <c r="B6495" s="4" t="s">
        <v>8160</v>
      </c>
      <c r="C6495" s="5" t="str">
        <f>IFERROR(__xludf.DUMMYFUNCTION("GOOGLETRANSLATE(B6495,""en"",""zh-CN"")"),"光泽用一块布擦拭鞋子。")</f>
        <v>光泽用一块布擦拭鞋子。</v>
      </c>
    </row>
    <row r="6496">
      <c r="A6496" s="4" t="s">
        <v>8151</v>
      </c>
      <c r="B6496" s="4" t="s">
        <v>8161</v>
      </c>
      <c r="C6496" s="5" t="str">
        <f>IFERROR(__xludf.DUMMYFUNCTION("GOOGLETRANSLATE(B6496,""en"",""zh-CN"")"),"该男子继续抛光左鞋。")</f>
        <v>该男子继续抛光左鞋。</v>
      </c>
    </row>
    <row r="6497">
      <c r="A6497" s="4" t="s">
        <v>8151</v>
      </c>
      <c r="B6497" s="4" t="s">
        <v>8162</v>
      </c>
      <c r="C6497" s="5" t="str">
        <f>IFERROR(__xludf.DUMMYFUNCTION("GOOGLETRANSLATE(B6497,""en"",""zh-CN"")"),"该男子放下块并恢复抛光。")</f>
        <v>该男子放下块并恢复抛光。</v>
      </c>
    </row>
    <row r="6498">
      <c r="A6498" s="4" t="s">
        <v>8151</v>
      </c>
      <c r="B6498" s="4" t="s">
        <v>8163</v>
      </c>
      <c r="C6498" s="5" t="str">
        <f>IFERROR(__xludf.DUMMYFUNCTION("GOOGLETRANSLATE(B6498,""en"",""zh-CN"")"),"那个男人拿起布闪耀左鞋。")</f>
        <v>那个男人拿起布闪耀左鞋。</v>
      </c>
    </row>
    <row r="6499">
      <c r="A6499" s="4" t="s">
        <v>8151</v>
      </c>
      <c r="B6499" s="4" t="s">
        <v>8164</v>
      </c>
      <c r="C6499" s="5" t="str">
        <f>IFERROR(__xludf.DUMMYFUNCTION("GOOGLETRANSLATE(B6499,""en"",""zh-CN"")"),"客户观察他的闪亮鞋子。")</f>
        <v>客户观察他的闪亮鞋子。</v>
      </c>
    </row>
    <row r="6500">
      <c r="A6500" s="4" t="s">
        <v>8151</v>
      </c>
      <c r="B6500" s="4" t="s">
        <v>8165</v>
      </c>
      <c r="C6500" s="5" t="str">
        <f>IFERROR(__xludf.DUMMYFUNCTION("GOOGLETRANSLATE(B6500,""en"",""zh-CN"")"),"客户远离鞋射机。")</f>
        <v>客户远离鞋射机。</v>
      </c>
    </row>
    <row r="6501">
      <c r="A6501" s="4" t="s">
        <v>8166</v>
      </c>
      <c r="B6501" s="4" t="s">
        <v>8167</v>
      </c>
      <c r="C6501" s="5" t="str">
        <f>IFERROR(__xludf.DUMMYFUNCTION("GOOGLETRANSLATE(B6501,""en"",""zh-CN"")"),"看到一个男人戴着礁石鼓风机，并在蹦床周围吹来。")</f>
        <v>看到一个男人戴着礁石鼓风机，并在蹦床周围吹来。</v>
      </c>
    </row>
    <row r="6502">
      <c r="A6502" s="4" t="s">
        <v>8166</v>
      </c>
      <c r="B6502" s="4" t="s">
        <v>8168</v>
      </c>
      <c r="C6502" s="5" t="str">
        <f>IFERROR(__xludf.DUMMYFUNCTION("GOOGLETRANSLATE(B6502,""en"",""zh-CN"")"),"看到孩子在蹦床上跳跃时，男人在他们周围吹来。")</f>
        <v>看到孩子在蹦床上跳跃时，男人在他们周围吹来。</v>
      </c>
    </row>
    <row r="6503">
      <c r="A6503" s="4" t="s">
        <v>8166</v>
      </c>
      <c r="B6503" s="4" t="s">
        <v>8169</v>
      </c>
      <c r="C6503" s="5" t="str">
        <f>IFERROR(__xludf.DUMMYFUNCTION("GOOGLETRANSLATE(B6503,""en"",""zh-CN"")"),"当孩子们跳来跳去时，这个男人继续吹来。")</f>
        <v>当孩子们跳来跳去时，这个男人继续吹来。</v>
      </c>
    </row>
    <row r="6504">
      <c r="A6504" s="4" t="s">
        <v>8170</v>
      </c>
      <c r="B6504" s="4" t="s">
        <v>8171</v>
      </c>
      <c r="C6504" s="5" t="str">
        <f>IFERROR(__xludf.DUMMYFUNCTION("GOOGLETRANSLATE(B6504,""en"",""zh-CN"")"),"曲棍网兜球团队挤，然后练习。")</f>
        <v>曲棍网兜球团队挤，然后练习。</v>
      </c>
    </row>
    <row r="6505">
      <c r="A6505" s="4" t="s">
        <v>8170</v>
      </c>
      <c r="B6505" s="4" t="s">
        <v>8172</v>
      </c>
      <c r="C6505" s="5" t="str">
        <f>IFERROR(__xludf.DUMMYFUNCTION("GOOGLETRANSLATE(B6505,""en"",""zh-CN"")"),"展示了一个婴儿，然后有人接受了采访。")</f>
        <v>展示了一个婴儿，然后有人接受了采访。</v>
      </c>
    </row>
    <row r="6506">
      <c r="A6506" s="4" t="s">
        <v>8170</v>
      </c>
      <c r="B6506" s="4" t="s">
        <v>8173</v>
      </c>
      <c r="C6506" s="5" t="str">
        <f>IFERROR(__xludf.DUMMYFUNCTION("GOOGLETRANSLATE(B6506,""en"",""zh-CN"")"),"显示了头盔并进行了更多访谈。")</f>
        <v>显示了头盔并进行了更多访谈。</v>
      </c>
    </row>
    <row r="6507">
      <c r="A6507" s="4" t="s">
        <v>8174</v>
      </c>
      <c r="B6507" s="4" t="s">
        <v>8175</v>
      </c>
      <c r="C6507" s="5" t="str">
        <f>IFERROR(__xludf.DUMMYFUNCTION("GOOGLETRANSLATE(B6507,""en"",""zh-CN"")"),"一个亚洲男人站在键盘上，他穿着一件红色衬衫，里面有黑色的上衣。")</f>
        <v>一个亚洲男人站在键盘上，他穿着一件红色衬衫，里面有黑色的上衣。</v>
      </c>
    </row>
    <row r="6508">
      <c r="A6508" s="4" t="s">
        <v>8174</v>
      </c>
      <c r="B6508" s="6" t="s">
        <v>8176</v>
      </c>
      <c r="C6508" s="5" t="str">
        <f>IFERROR(__xludf.DUMMYFUNCTION("GOOGLETRANSLATE(B6508,""en"",""zh-CN"")"),"两个人，一个女孩和一个男孩坐着，女孩穿着白色上衣，而男孩穿着白色条纹毛衣。")</f>
        <v>两个人，一个女孩和一个男孩坐着，女孩穿着白色上衣，而男孩穿着白色条纹毛衣。</v>
      </c>
    </row>
    <row r="6509">
      <c r="A6509" s="4" t="s">
        <v>8174</v>
      </c>
      <c r="B6509" s="6" t="s">
        <v>8177</v>
      </c>
      <c r="C6509" s="5" t="str">
        <f>IFERROR(__xludf.DUMMYFUNCTION("GOOGLETRANSLATE(B6509,""en"",""zh-CN"")"),"该男子开始在键盘上玩耍，他的手展示了，他戴着黑色的珠子手镯，然后他继续演奏，而两个人在白色的人正在听。")</f>
        <v>该男子开始在键盘上玩耍，他的手展示了，他戴着黑色的珠子手镯，然后他继续演奏，而两个人在白色的人正在听。</v>
      </c>
    </row>
    <row r="6510">
      <c r="A6510" s="4" t="s">
        <v>8174</v>
      </c>
      <c r="B6510" s="4" t="s">
        <v>8178</v>
      </c>
      <c r="C6510" s="5" t="str">
        <f>IFERROR(__xludf.DUMMYFUNCTION("GOOGLETRANSLATE(B6510,""en"",""zh-CN"")"),"当男人完成键盘结束时，人们为他欢呼。")</f>
        <v>当男人完成键盘结束时，人们为他欢呼。</v>
      </c>
    </row>
    <row r="6511">
      <c r="A6511" s="4" t="s">
        <v>8179</v>
      </c>
      <c r="B6511" s="4" t="s">
        <v>8180</v>
      </c>
      <c r="C6511" s="5" t="str">
        <f>IFERROR(__xludf.DUMMYFUNCTION("GOOGLETRANSLATE(B6511,""en"",""zh-CN"")"),"一个相机在大量水周围摇晃，然后人们在水中游泳。")</f>
        <v>一个相机在大量水周围摇晃，然后人们在水中游泳。</v>
      </c>
    </row>
    <row r="6512">
      <c r="A6512" s="4" t="s">
        <v>8179</v>
      </c>
      <c r="B6512" s="4" t="s">
        <v>8181</v>
      </c>
      <c r="C6512" s="5" t="str">
        <f>IFERROR(__xludf.DUMMYFUNCTION("GOOGLETRANSLATE(B6512,""en"",""zh-CN"")"),"显示了人们冲浪以及在水中游泳并向相机微笑的剪辑。")</f>
        <v>显示了人们冲浪以及在水中游泳并向相机微笑的剪辑。</v>
      </c>
    </row>
    <row r="6513">
      <c r="A6513" s="4" t="s">
        <v>8179</v>
      </c>
      <c r="B6513" s="4" t="s">
        <v>8182</v>
      </c>
      <c r="C6513" s="5" t="str">
        <f>IFERROR(__xludf.DUMMYFUNCTION("GOOGLETRANSLATE(B6513,""en"",""zh-CN"")"),"显示了更多的剪辑，人们沿着水面移动。")</f>
        <v>显示了更多的剪辑，人们沿着水面移动。</v>
      </c>
    </row>
    <row r="6514">
      <c r="A6514" s="4" t="s">
        <v>8183</v>
      </c>
      <c r="B6514" s="4" t="s">
        <v>8184</v>
      </c>
      <c r="C6514" s="5" t="str">
        <f>IFERROR(__xludf.DUMMYFUNCTION("GOOGLETRANSLATE(B6514,""en"",""zh-CN"")"),"一个孩子盒子在地板上戴着手套的成年膝盖。")</f>
        <v>一个孩子盒子在地板上戴着手套的成年膝盖。</v>
      </c>
    </row>
    <row r="6515">
      <c r="A6515" s="4" t="s">
        <v>8183</v>
      </c>
      <c r="B6515" s="4" t="s">
        <v>8185</v>
      </c>
      <c r="C6515" s="5" t="str">
        <f>IFERROR(__xludf.DUMMYFUNCTION("GOOGLETRANSLATE(B6515,""en"",""zh-CN"")"),"孩子还练习空手道踢。")</f>
        <v>孩子还练习空手道踢。</v>
      </c>
    </row>
    <row r="6516">
      <c r="A6516" s="4" t="s">
        <v>8183</v>
      </c>
      <c r="B6516" s="4" t="s">
        <v>8186</v>
      </c>
      <c r="C6516" s="5" t="str">
        <f>IFERROR(__xludf.DUMMYFUNCTION("GOOGLETRANSLATE(B6516,""en"",""zh-CN"")"),"成人和儿童高五岁的手戴着手套的手。")</f>
        <v>成人和儿童高五岁的手戴着手套的手。</v>
      </c>
    </row>
    <row r="6517">
      <c r="A6517" s="4" t="s">
        <v>8183</v>
      </c>
      <c r="B6517" s="4" t="s">
        <v>8187</v>
      </c>
      <c r="C6517" s="5" t="str">
        <f>IFERROR(__xludf.DUMMYFUNCTION("GOOGLETRANSLATE(B6517,""en"",""zh-CN"")"),"成年人开始下地。")</f>
        <v>成年人开始下地。</v>
      </c>
    </row>
    <row r="6518">
      <c r="A6518" s="4" t="s">
        <v>8188</v>
      </c>
      <c r="B6518" s="4" t="s">
        <v>8189</v>
      </c>
      <c r="C6518" s="5" t="str">
        <f>IFERROR(__xludf.DUMMYFUNCTION("GOOGLETRANSLATE(B6518,""en"",""zh-CN"")"),"一个孩子在卧室里玩带有真空固定件。")</f>
        <v>一个孩子在卧室里玩带有真空固定件。</v>
      </c>
    </row>
    <row r="6519">
      <c r="A6519" s="4" t="s">
        <v>8188</v>
      </c>
      <c r="B6519" s="4" t="s">
        <v>8190</v>
      </c>
      <c r="C6519" s="5" t="str">
        <f>IFERROR(__xludf.DUMMYFUNCTION("GOOGLETRANSLATE(B6519,""en"",""zh-CN"")"),"母亲吸尘卧室的地板。")</f>
        <v>母亲吸尘卧室的地板。</v>
      </c>
    </row>
    <row r="6520">
      <c r="A6520" s="4" t="s">
        <v>8188</v>
      </c>
      <c r="B6520" s="4" t="s">
        <v>8191</v>
      </c>
      <c r="C6520" s="5" t="str">
        <f>IFERROR(__xludf.DUMMYFUNCTION("GOOGLETRANSLATE(B6520,""en"",""zh-CN"")"),"孩子将真空附件带入下一个卧室。")</f>
        <v>孩子将真空附件带入下一个卧室。</v>
      </c>
    </row>
    <row r="6521">
      <c r="A6521" s="4" t="s">
        <v>8192</v>
      </c>
      <c r="B6521" s="4" t="s">
        <v>8193</v>
      </c>
      <c r="C6521" s="5" t="str">
        <f>IFERROR(__xludf.DUMMYFUNCTION("GOOGLETRANSLATE(B6521,""en"",""zh-CN"")"),"人们在滚石和做技巧。")</f>
        <v>人们在滚石和做技巧。</v>
      </c>
    </row>
    <row r="6522">
      <c r="A6522" s="4" t="s">
        <v>8192</v>
      </c>
      <c r="B6522" s="4" t="s">
        <v>8194</v>
      </c>
      <c r="C6522" s="5" t="str">
        <f>IFERROR(__xludf.DUMMYFUNCTION("GOOGLETRANSLATE(B6522,""en"",""zh-CN"")"),"一个人在滑板公园里滑板。")</f>
        <v>一个人在滑板公园里滑板。</v>
      </c>
    </row>
    <row r="6523">
      <c r="A6523" s="4" t="s">
        <v>8192</v>
      </c>
      <c r="B6523" s="4" t="s">
        <v>8195</v>
      </c>
      <c r="C6523" s="5" t="str">
        <f>IFERROR(__xludf.DUMMYFUNCTION("GOOGLETRANSLATE(B6523,""en"",""zh-CN"")"),"一辆白色汽车在街上。")</f>
        <v>一辆白色汽车在街上。</v>
      </c>
    </row>
    <row r="6524">
      <c r="A6524" s="4" t="s">
        <v>8196</v>
      </c>
      <c r="B6524" s="6" t="s">
        <v>8197</v>
      </c>
      <c r="C6524" s="5" t="str">
        <f>IFERROR(__xludf.DUMMYFUNCTION("GOOGLETRANSLATE(B6524,""en"",""zh-CN"")"),"在操场的外面，一个男孩爬到了秋千的顶部，而其他孩子则在摇摆。")</f>
        <v>在操场的外面，一个男孩爬到了秋千的顶部，而其他孩子则在摇摆。</v>
      </c>
    </row>
    <row r="6525">
      <c r="A6525" s="4" t="s">
        <v>8196</v>
      </c>
      <c r="B6525" s="6" t="s">
        <v>8198</v>
      </c>
      <c r="C6525" s="5" t="str">
        <f>IFERROR(__xludf.DUMMYFUNCTION("GOOGLETRANSLATE(B6525,""en"",""zh-CN"")"),"顶部的男孩只是随便坐着，而另一个孩子被挥杆的朋友推动。")</f>
        <v>顶部的男孩只是随便坐着，而另一个孩子被挥杆的朋友推动。</v>
      </c>
    </row>
    <row r="6526">
      <c r="A6526" s="4" t="s">
        <v>8196</v>
      </c>
      <c r="B6526" s="4" t="s">
        <v>8199</v>
      </c>
      <c r="C6526" s="5" t="str">
        <f>IFERROR(__xludf.DUMMYFUNCTION("GOOGLETRANSLATE(B6526,""en"",""zh-CN"")"),"她正在建立很大的速度，并且确实很高。")</f>
        <v>她正在建立很大的速度，并且确实很高。</v>
      </c>
    </row>
    <row r="6527">
      <c r="A6527" s="4" t="s">
        <v>8196</v>
      </c>
      <c r="B6527" s="4" t="s">
        <v>8200</v>
      </c>
      <c r="C6527" s="5" t="str">
        <f>IFERROR(__xludf.DUMMYFUNCTION("GOOGLETRANSLATE(B6527,""en"",""zh-CN"")"),"她跳下来，但根本没有很好地着陆，她撞到了草地上。")</f>
        <v>她跳下来，但根本没有很好地着陆，她撞到了草地上。</v>
      </c>
    </row>
    <row r="6528">
      <c r="A6528" s="4" t="s">
        <v>8201</v>
      </c>
      <c r="B6528" s="4" t="s">
        <v>8202</v>
      </c>
      <c r="C6528" s="5" t="str">
        <f>IFERROR(__xludf.DUMMYFUNCTION("GOOGLETRANSLATE(B6528,""en"",""zh-CN"")"),"一个人站在田野上。")</f>
        <v>一个人站在田野上。</v>
      </c>
    </row>
    <row r="6529">
      <c r="A6529" s="4" t="s">
        <v>8201</v>
      </c>
      <c r="B6529" s="4" t="s">
        <v>8203</v>
      </c>
      <c r="C6529" s="5" t="str">
        <f>IFERROR(__xludf.DUMMYFUNCTION("GOOGLETRANSLATE(B6529,""en"",""zh-CN"")"),"体育场里的人群欢呼雀跃。")</f>
        <v>体育场里的人群欢呼雀跃。</v>
      </c>
    </row>
    <row r="6530">
      <c r="A6530" s="4" t="s">
        <v>8201</v>
      </c>
      <c r="B6530" s="4" t="s">
        <v>8204</v>
      </c>
      <c r="C6530" s="5" t="str">
        <f>IFERROR(__xludf.DUMMYFUNCTION("GOOGLETRANSLATE(B6530,""en"",""zh-CN"")"),"场上的球员准备开始比赛。")</f>
        <v>场上的球员准备开始比赛。</v>
      </c>
    </row>
    <row r="6531">
      <c r="A6531" s="4" t="s">
        <v>8201</v>
      </c>
      <c r="B6531" s="4" t="s">
        <v>8205</v>
      </c>
      <c r="C6531" s="5" t="str">
        <f>IFERROR(__xludf.DUMMYFUNCTION("GOOGLETRANSLATE(B6531,""en"",""zh-CN"")"),"投手将球投向球。")</f>
        <v>投手将球投向球。</v>
      </c>
    </row>
    <row r="6532">
      <c r="A6532" s="4" t="s">
        <v>8201</v>
      </c>
      <c r="B6532" s="4" t="s">
        <v>8206</v>
      </c>
      <c r="C6532" s="5" t="str">
        <f>IFERROR(__xludf.DUMMYFUNCTION("GOOGLETRANSLATE(B6532,""en"",""zh-CN"")"),"击球手试图击球，但错过了。")</f>
        <v>击球手试图击球，但错过了。</v>
      </c>
    </row>
    <row r="6533">
      <c r="A6533" s="4" t="s">
        <v>8201</v>
      </c>
      <c r="B6533" s="4" t="s">
        <v>8207</v>
      </c>
      <c r="C6533" s="5" t="str">
        <f>IFERROR(__xludf.DUMMYFUNCTION("GOOGLETRANSLATE(B6533,""en"",""zh-CN"")"),"投手队兴奋地离开了球场。")</f>
        <v>投手队兴奋地离开了球场。</v>
      </c>
    </row>
    <row r="6534">
      <c r="A6534" s="4" t="s">
        <v>8208</v>
      </c>
      <c r="B6534" s="4" t="s">
        <v>8209</v>
      </c>
      <c r="C6534" s="5" t="str">
        <f>IFERROR(__xludf.DUMMYFUNCTION("GOOGLETRANSLATE(B6534,""en"",""zh-CN"")"),"马stable里有一匹棕色马。")</f>
        <v>马stable里有一匹棕色马。</v>
      </c>
    </row>
    <row r="6535">
      <c r="A6535" s="4" t="s">
        <v>8208</v>
      </c>
      <c r="B6535" s="4" t="s">
        <v>8210</v>
      </c>
      <c r="C6535" s="5" t="str">
        <f>IFERROR(__xludf.DUMMYFUNCTION("GOOGLETRANSLATE(B6535,""en"",""zh-CN"")"),"一个穿着绿色衬衫和棕色靴子的女人走进来，开始擦洗马。")</f>
        <v>一个穿着绿色衬衫和棕色靴子的女人走进来，开始擦洗马。</v>
      </c>
    </row>
    <row r="6536">
      <c r="A6536" s="4" t="s">
        <v>8208</v>
      </c>
      <c r="B6536" s="4" t="s">
        <v>8211</v>
      </c>
      <c r="C6536" s="5" t="str">
        <f>IFERROR(__xludf.DUMMYFUNCTION("GOOGLETRANSLATE(B6536,""en"",""zh-CN"")"),"她继续擦洗和清洁他肚子上的马。")</f>
        <v>她继续擦洗和清洁他肚子上的马。</v>
      </c>
    </row>
    <row r="6537">
      <c r="A6537" s="4" t="s">
        <v>8208</v>
      </c>
      <c r="B6537" s="4" t="s">
        <v>8212</v>
      </c>
      <c r="C6537" s="5" t="str">
        <f>IFERROR(__xludf.DUMMYFUNCTION("GOOGLETRANSLATE(B6537,""en"",""zh-CN"")"),"她彻底擦洗了马的脖子区域和后部区域。")</f>
        <v>她彻底擦洗了马的脖子区域和后部区域。</v>
      </c>
    </row>
    <row r="6538">
      <c r="A6538" s="4" t="s">
        <v>8208</v>
      </c>
      <c r="B6538" s="4" t="s">
        <v>8213</v>
      </c>
      <c r="C6538" s="5" t="str">
        <f>IFERROR(__xludf.DUMMYFUNCTION("GOOGLETRANSLATE(B6538,""en"",""zh-CN"")"),"然后，她走到马的另一侧，继续擦洗。")</f>
        <v>然后，她走到马的另一侧，继续擦洗。</v>
      </c>
    </row>
    <row r="6539">
      <c r="A6539" s="4" t="s">
        <v>8208</v>
      </c>
      <c r="B6539" s="4" t="s">
        <v>8214</v>
      </c>
      <c r="C6539" s="5" t="str">
        <f>IFERROR(__xludf.DUMMYFUNCTION("GOOGLETRANSLATE(B6539,""en"",""zh-CN"")"),"当她继续擦洗时，这匹马开始移动脖子和头。")</f>
        <v>当她继续擦洗时，这匹马开始移动脖子和头。</v>
      </c>
    </row>
    <row r="6540">
      <c r="A6540" s="4" t="s">
        <v>8208</v>
      </c>
      <c r="B6540" s="4" t="s">
        <v>8215</v>
      </c>
      <c r="C6540" s="5" t="str">
        <f>IFERROR(__xludf.DUMMYFUNCTION("GOOGLETRANSLATE(B6540,""en"",""zh-CN"")"),"然后她走在马面前，清理他的嘴。")</f>
        <v>然后她走在马面前，清理他的嘴。</v>
      </c>
    </row>
    <row r="6541">
      <c r="A6541" s="4" t="s">
        <v>8216</v>
      </c>
      <c r="B6541" s="4" t="s">
        <v>8217</v>
      </c>
      <c r="C6541" s="5" t="str">
        <f>IFERROR(__xludf.DUMMYFUNCTION("GOOGLETRANSLATE(B6541,""en"",""zh-CN"")"),"三个女孩骑着固定的自行车。")</f>
        <v>三个女孩骑着固定的自行车。</v>
      </c>
    </row>
    <row r="6542">
      <c r="A6542" s="4" t="s">
        <v>8216</v>
      </c>
      <c r="B6542" s="4" t="s">
        <v>8218</v>
      </c>
      <c r="C6542" s="5" t="str">
        <f>IFERROR(__xludf.DUMMYFUNCTION("GOOGLETRANSLATE(B6542,""en"",""zh-CN"")"),"一个男人站在他们拿着相机的前面。")</f>
        <v>一个男人站在他们拿着相机的前面。</v>
      </c>
    </row>
    <row r="6543">
      <c r="A6543" s="4" t="s">
        <v>8216</v>
      </c>
      <c r="B6543" s="4" t="s">
        <v>8219</v>
      </c>
      <c r="C6543" s="5" t="str">
        <f>IFERROR(__xludf.DUMMYFUNCTION("GOOGLETRANSLATE(B6543,""en"",""zh-CN"")"),"另一个男人在他们面前行走。")</f>
        <v>另一个男人在他们面前行走。</v>
      </c>
    </row>
    <row r="6544">
      <c r="A6544" s="4" t="s">
        <v>8220</v>
      </c>
      <c r="B6544" s="4" t="s">
        <v>8221</v>
      </c>
      <c r="C6544" s="5" t="str">
        <f>IFERROR(__xludf.DUMMYFUNCTION("GOOGLETRANSLATE(B6544,""en"",""zh-CN"")"),"水下视图被视为一个像美人鱼一样穿着的女人在游泳。")</f>
        <v>水下视图被视为一个像美人鱼一样穿着的女人在游泳。</v>
      </c>
    </row>
    <row r="6545">
      <c r="A6545" s="4" t="s">
        <v>8220</v>
      </c>
      <c r="B6545" s="4" t="s">
        <v>8222</v>
      </c>
      <c r="C6545" s="5" t="str">
        <f>IFERROR(__xludf.DUMMYFUNCTION("GOOGLETRANSLATE(B6545,""en"",""zh-CN"")"),"一只大型护士鲸鱼和她一起游泳。")</f>
        <v>一只大型护士鲸鱼和她一起游泳。</v>
      </c>
    </row>
    <row r="6546">
      <c r="A6546" s="4" t="s">
        <v>8220</v>
      </c>
      <c r="B6546" s="4" t="s">
        <v>8223</v>
      </c>
      <c r="C6546" s="5" t="str">
        <f>IFERROR(__xludf.DUMMYFUNCTION("GOOGLETRANSLATE(B6546,""en"",""zh-CN"")"),"显示了游泳美人鱼的多张照片。")</f>
        <v>显示了游泳美人鱼的多张照片。</v>
      </c>
    </row>
    <row r="6547">
      <c r="A6547" s="4" t="s">
        <v>8224</v>
      </c>
      <c r="B6547" s="4" t="s">
        <v>8225</v>
      </c>
      <c r="C6547" s="5" t="str">
        <f>IFERROR(__xludf.DUMMYFUNCTION("GOOGLETRANSLATE(B6547,""en"",""zh-CN"")"),"显示了一个洗涤器的图片，后面是一个男人在一组窗户上使用该物品。")</f>
        <v>显示了一个洗涤器的图片，后面是一个男人在一组窗户上使用该物品。</v>
      </c>
    </row>
    <row r="6548">
      <c r="A6548" s="4" t="s">
        <v>8224</v>
      </c>
      <c r="B6548" s="6" t="s">
        <v>8226</v>
      </c>
      <c r="C6548" s="5" t="str">
        <f>IFERROR(__xludf.DUMMYFUNCTION("GOOGLETRANSLATE(B6548,""en"",""zh-CN"")"),"然后，他用另一个抹布擦拭玻璃杯，并指向窗户并在信用滚动的同时关闭它。")</f>
        <v>然后，他用另一个抹布擦拭玻璃杯，并指向窗户并在信用滚动的同时关闭它。</v>
      </c>
    </row>
    <row r="6549">
      <c r="A6549" s="4" t="s">
        <v>8227</v>
      </c>
      <c r="B6549" s="4" t="s">
        <v>8228</v>
      </c>
      <c r="C6549" s="5" t="str">
        <f>IFERROR(__xludf.DUMMYFUNCTION("GOOGLETRANSLATE(B6549,""en"",""zh-CN"")"),"人们聚集在室内展览中。")</f>
        <v>人们聚集在室内展览中。</v>
      </c>
    </row>
    <row r="6550">
      <c r="A6550" s="4" t="s">
        <v>8227</v>
      </c>
      <c r="B6550" s="4" t="s">
        <v>8229</v>
      </c>
      <c r="C6550" s="5" t="str">
        <f>IFERROR(__xludf.DUMMYFUNCTION("GOOGLETRANSLATE(B6550,""en"",""zh-CN"")"),"一个男人和一个机器人在展览中玩乒乓球。")</f>
        <v>一个男人和一个机器人在展览中玩乒乓球。</v>
      </c>
    </row>
    <row r="6551">
      <c r="A6551" s="4" t="s">
        <v>8227</v>
      </c>
      <c r="B6551" s="6" t="s">
        <v>8230</v>
      </c>
      <c r="C6551" s="5" t="str">
        <f>IFERROR(__xludf.DUMMYFUNCTION("GOOGLETRANSLATE(B6551,""en"",""zh-CN"")"),"人们戴着挂绳并在展品周围观看，而一个人解释了一个拿着两张光盘的人。")</f>
        <v>人们戴着挂绳并在展品周围观看，而一个人解释了一个拿着两张光盘的人。</v>
      </c>
    </row>
    <row r="6552">
      <c r="A6552" s="4" t="s">
        <v>8227</v>
      </c>
      <c r="B6552" s="4" t="s">
        <v>8231</v>
      </c>
      <c r="C6552" s="5" t="str">
        <f>IFERROR(__xludf.DUMMYFUNCTION("GOOGLETRANSLATE(B6552,""en"",""zh-CN"")"),"其他人在阅读和发短信时坐在饮食区。")</f>
        <v>其他人在阅读和发短信时坐在饮食区。</v>
      </c>
    </row>
    <row r="6553">
      <c r="A6553" s="4" t="s">
        <v>8232</v>
      </c>
      <c r="B6553" s="4" t="s">
        <v>8233</v>
      </c>
      <c r="C6553" s="5" t="str">
        <f>IFERROR(__xludf.DUMMYFUNCTION("GOOGLETRANSLATE(B6553,""en"",""zh-CN"")"),"人们正在吃冰淇淋锥。")</f>
        <v>人们正在吃冰淇淋锥。</v>
      </c>
    </row>
    <row r="6554">
      <c r="A6554" s="4" t="s">
        <v>8232</v>
      </c>
      <c r="B6554" s="4" t="s">
        <v>8234</v>
      </c>
      <c r="C6554" s="5" t="str">
        <f>IFERROR(__xludf.DUMMYFUNCTION("GOOGLETRANSLATE(B6554,""en"",""zh-CN"")"),"一个人将冰淇淋放入冰淇淋蛋筒中。")</f>
        <v>一个人将冰淇淋放入冰淇淋蛋筒中。</v>
      </c>
    </row>
    <row r="6555">
      <c r="A6555" s="4" t="s">
        <v>8232</v>
      </c>
      <c r="B6555" s="4" t="s">
        <v>8235</v>
      </c>
      <c r="C6555" s="5" t="str">
        <f>IFERROR(__xludf.DUMMYFUNCTION("GOOGLETRANSLATE(B6555,""en"",""zh-CN"")"),"一个戴着眼镜的女人在镜头说话。")</f>
        <v>一个戴着眼镜的女人在镜头说话。</v>
      </c>
    </row>
    <row r="6556">
      <c r="A6556" s="4" t="s">
        <v>8236</v>
      </c>
      <c r="B6556" s="4" t="s">
        <v>8237</v>
      </c>
      <c r="C6556" s="5" t="str">
        <f>IFERROR(__xludf.DUMMYFUNCTION("GOOGLETRANSLATE(B6556,""en"",""zh-CN"")"),"两个非常大的男人穿着相扑摔跤服的戒指中间。")</f>
        <v>两个非常大的男人穿着相扑摔跤服的戒指中间。</v>
      </c>
    </row>
    <row r="6557">
      <c r="A6557" s="4" t="s">
        <v>8236</v>
      </c>
      <c r="B6557" s="4" t="s">
        <v>8238</v>
      </c>
      <c r="C6557" s="5" t="str">
        <f>IFERROR(__xludf.DUMMYFUNCTION("GOOGLETRANSLATE(B6557,""en"",""zh-CN"")"),"他们正处于适当的态度，等待裁判告诉他们开始比赛。")</f>
        <v>他们正处于适当的态度，等待裁判告诉他们开始比赛。</v>
      </c>
    </row>
    <row r="6558">
      <c r="A6558" s="4" t="s">
        <v>8236</v>
      </c>
      <c r="B6558" s="4" t="s">
        <v>8239</v>
      </c>
      <c r="C6558" s="5" t="str">
        <f>IFERROR(__xludf.DUMMYFUNCTION("GOOGLETRANSLATE(B6558,""en"",""zh-CN"")"),"一旦裁判说开始，他们就开始比赛了，两者都立即互相奔跑。")</f>
        <v>一旦裁判说开始，他们就开始比赛了，两者都立即互相奔跑。</v>
      </c>
    </row>
    <row r="6559">
      <c r="A6559" s="4" t="s">
        <v>8236</v>
      </c>
      <c r="B6559" s="4" t="s">
        <v>8240</v>
      </c>
      <c r="C6559" s="5" t="str">
        <f>IFERROR(__xludf.DUMMYFUNCTION("GOOGLETRANSLATE(B6559,""en"",""zh-CN"")"),"棕褐色的男人把另一个男人击倒了地面，他赢得了比赛。")</f>
        <v>棕褐色的男人把另一个男人击倒了地面，他赢得了比赛。</v>
      </c>
    </row>
    <row r="6560">
      <c r="A6560" s="4" t="s">
        <v>8241</v>
      </c>
      <c r="B6560" s="4" t="s">
        <v>8242</v>
      </c>
      <c r="C6560" s="5" t="str">
        <f>IFERROR(__xludf.DUMMYFUNCTION("GOOGLETRANSLATE(B6560,""en"",""zh-CN"")"),"一个男人在竞争环境中观看时，一个女人操纵魔方。")</f>
        <v>一个男人在竞争环境中观看时，一个女人操纵魔方。</v>
      </c>
    </row>
    <row r="6561">
      <c r="A6561" s="4" t="s">
        <v>8241</v>
      </c>
      <c r="B6561" s="4" t="s">
        <v>8243</v>
      </c>
      <c r="C6561" s="5" t="str">
        <f>IFERROR(__xludf.DUMMYFUNCTION("GOOGLETRANSLATE(B6561,""en"",""zh-CN"")"),"两个人在背景中走过相机框架。")</f>
        <v>两个人在背景中走过相机框架。</v>
      </c>
    </row>
    <row r="6562">
      <c r="A6562" s="4" t="s">
        <v>8241</v>
      </c>
      <c r="B6562" s="4" t="s">
        <v>8244</v>
      </c>
      <c r="C6562" s="5" t="str">
        <f>IFERROR(__xludf.DUMMYFUNCTION("GOOGLETRANSLATE(B6562,""en"",""zh-CN"")"),"那个女人把解决的魔方放在她面前的桌子上。")</f>
        <v>那个女人把解决的魔方放在她面前的桌子上。</v>
      </c>
    </row>
    <row r="6563">
      <c r="A6563" s="4" t="s">
        <v>8245</v>
      </c>
      <c r="B6563" s="6" t="s">
        <v>8246</v>
      </c>
      <c r="C6563" s="5" t="str">
        <f>IFERROR(__xludf.DUMMYFUNCTION("GOOGLETRANSLATE(B6563,""en"",""zh-CN"")"),"介绍会导致各种长发的女孩以及将头发编织在一起的女孩的各种照片。")</f>
        <v>介绍会导致各种长发的女孩以及将头发编织在一起的女孩的各种照片。</v>
      </c>
    </row>
    <row r="6564">
      <c r="A6564" s="4" t="s">
        <v>8245</v>
      </c>
      <c r="B6564" s="6" t="s">
        <v>8247</v>
      </c>
      <c r="C6564" s="5" t="str">
        <f>IFERROR(__xludf.DUMMYFUNCTION("GOOGLETRANSLATE(B6564,""en"",""zh-CN"")"),"测量一个女孩的头发长度，然后是她长发的更多图片，并与相机说话。")</f>
        <v>测量一个女孩的头发长度，然后是她长发的更多图片，并与相机说话。</v>
      </c>
    </row>
    <row r="6565">
      <c r="A6565" s="4" t="s">
        <v>8245</v>
      </c>
      <c r="B6565" s="4" t="s">
        <v>8248</v>
      </c>
      <c r="C6565" s="5" t="str">
        <f>IFERROR(__xludf.DUMMYFUNCTION("GOOGLETRANSLATE(B6565,""en"",""zh-CN"")"),"然后看到一组手剪掉女孩的头发，向女孩展示她的马尾辫。")</f>
        <v>然后看到一组手剪掉女孩的头发，向女孩展示她的马尾辫。</v>
      </c>
    </row>
    <row r="6566">
      <c r="A6566" s="4" t="s">
        <v>8245</v>
      </c>
      <c r="B6566" s="4" t="s">
        <v>8249</v>
      </c>
      <c r="C6566" s="5" t="str">
        <f>IFERROR(__xludf.DUMMYFUNCTION("GOOGLETRANSLATE(B6566,""en"",""zh-CN"")"),"显示了女孩新头发的更多照片以及她的旧照片。")</f>
        <v>显示了女孩新头发的更多照片以及她的旧照片。</v>
      </c>
    </row>
    <row r="6567">
      <c r="A6567" s="4" t="s">
        <v>8250</v>
      </c>
      <c r="B6567" s="4" t="s">
        <v>8251</v>
      </c>
      <c r="C6567" s="5" t="str">
        <f>IFERROR(__xludf.DUMMYFUNCTION("GOOGLETRANSLATE(B6567,""en"",""zh-CN"")"),"一个穿着黑色衬衫和黑色短裤的男人站在锻炼机旁边。")</f>
        <v>一个穿着黑色衬衫和黑色短裤的男人站在锻炼机旁边。</v>
      </c>
    </row>
    <row r="6568">
      <c r="A6568" s="4" t="s">
        <v>8250</v>
      </c>
      <c r="B6568" s="4" t="s">
        <v>8252</v>
      </c>
      <c r="C6568" s="5" t="str">
        <f>IFERROR(__xludf.DUMMYFUNCTION("GOOGLETRANSLATE(B6568,""en"",""zh-CN"")"),"他坐在健身机上，开始锻炼。")</f>
        <v>他坐在健身机上，开始锻炼。</v>
      </c>
    </row>
    <row r="6569">
      <c r="A6569" s="4" t="s">
        <v>8250</v>
      </c>
      <c r="B6569" s="4" t="s">
        <v>8253</v>
      </c>
      <c r="C6569" s="5" t="str">
        <f>IFERROR(__xludf.DUMMYFUNCTION("GOOGLETRANSLATE(B6569,""en"",""zh-CN"")"),"他停止锻炼并发布了酒吧。")</f>
        <v>他停止锻炼并发布了酒吧。</v>
      </c>
    </row>
    <row r="6570">
      <c r="A6570" s="4" t="s">
        <v>8254</v>
      </c>
      <c r="B6570" s="4" t="s">
        <v>8255</v>
      </c>
      <c r="C6570" s="5" t="str">
        <f>IFERROR(__xludf.DUMMYFUNCTION("GOOGLETRANSLATE(B6570,""en"",""zh-CN"")"),"一个男人在锅中炸蔬菜，用大汤匙搅拌。")</f>
        <v>一个男人在锅中炸蔬菜，用大汤匙搅拌。</v>
      </c>
    </row>
    <row r="6571">
      <c r="A6571" s="4" t="s">
        <v>8254</v>
      </c>
      <c r="B6571" s="6" t="s">
        <v>8256</v>
      </c>
      <c r="C6571" s="5" t="str">
        <f>IFERROR(__xludf.DUMMYFUNCTION("GOOGLETRANSLATE(B6571,""en"",""zh-CN"")"),"然后，该人在锅中加入鸡蛋以制作煎蛋后，将鸡蛋在碗中刹车并混合。")</f>
        <v>然后，该人在锅中加入鸡蛋以制作煎蛋后，将鸡蛋在碗中刹车并混合。</v>
      </c>
    </row>
    <row r="6572">
      <c r="A6572" s="4" t="s">
        <v>8254</v>
      </c>
      <c r="B6572" s="4" t="s">
        <v>8257</v>
      </c>
      <c r="C6572" s="5" t="str">
        <f>IFERROR(__xludf.DUMMYFUNCTION("GOOGLETRANSLATE(B6572,""en"",""zh-CN"")"),"他卷起煎蛋并将其翻转在空中，然后该男子将煎蛋卷在盘子上。")</f>
        <v>他卷起煎蛋并将其翻转在空中，然后该男子将煎蛋卷在盘子上。</v>
      </c>
    </row>
    <row r="6573">
      <c r="A6573" s="4" t="s">
        <v>8258</v>
      </c>
      <c r="B6573" s="4" t="s">
        <v>8259</v>
      </c>
      <c r="C6573" s="5" t="str">
        <f>IFERROR(__xludf.DUMMYFUNCTION("GOOGLETRANSLATE(B6573,""en"",""zh-CN"")"),"一个女人站在电视面前时正在跳舞一些音乐。")</f>
        <v>一个女人站在电视面前时正在跳舞一些音乐。</v>
      </c>
    </row>
    <row r="6574">
      <c r="A6574" s="4" t="s">
        <v>8258</v>
      </c>
      <c r="B6574" s="4" t="s">
        <v>8260</v>
      </c>
      <c r="C6574" s="5" t="str">
        <f>IFERROR(__xludf.DUMMYFUNCTION("GOOGLETRANSLATE(B6574,""en"",""zh-CN"")"),"当她跳舞时，她开始抽烟管。")</f>
        <v>当她跳舞时，她开始抽烟管。</v>
      </c>
    </row>
    <row r="6575">
      <c r="A6575" s="4" t="s">
        <v>8258</v>
      </c>
      <c r="B6575" s="6" t="s">
        <v>8261</v>
      </c>
      <c r="C6575" s="5" t="str">
        <f>IFERROR(__xludf.DUMMYFUNCTION("GOOGLETRANSLATE(B6575,""en"",""zh-CN"")"),"相机向房间里的另外两个女人跳舞并与她抽烟管。")</f>
        <v>相机向房间里的另外两个女人跳舞并与她抽烟管。</v>
      </c>
    </row>
    <row r="6576">
      <c r="A6576" s="4" t="s">
        <v>8258</v>
      </c>
      <c r="B6576" s="4" t="s">
        <v>8262</v>
      </c>
      <c r="C6576" s="5" t="str">
        <f>IFERROR(__xludf.DUMMYFUNCTION("GOOGLETRANSLATE(B6576,""en"",""zh-CN"")"),"相机转向一个带相机拍照的男人。")</f>
        <v>相机转向一个带相机拍照的男人。</v>
      </c>
    </row>
    <row r="6577">
      <c r="A6577" s="4" t="s">
        <v>8263</v>
      </c>
      <c r="B6577" s="4" t="s">
        <v>8264</v>
      </c>
      <c r="C6577" s="5" t="str">
        <f>IFERROR(__xludf.DUMMYFUNCTION("GOOGLETRANSLATE(B6577,""en"",""zh-CN"")"),"一个小女孩正在和母亲在厨房里做饼干。")</f>
        <v>一个小女孩正在和母亲在厨房里做饼干。</v>
      </c>
    </row>
    <row r="6578">
      <c r="A6578" s="4" t="s">
        <v>8263</v>
      </c>
      <c r="B6578" s="4" t="s">
        <v>8265</v>
      </c>
      <c r="C6578" s="5" t="str">
        <f>IFERROR(__xludf.DUMMYFUNCTION("GOOGLETRANSLATE(B6578,""en"",""zh-CN"")"),"她希望妈妈假装自己是圣诞老人。")</f>
        <v>她希望妈妈假装自己是圣诞老人。</v>
      </c>
    </row>
    <row r="6579">
      <c r="A6579" s="4" t="s">
        <v>8263</v>
      </c>
      <c r="B6579" s="4" t="s">
        <v>8266</v>
      </c>
      <c r="C6579" s="5" t="str">
        <f>IFERROR(__xludf.DUMMYFUNCTION("GOOGLETRANSLATE(B6579,""en"",""zh-CN"")"),"笑声，将饼干面团滚到切菜板上。")</f>
        <v>笑声，将饼干面团滚到切菜板上。</v>
      </c>
    </row>
    <row r="6580">
      <c r="A6580" s="4" t="s">
        <v>8263</v>
      </c>
      <c r="B6580" s="4" t="s">
        <v>8267</v>
      </c>
      <c r="C6580" s="5" t="str">
        <f>IFERROR(__xludf.DUMMYFUNCTION("GOOGLETRANSLATE(B6580,""en"",""zh-CN"")"),"母亲打开烤箱，将装满饼干面团的托盘放入烤箱中进行烘烤。")</f>
        <v>母亲打开烤箱，将装满饼干面团的托盘放入烤箱中进行烘烤。</v>
      </c>
    </row>
    <row r="6581">
      <c r="A6581" s="4" t="s">
        <v>8263</v>
      </c>
      <c r="B6581" s="6" t="s">
        <v>8268</v>
      </c>
      <c r="C6581" s="5" t="str">
        <f>IFERROR(__xludf.DUMMYFUNCTION("GOOGLETRANSLATE(B6581,""en"",""zh-CN"")"),"然后，母亲拿起饼干切割机，制作了更多的饼干进行烘烤，然后母女都将饼干面团放在托盘上时，都会穿过饼干食谱。")</f>
        <v>然后，母亲拿起饼干切割机，制作了更多的饼干进行烘烤，然后母女都将饼干面团放在托盘上时，都会穿过饼干食谱。</v>
      </c>
    </row>
    <row r="6582">
      <c r="A6582" s="4" t="s">
        <v>8263</v>
      </c>
      <c r="B6582" s="4" t="s">
        <v>8269</v>
      </c>
      <c r="C6582" s="5" t="str">
        <f>IFERROR(__xludf.DUMMYFUNCTION("GOOGLETRANSLATE(B6582,""en"",""zh-CN"")"),"饼干烘烤后，他们会用洒和糖霜装饰饼干。")</f>
        <v>饼干烘烤后，他们会用洒和糖霜装饰饼干。</v>
      </c>
    </row>
    <row r="6583">
      <c r="A6583" s="4" t="s">
        <v>8263</v>
      </c>
      <c r="B6583" s="4" t="s">
        <v>8270</v>
      </c>
      <c r="C6583" s="5" t="str">
        <f>IFERROR(__xludf.DUMMYFUNCTION("GOOGLETRANSLATE(B6583,""en"",""zh-CN"")"),"该女孩完成后自豪地展示了成品饼干。")</f>
        <v>该女孩完成后自豪地展示了成品饼干。</v>
      </c>
    </row>
    <row r="6584">
      <c r="A6584" s="4" t="s">
        <v>8271</v>
      </c>
      <c r="B6584" s="4" t="s">
        <v>8272</v>
      </c>
      <c r="C6584" s="5" t="str">
        <f>IFERROR(__xludf.DUMMYFUNCTION("GOOGLETRANSLATE(B6584,""en"",""zh-CN"")"),"显示了两个人在割草机周围推开并剪草坪。")</f>
        <v>显示了两个人在割草机周围推开并剪草坪。</v>
      </c>
    </row>
    <row r="6585">
      <c r="A6585" s="4" t="s">
        <v>8271</v>
      </c>
      <c r="B6585" s="4" t="s">
        <v>8273</v>
      </c>
      <c r="C6585" s="5" t="str">
        <f>IFERROR(__xludf.DUMMYFUNCTION("GOOGLETRANSLATE(B6585,""en"",""zh-CN"")"),"当一个人四处转弯时，碰到对方。")</f>
        <v>当一个人四处转弯时，碰到对方。</v>
      </c>
    </row>
    <row r="6586">
      <c r="A6586" s="4" t="s">
        <v>8271</v>
      </c>
      <c r="B6586" s="4" t="s">
        <v>8274</v>
      </c>
      <c r="C6586" s="5" t="str">
        <f>IFERROR(__xludf.DUMMYFUNCTION("GOOGLETRANSLATE(B6586,""en"",""zh-CN"")"),"雄性走到房子里，继续朝那个女人回来。")</f>
        <v>雄性走到房子里，继续朝那个女人回来。</v>
      </c>
    </row>
    <row r="6587">
      <c r="A6587" s="4" t="s">
        <v>8275</v>
      </c>
      <c r="B6587" s="4" t="s">
        <v>8276</v>
      </c>
      <c r="C6587" s="5" t="str">
        <f>IFERROR(__xludf.DUMMYFUNCTION("GOOGLETRANSLATE(B6587,""en"",""zh-CN"")"),"看到一个人沿着自行车道骑行，而一个人从后面穿着相机。")</f>
        <v>看到一个人沿着自行车道骑行，而一个人从后面穿着相机。</v>
      </c>
    </row>
    <row r="6588">
      <c r="A6588" s="4" t="s">
        <v>8275</v>
      </c>
      <c r="B6588" s="6" t="s">
        <v>8277</v>
      </c>
      <c r="C6588" s="5" t="str">
        <f>IFERROR(__xludf.DUMMYFUNCTION("GOOGLETRANSLATE(B6588,""en"",""zh-CN"")"),"显示了更多的剪辑，沿着小径骑自行车时，相机从几个角度捕获它。")</f>
        <v>显示了更多的剪辑，沿着小径骑自行车时，相机从几个角度捕获它。</v>
      </c>
    </row>
    <row r="6589">
      <c r="A6589" s="4" t="s">
        <v>8278</v>
      </c>
      <c r="B6589" s="4" t="s">
        <v>8279</v>
      </c>
      <c r="C6589" s="5" t="str">
        <f>IFERROR(__xludf.DUMMYFUNCTION("GOOGLETRANSLATE(B6589,""en"",""zh-CN"")"),"曲棍网兜球游戏的特写显示出导致一个男人在相机上说话。")</f>
        <v>曲棍网兜球游戏的特写显示出导致一个男人在相机上说话。</v>
      </c>
    </row>
    <row r="6590">
      <c r="A6590" s="4" t="s">
        <v>8278</v>
      </c>
      <c r="B6590" s="6" t="s">
        <v>8280</v>
      </c>
      <c r="C6590" s="5" t="str">
        <f>IFERROR(__xludf.DUMMYFUNCTION("GOOGLETRANSLATE(B6590,""en"",""zh-CN"")"),"展示了更多的游戏镜头，玩家在场上上下跑来跑去，还有许多其他人在摄像机上说话。")</f>
        <v>展示了更多的游戏镜头，玩家在场上上下跑来跑去，还有许多其他人在摄像机上说话。</v>
      </c>
    </row>
    <row r="6591">
      <c r="A6591" s="4" t="s">
        <v>8281</v>
      </c>
      <c r="B6591" s="4" t="s">
        <v>8282</v>
      </c>
      <c r="C6591" s="5" t="str">
        <f>IFERROR(__xludf.DUMMYFUNCTION("GOOGLETRANSLATE(B6591,""en"",""zh-CN"")"),"看到一个男人戴着头盔，跪在一个大房间里。")</f>
        <v>看到一个男人戴着头盔，跪在一个大房间里。</v>
      </c>
    </row>
    <row r="6592">
      <c r="A6592" s="4" t="s">
        <v>8281</v>
      </c>
      <c r="B6592" s="4" t="s">
        <v>8283</v>
      </c>
      <c r="C6592" s="5" t="str">
        <f>IFERROR(__xludf.DUMMYFUNCTION("GOOGLETRANSLATE(B6592,""en"",""zh-CN"")"),"当另一个人走进框架时，在物体上使用火炬。")</f>
        <v>当另一个人走进框架时，在物体上使用火炬。</v>
      </c>
    </row>
    <row r="6593">
      <c r="A6593" s="4" t="s">
        <v>8281</v>
      </c>
      <c r="B6593" s="4" t="s">
        <v>8284</v>
      </c>
      <c r="C6593" s="5" t="str">
        <f>IFERROR(__xludf.DUMMYFUNCTION("GOOGLETRANSLATE(B6593,""en"",""zh-CN"")"),"最后，他放大了他烧毁的物体。")</f>
        <v>最后，他放大了他烧毁的物体。</v>
      </c>
    </row>
    <row r="6594">
      <c r="A6594" s="4" t="s">
        <v>8285</v>
      </c>
      <c r="B6594" s="4" t="s">
        <v>8286</v>
      </c>
      <c r="C6594" s="5" t="str">
        <f>IFERROR(__xludf.DUMMYFUNCTION("GOOGLETRANSLATE(B6594,""en"",""zh-CN"")"),"一个女人站在桌子后面。")</f>
        <v>一个女人站在桌子后面。</v>
      </c>
    </row>
    <row r="6595">
      <c r="A6595" s="4" t="s">
        <v>8285</v>
      </c>
      <c r="B6595" s="4" t="s">
        <v>8287</v>
      </c>
      <c r="C6595" s="5" t="str">
        <f>IFERROR(__xludf.DUMMYFUNCTION("GOOGLETRANSLATE(B6595,""en"",""zh-CN"")"),"她拿起一抹布和一瓶油。")</f>
        <v>她拿起一抹布和一瓶油。</v>
      </c>
    </row>
    <row r="6596">
      <c r="A6596" s="4" t="s">
        <v>8285</v>
      </c>
      <c r="B6596" s="4" t="s">
        <v>8288</v>
      </c>
      <c r="C6596" s="5" t="str">
        <f>IFERROR(__xludf.DUMMYFUNCTION("GOOGLETRANSLATE(B6596,""en"",""zh-CN"")"),"她把油放在抹布上，开始用它清洁靴子。")</f>
        <v>她把油放在抹布上，开始用它清洁靴子。</v>
      </c>
    </row>
    <row r="6597">
      <c r="A6597" s="4" t="s">
        <v>8289</v>
      </c>
      <c r="B6597" s="4" t="s">
        <v>8290</v>
      </c>
      <c r="C6597" s="5" t="str">
        <f>IFERROR(__xludf.DUMMYFUNCTION("GOOGLETRANSLATE(B6597,""en"",""zh-CN"")"),"一个男孩和他旁边的一个女孩坐在桌子旁。")</f>
        <v>一个男孩和他旁边的一个女孩坐在桌子旁。</v>
      </c>
    </row>
    <row r="6598">
      <c r="A6598" s="4" t="s">
        <v>8289</v>
      </c>
      <c r="B6598" s="4" t="s">
        <v>8291</v>
      </c>
      <c r="C6598" s="5" t="str">
        <f>IFERROR(__xludf.DUMMYFUNCTION("GOOGLETRANSLATE(B6598,""en"",""zh-CN"")"),"他试图在她度过时要解决一个魔方。")</f>
        <v>他试图在她度过时要解决一个魔方。</v>
      </c>
    </row>
    <row r="6599">
      <c r="A6599" s="4" t="s">
        <v>8289</v>
      </c>
      <c r="B6599" s="4" t="s">
        <v>8292</v>
      </c>
      <c r="C6599" s="5" t="str">
        <f>IFERROR(__xludf.DUMMYFUNCTION("GOOGLETRANSLATE(B6599,""en"",""zh-CN"")"),"当他尽力解决难题时，柜台很快就会数。")</f>
        <v>当他尽力解决难题时，柜台很快就会数。</v>
      </c>
    </row>
    <row r="6600">
      <c r="A6600" s="4" t="s">
        <v>8289</v>
      </c>
      <c r="B6600" s="4" t="s">
        <v>8293</v>
      </c>
      <c r="C6600" s="5" t="str">
        <f>IFERROR(__xludf.DUMMYFUNCTION("GOOGLETRANSLATE(B6600,""en"",""zh-CN"")"),"他终于解决了立方体，并从桌子上站起来。")</f>
        <v>他终于解决了立方体，并从桌子上站起来。</v>
      </c>
    </row>
    <row r="6601">
      <c r="A6601" s="4" t="s">
        <v>8294</v>
      </c>
      <c r="B6601" s="4" t="s">
        <v>8295</v>
      </c>
      <c r="C6601" s="5" t="str">
        <f>IFERROR(__xludf.DUMMYFUNCTION("GOOGLETRANSLATE(B6601,""en"",""zh-CN"")"),"一个男人正在帮助一个男孩驾驶风筝。")</f>
        <v>一个男人正在帮助一个男孩驾驶风筝。</v>
      </c>
    </row>
    <row r="6602">
      <c r="A6602" s="4" t="s">
        <v>8294</v>
      </c>
      <c r="B6602" s="4" t="s">
        <v>8296</v>
      </c>
      <c r="C6602" s="5" t="str">
        <f>IFERROR(__xludf.DUMMYFUNCTION("GOOGLETRANSLATE(B6602,""en"",""zh-CN"")"),"一个女人站在他们旁边。")</f>
        <v>一个女人站在他们旁边。</v>
      </c>
    </row>
    <row r="6603">
      <c r="A6603" s="4" t="s">
        <v>8294</v>
      </c>
      <c r="B6603" s="4" t="s">
        <v>8297</v>
      </c>
      <c r="C6603" s="5" t="str">
        <f>IFERROR(__xludf.DUMMYFUNCTION("GOOGLETRANSLATE(B6603,""en"",""zh-CN"")"),"风筝在水面上方飞行。")</f>
        <v>风筝在水面上方飞行。</v>
      </c>
    </row>
    <row r="6604">
      <c r="A6604" s="4" t="s">
        <v>8294</v>
      </c>
      <c r="B6604" s="4" t="s">
        <v>8298</v>
      </c>
      <c r="C6604" s="5" t="str">
        <f>IFERROR(__xludf.DUMMYFUNCTION("GOOGLETRANSLATE(B6604,""en"",""zh-CN"")"),"那个男人走上山。")</f>
        <v>那个男人走上山。</v>
      </c>
    </row>
    <row r="6605">
      <c r="A6605" s="4" t="s">
        <v>8299</v>
      </c>
      <c r="B6605" s="4" t="s">
        <v>8300</v>
      </c>
      <c r="C6605" s="5" t="str">
        <f>IFERROR(__xludf.DUMMYFUNCTION("GOOGLETRANSLATE(B6605,""en"",""zh-CN"")"),"当法官举起旗帜时，女体操运动员举起了手臂。")</f>
        <v>当法官举起旗帜时，女体操运动员举起了手臂。</v>
      </c>
    </row>
    <row r="6606">
      <c r="A6606" s="4" t="s">
        <v>8299</v>
      </c>
      <c r="B6606" s="6" t="s">
        <v>8301</v>
      </c>
      <c r="C6606" s="5" t="str">
        <f>IFERROR(__xludf.DUMMYFUNCTION("GOOGLETRANSLATE(B6606,""en"",""zh-CN"")"),"体操运动员跳到光束上，平衡自己，刺痛了几次奔跑，平衡自己，并做了刺痛。")</f>
        <v>体操运动员跳到光束上，平衡自己，刺痛了几次奔跑，平衡自己，并做了刺痛。</v>
      </c>
    </row>
    <row r="6607">
      <c r="A6607" s="4" t="s">
        <v>8299</v>
      </c>
      <c r="B6607" s="4" t="s">
        <v>8302</v>
      </c>
      <c r="C6607" s="5" t="str">
        <f>IFERROR(__xludf.DUMMYFUNCTION("GOOGLETRANSLATE(B6607,""en"",""zh-CN"")"),"那个女孩跳到蓝色垫子上。")</f>
        <v>那个女孩跳到蓝色垫子上。</v>
      </c>
    </row>
    <row r="6608">
      <c r="A6608" s="4" t="s">
        <v>8303</v>
      </c>
      <c r="B6608" s="4" t="s">
        <v>8304</v>
      </c>
      <c r="C6608" s="5" t="str">
        <f>IFERROR(__xludf.DUMMYFUNCTION("GOOGLETRANSLATE(B6608,""en"",""zh-CN"")"),"在我们看到海滩场景和一组奖杯之前，请显示一条带有标志的高速公路。")</f>
        <v>在我们看到海滩场景和一组奖杯之前，请显示一条带有标志的高速公路。</v>
      </c>
    </row>
    <row r="6609">
      <c r="A6609" s="4" t="s">
        <v>8303</v>
      </c>
      <c r="B6609" s="4" t="s">
        <v>8305</v>
      </c>
      <c r="C6609" s="5" t="str">
        <f>IFERROR(__xludf.DUMMYFUNCTION("GOOGLETRANSLATE(B6609,""en"",""zh-CN"")"),"一群排球运动员聚集在一起开始比赛。")</f>
        <v>一群排球运动员聚集在一起开始比赛。</v>
      </c>
    </row>
    <row r="6610">
      <c r="A6610" s="4" t="s">
        <v>8303</v>
      </c>
      <c r="B6610" s="4" t="s">
        <v>8306</v>
      </c>
      <c r="C6610" s="5" t="str">
        <f>IFERROR(__xludf.DUMMYFUNCTION("GOOGLETRANSLATE(B6610,""en"",""zh-CN"")"),"游戏开始，人们尽力获胜。")</f>
        <v>游戏开始，人们尽力获胜。</v>
      </c>
    </row>
    <row r="6611">
      <c r="A6611" s="4" t="s">
        <v>8307</v>
      </c>
      <c r="B6611" s="4" t="s">
        <v>8308</v>
      </c>
      <c r="C6611" s="5" t="str">
        <f>IFERROR(__xludf.DUMMYFUNCTION("GOOGLETRANSLATE(B6611,""en"",""zh-CN"")"),"一个摄像机在人的脸上朝着白雪皑皑的山丘上的脸上盘，他们在山上骑行。")</f>
        <v>一个摄像机在人的脸上朝着白雪皑皑的山丘上的脸上盘，他们在山上骑行。</v>
      </c>
    </row>
    <row r="6612">
      <c r="A6612" s="4" t="s">
        <v>8307</v>
      </c>
      <c r="B6612" s="6" t="s">
        <v>8309</v>
      </c>
      <c r="C6612" s="5" t="str">
        <f>IFERROR(__xludf.DUMMYFUNCTION("GOOGLETRANSLATE(B6612,""en"",""zh-CN"")"),"人们继续沿着白雪皑皑的小路滑雪，然后在底部停下来，并结束。")</f>
        <v>人们继续沿着白雪皑皑的小路滑雪，然后在底部停下来，并结束。</v>
      </c>
    </row>
    <row r="6613">
      <c r="A6613" s="4" t="s">
        <v>8310</v>
      </c>
      <c r="B6613" s="4" t="s">
        <v>8311</v>
      </c>
      <c r="C6613" s="5" t="str">
        <f>IFERROR(__xludf.DUMMYFUNCTION("GOOGLETRANSLATE(B6613,""en"",""zh-CN"")"),"看到一个戴着帽子的男人举起口琴，开始用手玩耍。")</f>
        <v>看到一个戴着帽子的男人举起口琴，开始用手玩耍。</v>
      </c>
    </row>
    <row r="6614">
      <c r="A6614" s="4" t="s">
        <v>8310</v>
      </c>
      <c r="B6614" s="6" t="s">
        <v>8312</v>
      </c>
      <c r="C6614" s="5" t="str">
        <f>IFERROR(__xludf.DUMMYFUNCTION("GOOGLETRANSLATE(B6614,""en"",""zh-CN"")"),"他继续演奏仪器到相机，最后将乐器放下，然后再次举起。")</f>
        <v>他继续演奏仪器到相机，最后将乐器放下，然后再次举起。</v>
      </c>
    </row>
    <row r="6615">
      <c r="A6615" s="4" t="s">
        <v>8313</v>
      </c>
      <c r="B6615" s="6" t="s">
        <v>8314</v>
      </c>
      <c r="C6615" s="5" t="str">
        <f>IFERROR(__xludf.DUMMYFUNCTION("GOOGLETRANSLATE(B6615,""en"",""zh-CN"")"),"看到两个小孩在侧面散步时用粉笔绘画，而他们偶尔回头看相机。")</f>
        <v>看到两个小孩在侧面散步时用粉笔绘画，而他们偶尔回头看相机。</v>
      </c>
    </row>
    <row r="6616">
      <c r="A6616" s="4" t="s">
        <v>8313</v>
      </c>
      <c r="B6616" s="4" t="s">
        <v>8315</v>
      </c>
      <c r="C6616" s="5" t="str">
        <f>IFERROR(__xludf.DUMMYFUNCTION("GOOGLETRANSLATE(B6616,""en"",""zh-CN"")"),"然后看到这个女孩在男孩从后面看着粉笔跳下粉笔。")</f>
        <v>然后看到这个女孩在男孩从后面看着粉笔跳下粉笔。</v>
      </c>
    </row>
    <row r="6617">
      <c r="A6617" s="4" t="s">
        <v>8313</v>
      </c>
      <c r="B6617" s="4" t="s">
        <v>8316</v>
      </c>
      <c r="C6617" s="5" t="str">
        <f>IFERROR(__xludf.DUMMYFUNCTION("GOOGLETRANSLATE(B6617,""en"",""zh-CN"")"),"然后，一个女人帮助男孩跳下来，跟随年轻女孩帮助。")</f>
        <v>然后，一个女人帮助男孩跳下来，跟随年轻女孩帮助。</v>
      </c>
    </row>
    <row r="6618">
      <c r="A6618" s="4" t="s">
        <v>8313</v>
      </c>
      <c r="B6618" s="4" t="s">
        <v>8317</v>
      </c>
      <c r="C6618" s="5" t="str">
        <f>IFERROR(__xludf.DUMMYFUNCTION("GOOGLETRANSLATE(B6618,""en"",""zh-CN"")"),"这个男孩独自跳跃，然后进入两个在人行道上行走的两者。")</f>
        <v>这个男孩独自跳跃，然后进入两个在人行道上行走的两者。</v>
      </c>
    </row>
    <row r="6619">
      <c r="A6619" s="4" t="s">
        <v>8313</v>
      </c>
      <c r="B6619" s="4" t="s">
        <v>8318</v>
      </c>
      <c r="C6619" s="5" t="str">
        <f>IFERROR(__xludf.DUMMYFUNCTION("GOOGLETRANSLATE(B6619,""en"",""zh-CN"")"),"女孩向上摆动她的手臂，然后两人跳下来。")</f>
        <v>女孩向上摆动她的手臂，然后两人跳下来。</v>
      </c>
    </row>
    <row r="6620">
      <c r="A6620" s="4" t="s">
        <v>8319</v>
      </c>
      <c r="B6620" s="4" t="s">
        <v>8320</v>
      </c>
      <c r="C6620" s="5" t="str">
        <f>IFERROR(__xludf.DUMMYFUNCTION("GOOGLETRANSLATE(B6620,""en"",""zh-CN"")"),"一名运动员在拿着标枪广告准备就绪的同时，在赛道前站起来。")</f>
        <v>一名运动员在拿着标枪广告准备就绪的同时，在赛道前站起来。</v>
      </c>
    </row>
    <row r="6621">
      <c r="A6621" s="4" t="s">
        <v>8319</v>
      </c>
      <c r="B6621" s="6" t="s">
        <v>8321</v>
      </c>
      <c r="C6621" s="5" t="str">
        <f>IFERROR(__xludf.DUMMYFUNCTION("GOOGLETRANSLATE(B6621,""en"",""zh-CN"")"),"该男子跑下来，扔标枪，然后向后走，而慢动作再次显示了几次掷球。")</f>
        <v>该男子跑下来，扔标枪，然后向后走，而慢动作再次显示了几次掷球。</v>
      </c>
    </row>
    <row r="6622">
      <c r="A6622" s="4" t="s">
        <v>8319</v>
      </c>
      <c r="B6622" s="4" t="s">
        <v>8322</v>
      </c>
      <c r="C6622" s="5" t="str">
        <f>IFERROR(__xludf.DUMMYFUNCTION("GOOGLETRANSLATE(B6622,""en"",""zh-CN"")"),"最后，看到他在场上庆祝和奔跑。")</f>
        <v>最后，看到他在场上庆祝和奔跑。</v>
      </c>
    </row>
    <row r="6623">
      <c r="A6623" s="4" t="s">
        <v>8323</v>
      </c>
      <c r="B6623" s="6" t="s">
        <v>8324</v>
      </c>
      <c r="C6623" s="5" t="str">
        <f>IFERROR(__xludf.DUMMYFUNCTION("GOOGLETRANSLATE(B6623,""en"",""zh-CN"")"),"六个人戴着围绕着圆形的，铺好的轨道骑自行车的头盔赛车，被草，游戏帐篷和围观者包围。")</f>
        <v>六个人戴着围绕着圆形的，铺好的轨道骑自行车的头盔赛车，被草，游戏帐篷和围观者包围。</v>
      </c>
    </row>
    <row r="6624">
      <c r="A6624" s="4" t="s">
        <v>8323</v>
      </c>
      <c r="B6624" s="6" t="s">
        <v>8325</v>
      </c>
      <c r="C6624" s="5" t="str">
        <f>IFERROR(__xludf.DUMMYFUNCTION("GOOGLETRANSLATE(B6624,""en"",""zh-CN"")"),"人们在封闭且磨碎的篱笆后面开始比赛，然后打开，并允许他们从高架平台开始赛车，从铺砌的赛道上。")</f>
        <v>人们在封闭且磨碎的篱笆后面开始比赛，然后打开，并允许他们从高架平台开始赛车，从铺砌的赛道上。</v>
      </c>
    </row>
    <row r="6625">
      <c r="A6625" s="4" t="s">
        <v>8323</v>
      </c>
      <c r="B6625" s="4" t="s">
        <v>8326</v>
      </c>
      <c r="C6625" s="5" t="str">
        <f>IFERROR(__xludf.DUMMYFUNCTION("GOOGLETRANSLATE(B6625,""en"",""zh-CN"")"),"赛车手踩着一个人，穿着白色外套。")</f>
        <v>赛车手踩着一个人，穿着白色外套。</v>
      </c>
    </row>
    <row r="6626">
      <c r="A6626" s="4" t="s">
        <v>8323</v>
      </c>
      <c r="B6626" s="6" t="s">
        <v>8327</v>
      </c>
      <c r="C6626" s="5" t="str">
        <f>IFERROR(__xludf.DUMMYFUNCTION("GOOGLETRANSLATE(B6626,""en"",""zh-CN"")"),"比赛以同一个人身穿白色外套的结尾，直到他们接近赛道的尽头和橙色的白色条纹锥。")</f>
        <v>比赛以同一个人身穿白色外套的结尾，直到他们接近赛道的尽头和橙色的白色条纹锥。</v>
      </c>
    </row>
    <row r="6627">
      <c r="A6627" s="4" t="s">
        <v>8328</v>
      </c>
      <c r="B6627" s="6" t="s">
        <v>8329</v>
      </c>
      <c r="C6627" s="5" t="str">
        <f>IFERROR(__xludf.DUMMYFUNCTION("GOOGLETRANSLATE(B6627,""en"",""zh-CN"")"),"一个年轻人在同一时间击球时一遍又一遍地挥舞着网球球拍。")</f>
        <v>一个年轻人在同一时间击球时一遍又一遍地挥舞着网球球拍。</v>
      </c>
    </row>
    <row r="6628">
      <c r="A6628" s="4" t="s">
        <v>8328</v>
      </c>
      <c r="B6628" s="4" t="s">
        <v>8330</v>
      </c>
      <c r="C6628" s="5" t="str">
        <f>IFERROR(__xludf.DUMMYFUNCTION("GOOGLETRANSLATE(B6628,""en"",""zh-CN"")"),"他继续进行几次挥杆，每次都击球。")</f>
        <v>他继续进行几次挥杆，每次都击球。</v>
      </c>
    </row>
    <row r="6629">
      <c r="A6629" s="4" t="s">
        <v>8331</v>
      </c>
      <c r="B6629" s="4" t="s">
        <v>8332</v>
      </c>
      <c r="C6629" s="5" t="str">
        <f>IFERROR(__xludf.DUMMYFUNCTION("GOOGLETRANSLATE(B6629,""en"",""zh-CN"")"),"研磨机在露台上显示。")</f>
        <v>研磨机在露台上显示。</v>
      </c>
    </row>
    <row r="6630">
      <c r="A6630" s="4" t="s">
        <v>8331</v>
      </c>
      <c r="B6630" s="4" t="s">
        <v>8333</v>
      </c>
      <c r="C6630" s="5" t="str">
        <f>IFERROR(__xludf.DUMMYFUNCTION("GOOGLETRANSLATE(B6630,""en"",""zh-CN"")"),"一个男人在展示机器的部分时说话。")</f>
        <v>一个男人在展示机器的部分时说话。</v>
      </c>
    </row>
    <row r="6631">
      <c r="A6631" s="4" t="s">
        <v>8331</v>
      </c>
      <c r="B6631" s="4" t="s">
        <v>8334</v>
      </c>
      <c r="C6631" s="5" t="str">
        <f>IFERROR(__xludf.DUMMYFUNCTION("GOOGLETRANSLATE(B6631,""en"",""zh-CN"")"),"然后，他演示了如何使用机器。")</f>
        <v>然后，他演示了如何使用机器。</v>
      </c>
    </row>
    <row r="6632">
      <c r="A6632" s="4" t="s">
        <v>8335</v>
      </c>
      <c r="B6632" s="4" t="s">
        <v>8336</v>
      </c>
      <c r="C6632" s="5" t="str">
        <f>IFERROR(__xludf.DUMMYFUNCTION("GOOGLETRANSLATE(B6632,""en"",""zh-CN"")"),"一个男人跪在车库里看着地面上的工具。")</f>
        <v>一个男人跪在车库里看着地面上的工具。</v>
      </c>
    </row>
    <row r="6633">
      <c r="A6633" s="4" t="s">
        <v>8335</v>
      </c>
      <c r="B6633" s="4" t="s">
        <v>8337</v>
      </c>
      <c r="C6633" s="5" t="str">
        <f>IFERROR(__xludf.DUMMYFUNCTION("GOOGLETRANSLATE(B6633,""en"",""zh-CN"")"),"然后，他抓住金属面具，将自己正确定位在地板上。")</f>
        <v>然后，他抓住金属面具，将自己正确定位在地板上。</v>
      </c>
    </row>
    <row r="6634">
      <c r="A6634" s="4" t="s">
        <v>8335</v>
      </c>
      <c r="B6634" s="6" t="s">
        <v>8338</v>
      </c>
      <c r="C6634" s="5" t="str">
        <f>IFERROR(__xludf.DUMMYFUNCTION("GOOGLETRANSLATE(B6634,""en"",""zh-CN"")"),"一旦舒适，面具就被固定在适当的位置，他开始向地面上的物体发射。")</f>
        <v>一旦舒适，面具就被固定在适当的位置，他开始向地面上的物体发射。</v>
      </c>
    </row>
    <row r="6635">
      <c r="A6635" s="4" t="s">
        <v>8335</v>
      </c>
      <c r="B6635" s="4" t="s">
        <v>8339</v>
      </c>
      <c r="C6635" s="5" t="str">
        <f>IFERROR(__xludf.DUMMYFUNCTION("GOOGLETRANSLATE(B6635,""en"",""zh-CN"")"),"最后，他将其摘下，开始凿凿，然后击败它的生锈。")</f>
        <v>最后，他将其摘下，开始凿凿，然后击败它的生锈。</v>
      </c>
    </row>
    <row r="6636">
      <c r="A6636" s="4" t="s">
        <v>8340</v>
      </c>
      <c r="B6636" s="4" t="s">
        <v>8341</v>
      </c>
      <c r="C6636" s="5" t="str">
        <f>IFERROR(__xludf.DUMMYFUNCTION("GOOGLETRANSLATE(B6636,""en"",""zh-CN"")"),"看到一个人在脸上戴着口罩，手里拿着软管。")</f>
        <v>看到一个人在脸上戴着口罩，手里拿着软管。</v>
      </c>
    </row>
    <row r="6637">
      <c r="A6637" s="4" t="s">
        <v>8340</v>
      </c>
      <c r="B6637" s="4" t="s">
        <v>8342</v>
      </c>
      <c r="C6637" s="5" t="str">
        <f>IFERROR(__xludf.DUMMYFUNCTION("GOOGLETRANSLATE(B6637,""en"",""zh-CN"")"),"然后，该人开始用软管向围栏喷洒。")</f>
        <v>然后，该人开始用软管向围栏喷洒。</v>
      </c>
    </row>
    <row r="6638">
      <c r="A6638" s="4" t="s">
        <v>8340</v>
      </c>
      <c r="B6638" s="4" t="s">
        <v>8343</v>
      </c>
      <c r="C6638" s="5" t="str">
        <f>IFERROR(__xludf.DUMMYFUNCTION("GOOGLETRANSLATE(B6638,""en"",""zh-CN"")"),"当相机捕捉它的动作时，该人不断沿着栅栏喷洒。")</f>
        <v>当相机捕捉它的动作时，该人不断沿着栅栏喷洒。</v>
      </c>
    </row>
    <row r="6639">
      <c r="A6639" s="4" t="s">
        <v>8344</v>
      </c>
      <c r="B6639" s="6" t="s">
        <v>8345</v>
      </c>
      <c r="C6639" s="5" t="str">
        <f>IFERROR(__xludf.DUMMYFUNCTION("GOOGLETRANSLATE(B6639,""en"",""zh-CN"")"),"屏幕上介绍了一个女孩，她将演示她如何吹干头发。")</f>
        <v>屏幕上介绍了一个女孩，她将演示她如何吹干头发。</v>
      </c>
    </row>
    <row r="6640">
      <c r="A6640" s="4" t="s">
        <v>8344</v>
      </c>
      <c r="B6640" s="4" t="s">
        <v>8346</v>
      </c>
      <c r="C6640" s="5" t="str">
        <f>IFERROR(__xludf.DUMMYFUNCTION("GOOGLETRANSLATE(B6640,""en"",""zh-CN"")"),"她把一些慕斯放在手里，然后通过头发锻炼它。")</f>
        <v>她把一些慕斯放在手里，然后通过头发锻炼它。</v>
      </c>
    </row>
    <row r="6641">
      <c r="A6641" s="4" t="s">
        <v>8344</v>
      </c>
      <c r="B6641" s="4" t="s">
        <v>8347</v>
      </c>
      <c r="C6641" s="5" t="str">
        <f>IFERROR(__xludf.DUMMYFUNCTION("GOOGLETRANSLATE(B6641,""en"",""zh-CN"")"),"她拿出一个眉毛干燥机，开始从背面吹干头发。")</f>
        <v>她拿出一个眉毛干燥机，开始从背面吹干头发。</v>
      </c>
    </row>
    <row r="6642">
      <c r="A6642" s="4" t="s">
        <v>8344</v>
      </c>
      <c r="B6642" s="4" t="s">
        <v>8348</v>
      </c>
      <c r="C6642" s="5" t="str">
        <f>IFERROR(__xludf.DUMMYFUNCTION("GOOGLETRANSLATE(B6642,""en"",""zh-CN"")"),"她将头发切开，拿出刷子，并开始用刷子吹干头发。")</f>
        <v>她将头发切开，拿出刷子，并开始用刷子吹干头发。</v>
      </c>
    </row>
    <row r="6643">
      <c r="A6643" s="4" t="s">
        <v>8344</v>
      </c>
      <c r="B6643" s="4" t="s">
        <v>8349</v>
      </c>
      <c r="C6643" s="5" t="str">
        <f>IFERROR(__xludf.DUMMYFUNCTION("GOOGLETRANSLATE(B6643,""en"",""zh-CN"")"),"完成后，屏幕上的视频节目的闭幕学分。")</f>
        <v>完成后，屏幕上的视频节目的闭幕学分。</v>
      </c>
    </row>
    <row r="6644">
      <c r="A6644" s="4" t="s">
        <v>8350</v>
      </c>
      <c r="B6644" s="4" t="s">
        <v>8351</v>
      </c>
      <c r="C6644" s="5" t="str">
        <f>IFERROR(__xludf.DUMMYFUNCTION("GOOGLETRANSLATE(B6644,""en"",""zh-CN"")"),"一个女人站在横梁外面。")</f>
        <v>一个女人站在横梁外面。</v>
      </c>
    </row>
    <row r="6645">
      <c r="A6645" s="4" t="s">
        <v>8350</v>
      </c>
      <c r="B6645" s="4" t="s">
        <v>8352</v>
      </c>
      <c r="C6645" s="5" t="str">
        <f>IFERROR(__xludf.DUMMYFUNCTION("GOOGLETRANSLATE(B6645,""en"",""zh-CN"")"),"她安装横梁，然后进行几次翻转，并在酒吧上弹簧。")</f>
        <v>她安装横梁，然后进行几次翻转，并在酒吧上弹簧。</v>
      </c>
    </row>
    <row r="6646">
      <c r="A6646" s="4" t="s">
        <v>8350</v>
      </c>
      <c r="B6646" s="4" t="s">
        <v>8353</v>
      </c>
      <c r="C6646" s="5" t="str">
        <f>IFERROR(__xludf.DUMMYFUNCTION("GOOGLETRANSLATE(B6646,""en"",""zh-CN"")"),"她下马，举起双臂。")</f>
        <v>她下马，举起双臂。</v>
      </c>
    </row>
    <row r="6647">
      <c r="A6647" s="4" t="s">
        <v>8354</v>
      </c>
      <c r="B6647" s="4" t="s">
        <v>8355</v>
      </c>
      <c r="C6647" s="5" t="str">
        <f>IFERROR(__xludf.DUMMYFUNCTION("GOOGLETRANSLATE(B6647,""en"",""zh-CN"")"),"一个人在游泳池中游泳，而其他人则在她周围游泳。")</f>
        <v>一个人在游泳池中游泳，而其他人则在她周围游泳。</v>
      </c>
    </row>
    <row r="6648">
      <c r="A6648" s="4" t="s">
        <v>8354</v>
      </c>
      <c r="B6648" s="4" t="s">
        <v>8356</v>
      </c>
      <c r="C6648" s="5" t="str">
        <f>IFERROR(__xludf.DUMMYFUNCTION("GOOGLETRANSLATE(B6648,""en"",""zh-CN"")"),"人们在水中传递了一个球，而另一组球员则扮演着EH背景。")</f>
        <v>人们在水中传递了一个球，而另一组球员则扮演着EH背景。</v>
      </c>
    </row>
    <row r="6649">
      <c r="A6649" s="4" t="s">
        <v>8357</v>
      </c>
      <c r="B6649" s="4" t="s">
        <v>8358</v>
      </c>
      <c r="C6649" s="5" t="str">
        <f>IFERROR(__xludf.DUMMYFUNCTION("GOOGLETRANSLATE(B6649,""en"",""zh-CN"")"),"一位女士把猫抱在地板上。")</f>
        <v>一位女士把猫抱在地板上。</v>
      </c>
    </row>
    <row r="6650">
      <c r="A6650" s="4" t="s">
        <v>8357</v>
      </c>
      <c r="B6650" s="4" t="s">
        <v>8359</v>
      </c>
      <c r="C6650" s="5" t="str">
        <f>IFERROR(__xludf.DUMMYFUNCTION("GOOGLETRANSLATE(B6650,""en"",""zh-CN"")"),"那位女士然后剪辑了猫爪。")</f>
        <v>那位女士然后剪辑了猫爪。</v>
      </c>
    </row>
    <row r="6651">
      <c r="A6651" s="4" t="s">
        <v>8357</v>
      </c>
      <c r="B6651" s="4" t="s">
        <v>8360</v>
      </c>
      <c r="C6651" s="5" t="str">
        <f>IFERROR(__xludf.DUMMYFUNCTION("GOOGLETRANSLATE(B6651,""en"",""zh-CN"")"),"猫试图逃脱，该人用头发架平静了猫。")</f>
        <v>猫试图逃脱，该人用头发架平静了猫。</v>
      </c>
    </row>
    <row r="6652">
      <c r="A6652" s="4" t="s">
        <v>8357</v>
      </c>
      <c r="B6652" s="4" t="s">
        <v>8361</v>
      </c>
      <c r="C6652" s="5" t="str">
        <f>IFERROR(__xludf.DUMMYFUNCTION("GOOGLETRANSLATE(B6652,""en"",""zh-CN"")"),"猫试图逃脱。")</f>
        <v>猫试图逃脱。</v>
      </c>
    </row>
    <row r="6653">
      <c r="A6653" s="4" t="s">
        <v>8357</v>
      </c>
      <c r="B6653" s="6" t="s">
        <v>8362</v>
      </c>
      <c r="C6653" s="5" t="str">
        <f>IFERROR(__xludf.DUMMYFUNCTION("GOOGLETRANSLATE(B6653,""en"",""zh-CN"")"),"那位女士完成了猫的跑步，我们看到另一只猫坐在床上被混乱包围。")</f>
        <v>那位女士完成了猫的跑步，我们看到另一只猫坐在床上被混乱包围。</v>
      </c>
    </row>
    <row r="6654">
      <c r="A6654" s="4" t="s">
        <v>8363</v>
      </c>
      <c r="B6654" s="4" t="s">
        <v>8364</v>
      </c>
      <c r="C6654" s="5" t="str">
        <f>IFERROR(__xludf.DUMMYFUNCTION("GOOGLETRANSLATE(B6654,""en"",""zh-CN"")"),"两个人在房间里用弓箭和箭头战斗。")</f>
        <v>两个人在房间里用弓箭和箭头战斗。</v>
      </c>
    </row>
    <row r="6655">
      <c r="A6655" s="4" t="s">
        <v>8363</v>
      </c>
      <c r="B6655" s="4" t="s">
        <v>8365</v>
      </c>
      <c r="C6655" s="5" t="str">
        <f>IFERROR(__xludf.DUMMYFUNCTION("GOOGLETRANSLATE(B6655,""en"",""zh-CN"")"),"一个男人跳下一堆垫子。")</f>
        <v>一个男人跳下一堆垫子。</v>
      </c>
    </row>
    <row r="6656">
      <c r="A6656" s="4" t="s">
        <v>8363</v>
      </c>
      <c r="B6656" s="4" t="s">
        <v>8366</v>
      </c>
      <c r="C6656" s="5" t="str">
        <f>IFERROR(__xludf.DUMMYFUNCTION("GOOGLETRANSLATE(B6656,""en"",""zh-CN"")"),"另一个男人从墙上翻转。")</f>
        <v>另一个男人从墙上翻转。</v>
      </c>
    </row>
    <row r="6657">
      <c r="A6657" s="4" t="s">
        <v>8367</v>
      </c>
      <c r="B6657" s="4" t="s">
        <v>8368</v>
      </c>
      <c r="C6657" s="5" t="str">
        <f>IFERROR(__xludf.DUMMYFUNCTION("GOOGLETRANSLATE(B6657,""en"",""zh-CN"")"),"一个男人在车间里清洗一小块木板。")</f>
        <v>一个男人在车间里清洗一小块木板。</v>
      </c>
    </row>
    <row r="6658">
      <c r="A6658" s="4" t="s">
        <v>8367</v>
      </c>
      <c r="B6658" s="4" t="s">
        <v>8369</v>
      </c>
      <c r="C6658" s="5" t="str">
        <f>IFERROR(__xludf.DUMMYFUNCTION("GOOGLETRANSLATE(B6658,""en"",""zh-CN"")"),"然后，该男子使用法兰绒对木板彻底抛光。")</f>
        <v>然后，该男子使用法兰绒对木板彻底抛光。</v>
      </c>
    </row>
    <row r="6659">
      <c r="A6659" s="4" t="s">
        <v>8370</v>
      </c>
      <c r="B6659" s="4" t="s">
        <v>8371</v>
      </c>
      <c r="C6659" s="5" t="str">
        <f>IFERROR(__xludf.DUMMYFUNCTION("GOOGLETRANSLATE(B6659,""en"",""zh-CN"")"),"柠檬一次被榨汁，然后用糖放入锅中。")</f>
        <v>柠檬一次被榨汁，然后用糖放入锅中。</v>
      </c>
    </row>
    <row r="6660">
      <c r="A6660" s="4" t="s">
        <v>8370</v>
      </c>
      <c r="B6660" s="4" t="s">
        <v>8372</v>
      </c>
      <c r="C6660" s="5" t="str">
        <f>IFERROR(__xludf.DUMMYFUNCTION("GOOGLETRANSLATE(B6660,""en"",""zh-CN"")"),"添加了闪闪发光的水，然后将混合物添加到这种闪闪发光的柠檬水中。")</f>
        <v>添加了闪闪发光的水，然后将混合物添加到这种闪闪发光的柠檬水中。</v>
      </c>
    </row>
    <row r="6661">
      <c r="A6661" s="4" t="s">
        <v>8373</v>
      </c>
      <c r="B6661" s="4" t="s">
        <v>8374</v>
      </c>
      <c r="C6661" s="5" t="str">
        <f>IFERROR(__xludf.DUMMYFUNCTION("GOOGLETRANSLATE(B6661,""en"",""zh-CN"")"),"一个人在建筑物外面。")</f>
        <v>一个人在建筑物外面。</v>
      </c>
    </row>
    <row r="6662">
      <c r="A6662" s="4" t="s">
        <v>8373</v>
      </c>
      <c r="B6662" s="4" t="s">
        <v>8375</v>
      </c>
      <c r="C6662" s="5" t="str">
        <f>IFERROR(__xludf.DUMMYFUNCTION("GOOGLETRANSLATE(B6662,""en"",""zh-CN"")"),"他正在使用商业草坪割草设备。")</f>
        <v>他正在使用商业草坪割草设备。</v>
      </c>
    </row>
    <row r="6663">
      <c r="A6663" s="4" t="s">
        <v>8373</v>
      </c>
      <c r="B6663" s="4" t="s">
        <v>8376</v>
      </c>
      <c r="C6663" s="5" t="str">
        <f>IFERROR(__xludf.DUMMYFUNCTION("GOOGLETRANSLATE(B6663,""en"",""zh-CN"")"),"他割草时来回走动。")</f>
        <v>他割草时来回走动。</v>
      </c>
    </row>
    <row r="6664">
      <c r="A6664" s="4" t="s">
        <v>8377</v>
      </c>
      <c r="B6664" s="4" t="s">
        <v>8378</v>
      </c>
      <c r="C6664" s="5" t="str">
        <f>IFERROR(__xludf.DUMMYFUNCTION("GOOGLETRANSLATE(B6664,""en"",""zh-CN"")"),"一名戴着眼镜的老妇人站在汽车前。")</f>
        <v>一名戴着眼镜的老妇人站在汽车前。</v>
      </c>
    </row>
    <row r="6665">
      <c r="A6665" s="4" t="s">
        <v>8377</v>
      </c>
      <c r="B6665" s="4" t="s">
        <v>8379</v>
      </c>
      <c r="C6665" s="5" t="str">
        <f>IFERROR(__xludf.DUMMYFUNCTION("GOOGLETRANSLATE(B6665,""en"",""zh-CN"")"),"她走到车上，一开始就无法打开门。")</f>
        <v>她走到车上，一开始就无法打开门。</v>
      </c>
    </row>
    <row r="6666">
      <c r="A6666" s="4" t="s">
        <v>8377</v>
      </c>
      <c r="B6666" s="6" t="s">
        <v>8380</v>
      </c>
      <c r="C6666" s="5" t="str">
        <f>IFERROR(__xludf.DUMMYFUNCTION("GOOGLETRANSLATE(B6666,""en"",""zh-CN"")"),"她走进车内，然后下车，清理汽车的雪，然后再回去开车离开。")</f>
        <v>她走进车内，然后下车，清理汽车的雪，然后再回去开车离开。</v>
      </c>
    </row>
    <row r="6667">
      <c r="A6667" s="4" t="s">
        <v>8381</v>
      </c>
      <c r="B6667" s="4" t="s">
        <v>8382</v>
      </c>
      <c r="C6667" s="5" t="str">
        <f>IFERROR(__xludf.DUMMYFUNCTION("GOOGLETRANSLATE(B6667,""en"",""zh-CN"")"),"看到一个男人的脸的特写，紧随其后的是剃刀，梳理头发的人。")</f>
        <v>看到一个男人的脸的特写，紧随其后的是剃刀，梳理头发的人。</v>
      </c>
    </row>
    <row r="6668">
      <c r="A6668" s="4" t="s">
        <v>8381</v>
      </c>
      <c r="B6668" s="6" t="s">
        <v>8383</v>
      </c>
      <c r="C6668" s="5" t="str">
        <f>IFERROR(__xludf.DUMMYFUNCTION("GOOGLETRANSLATE(B6668,""en"",""zh-CN"")"),"该人继续剃光和梳理人的头发，以及用剃须奶油剃须的胡须覆盖物。")</f>
        <v>该人继续剃光和梳理人的头发，以及用剃须奶油剃须的胡须覆盖物。</v>
      </c>
    </row>
    <row r="6669">
      <c r="A6669" s="4" t="s">
        <v>8381</v>
      </c>
      <c r="B6669" s="4" t="s">
        <v>8384</v>
      </c>
      <c r="C6669" s="5" t="str">
        <f>IFERROR(__xludf.DUMMYFUNCTION("GOOGLETRANSLATE(B6669,""en"",""zh-CN"")"),"当他完成后，该男子擦掉脸部并炫耀干净的剃须。")</f>
        <v>当他完成后，该男子擦掉脸部并炫耀干净的剃须。</v>
      </c>
    </row>
    <row r="6670">
      <c r="A6670" s="4" t="s">
        <v>8385</v>
      </c>
      <c r="B6670" s="4" t="s">
        <v>8386</v>
      </c>
      <c r="C6670" s="5" t="str">
        <f>IFERROR(__xludf.DUMMYFUNCTION("GOOGLETRANSLATE(B6670,""en"",""zh-CN"")"),"显示了手肥皂瓶和人类的图纸。")</f>
        <v>显示了手肥皂瓶和人类的图纸。</v>
      </c>
    </row>
    <row r="6671">
      <c r="A6671" s="4" t="s">
        <v>8385</v>
      </c>
      <c r="B6671" s="6" t="s">
        <v>8387</v>
      </c>
      <c r="C6671" s="5" t="str">
        <f>IFERROR(__xludf.DUMMYFUNCTION("GOOGLETRANSLATE(B6671,""en"",""zh-CN"")"),"一个小女孩站在白色的水槽旁边，打开水龙头，洗手，用肥皂擦手，彻底冲洗她的手，关掉水，对相机微笑。")</f>
        <v>一个小女孩站在白色的水槽旁边，打开水龙头，洗手，用肥皂擦手，彻底冲洗她的手，关掉水，对相机微笑。</v>
      </c>
    </row>
    <row r="6672">
      <c r="A6672" s="4" t="s">
        <v>8388</v>
      </c>
      <c r="B6672" s="4" t="s">
        <v>8389</v>
      </c>
      <c r="C6672" s="5" t="str">
        <f>IFERROR(__xludf.DUMMYFUNCTION("GOOGLETRANSLATE(B6672,""en"",""zh-CN"")"),"我们在人群架上看到一个投球手并握住球。")</f>
        <v>我们在人群架上看到一个投球手并握住球。</v>
      </c>
    </row>
    <row r="6673">
      <c r="A6673" s="4" t="s">
        <v>8388</v>
      </c>
      <c r="B6673" s="6" t="s">
        <v>8390</v>
      </c>
      <c r="C6673" s="5" t="str">
        <f>IFERROR(__xludf.DUMMYFUNCTION("GOOGLETRANSLATE(B6673,""en"",""zh-CN"")"),"圆顶硬礼帽挥舞着，人群拍了拍，一位女士将手握在脸前，圆顶硬礼帽擦了手。")</f>
        <v>圆顶硬礼帽挥舞着，人群拍了拍，一位女士将手握在脸前，圆顶硬礼帽擦了手。</v>
      </c>
    </row>
    <row r="6674">
      <c r="A6674" s="4" t="s">
        <v>8388</v>
      </c>
      <c r="B6674" s="4" t="s">
        <v>8391</v>
      </c>
      <c r="C6674" s="5" t="str">
        <f>IFERROR(__xludf.DUMMYFUNCTION("GOOGLETRANSLATE(B6674,""en"",""zh-CN"")"),"该男子再次罢工并跌倒。")</f>
        <v>该男子再次罢工并跌倒。</v>
      </c>
    </row>
    <row r="6675">
      <c r="A6675" s="4" t="s">
        <v>8388</v>
      </c>
      <c r="B6675" s="4" t="s">
        <v>8392</v>
      </c>
      <c r="C6675" s="5" t="str">
        <f>IFERROR(__xludf.DUMMYFUNCTION("GOOGLETRANSLATE(B6675,""en"",""zh-CN"")"),"当人群拍手时，他从地面上升起。")</f>
        <v>当人群拍手时，他从地面上升起。</v>
      </c>
    </row>
    <row r="6676">
      <c r="A6676" s="4" t="s">
        <v>8388</v>
      </c>
      <c r="B6676" s="4" t="s">
        <v>8393</v>
      </c>
      <c r="C6676" s="5" t="str">
        <f>IFERROR(__xludf.DUMMYFUNCTION("GOOGLETRANSLATE(B6676,""en"",""zh-CN"")"),"该男子投了第三次罢工，被认为躺在地上。")</f>
        <v>该男子投了第三次罢工，被认为躺在地上。</v>
      </c>
    </row>
    <row r="6677">
      <c r="A6677" s="4" t="s">
        <v>8388</v>
      </c>
      <c r="B6677" s="6" t="s">
        <v>8394</v>
      </c>
      <c r="C6677" s="5" t="str">
        <f>IFERROR(__xludf.DUMMYFUNCTION("GOOGLETRANSLATE(B6677,""en"",""zh-CN"")"),"他站起来，握着人的手，我们看到一位女士握住她的手在她的脸前。")</f>
        <v>他站起来，握着人的手，我们看到一位女士握住她的手在她的脸前。</v>
      </c>
    </row>
    <row r="6678">
      <c r="A6678" s="4" t="s">
        <v>8388</v>
      </c>
      <c r="B6678" s="4" t="s">
        <v>8395</v>
      </c>
      <c r="C6678" s="5" t="str">
        <f>IFERROR(__xludf.DUMMYFUNCTION("GOOGLETRANSLATE(B6678,""en"",""zh-CN"")"),"然后，我们看到一个年长的男人独自在房间里说话。")</f>
        <v>然后，我们看到一个年长的男人独自在房间里说话。</v>
      </c>
    </row>
    <row r="6679">
      <c r="A6679" s="4" t="s">
        <v>8396</v>
      </c>
      <c r="B6679" s="4" t="s">
        <v>8397</v>
      </c>
      <c r="C6679" s="5" t="str">
        <f>IFERROR(__xludf.DUMMYFUNCTION("GOOGLETRANSLATE(B6679,""en"",""zh-CN"")"),"有一个男孩坐在一个带有水瓶和沙桶的沙滩建筑沙堡上。")</f>
        <v>有一个男孩坐在一个带有水瓶和沙桶的沙滩建筑沙堡上。</v>
      </c>
    </row>
    <row r="6680">
      <c r="A6680" s="4" t="s">
        <v>8396</v>
      </c>
      <c r="B6680" s="4" t="s">
        <v>8398</v>
      </c>
      <c r="C6680" s="5" t="str">
        <f>IFERROR(__xludf.DUMMYFUNCTION("GOOGLETRANSLATE(B6680,""en"",""zh-CN"")"),"另一个戴着粉红色浮标的小男孩奔跑并加入了他。")</f>
        <v>另一个戴着粉红色浮标的小男孩奔跑并加入了他。</v>
      </c>
    </row>
    <row r="6681">
      <c r="A6681" s="4" t="s">
        <v>8396</v>
      </c>
      <c r="B6681" s="4" t="s">
        <v>8399</v>
      </c>
      <c r="C6681" s="5" t="str">
        <f>IFERROR(__xludf.DUMMYFUNCTION("GOOGLETRANSLATE(B6681,""en"",""zh-CN"")"),"男孩在沙堡上倒了一些水。")</f>
        <v>男孩在沙堡上倒了一些水。</v>
      </c>
    </row>
    <row r="6682">
      <c r="A6682" s="4" t="s">
        <v>8396</v>
      </c>
      <c r="B6682" s="4" t="s">
        <v>8400</v>
      </c>
      <c r="C6682" s="5" t="str">
        <f>IFERROR(__xludf.DUMMYFUNCTION("GOOGLETRANSLATE(B6682,""en"",""zh-CN"")"),"然后，一个穿着粉红色花卉泳衣的女孩加入了男孩，并帮助他们建造沙堡。")</f>
        <v>然后，一个穿着粉红色花卉泳衣的女孩加入了男孩，并帮助他们建造沙堡。</v>
      </c>
    </row>
    <row r="6683">
      <c r="A6683" s="4" t="s">
        <v>8401</v>
      </c>
      <c r="B6683" s="4" t="s">
        <v>8402</v>
      </c>
      <c r="C6683" s="5" t="str">
        <f>IFERROR(__xludf.DUMMYFUNCTION("GOOGLETRANSLATE(B6683,""en"",""zh-CN"")"),"一个戴着眼镜和贝雷帽的男人在说话。")</f>
        <v>一个戴着眼镜和贝雷帽的男人在说话。</v>
      </c>
    </row>
    <row r="6684">
      <c r="A6684" s="4" t="s">
        <v>8401</v>
      </c>
      <c r="B6684" s="4" t="s">
        <v>8403</v>
      </c>
      <c r="C6684" s="5" t="str">
        <f>IFERROR(__xludf.DUMMYFUNCTION("GOOGLETRANSLATE(B6684,""en"",""zh-CN"")"),"在他还弹奏键盘时，他被证明在演奏口琴。")</f>
        <v>在他还弹奏键盘时，他被证明在演奏口琴。</v>
      </c>
    </row>
    <row r="6685">
      <c r="A6685" s="4" t="s">
        <v>8401</v>
      </c>
      <c r="B6685" s="4" t="s">
        <v>8404</v>
      </c>
      <c r="C6685" s="5" t="str">
        <f>IFERROR(__xludf.DUMMYFUNCTION("GOOGLETRANSLATE(B6685,""en"",""zh-CN"")"),"他谈到了两次演奏之间的Hormonica的机制。")</f>
        <v>他谈到了两次演奏之间的Hormonica的机制。</v>
      </c>
    </row>
    <row r="6686">
      <c r="A6686" s="4" t="s">
        <v>8405</v>
      </c>
      <c r="B6686" s="4" t="s">
        <v>8406</v>
      </c>
      <c r="C6686" s="5" t="str">
        <f>IFERROR(__xludf.DUMMYFUNCTION("GOOGLETRANSLATE(B6686,""en"",""zh-CN"")"),"一群男人，男孩和骆驼在沙漠地区。")</f>
        <v>一群男人，男孩和骆驼在沙漠地区。</v>
      </c>
    </row>
    <row r="6687">
      <c r="A6687" s="4" t="s">
        <v>8405</v>
      </c>
      <c r="B6687" s="4" t="s">
        <v>8407</v>
      </c>
      <c r="C6687" s="5" t="str">
        <f>IFERROR(__xludf.DUMMYFUNCTION("GOOGLETRANSLATE(B6687,""en"",""zh-CN"")"),"一个人坐在骆驼上。")</f>
        <v>一个人坐在骆驼上。</v>
      </c>
    </row>
    <row r="6688">
      <c r="A6688" s="4" t="s">
        <v>8405</v>
      </c>
      <c r="B6688" s="4" t="s">
        <v>8408</v>
      </c>
      <c r="C6688" s="5" t="str">
        <f>IFERROR(__xludf.DUMMYFUNCTION("GOOGLETRANSLATE(B6688,""en"",""zh-CN"")"),"该男子解释了骑骆驼的正确方法。")</f>
        <v>该男子解释了骑骆驼的正确方法。</v>
      </c>
    </row>
    <row r="6689">
      <c r="A6689" s="4" t="s">
        <v>8405</v>
      </c>
      <c r="B6689" s="4" t="s">
        <v>8409</v>
      </c>
      <c r="C6689" s="5" t="str">
        <f>IFERROR(__xludf.DUMMYFUNCTION("GOOGLETRANSLATE(B6689,""en"",""zh-CN"")"),"背景中的一个人拥有摄像机。")</f>
        <v>背景中的一个人拥有摄像机。</v>
      </c>
    </row>
    <row r="6690">
      <c r="A6690" s="4" t="s">
        <v>8405</v>
      </c>
      <c r="B6690" s="4" t="s">
        <v>8410</v>
      </c>
      <c r="C6690" s="5" t="str">
        <f>IFERROR(__xludf.DUMMYFUNCTION("GOOGLETRANSLATE(B6690,""en"",""zh-CN"")"),"另一个男人递给骆驼统治着那个男人骑行，骆驼开始行走。")</f>
        <v>另一个男人递给骆驼统治着那个男人骑行，骆驼开始行走。</v>
      </c>
    </row>
    <row r="6691">
      <c r="A6691" s="4" t="s">
        <v>8405</v>
      </c>
      <c r="B6691" s="4" t="s">
        <v>8411</v>
      </c>
      <c r="C6691" s="5" t="str">
        <f>IFERROR(__xludf.DUMMYFUNCTION("GOOGLETRANSLATE(B6691,""en"",""zh-CN"")"),"骆驼转过头，对那个骑他的男人大喊。")</f>
        <v>骆驼转过头，对那个骑他的男人大喊。</v>
      </c>
    </row>
    <row r="6692">
      <c r="A6692" s="4" t="s">
        <v>8405</v>
      </c>
      <c r="B6692" s="4" t="s">
        <v>8412</v>
      </c>
      <c r="C6692" s="5" t="str">
        <f>IFERROR(__xludf.DUMMYFUNCTION("GOOGLETRANSLATE(B6692,""en"",""zh-CN"")"),"骑行的男人踢了一侧的骆驼，他再次开始行走。")</f>
        <v>骑行的男人踢了一侧的骆驼，他再次开始行走。</v>
      </c>
    </row>
    <row r="6693">
      <c r="A6693" s="4" t="s">
        <v>8413</v>
      </c>
      <c r="B6693" s="4" t="s">
        <v>8414</v>
      </c>
      <c r="C6693" s="5" t="str">
        <f>IFERROR(__xludf.DUMMYFUNCTION("GOOGLETRANSLATE(B6693,""en"",""zh-CN"")"),"看到几个不同的人试图滑雪，但一遍又一遍地倒下。")</f>
        <v>看到几个不同的人试图滑雪，但一遍又一遍地倒下。</v>
      </c>
    </row>
    <row r="6694">
      <c r="A6694" s="4" t="s">
        <v>8413</v>
      </c>
      <c r="B6694" s="4" t="s">
        <v>8415</v>
      </c>
      <c r="C6694" s="5" t="str">
        <f>IFERROR(__xludf.DUMMYFUNCTION("GOOGLETRANSLATE(B6694,""en"",""zh-CN"")"),"许多不同的人在背景中观看和在雪中做不同的事情。")</f>
        <v>许多不同的人在背景中观看和在雪中做不同的事情。</v>
      </c>
    </row>
    <row r="6695">
      <c r="A6695" s="4" t="s">
        <v>8413</v>
      </c>
      <c r="B6695" s="4" t="s">
        <v>8416</v>
      </c>
      <c r="C6695" s="5" t="str">
        <f>IFERROR(__xludf.DUMMYFUNCTION("GOOGLETRANSLATE(B6695,""en"",""zh-CN"")"),"那个跌倒的人放弃并留在坐姿。")</f>
        <v>那个跌倒的人放弃并留在坐姿。</v>
      </c>
    </row>
    <row r="6696">
      <c r="A6696" s="4" t="s">
        <v>8417</v>
      </c>
      <c r="B6696" s="4" t="s">
        <v>8418</v>
      </c>
      <c r="C6696" s="5" t="str">
        <f>IFERROR(__xludf.DUMMYFUNCTION("GOOGLETRANSLATE(B6696,""en"",""zh-CN"")"),"看到一个男人在拿着香烟的同时在相机上说话。")</f>
        <v>看到一个男人在拿着香烟的同时在相机上说话。</v>
      </c>
    </row>
    <row r="6697">
      <c r="A6697" s="4" t="s">
        <v>8417</v>
      </c>
      <c r="B6697" s="4" t="s">
        <v>8419</v>
      </c>
      <c r="C6697" s="5" t="str">
        <f>IFERROR(__xludf.DUMMYFUNCTION("GOOGLETRANSLATE(B6697,""en"",""zh-CN"")"),"该男子从香烟中抽出几个泡沫，同时还回头看相机。")</f>
        <v>该男子从香烟中抽出几个泡沫，同时还回头看相机。</v>
      </c>
    </row>
    <row r="6698">
      <c r="A6698" s="4" t="s">
        <v>8417</v>
      </c>
      <c r="B6698" s="4" t="s">
        <v>8420</v>
      </c>
      <c r="C6698" s="5" t="str">
        <f>IFERROR(__xludf.DUMMYFUNCTION("GOOGLETRANSLATE(B6698,""en"",""zh-CN"")"),"他继续吸烟，回头回到相机。")</f>
        <v>他继续吸烟，回头回到相机。</v>
      </c>
    </row>
    <row r="6699">
      <c r="A6699" s="4" t="s">
        <v>8421</v>
      </c>
      <c r="B6699" s="4" t="s">
        <v>8422</v>
      </c>
      <c r="C6699" s="5" t="str">
        <f>IFERROR(__xludf.DUMMYFUNCTION("GOOGLETRANSLATE(B6699,""en"",""zh-CN"")"),"看到一个男人站在球场上，拿着网球拍。")</f>
        <v>看到一个男人站在球场上，拿着网球拍。</v>
      </c>
    </row>
    <row r="6700">
      <c r="A6700" s="4" t="s">
        <v>8421</v>
      </c>
      <c r="B6700" s="4" t="s">
        <v>8423</v>
      </c>
      <c r="C6700" s="5" t="str">
        <f>IFERROR(__xludf.DUMMYFUNCTION("GOOGLETRANSLATE(B6700,""en"",""zh-CN"")"),"然后，该名男子弹起球拍，击中了网球在顶部的平衡。")</f>
        <v>然后，该名男子弹起球拍，击中了网球在顶部的平衡。</v>
      </c>
    </row>
    <row r="6701">
      <c r="A6701" s="4" t="s">
        <v>8421</v>
      </c>
      <c r="B6701" s="4" t="s">
        <v>8424</v>
      </c>
      <c r="C6701" s="5" t="str">
        <f>IFERROR(__xludf.DUMMYFUNCTION("GOOGLETRANSLATE(B6701,""en"",""zh-CN"")"),"他的命中再次以慢动作显示。")</f>
        <v>他的命中再次以慢动作显示。</v>
      </c>
    </row>
    <row r="6702">
      <c r="A6702" s="4" t="s">
        <v>8425</v>
      </c>
      <c r="B6702" s="4" t="s">
        <v>8426</v>
      </c>
      <c r="C6702" s="5" t="str">
        <f>IFERROR(__xludf.DUMMYFUNCTION("GOOGLETRANSLATE(B6702,""en"",""zh-CN"")"),"我们看到一个穿着外套的男孩站在外面说话。")</f>
        <v>我们看到一个穿着外套的男孩站在外面说话。</v>
      </c>
    </row>
    <row r="6703">
      <c r="A6703" s="4" t="s">
        <v>8425</v>
      </c>
      <c r="B6703" s="4" t="s">
        <v>8427</v>
      </c>
      <c r="C6703" s="5" t="str">
        <f>IFERROR(__xludf.DUMMYFUNCTION("GOOGLETRANSLATE(B6703,""en"",""zh-CN"")"),"这个男孩去了一座建筑物。")</f>
        <v>这个男孩去了一座建筑物。</v>
      </c>
    </row>
    <row r="6704">
      <c r="A6704" s="4" t="s">
        <v>8425</v>
      </c>
      <c r="B6704" s="4" t="s">
        <v>8428</v>
      </c>
      <c r="C6704" s="5" t="str">
        <f>IFERROR(__xludf.DUMMYFUNCTION("GOOGLETRANSLATE(B6704,""en"",""zh-CN"")"),"男孩坐在椅子上并测试理发。")</f>
        <v>男孩坐在椅子上并测试理发。</v>
      </c>
    </row>
    <row r="6705">
      <c r="A6705" s="4" t="s">
        <v>8425</v>
      </c>
      <c r="B6705" s="4" t="s">
        <v>8429</v>
      </c>
      <c r="C6705" s="5" t="str">
        <f>IFERROR(__xludf.DUMMYFUNCTION("GOOGLETRANSLATE(B6705,""en"",""zh-CN"")"),"然后，女士使用剪刀。")</f>
        <v>然后，女士使用剪刀。</v>
      </c>
    </row>
    <row r="6706">
      <c r="A6706" s="4" t="s">
        <v>8425</v>
      </c>
      <c r="B6706" s="4" t="s">
        <v>8430</v>
      </c>
      <c r="C6706" s="5" t="str">
        <f>IFERROR(__xludf.DUMMYFUNCTION("GOOGLETRANSLATE(B6706,""en"",""zh-CN"")"),"我们看到孩子剪了他的新发型。")</f>
        <v>我们看到孩子剪了他的新发型。</v>
      </c>
    </row>
    <row r="6707">
      <c r="A6707" s="4" t="s">
        <v>8425</v>
      </c>
      <c r="B6707" s="4" t="s">
        <v>8431</v>
      </c>
      <c r="C6707" s="5" t="str">
        <f>IFERROR(__xludf.DUMMYFUNCTION("GOOGLETRANSLATE(B6707,""en"",""zh-CN"")"),"那位女士给小男孩一个红色的气球。")</f>
        <v>那位女士给小男孩一个红色的气球。</v>
      </c>
    </row>
    <row r="6708">
      <c r="A6708" s="4" t="s">
        <v>8425</v>
      </c>
      <c r="B6708" s="4" t="s">
        <v>8432</v>
      </c>
      <c r="C6708" s="5" t="str">
        <f>IFERROR(__xludf.DUMMYFUNCTION("GOOGLETRANSLATE(B6708,""en"",""zh-CN"")"),"当他走到门口时，我们看到了男孩。")</f>
        <v>当他走到门口时，我们看到了男孩。</v>
      </c>
    </row>
    <row r="6709">
      <c r="A6709" s="4" t="s">
        <v>8433</v>
      </c>
      <c r="B6709" s="4" t="s">
        <v>8434</v>
      </c>
      <c r="C6709" s="5" t="str">
        <f>IFERROR(__xludf.DUMMYFUNCTION("GOOGLETRANSLATE(B6709,""en"",""zh-CN"")"),"一个男人向相机介绍自己，并说他将展示如何火。")</f>
        <v>一个男人向相机介绍自己，并说他将展示如何火。</v>
      </c>
    </row>
    <row r="6710">
      <c r="A6710" s="4" t="s">
        <v>8433</v>
      </c>
      <c r="B6710" s="4" t="s">
        <v>8435</v>
      </c>
      <c r="C6710" s="5" t="str">
        <f>IFERROR(__xludf.DUMMYFUNCTION("GOOGLETRANSLATE(B6710,""en"",""zh-CN"")"),"他开始打破起始棍子，并将叶子放在填充的火坑的底部。")</f>
        <v>他开始打破起始棍子，并将叶子放在填充的火坑的底部。</v>
      </c>
    </row>
    <row r="6711">
      <c r="A6711" s="4" t="s">
        <v>8433</v>
      </c>
      <c r="B6711" s="4" t="s">
        <v>8436</v>
      </c>
      <c r="C6711" s="5" t="str">
        <f>IFERROR(__xludf.DUMMYFUNCTION("GOOGLETRANSLATE(B6711,""en"",""zh-CN"")"),"他打开打火机，从叶子开始在底部。")</f>
        <v>他打开打火机，从叶子开始在底部。</v>
      </c>
    </row>
    <row r="6712">
      <c r="A6712" s="4" t="s">
        <v>8433</v>
      </c>
      <c r="B6712" s="4" t="s">
        <v>8437</v>
      </c>
      <c r="C6712" s="5" t="str">
        <f>IFERROR(__xludf.DUMMYFUNCTION("GOOGLETRANSLATE(B6712,""en"",""zh-CN"")"),"我们晚上看到了全部火。")</f>
        <v>我们晚上看到了全部火。</v>
      </c>
    </row>
    <row r="6713">
      <c r="A6713" s="4" t="s">
        <v>8438</v>
      </c>
      <c r="B6713" s="4" t="s">
        <v>8439</v>
      </c>
      <c r="C6713" s="5" t="str">
        <f>IFERROR(__xludf.DUMMYFUNCTION("GOOGLETRANSLATE(B6713,""en"",""zh-CN"")"),"一个红色工作服的男孩正在玩啤酒花。")</f>
        <v>一个红色工作服的男孩正在玩啤酒花。</v>
      </c>
    </row>
    <row r="6714">
      <c r="A6714" s="4" t="s">
        <v>8438</v>
      </c>
      <c r="B6714" s="4" t="s">
        <v>8440</v>
      </c>
      <c r="C6714" s="5" t="str">
        <f>IFERROR(__xludf.DUMMYFUNCTION("GOOGLETRANSLATE(B6714,""en"",""zh-CN"")"),"一个女人走在他身后，坐下。")</f>
        <v>一个女人走在他身后，坐下。</v>
      </c>
    </row>
    <row r="6715">
      <c r="A6715" s="4" t="s">
        <v>8438</v>
      </c>
      <c r="B6715" s="4" t="s">
        <v>8441</v>
      </c>
      <c r="C6715" s="5" t="str">
        <f>IFERROR(__xludf.DUMMYFUNCTION("GOOGLETRANSLATE(B6715,""en"",""zh-CN"")"),"男孩完成并伸手去拍摄。")</f>
        <v>男孩完成并伸手去拍摄。</v>
      </c>
    </row>
    <row r="6716">
      <c r="A6716" s="4" t="s">
        <v>8442</v>
      </c>
      <c r="B6716" s="6" t="s">
        <v>8443</v>
      </c>
      <c r="C6716" s="5" t="str">
        <f>IFERROR(__xludf.DUMMYFUNCTION("GOOGLETRANSLATE(B6716,""en"",""zh-CN"")"),"四个小女孩穿着白色连衣裙，带有红色窗扇，站在舞台上，一起玩小提琴。")</f>
        <v>四个小女孩穿着白色连衣裙，带有红色窗扇，站在舞台上，一起玩小提琴。</v>
      </c>
    </row>
    <row r="6717">
      <c r="A6717" s="4" t="s">
        <v>8442</v>
      </c>
      <c r="B6717" s="4" t="s">
        <v>8444</v>
      </c>
      <c r="C6717" s="5" t="str">
        <f>IFERROR(__xludf.DUMMYFUNCTION("GOOGLETRANSLATE(B6717,""en"",""zh-CN"")"),"四个小女孩开始在舞台上以粉红色背景的舞台上玩小提琴。")</f>
        <v>四个小女孩开始在舞台上以粉红色背景的舞台上玩小提琴。</v>
      </c>
    </row>
    <row r="6718">
      <c r="A6718" s="4" t="s">
        <v>8442</v>
      </c>
      <c r="B6718" s="6" t="s">
        <v>8445</v>
      </c>
      <c r="C6718" s="5" t="str">
        <f>IFERROR(__xludf.DUMMYFUNCTION("GOOGLETRANSLATE(B6718,""en"",""zh-CN"")"),"女孩一起玩耍，然后用双手打小提琴，然后再结束表演并一起鞠躬。")</f>
        <v>女孩一起玩耍，然后用双手打小提琴，然后再结束表演并一起鞠躬。</v>
      </c>
    </row>
    <row r="6719">
      <c r="A6719" s="4" t="s">
        <v>8446</v>
      </c>
      <c r="B6719" s="6" t="s">
        <v>8447</v>
      </c>
      <c r="C6719" s="5" t="str">
        <f>IFERROR(__xludf.DUMMYFUNCTION("GOOGLETRANSLATE(B6719,""en"",""zh-CN"")"),"看到一小群男人在各种马上骑着棍子骑着棍子，并为比赛做准备。")</f>
        <v>看到一小群男人在各种马上骑着棍子骑着棍子，并为比赛做准备。</v>
      </c>
    </row>
    <row r="6720">
      <c r="A6720" s="4" t="s">
        <v>8446</v>
      </c>
      <c r="B6720" s="6" t="s">
        <v>8448</v>
      </c>
      <c r="C6720" s="5" t="str">
        <f>IFERROR(__xludf.DUMMYFUNCTION("GOOGLETRANSLATE(B6720,""en"",""zh-CN"")"),"然后，这些人将球扔下，所有人都骑着骑马试图击球，一个进球。")</f>
        <v>然后，这些人将球扔下，所有人都骑着骑马试图击球，一个进球。</v>
      </c>
    </row>
    <row r="6721">
      <c r="A6721" s="4" t="s">
        <v>8446</v>
      </c>
      <c r="B6721" s="4" t="s">
        <v>8449</v>
      </c>
      <c r="C6721" s="5" t="str">
        <f>IFERROR(__xludf.DUMMYFUNCTION("GOOGLETRANSLATE(B6721,""en"",""zh-CN"")"),"一个人举起旗帜，并向其他人看着侧面。")</f>
        <v>一个人举起旗帜，并向其他人看着侧面。</v>
      </c>
    </row>
    <row r="6722">
      <c r="A6722" s="4" t="s">
        <v>8446</v>
      </c>
      <c r="B6722" s="4" t="s">
        <v>8450</v>
      </c>
      <c r="C6722" s="5" t="str">
        <f>IFERROR(__xludf.DUMMYFUNCTION("GOOGLETRANSLATE(B6722,""en"",""zh-CN"")"),"然后，一个人进一步取得了两个进球，守门员每次都会举起旗帜。")</f>
        <v>然后，一个人进一步取得了两个进球，守门员每次都会举起旗帜。</v>
      </c>
    </row>
    <row r="6723">
      <c r="A6723" s="4" t="s">
        <v>8451</v>
      </c>
      <c r="B6723" s="4" t="s">
        <v>8452</v>
      </c>
      <c r="C6723" s="5" t="str">
        <f>IFERROR(__xludf.DUMMYFUNCTION("GOOGLETRANSLATE(B6723,""en"",""zh-CN"")"),"一个男孩握着一个很长的杆子。")</f>
        <v>一个男孩握着一个很长的杆子。</v>
      </c>
    </row>
    <row r="6724">
      <c r="A6724" s="4" t="s">
        <v>8451</v>
      </c>
      <c r="B6724" s="4" t="s">
        <v>8453</v>
      </c>
      <c r="C6724" s="5" t="str">
        <f>IFERROR(__xludf.DUMMYFUNCTION("GOOGLETRANSLATE(B6724,""en"",""zh-CN"")"),"相机突然直立。")</f>
        <v>相机突然直立。</v>
      </c>
    </row>
    <row r="6725">
      <c r="A6725" s="4" t="s">
        <v>8451</v>
      </c>
      <c r="B6725" s="4" t="s">
        <v>8454</v>
      </c>
      <c r="C6725" s="5" t="str">
        <f>IFERROR(__xludf.DUMMYFUNCTION("GOOGLETRANSLATE(B6725,""en"",""zh-CN"")"),"这个男孩用杆子奔跑，拱顶在酒吧上并登上垫子。")</f>
        <v>这个男孩用杆子奔跑，拱顶在酒吧上并登上垫子。</v>
      </c>
    </row>
    <row r="6726">
      <c r="A6726" s="4" t="s">
        <v>8455</v>
      </c>
      <c r="B6726" s="4" t="s">
        <v>8456</v>
      </c>
      <c r="C6726" s="5" t="str">
        <f>IFERROR(__xludf.DUMMYFUNCTION("GOOGLETRANSLATE(B6726,""en"",""zh-CN"")"),"介绍出现在屏幕上，以获取有关混合一种名为“ Yah Yah”饮料的视频。")</f>
        <v>介绍出现在屏幕上，以获取有关混合一种名为“ Yah Yah”饮料的视频。</v>
      </c>
    </row>
    <row r="6727">
      <c r="A6727" s="4" t="s">
        <v>8455</v>
      </c>
      <c r="B6727" s="4" t="s">
        <v>8457</v>
      </c>
      <c r="C6727" s="5" t="str">
        <f>IFERROR(__xludf.DUMMYFUNCTION("GOOGLETRANSLATE(B6727,""en"",""zh-CN"")"),"她讨论了饮料所需的所有成分。")</f>
        <v>她讨论了饮料所需的所有成分。</v>
      </c>
    </row>
    <row r="6728">
      <c r="A6728" s="4" t="s">
        <v>8455</v>
      </c>
      <c r="B6728" s="4" t="s">
        <v>8458</v>
      </c>
      <c r="C6728" s="5" t="str">
        <f>IFERROR(__xludf.DUMMYFUNCTION("GOOGLETRANSLATE(B6728,""en"",""zh-CN"")"),"她首先要拿一杯并用冰填充杯子。")</f>
        <v>她首先要拿一杯并用冰填充杯子。</v>
      </c>
    </row>
    <row r="6729">
      <c r="A6729" s="4" t="s">
        <v>8455</v>
      </c>
      <c r="B6729" s="4" t="s">
        <v>8459</v>
      </c>
      <c r="C6729" s="5" t="str">
        <f>IFERROR(__xludf.DUMMYFUNCTION("GOOGLETRANSLATE(B6729,""en"",""zh-CN"")"),"她将所有成分加入冰上的玻璃杯中。")</f>
        <v>她将所有成分加入冰上的玻璃杯中。</v>
      </c>
    </row>
    <row r="6730">
      <c r="A6730" s="4" t="s">
        <v>8455</v>
      </c>
      <c r="B6730" s="4" t="s">
        <v>4959</v>
      </c>
      <c r="C6730" s="5" t="str">
        <f>IFERROR(__xludf.DUMMYFUNCTION("GOOGLETRANSLATE(B6730,""en"",""zh-CN"")"),"视频以结束信用结束。")</f>
        <v>视频以结束信用结束。</v>
      </c>
    </row>
    <row r="6731">
      <c r="A6731" s="4" t="s">
        <v>8460</v>
      </c>
      <c r="B6731" s="4" t="s">
        <v>8461</v>
      </c>
      <c r="C6731" s="5" t="str">
        <f>IFERROR(__xludf.DUMMYFUNCTION("GOOGLETRANSLATE(B6731,""en"",""zh-CN"")"),"我们看到一个人在挥舞着东西。")</f>
        <v>我们看到一个人在挥舞着东西。</v>
      </c>
    </row>
    <row r="6732">
      <c r="A6732" s="4" t="s">
        <v>8460</v>
      </c>
      <c r="B6732" s="4" t="s">
        <v>8462</v>
      </c>
      <c r="C6732" s="5" t="str">
        <f>IFERROR(__xludf.DUMMYFUNCTION("GOOGLETRANSLATE(B6732,""en"",""zh-CN"")"),"一个白屏，然后在厨房里有两个男孩。")</f>
        <v>一个白屏，然后在厨房里有两个男孩。</v>
      </c>
    </row>
    <row r="6733">
      <c r="A6733" s="4" t="s">
        <v>8460</v>
      </c>
      <c r="B6733" s="4" t="s">
        <v>8463</v>
      </c>
      <c r="C6733" s="5" t="str">
        <f>IFERROR(__xludf.DUMMYFUNCTION("GOOGLETRANSLATE(B6733,""en"",""zh-CN"")"),"我们看到了带有成分的柜台。")</f>
        <v>我们看到了带有成分的柜台。</v>
      </c>
    </row>
    <row r="6734">
      <c r="A6734" s="4" t="s">
        <v>8460</v>
      </c>
      <c r="B6734" s="4" t="s">
        <v>8464</v>
      </c>
      <c r="C6734" s="5" t="str">
        <f>IFERROR(__xludf.DUMMYFUNCTION("GOOGLETRANSLATE(B6734,""en"",""zh-CN"")"),"然后，男孩在碗中混合食材。")</f>
        <v>然后，男孩在碗中混合食材。</v>
      </c>
    </row>
    <row r="6735">
      <c r="A6735" s="4" t="s">
        <v>8460</v>
      </c>
      <c r="B6735" s="4" t="s">
        <v>8465</v>
      </c>
      <c r="C6735" s="5" t="str">
        <f>IFERROR(__xludf.DUMMYFUNCTION("GOOGLETRANSLATE(B6735,""en"",""zh-CN"")"),"我们看到一个人在碗中转移面粉。")</f>
        <v>我们看到一个人在碗中转移面粉。</v>
      </c>
    </row>
    <row r="6736">
      <c r="A6736" s="4" t="s">
        <v>8460</v>
      </c>
      <c r="B6736" s="4" t="s">
        <v>8466</v>
      </c>
      <c r="C6736" s="5" t="str">
        <f>IFERROR(__xludf.DUMMYFUNCTION("GOOGLETRANSLATE(B6736,""en"",""zh-CN"")"),"有人在碗里搅拌饼干面团。")</f>
        <v>有人在碗里搅拌饼干面团。</v>
      </c>
    </row>
    <row r="6737">
      <c r="A6737" s="4" t="s">
        <v>8460</v>
      </c>
      <c r="B6737" s="4" t="s">
        <v>8467</v>
      </c>
      <c r="C6737" s="5" t="str">
        <f>IFERROR(__xludf.DUMMYFUNCTION("GOOGLETRANSLATE(B6737,""en"",""zh-CN"")"),"面团放在床单上。")</f>
        <v>面团放在床单上。</v>
      </c>
    </row>
    <row r="6738">
      <c r="A6738" s="4" t="s">
        <v>8460</v>
      </c>
      <c r="B6738" s="4" t="s">
        <v>8468</v>
      </c>
      <c r="C6738" s="5" t="str">
        <f>IFERROR(__xludf.DUMMYFUNCTION("GOOGLETRANSLATE(B6738,""en"",""zh-CN"")"),"一个男孩洗碗。")</f>
        <v>一个男孩洗碗。</v>
      </c>
    </row>
    <row r="6739">
      <c r="A6739" s="4" t="s">
        <v>8460</v>
      </c>
      <c r="B6739" s="4" t="s">
        <v>8469</v>
      </c>
      <c r="C6739" s="5" t="str">
        <f>IFERROR(__xludf.DUMMYFUNCTION("GOOGLETRANSLATE(B6739,""en"",""zh-CN"")"),"饼干放在烤箱中。")</f>
        <v>饼干放在烤箱中。</v>
      </c>
    </row>
    <row r="6740">
      <c r="A6740" s="4" t="s">
        <v>8460</v>
      </c>
      <c r="B6740" s="4" t="s">
        <v>8470</v>
      </c>
      <c r="C6740" s="5" t="str">
        <f>IFERROR(__xludf.DUMMYFUNCTION("GOOGLETRANSLATE(B6740,""en"",""zh-CN"")"),"一个男孩弹另一个男孩唱歌的吉他。")</f>
        <v>一个男孩弹另一个男孩唱歌的吉他。</v>
      </c>
    </row>
    <row r="6741">
      <c r="A6741" s="4" t="s">
        <v>8460</v>
      </c>
      <c r="B6741" s="4" t="s">
        <v>8471</v>
      </c>
      <c r="C6741" s="5" t="str">
        <f>IFERROR(__xludf.DUMMYFUNCTION("GOOGLETRANSLATE(B6741,""en"",""zh-CN"")"),"每个男孩都吃了一个饼干，我们看到它们从烤箱里出来。")</f>
        <v>每个男孩都吃了一个饼干，我们看到它们从烤箱里出来。</v>
      </c>
    </row>
    <row r="6742">
      <c r="A6742" s="4" t="s">
        <v>8460</v>
      </c>
      <c r="B6742" s="4" t="s">
        <v>8472</v>
      </c>
      <c r="C6742" s="5" t="str">
        <f>IFERROR(__xludf.DUMMYFUNCTION("GOOGLETRANSLATE(B6742,""en"",""zh-CN"")"),"一个戳戳的饼干破裂了。")</f>
        <v>一个戳戳的饼干破裂了。</v>
      </c>
    </row>
    <row r="6743">
      <c r="A6743" s="4" t="s">
        <v>8460</v>
      </c>
      <c r="B6743" s="4" t="s">
        <v>8473</v>
      </c>
      <c r="C6743" s="5" t="str">
        <f>IFERROR(__xludf.DUMMYFUNCTION("GOOGLETRANSLATE(B6743,""en"",""zh-CN"")"),"一个男孩摇了摇头，与一只大黑狗一起玩。")</f>
        <v>一个男孩摇了摇头，与一只大黑狗一起玩。</v>
      </c>
    </row>
    <row r="6744">
      <c r="A6744" s="4" t="s">
        <v>8474</v>
      </c>
      <c r="B6744" s="4" t="s">
        <v>8475</v>
      </c>
      <c r="C6744" s="5" t="str">
        <f>IFERROR(__xludf.DUMMYFUNCTION("GOOGLETRANSLATE(B6744,""en"",""zh-CN"")"),"一个男人用水向水槽里洗脸，把乳液放在手里。")</f>
        <v>一个男人用水向水槽里洗脸，把乳液放在手里。</v>
      </c>
    </row>
    <row r="6745">
      <c r="A6745" s="4" t="s">
        <v>8474</v>
      </c>
      <c r="B6745" s="4" t="s">
        <v>8476</v>
      </c>
      <c r="C6745" s="5" t="str">
        <f>IFERROR(__xludf.DUMMYFUNCTION("GOOGLETRANSLATE(B6745,""en"",""zh-CN"")"),"他将肥皂擦在手中，并彻底地按摩到他的脸上。")</f>
        <v>他将肥皂擦在手中，并彻底地按摩到他的脸上。</v>
      </c>
    </row>
    <row r="6746">
      <c r="A6746" s="4" t="s">
        <v>8474</v>
      </c>
      <c r="B6746" s="4" t="s">
        <v>8477</v>
      </c>
      <c r="C6746" s="5" t="str">
        <f>IFERROR(__xludf.DUMMYFUNCTION("GOOGLETRANSLATE(B6746,""en"",""zh-CN"")"),"然后，他用毛巾擦去脸部，与镜头说话，倒更多乳液。")</f>
        <v>然后，他用毛巾擦去脸部，与镜头说话，倒更多乳液。</v>
      </c>
    </row>
    <row r="6747">
      <c r="A6747" s="4" t="s">
        <v>8474</v>
      </c>
      <c r="B6747" s="4" t="s">
        <v>8478</v>
      </c>
      <c r="C6747" s="5" t="str">
        <f>IFERROR(__xludf.DUMMYFUNCTION("GOOGLETRANSLATE(B6747,""en"",""zh-CN"")"),"他再次将乳液压在脸上，并显示了他的脸。")</f>
        <v>他再次将乳液压在脸上，并显示了他的脸。</v>
      </c>
    </row>
    <row r="6748">
      <c r="A6748" s="4" t="s">
        <v>8479</v>
      </c>
      <c r="B6748" s="6" t="s">
        <v>8480</v>
      </c>
      <c r="C6748" s="5" t="str">
        <f>IFERROR(__xludf.DUMMYFUNCTION("GOOGLETRANSLATE(B6748,""en"",""zh-CN"")"),"一群年轻人在野外打曲棍球，而一个男人从与比赛场接壤的篱笆上看着曲棍球。")</f>
        <v>一群年轻人在野外打曲棍球，而一个男人从与比赛场接壤的篱笆上看着曲棍球。</v>
      </c>
    </row>
    <row r="6749">
      <c r="A6749" s="4" t="s">
        <v>8479</v>
      </c>
      <c r="B6749" s="6" t="s">
        <v>8481</v>
      </c>
      <c r="C6749" s="5" t="str">
        <f>IFERROR(__xludf.DUMMYFUNCTION("GOOGLETRANSLATE(B6749,""en"",""zh-CN"")"),"一名曲棍球射门齿轮的男子位于穿着曲棍球服装的年轻人组成的半圈中心。")</f>
        <v>一名曲棍球射门齿轮的男子位于穿着曲棍球服装的年轻人组成的半圈中心。</v>
      </c>
    </row>
    <row r="6750">
      <c r="A6750" s="4" t="s">
        <v>8479</v>
      </c>
      <c r="B6750" s="6" t="s">
        <v>8482</v>
      </c>
      <c r="C6750" s="5" t="str">
        <f>IFERROR(__xludf.DUMMYFUNCTION("GOOGLETRANSLATE(B6750,""en"",""zh-CN"")"),"当人们打曲棍球时，该男子在场外采访，并在某一时刻为球员提供了勃艮第球衣。")</f>
        <v>当人们打曲棍球时，该男子在场外采访，并在某一时刻为球员提供了勃艮第球衣。</v>
      </c>
    </row>
    <row r="6751">
      <c r="A6751" s="4" t="s">
        <v>8479</v>
      </c>
      <c r="B6751" s="6" t="s">
        <v>8483</v>
      </c>
      <c r="C6751" s="5" t="str">
        <f>IFERROR(__xludf.DUMMYFUNCTION("GOOGLETRANSLATE(B6751,""en"",""zh-CN"")"),"然后，该男子打了一场曲棍球比赛，他在半圆圈中再次站在半圈中，上下扔球，看着被球员包围的相机。")</f>
        <v>然后，该男子打了一场曲棍球比赛，他在半圆圈中再次站在半圈中，上下扔球，看着被球员包围的相机。</v>
      </c>
    </row>
    <row r="6752">
      <c r="A6752" s="4" t="s">
        <v>8484</v>
      </c>
      <c r="B6752" s="4" t="s">
        <v>8485</v>
      </c>
      <c r="C6752" s="5" t="str">
        <f>IFERROR(__xludf.DUMMYFUNCTION("GOOGLETRANSLATE(B6752,""en"",""zh-CN"")"),"一个人进入一个房间，将石膏堆放到底座上。")</f>
        <v>一个人进入一个房间，将石膏堆放到底座上。</v>
      </c>
    </row>
    <row r="6753">
      <c r="A6753" s="4" t="s">
        <v>8484</v>
      </c>
      <c r="B6753" s="4" t="s">
        <v>8486</v>
      </c>
      <c r="C6753" s="5" t="str">
        <f>IFERROR(__xludf.DUMMYFUNCTION("GOOGLETRANSLATE(B6753,""en"",""zh-CN"")"),"该男子在墙上添加石膏，然后得到更多并添加。")</f>
        <v>该男子在墙上添加石膏，然后得到更多并添加。</v>
      </c>
    </row>
    <row r="6754">
      <c r="A6754" s="4" t="s">
        <v>8484</v>
      </c>
      <c r="B6754" s="4" t="s">
        <v>8487</v>
      </c>
      <c r="C6754" s="5" t="str">
        <f>IFERROR(__xludf.DUMMYFUNCTION("GOOGLETRANSLATE(B6754,""en"",""zh-CN"")"),"该男子得到更多的石膏，然后将其刷在墙上。")</f>
        <v>该男子得到更多的石膏，然后将其刷在墙上。</v>
      </c>
    </row>
    <row r="6755">
      <c r="A6755" s="4" t="s">
        <v>8484</v>
      </c>
      <c r="B6755" s="4" t="s">
        <v>8488</v>
      </c>
      <c r="C6755" s="5" t="str">
        <f>IFERROR(__xludf.DUMMYFUNCTION("GOOGLETRANSLATE(B6755,""en"",""zh-CN"")"),"然后，男人走路并关闭相机。")</f>
        <v>然后，男人走路并关闭相机。</v>
      </c>
    </row>
    <row r="6756">
      <c r="A6756" s="4" t="s">
        <v>8489</v>
      </c>
      <c r="B6756" s="4" t="s">
        <v>8490</v>
      </c>
      <c r="C6756" s="5" t="str">
        <f>IFERROR(__xludf.DUMMYFUNCTION("GOOGLETRANSLATE(B6756,""en"",""zh-CN"")"),"男人和女人站在跳入湖泊的一块大石头上。")</f>
        <v>男人和女人站在跳入湖泊的一块大石头上。</v>
      </c>
    </row>
    <row r="6757">
      <c r="A6757" s="4" t="s">
        <v>8489</v>
      </c>
      <c r="B6757" s="4" t="s">
        <v>8491</v>
      </c>
      <c r="C6757" s="5" t="str">
        <f>IFERROR(__xludf.DUMMYFUNCTION("GOOGLETRANSLATE(B6757,""en"",""zh-CN"")"),"wo的家伙正坐在岩石的一侧与湖上的一个女人交谈。")</f>
        <v>wo的家伙正坐在岩石的一侧与湖上的一个女人交谈。</v>
      </c>
    </row>
    <row r="6758">
      <c r="A6758" s="4" t="s">
        <v>8492</v>
      </c>
      <c r="B6758" s="4" t="s">
        <v>8493</v>
      </c>
      <c r="C6758" s="5" t="str">
        <f>IFERROR(__xludf.DUMMYFUNCTION("GOOGLETRANSLATE(B6758,""en"",""zh-CN"")"),"在海洋附近看到一个大悬崖。")</f>
        <v>在海洋附近看到一个大悬崖。</v>
      </c>
    </row>
    <row r="6759">
      <c r="A6759" s="4" t="s">
        <v>8492</v>
      </c>
      <c r="B6759" s="4" t="s">
        <v>8494</v>
      </c>
      <c r="C6759" s="5" t="str">
        <f>IFERROR(__xludf.DUMMYFUNCTION("GOOGLETRANSLATE(B6759,""en"",""zh-CN"")"),"附近有几艘船，人们在该地区划独木舟。")</f>
        <v>附近有几艘船，人们在该地区划独木舟。</v>
      </c>
    </row>
    <row r="6760">
      <c r="A6760" s="4" t="s">
        <v>8492</v>
      </c>
      <c r="B6760" s="4" t="s">
        <v>8495</v>
      </c>
      <c r="C6760" s="5" t="str">
        <f>IFERROR(__xludf.DUMMYFUNCTION("GOOGLETRANSLATE(B6760,""en"",""zh-CN"")"),"一个男人正在抬起悬崖的侧面。")</f>
        <v>一个男人正在抬起悬崖的侧面。</v>
      </c>
    </row>
    <row r="6761">
      <c r="A6761" s="4" t="s">
        <v>8492</v>
      </c>
      <c r="B6761" s="4" t="s">
        <v>8496</v>
      </c>
      <c r="C6761" s="5" t="str">
        <f>IFERROR(__xludf.DUMMYFUNCTION("GOOGLETRANSLATE(B6761,""en"",""zh-CN"")"),"他胜利地站在一条小船的后部。")</f>
        <v>他胜利地站在一条小船的后部。</v>
      </c>
    </row>
    <row r="6762">
      <c r="A6762" s="4" t="s">
        <v>8497</v>
      </c>
      <c r="B6762" s="4" t="s">
        <v>8498</v>
      </c>
      <c r="C6762" s="5" t="str">
        <f>IFERROR(__xludf.DUMMYFUNCTION("GOOGLETRANSLATE(B6762,""en"",""zh-CN"")"),"一个男人与他人展示太极拳战斗。")</f>
        <v>一个男人与他人展示太极拳战斗。</v>
      </c>
    </row>
    <row r="6763">
      <c r="A6763" s="4" t="s">
        <v>8497</v>
      </c>
      <c r="B6763" s="4" t="s">
        <v>8499</v>
      </c>
      <c r="C6763" s="5" t="str">
        <f>IFERROR(__xludf.DUMMYFUNCTION("GOOGLETRANSLATE(B6763,""en"",""zh-CN"")"),"该男子在交谈时表演太极拳，然后他与男人展示了动作。")</f>
        <v>该男子在交谈时表演太极拳，然后他与男人展示了动作。</v>
      </c>
    </row>
    <row r="6764">
      <c r="A6764" s="4" t="s">
        <v>8497</v>
      </c>
      <c r="B6764" s="4" t="s">
        <v>8500</v>
      </c>
      <c r="C6764" s="5" t="str">
        <f>IFERROR(__xludf.DUMMYFUNCTION("GOOGLETRANSLATE(B6764,""en"",""zh-CN"")"),"之后，男人在解释时移动身体和手。")</f>
        <v>之后，男人在解释时移动身体和手。</v>
      </c>
    </row>
    <row r="6765">
      <c r="A6765" s="4" t="s">
        <v>8501</v>
      </c>
      <c r="B6765" s="4" t="s">
        <v>8502</v>
      </c>
      <c r="C6765" s="5" t="str">
        <f>IFERROR(__xludf.DUMMYFUNCTION("GOOGLETRANSLATE(B6765,""en"",""zh-CN"")"),"一双鞋子在地板上，一个穿着袜子的男人站在他们身后。")</f>
        <v>一双鞋子在地板上，一个穿着袜子的男人站在他们身后。</v>
      </c>
    </row>
    <row r="6766">
      <c r="A6766" s="4" t="s">
        <v>8501</v>
      </c>
      <c r="B6766" s="4" t="s">
        <v>8503</v>
      </c>
      <c r="C6766" s="5" t="str">
        <f>IFERROR(__xludf.DUMMYFUNCTION("GOOGLETRANSLATE(B6766,""en"",""zh-CN"")"),"他拿出一条鞋带，开始穿鞋。")</f>
        <v>他拿出一条鞋带，开始穿鞋。</v>
      </c>
    </row>
    <row r="6767">
      <c r="A6767" s="4" t="s">
        <v>8501</v>
      </c>
      <c r="B6767" s="4" t="s">
        <v>8504</v>
      </c>
      <c r="C6767" s="5" t="str">
        <f>IFERROR(__xludf.DUMMYFUNCTION("GOOGLETRANSLATE(B6767,""en"",""zh-CN"")"),"然后，他穿上鞋子，展示它们的外观。")</f>
        <v>然后，他穿上鞋子，展示它们的外观。</v>
      </c>
    </row>
    <row r="6768">
      <c r="A6768" s="4" t="s">
        <v>8505</v>
      </c>
      <c r="B6768" s="4" t="s">
        <v>8506</v>
      </c>
      <c r="C6768" s="5" t="str">
        <f>IFERROR(__xludf.DUMMYFUNCTION("GOOGLETRANSLATE(B6768,""en"",""zh-CN"")"),"显示了一个小暴雨下一个乡村小村庄的场景。")</f>
        <v>显示了一个小暴雨下一个乡村小村庄的场景。</v>
      </c>
    </row>
    <row r="6769">
      <c r="A6769" s="4" t="s">
        <v>8505</v>
      </c>
      <c r="B6769" s="4" t="s">
        <v>8507</v>
      </c>
      <c r="C6769" s="5" t="str">
        <f>IFERROR(__xludf.DUMMYFUNCTION("GOOGLETRANSLATE(B6769,""en"",""zh-CN"")"),"一个女人在雨中用容器洗净物品，而其他人则站在周围。")</f>
        <v>一个女人在雨中用容器洗净物品，而其他人则站在周围。</v>
      </c>
    </row>
    <row r="6770">
      <c r="A6770" s="4" t="s">
        <v>8505</v>
      </c>
      <c r="B6770" s="4" t="s">
        <v>8508</v>
      </c>
      <c r="C6770" s="5" t="str">
        <f>IFERROR(__xludf.DUMMYFUNCTION("GOOGLETRANSLATE(B6770,""en"",""zh-CN"")"),"显示了容器的封闭式清洗盆地的特写。")</f>
        <v>显示了容器的封闭式清洗盆地的特写。</v>
      </c>
    </row>
    <row r="6771">
      <c r="A6771" s="4" t="s">
        <v>8509</v>
      </c>
      <c r="B6771" s="4" t="s">
        <v>8510</v>
      </c>
      <c r="C6771" s="5" t="str">
        <f>IFERROR(__xludf.DUMMYFUNCTION("GOOGLETRANSLATE(B6771,""en"",""zh-CN"")"),"看到一个女人站在一块运动器材上，四处走动。")</f>
        <v>看到一个女人站在一块运动器材上，四处走动。</v>
      </c>
    </row>
    <row r="6772">
      <c r="A6772" s="4" t="s">
        <v>8509</v>
      </c>
      <c r="B6772" s="4" t="s">
        <v>8511</v>
      </c>
      <c r="C6772" s="5" t="str">
        <f>IFERROR(__xludf.DUMMYFUNCTION("GOOGLETRANSLATE(B6772,""en"",""zh-CN"")"),"女人在机器上移动脚，并显示机器的工作原理。")</f>
        <v>女人在机器上移动脚，并显示机器的工作原理。</v>
      </c>
    </row>
    <row r="6773">
      <c r="A6773" s="4" t="s">
        <v>8509</v>
      </c>
      <c r="B6773" s="4" t="s">
        <v>8512</v>
      </c>
      <c r="C6773" s="5" t="str">
        <f>IFERROR(__xludf.DUMMYFUNCTION("GOOGLETRANSLATE(B6773,""en"",""zh-CN"")"),"看到另一个男人的锻炼，并在屏幕上以文字结束。")</f>
        <v>看到另一个男人的锻炼，并在屏幕上以文字结束。</v>
      </c>
    </row>
    <row r="6774">
      <c r="A6774" s="4" t="s">
        <v>8513</v>
      </c>
      <c r="B6774" s="4" t="s">
        <v>8514</v>
      </c>
      <c r="C6774" s="5" t="str">
        <f>IFERROR(__xludf.DUMMYFUNCTION("GOOGLETRANSLATE(B6774,""en"",""zh-CN"")"),"看到一个女人坐在椅子上和她旁边的其他人看着。")</f>
        <v>看到一个女人坐在椅子上和她旁边的其他人看着。</v>
      </c>
    </row>
    <row r="6775">
      <c r="A6775" s="4" t="s">
        <v>8513</v>
      </c>
      <c r="B6775" s="4" t="s">
        <v>8515</v>
      </c>
      <c r="C6775" s="5" t="str">
        <f>IFERROR(__xludf.DUMMYFUNCTION("GOOGLETRANSLATE(B6775,""en"",""zh-CN"")"),"摄像机遍布周围的人，并导致一个将物体放在他的腿上。")</f>
        <v>摄像机遍布周围的人，并导致一个将物体放在他的腿上。</v>
      </c>
    </row>
    <row r="6776">
      <c r="A6776" s="4" t="s">
        <v>8513</v>
      </c>
      <c r="B6776" s="4" t="s">
        <v>8516</v>
      </c>
      <c r="C6776" s="5" t="str">
        <f>IFERROR(__xludf.DUMMYFUNCTION("GOOGLETRANSLATE(B6776,""en"",""zh-CN"")"),"她撕下了展示头发的物体，腿，其他人笑。")</f>
        <v>她撕下了展示头发的物体，腿，其他人笑。</v>
      </c>
    </row>
    <row r="6777">
      <c r="A6777" s="4" t="s">
        <v>8517</v>
      </c>
      <c r="B6777" s="4" t="s">
        <v>8518</v>
      </c>
      <c r="C6777" s="5" t="str">
        <f>IFERROR(__xludf.DUMMYFUNCTION("GOOGLETRANSLATE(B6777,""en"",""zh-CN"")"),"一名警察在跳舞时旋转。")</f>
        <v>一名警察在跳舞时旋转。</v>
      </c>
    </row>
    <row r="6778">
      <c r="A6778" s="4" t="s">
        <v>8517</v>
      </c>
      <c r="B6778" s="4" t="s">
        <v>8519</v>
      </c>
      <c r="C6778" s="5" t="str">
        <f>IFERROR(__xludf.DUMMYFUNCTION("GOOGLETRANSLATE(B6778,""en"",""zh-CN"")"),"这个男孩做了一个手站立。")</f>
        <v>这个男孩做了一个手站立。</v>
      </c>
    </row>
    <row r="6779">
      <c r="A6779" s="4" t="s">
        <v>8517</v>
      </c>
      <c r="B6779" s="4" t="s">
        <v>8520</v>
      </c>
      <c r="C6779" s="5" t="str">
        <f>IFERROR(__xludf.DUMMYFUNCTION("GOOGLETRANSLATE(B6779,""en"",""zh-CN"")"),"警察进行了迪斯科约翰·特拉沃尔塔（John Travolta）舞蹈。")</f>
        <v>警察进行了迪斯科约翰·特拉沃尔塔（John Travolta）舞蹈。</v>
      </c>
    </row>
    <row r="6780">
      <c r="A6780" s="4" t="s">
        <v>8517</v>
      </c>
      <c r="B6780" s="4" t="s">
        <v>8521</v>
      </c>
      <c r="C6780" s="5" t="str">
        <f>IFERROR(__xludf.DUMMYFUNCTION("GOOGLETRANSLATE(B6780,""en"",""zh-CN"")"),"警察做一个休息舞的例行活动。")</f>
        <v>警察做一个休息舞的例行活动。</v>
      </c>
    </row>
    <row r="6781">
      <c r="A6781" s="4" t="s">
        <v>8517</v>
      </c>
      <c r="B6781" s="4" t="s">
        <v>8522</v>
      </c>
      <c r="C6781" s="5" t="str">
        <f>IFERROR(__xludf.DUMMYFUNCTION("GOOGLETRANSLATE(B6781,""en"",""zh-CN"")"),"一群孩子一起在草地上行走。")</f>
        <v>一群孩子一起在草地上行走。</v>
      </c>
    </row>
    <row r="6782">
      <c r="A6782" s="4" t="s">
        <v>8523</v>
      </c>
      <c r="B6782" s="6" t="s">
        <v>8524</v>
      </c>
      <c r="C6782" s="5" t="str">
        <f>IFERROR(__xludf.DUMMYFUNCTION("GOOGLETRANSLATE(B6782,""en"",""zh-CN"")"),"看到一大批人站在绳索的每一侧，许多人在侧面看着。")</f>
        <v>看到一大批人站在绳索的每一侧，许多人在侧面看着。</v>
      </c>
    </row>
    <row r="6783">
      <c r="A6783" s="4" t="s">
        <v>8523</v>
      </c>
      <c r="B6783" s="6" t="s">
        <v>8525</v>
      </c>
      <c r="C6783" s="5" t="str">
        <f>IFERROR(__xludf.DUMMYFUNCTION("GOOGLETRANSLATE(B6783,""en"",""zh-CN"")"),"然后，男子与一个男人一起帮助一侧的球队开始，一支球队摔倒了。")</f>
        <v>然后，男子与一个男人一起帮助一侧的球队开始，一支球队摔倒了。</v>
      </c>
    </row>
    <row r="6784">
      <c r="A6784" s="4" t="s">
        <v>8526</v>
      </c>
      <c r="B6784" s="4" t="s">
        <v>8527</v>
      </c>
      <c r="C6784" s="5" t="str">
        <f>IFERROR(__xludf.DUMMYFUNCTION("GOOGLETRANSLATE(B6784,""en"",""zh-CN"")"),"一个人站在网前。")</f>
        <v>一个人站在网前。</v>
      </c>
    </row>
    <row r="6785">
      <c r="A6785" s="4" t="s">
        <v>8526</v>
      </c>
      <c r="B6785" s="4" t="s">
        <v>8528</v>
      </c>
      <c r="C6785" s="5" t="str">
        <f>IFERROR(__xludf.DUMMYFUNCTION("GOOGLETRANSLATE(B6785,""en"",""zh-CN"")"),"一个人站在木栅栏前。")</f>
        <v>一个人站在木栅栏前。</v>
      </c>
    </row>
    <row r="6786">
      <c r="A6786" s="4" t="s">
        <v>8526</v>
      </c>
      <c r="B6786" s="4" t="s">
        <v>8529</v>
      </c>
      <c r="C6786" s="5" t="str">
        <f>IFERROR(__xludf.DUMMYFUNCTION("GOOGLETRANSLATE(B6786,""en"",""zh-CN"")"),"男人在田野上玩曲棍球。")</f>
        <v>男人在田野上玩曲棍球。</v>
      </c>
    </row>
    <row r="6787">
      <c r="A6787" s="4" t="s">
        <v>8530</v>
      </c>
      <c r="B6787" s="4" t="s">
        <v>8531</v>
      </c>
      <c r="C6787" s="5" t="str">
        <f>IFERROR(__xludf.DUMMYFUNCTION("GOOGLETRANSLATE(B6787,""en"",""zh-CN"")"),"一个人在盘旋上绕着盘子驾驶四个轮子的摩托车，灰尘时有高杂草。")</f>
        <v>一个人在盘旋上绕着盘子驾驶四个轮子的摩托车，灰尘时有高杂草。</v>
      </c>
    </row>
    <row r="6788">
      <c r="A6788" s="4" t="s">
        <v>8530</v>
      </c>
      <c r="B6788" s="4" t="s">
        <v>8532</v>
      </c>
      <c r="C6788" s="5" t="str">
        <f>IFERROR(__xludf.DUMMYFUNCTION("GOOGLETRANSLATE(B6788,""en"",""zh-CN"")"),"然后，该男子去另一个地方继续绕圈。")</f>
        <v>然后，该男子去另一个地方继续绕圈。</v>
      </c>
    </row>
    <row r="6789">
      <c r="A6789" s="4" t="s">
        <v>8533</v>
      </c>
      <c r="B6789" s="4" t="s">
        <v>8534</v>
      </c>
      <c r="C6789" s="5" t="str">
        <f>IFERROR(__xludf.DUMMYFUNCTION("GOOGLETRANSLATE(B6789,""en"",""zh-CN"")"),"当相机放大时，看到两个人坐在摄像机前弹奏乐器。")</f>
        <v>当相机放大时，看到两个人坐在摄像机前弹奏乐器。</v>
      </c>
    </row>
    <row r="6790">
      <c r="A6790" s="4" t="s">
        <v>8533</v>
      </c>
      <c r="B6790" s="6" t="s">
        <v>8535</v>
      </c>
      <c r="C6790" s="5" t="str">
        <f>IFERROR(__xludf.DUMMYFUNCTION("GOOGLETRANSLATE(B6790,""en"",""zh-CN"")"),"然后，该男子在演奏乐器时唱着相机唱歌，并与相机说话，最后两者再次演奏。")</f>
        <v>然后，该男子在演奏乐器时唱着相机唱歌，并与相机说话，最后两者再次演奏。</v>
      </c>
    </row>
    <row r="6791">
      <c r="A6791" s="4" t="s">
        <v>8536</v>
      </c>
      <c r="B6791" s="6" t="s">
        <v>8537</v>
      </c>
      <c r="C6791" s="5" t="str">
        <f>IFERROR(__xludf.DUMMYFUNCTION("GOOGLETRANSLATE(B6791,""en"",""zh-CN"")"),"有男人穿着蓝色衬衫，另一个穿着黑色坐在岩石上的男人谈论攀岩。")</f>
        <v>有男人穿着蓝色衬衫，另一个穿着黑色坐在岩石上的男人谈论攀岩。</v>
      </c>
    </row>
    <row r="6792">
      <c r="A6792" s="4" t="s">
        <v>8536</v>
      </c>
      <c r="B6792" s="4" t="s">
        <v>8538</v>
      </c>
      <c r="C6792" s="5" t="str">
        <f>IFERROR(__xludf.DUMMYFUNCTION("GOOGLETRANSLATE(B6792,""en"",""zh-CN"")"),"他们坐在山区的高海拔地区。")</f>
        <v>他们坐在山区的高海拔地区。</v>
      </c>
    </row>
    <row r="6793">
      <c r="A6793" s="4" t="s">
        <v>8536</v>
      </c>
      <c r="B6793" s="4" t="s">
        <v>8539</v>
      </c>
      <c r="C6793" s="5" t="str">
        <f>IFERROR(__xludf.DUMMYFUNCTION("GOOGLETRANSLATE(B6793,""en"",""zh-CN"")"),"蓝色的人正在演示如何从岩石上固定绳索。")</f>
        <v>蓝色的人正在演示如何从岩石上固定绳索。</v>
      </c>
    </row>
    <row r="6794">
      <c r="A6794" s="4" t="s">
        <v>8536</v>
      </c>
      <c r="B6794" s="4" t="s">
        <v>8540</v>
      </c>
      <c r="C6794" s="5" t="str">
        <f>IFERROR(__xludf.DUMMYFUNCTION("GOOGLETRANSLATE(B6794,""en"",""zh-CN"")"),"他还表现出紧绷的绳索从一端走到另一端。")</f>
        <v>他还表现出紧绷的绳索从一端走到另一端。</v>
      </c>
    </row>
    <row r="6795">
      <c r="A6795" s="4" t="s">
        <v>8536</v>
      </c>
      <c r="B6795" s="4" t="s">
        <v>8541</v>
      </c>
      <c r="C6795" s="5" t="str">
        <f>IFERROR(__xludf.DUMMYFUNCTION("GOOGLETRANSLATE(B6795,""en"",""zh-CN"")"),"然后，黑色的人也戴着紧身的绳子。")</f>
        <v>然后，黑色的人也戴着紧身的绳子。</v>
      </c>
    </row>
    <row r="6796">
      <c r="A6796" s="4" t="s">
        <v>8542</v>
      </c>
      <c r="B6796" s="4" t="s">
        <v>8543</v>
      </c>
      <c r="C6796" s="5" t="str">
        <f>IFERROR(__xludf.DUMMYFUNCTION("GOOGLETRANSLATE(B6796,""en"",""zh-CN"")"),"一个男孩在健身房里。")</f>
        <v>一个男孩在健身房里。</v>
      </c>
    </row>
    <row r="6797">
      <c r="A6797" s="4" t="s">
        <v>8542</v>
      </c>
      <c r="B6797" s="4" t="s">
        <v>8544</v>
      </c>
      <c r="C6797" s="5" t="str">
        <f>IFERROR(__xludf.DUMMYFUNCTION("GOOGLETRANSLATE(B6797,""en"",""zh-CN"")"),"他将杠铃抬到胸前。")</f>
        <v>他将杠铃抬到胸前。</v>
      </c>
    </row>
    <row r="6798">
      <c r="A6798" s="4" t="s">
        <v>8542</v>
      </c>
      <c r="B6798" s="4" t="s">
        <v>8545</v>
      </c>
      <c r="C6798" s="5" t="str">
        <f>IFERROR(__xludf.DUMMYFUNCTION("GOOGLETRANSLATE(B6798,""en"",""zh-CN"")"),"他停下来，然后将其抬起头。")</f>
        <v>他停下来，然后将其抬起头。</v>
      </c>
    </row>
    <row r="6799">
      <c r="A6799" s="4" t="s">
        <v>8546</v>
      </c>
      <c r="B6799" s="4" t="s">
        <v>8547</v>
      </c>
      <c r="C6799" s="5" t="str">
        <f>IFERROR(__xludf.DUMMYFUNCTION("GOOGLETRANSLATE(B6799,""en"",""zh-CN"")"),"看到一群男孩围坐在一起互相聊天，玩各种游戏。")</f>
        <v>看到一群男孩围坐在一起互相聊天，玩各种游戏。</v>
      </c>
    </row>
    <row r="6800">
      <c r="A6800" s="4" t="s">
        <v>8546</v>
      </c>
      <c r="B6800" s="4" t="s">
        <v>8548</v>
      </c>
      <c r="C6800" s="5" t="str">
        <f>IFERROR(__xludf.DUMMYFUNCTION("GOOGLETRANSLATE(B6800,""en"",""zh-CN"")"),"当他们切换场所并继续玩更多游戏时，这些人互相击中。")</f>
        <v>当他们切换场所并继续玩更多游戏时，这些人互相击中。</v>
      </c>
    </row>
    <row r="6801">
      <c r="A6801" s="4" t="s">
        <v>8549</v>
      </c>
      <c r="B6801" s="4" t="s">
        <v>8550</v>
      </c>
      <c r="C6801" s="5" t="str">
        <f>IFERROR(__xludf.DUMMYFUNCTION("GOOGLETRANSLATE(B6801,""en"",""zh-CN"")"),"一家人在洗漱口水。")</f>
        <v>一家人在洗漱口水。</v>
      </c>
    </row>
    <row r="6802">
      <c r="A6802" s="4" t="s">
        <v>8549</v>
      </c>
      <c r="B6802" s="4" t="s">
        <v>8551</v>
      </c>
      <c r="C6802" s="5" t="str">
        <f>IFERROR(__xludf.DUMMYFUNCTION("GOOGLETRANSLATE(B6802,""en"",""zh-CN"")"),"一个女人试图笑，并成功地不吐口水。")</f>
        <v>一个女人试图笑，并成功地不吐口水。</v>
      </c>
    </row>
    <row r="6803">
      <c r="A6803" s="4" t="s">
        <v>8552</v>
      </c>
      <c r="B6803" s="4" t="s">
        <v>8553</v>
      </c>
      <c r="C6803" s="5" t="str">
        <f>IFERROR(__xludf.DUMMYFUNCTION("GOOGLETRANSLATE(B6803,""en"",""zh-CN"")"),"显示了几个水，一个人出现在划小船。")</f>
        <v>显示了几个水，一个人出现在划小船。</v>
      </c>
    </row>
    <row r="6804">
      <c r="A6804" s="4" t="s">
        <v>8552</v>
      </c>
      <c r="B6804" s="6" t="s">
        <v>8554</v>
      </c>
      <c r="C6804" s="5" t="str">
        <f>IFERROR(__xludf.DUMMYFUNCTION("GOOGLETRANSLATE(B6804,""en"",""zh-CN"")"),"然后，向其他几个人展示了整个城市的小船划船，经过几棵树和城市建筑。")</f>
        <v>然后，向其他几个人展示了整个城市的小船划船，经过几棵树和城市建筑。</v>
      </c>
    </row>
    <row r="6805">
      <c r="A6805" s="4" t="s">
        <v>8552</v>
      </c>
      <c r="B6805" s="6" t="s">
        <v>8555</v>
      </c>
      <c r="C6805" s="5" t="str">
        <f>IFERROR(__xludf.DUMMYFUNCTION("GOOGLETRANSLATE(B6805,""en"",""zh-CN"")"),"当他们继续前进时，他们经过桥梁，餐馆和其他地标，然后在屏幕上出现了名字。")</f>
        <v>当他们继续前进时，他们经过桥梁，餐馆和其他地标，然后在屏幕上出现了名字。</v>
      </c>
    </row>
    <row r="6806">
      <c r="A6806" s="4" t="s">
        <v>8556</v>
      </c>
      <c r="B6806" s="4" t="s">
        <v>8557</v>
      </c>
      <c r="C6806" s="5" t="str">
        <f>IFERROR(__xludf.DUMMYFUNCTION("GOOGLETRANSLATE(B6806,""en"",""zh-CN"")"),"一个人将一只大狗带到牵引牵引绳上，在硬木地板上第四。")</f>
        <v>一个人将一只大狗带到牵引牵引绳上，在硬木地板上第四。</v>
      </c>
    </row>
    <row r="6807">
      <c r="A6807" s="4" t="s">
        <v>8556</v>
      </c>
      <c r="B6807" s="4" t="s">
        <v>8558</v>
      </c>
      <c r="C6807" s="5" t="str">
        <f>IFERROR(__xludf.DUMMYFUNCTION("GOOGLETRANSLATE(B6807,""en"",""zh-CN"")"),"狗把女人拖到他身后，望着门，微笑着。")</f>
        <v>狗把女人拖到他身后，望着门，微笑着。</v>
      </c>
    </row>
    <row r="6808">
      <c r="A6808" s="4" t="s">
        <v>8559</v>
      </c>
      <c r="B6808" s="4" t="s">
        <v>8560</v>
      </c>
      <c r="C6808" s="5" t="str">
        <f>IFERROR(__xludf.DUMMYFUNCTION("GOOGLETRANSLATE(B6808,""en"",""zh-CN"")"),"有两个人在雪道上骑马。")</f>
        <v>有两个人在雪道上骑马。</v>
      </c>
    </row>
    <row r="6809">
      <c r="A6809" s="4" t="s">
        <v>8559</v>
      </c>
      <c r="B6809" s="4" t="s">
        <v>8561</v>
      </c>
      <c r="C6809" s="5" t="str">
        <f>IFERROR(__xludf.DUMMYFUNCTION("GOOGLETRANSLATE(B6809,""en"",""zh-CN"")"),"当他们骑行时，他们经过了一套在庄园种植的玻璃冰屋。")</f>
        <v>当他们骑行时，他们经过了一套在庄园种植的玻璃冰屋。</v>
      </c>
    </row>
    <row r="6810">
      <c r="A6810" s="4" t="s">
        <v>8559</v>
      </c>
      <c r="B6810" s="4" t="s">
        <v>8562</v>
      </c>
      <c r="C6810" s="5" t="str">
        <f>IFERROR(__xludf.DUMMYFUNCTION("GOOGLETRANSLATE(B6810,""en"",""zh-CN"")"),"他们到达有开放土地和几棵树的清理。")</f>
        <v>他们到达有开放土地和几棵树的清理。</v>
      </c>
    </row>
    <row r="6811">
      <c r="A6811" s="4" t="s">
        <v>8563</v>
      </c>
      <c r="B6811" s="4" t="s">
        <v>8564</v>
      </c>
      <c r="C6811" s="5" t="str">
        <f>IFERROR(__xludf.DUMMYFUNCTION("GOOGLETRANSLATE(B6811,""en"",""zh-CN"")"),"我们看到一位女士慢慢打鼓。")</f>
        <v>我们看到一位女士慢慢打鼓。</v>
      </c>
    </row>
    <row r="6812">
      <c r="A6812" s="4" t="s">
        <v>8563</v>
      </c>
      <c r="B6812" s="4" t="s">
        <v>8565</v>
      </c>
      <c r="C6812" s="5" t="str">
        <f>IFERROR(__xludf.DUMMYFUNCTION("GOOGLETRANSLATE(B6812,""en"",""zh-CN"")"),"我们右翼看到一个男人在鼓上。")</f>
        <v>我们右翼看到一个男人在鼓上。</v>
      </c>
    </row>
    <row r="6813">
      <c r="A6813" s="4" t="s">
        <v>8563</v>
      </c>
      <c r="B6813" s="4" t="s">
        <v>8566</v>
      </c>
      <c r="C6813" s="5" t="str">
        <f>IFERROR(__xludf.DUMMYFUNCTION("GOOGLETRANSLATE(B6813,""en"",""zh-CN"")"),"我们看到一个橙色进入的人。")</f>
        <v>我们看到一个橙色进入的人。</v>
      </c>
    </row>
    <row r="6814">
      <c r="A6814" s="4" t="s">
        <v>8563</v>
      </c>
      <c r="B6814" s="4" t="s">
        <v>8567</v>
      </c>
      <c r="C6814" s="5" t="str">
        <f>IFERROR(__xludf.DUMMYFUNCTION("GOOGLETRANSLATE(B6814,""en"",""zh-CN"")"),"那位女士停止鼓声并伸出手。")</f>
        <v>那位女士停止鼓声并伸出手。</v>
      </c>
    </row>
    <row r="6815">
      <c r="A6815" s="4" t="s">
        <v>8563</v>
      </c>
      <c r="B6815" s="4" t="s">
        <v>8568</v>
      </c>
      <c r="C6815" s="5" t="str">
        <f>IFERROR(__xludf.DUMMYFUNCTION("GOOGLETRANSLATE(B6815,""en"",""zh-CN"")"),"然后，我们看到相机操作员。")</f>
        <v>然后，我们看到相机操作员。</v>
      </c>
    </row>
    <row r="6816">
      <c r="A6816" s="4" t="s">
        <v>8563</v>
      </c>
      <c r="B6816" s="4" t="s">
        <v>8569</v>
      </c>
      <c r="C6816" s="5" t="str">
        <f>IFERROR(__xludf.DUMMYFUNCTION("GOOGLETRANSLATE(B6816,""en"",""zh-CN"")"),"那位女士和橙色的男孩在乐器上挣扎。")</f>
        <v>那位女士和橙色的男孩在乐器上挣扎。</v>
      </c>
    </row>
    <row r="6817">
      <c r="A6817" s="4" t="s">
        <v>8563</v>
      </c>
      <c r="B6817" s="4" t="s">
        <v>8570</v>
      </c>
      <c r="C6817" s="5" t="str">
        <f>IFERROR(__xludf.DUMMYFUNCTION("GOOGLETRANSLATE(B6817,""en"",""zh-CN"")"),"那位女士假装咬男孩，然后笑。")</f>
        <v>那位女士假装咬男孩，然后笑。</v>
      </c>
    </row>
    <row r="6818">
      <c r="A6818" s="4" t="s">
        <v>8563</v>
      </c>
      <c r="B6818" s="4" t="s">
        <v>8571</v>
      </c>
      <c r="C6818" s="5" t="str">
        <f>IFERROR(__xludf.DUMMYFUNCTION("GOOGLETRANSLATE(B6818,""en"",""zh-CN"")"),"我们看到一个男人进入房间。")</f>
        <v>我们看到一个男人进入房间。</v>
      </c>
    </row>
    <row r="6819">
      <c r="A6819" s="4" t="s">
        <v>8572</v>
      </c>
      <c r="B6819" s="4" t="s">
        <v>8573</v>
      </c>
      <c r="C6819" s="5" t="str">
        <f>IFERROR(__xludf.DUMMYFUNCTION("GOOGLETRANSLATE(B6819,""en"",""zh-CN"")"),"曲棍球运动员正在将梳妆台带到田野上。")</f>
        <v>曲棍球运动员正在将梳妆台带到田野上。</v>
      </c>
    </row>
    <row r="6820">
      <c r="A6820" s="4" t="s">
        <v>8572</v>
      </c>
      <c r="B6820" s="4" t="s">
        <v>8574</v>
      </c>
      <c r="C6820" s="5" t="str">
        <f>IFERROR(__xludf.DUMMYFUNCTION("GOOGLETRANSLATE(B6820,""en"",""zh-CN"")"),"曲棍球运动员正在屋顶健身房的冰法院滑冰。")</f>
        <v>曲棍球运动员正在屋顶健身房的冰法院滑冰。</v>
      </c>
    </row>
    <row r="6821">
      <c r="A6821" s="4" t="s">
        <v>8572</v>
      </c>
      <c r="B6821" s="4" t="s">
        <v>8575</v>
      </c>
      <c r="C6821" s="5" t="str">
        <f>IFERROR(__xludf.DUMMYFUNCTION("GOOGLETRANSLATE(B6821,""en"",""zh-CN"")"),"Mani在黑暗的房间里焊接一些东西，球员在球场上玩。")</f>
        <v>Mani在黑暗的房间里焊接一些东西，球员在球场上玩。</v>
      </c>
    </row>
    <row r="6822">
      <c r="A6822" s="4" t="s">
        <v>8572</v>
      </c>
      <c r="B6822" s="6" t="s">
        <v>8576</v>
      </c>
      <c r="C6822" s="5" t="str">
        <f>IFERROR(__xludf.DUMMYFUNCTION("GOOGLETRANSLATE(B6822,""en"",""zh-CN"")"),"男人坐在公共汽车上看着他的电话，看着窗户，在梳妆台上准备比赛和田野。")</f>
        <v>男人坐在公共汽车上看着他的电话，看着窗户，在梳妆台上准备比赛和田野。</v>
      </c>
    </row>
    <row r="6823">
      <c r="A6823" s="4" t="s">
        <v>8577</v>
      </c>
      <c r="B6823" s="4" t="s">
        <v>8578</v>
      </c>
      <c r="C6823" s="5" t="str">
        <f>IFERROR(__xludf.DUMMYFUNCTION("GOOGLETRANSLATE(B6823,""en"",""zh-CN"")"),"一个人翻转另一个人，被扔进灌木丛。")</f>
        <v>一个人翻转另一个人，被扔进灌木丛。</v>
      </c>
    </row>
    <row r="6824">
      <c r="A6824" s="4" t="s">
        <v>8577</v>
      </c>
      <c r="B6824" s="4" t="s">
        <v>8579</v>
      </c>
      <c r="C6824" s="5" t="str">
        <f>IFERROR(__xludf.DUMMYFUNCTION("GOOGLETRANSLATE(B6824,""en"",""zh-CN"")"),"穿着红色衬衫的人开始向他们奔跑。")</f>
        <v>穿着红色衬衫的人开始向他们奔跑。</v>
      </c>
    </row>
    <row r="6825">
      <c r="A6825" s="4" t="s">
        <v>8580</v>
      </c>
      <c r="B6825" s="4" t="s">
        <v>8581</v>
      </c>
      <c r="C6825" s="5" t="str">
        <f>IFERROR(__xludf.DUMMYFUNCTION("GOOGLETRANSLATE(B6825,""en"",""zh-CN"")"),"一个女人握着一只黑猫依ugg在紫色的毯子上。")</f>
        <v>一个女人握着一只黑猫依ugg在紫色的毯子上。</v>
      </c>
    </row>
    <row r="6826">
      <c r="A6826" s="4" t="s">
        <v>8580</v>
      </c>
      <c r="B6826" s="4" t="s">
        <v>8582</v>
      </c>
      <c r="C6826" s="5" t="str">
        <f>IFERROR(__xludf.DUMMYFUNCTION("GOOGLETRANSLATE(B6826,""en"",""zh-CN"")"),"那个女人拿着爪子时，猫正在哭泣。")</f>
        <v>那个女人拿着爪子时，猫正在哭泣。</v>
      </c>
    </row>
    <row r="6827">
      <c r="A6827" s="4" t="s">
        <v>8580</v>
      </c>
      <c r="B6827" s="4" t="s">
        <v>8583</v>
      </c>
      <c r="C6827" s="5" t="str">
        <f>IFERROR(__xludf.DUMMYFUNCTION("GOOGLETRANSLATE(B6827,""en"",""zh-CN"")"),"还有另一个带指甲剪子的人，滑了猫的指甲。")</f>
        <v>还有另一个带指甲剪子的人，滑了猫的指甲。</v>
      </c>
    </row>
    <row r="6828">
      <c r="A6828" s="4" t="s">
        <v>8580</v>
      </c>
      <c r="B6828" s="4" t="s">
        <v>8584</v>
      </c>
      <c r="C6828" s="5" t="str">
        <f>IFERROR(__xludf.DUMMYFUNCTION("GOOGLETRANSLATE(B6828,""en"",""zh-CN"")"),"猫痛苦地大声笑着，女人亲吻猫使她平静下来。")</f>
        <v>猫痛苦地大声笑着，女人亲吻猫使她平静下来。</v>
      </c>
    </row>
    <row r="6829">
      <c r="A6829" s="4" t="s">
        <v>8580</v>
      </c>
      <c r="B6829" s="4" t="s">
        <v>8585</v>
      </c>
      <c r="C6829" s="5" t="str">
        <f>IFERROR(__xludf.DUMMYFUNCTION("GOOGLETRANSLATE(B6829,""en"",""zh-CN"")"),"男人继续将猫的指甲夹住，因为那个女人哄骗猫并亲吻猫的耳朵。")</f>
        <v>男人继续将猫的指甲夹住，因为那个女人哄骗猫并亲吻猫的耳朵。</v>
      </c>
    </row>
    <row r="6830">
      <c r="A6830" s="4" t="s">
        <v>8580</v>
      </c>
      <c r="B6830" s="4" t="s">
        <v>8586</v>
      </c>
      <c r="C6830" s="5" t="str">
        <f>IFERROR(__xludf.DUMMYFUNCTION("GOOGLETRANSLATE(B6830,""en"",""zh-CN"")"),"该男子继续剪指甲直到完成。")</f>
        <v>该男子继续剪指甲直到完成。</v>
      </c>
    </row>
    <row r="6831">
      <c r="A6831" s="4" t="s">
        <v>8587</v>
      </c>
      <c r="B6831" s="4" t="s">
        <v>8588</v>
      </c>
      <c r="C6831" s="5" t="str">
        <f>IFERROR(__xludf.DUMMYFUNCTION("GOOGLETRANSLATE(B6831,""en"",""zh-CN"")"),"一个小女孩坐在摇椅上。")</f>
        <v>一个小女孩坐在摇椅上。</v>
      </c>
    </row>
    <row r="6832">
      <c r="A6832" s="4" t="s">
        <v>8587</v>
      </c>
      <c r="B6832" s="4" t="s">
        <v>8589</v>
      </c>
      <c r="C6832" s="5" t="str">
        <f>IFERROR(__xludf.DUMMYFUNCTION("GOOGLETRANSLATE(B6832,""en"",""zh-CN"")"),"她从一个案例中进行了紧凑的化妆。")</f>
        <v>她从一个案例中进行了紧凑的化妆。</v>
      </c>
    </row>
    <row r="6833">
      <c r="A6833" s="4" t="s">
        <v>8587</v>
      </c>
      <c r="B6833" s="4" t="s">
        <v>8590</v>
      </c>
      <c r="C6833" s="5" t="str">
        <f>IFERROR(__xludf.DUMMYFUNCTION("GOOGLETRANSLATE(B6833,""en"",""zh-CN"")"),"然后，她使用眼影和口红。")</f>
        <v>然后，她使用眼影和口红。</v>
      </c>
    </row>
    <row r="6834">
      <c r="A6834" s="4" t="s">
        <v>8591</v>
      </c>
      <c r="B6834" s="6" t="s">
        <v>8592</v>
      </c>
      <c r="C6834" s="5" t="str">
        <f>IFERROR(__xludf.DUMMYFUNCTION("GOOGLETRANSLATE(B6834,""en"",""zh-CN"")"),"围在沙坑周围的几张骑手的镜头显示了许多人在跳跃上骑自行车的角度。")</f>
        <v>围在沙坑周围的几张骑手的镜头显示了许多人在跳跃上骑自行车的角度。</v>
      </c>
    </row>
    <row r="6835">
      <c r="A6835" s="4" t="s">
        <v>8591</v>
      </c>
      <c r="B6835" s="6" t="s">
        <v>8593</v>
      </c>
      <c r="C6835" s="5" t="str">
        <f>IFERROR(__xludf.DUMMYFUNCTION("GOOGLETRANSLATE(B6835,""en"",""zh-CN"")"),"相机捕获了沿着自行车轨道骑行的人的几个角度，并在两次镜头之间采访它们。")</f>
        <v>相机捕获了沿着自行车轨道骑行的人的几个角度，并在两次镜头之间采访它们。</v>
      </c>
    </row>
    <row r="6836">
      <c r="A6836" s="4" t="s">
        <v>8591</v>
      </c>
      <c r="B6836" s="6" t="s">
        <v>8594</v>
      </c>
      <c r="C6836" s="5" t="str">
        <f>IFERROR(__xludf.DUMMYFUNCTION("GOOGLETRANSLATE(B6836,""en"",""zh-CN"")"),"最后，所有骑手都显示在屏幕上，并在最后一次进行采访和跳跃。")</f>
        <v>最后，所有骑手都显示在屏幕上，并在最后一次进行采访和跳跃。</v>
      </c>
    </row>
    <row r="6837">
      <c r="A6837" s="4" t="s">
        <v>8595</v>
      </c>
      <c r="B6837" s="6" t="s">
        <v>8596</v>
      </c>
      <c r="C6837" s="5" t="str">
        <f>IFERROR(__xludf.DUMMYFUNCTION("GOOGLETRANSLATE(B6837,""en"",""zh-CN"")"),"成年女性和一名年轻女性在海滩上，成年雌性将沙子从桶中倾倒到地面。")</f>
        <v>成年女性和一名年轻女性在海滩上，成年雌性将沙子从桶中倾倒到地面。</v>
      </c>
    </row>
    <row r="6838">
      <c r="A6838" s="4" t="s">
        <v>8595</v>
      </c>
      <c r="B6838" s="4" t="s">
        <v>8597</v>
      </c>
      <c r="C6838" s="5" t="str">
        <f>IFERROR(__xludf.DUMMYFUNCTION("GOOGLETRANSLATE(B6838,""en"",""zh-CN"")"),"圆点的女人坐在地上，展示她的裤子。")</f>
        <v>圆点的女人坐在地上，展示她的裤子。</v>
      </c>
    </row>
    <row r="6839">
      <c r="A6839" s="4" t="s">
        <v>8595</v>
      </c>
      <c r="B6839" s="4" t="s">
        <v>8598</v>
      </c>
      <c r="C6839" s="5" t="str">
        <f>IFERROR(__xludf.DUMMYFUNCTION("GOOGLETRANSLATE(B6839,""en"",""zh-CN"")"),"这个年轻的女孩指着某事，挥舞着相机。")</f>
        <v>这个年轻的女孩指着某事，挥舞着相机。</v>
      </c>
    </row>
    <row r="6840">
      <c r="A6840" s="4" t="s">
        <v>8599</v>
      </c>
      <c r="B6840" s="6" t="s">
        <v>8600</v>
      </c>
      <c r="C6840" s="5" t="str">
        <f>IFERROR(__xludf.DUMMYFUNCTION("GOOGLETRANSLATE(B6840,""en"",""zh-CN"")"),"看到三名男子坐在地面上，彼此交谈，并带着他们沿着道路骑行。")</f>
        <v>看到三名男子坐在地面上，彼此交谈，并带着他们沿着道路骑行。</v>
      </c>
    </row>
    <row r="6841">
      <c r="A6841" s="4" t="s">
        <v>8599</v>
      </c>
      <c r="B6841" s="6" t="s">
        <v>8601</v>
      </c>
      <c r="C6841" s="5" t="str">
        <f>IFERROR(__xludf.DUMMYFUNCTION("GOOGLETRANSLATE(B6841,""en"",""zh-CN"")"),"显示了更多的镜头，人们滑板沿着道路表演了几个技巧，然后走开了。")</f>
        <v>显示了更多的镜头，人们滑板沿着道路表演了几个技巧，然后走开了。</v>
      </c>
    </row>
    <row r="6842">
      <c r="A6842" s="4" t="s">
        <v>8602</v>
      </c>
      <c r="B6842" s="4" t="s">
        <v>8603</v>
      </c>
      <c r="C6842" s="5" t="str">
        <f>IFERROR(__xludf.DUMMYFUNCTION("GOOGLETRANSLATE(B6842,""en"",""zh-CN"")"),"剃须刀的近距离显示了几个狗的剪辑，将其切割成剪裁。")</f>
        <v>剃须刀的近距离显示了几个狗的剪辑，将其切割成剪裁。</v>
      </c>
    </row>
    <row r="6843">
      <c r="A6843" s="4" t="s">
        <v>8602</v>
      </c>
      <c r="B6843" s="4" t="s">
        <v>8604</v>
      </c>
      <c r="C6843" s="5" t="str">
        <f>IFERROR(__xludf.DUMMYFUNCTION("GOOGLETRANSLATE(B6843,""en"",""zh-CN"")"),"然后显示了几种工具，然后显示在猫上，它们放下宠物。")</f>
        <v>然后显示了几种工具，然后显示在猫上，它们放下宠物。</v>
      </c>
    </row>
    <row r="6844">
      <c r="A6844" s="4" t="s">
        <v>8605</v>
      </c>
      <c r="B6844" s="4" t="s">
        <v>8606</v>
      </c>
      <c r="C6844" s="5" t="str">
        <f>IFERROR(__xludf.DUMMYFUNCTION("GOOGLETRANSLATE(B6844,""en"",""zh-CN"")"),"一个男人在街上奔跑。")</f>
        <v>一个男人在街上奔跑。</v>
      </c>
    </row>
    <row r="6845">
      <c r="A6845" s="4" t="s">
        <v>8605</v>
      </c>
      <c r="B6845" s="4" t="s">
        <v>8607</v>
      </c>
      <c r="C6845" s="5" t="str">
        <f>IFERROR(__xludf.DUMMYFUNCTION("GOOGLETRANSLATE(B6845,""en"",""zh-CN"")"),"一辆白色的汽车就在街上的他身后。")</f>
        <v>一辆白色的汽车就在街上的他身后。</v>
      </c>
    </row>
    <row r="6846">
      <c r="A6846" s="4" t="s">
        <v>8605</v>
      </c>
      <c r="B6846" s="4" t="s">
        <v>8608</v>
      </c>
      <c r="C6846" s="5" t="str">
        <f>IFERROR(__xludf.DUMMYFUNCTION("GOOGLETRANSLATE(B6846,""en"",""zh-CN"")"),"人们在他旁边骑自行车。")</f>
        <v>人们在他旁边骑自行车。</v>
      </c>
    </row>
    <row r="6847">
      <c r="A6847" s="4" t="s">
        <v>8609</v>
      </c>
      <c r="B6847" s="4" t="s">
        <v>8610</v>
      </c>
      <c r="C6847" s="5" t="str">
        <f>IFERROR(__xludf.DUMMYFUNCTION("GOOGLETRANSLATE(B6847,""en"",""zh-CN"")"),"一台相机展示了一个壁橱，将两个女孩放在两个椭圆机上骑行的女孩。")</f>
        <v>一台相机展示了一个壁橱，将两个女孩放在两个椭圆机上骑行的女孩。</v>
      </c>
    </row>
    <row r="6848">
      <c r="A6848" s="4" t="s">
        <v>8609</v>
      </c>
      <c r="B6848" s="6" t="s">
        <v>8611</v>
      </c>
      <c r="C6848" s="5" t="str">
        <f>IFERROR(__xludf.DUMMYFUNCTION("GOOGLETRANSLATE(B6848,""en"",""zh-CN"")"),"一个女孩在机器上上下移动，另一个女孩在前面悬挂，导致他们跳跃并与藏在壁橱里的相机说话。")</f>
        <v>一个女孩在机器上上下移动，另一个女孩在前面悬挂，导致他们跳跃并与藏在壁橱里的相机说话。</v>
      </c>
    </row>
    <row r="6849">
      <c r="A6849" s="4" t="s">
        <v>8612</v>
      </c>
      <c r="B6849" s="4" t="s">
        <v>8613</v>
      </c>
      <c r="C6849" s="5" t="str">
        <f>IFERROR(__xludf.DUMMYFUNCTION("GOOGLETRANSLATE(B6849,""en"",""zh-CN"")"),"显示了一个徽标，背景中播放水滴声。")</f>
        <v>显示了一个徽标，背景中播放水滴声。</v>
      </c>
    </row>
    <row r="6850">
      <c r="A6850" s="4" t="s">
        <v>8612</v>
      </c>
      <c r="B6850" s="4" t="s">
        <v>8614</v>
      </c>
      <c r="C6850" s="5" t="str">
        <f>IFERROR(__xludf.DUMMYFUNCTION("GOOGLETRANSLATE(B6850,""en"",""zh-CN"")"),"然后，向一个男人展示了穿着Scubba齿轮，并在相机上给了各种手信号。")</f>
        <v>然后，向一个男人展示了穿着Scubba齿轮，并在相机上给了各种手信号。</v>
      </c>
    </row>
    <row r="6851">
      <c r="A6851" s="4" t="s">
        <v>8612</v>
      </c>
      <c r="B6851" s="6" t="s">
        <v>8615</v>
      </c>
      <c r="C6851" s="5" t="str">
        <f>IFERROR(__xludf.DUMMYFUNCTION("GOOGLETRANSLATE(B6851,""en"",""zh-CN"")"),"水听起来仍然可以发挥作用，男人向您展示了各种动作以及在水下的意思。")</f>
        <v>水听起来仍然可以发挥作用，男人向您展示了各种动作以及在水下的意思。</v>
      </c>
    </row>
    <row r="6852">
      <c r="A6852" s="4" t="s">
        <v>8612</v>
      </c>
      <c r="B6852" s="4" t="s">
        <v>8616</v>
      </c>
      <c r="C6852" s="5" t="str">
        <f>IFERROR(__xludf.DUMMYFUNCTION("GOOGLETRANSLATE(B6852,""en"",""zh-CN"")"),"然后，徽标重新出现在屏幕上，视频结束。")</f>
        <v>然后，徽标重新出现在屏幕上，视频结束。</v>
      </c>
    </row>
    <row r="6853">
      <c r="A6853" s="4" t="s">
        <v>8617</v>
      </c>
      <c r="B6853" s="4" t="s">
        <v>8618</v>
      </c>
      <c r="C6853" s="5" t="str">
        <f>IFERROR(__xludf.DUMMYFUNCTION("GOOGLETRANSLATE(B6853,""en"",""zh-CN"")"),"一个小孩在打鼓时被显示出来，而他身后的一群人看着和微笑。")</f>
        <v>一个小孩在打鼓时被显示出来，而他身后的一群人看着和微笑。</v>
      </c>
    </row>
    <row r="6854">
      <c r="A6854" s="4" t="s">
        <v>8617</v>
      </c>
      <c r="B6854" s="6" t="s">
        <v>8619</v>
      </c>
      <c r="C6854" s="5" t="str">
        <f>IFERROR(__xludf.DUMMYFUNCTION("GOOGLETRANSLATE(B6854,""en"",""zh-CN"")"),"这个男孩继续打鼓，一个婴儿在他身后的一个男人的怀抱中爬上了他的腿。")</f>
        <v>这个男孩继续打鼓，一个婴儿在他身后的一个男人的怀抱中爬上了他的腿。</v>
      </c>
    </row>
    <row r="6855">
      <c r="A6855" s="4" t="s">
        <v>8620</v>
      </c>
      <c r="B6855" s="4" t="s">
        <v>8621</v>
      </c>
      <c r="C6855" s="5" t="str">
        <f>IFERROR(__xludf.DUMMYFUNCTION("GOOGLETRANSLATE(B6855,""en"",""zh-CN"")"),"显示了独木舟的近距离，后面是一个男人将独木舟推到各个区域。")</f>
        <v>显示了独木舟的近距离，后面是一个男人将独木舟推到各个区域。</v>
      </c>
    </row>
    <row r="6856">
      <c r="A6856" s="4" t="s">
        <v>8620</v>
      </c>
      <c r="B6856" s="6" t="s">
        <v>8622</v>
      </c>
      <c r="C6856" s="5" t="str">
        <f>IFERROR(__xludf.DUMMYFUNCTION("GOOGLETRANSLATE(B6856,""en"",""zh-CN"")"),"他的划桨放慢了脚步，以演示如何正确划桨，同时显示了快速动作划桨的更多射击。")</f>
        <v>他的划桨放慢了脚步，以演示如何正确划桨，同时显示了快速动作划桨的更多射击。</v>
      </c>
    </row>
    <row r="6857">
      <c r="A6857" s="4" t="s">
        <v>8620</v>
      </c>
      <c r="B6857" s="4" t="s">
        <v>8623</v>
      </c>
      <c r="C6857" s="5" t="str">
        <f>IFERROR(__xludf.DUMMYFUNCTION("GOOGLETRANSLATE(B6857,""en"",""zh-CN"")"),"结尾显示了阳光下的美丽图画。")</f>
        <v>结尾显示了阳光下的美丽图画。</v>
      </c>
    </row>
    <row r="6858">
      <c r="A6858" s="4" t="s">
        <v>8624</v>
      </c>
      <c r="B6858" s="4" t="s">
        <v>8625</v>
      </c>
      <c r="C6858" s="5" t="str">
        <f>IFERROR(__xludf.DUMMYFUNCTION("GOOGLETRANSLATE(B6858,""en"",""zh-CN"")"),"一个人正在用白鞋剥下贴纸。")</f>
        <v>一个人正在用白鞋剥下贴纸。</v>
      </c>
    </row>
    <row r="6859">
      <c r="A6859" s="4" t="s">
        <v>8624</v>
      </c>
      <c r="B6859" s="4" t="s">
        <v>8626</v>
      </c>
      <c r="C6859" s="5" t="str">
        <f>IFERROR(__xludf.DUMMYFUNCTION("GOOGLETRANSLATE(B6859,""en"",""zh-CN"")"),"他们用毛巾擦拭鞋子。")</f>
        <v>他们用毛巾擦拭鞋子。</v>
      </c>
    </row>
    <row r="6860">
      <c r="A6860" s="4" t="s">
        <v>8627</v>
      </c>
      <c r="B6860" s="6" t="s">
        <v>8628</v>
      </c>
      <c r="C6860" s="5" t="str">
        <f>IFERROR(__xludf.DUMMYFUNCTION("GOOGLETRANSLATE(B6860,""en"",""zh-CN"")"),"一个人从盒子里取出奶酪，然后他带着一个罐子，用两个餐巾纸放在柜台上，然后打开冰箱。")</f>
        <v>一个人从盒子里取出奶酪，然后他带着一个罐子，用两个餐巾纸放在柜台上，然后打开冰箱。</v>
      </c>
    </row>
    <row r="6861">
      <c r="A6861" s="4" t="s">
        <v>8627</v>
      </c>
      <c r="B6861" s="4" t="s">
        <v>8629</v>
      </c>
      <c r="C6861" s="5" t="str">
        <f>IFERROR(__xludf.DUMMYFUNCTION("GOOGLETRANSLATE(B6861,""en"",""zh-CN"")"),"一个男人拿着桶的同时将水放在他的脸上，然后拿一块海绵扔在桌子上。")</f>
        <v>一个男人拿着桶的同时将水放在他的脸上，然后拿一块海绵扔在桌子上。</v>
      </c>
    </row>
    <row r="6862">
      <c r="A6862" s="4" t="s">
        <v>8627</v>
      </c>
      <c r="B6862" s="4" t="s">
        <v>8630</v>
      </c>
      <c r="C6862" s="5" t="str">
        <f>IFERROR(__xludf.DUMMYFUNCTION("GOOGLETRANSLATE(B6862,""en"",""zh-CN"")"),"该人将两瓶和两片面包放在桌子上，然后将奶酪切成薄片。")</f>
        <v>该人将两瓶和两片面包放在桌子上，然后将奶酪切成薄片。</v>
      </c>
    </row>
    <row r="6863">
      <c r="A6863" s="4" t="s">
        <v>8627</v>
      </c>
      <c r="B6863" s="6" t="s">
        <v>8631</v>
      </c>
      <c r="C6863" s="5" t="str">
        <f>IFERROR(__xludf.DUMMYFUNCTION("GOOGLETRANSLATE(B6863,""en"",""zh-CN"")"),"之后，该人将奶酪和果酱放在面包上，然后他吃三明治并用瓶子喝苏打水。")</f>
        <v>之后，该人将奶酪和果酱放在面包上，然后他吃三明治并用瓶子喝苏打水。</v>
      </c>
    </row>
    <row r="6864">
      <c r="A6864" s="4" t="s">
        <v>8632</v>
      </c>
      <c r="B6864" s="4" t="s">
        <v>8633</v>
      </c>
      <c r="C6864" s="5" t="str">
        <f>IFERROR(__xludf.DUMMYFUNCTION("GOOGLETRANSLATE(B6864,""en"",""zh-CN"")"),"礼堂内进行了围栏比赛。")</f>
        <v>礼堂内进行了围栏比赛。</v>
      </c>
    </row>
    <row r="6865">
      <c r="A6865" s="4" t="s">
        <v>8632</v>
      </c>
      <c r="B6865" s="4" t="s">
        <v>8634</v>
      </c>
      <c r="C6865" s="5" t="str">
        <f>IFERROR(__xludf.DUMMYFUNCTION("GOOGLETRANSLATE(B6865,""en"",""zh-CN"")"),"两名穿着全栅栏的男人开始战斗。")</f>
        <v>两名穿着全栅栏的男人开始战斗。</v>
      </c>
    </row>
    <row r="6866">
      <c r="A6866" s="4" t="s">
        <v>8632</v>
      </c>
      <c r="B6866" s="4" t="s">
        <v>8635</v>
      </c>
      <c r="C6866" s="5" t="str">
        <f>IFERROR(__xludf.DUMMYFUNCTION("GOOGLETRANSLATE(B6866,""en"",""zh-CN"")"),"他们刺伤并摇摆，为人群围栏。")</f>
        <v>他们刺伤并摇摆，为人群围栏。</v>
      </c>
    </row>
    <row r="6867">
      <c r="A6867" s="4" t="s">
        <v>8632</v>
      </c>
      <c r="B6867" s="4" t="s">
        <v>8636</v>
      </c>
      <c r="C6867" s="5" t="str">
        <f>IFERROR(__xludf.DUMMYFUNCTION("GOOGLETRANSLATE(B6867,""en"",""zh-CN"")"),"显示了几个人在闭幕图像中表演各种运动。")</f>
        <v>显示了几个人在闭幕图像中表演各种运动。</v>
      </c>
    </row>
    <row r="6868">
      <c r="A6868" s="4" t="s">
        <v>8637</v>
      </c>
      <c r="B6868" s="4" t="s">
        <v>8638</v>
      </c>
      <c r="C6868" s="5" t="str">
        <f>IFERROR(__xludf.DUMMYFUNCTION("GOOGLETRANSLATE(B6868,""en"",""zh-CN"")"),"一个男人拿着长长的修剪器。")</f>
        <v>一个男人拿着长长的修剪器。</v>
      </c>
    </row>
    <row r="6869">
      <c r="A6869" s="4" t="s">
        <v>8637</v>
      </c>
      <c r="B6869" s="4" t="s">
        <v>8639</v>
      </c>
      <c r="C6869" s="5" t="str">
        <f>IFERROR(__xludf.DUMMYFUNCTION("GOOGLETRANSLATE(B6869,""en"",""zh-CN"")"),"他用修剪器将灌木丛除草。")</f>
        <v>他用修剪器将灌木丛除草。</v>
      </c>
    </row>
    <row r="6870">
      <c r="A6870" s="4" t="s">
        <v>8637</v>
      </c>
      <c r="B6870" s="4" t="s">
        <v>8640</v>
      </c>
      <c r="C6870" s="5" t="str">
        <f>IFERROR(__xludf.DUMMYFUNCTION("GOOGLETRANSLATE(B6870,""en"",""zh-CN"")"),"叶子修剪时，叶子陷入了地面。")</f>
        <v>叶子修剪时，叶子陷入了地面。</v>
      </c>
    </row>
    <row r="6871">
      <c r="A6871" s="4" t="s">
        <v>8641</v>
      </c>
      <c r="B6871" s="4" t="s">
        <v>1487</v>
      </c>
      <c r="C6871" s="5" t="str">
        <f>IFERROR(__xludf.DUMMYFUNCTION("GOOGLETRANSLATE(B6871,""en"",""zh-CN"")"),"我们看到一个开放标题屏幕。")</f>
        <v>我们看到一个开放标题屏幕。</v>
      </c>
    </row>
    <row r="6872">
      <c r="A6872" s="4" t="s">
        <v>8641</v>
      </c>
      <c r="B6872" s="4" t="s">
        <v>8642</v>
      </c>
      <c r="C6872" s="5" t="str">
        <f>IFERROR(__xludf.DUMMYFUNCTION("GOOGLETRANSLATE(B6872,""en"",""zh-CN"")"),"一个男人和男孩的标准坐在雪和冰鱼上。")</f>
        <v>一个男人和男孩的标准坐在雪和冰鱼上。</v>
      </c>
    </row>
    <row r="6873">
      <c r="A6873" s="4" t="s">
        <v>8641</v>
      </c>
      <c r="B6873" s="6" t="s">
        <v>8643</v>
      </c>
      <c r="C6873" s="5" t="str">
        <f>IFERROR(__xludf.DUMMYFUNCTION("GOOGLETRANSLATE(B6873,""en"",""zh-CN"")"),"我们看到一个titter屏的屏幕，飞机在天空中飞到头顶，我们看到冰上的人和一辆卡车在远处。")</f>
        <v>我们看到一个titter屏的屏幕，飞机在天空中飞到头顶，我们看到冰上的人和一辆卡车在远处。</v>
      </c>
    </row>
    <row r="6874">
      <c r="A6874" s="4" t="s">
        <v>8641</v>
      </c>
      <c r="B6874" s="4" t="s">
        <v>8644</v>
      </c>
      <c r="C6874" s="5" t="str">
        <f>IFERROR(__xludf.DUMMYFUNCTION("GOOGLETRANSLATE(B6874,""en"",""zh-CN"")"),"一个孩子走到卡车上，一位女士在装满食物的卡车床上烹饪热狗。")</f>
        <v>一个孩子走到卡车上，一位女士在装满食物的卡车床上烹饪热狗。</v>
      </c>
    </row>
    <row r="6875">
      <c r="A6875" s="4" t="s">
        <v>8641</v>
      </c>
      <c r="B6875" s="4" t="s">
        <v>8645</v>
      </c>
      <c r="C6875" s="5" t="str">
        <f>IFERROR(__xludf.DUMMYFUNCTION("GOOGLETRANSLATE(B6875,""en"",""zh-CN"")"),"我们看到一个标题屏幕，看到坐在雪中的冷冻鱼。")</f>
        <v>我们看到一个标题屏幕，看到坐在雪中的冷冻鱼。</v>
      </c>
    </row>
    <row r="6876">
      <c r="A6876" s="4" t="s">
        <v>8646</v>
      </c>
      <c r="B6876" s="4" t="s">
        <v>8647</v>
      </c>
      <c r="C6876" s="5" t="str">
        <f>IFERROR(__xludf.DUMMYFUNCTION("GOOGLETRANSLATE(B6876,""en"",""zh-CN"")"),"游行队伍在游行中走在街上。")</f>
        <v>游行队伍在游行中走在街上。</v>
      </c>
    </row>
    <row r="6877">
      <c r="A6877" s="4" t="s">
        <v>8646</v>
      </c>
      <c r="B6877" s="4" t="s">
        <v>8648</v>
      </c>
      <c r="C6877" s="5" t="str">
        <f>IFERROR(__xludf.DUMMYFUNCTION("GOOGLETRANSLATE(B6877,""en"",""zh-CN"")"),"一群穿着绿色制服的成员挥舞着旗帜。")</f>
        <v>一群穿着绿色制服的成员挥舞着旗帜。</v>
      </c>
    </row>
    <row r="6878">
      <c r="A6878" s="4" t="s">
        <v>8646</v>
      </c>
      <c r="B6878" s="4" t="s">
        <v>8649</v>
      </c>
      <c r="C6878" s="5" t="str">
        <f>IFERROR(__xludf.DUMMYFUNCTION("GOOGLETRANSLATE(B6878,""en"",""zh-CN"")"),"游行队伍的成员沿着街上拿着小喇叭铜器乐器行走。")</f>
        <v>游行队伍的成员沿着街上拿着小喇叭铜器乐器行走。</v>
      </c>
    </row>
    <row r="6879">
      <c r="A6879" s="4" t="s">
        <v>8646</v>
      </c>
      <c r="B6879" s="4" t="s">
        <v>8650</v>
      </c>
      <c r="C6879" s="5" t="str">
        <f>IFERROR(__xludf.DUMMYFUNCTION("GOOGLETRANSLATE(B6879,""en"",""zh-CN"")"),"鼓线通过沿着街上弹奏乐器走过。")</f>
        <v>鼓线通过沿着街上弹奏乐器走过。</v>
      </c>
    </row>
    <row r="6880">
      <c r="A6880" s="4" t="s">
        <v>8646</v>
      </c>
      <c r="B6880" s="4" t="s">
        <v>8651</v>
      </c>
      <c r="C6880" s="5" t="str">
        <f>IFERROR(__xludf.DUMMYFUNCTION("GOOGLETRANSLATE(B6880,""en"",""zh-CN"")"),"游行队员沿着街道行走，拿着大型喇叭形喇叭形乐器。")</f>
        <v>游行队员沿着街道行走，拿着大型喇叭形喇叭形乐器。</v>
      </c>
    </row>
    <row r="6881">
      <c r="A6881" s="4" t="s">
        <v>8652</v>
      </c>
      <c r="B6881" s="6" t="s">
        <v>8653</v>
      </c>
      <c r="C6881" s="5" t="str">
        <f>IFERROR(__xludf.DUMMYFUNCTION("GOOGLETRANSLATE(B6881,""en"",""zh-CN"")"),"该视频的质量非常差，它显示了一个男人拿着相机，他和其他人一起在公园里，其中包括另一个成年和一个看起来像女孩的小孩。")</f>
        <v>该视频的质量非常差，它显示了一个男人拿着相机，他和其他人一起在公园里，其中包括另一个成年和一个看起来像女孩的小孩。</v>
      </c>
    </row>
    <row r="6882">
      <c r="A6882" s="4" t="s">
        <v>8652</v>
      </c>
      <c r="B6882" s="4" t="s">
        <v>8654</v>
      </c>
      <c r="C6882" s="5" t="str">
        <f>IFERROR(__xludf.DUMMYFUNCTION("GOOGLETRANSLATE(B6882,""en"",""zh-CN"")"),"该男子和小女孩一起爬上公园设备。")</f>
        <v>该男子和小女孩一起爬上公园设备。</v>
      </c>
    </row>
    <row r="6883">
      <c r="A6883" s="4" t="s">
        <v>8652</v>
      </c>
      <c r="B6883" s="6" t="s">
        <v>8655</v>
      </c>
      <c r="C6883" s="5" t="str">
        <f>IFERROR(__xludf.DUMMYFUNCTION("GOOGLETRANSLATE(B6883,""en"",""zh-CN"")"),"然后，这个孩子和男人出现在滑梯上，小女孩一直微笑着，而男人则留在幻灯片的顶部。")</f>
        <v>然后，这个孩子和男人出现在滑梯上，小女孩一直微笑着，而男人则留在幻灯片的顶部。</v>
      </c>
    </row>
    <row r="6884">
      <c r="A6884" s="4" t="s">
        <v>8656</v>
      </c>
      <c r="B6884" s="6" t="s">
        <v>8657</v>
      </c>
      <c r="C6884" s="5" t="str">
        <f>IFERROR(__xludf.DUMMYFUNCTION("GOOGLETRANSLATE(B6884,""en"",""zh-CN"")"),"当女人开始洗脸时，一个女人和小男孩在水槽里微笑着洗手。")</f>
        <v>当女人开始洗脸时，一个女人和小男孩在水槽里微笑着洗手。</v>
      </c>
    </row>
    <row r="6885">
      <c r="A6885" s="4" t="s">
        <v>8656</v>
      </c>
      <c r="B6885" s="6" t="s">
        <v>8658</v>
      </c>
      <c r="C6885" s="5" t="str">
        <f>IFERROR(__xludf.DUMMYFUNCTION("GOOGLETRANSLATE(B6885,""en"",""zh-CN"")"),"这个男孩和那个女人笑着笑着，那个女人用纸巾干了脸。")</f>
        <v>这个男孩和那个女人笑着笑着，那个女人用纸巾干了脸。</v>
      </c>
    </row>
    <row r="6886">
      <c r="A6886" s="4" t="s">
        <v>8659</v>
      </c>
      <c r="B6886" s="6" t="s">
        <v>8660</v>
      </c>
      <c r="C6886" s="5" t="str">
        <f>IFERROR(__xludf.DUMMYFUNCTION("GOOGLETRANSLATE(B6886,""en"",""zh-CN"")"),"可以看到台球桌，三角形的球，许多人在比赛中将球射入角落口袋。")</f>
        <v>可以看到台球桌，三角形的球，许多人在比赛中将球射入角落口袋。</v>
      </c>
    </row>
    <row r="6887">
      <c r="A6887" s="4" t="s">
        <v>8659</v>
      </c>
      <c r="B6887" s="4" t="s">
        <v>8661</v>
      </c>
      <c r="C6887" s="5" t="str">
        <f>IFERROR(__xludf.DUMMYFUNCTION("GOOGLETRANSLATE(B6887,""en"",""zh-CN"")"),"一个女人在扮演记分卡时四处走动。")</f>
        <v>一个女人在扮演记分卡时四处走动。</v>
      </c>
    </row>
    <row r="6888">
      <c r="A6888" s="4" t="s">
        <v>8662</v>
      </c>
      <c r="B6888" s="4" t="s">
        <v>8663</v>
      </c>
      <c r="C6888" s="5" t="str">
        <f>IFERROR(__xludf.DUMMYFUNCTION("GOOGLETRANSLATE(B6888,""en"",""zh-CN"")"),"人们在棕色的地板上驾驶保险杠汽车。")</f>
        <v>人们在棕色的地板上驾驶保险杠汽车。</v>
      </c>
    </row>
    <row r="6889">
      <c r="A6889" s="4" t="s">
        <v>8662</v>
      </c>
      <c r="B6889" s="4" t="s">
        <v>8664</v>
      </c>
      <c r="C6889" s="5" t="str">
        <f>IFERROR(__xludf.DUMMYFUNCTION("GOOGLETRANSLATE(B6889,""en"",""zh-CN"")"),"保险杠汽车相互碰撞。")</f>
        <v>保险杠汽车相互碰撞。</v>
      </c>
    </row>
    <row r="6890">
      <c r="A6890" s="4" t="s">
        <v>8662</v>
      </c>
      <c r="B6890" s="4" t="s">
        <v>8665</v>
      </c>
      <c r="C6890" s="5" t="str">
        <f>IFERROR(__xludf.DUMMYFUNCTION("GOOGLETRANSLATE(B6890,""en"",""zh-CN"")"),"一个女孩大声笑。")</f>
        <v>一个女孩大声笑。</v>
      </c>
    </row>
    <row r="6891">
      <c r="A6891" s="4" t="s">
        <v>8666</v>
      </c>
      <c r="B6891" s="4" t="s">
        <v>8667</v>
      </c>
      <c r="C6891" s="5" t="str">
        <f>IFERROR(__xludf.DUMMYFUNCTION("GOOGLETRANSLATE(B6891,""en"",""zh-CN"")"),"一群人骑骆驼。")</f>
        <v>一群人骑骆驼。</v>
      </c>
    </row>
    <row r="6892">
      <c r="A6892" s="4" t="s">
        <v>8666</v>
      </c>
      <c r="B6892" s="4" t="s">
        <v>8668</v>
      </c>
      <c r="C6892" s="5" t="str">
        <f>IFERROR(__xludf.DUMMYFUNCTION("GOOGLETRANSLATE(B6892,""en"",""zh-CN"")"),"骆驼跪下。")</f>
        <v>骆驼跪下。</v>
      </c>
    </row>
    <row r="6893">
      <c r="A6893" s="4" t="s">
        <v>8669</v>
      </c>
      <c r="B6893" s="4" t="s">
        <v>8670</v>
      </c>
      <c r="C6893" s="5" t="str">
        <f>IFERROR(__xludf.DUMMYFUNCTION("GOOGLETRANSLATE(B6893,""en"",""zh-CN"")"),"我们看到一位女士和一个女孩在雪山上的木筏上。")</f>
        <v>我们看到一位女士和一个女孩在雪山上的木筏上。</v>
      </c>
    </row>
    <row r="6894">
      <c r="A6894" s="4" t="s">
        <v>8669</v>
      </c>
      <c r="B6894" s="4" t="s">
        <v>8671</v>
      </c>
      <c r="C6894" s="5" t="str">
        <f>IFERROR(__xludf.DUMMYFUNCTION("GOOGLETRANSLATE(B6894,""en"",""zh-CN"")"),"女士和一个男人将人们推到山上。")</f>
        <v>女士和一个男人将人们推到山上。</v>
      </c>
    </row>
    <row r="6895">
      <c r="A6895" s="4" t="s">
        <v>8669</v>
      </c>
      <c r="B6895" s="4" t="s">
        <v>8672</v>
      </c>
      <c r="C6895" s="5" t="str">
        <f>IFERROR(__xludf.DUMMYFUNCTION("GOOGLETRANSLATE(B6895,""en"",""zh-CN"")"),"人们滑入山坡上。")</f>
        <v>人们滑入山坡上。</v>
      </c>
    </row>
    <row r="6896">
      <c r="A6896" s="4" t="s">
        <v>8669</v>
      </c>
      <c r="B6896" s="4" t="s">
        <v>8673</v>
      </c>
      <c r="C6896" s="5" t="str">
        <f>IFERROR(__xludf.DUMMYFUNCTION("GOOGLETRANSLATE(B6896,""en"",""zh-CN"")"),"小女孩站着看着她。")</f>
        <v>小女孩站着看着她。</v>
      </c>
    </row>
    <row r="6897">
      <c r="A6897" s="4" t="s">
        <v>8674</v>
      </c>
      <c r="B6897" s="6" t="s">
        <v>8675</v>
      </c>
      <c r="C6897" s="5" t="str">
        <f>IFERROR(__xludf.DUMMYFUNCTION("GOOGLETRANSLATE(B6897,""en"",""zh-CN"")"),"一群人坐着鼓掌，而男人站着穿着gi的男人沿着镜子的墙壁则经历了空手道的不同运动。")</f>
        <v>一群人坐着鼓掌，而男人站着穿着gi的男人沿着镜子的墙壁则经历了空手道的不同运动。</v>
      </c>
    </row>
    <row r="6898">
      <c r="A6898" s="4" t="s">
        <v>8674</v>
      </c>
      <c r="B6898" s="6" t="s">
        <v>8676</v>
      </c>
      <c r="C6898" s="5" t="str">
        <f>IFERROR(__xludf.DUMMYFUNCTION("GOOGLETRANSLATE(B6898,""en"",""zh-CN"")"),"埃尔维斯·普雷斯利（Elvis Presley）现在穿着他的音乐会服装，站在舞台上，进行空手道的动作，然后回到他站在镜面墙前，并在他穿着GI时展示了他的空手道动作。")</f>
        <v>埃尔维斯·普雷斯利（Elvis Presley）现在穿着他的音乐会服装，站在舞台上，进行空手道的动作，然后回到他站在镜面墙前，并在他穿着GI时展示了他的空手道动作。</v>
      </c>
    </row>
    <row r="6899">
      <c r="A6899" s="4" t="s">
        <v>8674</v>
      </c>
      <c r="B6899" s="6" t="s">
        <v>8677</v>
      </c>
      <c r="C6899" s="5" t="str">
        <f>IFERROR(__xludf.DUMMYFUNCTION("GOOGLETRANSLATE(B6899,""en"",""zh-CN"")"),"埃尔维斯·普雷斯利（Elvis Presley）再次在演唱会上重返舞台上，视频以他的空手道在舞台上行动而结束。")</f>
        <v>埃尔维斯·普雷斯利（Elvis Presley）再次在演唱会上重返舞台上，视频以他的空手道在舞台上行动而结束。</v>
      </c>
    </row>
    <row r="6900">
      <c r="A6900" s="4" t="s">
        <v>8678</v>
      </c>
      <c r="B6900" s="6" t="s">
        <v>8679</v>
      </c>
      <c r="C6900" s="5" t="str">
        <f>IFERROR(__xludf.DUMMYFUNCTION("GOOGLETRANSLATE(B6900,""en"",""zh-CN"")"),"一名穿着白色衬衫和红色短裤的运动员正在与几个观众的体育场里放着标枪。")</f>
        <v>一名穿着白色衬衫和红色短裤的运动员正在与几个观众的体育场里放着标枪。</v>
      </c>
    </row>
    <row r="6901">
      <c r="A6901" s="4" t="s">
        <v>8678</v>
      </c>
      <c r="B6901" s="4" t="s">
        <v>8680</v>
      </c>
      <c r="C6901" s="5" t="str">
        <f>IFERROR(__xludf.DUMMYFUNCTION("GOOGLETRANSLATE(B6901,""en"",""zh-CN"")"),"有一个人坐在白色长凳上，穿着蓝色的制服，将他的鞋带绑起来。")</f>
        <v>有一个人坐在白色长凳上，穿着蓝色的制服，将他的鞋带绑起来。</v>
      </c>
    </row>
    <row r="6902">
      <c r="A6902" s="4" t="s">
        <v>8678</v>
      </c>
      <c r="B6902" s="4" t="s">
        <v>8681</v>
      </c>
      <c r="C6902" s="5" t="str">
        <f>IFERROR(__xludf.DUMMYFUNCTION("GOOGLETRANSLATE(B6902,""en"",""zh-CN"")"),"标枪投掷者奔跑并抛出标枪，跌落到地面上。")</f>
        <v>标枪投掷者奔跑并抛出标枪，跌落到地面上。</v>
      </c>
    </row>
    <row r="6903">
      <c r="A6903" s="4" t="s">
        <v>8678</v>
      </c>
      <c r="B6903" s="4" t="s">
        <v>8682</v>
      </c>
      <c r="C6903" s="5" t="str">
        <f>IFERROR(__xludf.DUMMYFUNCTION("GOOGLETRANSLATE(B6903,""en"",""zh-CN"")"),"他站起来，举起胜利。")</f>
        <v>他站起来，举起胜利。</v>
      </c>
    </row>
    <row r="6904">
      <c r="A6904" s="4" t="s">
        <v>8678</v>
      </c>
      <c r="B6904" s="4" t="s">
        <v>8683</v>
      </c>
      <c r="C6904" s="5" t="str">
        <f>IFERROR(__xludf.DUMMYFUNCTION("GOOGLETRANSLATE(B6904,""en"",""zh-CN"")"),"他再次奔跑，投掷标枪，跌落到地面上。")</f>
        <v>他再次奔跑，投掷标枪，跌落到地面上。</v>
      </c>
    </row>
    <row r="6905">
      <c r="A6905" s="4" t="s">
        <v>8678</v>
      </c>
      <c r="B6905" s="4" t="s">
        <v>8684</v>
      </c>
      <c r="C6905" s="5" t="str">
        <f>IFERROR(__xludf.DUMMYFUNCTION("GOOGLETRANSLATE(B6905,""en"",""zh-CN"")"),"第三次，他的动作以慢动作重复。")</f>
        <v>第三次，他的动作以慢动作重复。</v>
      </c>
    </row>
    <row r="6906">
      <c r="A6906" s="4" t="s">
        <v>8685</v>
      </c>
      <c r="B6906" s="4" t="s">
        <v>8686</v>
      </c>
      <c r="C6906" s="5" t="str">
        <f>IFERROR(__xludf.DUMMYFUNCTION("GOOGLETRANSLATE(B6906,""en"",""zh-CN"")"),"玩家在一个领域练习曲棍网兜球。")</f>
        <v>玩家在一个领域练习曲棍网兜球。</v>
      </c>
    </row>
    <row r="6907">
      <c r="A6907" s="4" t="s">
        <v>8685</v>
      </c>
      <c r="B6907" s="4" t="s">
        <v>8687</v>
      </c>
      <c r="C6907" s="5" t="str">
        <f>IFERROR(__xludf.DUMMYFUNCTION("GOOGLETRANSLATE(B6907,""en"",""zh-CN"")"),"然后，球队打曲棍球和球队的球员得分。")</f>
        <v>然后，球队打曲棍球和球队的球员得分。</v>
      </c>
    </row>
    <row r="6908">
      <c r="A6908" s="4" t="s">
        <v>8685</v>
      </c>
      <c r="B6908" s="4" t="s">
        <v>8688</v>
      </c>
      <c r="C6908" s="5" t="str">
        <f>IFERROR(__xludf.DUMMYFUNCTION("GOOGLETRANSLATE(B6908,""en"",""zh-CN"")"),"教练记笔记，然后球员训练曲棍球。")</f>
        <v>教练记笔记，然后球员训练曲棍球。</v>
      </c>
    </row>
    <row r="6909">
      <c r="A6909" s="4" t="s">
        <v>8685</v>
      </c>
      <c r="B6909" s="4" t="s">
        <v>8689</v>
      </c>
      <c r="C6909" s="5" t="str">
        <f>IFERROR(__xludf.DUMMYFUNCTION("GOOGLETRANSLATE(B6909,""en"",""zh-CN"")"),"然后，有两个球队在一个田野里玩曲棍球，用棍子扔了电话。")</f>
        <v>然后，有两个球队在一个田野里玩曲棍球，用棍子扔了电话。</v>
      </c>
    </row>
    <row r="6910">
      <c r="A6910" s="4" t="s">
        <v>8690</v>
      </c>
      <c r="B6910" s="4" t="s">
        <v>8691</v>
      </c>
      <c r="C6910" s="5" t="str">
        <f>IFERROR(__xludf.DUMMYFUNCTION("GOOGLETRANSLATE(B6910,""en"",""zh-CN"")"),"一个男人走过院子，取回了一个推冰器。")</f>
        <v>一个男人走过院子，取回了一个推冰器。</v>
      </c>
    </row>
    <row r="6911">
      <c r="A6911" s="4" t="s">
        <v>8690</v>
      </c>
      <c r="B6911" s="4" t="s">
        <v>8692</v>
      </c>
      <c r="C6911" s="5" t="str">
        <f>IFERROR(__xludf.DUMMYFUNCTION("GOOGLETRANSLATE(B6911,""en"",""zh-CN"")"),"该男子在院子里走动鼓风机，将叶子吹到侧面。")</f>
        <v>该男子在院子里走动鼓风机，将叶子吹到侧面。</v>
      </c>
    </row>
    <row r="6912">
      <c r="A6912" s="4" t="s">
        <v>8690</v>
      </c>
      <c r="B6912" s="6" t="s">
        <v>8693</v>
      </c>
      <c r="C6912" s="5" t="str">
        <f>IFERROR(__xludf.DUMMYFUNCTION("GOOGLETRANSLATE(B6912,""en"",""zh-CN"")"),"该男子用其他机械完成并将叶子吹制栅栏旁边，然后走开。")</f>
        <v>该男子用其他机械完成并将叶子吹制栅栏旁边，然后走开。</v>
      </c>
    </row>
    <row r="6913">
      <c r="A6913" s="4" t="s">
        <v>8694</v>
      </c>
      <c r="B6913" s="4" t="s">
        <v>8695</v>
      </c>
      <c r="C6913" s="5" t="str">
        <f>IFERROR(__xludf.DUMMYFUNCTION("GOOGLETRANSLATE(B6913,""en"",""zh-CN"")"),"粉红色的女人指向目标。")</f>
        <v>粉红色的女人指向目标。</v>
      </c>
    </row>
    <row r="6914">
      <c r="A6914" s="4" t="s">
        <v>8694</v>
      </c>
      <c r="B6914" s="4" t="s">
        <v>8696</v>
      </c>
      <c r="C6914" s="5" t="str">
        <f>IFERROR(__xludf.DUMMYFUNCTION("GOOGLETRANSLATE(B6914,""en"",""zh-CN"")"),"黑色芽和得分进球的女孩。")</f>
        <v>黑色芽和得分进球的女孩。</v>
      </c>
    </row>
    <row r="6915">
      <c r="A6915" s="4" t="s">
        <v>8694</v>
      </c>
      <c r="B6915" s="4" t="s">
        <v>8697</v>
      </c>
      <c r="C6915" s="5" t="str">
        <f>IFERROR(__xludf.DUMMYFUNCTION("GOOGLETRANSLATE(B6915,""en"",""zh-CN"")"),"队友向黑色女孩表示祝贺。")</f>
        <v>队友向黑色女孩表示祝贺。</v>
      </c>
    </row>
    <row r="6916">
      <c r="A6916" s="4" t="s">
        <v>8694</v>
      </c>
      <c r="B6916" s="4" t="s">
        <v>8698</v>
      </c>
      <c r="C6916" s="5" t="str">
        <f>IFERROR(__xludf.DUMMYFUNCTION("GOOGLETRANSLATE(B6916,""en"",""zh-CN"")"),"玩家进入自己的位置。")</f>
        <v>玩家进入自己的位置。</v>
      </c>
    </row>
    <row r="6917">
      <c r="A6917" s="4" t="s">
        <v>8694</v>
      </c>
      <c r="B6917" s="4" t="s">
        <v>8699</v>
      </c>
      <c r="C6917" s="5" t="str">
        <f>IFERROR(__xludf.DUMMYFUNCTION("GOOGLETRANSLATE(B6917,""en"",""zh-CN"")"),"黑色的女孩追赶球。")</f>
        <v>黑色的女孩追赶球。</v>
      </c>
    </row>
    <row r="6918">
      <c r="A6918" s="4" t="s">
        <v>8694</v>
      </c>
      <c r="B6918" s="4" t="s">
        <v>8700</v>
      </c>
      <c r="C6918" s="5" t="str">
        <f>IFERROR(__xludf.DUMMYFUNCTION("GOOGLETRANSLATE(B6918,""en"",""zh-CN"")"),"黑色的女孩将球击中了她的队友。")</f>
        <v>黑色的女孩将球击中了她的队友。</v>
      </c>
    </row>
    <row r="6919">
      <c r="A6919" s="4" t="s">
        <v>8694</v>
      </c>
      <c r="B6919" s="4" t="s">
        <v>8701</v>
      </c>
      <c r="C6919" s="5" t="str">
        <f>IFERROR(__xludf.DUMMYFUNCTION("GOOGLETRANSLATE(B6919,""en"",""zh-CN"")"),"女孩追赶球。")</f>
        <v>女孩追赶球。</v>
      </c>
    </row>
    <row r="6920">
      <c r="A6920" s="4" t="s">
        <v>8702</v>
      </c>
      <c r="B6920" s="4" t="s">
        <v>8703</v>
      </c>
      <c r="C6920" s="5" t="str">
        <f>IFERROR(__xludf.DUMMYFUNCTION("GOOGLETRANSLATE(B6920,""en"",""zh-CN"")"),"一个男人坐在一个腿之间有两个con的房间里。")</f>
        <v>一个男人坐在一个腿之间有两个con的房间里。</v>
      </c>
    </row>
    <row r="6921">
      <c r="A6921" s="4" t="s">
        <v>8702</v>
      </c>
      <c r="B6921" s="6" t="s">
        <v>8704</v>
      </c>
      <c r="C6921" s="5" t="str">
        <f>IFERROR(__xludf.DUMMYFUNCTION("GOOGLETRANSLATE(B6921,""en"",""zh-CN"")"),"其中一个比另一个小稍小，他倾向于扮演一个并且只击中较大的节拍。")</f>
        <v>其中一个比另一个小稍小，他倾向于扮演一个并且只击中较大的节拍。</v>
      </c>
    </row>
    <row r="6922">
      <c r="A6922" s="4" t="s">
        <v>8702</v>
      </c>
      <c r="B6922" s="6" t="s">
        <v>8705</v>
      </c>
      <c r="C6922" s="5" t="str">
        <f>IFERROR(__xludf.DUMMYFUNCTION("GOOGLETRANSLATE(B6922,""en"",""zh-CN"")"),"他的整个脸出现在框架中，您可以看到他摇摇头，更多地专注于他的声音。")</f>
        <v>他的整个脸出现在框架中，您可以看到他摇摇头，更多地专注于他的声音。</v>
      </c>
    </row>
    <row r="6923">
      <c r="A6923" s="4" t="s">
        <v>8706</v>
      </c>
      <c r="B6923" s="6" t="s">
        <v>8707</v>
      </c>
      <c r="C6923" s="5" t="str">
        <f>IFERROR(__xludf.DUMMYFUNCTION("GOOGLETRANSLATE(B6923,""en"",""zh-CN"")"),"一个简介导致一个握着狗和飞盘的女人，然后将fribee扔给狗。")</f>
        <v>一个简介导致一个握着狗和飞盘的女人，然后将fribee扔给狗。</v>
      </c>
    </row>
    <row r="6924">
      <c r="A6924" s="4" t="s">
        <v>8706</v>
      </c>
      <c r="B6924" s="6" t="s">
        <v>8708</v>
      </c>
      <c r="C6924" s="5" t="str">
        <f>IFERROR(__xludf.DUMMYFUNCTION("GOOGLETRANSLATE(B6924,""en"",""zh-CN"")"),"狗把它带回去，女孩再扔几次物体，每次都会追逐并回来。")</f>
        <v>狗把它带回去，女孩再扔几次物体，每次都会追逐并回来。</v>
      </c>
    </row>
    <row r="6925">
      <c r="A6925" s="4" t="s">
        <v>8709</v>
      </c>
      <c r="B6925" s="4" t="s">
        <v>1251</v>
      </c>
      <c r="C6925" s="5" t="str">
        <f>IFERROR(__xludf.DUMMYFUNCTION("GOOGLETRANSLATE(B6925,""en"",""zh-CN"")"),"显示了剪辑的信用。")</f>
        <v>显示了剪辑的信用。</v>
      </c>
    </row>
    <row r="6926">
      <c r="A6926" s="4" t="s">
        <v>8709</v>
      </c>
      <c r="B6926" s="4" t="s">
        <v>8710</v>
      </c>
      <c r="C6926" s="5" t="str">
        <f>IFERROR(__xludf.DUMMYFUNCTION("GOOGLETRANSLATE(B6926,""en"",""zh-CN"")"),"这位女士将瓶子的内容放在她的手掌上，那位女士将其擦在她的脸上。")</f>
        <v>这位女士将瓶子的内容放在她的手掌上，那位女士将其擦在她的脸上。</v>
      </c>
    </row>
    <row r="6927">
      <c r="A6927" s="4" t="s">
        <v>8709</v>
      </c>
      <c r="B6927" s="4" t="s">
        <v>8711</v>
      </c>
      <c r="C6927" s="5" t="str">
        <f>IFERROR(__xludf.DUMMYFUNCTION("GOOGLETRANSLATE(B6927,""en"",""zh-CN"")"),"那位女士做有趣的面孔。")</f>
        <v>那位女士做有趣的面孔。</v>
      </c>
    </row>
    <row r="6928">
      <c r="A6928" s="4" t="s">
        <v>8709</v>
      </c>
      <c r="B6928" s="4" t="s">
        <v>8712</v>
      </c>
      <c r="C6928" s="5" t="str">
        <f>IFERROR(__xludf.DUMMYFUNCTION("GOOGLETRANSLATE(B6928,""en"",""zh-CN"")"),"那位女士洗脸。")</f>
        <v>那位女士洗脸。</v>
      </c>
    </row>
    <row r="6929">
      <c r="A6929" s="4" t="s">
        <v>8709</v>
      </c>
      <c r="B6929" s="4" t="s">
        <v>8713</v>
      </c>
      <c r="C6929" s="5" t="str">
        <f>IFERROR(__xludf.DUMMYFUNCTION("GOOGLETRANSLATE(B6929,""en"",""zh-CN"")"),"女毛巾干了她的脸。")</f>
        <v>女毛巾干了她的脸。</v>
      </c>
    </row>
    <row r="6930">
      <c r="A6930" s="4" t="s">
        <v>8709</v>
      </c>
      <c r="B6930" s="4" t="s">
        <v>8714</v>
      </c>
      <c r="C6930" s="5" t="str">
        <f>IFERROR(__xludf.DUMMYFUNCTION("GOOGLETRANSLATE(B6930,""en"",""zh-CN"")"),"这位女士把白色乳液的斑点放在她的脸上，然后擦进去。")</f>
        <v>这位女士把白色乳液的斑点放在她的脸上，然后擦进去。</v>
      </c>
    </row>
    <row r="6931">
      <c r="A6931" s="4" t="s">
        <v>8709</v>
      </c>
      <c r="B6931" s="4" t="s">
        <v>8715</v>
      </c>
      <c r="C6931" s="5" t="str">
        <f>IFERROR(__xludf.DUMMYFUNCTION("GOOGLETRANSLATE(B6931,""en"",""zh-CN"")"),"女士展示了小管产品。")</f>
        <v>女士展示了小管产品。</v>
      </c>
    </row>
    <row r="6932">
      <c r="A6932" s="4" t="s">
        <v>8709</v>
      </c>
      <c r="B6932" s="4" t="s">
        <v>573</v>
      </c>
      <c r="C6932" s="5" t="str">
        <f>IFERROR(__xludf.DUMMYFUNCTION("GOOGLETRANSLATE(B6932,""en"",""zh-CN"")"),"显示了视频的积分。")</f>
        <v>显示了视频的积分。</v>
      </c>
    </row>
    <row r="6933">
      <c r="A6933" s="4" t="s">
        <v>8716</v>
      </c>
      <c r="B6933" s="4" t="s">
        <v>8717</v>
      </c>
      <c r="C6933" s="5" t="str">
        <f>IFERROR(__xludf.DUMMYFUNCTION("GOOGLETRANSLATE(B6933,""en"",""zh-CN"")"),"一个年轻人在布吉（Boogie）登上河流时，正在坚持绳子。")</f>
        <v>一个年轻人在布吉（Boogie）登上河流时，正在坚持绳子。</v>
      </c>
    </row>
    <row r="6934">
      <c r="A6934" s="4" t="s">
        <v>8716</v>
      </c>
      <c r="B6934" s="6" t="s">
        <v>8718</v>
      </c>
      <c r="C6934" s="5" t="str">
        <f>IFERROR(__xludf.DUMMYFUNCTION("GOOGLETRANSLATE(B6934,""en"",""zh-CN"")"),"然后，年轻人在水中进行了360次翻转，不久之后就继续前进，他做了另一个技巧。")</f>
        <v>然后，年轻人在水中进行了360次翻转，不久之后就继续前进，他做了另一个技巧。</v>
      </c>
    </row>
    <row r="6935">
      <c r="A6935" s="4" t="s">
        <v>8716</v>
      </c>
      <c r="B6935" s="4" t="s">
        <v>8719</v>
      </c>
      <c r="C6935" s="5" t="str">
        <f>IFERROR(__xludf.DUMMYFUNCTION("GOOGLETRANSLATE(B6935,""en"",""zh-CN"")"),"然后显示另一个人，并开始在水中进行更严格的技巧。")</f>
        <v>然后显示另一个人，并开始在水中进行更严格的技巧。</v>
      </c>
    </row>
    <row r="6936">
      <c r="A6936" s="4" t="s">
        <v>8716</v>
      </c>
      <c r="B6936" s="4" t="s">
        <v>8720</v>
      </c>
      <c r="C6936" s="5" t="str">
        <f>IFERROR(__xludf.DUMMYFUNCTION("GOOGLETRANSLATE(B6936,""en"",""zh-CN"")"),"接下来，显示了其他人在做技巧的一系列图片。")</f>
        <v>接下来，显示了其他人在做技巧的一系列图片。</v>
      </c>
    </row>
    <row r="6937">
      <c r="A6937" s="4" t="s">
        <v>8716</v>
      </c>
      <c r="B6937" s="6" t="s">
        <v>8721</v>
      </c>
      <c r="C6937" s="5" t="str">
        <f>IFERROR(__xludf.DUMMYFUNCTION("GOOGLETRANSLATE(B6937,""en"",""zh-CN"")"),"接下来，显示了一个滑雪板，然后他们的年轻人带着他和他的奖项的静止形象回来。")</f>
        <v>接下来，显示了一个滑雪板，然后他们的年轻人带着他和他的奖项的静止形象回来。</v>
      </c>
    </row>
    <row r="6938">
      <c r="A6938" s="4" t="s">
        <v>8722</v>
      </c>
      <c r="B6938" s="4" t="s">
        <v>8723</v>
      </c>
      <c r="C6938" s="5" t="str">
        <f>IFERROR(__xludf.DUMMYFUNCTION("GOOGLETRANSLATE(B6938,""en"",""zh-CN"")"),"三名妇女站在一个在做瑜伽的田野里的公园里。")</f>
        <v>三名妇女站在一个在做瑜伽的田野里的公园里。</v>
      </c>
    </row>
    <row r="6939">
      <c r="A6939" s="4" t="s">
        <v>8722</v>
      </c>
      <c r="B6939" s="4" t="s">
        <v>8724</v>
      </c>
      <c r="C6939" s="5" t="str">
        <f>IFERROR(__xludf.DUMMYFUNCTION("GOOGLETRANSLATE(B6939,""en"",""zh-CN"")"),"男人在女人身后的公园里跑来跑去。")</f>
        <v>男人在女人身后的公园里跑来跑去。</v>
      </c>
    </row>
    <row r="6940">
      <c r="A6940" s="4" t="s">
        <v>8722</v>
      </c>
      <c r="B6940" s="4" t="s">
        <v>8725</v>
      </c>
      <c r="C6940" s="5" t="str">
        <f>IFERROR(__xludf.DUMMYFUNCTION("GOOGLETRANSLATE(B6940,""en"",""zh-CN"")"),"一个老人在公园里走得很快。")</f>
        <v>一个老人在公园里走得很快。</v>
      </c>
    </row>
    <row r="6941">
      <c r="A6941" s="4" t="s">
        <v>8726</v>
      </c>
      <c r="B6941" s="6" t="s">
        <v>8727</v>
      </c>
      <c r="C6941" s="5" t="str">
        <f>IFERROR(__xludf.DUMMYFUNCTION("GOOGLETRANSLATE(B6941,""en"",""zh-CN"")"),"看到一个男人在与相机说话并将其喷下来时握着一双鞋子。")</f>
        <v>看到一个男人在与相机说话并将其喷下来时握着一双鞋子。</v>
      </c>
    </row>
    <row r="6942">
      <c r="A6942" s="4" t="s">
        <v>8726</v>
      </c>
      <c r="B6942" s="4" t="s">
        <v>8728</v>
      </c>
      <c r="C6942" s="5" t="str">
        <f>IFERROR(__xludf.DUMMYFUNCTION("GOOGLETRANSLATE(B6942,""en"",""zh-CN"")"),"该男子在继续与镜头说话的同时，用抹布擦拭鞋子。")</f>
        <v>该男子在继续与镜头说话的同时，用抹布擦拭鞋子。</v>
      </c>
    </row>
    <row r="6943">
      <c r="A6943" s="4" t="s">
        <v>8726</v>
      </c>
      <c r="B6943" s="4" t="s">
        <v>8729</v>
      </c>
      <c r="C6943" s="5" t="str">
        <f>IFERROR(__xludf.DUMMYFUNCTION("GOOGLETRANSLATE(B6943,""en"",""zh-CN"")"),"最后，他在仍然说话的同时举起鞋子，对相机竖起大拇指。")</f>
        <v>最后，他在仍然说话的同时举起鞋子，对相机竖起大拇指。</v>
      </c>
    </row>
    <row r="6944">
      <c r="A6944" s="4" t="s">
        <v>8730</v>
      </c>
      <c r="B6944" s="4" t="s">
        <v>8731</v>
      </c>
      <c r="C6944" s="5" t="str">
        <f>IFERROR(__xludf.DUMMYFUNCTION("GOOGLETRANSLATE(B6944,""en"",""zh-CN"")"),"几支球队在开放式上。")</f>
        <v>几支球队在开放式上。</v>
      </c>
    </row>
    <row r="6945">
      <c r="A6945" s="4" t="s">
        <v>8730</v>
      </c>
      <c r="B6945" s="4" t="s">
        <v>8732</v>
      </c>
      <c r="C6945" s="5" t="str">
        <f>IFERROR(__xludf.DUMMYFUNCTION("GOOGLETRANSLATE(B6945,""en"",""zh-CN"")"),"他们正在一起玩曲棍球。")</f>
        <v>他们正在一起玩曲棍球。</v>
      </c>
    </row>
    <row r="6946">
      <c r="A6946" s="4" t="s">
        <v>8730</v>
      </c>
      <c r="B6946" s="4" t="s">
        <v>8733</v>
      </c>
      <c r="C6946" s="5" t="str">
        <f>IFERROR(__xludf.DUMMYFUNCTION("GOOGLETRANSLATE(B6946,""en"",""zh-CN"")"),"他们跑来跑去，试图击球。")</f>
        <v>他们跑来跑去，试图击球。</v>
      </c>
    </row>
    <row r="6947">
      <c r="A6947" s="4" t="s">
        <v>8734</v>
      </c>
      <c r="B6947" s="4" t="s">
        <v>8735</v>
      </c>
      <c r="C6947" s="5" t="str">
        <f>IFERROR(__xludf.DUMMYFUNCTION("GOOGLETRANSLATE(B6947,""en"",""zh-CN"")"),"看到一小群儿童在室内野外奔跑，踢足球。")</f>
        <v>看到一小群儿童在室内野外奔跑，踢足球。</v>
      </c>
    </row>
    <row r="6948">
      <c r="A6948" s="4" t="s">
        <v>8734</v>
      </c>
      <c r="B6948" s="4" t="s">
        <v>8736</v>
      </c>
      <c r="C6948" s="5" t="str">
        <f>IFERROR(__xludf.DUMMYFUNCTION("GOOGLETRANSLATE(B6948,""en"",""zh-CN"")"),"孩子们在两极之间上下移动，同时仍在踢球。")</f>
        <v>孩子们在两极之间上下移动，同时仍在踢球。</v>
      </c>
    </row>
    <row r="6949">
      <c r="A6949" s="4" t="s">
        <v>8734</v>
      </c>
      <c r="B6949" s="4" t="s">
        <v>8737</v>
      </c>
      <c r="C6949" s="5" t="str">
        <f>IFERROR(__xludf.DUMMYFUNCTION("GOOGLETRANSLATE(B6949,""en"",""zh-CN"")"),"然后，向孩子们展示了一个接一个地将球踢成一个进球的球。")</f>
        <v>然后，向孩子们展示了一个接一个地将球踢成一个进球的球。</v>
      </c>
    </row>
    <row r="6950">
      <c r="A6950" s="4" t="s">
        <v>8738</v>
      </c>
      <c r="B6950" s="6" t="s">
        <v>8739</v>
      </c>
      <c r="C6950" s="5" t="str">
        <f>IFERROR(__xludf.DUMMYFUNCTION("GOOGLETRANSLATE(B6950,""en"",""zh-CN"")"),"一个女孩站在一个有纸气球的房间的后部，她开始跳舞，来回移动双腿，略微移动手臂。")</f>
        <v>一个女孩站在一个有纸气球的房间的后部，她开始跳舞，来回移动双腿，略微移动手臂。</v>
      </c>
    </row>
    <row r="6951">
      <c r="A6951" s="4" t="s">
        <v>8738</v>
      </c>
      <c r="B6951" s="6" t="s">
        <v>8740</v>
      </c>
      <c r="C6951" s="5" t="str">
        <f>IFERROR(__xludf.DUMMYFUNCTION("GOOGLETRANSLATE(B6951,""en"",""zh-CN"")"),"然后，女孩捡起它，并开始在房间的一个小区域中移动更多的手臂，并在面对相机的同时在房间的一个小区域中跳舞。")</f>
        <v>然后，女孩捡起它，并开始在房间的一个小区域中移动更多的手臂，并在面对相机的同时在房间的一个小区域中跳舞。</v>
      </c>
    </row>
    <row r="6952">
      <c r="A6952" s="4" t="s">
        <v>8738</v>
      </c>
      <c r="B6952" s="6" t="s">
        <v>8741</v>
      </c>
      <c r="C6952" s="5" t="str">
        <f>IFERROR(__xludf.DUMMYFUNCTION("GOOGLETRANSLATE(B6952,""en"",""zh-CN"")"),"然后，女孩转向她的侧面，我们看到她从侧面跳舞，她转身面对后背，以这种方式跳舞，然后一次又一次地转身，直到我们在各个方向上看到她的舞蹈。")</f>
        <v>然后，女孩转向她的侧面，我们看到她从侧面跳舞，她转身面对后背，以这种方式跳舞，然后一次又一次地转身，直到我们在各个方向上看到她的舞蹈。</v>
      </c>
    </row>
    <row r="6953">
      <c r="A6953" s="4" t="s">
        <v>8742</v>
      </c>
      <c r="B6953" s="6" t="s">
        <v>8743</v>
      </c>
      <c r="C6953" s="5" t="str">
        <f>IFERROR(__xludf.DUMMYFUNCTION("GOOGLETRANSLATE(B6953,""en"",""zh-CN"")"),"线条开头的四个骑自行车的人戴着不同颜色的制服和头盔，他们即将开始比赛。")</f>
        <v>线条开头的四个骑自行车的人戴着不同颜色的制服和头盔，他们即将开始比赛。</v>
      </c>
    </row>
    <row r="6954">
      <c r="A6954" s="4" t="s">
        <v>8742</v>
      </c>
      <c r="B6954" s="6" t="s">
        <v>8744</v>
      </c>
      <c r="C6954" s="5" t="str">
        <f>IFERROR(__xludf.DUMMYFUNCTION("GOOGLETRANSLATE(B6954,""en"",""zh-CN"")"),"比赛开始了，骑自行车的骑自行车和比赛在赛道上跳了起来，跳上了路边，进入路边，当他到达终点线时，他跌倒在他身边，站起来朝着人民走去。")</f>
        <v>比赛开始了，骑自行车的骑自行车和比赛在赛道上跳了起来，跳上了路边，进入路边，当他到达终点线时，他跌倒在他身边，站起来朝着人民走去。</v>
      </c>
    </row>
    <row r="6955">
      <c r="A6955" s="4" t="s">
        <v>8745</v>
      </c>
      <c r="B6955" s="6" t="s">
        <v>8746</v>
      </c>
      <c r="C6955" s="5" t="str">
        <f>IFERROR(__xludf.DUMMYFUNCTION("GOOGLETRANSLATE(B6955,""en"",""zh-CN"")"),"梳妆台周围的摄像头锅，然后在相机上显示几个物体和成分。")</f>
        <v>梳妆台周围的摄像头锅，然后在相机上显示几个物体和成分。</v>
      </c>
    </row>
    <row r="6956">
      <c r="A6956" s="4" t="s">
        <v>8745</v>
      </c>
      <c r="B6956" s="4" t="s">
        <v>8747</v>
      </c>
      <c r="C6956" s="5" t="str">
        <f>IFERROR(__xludf.DUMMYFUNCTION("GOOGLETRANSLATE(B6956,""en"",""zh-CN"")"),"然后看到一个女人用几层外套画梳妆台，然后将其打磨。")</f>
        <v>然后看到一个女人用几层外套画梳妆台，然后将其打磨。</v>
      </c>
    </row>
    <row r="6957">
      <c r="A6957" s="4" t="s">
        <v>8745</v>
      </c>
      <c r="B6957" s="4" t="s">
        <v>8748</v>
      </c>
      <c r="C6957" s="5" t="str">
        <f>IFERROR(__xludf.DUMMYFUNCTION("GOOGLETRANSLATE(B6957,""en"",""zh-CN"")"),"她将碎片放在一起，然后微笑着相机。")</f>
        <v>她将碎片放在一起，然后微笑着相机。</v>
      </c>
    </row>
    <row r="6958">
      <c r="A6958" s="4" t="s">
        <v>8749</v>
      </c>
      <c r="B6958" s="4" t="s">
        <v>8750</v>
      </c>
      <c r="C6958" s="5" t="str">
        <f>IFERROR(__xludf.DUMMYFUNCTION("GOOGLETRANSLATE(B6958,""en"",""zh-CN"")"),"英雄的卡通与邪恶的角色作战。")</f>
        <v>英雄的卡通与邪恶的角色作战。</v>
      </c>
    </row>
    <row r="6959">
      <c r="A6959" s="4" t="s">
        <v>8749</v>
      </c>
      <c r="B6959" s="4" t="s">
        <v>8751</v>
      </c>
      <c r="C6959" s="5" t="str">
        <f>IFERROR(__xludf.DUMMYFUNCTION("GOOGLETRANSLATE(B6959,""en"",""zh-CN"")"),"英雄战斗，然后坐在前面的原木上。")</f>
        <v>英雄战斗，然后坐在前面的原木上。</v>
      </c>
    </row>
    <row r="6960">
      <c r="A6960" s="4" t="s">
        <v>8752</v>
      </c>
      <c r="B6960" s="4" t="s">
        <v>8753</v>
      </c>
      <c r="C6960" s="5" t="str">
        <f>IFERROR(__xludf.DUMMYFUNCTION("GOOGLETRANSLATE(B6960,""en"",""zh-CN"")"),"带有紫色背景的旋转徽标，然后在屏幕上看到文本。")</f>
        <v>带有紫色背景的旋转徽标，然后在屏幕上看到文本。</v>
      </c>
    </row>
    <row r="6961">
      <c r="A6961" s="4" t="s">
        <v>8752</v>
      </c>
      <c r="B6961" s="4" t="s">
        <v>8754</v>
      </c>
      <c r="C6961" s="5" t="str">
        <f>IFERROR(__xludf.DUMMYFUNCTION("GOOGLETRANSLATE(B6961,""en"",""zh-CN"")"),"穿着蓝色连衣裙的女人在工作室里演奏鼓。")</f>
        <v>穿着蓝色连衣裙的女人在工作室里演奏鼓。</v>
      </c>
    </row>
    <row r="6962">
      <c r="A6962" s="4" t="s">
        <v>8755</v>
      </c>
      <c r="B6962" s="6" t="s">
        <v>8756</v>
      </c>
      <c r="C6962" s="5" t="str">
        <f>IFERROR(__xludf.DUMMYFUNCTION("GOOGLETRANSLATE(B6962,""en"",""zh-CN"")"),"该视频使用紫色指甲胶带在主机上打开，以创建图案，慢慢应用并确保其笔直。")</f>
        <v>该视频使用紫色指甲胶带在主机上打开，以创建图案，慢慢应用并确保其笔直。</v>
      </c>
    </row>
    <row r="6963">
      <c r="A6963" s="4" t="s">
        <v>8755</v>
      </c>
      <c r="B6963" s="4" t="s">
        <v>8757</v>
      </c>
      <c r="C6963" s="5" t="str">
        <f>IFERROR(__xludf.DUMMYFUNCTION("GOOGLETRANSLATE(B6963,""en"",""zh-CN"")"),"接下来，在指甲和胶带上涂上哑光外套。")</f>
        <v>接下来，在指甲和胶带上涂上哑光外套。</v>
      </c>
    </row>
    <row r="6964">
      <c r="A6964" s="4" t="s">
        <v>8755</v>
      </c>
      <c r="B6964" s="4" t="s">
        <v>8758</v>
      </c>
      <c r="C6964" s="5" t="str">
        <f>IFERROR(__xludf.DUMMYFUNCTION("GOOGLETRANSLATE(B6964,""en"",""zh-CN"")"),"将胶带轻轻地从指甲上剥离，并在线路的交叉点上涂上面漆。")</f>
        <v>将胶带轻轻地从指甲上剥离，并在线路的交叉点上涂上面漆。</v>
      </c>
    </row>
    <row r="6965">
      <c r="A6965" s="4" t="s">
        <v>8755</v>
      </c>
      <c r="B6965" s="4" t="s">
        <v>8759</v>
      </c>
      <c r="C6965" s="5" t="str">
        <f>IFERROR(__xludf.DUMMYFUNCTION("GOOGLETRANSLATE(B6965,""en"",""zh-CN"")"),"接下来，将微珠放置在线路相遇的地方。")</f>
        <v>接下来，将微珠放置在线路相遇的地方。</v>
      </c>
    </row>
    <row r="6966">
      <c r="A6966" s="4" t="s">
        <v>8755</v>
      </c>
      <c r="B6966" s="6" t="s">
        <v>8760</v>
      </c>
      <c r="C6966" s="5" t="str">
        <f>IFERROR(__xludf.DUMMYFUNCTION("GOOGLETRANSLATE(B6966,""en"",""zh-CN"")"),"下一个指甲项目具有白色涂漆的指甲，主机制作了两个黑色C，以模仿香奈儿徽标。")</f>
        <v>下一个指甲项目具有白色涂漆的指甲，主机制作了两个黑色C，以模仿香奈儿徽标。</v>
      </c>
    </row>
    <row r="6967">
      <c r="A6967" s="4" t="s">
        <v>8755</v>
      </c>
      <c r="B6967" s="4" t="s">
        <v>8761</v>
      </c>
      <c r="C6967" s="5" t="str">
        <f>IFERROR(__xludf.DUMMYFUNCTION("GOOGLETRANSLATE(B6967,""en"",""zh-CN"")"),"通过更多的应用程序，徽标逐渐使徽标更大胆。")</f>
        <v>通过更多的应用程序，徽标逐渐使徽标更大胆。</v>
      </c>
    </row>
    <row r="6968">
      <c r="A6968" s="4" t="s">
        <v>8755</v>
      </c>
      <c r="B6968" s="4" t="s">
        <v>8762</v>
      </c>
      <c r="C6968" s="5" t="str">
        <f>IFERROR(__xludf.DUMMYFUNCTION("GOOGLETRANSLATE(B6968,""en"",""zh-CN"")"),"最后，涂了磨砂面漆以完成它。")</f>
        <v>最后，涂了磨砂面漆以完成它。</v>
      </c>
    </row>
    <row r="6969">
      <c r="A6969" s="4" t="s">
        <v>8763</v>
      </c>
      <c r="B6969" s="4" t="s">
        <v>8764</v>
      </c>
      <c r="C6969" s="5" t="str">
        <f>IFERROR(__xludf.DUMMYFUNCTION("GOOGLETRANSLATE(B6969,""en"",""zh-CN"")"),"拖把直立在水桶旁边。")</f>
        <v>拖把直立在水桶旁边。</v>
      </c>
    </row>
    <row r="6970">
      <c r="A6970" s="4" t="s">
        <v>8763</v>
      </c>
      <c r="B6970" s="4" t="s">
        <v>8765</v>
      </c>
      <c r="C6970" s="5" t="str">
        <f>IFERROR(__xludf.DUMMYFUNCTION("GOOGLETRANSLATE(B6970,""en"",""zh-CN"")"),"一个人使用拖把从碗中吸收所有水。")</f>
        <v>一个人使用拖把从碗中吸收所有水。</v>
      </c>
    </row>
    <row r="6971">
      <c r="A6971" s="4" t="s">
        <v>8763</v>
      </c>
      <c r="B6971" s="4" t="s">
        <v>8766</v>
      </c>
      <c r="C6971" s="5" t="str">
        <f>IFERROR(__xludf.DUMMYFUNCTION("GOOGLETRANSLATE(B6971,""en"",""zh-CN"")"),"将水倒入一个大桶中。")</f>
        <v>将水倒入一个大桶中。</v>
      </c>
    </row>
    <row r="6972">
      <c r="A6972" s="4" t="s">
        <v>8763</v>
      </c>
      <c r="B6972" s="4" t="s">
        <v>8767</v>
      </c>
      <c r="C6972" s="5" t="str">
        <f>IFERROR(__xludf.DUMMYFUNCTION("GOOGLETRANSLATE(B6972,""en"",""zh-CN"")"),"灌篮中的拖把在水桶中，然后在托盘中旋转。")</f>
        <v>灌篮中的拖把在水桶中，然后在托盘中旋转。</v>
      </c>
    </row>
    <row r="6973">
      <c r="A6973" s="4" t="s">
        <v>8763</v>
      </c>
      <c r="B6973" s="4" t="s">
        <v>8768</v>
      </c>
      <c r="C6973" s="5" t="str">
        <f>IFERROR(__xludf.DUMMYFUNCTION("GOOGLETRANSLATE(B6973,""en"",""zh-CN"")"),"硬木地板的弄脏区域被清洁。")</f>
        <v>硬木地板的弄脏区域被清洁。</v>
      </c>
    </row>
    <row r="6974">
      <c r="A6974" s="4" t="s">
        <v>8763</v>
      </c>
      <c r="B6974" s="4" t="s">
        <v>8769</v>
      </c>
      <c r="C6974" s="5" t="str">
        <f>IFERROR(__xludf.DUMMYFUNCTION("GOOGLETRANSLATE(B6974,""en"",""zh-CN"")"),"围绕各种家具和电器使用拖把，以进入房间的角落。")</f>
        <v>围绕各种家具和电器使用拖把，以进入房间的角落。</v>
      </c>
    </row>
    <row r="6975">
      <c r="A6975" s="4" t="s">
        <v>8770</v>
      </c>
      <c r="B6975" s="6" t="s">
        <v>8771</v>
      </c>
      <c r="C6975" s="5" t="str">
        <f>IFERROR(__xludf.DUMMYFUNCTION("GOOGLETRANSLATE(B6975,""en"",""zh-CN"")"),"看到一名厨师在相机上说话，并导致他拿着一个木板，然后切成面团。")</f>
        <v>看到一名厨师在相机上说话，并导致他拿着一个木板，然后切成面团。</v>
      </c>
    </row>
    <row r="6976">
      <c r="A6976" s="4" t="s">
        <v>8770</v>
      </c>
      <c r="B6976" s="4" t="s">
        <v>8772</v>
      </c>
      <c r="C6976" s="5" t="str">
        <f>IFERROR(__xludf.DUMMYFUNCTION("GOOGLETRANSLATE(B6976,""en"",""zh-CN"")"),"该男子用机器将面团剥落，然后将它们平放置以滚出面团。")</f>
        <v>该男子用机器将面团剥落，然后将它们平放置以滚出面团。</v>
      </c>
    </row>
    <row r="6977">
      <c r="A6977" s="4" t="s">
        <v>8770</v>
      </c>
      <c r="B6977" s="4" t="s">
        <v>8773</v>
      </c>
      <c r="C6977" s="5" t="str">
        <f>IFERROR(__xludf.DUMMYFUNCTION("GOOGLETRANSLATE(B6977,""en"",""zh-CN"")"),"然后，该名男子推出了扁平的面团，并炫耀了他完成的意大利面。")</f>
        <v>然后，该名男子推出了扁平的面团，并炫耀了他完成的意大利面。</v>
      </c>
    </row>
    <row r="6978">
      <c r="A6978" s="4" t="s">
        <v>8774</v>
      </c>
      <c r="B6978" s="4" t="s">
        <v>8775</v>
      </c>
      <c r="C6978" s="5" t="str">
        <f>IFERROR(__xludf.DUMMYFUNCTION("GOOGLETRANSLATE(B6978,""en"",""zh-CN"")"),"该视频显示人们参加了世界艺术泳池锦标赛。")</f>
        <v>该视频显示人们参加了世界艺术泳池锦标赛。</v>
      </c>
    </row>
    <row r="6979">
      <c r="A6979" s="4" t="s">
        <v>8774</v>
      </c>
      <c r="B6979" s="6" t="s">
        <v>8776</v>
      </c>
      <c r="C6979" s="5" t="str">
        <f>IFERROR(__xludf.DUMMYFUNCTION("GOOGLETRANSLATE(B6979,""en"",""zh-CN"")"),"当人们自己将泳池球射入孔中时，整个视频中都播放了平稳但悬疑的音乐。")</f>
        <v>当人们自己将泳池球射入孔中时，整个视频中都播放了平稳但悬疑的音乐。</v>
      </c>
    </row>
    <row r="6980">
      <c r="A6980" s="4" t="s">
        <v>8774</v>
      </c>
      <c r="B6980" s="6" t="s">
        <v>8777</v>
      </c>
      <c r="C6980" s="5" t="str">
        <f>IFERROR(__xludf.DUMMYFUNCTION("GOOGLETRANSLATE(B6980,""en"",""zh-CN"")"),"并非每个人都在参加，有些人只是在看，而另一些人则出于其他原因而四处走动。")</f>
        <v>并非每个人都在参加，有些人只是在看，而另一些人则出于其他原因而四处走动。</v>
      </c>
    </row>
    <row r="6981">
      <c r="A6981" s="4" t="s">
        <v>8778</v>
      </c>
      <c r="B6981" s="4" t="s">
        <v>8779</v>
      </c>
      <c r="C6981" s="5" t="str">
        <f>IFERROR(__xludf.DUMMYFUNCTION("GOOGLETRANSLATE(B6981,""en"",""zh-CN"")"),"一个女人坐在椅子上。")</f>
        <v>一个女人坐在椅子上。</v>
      </c>
    </row>
    <row r="6982">
      <c r="A6982" s="4" t="s">
        <v>8778</v>
      </c>
      <c r="B6982" s="4" t="s">
        <v>8780</v>
      </c>
      <c r="C6982" s="5" t="str">
        <f>IFERROR(__xludf.DUMMYFUNCTION("GOOGLETRANSLATE(B6982,""en"",""zh-CN"")"),"她抬头和某人交谈。")</f>
        <v>她抬头和某人交谈。</v>
      </c>
    </row>
    <row r="6983">
      <c r="A6983" s="4" t="s">
        <v>8778</v>
      </c>
      <c r="B6983" s="4" t="s">
        <v>8781</v>
      </c>
      <c r="C6983" s="5" t="str">
        <f>IFERROR(__xludf.DUMMYFUNCTION("GOOGLETRANSLATE(B6983,""en"",""zh-CN"")"),"她继续编织手。")</f>
        <v>她继续编织手。</v>
      </c>
    </row>
    <row r="6984">
      <c r="A6984" s="4" t="s">
        <v>8782</v>
      </c>
      <c r="B6984" s="4" t="s">
        <v>3561</v>
      </c>
      <c r="C6984" s="5" t="str">
        <f>IFERROR(__xludf.DUMMYFUNCTION("GOOGLETRANSLATE(B6984,""en"",""zh-CN"")"),"显示了剪辑的信用。")</f>
        <v>显示了剪辑的信用。</v>
      </c>
    </row>
    <row r="6985">
      <c r="A6985" s="4" t="s">
        <v>8782</v>
      </c>
      <c r="B6985" s="4" t="s">
        <v>8783</v>
      </c>
      <c r="C6985" s="5" t="str">
        <f>IFERROR(__xludf.DUMMYFUNCTION("GOOGLETRANSLATE(B6985,""en"",""zh-CN"")"),"一个人在平台上滑行。")</f>
        <v>一个人在平台上滑行。</v>
      </c>
    </row>
    <row r="6986">
      <c r="A6986" s="4" t="s">
        <v>8782</v>
      </c>
      <c r="B6986" s="4" t="s">
        <v>8784</v>
      </c>
      <c r="C6986" s="5" t="str">
        <f>IFERROR(__xludf.DUMMYFUNCTION("GOOGLETRANSLATE(B6986,""en"",""zh-CN"")"),"一个人跌倒在冰上。")</f>
        <v>一个人跌倒在冰上。</v>
      </c>
    </row>
    <row r="6987">
      <c r="A6987" s="4" t="s">
        <v>8782</v>
      </c>
      <c r="B6987" s="4" t="s">
        <v>8785</v>
      </c>
      <c r="C6987" s="5" t="str">
        <f>IFERROR(__xludf.DUMMYFUNCTION("GOOGLETRANSLATE(B6987,""en"",""zh-CN"")"),"一个人的天空和翻转。")</f>
        <v>一个人的天空和翻转。</v>
      </c>
    </row>
    <row r="6988">
      <c r="A6988" s="4" t="s">
        <v>8782</v>
      </c>
      <c r="B6988" s="4" t="s">
        <v>8786</v>
      </c>
      <c r="C6988" s="5" t="str">
        <f>IFERROR(__xludf.DUMMYFUNCTION("GOOGLETRANSLATE(B6988,""en"",""zh-CN"")"),"一个人把手套的手放在相机上。")</f>
        <v>一个人把手套的手放在相机上。</v>
      </c>
    </row>
    <row r="6989">
      <c r="A6989" s="4" t="s">
        <v>8782</v>
      </c>
      <c r="B6989" s="4" t="s">
        <v>573</v>
      </c>
      <c r="C6989" s="5" t="str">
        <f>IFERROR(__xludf.DUMMYFUNCTION("GOOGLETRANSLATE(B6989,""en"",""zh-CN"")"),"显示了视频的积分。")</f>
        <v>显示了视频的积分。</v>
      </c>
    </row>
    <row r="6990">
      <c r="A6990" s="4" t="s">
        <v>8787</v>
      </c>
      <c r="B6990" s="6" t="s">
        <v>8788</v>
      </c>
      <c r="C6990" s="5" t="str">
        <f>IFERROR(__xludf.DUMMYFUNCTION("GOOGLETRANSLATE(B6990,""en"",""zh-CN"")"),"看到一名喜剧演员在镜头上说话，并导致一头公牛撞上一个坑，各种各样的人与公牛作战。")</f>
        <v>看到一名喜剧演员在镜头上说话，并导致一头公牛撞上一个坑，各种各样的人与公牛作战。</v>
      </c>
    </row>
    <row r="6991">
      <c r="A6991" s="4" t="s">
        <v>8787</v>
      </c>
      <c r="B6991" s="4" t="s">
        <v>8789</v>
      </c>
      <c r="C6991" s="5" t="str">
        <f>IFERROR(__xludf.DUMMYFUNCTION("GOOGLETRANSLATE(B6991,""en"",""zh-CN"")"),"展示了斗牛斗争的特写，并向喜剧演员摇动了对镜头的讲话。")</f>
        <v>展示了斗牛斗争的特写，并向喜剧演员摇动了对镜头的讲话。</v>
      </c>
    </row>
    <row r="6992">
      <c r="A6992" s="4" t="s">
        <v>8790</v>
      </c>
      <c r="B6992" s="6" t="s">
        <v>8791</v>
      </c>
      <c r="C6992" s="5" t="str">
        <f>IFERROR(__xludf.DUMMYFUNCTION("GOOGLETRANSLATE(B6992,""en"",""zh-CN"")"),"当一个人骑在管子上时，看到两个人站在一个白雪皑皑的山丘的底部。")</f>
        <v>当一个人骑在管子上时，看到两个人站在一个白雪皑皑的山丘的底部。</v>
      </c>
    </row>
    <row r="6993">
      <c r="A6993" s="4" t="s">
        <v>8790</v>
      </c>
      <c r="B6993" s="6" t="s">
        <v>8792</v>
      </c>
      <c r="C6993" s="5" t="str">
        <f>IFERROR(__xludf.DUMMYFUNCTION("GOOGLETRANSLATE(B6993,""en"",""zh-CN"")"),"看到更多的人沿着山上飞行，一个人撞向另一个人，然后那个人出去拖动管子。")</f>
        <v>看到更多的人沿着山上飞行，一个人撞向另一个人，然后那个人出去拖动管子。</v>
      </c>
    </row>
    <row r="6994">
      <c r="A6994" s="4" t="s">
        <v>8793</v>
      </c>
      <c r="B6994" s="4" t="s">
        <v>8794</v>
      </c>
      <c r="C6994" s="5" t="str">
        <f>IFERROR(__xludf.DUMMYFUNCTION("GOOGLETRANSLATE(B6994,""en"",""zh-CN"")"),"一名妇女在展示手语时在办公室内与相机交谈。")</f>
        <v>一名妇女在展示手语时在办公室内与相机交谈。</v>
      </c>
    </row>
    <row r="6995">
      <c r="A6995" s="4" t="s">
        <v>8793</v>
      </c>
      <c r="B6995" s="4" t="s">
        <v>8795</v>
      </c>
      <c r="C6995" s="5" t="str">
        <f>IFERROR(__xludf.DUMMYFUNCTION("GOOGLETRANSLATE(B6995,""en"",""zh-CN"")"),"出现了两只手，展示了几个指示岩石，纸，剪刀游戏的标志。")</f>
        <v>出现了两只手，展示了几个指示岩石，纸，剪刀游戏的标志。</v>
      </c>
    </row>
    <row r="6996">
      <c r="A6996" s="4" t="s">
        <v>8793</v>
      </c>
      <c r="B6996" s="6" t="s">
        <v>8796</v>
      </c>
      <c r="C6996" s="5" t="str">
        <f>IFERROR(__xludf.DUMMYFUNCTION("GOOGLETRANSLATE(B6996,""en"",""zh-CN"")"),"该名女子继续谈论游戏，然后显示了使用游戏赢得或做出决定的各种人的几个剪辑。")</f>
        <v>该名女子继续谈论游戏，然后显示了使用游戏赢得或做出决定的各种人的几个剪辑。</v>
      </c>
    </row>
    <row r="6997">
      <c r="A6997" s="4" t="s">
        <v>8793</v>
      </c>
      <c r="B6997" s="6" t="s">
        <v>8797</v>
      </c>
      <c r="C6997" s="5" t="str">
        <f>IFERROR(__xludf.DUMMYFUNCTION("GOOGLETRANSLATE(B6997,""en"",""zh-CN"")"),"它削减了一篇有关赢得比赛技巧的文章，然后再与上次讲话的女人结束。")</f>
        <v>它削减了一篇有关赢得比赛技巧的文章，然后再与上次讲话的女人结束。</v>
      </c>
    </row>
    <row r="6998">
      <c r="A6998" s="4" t="s">
        <v>8798</v>
      </c>
      <c r="B6998" s="6" t="s">
        <v>8799</v>
      </c>
      <c r="C6998" s="5" t="str">
        <f>IFERROR(__xludf.DUMMYFUNCTION("GOOGLETRANSLATE(B6998,""en"",""zh-CN"")"),"一张图像显示了一袋M＆M的袋子和一袋在空中悬挂的麦芽袋，似乎倒在蛋糕上。")</f>
        <v>一张图像显示了一袋M＆M的袋子和一袋在空中悬挂的麦芽袋，似乎倒在蛋糕上。</v>
      </c>
    </row>
    <row r="6999">
      <c r="A6999" s="4" t="s">
        <v>8798</v>
      </c>
      <c r="B6999" s="4" t="s">
        <v>8800</v>
      </c>
      <c r="C6999" s="5" t="str">
        <f>IFERROR(__xludf.DUMMYFUNCTION("GOOGLETRANSLATE(B6999,""en"",""zh-CN"")"),"一个女人烤了一个圆蛋糕，糖霜并用巧克力棒环绕。")</f>
        <v>一个女人烤了一个圆蛋糕，糖霜并用巧克力棒环绕。</v>
      </c>
    </row>
    <row r="7000">
      <c r="A7000" s="4" t="s">
        <v>8798</v>
      </c>
      <c r="B7000" s="4" t="s">
        <v>8801</v>
      </c>
      <c r="C7000" s="5" t="str">
        <f>IFERROR(__xludf.DUMMYFUNCTION("GOOGLETRANSLATE(B7000,""en"",""zh-CN"")"),"然后，她将Maltesers和M＆M倒入碗中。")</f>
        <v>然后，她将Maltesers和M＆M倒入碗中。</v>
      </c>
    </row>
    <row r="7001">
      <c r="A7001" s="4" t="s">
        <v>8798</v>
      </c>
      <c r="B7001" s="6" t="s">
        <v>8802</v>
      </c>
      <c r="C7001" s="5" t="str">
        <f>IFERROR(__xludf.DUMMYFUNCTION("GOOGLETRANSLATE(B7001,""en"",""zh-CN"")"),"她准备好袋子，使它们看起来很整洁，然后将糖果撒在蛋糕的顶部，完全覆盖它。")</f>
        <v>她准备好袋子，使它们看起来很整洁，然后将糖果撒在蛋糕的顶部，完全覆盖它。</v>
      </c>
    </row>
    <row r="7002">
      <c r="A7002" s="4" t="s">
        <v>8798</v>
      </c>
      <c r="B7002" s="6" t="s">
        <v>8803</v>
      </c>
      <c r="C7002" s="5" t="str">
        <f>IFERROR(__xludf.DUMMYFUNCTION("GOOGLETRANSLATE(B7002,""en"",""zh-CN"")"),"然后，她将粘在蛋糕上，然后将糖果的侧面磨碎，然后将烛光粘在棍棒上。")</f>
        <v>然后，她将粘在蛋糕上，然后将糖果的侧面磨碎，然后将烛光粘在棍棒上。</v>
      </c>
    </row>
    <row r="7003">
      <c r="A7003" s="4" t="s">
        <v>8798</v>
      </c>
      <c r="B7003" s="4" t="s">
        <v>8804</v>
      </c>
      <c r="C7003" s="5" t="str">
        <f>IFERROR(__xludf.DUMMYFUNCTION("GOOGLETRANSLATE(B7003,""en"",""zh-CN"")"),"然后，她将袋子在棍棒顶上取得平衡。")</f>
        <v>然后，她将袋子在棍棒顶上取得平衡。</v>
      </c>
    </row>
    <row r="7004">
      <c r="A7004" s="4" t="s">
        <v>8805</v>
      </c>
      <c r="B7004" s="4" t="s">
        <v>8806</v>
      </c>
      <c r="C7004" s="5" t="str">
        <f>IFERROR(__xludf.DUMMYFUNCTION("GOOGLETRANSLATE(B7004,""en"",""zh-CN"")"),"几个人准备在海滩上打排球。")</f>
        <v>几个人准备在海滩上打排球。</v>
      </c>
    </row>
    <row r="7005">
      <c r="A7005" s="4" t="s">
        <v>8805</v>
      </c>
      <c r="B7005" s="6" t="s">
        <v>8807</v>
      </c>
      <c r="C7005" s="5" t="str">
        <f>IFERROR(__xludf.DUMMYFUNCTION("GOOGLETRANSLATE(B7005,""en"",""zh-CN"")"),"相机放大了，人们开始玩游戏，互相扔球。")</f>
        <v>相机放大了，人们开始玩游戏，互相扔球。</v>
      </c>
    </row>
    <row r="7006">
      <c r="A7006" s="4" t="s">
        <v>8808</v>
      </c>
      <c r="B7006" s="4" t="s">
        <v>8809</v>
      </c>
      <c r="C7006" s="5" t="str">
        <f>IFERROR(__xludf.DUMMYFUNCTION("GOOGLETRANSLATE(B7006,""en"",""zh-CN"")"),"看到一个人站在树篱上抓住工具之前。")</f>
        <v>看到一个人站在树篱上抓住工具之前。</v>
      </c>
    </row>
    <row r="7007">
      <c r="A7007" s="4" t="s">
        <v>8808</v>
      </c>
      <c r="B7007" s="4" t="s">
        <v>8810</v>
      </c>
      <c r="C7007" s="5" t="str">
        <f>IFERROR(__xludf.DUMMYFUNCTION("GOOGLETRANSLATE(B7007,""en"",""zh-CN"")"),"该男子在修剪顶部时一直沿着树篱使用该工具。")</f>
        <v>该男子在修剪顶部时一直沿着树篱使用该工具。</v>
      </c>
    </row>
    <row r="7008">
      <c r="A7008" s="4" t="s">
        <v>8808</v>
      </c>
      <c r="B7008" s="4" t="s">
        <v>8811</v>
      </c>
      <c r="C7008" s="5" t="str">
        <f>IFERROR(__xludf.DUMMYFUNCTION("GOOGLETRANSLATE(B7008,""en"",""zh-CN"")"),"他在离开相机时继续将工具推到树篱上。")</f>
        <v>他在离开相机时继续将工具推到树篱上。</v>
      </c>
    </row>
    <row r="7009">
      <c r="A7009" s="4" t="s">
        <v>8812</v>
      </c>
      <c r="B7009" s="4" t="s">
        <v>8813</v>
      </c>
      <c r="C7009" s="5" t="str">
        <f>IFERROR(__xludf.DUMMYFUNCTION("GOOGLETRANSLATE(B7009,""en"",""zh-CN"")"),"看到一大批人骑着碰碰车，互相碰撞。")</f>
        <v>看到一大批人骑着碰碰车，互相碰撞。</v>
      </c>
    </row>
    <row r="7010">
      <c r="A7010" s="4" t="s">
        <v>8812</v>
      </c>
      <c r="B7010" s="4" t="s">
        <v>8814</v>
      </c>
      <c r="C7010" s="5" t="str">
        <f>IFERROR(__xludf.DUMMYFUNCTION("GOOGLETRANSLATE(B7010,""en"",""zh-CN"")"),"人们在笑着开始开车时继续互相撞倒。")</f>
        <v>人们在笑着开始开车时继续互相撞倒。</v>
      </c>
    </row>
    <row r="7011">
      <c r="A7011" s="4" t="s">
        <v>8815</v>
      </c>
      <c r="B7011" s="4" t="s">
        <v>8816</v>
      </c>
      <c r="C7011" s="5" t="str">
        <f>IFERROR(__xludf.DUMMYFUNCTION("GOOGLETRANSLATE(B7011,""en"",""zh-CN"")"),"两个人在戒指上摔跤。")</f>
        <v>两个人在戒指上摔跤。</v>
      </c>
    </row>
    <row r="7012">
      <c r="A7012" s="4" t="s">
        <v>8815</v>
      </c>
      <c r="B7012" s="4" t="s">
        <v>8817</v>
      </c>
      <c r="C7012" s="5" t="str">
        <f>IFERROR(__xludf.DUMMYFUNCTION("GOOGLETRANSLATE(B7012,""en"",""zh-CN"")"),"一个长袍的男人站在他们身后。")</f>
        <v>一个长袍的男人站在他们身后。</v>
      </c>
    </row>
    <row r="7013">
      <c r="A7013" s="4" t="s">
        <v>8815</v>
      </c>
      <c r="B7013" s="4" t="s">
        <v>8818</v>
      </c>
      <c r="C7013" s="5" t="str">
        <f>IFERROR(__xludf.DUMMYFUNCTION("GOOGLETRANSLATE(B7013,""en"",""zh-CN"")"),"一个人绊倒并落入观众。")</f>
        <v>一个人绊倒并落入观众。</v>
      </c>
    </row>
    <row r="7014">
      <c r="A7014" s="4" t="s">
        <v>8819</v>
      </c>
      <c r="B7014" s="4" t="s">
        <v>8820</v>
      </c>
      <c r="C7014" s="5" t="str">
        <f>IFERROR(__xludf.DUMMYFUNCTION("GOOGLETRANSLATE(B7014,""en"",""zh-CN"")"),"一群男人在户外社交活动中的大草覆盖着大草原上玩槌球。")</f>
        <v>一群男人在户外社交活动中的大草覆盖着大草原上玩槌球。</v>
      </c>
    </row>
    <row r="7015">
      <c r="A7015" s="4" t="s">
        <v>8819</v>
      </c>
      <c r="B7015" s="6" t="s">
        <v>8821</v>
      </c>
      <c r="C7015" s="5" t="str">
        <f>IFERROR(__xludf.DUMMYFUNCTION("GOOGLETRANSLATE(B7015,""en"",""zh-CN"")"),"当人们在草地上行走时，男人开始和一个男人一起玩槌球，用鳄鱼棒进行性参考。")</f>
        <v>当人们在草地上行走时，男人开始和一个男人一起玩槌球，用鳄鱼棒进行性参考。</v>
      </c>
    </row>
    <row r="7016">
      <c r="A7016" s="4" t="s">
        <v>8819</v>
      </c>
      <c r="B7016" s="6" t="s">
        <v>8822</v>
      </c>
      <c r="C7016" s="5" t="str">
        <f>IFERROR(__xludf.DUMMYFUNCTION("GOOGLETRANSLATE(B7016,""en"",""zh-CN"")"),"一群人陪伴围观者，因为他们继续用槌槌操作槌球球。")</f>
        <v>一群人陪伴围观者，因为他们继续用槌槌操作槌球球。</v>
      </c>
    </row>
    <row r="7017">
      <c r="A7017" s="4" t="s">
        <v>8819</v>
      </c>
      <c r="B7017" s="6" t="s">
        <v>8823</v>
      </c>
      <c r="C7017" s="5" t="str">
        <f>IFERROR(__xludf.DUMMYFUNCTION("GOOGLETRANSLATE(B7017,""en"",""zh-CN"")"),"一位穿着棕色鞋子的球员在草地上实现了一个槌球，在最后的剪辑中完成了一条蓝色的裤子。")</f>
        <v>一位穿着棕色鞋子的球员在草地上实现了一个槌球，在最后的剪辑中完成了一条蓝色的裤子。</v>
      </c>
    </row>
    <row r="7018">
      <c r="A7018" s="4" t="s">
        <v>8824</v>
      </c>
      <c r="B7018" s="4" t="s">
        <v>8825</v>
      </c>
      <c r="C7018" s="5" t="str">
        <f>IFERROR(__xludf.DUMMYFUNCTION("GOOGLETRANSLATE(B7018,""en"",""zh-CN"")"),"测量胶带近距离显示。")</f>
        <v>测量胶带近距离显示。</v>
      </c>
    </row>
    <row r="7019">
      <c r="A7019" s="4" t="s">
        <v>8824</v>
      </c>
      <c r="B7019" s="4" t="s">
        <v>8826</v>
      </c>
      <c r="C7019" s="5" t="str">
        <f>IFERROR(__xludf.DUMMYFUNCTION("GOOGLETRANSLATE(B7019,""en"",""zh-CN"")"),"我们看到一个准备跑步的人。")</f>
        <v>我们看到一个准备跑步的人。</v>
      </c>
    </row>
    <row r="7020">
      <c r="A7020" s="4" t="s">
        <v>8824</v>
      </c>
      <c r="B7020" s="4" t="s">
        <v>8827</v>
      </c>
      <c r="C7020" s="5" t="str">
        <f>IFERROR(__xludf.DUMMYFUNCTION("GOOGLETRANSLATE(B7020,""en"",""zh-CN"")"),"他奔跑，巨大的飞跃进入沙子，降落在第18号。")</f>
        <v>他奔跑，巨大的飞跃进入沙子，降落在第18号。</v>
      </c>
    </row>
    <row r="7021">
      <c r="A7021" s="4" t="s">
        <v>8828</v>
      </c>
      <c r="B7021" s="4" t="s">
        <v>8829</v>
      </c>
      <c r="C7021" s="5" t="str">
        <f>IFERROR(__xludf.DUMMYFUNCTION("GOOGLETRANSLATE(B7021,""en"",""zh-CN"")"),"显示了几个人挥舞着相机，看着人们骑自行车。")</f>
        <v>显示了几个人挥舞着相机，看着人们骑自行车。</v>
      </c>
    </row>
    <row r="7022">
      <c r="A7022" s="4" t="s">
        <v>8828</v>
      </c>
      <c r="B7022" s="6" t="s">
        <v>8830</v>
      </c>
      <c r="C7022" s="5" t="str">
        <f>IFERROR(__xludf.DUMMYFUNCTION("GOOGLETRANSLATE(B7022,""en"",""zh-CN"")"),"许多人在长途骑自行车上骑自行车，相机绕着骑自行车。")</f>
        <v>许多人在长途骑自行车上骑自行车，相机绕着骑自行车。</v>
      </c>
    </row>
    <row r="7023">
      <c r="A7023" s="4" t="s">
        <v>8831</v>
      </c>
      <c r="B7023" s="4" t="s">
        <v>8832</v>
      </c>
      <c r="C7023" s="5" t="str">
        <f>IFERROR(__xludf.DUMMYFUNCTION("GOOGLETRANSLATE(B7023,""en"",""zh-CN"")"),"一位女士坐在浴缸里，戴着剥落的手套时用水揉着腿。")</f>
        <v>一位女士坐在浴缸里，戴着剥落的手套时用水揉着腿。</v>
      </c>
    </row>
    <row r="7024">
      <c r="A7024" s="4" t="s">
        <v>8831</v>
      </c>
      <c r="B7024" s="4" t="s">
        <v>8833</v>
      </c>
      <c r="C7024" s="5" t="str">
        <f>IFERROR(__xludf.DUMMYFUNCTION("GOOGLETRANSLATE(B7024,""en"",""zh-CN"")"),"相机缩小，我们看到这是一套带有相机设备的套装。")</f>
        <v>相机缩小，我们看到这是一套带有相机设备的套装。</v>
      </c>
    </row>
    <row r="7025">
      <c r="A7025" s="4" t="s">
        <v>8831</v>
      </c>
      <c r="B7025" s="4" t="s">
        <v>8834</v>
      </c>
      <c r="C7025" s="5" t="str">
        <f>IFERROR(__xludf.DUMMYFUNCTION("GOOGLETRANSLATE(B7025,""en"",""zh-CN"")"),"然后，这位女士用电剃须刀剃光双腿。")</f>
        <v>然后，这位女士用电剃须刀剃光双腿。</v>
      </c>
    </row>
    <row r="7026">
      <c r="A7026" s="4" t="s">
        <v>8831</v>
      </c>
      <c r="B7026" s="4" t="s">
        <v>8835</v>
      </c>
      <c r="C7026" s="5" t="str">
        <f>IFERROR(__xludf.DUMMYFUNCTION("GOOGLETRANSLATE(B7026,""en"",""zh-CN"")"),"我们看到那位女士的微笑，继续剃光她的腿。")</f>
        <v>我们看到那位女士的微笑，继续剃光她的腿。</v>
      </c>
    </row>
    <row r="7027">
      <c r="A7027" s="4" t="s">
        <v>8836</v>
      </c>
      <c r="B7027" s="4" t="s">
        <v>8837</v>
      </c>
      <c r="C7027" s="5" t="str">
        <f>IFERROR(__xludf.DUMMYFUNCTION("GOOGLETRANSLATE(B7027,""en"",""zh-CN"")"),"一名男子在与一群球员一起缓慢走到场地上，与相机交谈。")</f>
        <v>一名男子在与一群球员一起缓慢走到场地上，与相机交谈。</v>
      </c>
    </row>
    <row r="7028">
      <c r="A7028" s="4" t="s">
        <v>8836</v>
      </c>
      <c r="B7028" s="4" t="s">
        <v>8838</v>
      </c>
      <c r="C7028" s="5" t="str">
        <f>IFERROR(__xludf.DUMMYFUNCTION("GOOGLETRANSLATE(B7028,""en"",""zh-CN"")"),"显示各种球员一对一地显示了体育场和城市的几枪。")</f>
        <v>显示各种球员一对一地显示了体育场和城市的几枪。</v>
      </c>
    </row>
    <row r="7029">
      <c r="A7029" s="4" t="s">
        <v>8836</v>
      </c>
      <c r="B7029" s="4" t="s">
        <v>8839</v>
      </c>
      <c r="C7029" s="5" t="str">
        <f>IFERROR(__xludf.DUMMYFUNCTION("GOOGLETRANSLATE(B7029,""en"",""zh-CN"")"),"运动员为比赛做准备，并在场上表现出来。")</f>
        <v>运动员为比赛做准备，并在场上表现出来。</v>
      </c>
    </row>
    <row r="7030">
      <c r="A7030" s="4" t="s">
        <v>8836</v>
      </c>
      <c r="B7030" s="4" t="s">
        <v>8840</v>
      </c>
      <c r="C7030" s="5" t="str">
        <f>IFERROR(__xludf.DUMMYFUNCTION("GOOGLETRANSLATE(B7030,""en"",""zh-CN"")"),"当他们进球并疲倦后坐在替补席上时，这些人欢呼雀跃。")</f>
        <v>当他们进球并疲倦后坐在替补席上时，这些人欢呼雀跃。</v>
      </c>
    </row>
    <row r="7031">
      <c r="A7031" s="4" t="s">
        <v>8836</v>
      </c>
      <c r="B7031" s="4" t="s">
        <v>8841</v>
      </c>
      <c r="C7031" s="5" t="str">
        <f>IFERROR(__xludf.DUMMYFUNCTION("GOOGLETRANSLATE(B7031,""en"",""zh-CN"")"),"他们穿过体育场，并与相机谈论成为职业运动员。")</f>
        <v>他们穿过体育场，并与相机谈论成为职业运动员。</v>
      </c>
    </row>
    <row r="7032">
      <c r="A7032" s="4" t="s">
        <v>8842</v>
      </c>
      <c r="B7032" s="6" t="s">
        <v>8843</v>
      </c>
      <c r="C7032" s="5" t="str">
        <f>IFERROR(__xludf.DUMMYFUNCTION("GOOGLETRANSLATE(B7032,""en"",""zh-CN"")"),"她的厨房里有一个女人，展示了如何使用Astra Clean Composite水槽清洁剂，她用Astra Clean Quirt瓶喷洒厨房水槽，然后使用刷子擦洗水槽。")</f>
        <v>她的厨房里有一个女人，展示了如何使用Astra Clean Composite水槽清洁剂，她用Astra Clean Quirt瓶喷洒厨房水槽，然后使用刷子擦洗水槽。</v>
      </c>
    </row>
    <row r="7033">
      <c r="A7033" s="4" t="s">
        <v>8842</v>
      </c>
      <c r="B7033" s="4" t="s">
        <v>8844</v>
      </c>
      <c r="C7033" s="5" t="str">
        <f>IFERROR(__xludf.DUMMYFUNCTION("GOOGLETRANSLATE(B7033,""en"",""zh-CN"")"),"完成后，她对闪闪发光的厨房水槽印象深刻。")</f>
        <v>完成后，她对闪闪发光的厨房水槽印象深刻。</v>
      </c>
    </row>
    <row r="7034">
      <c r="A7034" s="4" t="s">
        <v>8842</v>
      </c>
      <c r="B7034" s="4" t="s">
        <v>8845</v>
      </c>
      <c r="C7034" s="5" t="str">
        <f>IFERROR(__xludf.DUMMYFUNCTION("GOOGLETRANSLATE(B7034,""en"",""zh-CN"")"),"她把瓶子放在水槽上，走开了。")</f>
        <v>她把瓶子放在水槽上，走开了。</v>
      </c>
    </row>
    <row r="7035">
      <c r="A7035" s="4" t="s">
        <v>8846</v>
      </c>
      <c r="B7035" s="4" t="s">
        <v>8847</v>
      </c>
      <c r="C7035" s="5" t="str">
        <f>IFERROR(__xludf.DUMMYFUNCTION("GOOGLETRANSLATE(B7035,""en"",""zh-CN"")"),"带有黑色围裙的人正在刷柜台。")</f>
        <v>带有黑色围裙的人正在刷柜台。</v>
      </c>
    </row>
    <row r="7036">
      <c r="A7036" s="4" t="s">
        <v>8846</v>
      </c>
      <c r="B7036" s="4" t="s">
        <v>8848</v>
      </c>
      <c r="C7036" s="5" t="str">
        <f>IFERROR(__xludf.DUMMYFUNCTION("GOOGLETRANSLATE(B7036,""en"",""zh-CN"")"),"围裙中的那个人使滑雪板平滑，然后刷掉灰尘。")</f>
        <v>围裙中的那个人使滑雪板平滑，然后刷掉灰尘。</v>
      </c>
    </row>
    <row r="7037">
      <c r="A7037" s="4" t="s">
        <v>8846</v>
      </c>
      <c r="B7037" s="4" t="s">
        <v>8849</v>
      </c>
      <c r="C7037" s="5" t="str">
        <f>IFERROR(__xludf.DUMMYFUNCTION("GOOGLETRANSLATE(B7037,""en"",""zh-CN"")"),"该男子将抛光剂放在板上，继续刮擦和刷板。")</f>
        <v>该男子将抛光剂放在板上，继续刮擦和刷板。</v>
      </c>
    </row>
    <row r="7038">
      <c r="A7038" s="4" t="s">
        <v>8850</v>
      </c>
      <c r="B7038" s="4" t="s">
        <v>8851</v>
      </c>
      <c r="C7038" s="5" t="str">
        <f>IFERROR(__xludf.DUMMYFUNCTION("GOOGLETRANSLATE(B7038,""en"",""zh-CN"")"),"一个简介导致一个人在滑雪板上骑着白雪皑皑的山丘上的几个剪辑。")</f>
        <v>一个简介导致一个人在滑雪板上骑着白雪皑皑的山丘上的几个剪辑。</v>
      </c>
    </row>
    <row r="7039">
      <c r="A7039" s="4" t="s">
        <v>8850</v>
      </c>
      <c r="B7039" s="6" t="s">
        <v>8852</v>
      </c>
      <c r="C7039" s="5" t="str">
        <f>IFERROR(__xludf.DUMMYFUNCTION("GOOGLETRANSLATE(B7039,""en"",""zh-CN"")"),"该人继续从雪中骑行并在某一时刻掉下来，但清理了他的护目镜并与他人说话。")</f>
        <v>该人继续从雪中骑行并在某一时刻掉下来，但清理了他的护目镜并与他人说话。</v>
      </c>
    </row>
    <row r="7040">
      <c r="A7040" s="4" t="s">
        <v>8853</v>
      </c>
      <c r="B7040" s="4" t="s">
        <v>8854</v>
      </c>
      <c r="C7040" s="5" t="str">
        <f>IFERROR(__xludf.DUMMYFUNCTION("GOOGLETRANSLATE(B7040,""en"",""zh-CN"")"),"显示了一个大院子，叶子放在前面，一个男人在相机上说话。")</f>
        <v>显示了一个大院子，叶子放在前面，一个男人在相机上说话。</v>
      </c>
    </row>
    <row r="7041">
      <c r="A7041" s="4" t="s">
        <v>8853</v>
      </c>
      <c r="B7041" s="4" t="s">
        <v>8855</v>
      </c>
      <c r="C7041" s="5" t="str">
        <f>IFERROR(__xludf.DUMMYFUNCTION("GOOGLETRANSLATE(B7041,""en"",""zh-CN"")"),"该男子将叶子推到院子周围。")</f>
        <v>该男子将叶子推到院子周围。</v>
      </c>
    </row>
    <row r="7042">
      <c r="A7042" s="4" t="s">
        <v>8853</v>
      </c>
      <c r="B7042" s="4" t="s">
        <v>8856</v>
      </c>
      <c r="C7042" s="5" t="str">
        <f>IFERROR(__xludf.DUMMYFUNCTION("GOOGLETRANSLATE(B7042,""en"",""zh-CN"")"),"该男子抬起叶子，在相机上说话。")</f>
        <v>该男子抬起叶子，在相机上说话。</v>
      </c>
    </row>
    <row r="7043">
      <c r="A7043" s="4" t="s">
        <v>8857</v>
      </c>
      <c r="B7043" s="4" t="s">
        <v>8858</v>
      </c>
      <c r="C7043" s="5" t="str">
        <f>IFERROR(__xludf.DUMMYFUNCTION("GOOGLETRANSLATE(B7043,""en"",""zh-CN"")"),"一只狗的人Costome正在雪房的外面行走。")</f>
        <v>一只狗的人Costome正在雪房的外面行走。</v>
      </c>
    </row>
    <row r="7044">
      <c r="A7044" s="4" t="s">
        <v>8857</v>
      </c>
      <c r="B7044" s="4" t="s">
        <v>8859</v>
      </c>
      <c r="C7044" s="5" t="str">
        <f>IFERROR(__xludf.DUMMYFUNCTION("GOOGLETRANSLATE(B7044,""en"",""zh-CN"")"),"穿着服装的人，越过街道。")</f>
        <v>穿着服装的人，越过街道。</v>
      </c>
    </row>
    <row r="7045">
      <c r="A7045" s="4" t="s">
        <v>8857</v>
      </c>
      <c r="B7045" s="4" t="s">
        <v>8860</v>
      </c>
      <c r="C7045" s="5" t="str">
        <f>IFERROR(__xludf.DUMMYFUNCTION("GOOGLETRANSLATE(B7045,""en"",""zh-CN"")"),"男人从驾驶员的窗户和后窗上打扫雪。")</f>
        <v>男人从驾驶员的窗户和后窗上打扫雪。</v>
      </c>
    </row>
    <row r="7046">
      <c r="A7046" s="4" t="s">
        <v>8861</v>
      </c>
      <c r="B7046" s="4" t="s">
        <v>8862</v>
      </c>
      <c r="C7046" s="5" t="str">
        <f>IFERROR(__xludf.DUMMYFUNCTION("GOOGLETRANSLATE(B7046,""en"",""zh-CN"")"),"一个人站在高潜水板的顶部。")</f>
        <v>一个人站在高潜水板的顶部。</v>
      </c>
    </row>
    <row r="7047">
      <c r="A7047" s="4" t="s">
        <v>8861</v>
      </c>
      <c r="B7047" s="4" t="s">
        <v>8863</v>
      </c>
      <c r="C7047" s="5" t="str">
        <f>IFERROR(__xludf.DUMMYFUNCTION("GOOGLETRANSLATE(B7047,""en"",""zh-CN"")"),"他们跳下来，然后翻转到水中。")</f>
        <v>他们跳下来，然后翻转到水中。</v>
      </c>
    </row>
    <row r="7048">
      <c r="A7048" s="4" t="s">
        <v>8861</v>
      </c>
      <c r="B7048" s="4" t="s">
        <v>8864</v>
      </c>
      <c r="C7048" s="5" t="str">
        <f>IFERROR(__xludf.DUMMYFUNCTION("GOOGLETRANSLATE(B7048,""en"",""zh-CN"")"),"人群看着人潜水。")</f>
        <v>人群看着人潜水。</v>
      </c>
    </row>
    <row r="7049">
      <c r="A7049" s="4" t="s">
        <v>8865</v>
      </c>
      <c r="B7049" s="4" t="s">
        <v>8866</v>
      </c>
      <c r="C7049" s="5" t="str">
        <f>IFERROR(__xludf.DUMMYFUNCTION("GOOGLETRANSLATE(B7049,""en"",""zh-CN"")"),"看到一个男人坐在马上，骑着绳子骑着绳子。")</f>
        <v>看到一个男人坐在马上，骑着绳子骑着绳子。</v>
      </c>
    </row>
    <row r="7050">
      <c r="A7050" s="4" t="s">
        <v>8865</v>
      </c>
      <c r="B7050" s="4" t="s">
        <v>8867</v>
      </c>
      <c r="C7050" s="5" t="str">
        <f>IFERROR(__xludf.DUMMYFUNCTION("GOOGLETRANSLATE(B7050,""en"",""zh-CN"")"),"该男子把绳子扔到小腿上，跳下马。")</f>
        <v>该男子把绳子扔到小腿上，跳下马。</v>
      </c>
    </row>
    <row r="7051">
      <c r="A7051" s="4" t="s">
        <v>8865</v>
      </c>
      <c r="B7051" s="4" t="s">
        <v>8868</v>
      </c>
      <c r="C7051" s="5" t="str">
        <f>IFERROR(__xludf.DUMMYFUNCTION("GOOGLETRANSLATE(B7051,""en"",""zh-CN"")"),"他将小腿绑起来，结束时跑回马。")</f>
        <v>他将小腿绑起来，结束时跑回马。</v>
      </c>
    </row>
    <row r="7052">
      <c r="A7052" s="4" t="s">
        <v>8869</v>
      </c>
      <c r="B7052" s="6" t="s">
        <v>8870</v>
      </c>
      <c r="C7052" s="5" t="str">
        <f>IFERROR(__xludf.DUMMYFUNCTION("GOOGLETRANSLATE(B7052,""en"",""zh-CN"")"),"在多个图像中可以看到乡村的景色，包括建筑物，树木，田野和鲜花。")</f>
        <v>在多个图像中可以看到乡村的景色，包括建筑物，树木，田野和鲜花。</v>
      </c>
    </row>
    <row r="7053">
      <c r="A7053" s="4" t="s">
        <v>8869</v>
      </c>
      <c r="B7053" s="4" t="s">
        <v>8871</v>
      </c>
      <c r="C7053" s="5" t="str">
        <f>IFERROR(__xludf.DUMMYFUNCTION("GOOGLETRANSLATE(B7053,""en"",""zh-CN"")"),"一个男人在悬崖的侧面爬上山。")</f>
        <v>一个男人在悬崖的侧面爬上山。</v>
      </c>
    </row>
    <row r="7054">
      <c r="A7054" s="4" t="s">
        <v>8872</v>
      </c>
      <c r="B7054" s="4" t="s">
        <v>8873</v>
      </c>
      <c r="C7054" s="5" t="str">
        <f>IFERROR(__xludf.DUMMYFUNCTION("GOOGLETRANSLATE(B7054,""en"",""zh-CN"")"),"男人正在洗衣房里擦地板。")</f>
        <v>男人正在洗衣房里擦地板。</v>
      </c>
    </row>
    <row r="7055">
      <c r="A7055" s="4" t="s">
        <v>8872</v>
      </c>
      <c r="B7055" s="4" t="s">
        <v>8874</v>
      </c>
      <c r="C7055" s="5" t="str">
        <f>IFERROR(__xludf.DUMMYFUNCTION("GOOGLETRANSLATE(B7055,""en"",""zh-CN"")"),"人把拖把挤在水桶里。")</f>
        <v>人把拖把挤在水桶里。</v>
      </c>
    </row>
    <row r="7056">
      <c r="A7056" s="4" t="s">
        <v>8875</v>
      </c>
      <c r="B7056" s="6" t="s">
        <v>8876</v>
      </c>
      <c r="C7056" s="5" t="str">
        <f>IFERROR(__xludf.DUMMYFUNCTION("GOOGLETRANSLATE(B7056,""en"",""zh-CN"")"),"一个女人展示一个小女孩转动手柄，然后，小女孩剥了一个橙色的机器手柄。")</f>
        <v>一个女人展示一个小女孩转动手柄，然后，小女孩剥了一个橙色的机器手柄。</v>
      </c>
    </row>
    <row r="7057">
      <c r="A7057" s="4" t="s">
        <v>8875</v>
      </c>
      <c r="B7057" s="4" t="s">
        <v>8877</v>
      </c>
      <c r="C7057" s="5" t="str">
        <f>IFERROR(__xludf.DUMMYFUNCTION("GOOGLETRANSLATE(B7057,""en"",""zh-CN"")"),"手柄被卡住了，女人试图帮助女孩。")</f>
        <v>手柄被卡住了，女人试图帮助女孩。</v>
      </c>
    </row>
    <row r="7058">
      <c r="A7058" s="4" t="s">
        <v>8875</v>
      </c>
      <c r="B7058" s="4" t="s">
        <v>8878</v>
      </c>
      <c r="C7058" s="5" t="str">
        <f>IFERROR(__xludf.DUMMYFUNCTION("GOOGLETRANSLATE(B7058,""en"",""zh-CN"")"),"之后，女孩继续转动手柄以剥橙色。")</f>
        <v>之后，女孩继续转动手柄以剥橙色。</v>
      </c>
    </row>
    <row r="7059">
      <c r="A7059" s="4" t="s">
        <v>8879</v>
      </c>
      <c r="B7059" s="6" t="s">
        <v>8880</v>
      </c>
      <c r="C7059" s="5" t="str">
        <f>IFERROR(__xludf.DUMMYFUNCTION("GOOGLETRANSLATE(B7059,""en"",""zh-CN"")"),"当相机在该地区周围的镜头时，看到一大群人在围绕田野里跑来跑去。")</f>
        <v>当相机在该地区周围的镜头时，看到一大群人在围绕田野里跑来跑去。</v>
      </c>
    </row>
    <row r="7060">
      <c r="A7060" s="4" t="s">
        <v>8879</v>
      </c>
      <c r="B7060" s="6" t="s">
        <v>8881</v>
      </c>
      <c r="C7060" s="5" t="str">
        <f>IFERROR(__xludf.DUMMYFUNCTION("GOOGLETRANSLATE(B7060,""en"",""zh-CN"")"),"随着人们在侧面欢呼，男人继续互相玩耍，比赛继续进行。")</f>
        <v>随着人们在侧面欢呼，男人继续互相玩耍，比赛继续进行。</v>
      </c>
    </row>
    <row r="7061">
      <c r="A7061" s="4" t="s">
        <v>8882</v>
      </c>
      <c r="B7061" s="6" t="s">
        <v>8883</v>
      </c>
      <c r="C7061" s="5" t="str">
        <f>IFERROR(__xludf.DUMMYFUNCTION("GOOGLETRANSLATE(B7061,""en"",""zh-CN"")"),"人们在沙滩上骑骆驼，骆驼跪下，男人和女人走了下来。")</f>
        <v>人们在沙滩上骑骆驼，骆驼跪下，男人和女人走了下来。</v>
      </c>
    </row>
    <row r="7062">
      <c r="A7062" s="4" t="s">
        <v>8882</v>
      </c>
      <c r="B7062" s="6" t="s">
        <v>8884</v>
      </c>
      <c r="C7062" s="5" t="str">
        <f>IFERROR(__xludf.DUMMYFUNCTION("GOOGLETRANSLATE(B7062,""en"",""zh-CN"")"),"后跪下的骆驼在后面，人们在停车场里走路并拍照。")</f>
        <v>后跪下的骆驼在后面，人们在停车场里走路并拍照。</v>
      </c>
    </row>
    <row r="7063">
      <c r="A7063" s="4" t="s">
        <v>8882</v>
      </c>
      <c r="B7063" s="4" t="s">
        <v>8885</v>
      </c>
      <c r="C7063" s="5" t="str">
        <f>IFERROR(__xludf.DUMMYFUNCTION("GOOGLETRANSLATE(B7063,""en"",""zh-CN"")"),"男人骑着骆驼，骆驼站起来。")</f>
        <v>男人骑着骆驼，骆驼站起来。</v>
      </c>
    </row>
    <row r="7064">
      <c r="A7064" s="4" t="s">
        <v>8886</v>
      </c>
      <c r="B7064" s="4" t="s">
        <v>8887</v>
      </c>
      <c r="C7064" s="5" t="str">
        <f>IFERROR(__xludf.DUMMYFUNCTION("GOOGLETRANSLATE(B7064,""en"",""zh-CN"")"),"一个男人正在爬上一座山，试图找到合适的景点以拉起自己。")</f>
        <v>一个男人正在爬上一座山，试图找到合适的景点以拉起自己。</v>
      </c>
    </row>
    <row r="7065">
      <c r="A7065" s="4" t="s">
        <v>8886</v>
      </c>
      <c r="B7065" s="4" t="s">
        <v>8888</v>
      </c>
      <c r="C7065" s="5" t="str">
        <f>IFERROR(__xludf.DUMMYFUNCTION("GOOGLETRANSLATE(B7065,""en"",""zh-CN"")"),"他发现一个很好的地方可以将绳子挂在山上，然后再次爬上山。")</f>
        <v>他发现一个很好的地方可以将绳子挂在山上，然后再次爬上山。</v>
      </c>
    </row>
    <row r="7066">
      <c r="A7066" s="4" t="s">
        <v>8886</v>
      </c>
      <c r="B7066" s="4" t="s">
        <v>8889</v>
      </c>
      <c r="C7066" s="5" t="str">
        <f>IFERROR(__xludf.DUMMYFUNCTION("GOOGLETRANSLATE(B7066,""en"",""zh-CN"")"),"他决定将其提高到一个更好的位置。")</f>
        <v>他决定将其提高到一个更好的位置。</v>
      </c>
    </row>
    <row r="7067">
      <c r="A7067" s="4" t="s">
        <v>8886</v>
      </c>
      <c r="B7067" s="4" t="s">
        <v>8890</v>
      </c>
      <c r="C7067" s="5" t="str">
        <f>IFERROR(__xludf.DUMMYFUNCTION("GOOGLETRANSLATE(B7067,""en"",""zh-CN"")"),"然后，他开始再次攀爬挣扎，然后才终于进入艰难的地方。")</f>
        <v>然后，他开始再次攀爬挣扎，然后才终于进入艰难的地方。</v>
      </c>
    </row>
    <row r="7068">
      <c r="A7068" s="4" t="s">
        <v>8891</v>
      </c>
      <c r="B7068" s="4" t="s">
        <v>8892</v>
      </c>
      <c r="C7068" s="5" t="str">
        <f>IFERROR(__xludf.DUMMYFUNCTION("GOOGLETRANSLATE(B7068,""en"",""zh-CN"")"),"一个穿着黑色衬衫和白色手套的男人将台球球放在台球桌上。")</f>
        <v>一个穿着黑色衬衫和白色手套的男人将台球球放在台球桌上。</v>
      </c>
    </row>
    <row r="7069">
      <c r="A7069" s="4" t="s">
        <v>8891</v>
      </c>
      <c r="B7069" s="4" t="s">
        <v>8893</v>
      </c>
      <c r="C7069" s="5" t="str">
        <f>IFERROR(__xludf.DUMMYFUNCTION("GOOGLETRANSLATE(B7069,""en"",""zh-CN"")"),"一名浅蓝色衬衫的男子检查台球球的位置。")</f>
        <v>一名浅蓝色衬衫的男子检查台球球的位置。</v>
      </c>
    </row>
    <row r="7070">
      <c r="A7070" s="4" t="s">
        <v>8891</v>
      </c>
      <c r="B7070" s="6" t="s">
        <v>8894</v>
      </c>
      <c r="C7070" s="5" t="str">
        <f>IFERROR(__xludf.DUMMYFUNCTION("GOOGLETRANSLATE(B7070,""en"",""zh-CN"")"),"穿着浅蓝色衬衫的那个人用提示棒进入就位，打破了台球球，球朝许多方向伸出。")</f>
        <v>穿着浅蓝色衬衫的那个人用提示棒进入就位，打破了台球球，球朝许多方向伸出。</v>
      </c>
    </row>
    <row r="7071">
      <c r="A7071" s="4" t="s">
        <v>8891</v>
      </c>
      <c r="B7071" s="4" t="s">
        <v>8895</v>
      </c>
      <c r="C7071" s="5" t="str">
        <f>IFERROR(__xludf.DUMMYFUNCTION("GOOGLETRANSLATE(B7071,""en"",""zh-CN"")"),"穿着黑色衬衫的男人返回并检查桌子，然后退后一步。")</f>
        <v>穿着黑色衬衫的男人返回并检查桌子，然后退后一步。</v>
      </c>
    </row>
    <row r="7072">
      <c r="A7072" s="4" t="s">
        <v>8891</v>
      </c>
      <c r="B7072" s="6" t="s">
        <v>8896</v>
      </c>
      <c r="C7072" s="5" t="str">
        <f>IFERROR(__xludf.DUMMYFUNCTION("GOOGLETRANSLATE(B7072,""en"",""zh-CN"")"),"穿着浅蓝色衬衫的那个人为他的下一枪做准备，从台球的一侧走到另一侧，寻找他的下一张镜头。")</f>
        <v>穿着浅蓝色衬衫的那个人为他的下一枪做准备，从台球的一侧走到另一侧，寻找他的下一张镜头。</v>
      </c>
    </row>
    <row r="7073">
      <c r="A7073" s="4" t="s">
        <v>8891</v>
      </c>
      <c r="B7073" s="4" t="s">
        <v>8897</v>
      </c>
      <c r="C7073" s="5" t="str">
        <f>IFERROR(__xludf.DUMMYFUNCTION("GOOGLETRANSLATE(B7073,""en"",""zh-CN"")"),"他在射击之前先将提示棒的尖端粉刷。")</f>
        <v>他在射击之前先将提示棒的尖端粉刷。</v>
      </c>
    </row>
    <row r="7074">
      <c r="A7074" s="4" t="s">
        <v>8891</v>
      </c>
      <c r="B7074" s="4" t="s">
        <v>8898</v>
      </c>
      <c r="C7074" s="5" t="str">
        <f>IFERROR(__xludf.DUMMYFUNCTION("GOOGLETRANSLATE(B7074,""en"",""zh-CN"")"),"然后，他准备下一张台球围绕台球桌子。")</f>
        <v>然后，他准备下一张台球围绕台球桌子。</v>
      </c>
    </row>
    <row r="7075">
      <c r="A7075" s="4" t="s">
        <v>8899</v>
      </c>
      <c r="B7075" s="4" t="s">
        <v>8900</v>
      </c>
      <c r="C7075" s="5" t="str">
        <f>IFERROR(__xludf.DUMMYFUNCTION("GOOGLETRANSLATE(B7075,""en"",""zh-CN"")"),"教练正在指导他的团队。")</f>
        <v>教练正在指导他的团队。</v>
      </c>
    </row>
    <row r="7076">
      <c r="A7076" s="4" t="s">
        <v>8899</v>
      </c>
      <c r="B7076" s="4" t="s">
        <v>8901</v>
      </c>
      <c r="C7076" s="5" t="str">
        <f>IFERROR(__xludf.DUMMYFUNCTION("GOOGLETRANSLATE(B7076,""en"",""zh-CN"")"),"后面黑色的家伙走开了。")</f>
        <v>后面黑色的家伙走开了。</v>
      </c>
    </row>
    <row r="7077">
      <c r="A7077" s="4" t="s">
        <v>8899</v>
      </c>
      <c r="B7077" s="4" t="s">
        <v>8902</v>
      </c>
      <c r="C7077" s="5" t="str">
        <f>IFERROR(__xludf.DUMMYFUNCTION("GOOGLETRANSLATE(B7077,""en"",""zh-CN"")"),"教练然后与父母说话。")</f>
        <v>教练然后与父母说话。</v>
      </c>
    </row>
    <row r="7078">
      <c r="A7078" s="4" t="s">
        <v>8899</v>
      </c>
      <c r="B7078" s="4" t="s">
        <v>8903</v>
      </c>
      <c r="C7078" s="5" t="str">
        <f>IFERROR(__xludf.DUMMYFUNCTION("GOOGLETRANSLATE(B7078,""en"",""zh-CN"")"),"两个新家伙到达后面。")</f>
        <v>两个新家伙到达后面。</v>
      </c>
    </row>
    <row r="7079">
      <c r="A7079" s="4" t="s">
        <v>8899</v>
      </c>
      <c r="B7079" s="4" t="s">
        <v>8904</v>
      </c>
      <c r="C7079" s="5" t="str">
        <f>IFERROR(__xludf.DUMMYFUNCTION("GOOGLETRANSLATE(B7079,""en"",""zh-CN"")"),"教练与球队一起参加比赛。")</f>
        <v>教练与球队一起参加比赛。</v>
      </c>
    </row>
    <row r="7080">
      <c r="A7080" s="4" t="s">
        <v>8899</v>
      </c>
      <c r="B7080" s="4" t="s">
        <v>8905</v>
      </c>
      <c r="C7080" s="5" t="str">
        <f>IFERROR(__xludf.DUMMYFUNCTION("GOOGLETRANSLATE(B7080,""en"",""zh-CN"")"),"黄色公共汽车驶过。")</f>
        <v>黄色公共汽车驶过。</v>
      </c>
    </row>
    <row r="7081">
      <c r="A7081" s="4" t="s">
        <v>8899</v>
      </c>
      <c r="B7081" s="4" t="s">
        <v>8906</v>
      </c>
      <c r="C7081" s="5" t="str">
        <f>IFERROR(__xludf.DUMMYFUNCTION("GOOGLETRANSLATE(B7081,""en"",""zh-CN"")"),"红队正在听教练。")</f>
        <v>红队正在听教练。</v>
      </c>
    </row>
    <row r="7082">
      <c r="A7082" s="4" t="s">
        <v>8899</v>
      </c>
      <c r="B7082" s="4" t="s">
        <v>8907</v>
      </c>
      <c r="C7082" s="5" t="str">
        <f>IFERROR(__xludf.DUMMYFUNCTION("GOOGLETRANSLATE(B7082,""en"",""zh-CN"")"),"孩子们正在玩游戏。")</f>
        <v>孩子们正在玩游戏。</v>
      </c>
    </row>
    <row r="7083">
      <c r="A7083" s="4" t="s">
        <v>8899</v>
      </c>
      <c r="B7083" s="4" t="s">
        <v>8908</v>
      </c>
      <c r="C7083" s="5" t="str">
        <f>IFERROR(__xludf.DUMMYFUNCTION("GOOGLETRANSLATE(B7083,""en"",""zh-CN"")"),"孩子们正在听教练。")</f>
        <v>孩子们正在听教练。</v>
      </c>
    </row>
    <row r="7084">
      <c r="A7084" s="4" t="s">
        <v>8899</v>
      </c>
      <c r="B7084" s="4" t="s">
        <v>8909</v>
      </c>
      <c r="C7084" s="5" t="str">
        <f>IFERROR(__xludf.DUMMYFUNCTION("GOOGLETRANSLATE(B7084,""en"",""zh-CN"")"),"游戏再次开始。")</f>
        <v>游戏再次开始。</v>
      </c>
    </row>
    <row r="7085">
      <c r="A7085" s="4" t="s">
        <v>8899</v>
      </c>
      <c r="B7085" s="4" t="s">
        <v>8910</v>
      </c>
      <c r="C7085" s="5" t="str">
        <f>IFERROR(__xludf.DUMMYFUNCTION("GOOGLETRANSLATE(B7085,""en"",""zh-CN"")"),"一辆白色的公共汽车驶过。")</f>
        <v>一辆白色的公共汽车驶过。</v>
      </c>
    </row>
    <row r="7086">
      <c r="A7086" s="4" t="s">
        <v>8911</v>
      </c>
      <c r="B7086" s="4" t="s">
        <v>8912</v>
      </c>
      <c r="C7086" s="5" t="str">
        <f>IFERROR(__xludf.DUMMYFUNCTION("GOOGLETRANSLATE(B7086,""en"",""zh-CN"")"),"冲浪者一词在屏幕上。")</f>
        <v>冲浪者一词在屏幕上。</v>
      </c>
    </row>
    <row r="7087">
      <c r="A7087" s="4" t="s">
        <v>8911</v>
      </c>
      <c r="B7087" s="4" t="s">
        <v>8913</v>
      </c>
      <c r="C7087" s="5" t="str">
        <f>IFERROR(__xludf.DUMMYFUNCTION("GOOGLETRANSLATE(B7087,""en"",""zh-CN"")"),"冲浪者正在摄影机上。")</f>
        <v>冲浪者正在摄影机上。</v>
      </c>
    </row>
    <row r="7088">
      <c r="A7088" s="4" t="s">
        <v>8911</v>
      </c>
      <c r="B7088" s="4" t="s">
        <v>8914</v>
      </c>
      <c r="C7088" s="5" t="str">
        <f>IFERROR(__xludf.DUMMYFUNCTION("GOOGLETRANSLATE(B7088,""en"",""zh-CN"")"),"冲浪者在海滩上行走。")</f>
        <v>冲浪者在海滩上行走。</v>
      </c>
    </row>
    <row r="7089">
      <c r="A7089" s="4" t="s">
        <v>8911</v>
      </c>
      <c r="B7089" s="4" t="s">
        <v>8915</v>
      </c>
      <c r="C7089" s="5" t="str">
        <f>IFERROR(__xludf.DUMMYFUNCTION("GOOGLETRANSLATE(B7089,""en"",""zh-CN"")"),"当男人再次服用时，一个人正在水中冲浪。")</f>
        <v>当男人再次服用时，一个人正在水中冲浪。</v>
      </c>
    </row>
    <row r="7090">
      <c r="A7090" s="4" t="s">
        <v>8911</v>
      </c>
      <c r="B7090" s="4" t="s">
        <v>8916</v>
      </c>
      <c r="C7090" s="5" t="str">
        <f>IFERROR(__xludf.DUMMYFUNCTION("GOOGLETRANSLATE(B7090,""en"",""zh-CN"")"),"岛上有一群冲浪者。")</f>
        <v>岛上有一群冲浪者。</v>
      </c>
    </row>
    <row r="7091">
      <c r="A7091" s="4" t="s">
        <v>8911</v>
      </c>
      <c r="B7091" s="4" t="s">
        <v>8917</v>
      </c>
      <c r="C7091" s="5" t="str">
        <f>IFERROR(__xludf.DUMMYFUNCTION("GOOGLETRANSLATE(B7091,""en"",""zh-CN"")"),"几个冲浪者在水中，该男子仍在接受采访。")</f>
        <v>几个冲浪者在水中，该男子仍在接受采访。</v>
      </c>
    </row>
    <row r="7092">
      <c r="A7092" s="4" t="s">
        <v>8918</v>
      </c>
      <c r="B7092" s="6" t="s">
        <v>8919</v>
      </c>
      <c r="C7092" s="5" t="str">
        <f>IFERROR(__xludf.DUMMYFUNCTION("GOOGLETRANSLATE(B7092,""en"",""zh-CN"")"),"看到两个人坐在波浪池前，一个人带领另一个人登上木板上的水。")</f>
        <v>看到两个人坐在波浪池前，一个人带领另一个人登上木板上的水。</v>
      </c>
    </row>
    <row r="7093">
      <c r="A7093" s="4" t="s">
        <v>8918</v>
      </c>
      <c r="B7093" s="4" t="s">
        <v>8920</v>
      </c>
      <c r="C7093" s="5" t="str">
        <f>IFERROR(__xludf.DUMMYFUNCTION("GOOGLETRANSLATE(B7093,""en"",""zh-CN"")"),"当另一个人试图在水上骑木板时，这个人就会跌倒。")</f>
        <v>当另一个人试图在水上骑木板时，这个人就会跌倒。</v>
      </c>
    </row>
    <row r="7094">
      <c r="A7094" s="4" t="s">
        <v>8918</v>
      </c>
      <c r="B7094" s="6" t="s">
        <v>8921</v>
      </c>
      <c r="C7094" s="5" t="str">
        <f>IFERROR(__xludf.DUMMYFUNCTION("GOOGLETRANSLATE(B7094,""en"",""zh-CN"")"),"该人继续沿着水面骑行，并以摄像机在该地区围绕着摄像头而结束，男孩跌倒了。")</f>
        <v>该人继续沿着水面骑行，并以摄像机在该地区围绕着摄像头而结束，男孩跌倒了。</v>
      </c>
    </row>
    <row r="7095">
      <c r="A7095" s="4" t="s">
        <v>8922</v>
      </c>
      <c r="B7095" s="4" t="s">
        <v>8923</v>
      </c>
      <c r="C7095" s="5" t="str">
        <f>IFERROR(__xludf.DUMMYFUNCTION("GOOGLETRANSLATE(B7095,""en"",""zh-CN"")"),"显示了几对夫妇在外面奔跑，并在阳光下进行各种活动。")</f>
        <v>显示了几对夫妇在外面奔跑，并在阳光下进行各种活动。</v>
      </c>
    </row>
    <row r="7096">
      <c r="A7096" s="4" t="s">
        <v>8922</v>
      </c>
      <c r="B7096" s="6" t="s">
        <v>8924</v>
      </c>
      <c r="C7096" s="5" t="str">
        <f>IFERROR(__xludf.DUMMYFUNCTION("GOOGLETRANSLATE(B7096,""en"",""zh-CN"")"),"越来越多的人开始说话，他们每个人都有一瓶防晒霜，并开始在手臂上喷射它以保护他们的皮肤。")</f>
        <v>越来越多的人开始说话，他们每个人都有一瓶防晒霜，并开始在手臂上喷射它以保护他们的皮肤。</v>
      </c>
    </row>
    <row r="7097">
      <c r="A7097" s="4" t="s">
        <v>8922</v>
      </c>
      <c r="B7097" s="6" t="s">
        <v>8925</v>
      </c>
      <c r="C7097" s="5" t="str">
        <f>IFERROR(__xludf.DUMMYFUNCTION("GOOGLETRANSLATE(B7097,""en"",""zh-CN"")"),"然后显示一小蓝色的防晒霜，越来越多的人开始谈论该产品。")</f>
        <v>然后显示一小蓝色的防晒霜，越来越多的人开始谈论该产品。</v>
      </c>
    </row>
    <row r="7098">
      <c r="A7098" s="4" t="s">
        <v>8922</v>
      </c>
      <c r="B7098" s="4" t="s">
        <v>8926</v>
      </c>
      <c r="C7098" s="5" t="str">
        <f>IFERROR(__xludf.DUMMYFUNCTION("GOOGLETRANSLATE(B7098,""en"",""zh-CN"")"),"显示了购买该产品的网站，整个视频再次播放，好像是循环的。")</f>
        <v>显示了购买该产品的网站，整个视频再次播放，好像是循环的。</v>
      </c>
    </row>
    <row r="7099">
      <c r="A7099" s="4" t="s">
        <v>8927</v>
      </c>
      <c r="B7099" s="4" t="s">
        <v>8928</v>
      </c>
      <c r="C7099" s="5" t="str">
        <f>IFERROR(__xludf.DUMMYFUNCTION("GOOGLETRANSLATE(B7099,""en"",""zh-CN"")"),"一个小男孩说话时拿着洗碗灌木。")</f>
        <v>一个小男孩说话时拿着洗碗灌木。</v>
      </c>
    </row>
    <row r="7100">
      <c r="A7100" s="4" t="s">
        <v>8927</v>
      </c>
      <c r="B7100" s="4" t="s">
        <v>8929</v>
      </c>
      <c r="C7100" s="5" t="str">
        <f>IFERROR(__xludf.DUMMYFUNCTION("GOOGLETRANSLATE(B7100,""en"",""zh-CN"")"),"他转向他身后的水槽，那里有盘子坐在水中。")</f>
        <v>他转向他身后的水槽，那里有盘子坐在水中。</v>
      </c>
    </row>
    <row r="7101">
      <c r="A7101" s="4" t="s">
        <v>8927</v>
      </c>
      <c r="B7101" s="4" t="s">
        <v>8930</v>
      </c>
      <c r="C7101" s="5" t="str">
        <f>IFERROR(__xludf.DUMMYFUNCTION("GOOGLETRANSLATE(B7101,""en"",""zh-CN"")"),"他将磨砂膏放入水槽中，然后放下一杯。")</f>
        <v>他将磨砂膏放入水槽中，然后放下一杯。</v>
      </c>
    </row>
    <row r="7102">
      <c r="A7102" s="4" t="s">
        <v>8927</v>
      </c>
      <c r="B7102" s="4" t="s">
        <v>8931</v>
      </c>
      <c r="C7102" s="5" t="str">
        <f>IFERROR(__xludf.DUMMYFUNCTION("GOOGLETRANSLATE(B7102,""en"",""zh-CN"")"),"他抓住一条毛巾并清洁玻璃，然后继续擦洗玻璃。")</f>
        <v>他抓住一条毛巾并清洁玻璃，然后继续擦洗玻璃。</v>
      </c>
    </row>
    <row r="7103">
      <c r="A7103" s="4" t="s">
        <v>8927</v>
      </c>
      <c r="B7103" s="6" t="s">
        <v>8932</v>
      </c>
      <c r="C7103" s="5" t="str">
        <f>IFERROR(__xludf.DUMMYFUNCTION("GOOGLETRANSLATE(B7103,""en"",""zh-CN"")"),"他放下磨砂膏，抓住玻璃杯将其放在水槽的右侧，在那里他弄湿了玻璃杯，然后将其放在碟架上。")</f>
        <v>他放下磨砂膏，抓住玻璃杯将其放在水槽的右侧，在那里他弄湿了玻璃杯，然后将其放在碟架上。</v>
      </c>
    </row>
    <row r="7104">
      <c r="A7104" s="4" t="s">
        <v>8927</v>
      </c>
      <c r="B7104" s="4" t="s">
        <v>8933</v>
      </c>
      <c r="C7104" s="5" t="str">
        <f>IFERROR(__xludf.DUMMYFUNCTION("GOOGLETRANSLATE(B7104,""en"",""zh-CN"")"),"他移动抓住毛巾并清洁盘子。")</f>
        <v>他移动抓住毛巾并清洁盘子。</v>
      </c>
    </row>
    <row r="7105">
      <c r="A7105" s="4" t="s">
        <v>8927</v>
      </c>
      <c r="B7105" s="4" t="s">
        <v>8934</v>
      </c>
      <c r="C7105" s="5" t="str">
        <f>IFERROR(__xludf.DUMMYFUNCTION("GOOGLETRANSLATE(B7105,""en"",""zh-CN"")"),"他将盘子浸入水中，然后将其移至盘式架上。")</f>
        <v>他将盘子浸入水中，然后将其移至盘式架上。</v>
      </c>
    </row>
    <row r="7106">
      <c r="A7106" s="4" t="s">
        <v>8927</v>
      </c>
      <c r="B7106" s="4" t="s">
        <v>8935</v>
      </c>
      <c r="C7106" s="5" t="str">
        <f>IFERROR(__xludf.DUMMYFUNCTION("GOOGLETRANSLATE(B7106,""en"",""zh-CN"")"),"他返回使用毛巾并清洁刀。")</f>
        <v>他返回使用毛巾并清洁刀。</v>
      </c>
    </row>
    <row r="7107">
      <c r="A7107" s="4" t="s">
        <v>8927</v>
      </c>
      <c r="B7107" s="6" t="s">
        <v>8936</v>
      </c>
      <c r="C7107" s="5" t="str">
        <f>IFERROR(__xludf.DUMMYFUNCTION("GOOGLETRANSLATE(B7107,""en"",""zh-CN"")"),"他将刀浸入水中，然后将其移至碟架上，男孩回去用毛巾清洁叉子。")</f>
        <v>他将刀浸入水中，然后将其移至碟架上，男孩回去用毛巾清洁叉子。</v>
      </c>
    </row>
    <row r="7108">
      <c r="A7108" s="4" t="s">
        <v>8927</v>
      </c>
      <c r="B7108" s="4" t="s">
        <v>8937</v>
      </c>
      <c r="C7108" s="5" t="str">
        <f>IFERROR(__xludf.DUMMYFUNCTION("GOOGLETRANSLATE(B7108,""en"",""zh-CN"")"),"他将叉子移到水中，将肥皂冲洗起来。")</f>
        <v>他将叉子移到水中，将肥皂冲洗起来。</v>
      </c>
    </row>
    <row r="7109">
      <c r="A7109" s="4" t="s">
        <v>8927</v>
      </c>
      <c r="B7109" s="4" t="s">
        <v>8938</v>
      </c>
      <c r="C7109" s="5" t="str">
        <f>IFERROR(__xludf.DUMMYFUNCTION("GOOGLETRANSLATE(B7109,""en"",""zh-CN"")"),"这个小男孩站在镜头前，说话。")</f>
        <v>这个小男孩站在镜头前，说话。</v>
      </c>
    </row>
    <row r="7110">
      <c r="A7110" s="4" t="s">
        <v>8939</v>
      </c>
      <c r="B7110" s="6" t="s">
        <v>8940</v>
      </c>
      <c r="C7110" s="5" t="str">
        <f>IFERROR(__xludf.DUMMYFUNCTION("GOOGLETRANSLATE(B7110,""en"",""zh-CN"")"),"看到一个男人记录一个小孩，她的头发被一个站在她身后的女人梳理。")</f>
        <v>看到一个男人记录一个小孩，她的头发被一个站在她身后的女人梳理。</v>
      </c>
    </row>
    <row r="7111">
      <c r="A7111" s="4" t="s">
        <v>8939</v>
      </c>
      <c r="B7111" s="4" t="s">
        <v>8941</v>
      </c>
      <c r="C7111" s="5" t="str">
        <f>IFERROR(__xludf.DUMMYFUNCTION("GOOGLETRANSLATE(B7111,""en"",""zh-CN"")"),"几个人和孩子在侧面看着，女人把女孩的头发放在马尾辫上。")</f>
        <v>几个人和孩子在侧面看着，女人把女孩的头发放在马尾辫上。</v>
      </c>
    </row>
    <row r="7112">
      <c r="A7112" s="4" t="s">
        <v>8939</v>
      </c>
      <c r="B7112" s="6" t="s">
        <v>8942</v>
      </c>
      <c r="C7112" s="5" t="str">
        <f>IFERROR(__xludf.DUMMYFUNCTION("GOOGLETRANSLATE(B7112,""en"",""zh-CN"")"),"当爸爸把头发戴在头上并让孩子们发笑时，她与镜头说话并剪掉女孩的头发。")</f>
        <v>当爸爸把头发戴在头上并让孩子们发笑时，她与镜头说话并剪掉女孩的头发。</v>
      </c>
    </row>
    <row r="7113">
      <c r="A7113" s="4" t="s">
        <v>8939</v>
      </c>
      <c r="B7113" s="6" t="s">
        <v>8943</v>
      </c>
      <c r="C7113" s="5" t="str">
        <f>IFERROR(__xludf.DUMMYFUNCTION("GOOGLETRANSLATE(B7113,""en"",""zh-CN"")"),"女人继续剪头发，而其他人则看着相机，然后是那个女人伸直头发并以慢动作炫耀。")</f>
        <v>女人继续剪头发，而其他人则看着相机，然后是那个女人伸直头发并以慢动作炫耀。</v>
      </c>
    </row>
    <row r="7114">
      <c r="A7114" s="4" t="s">
        <v>8939</v>
      </c>
      <c r="B7114" s="4" t="s">
        <v>8944</v>
      </c>
      <c r="C7114" s="5" t="str">
        <f>IFERROR(__xludf.DUMMYFUNCTION("GOOGLETRANSLATE(B7114,""en"",""zh-CN"")"),"这个女孩抬起头发，尖叫着镜头。")</f>
        <v>这个女孩抬起头发，尖叫着镜头。</v>
      </c>
    </row>
    <row r="7115">
      <c r="A7115" s="4" t="s">
        <v>8945</v>
      </c>
      <c r="B7115" s="6" t="s">
        <v>8946</v>
      </c>
      <c r="C7115" s="5" t="str">
        <f>IFERROR(__xludf.DUMMYFUNCTION("GOOGLETRANSLATE(B7115,""en"",""zh-CN"")"),"看到两个女孩在手中握住杯子并互相笑着时在相机上说话。")</f>
        <v>看到两个女孩在手中握住杯子并互相笑着时在相机上说话。</v>
      </c>
    </row>
    <row r="7116">
      <c r="A7116" s="4" t="s">
        <v>8945</v>
      </c>
      <c r="B7116" s="6" t="s">
        <v>8947</v>
      </c>
      <c r="C7116" s="5" t="str">
        <f>IFERROR(__xludf.DUMMYFUNCTION("GOOGLETRANSLATE(B7116,""en"",""zh-CN"")"),"相机放大了杯子，女孩们终于从杯子里喝酒时继续大笑。")</f>
        <v>相机放大了杯子，女孩们终于从杯子里喝酒时继续大笑。</v>
      </c>
    </row>
    <row r="7117">
      <c r="A7117" s="4" t="s">
        <v>8945</v>
      </c>
      <c r="B7117" s="4" t="s">
        <v>8948</v>
      </c>
      <c r="C7117" s="5" t="str">
        <f>IFERROR(__xludf.DUMMYFUNCTION("GOOGLETRANSLATE(B7117,""en"",""zh-CN"")"),"他们将液体抬到嘴里，吐出来，最后笑。")</f>
        <v>他们将液体抬到嘴里，吐出来，最后笑。</v>
      </c>
    </row>
    <row r="7118">
      <c r="A7118" s="4" t="s">
        <v>8949</v>
      </c>
      <c r="B7118" s="4" t="s">
        <v>8950</v>
      </c>
      <c r="C7118" s="5" t="str">
        <f>IFERROR(__xludf.DUMMYFUNCTION("GOOGLETRANSLATE(B7118,""en"",""zh-CN"")"),"看到一个男人在相机上说话以及向相机鞠躬。")</f>
        <v>看到一个男人在相机上说话以及向相机鞠躬。</v>
      </c>
    </row>
    <row r="7119">
      <c r="A7119" s="4" t="s">
        <v>8949</v>
      </c>
      <c r="B7119" s="4" t="s">
        <v>8951</v>
      </c>
      <c r="C7119" s="5" t="str">
        <f>IFERROR(__xludf.DUMMYFUNCTION("GOOGLETRANSLATE(B7119,""en"",""zh-CN"")"),"该男子跪在膝盖上几次，再次鞠躬。")</f>
        <v>该男子跪在膝盖上几次，再次鞠躬。</v>
      </c>
    </row>
    <row r="7120">
      <c r="A7120" s="4" t="s">
        <v>8949</v>
      </c>
      <c r="B7120" s="4" t="s">
        <v>8952</v>
      </c>
      <c r="C7120" s="5" t="str">
        <f>IFERROR(__xludf.DUMMYFUNCTION("GOOGLETRANSLATE(B7120,""en"",""zh-CN"")"),"他转过身来仍然鞠躬，结束了。")</f>
        <v>他转过身来仍然鞠躬，结束了。</v>
      </c>
    </row>
    <row r="7121">
      <c r="A7121" s="4" t="s">
        <v>8953</v>
      </c>
      <c r="B7121" s="6" t="s">
        <v>8954</v>
      </c>
      <c r="C7121" s="5" t="str">
        <f>IFERROR(__xludf.DUMMYFUNCTION("GOOGLETRANSLATE(B7121,""en"",""zh-CN"")"),"在举行奥运会举重比赛之前，通过在健身房锻炼来准备中国竞争对手。")</f>
        <v>在举行奥运会举重比赛之前，通过在健身房锻炼来准备中国竞争对手。</v>
      </c>
    </row>
    <row r="7122">
      <c r="A7122" s="4" t="s">
        <v>8953</v>
      </c>
      <c r="B7122" s="4" t="s">
        <v>8955</v>
      </c>
      <c r="C7122" s="5" t="str">
        <f>IFERROR(__xludf.DUMMYFUNCTION("GOOGLETRANSLATE(B7122,""en"",""zh-CN"")"),"然后，他通过举起大型奥运会大小的举重来练习活动。")</f>
        <v>然后，他通过举起大型奥运会大小的举重来练习活动。</v>
      </c>
    </row>
    <row r="7123">
      <c r="A7123" s="4" t="s">
        <v>8953</v>
      </c>
      <c r="B7123" s="6" t="s">
        <v>8956</v>
      </c>
      <c r="C7123" s="5" t="str">
        <f>IFERROR(__xludf.DUMMYFUNCTION("GOOGLETRANSLATE(B7123,""en"",""zh-CN"")"),"在比赛中，他从蹲下的位置上拾起了重量，然后上升，然后将重量放下。")</f>
        <v>在比赛中，他从蹲下的位置上拾起了重量，然后上升，然后将重量放下。</v>
      </c>
    </row>
    <row r="7124">
      <c r="A7124" s="4" t="s">
        <v>8953</v>
      </c>
      <c r="B7124" s="4" t="s">
        <v>8957</v>
      </c>
      <c r="C7124" s="5" t="str">
        <f>IFERROR(__xludf.DUMMYFUNCTION("GOOGLETRANSLATE(B7124,""en"",""zh-CN"")"),"显示了各种成功的升降机，竞争对手拥抱他的教练。")</f>
        <v>显示了各种成功的升降机，竞争对手拥抱他的教练。</v>
      </c>
    </row>
    <row r="7125">
      <c r="A7125" s="4" t="s">
        <v>8958</v>
      </c>
      <c r="B7125" s="4" t="s">
        <v>8959</v>
      </c>
      <c r="C7125" s="5" t="str">
        <f>IFERROR(__xludf.DUMMYFUNCTION("GOOGLETRANSLATE(B7125,""en"",""zh-CN"")"),"在远处看到山脉，云层在下午在顶部移动。")</f>
        <v>在远处看到山脉，云层在下午在顶部移动。</v>
      </c>
    </row>
    <row r="7126">
      <c r="A7126" s="4" t="s">
        <v>8958</v>
      </c>
      <c r="B7126" s="4" t="s">
        <v>8960</v>
      </c>
      <c r="C7126" s="5" t="str">
        <f>IFERROR(__xludf.DUMMYFUNCTION("GOOGLETRANSLATE(B7126,""en"",""zh-CN"")"),"登山者使用绳索和钩子将金属夹子沿着纯粹的岩石面上的裂缝上升。")</f>
        <v>登山者使用绳索和钩子将金属夹子沿着纯粹的岩石面上的裂缝上升。</v>
      </c>
    </row>
    <row r="7127">
      <c r="A7127" s="4" t="s">
        <v>8958</v>
      </c>
      <c r="B7127" s="4" t="s">
        <v>8961</v>
      </c>
      <c r="C7127" s="5" t="str">
        <f>IFERROR(__xludf.DUMMYFUNCTION("GOOGLETRANSLATE(B7127,""en"",""zh-CN"")"),"登山者将金属圆形夹子放入岩石面的裂缝中。")</f>
        <v>登山者将金属圆形夹子放入岩石面的裂缝中。</v>
      </c>
    </row>
    <row r="7128">
      <c r="A7128" s="4" t="s">
        <v>8958</v>
      </c>
      <c r="B7128" s="4" t="s">
        <v>8962</v>
      </c>
      <c r="C7128" s="5" t="str">
        <f>IFERROR(__xludf.DUMMYFUNCTION("GOOGLETRANSLATE(B7128,""en"",""zh-CN"")"),"乌云在日落时在山脉上移动。")</f>
        <v>乌云在日落时在山脉上移动。</v>
      </c>
    </row>
    <row r="7129">
      <c r="A7129" s="4" t="s">
        <v>8963</v>
      </c>
      <c r="B7129" s="6" t="s">
        <v>8964</v>
      </c>
      <c r="C7129" s="5" t="str">
        <f>IFERROR(__xludf.DUMMYFUNCTION("GOOGLETRANSLATE(B7129,""en"",""zh-CN"")"),"看到一名妇女主持了一个新闻节目对摄像机说话，并过渡到一群直线行走的男人。")</f>
        <v>看到一名妇女主持了一个新闻节目对摄像机说话，并过渡到一群直线行走的男人。</v>
      </c>
    </row>
    <row r="7130">
      <c r="A7130" s="4" t="s">
        <v>8963</v>
      </c>
      <c r="B7130" s="6" t="s">
        <v>8965</v>
      </c>
      <c r="C7130" s="5" t="str">
        <f>IFERROR(__xludf.DUMMYFUNCTION("GOOGLETRANSLATE(B7130,""en"",""zh-CN"")"),"然后，人们在一大批人面前表演，两者之间采访了一位表演者。")</f>
        <v>然后，人们在一大批人面前表演，两者之间采访了一位表演者。</v>
      </c>
    </row>
    <row r="7131">
      <c r="A7131" s="4" t="s">
        <v>8963</v>
      </c>
      <c r="B7131" s="6" t="s">
        <v>8966</v>
      </c>
      <c r="C7131" s="5" t="str">
        <f>IFERROR(__xludf.DUMMYFUNCTION("GOOGLETRANSLATE(B7131,""en"",""zh-CN"")"),"然后，新闻部分开始与工作室中的其他人交谈，他们发表意见并以主持人的笑声和微笑而告终。")</f>
        <v>然后，新闻部分开始与工作室中的其他人交谈，他们发表意见并以主持人的笑声和微笑而告终。</v>
      </c>
    </row>
    <row r="7132">
      <c r="A7132" s="4" t="s">
        <v>8967</v>
      </c>
      <c r="B7132" s="6" t="s">
        <v>8968</v>
      </c>
      <c r="C7132" s="5" t="str">
        <f>IFERROR(__xludf.DUMMYFUNCTION("GOOGLETRANSLATE(B7132,""en"",""zh-CN"")"),"看到一个人站在一条大轨道前，人们坐在周围看着他。")</f>
        <v>看到一个人站在一条大轨道前，人们坐在周围看着他。</v>
      </c>
    </row>
    <row r="7133">
      <c r="A7133" s="4" t="s">
        <v>8967</v>
      </c>
      <c r="B7133" s="4" t="s">
        <v>8969</v>
      </c>
      <c r="C7133" s="5" t="str">
        <f>IFERROR(__xludf.DUMMYFUNCTION("GOOGLETRANSLATE(B7133,""en"",""zh-CN"")"),"这些人勾选了手臂，沿着赛道跑到坐姿坑中并翻转过来。")</f>
        <v>这些人勾选了手臂，沿着赛道跑到坐姿坑中并翻转过来。</v>
      </c>
    </row>
    <row r="7134">
      <c r="A7134" s="4" t="s">
        <v>8970</v>
      </c>
      <c r="B7134" s="4" t="s">
        <v>8971</v>
      </c>
      <c r="C7134" s="5" t="str">
        <f>IFERROR(__xludf.DUMMYFUNCTION("GOOGLETRANSLATE(B7134,""en"",""zh-CN"")"),"一个戴着白帽子的男人拿着黑色的球说话。")</f>
        <v>一个戴着白帽子的男人拿着黑色的球说话。</v>
      </c>
    </row>
    <row r="7135">
      <c r="A7135" s="4" t="s">
        <v>8970</v>
      </c>
      <c r="B7135" s="4" t="s">
        <v>8972</v>
      </c>
      <c r="C7135" s="5" t="str">
        <f>IFERROR(__xludf.DUMMYFUNCTION("GOOGLETRANSLATE(B7135,""en"",""zh-CN"")"),"人们正在玩室内足球比赛。")</f>
        <v>人们正在玩室内足球比赛。</v>
      </c>
    </row>
    <row r="7136">
      <c r="A7136" s="4" t="s">
        <v>8970</v>
      </c>
      <c r="B7136" s="4" t="s">
        <v>8973</v>
      </c>
      <c r="C7136" s="5" t="str">
        <f>IFERROR(__xludf.DUMMYFUNCTION("GOOGLETRANSLATE(B7136,""en"",""zh-CN"")"),"一件白夹克的男人正在和镜头说话。")</f>
        <v>一件白夹克的男人正在和镜头说话。</v>
      </c>
    </row>
    <row r="7137">
      <c r="A7137" s="4" t="s">
        <v>8974</v>
      </c>
      <c r="B7137" s="4" t="s">
        <v>8975</v>
      </c>
      <c r="C7137" s="5" t="str">
        <f>IFERROR(__xludf.DUMMYFUNCTION("GOOGLETRANSLATE(B7137,""en"",""zh-CN"")"),"一个男人在平行条上做体操例行。")</f>
        <v>一个男人在平行条上做体操例行。</v>
      </c>
    </row>
    <row r="7138">
      <c r="A7138" s="4" t="s">
        <v>8974</v>
      </c>
      <c r="B7138" s="4" t="s">
        <v>8976</v>
      </c>
      <c r="C7138" s="5" t="str">
        <f>IFERROR(__xludf.DUMMYFUNCTION("GOOGLETRANSLATE(B7138,""en"",""zh-CN"")"),"他卸下并降落在垫子上。")</f>
        <v>他卸下并降落在垫子上。</v>
      </c>
    </row>
    <row r="7139">
      <c r="A7139" s="4" t="s">
        <v>8974</v>
      </c>
      <c r="B7139" s="4" t="s">
        <v>8977</v>
      </c>
      <c r="C7139" s="5" t="str">
        <f>IFERROR(__xludf.DUMMYFUNCTION("GOOGLETRANSLATE(B7139,""en"",""zh-CN"")"),"当他走下垫子时，他给了几个人五人。")</f>
        <v>当他走下垫子时，他给了几个人五人。</v>
      </c>
    </row>
    <row r="7140">
      <c r="A7140" s="4" t="s">
        <v>8978</v>
      </c>
      <c r="B7140" s="4" t="s">
        <v>8979</v>
      </c>
      <c r="C7140" s="5" t="str">
        <f>IFERROR(__xludf.DUMMYFUNCTION("GOOGLETRANSLATE(B7140,""en"",""zh-CN"")"),"显示了一个老妇人与镜头说话，并开始在沙发上编织。")</f>
        <v>显示了一个老妇人与镜头说话，并开始在沙发上编织。</v>
      </c>
    </row>
    <row r="7141">
      <c r="A7141" s="4" t="s">
        <v>8978</v>
      </c>
      <c r="B7141" s="6" t="s">
        <v>8980</v>
      </c>
      <c r="C7141" s="5" t="str">
        <f>IFERROR(__xludf.DUMMYFUNCTION("GOOGLETRANSLATE(B7141,""en"",""zh-CN"")"),"当镜头放大手进出手的过程中，她继续与镜头交谈。")</f>
        <v>当镜头放大手进出手的过程中，她继续与镜头交谈。</v>
      </c>
    </row>
    <row r="7142">
      <c r="A7142" s="4" t="s">
        <v>8978</v>
      </c>
      <c r="B7142" s="4" t="s">
        <v>8981</v>
      </c>
      <c r="C7142" s="5" t="str">
        <f>IFERROR(__xludf.DUMMYFUNCTION("GOOGLETRANSLATE(B7142,""en"",""zh-CN"")"),"她炫耀自己的毛衣，终于把编织装备放下。")</f>
        <v>她炫耀自己的毛衣，终于把编织装备放下。</v>
      </c>
    </row>
    <row r="7143">
      <c r="A7143" s="4" t="s">
        <v>8982</v>
      </c>
      <c r="B7143" s="6" t="s">
        <v>8983</v>
      </c>
      <c r="C7143" s="5" t="str">
        <f>IFERROR(__xludf.DUMMYFUNCTION("GOOGLETRANSLATE(B7143,""en"",""zh-CN"")"),"一个小男孩站在他的厨房里，有一罐水，一些柠檬和一些苹果在柜台上。")</f>
        <v>一个小男孩站在他的厨房里，有一罐水，一些柠檬和一些苹果在柜台上。</v>
      </c>
    </row>
    <row r="7144">
      <c r="A7144" s="4" t="s">
        <v>8982</v>
      </c>
      <c r="B7144" s="4" t="s">
        <v>8984</v>
      </c>
      <c r="C7144" s="5" t="str">
        <f>IFERROR(__xludf.DUMMYFUNCTION("GOOGLETRANSLATE(B7144,""en"",""zh-CN"")"),"他指着柠檬。")</f>
        <v>他指着柠檬。</v>
      </c>
    </row>
    <row r="7145">
      <c r="A7145" s="4" t="s">
        <v>8982</v>
      </c>
      <c r="B7145" s="4" t="s">
        <v>8985</v>
      </c>
      <c r="C7145" s="5" t="str">
        <f>IFERROR(__xludf.DUMMYFUNCTION("GOOGLETRANSLATE(B7145,""en"",""zh-CN"")"),"他的母亲来，帮助他从柠檬中挤出果汁。")</f>
        <v>他的母亲来，帮助他从柠檬中挤出果汁。</v>
      </c>
    </row>
    <row r="7146">
      <c r="A7146" s="4" t="s">
        <v>8982</v>
      </c>
      <c r="B7146" s="4" t="s">
        <v>8986</v>
      </c>
      <c r="C7146" s="5" t="str">
        <f>IFERROR(__xludf.DUMMYFUNCTION("GOOGLETRANSLATE(B7146,""en"",""zh-CN"")"),"母子都用柠檬汁挤压汁液，然后将其加入水罐中。")</f>
        <v>母子都用柠檬汁挤压汁液，然后将其加入水罐中。</v>
      </c>
    </row>
    <row r="7147">
      <c r="A7147" s="4" t="s">
        <v>8982</v>
      </c>
      <c r="B7147" s="6" t="s">
        <v>8987</v>
      </c>
      <c r="C7147" s="5" t="str">
        <f>IFERROR(__xludf.DUMMYFUNCTION("GOOGLETRANSLATE(B7147,""en"",""zh-CN"")"),"母亲确保将所有果汁都适当地从柠檬中挤出，因此她用手。")</f>
        <v>母亲确保将所有果汁都适当地从柠檬中挤出，因此她用手。</v>
      </c>
    </row>
    <row r="7148">
      <c r="A7148" s="4" t="s">
        <v>8982</v>
      </c>
      <c r="B7148" s="4" t="s">
        <v>8988</v>
      </c>
      <c r="C7148" s="5" t="str">
        <f>IFERROR(__xludf.DUMMYFUNCTION("GOOGLETRANSLATE(B7148,""en"",""zh-CN"")"),"然后，她在柠檬水中添加了一些食用色素，并搅拌得很好。")</f>
        <v>然后，她在柠檬水中添加了一些食用色素，并搅拌得很好。</v>
      </c>
    </row>
    <row r="7149">
      <c r="A7149" s="4" t="s">
        <v>8982</v>
      </c>
      <c r="B7149" s="4" t="s">
        <v>8989</v>
      </c>
      <c r="C7149" s="5" t="str">
        <f>IFERROR(__xludf.DUMMYFUNCTION("GOOGLETRANSLATE(B7149,""en"",""zh-CN"")"),"然后，她将柠檬水倒入冰上，然后将其交给儿子。")</f>
        <v>然后，她将柠檬水倒入冰上，然后将其交给儿子。</v>
      </c>
    </row>
    <row r="7150">
      <c r="A7150" s="4" t="s">
        <v>8982</v>
      </c>
      <c r="B7150" s="4" t="s">
        <v>8990</v>
      </c>
      <c r="C7150" s="5" t="str">
        <f>IFERROR(__xludf.DUMMYFUNCTION("GOOGLETRANSLATE(B7150,""en"",""zh-CN"")"),"他一口柠檬水，微笑。")</f>
        <v>他一口柠檬水，微笑。</v>
      </c>
    </row>
    <row r="7151">
      <c r="A7151" s="4" t="s">
        <v>8991</v>
      </c>
      <c r="B7151" s="6" t="s">
        <v>8992</v>
      </c>
      <c r="C7151" s="5" t="str">
        <f>IFERROR(__xludf.DUMMYFUNCTION("GOOGLETRANSLATE(B7151,""en"",""zh-CN"")"),"看到一个男人的照片，并导致一个男人弯腰在草坪上，并进行各种舞蹈动作。")</f>
        <v>看到一个男人的照片，并导致一个男人弯腰在草坪上，并进行各种舞蹈动作。</v>
      </c>
    </row>
    <row r="7152">
      <c r="A7152" s="4" t="s">
        <v>8991</v>
      </c>
      <c r="B7152" s="6" t="s">
        <v>8993</v>
      </c>
      <c r="C7152" s="5" t="str">
        <f>IFERROR(__xludf.DUMMYFUNCTION("GOOGLETRANSLATE(B7152,""en"",""zh-CN"")"),"该男子在表演日常活动的同时唱歌，然后看到割草机在院子里奔跑。")</f>
        <v>该男子在表演日常活动的同时唱歌，然后看到割草机在院子里奔跑。</v>
      </c>
    </row>
    <row r="7153">
      <c r="A7153" s="4" t="s">
        <v>8991</v>
      </c>
      <c r="B7153" s="6" t="s">
        <v>8994</v>
      </c>
      <c r="C7153" s="5" t="str">
        <f>IFERROR(__xludf.DUMMYFUNCTION("GOOGLETRANSLATE(B7153,""en"",""zh-CN"")"),"可以看到更多的舞蹈和唱歌，显示了一张握着卡片的照片，并以他割草并与朋友握住。")</f>
        <v>可以看到更多的舞蹈和唱歌，显示了一张握着卡片的照片，并以他割草并与朋友握住。</v>
      </c>
    </row>
    <row r="7154">
      <c r="A7154" s="4" t="s">
        <v>8995</v>
      </c>
      <c r="B7154" s="4" t="s">
        <v>8996</v>
      </c>
      <c r="C7154" s="5" t="str">
        <f>IFERROR(__xludf.DUMMYFUNCTION("GOOGLETRANSLATE(B7154,""en"",""zh-CN"")"),"一个女人说话时，一个女人走到花坛和独轮车上。")</f>
        <v>一个女人说话时，一个女人走到花坛和独轮车上。</v>
      </c>
    </row>
    <row r="7155">
      <c r="A7155" s="4" t="s">
        <v>8995</v>
      </c>
      <c r="B7155" s="6" t="s">
        <v>8997</v>
      </c>
      <c r="C7155" s="5" t="str">
        <f>IFERROR(__xludf.DUMMYFUNCTION("GOOGLETRANSLATE(B7155,""en"",""zh-CN"")"),"她演示了如何覆盖，拿起材料并展示如何将其包装在植物周围。")</f>
        <v>她演示了如何覆盖，拿起材料并展示如何将其包装在植物周围。</v>
      </c>
    </row>
    <row r="7156">
      <c r="A7156" s="4" t="s">
        <v>8998</v>
      </c>
      <c r="B7156" s="4" t="s">
        <v>8999</v>
      </c>
      <c r="C7156" s="5" t="str">
        <f>IFERROR(__xludf.DUMMYFUNCTION("GOOGLETRANSLATE(B7156,""en"",""zh-CN"")"),"两个女孩在室内篮球场上。")</f>
        <v>两个女孩在室内篮球场上。</v>
      </c>
    </row>
    <row r="7157">
      <c r="A7157" s="4" t="s">
        <v>8998</v>
      </c>
      <c r="B7157" s="4" t="s">
        <v>9000</v>
      </c>
      <c r="C7157" s="5" t="str">
        <f>IFERROR(__xludf.DUMMYFUNCTION("GOOGLETRANSLATE(B7157,""en"",""zh-CN"")"),"他们正在使用警棍和穿紫色连衣裙表演。")</f>
        <v>他们正在使用警棍和穿紫色连衣裙表演。</v>
      </c>
    </row>
    <row r="7158">
      <c r="A7158" s="4" t="s">
        <v>8998</v>
      </c>
      <c r="B7158" s="4" t="s">
        <v>9001</v>
      </c>
      <c r="C7158" s="5" t="str">
        <f>IFERROR(__xludf.DUMMYFUNCTION("GOOGLETRANSLATE(B7158,""en"",""zh-CN"")"),"他们旋转并折腾，在表演时将警棍扔到空中。")</f>
        <v>他们旋转并折腾，在表演时将警棍扔到空中。</v>
      </c>
    </row>
    <row r="7159">
      <c r="A7159" s="4" t="s">
        <v>9002</v>
      </c>
      <c r="B7159" s="4" t="s">
        <v>9003</v>
      </c>
      <c r="C7159" s="5" t="str">
        <f>IFERROR(__xludf.DUMMYFUNCTION("GOOGLETRANSLATE(B7159,""en"",""zh-CN"")"),"相机和徽标出现短暂。")</f>
        <v>相机和徽标出现短暂。</v>
      </c>
    </row>
    <row r="7160">
      <c r="A7160" s="4" t="s">
        <v>9002</v>
      </c>
      <c r="B7160" s="4" t="s">
        <v>9004</v>
      </c>
      <c r="C7160" s="5" t="str">
        <f>IFERROR(__xludf.DUMMYFUNCTION("GOOGLETRANSLATE(B7160,""en"",""zh-CN"")"),"一个人被拖曳时在湖上的唤醒板。")</f>
        <v>一个人被拖曳时在湖上的唤醒板。</v>
      </c>
    </row>
    <row r="7161">
      <c r="A7161" s="4" t="s">
        <v>9002</v>
      </c>
      <c r="B7161" s="4" t="s">
        <v>9005</v>
      </c>
      <c r="C7161" s="5" t="str">
        <f>IFERROR(__xludf.DUMMYFUNCTION("GOOGLETRANSLATE(B7161,""en"",""zh-CN"")"),"他们在水中经过一个人。")</f>
        <v>他们在水中经过一个人。</v>
      </c>
    </row>
    <row r="7162">
      <c r="A7162" s="4" t="s">
        <v>9002</v>
      </c>
      <c r="B7162" s="4" t="s">
        <v>9006</v>
      </c>
      <c r="C7162" s="5" t="str">
        <f>IFERROR(__xludf.DUMMYFUNCTION("GOOGLETRANSLATE(B7162,""en"",""zh-CN"")"),"他们在码头停下来。")</f>
        <v>他们在码头停下来。</v>
      </c>
    </row>
    <row r="7163">
      <c r="A7163" s="4" t="s">
        <v>9007</v>
      </c>
      <c r="B7163" s="6" t="s">
        <v>9008</v>
      </c>
      <c r="C7163" s="5" t="str">
        <f>IFERROR(__xludf.DUMMYFUNCTION("GOOGLETRANSLATE(B7163,""en"",""zh-CN"")"),"在上面显示了一个黑屏，上面有绿色单词，然后屏幕移至带有黑色单词的白皮书。")</f>
        <v>在上面显示了一个黑屏，上面有绿色单词，然后屏幕移至带有黑色单词的白皮书。</v>
      </c>
    </row>
    <row r="7164">
      <c r="A7164" s="4" t="s">
        <v>9007</v>
      </c>
      <c r="B7164" s="4" t="s">
        <v>9009</v>
      </c>
      <c r="C7164" s="5" t="str">
        <f>IFERROR(__xludf.DUMMYFUNCTION("GOOGLETRANSLATE(B7164,""en"",""zh-CN"")"),"之后，出现了一支绿色曲棍球队，他们开始参加比赛。")</f>
        <v>之后，出现了一支绿色曲棍球队，他们开始参加比赛。</v>
      </c>
    </row>
    <row r="7165">
      <c r="A7165" s="4" t="s">
        <v>9007</v>
      </c>
      <c r="B7165" s="4" t="s">
        <v>9010</v>
      </c>
      <c r="C7165" s="5" t="str">
        <f>IFERROR(__xludf.DUMMYFUNCTION("GOOGLETRANSLATE(B7165,""en"",""zh-CN"")"),"有人实现目标，然后将球放回场中间。")</f>
        <v>有人实现目标，然后将球放回场中间。</v>
      </c>
    </row>
    <row r="7166">
      <c r="A7166" s="4" t="s">
        <v>9007</v>
      </c>
      <c r="B7166" s="4" t="s">
        <v>9011</v>
      </c>
      <c r="C7166" s="5" t="str">
        <f>IFERROR(__xludf.DUMMYFUNCTION("GOOGLETRANSLATE(B7166,""en"",""zh-CN"")"),"当它们完成后，显示了游戏中的静止图像。")</f>
        <v>当它们完成后，显示了游戏中的静止图像。</v>
      </c>
    </row>
    <row r="7167">
      <c r="A7167" s="4" t="s">
        <v>9007</v>
      </c>
      <c r="B7167" s="4" t="s">
        <v>9012</v>
      </c>
      <c r="C7167" s="5" t="str">
        <f>IFERROR(__xludf.DUMMYFUNCTION("GOOGLETRANSLATE(B7167,""en"",""zh-CN"")"),"最后，出现黑屏，分数以蓝色和绿色写作显示。")</f>
        <v>最后，出现黑屏，分数以蓝色和绿色写作显示。</v>
      </c>
    </row>
    <row r="7168">
      <c r="A7168" s="4" t="s">
        <v>9013</v>
      </c>
      <c r="B7168" s="4" t="s">
        <v>9014</v>
      </c>
      <c r="C7168" s="5" t="str">
        <f>IFERROR(__xludf.DUMMYFUNCTION("GOOGLETRANSLATE(B7168,""en"",""zh-CN"")"),"人们正在弹奏街道行进的乐器。")</f>
        <v>人们正在弹奏街道行进的乐器。</v>
      </c>
    </row>
    <row r="7169">
      <c r="A7169" s="4" t="s">
        <v>9013</v>
      </c>
      <c r="B7169" s="4" t="s">
        <v>9015</v>
      </c>
      <c r="C7169" s="5" t="str">
        <f>IFERROR(__xludf.DUMMYFUNCTION("GOOGLETRANSLATE(B7169,""en"",""zh-CN"")"),"他们开始在一个房间里围成一圈。")</f>
        <v>他们开始在一个房间里围成一圈。</v>
      </c>
    </row>
    <row r="7170">
      <c r="A7170" s="4" t="s">
        <v>9013</v>
      </c>
      <c r="B7170" s="4" t="s">
        <v>9016</v>
      </c>
      <c r="C7170" s="5" t="str">
        <f>IFERROR(__xludf.DUMMYFUNCTION("GOOGLETRANSLATE(B7170,""en"",""zh-CN"")"),"一个拿着警棍的人站在乐队的前面。")</f>
        <v>一个拿着警棍的人站在乐队的前面。</v>
      </c>
    </row>
    <row r="7171">
      <c r="A7171" s="4" t="s">
        <v>9017</v>
      </c>
      <c r="B7171" s="4" t="s">
        <v>9018</v>
      </c>
      <c r="C7171" s="5" t="str">
        <f>IFERROR(__xludf.DUMMYFUNCTION("GOOGLETRANSLATE(B7171,""en"",""zh-CN"")"),"一个人站在建筑物的屋顶上，另外两个人出现了。")</f>
        <v>一个人站在建筑物的屋顶上，另外两个人出现了。</v>
      </c>
    </row>
    <row r="7172">
      <c r="A7172" s="4" t="s">
        <v>9017</v>
      </c>
      <c r="B7172" s="4" t="s">
        <v>9019</v>
      </c>
      <c r="C7172" s="5" t="str">
        <f>IFERROR(__xludf.DUMMYFUNCTION("GOOGLETRANSLATE(B7172,""en"",""zh-CN"")"),"他们在砖砌建筑物上的空中风筝。")</f>
        <v>他们在砖砌建筑物上的空中风筝。</v>
      </c>
    </row>
    <row r="7173">
      <c r="A7173" s="4" t="s">
        <v>9017</v>
      </c>
      <c r="B7173" s="4" t="s">
        <v>9020</v>
      </c>
      <c r="C7173" s="5" t="str">
        <f>IFERROR(__xludf.DUMMYFUNCTION("GOOGLETRANSLATE(B7173,""en"",""zh-CN"")"),"当他们说话和互动时，这些人会浸入风筝和潜水。")</f>
        <v>当他们说话和互动时，这些人会浸入风筝和潜水。</v>
      </c>
    </row>
    <row r="7174">
      <c r="A7174" s="4" t="s">
        <v>9021</v>
      </c>
      <c r="B7174" s="4" t="s">
        <v>9022</v>
      </c>
      <c r="C7174" s="5" t="str">
        <f>IFERROR(__xludf.DUMMYFUNCTION("GOOGLETRANSLATE(B7174,""en"",""zh-CN"")"),"海滩旁的户外场景显示了一个度假胜地附近的大量人群。")</f>
        <v>海滩旁的户外场景显示了一个度假胜地附近的大量人群。</v>
      </c>
    </row>
    <row r="7175">
      <c r="A7175" s="4" t="s">
        <v>9021</v>
      </c>
      <c r="B7175" s="4" t="s">
        <v>9023</v>
      </c>
      <c r="C7175" s="5" t="str">
        <f>IFERROR(__xludf.DUMMYFUNCTION("GOOGLETRANSLATE(B7175,""en"",""zh-CN"")"),"当几位专业滑板手在坡道坑中表演特技表演时，他们欢呼雀跃。")</f>
        <v>当几位专业滑板手在坡道坑中表演特技表演时，他们欢呼雀跃。</v>
      </c>
    </row>
    <row r="7176">
      <c r="A7176" s="4" t="s">
        <v>9021</v>
      </c>
      <c r="B7176" s="4" t="s">
        <v>9024</v>
      </c>
      <c r="C7176" s="5" t="str">
        <f>IFERROR(__xludf.DUMMYFUNCTION("GOOGLETRANSLATE(B7176,""en"",""zh-CN"")"),"翻转并旋转空中，向上上下坡道。")</f>
        <v>翻转并旋转空中，向上上下坡道。</v>
      </c>
    </row>
    <row r="7177">
      <c r="A7177" s="4" t="s">
        <v>9021</v>
      </c>
      <c r="B7177" s="4" t="s">
        <v>9025</v>
      </c>
      <c r="C7177" s="5" t="str">
        <f>IFERROR(__xludf.DUMMYFUNCTION("GOOGLETRANSLATE(B7177,""en"",""zh-CN"")"),"获奖者完成后与蛋糕合影。")</f>
        <v>获奖者完成后与蛋糕合影。</v>
      </c>
    </row>
    <row r="7178">
      <c r="A7178" s="4" t="s">
        <v>9026</v>
      </c>
      <c r="B7178" s="4" t="s">
        <v>9027</v>
      </c>
      <c r="C7178" s="5" t="str">
        <f>IFERROR(__xludf.DUMMYFUNCTION("GOOGLETRANSLATE(B7178,""en"",""zh-CN"")"),"孩子们正在驾驶保险杠汽车旋转和碰撞。")</f>
        <v>孩子们正在驾驶保险杠汽车旋转和碰撞。</v>
      </c>
    </row>
    <row r="7179">
      <c r="A7179" s="4" t="s">
        <v>9026</v>
      </c>
      <c r="B7179" s="4" t="s">
        <v>9028</v>
      </c>
      <c r="C7179" s="5" t="str">
        <f>IFERROR(__xludf.DUMMYFUNCTION("GOOGLETRANSLATE(B7179,""en"",""zh-CN"")"),"孩子穿着蓝色衬衫，用双手握住手柄的围栏冲突。")</f>
        <v>孩子穿着蓝色衬衫，用双手握住手柄的围栏冲突。</v>
      </c>
    </row>
    <row r="7180">
      <c r="A7180" s="4" t="s">
        <v>9026</v>
      </c>
      <c r="B7180" s="4" t="s">
        <v>9029</v>
      </c>
      <c r="C7180" s="5" t="str">
        <f>IFERROR(__xludf.DUMMYFUNCTION("GOOGLETRANSLATE(B7180,""en"",""zh-CN"")"),"女孩在娱乐汽车的保险杠汽车上穿着皮夹克。")</f>
        <v>女孩在娱乐汽车的保险杠汽车上穿着皮夹克。</v>
      </c>
    </row>
    <row r="7181">
      <c r="A7181" s="4" t="s">
        <v>9030</v>
      </c>
      <c r="B7181" s="4" t="s">
        <v>9031</v>
      </c>
      <c r="C7181" s="5" t="str">
        <f>IFERROR(__xludf.DUMMYFUNCTION("GOOGLETRANSLATE(B7181,""en"",""zh-CN"")"),"有一个年轻人在两条路上穿着蓝色衬衫和黑色头盔滑板。")</f>
        <v>有一个年轻人在两条路上穿着蓝色衬衫和黑色头盔滑板。</v>
      </c>
    </row>
    <row r="7182">
      <c r="A7182" s="4" t="s">
        <v>9030</v>
      </c>
      <c r="B7182" s="4" t="s">
        <v>9032</v>
      </c>
      <c r="C7182" s="5" t="str">
        <f>IFERROR(__xludf.DUMMYFUNCTION("GOOGLETRANSLATE(B7182,""en"",""zh-CN"")"),"当他穿过几辆汽车和许多树木时，他的速度稳定而快速。")</f>
        <v>当他穿过几辆汽车和许多树木时，他的速度稳定而快速。</v>
      </c>
    </row>
    <row r="7183">
      <c r="A7183" s="4" t="s">
        <v>9030</v>
      </c>
      <c r="B7183" s="4" t="s">
        <v>9033</v>
      </c>
      <c r="C7183" s="5" t="str">
        <f>IFERROR(__xludf.DUMMYFUNCTION("GOOGLETRANSLATE(B7183,""en"",""zh-CN"")"),"滑板时，他还经过一些住宅区。")</f>
        <v>滑板时，他还经过一些住宅区。</v>
      </c>
    </row>
    <row r="7184">
      <c r="A7184" s="4" t="s">
        <v>9030</v>
      </c>
      <c r="B7184" s="4" t="s">
        <v>9034</v>
      </c>
      <c r="C7184" s="5" t="str">
        <f>IFERROR(__xludf.DUMMYFUNCTION("GOOGLETRANSLATE(B7184,""en"",""zh-CN"")"),"当摄影师接近灰色汽车时，他终于放慢了脚步。")</f>
        <v>当摄影师接近灰色汽车时，他终于放慢了脚步。</v>
      </c>
    </row>
    <row r="7185">
      <c r="A7185" s="4" t="s">
        <v>9030</v>
      </c>
      <c r="B7185" s="4" t="s">
        <v>9035</v>
      </c>
      <c r="C7185" s="5" t="str">
        <f>IFERROR(__xludf.DUMMYFUNCTION("GOOGLETRANSLATE(B7185,""en"",""zh-CN"")"),"摄影师上车，将滑板带走。")</f>
        <v>摄影师上车，将滑板带走。</v>
      </c>
    </row>
    <row r="7186">
      <c r="A7186" s="4" t="s">
        <v>9030</v>
      </c>
      <c r="B7186" s="4" t="s">
        <v>9036</v>
      </c>
      <c r="C7186" s="5" t="str">
        <f>IFERROR(__xludf.DUMMYFUNCTION("GOOGLETRANSLATE(B7186,""en"",""zh-CN"")"),"滑板手跪在主路的侧面。")</f>
        <v>滑板手跪在主路的侧面。</v>
      </c>
    </row>
    <row r="7187">
      <c r="A7187" s="4" t="s">
        <v>9030</v>
      </c>
      <c r="B7187" s="4" t="s">
        <v>9037</v>
      </c>
      <c r="C7187" s="5" t="str">
        <f>IFERROR(__xludf.DUMMYFUNCTION("GOOGLETRANSLATE(B7187,""en"",""zh-CN"")"),"然后他站起来走开。")</f>
        <v>然后他站起来走开。</v>
      </c>
    </row>
    <row r="7188">
      <c r="A7188" s="4" t="s">
        <v>9038</v>
      </c>
      <c r="B7188" s="4" t="s">
        <v>9039</v>
      </c>
      <c r="C7188" s="5" t="str">
        <f>IFERROR(__xludf.DUMMYFUNCTION("GOOGLETRANSLATE(B7188,""en"",""zh-CN"")"),"我们在黑色背景上看到一本杂志。")</f>
        <v>我们在黑色背景上看到一本杂志。</v>
      </c>
    </row>
    <row r="7189">
      <c r="A7189" s="4" t="s">
        <v>9038</v>
      </c>
      <c r="B7189" s="4" t="s">
        <v>9040</v>
      </c>
      <c r="C7189" s="5" t="str">
        <f>IFERROR(__xludf.DUMMYFUNCTION("GOOGLETRANSLATE(B7189,""en"",""zh-CN"")"),"人们开始在马拉松比赛中跑步。")</f>
        <v>人们开始在马拉松比赛中跑步。</v>
      </c>
    </row>
    <row r="7190">
      <c r="A7190" s="4" t="s">
        <v>9038</v>
      </c>
      <c r="B7190" s="4" t="s">
        <v>9041</v>
      </c>
      <c r="C7190" s="5" t="str">
        <f>IFERROR(__xludf.DUMMYFUNCTION("GOOGLETRANSLATE(B7190,""en"",""zh-CN"")"),"我们看到他们在桌子上喝酒。")</f>
        <v>我们看到他们在桌子上喝酒。</v>
      </c>
    </row>
    <row r="7191">
      <c r="A7191" s="4" t="s">
        <v>9038</v>
      </c>
      <c r="B7191" s="4" t="s">
        <v>9042</v>
      </c>
      <c r="C7191" s="5" t="str">
        <f>IFERROR(__xludf.DUMMYFUNCTION("GOOGLETRANSLATE(B7191,""en"",""zh-CN"")"),"一个男人正在奔跑，握着一台相机面对自己。")</f>
        <v>一个男人正在奔跑，握着一台相机面对自己。</v>
      </c>
    </row>
    <row r="7192">
      <c r="A7192" s="4" t="s">
        <v>9038</v>
      </c>
      <c r="B7192" s="4" t="s">
        <v>9043</v>
      </c>
      <c r="C7192" s="5" t="str">
        <f>IFERROR(__xludf.DUMMYFUNCTION("GOOGLETRANSLATE(B7192,""en"",""zh-CN"")"),"再次看到正在跑步的人。")</f>
        <v>再次看到正在跑步的人。</v>
      </c>
    </row>
    <row r="7193">
      <c r="A7193" s="4" t="s">
        <v>9038</v>
      </c>
      <c r="B7193" s="4" t="s">
        <v>9044</v>
      </c>
      <c r="C7193" s="5" t="str">
        <f>IFERROR(__xludf.DUMMYFUNCTION("GOOGLETRANSLATE(B7193,""en"",""zh-CN"")"),"我们看到一个人在湖上。")</f>
        <v>我们看到一个人在湖上。</v>
      </c>
    </row>
    <row r="7194">
      <c r="A7194" s="4" t="s">
        <v>9038</v>
      </c>
      <c r="B7194" s="4" t="s">
        <v>9045</v>
      </c>
      <c r="C7194" s="5" t="str">
        <f>IFERROR(__xludf.DUMMYFUNCTION("GOOGLETRANSLATE(B7194,""en"",""zh-CN"")"),"我们越过终点线。")</f>
        <v>我们越过终点线。</v>
      </c>
    </row>
    <row r="7195">
      <c r="A7195" s="4" t="s">
        <v>9038</v>
      </c>
      <c r="B7195" s="4" t="s">
        <v>9046</v>
      </c>
      <c r="C7195" s="5" t="str">
        <f>IFERROR(__xludf.DUMMYFUNCTION("GOOGLETRANSLATE(B7195,""en"",""zh-CN"")"),"一个男人在湖中冷却。")</f>
        <v>一个男人在湖中冷却。</v>
      </c>
    </row>
    <row r="7196">
      <c r="A7196" s="4" t="s">
        <v>9038</v>
      </c>
      <c r="B7196" s="4" t="s">
        <v>3608</v>
      </c>
      <c r="C7196" s="5" t="str">
        <f>IFERROR(__xludf.DUMMYFUNCTION("GOOGLETRANSLATE(B7196,""en"",""zh-CN"")"),"我们看到结尾屏幕。")</f>
        <v>我们看到结尾屏幕。</v>
      </c>
    </row>
    <row r="7197">
      <c r="A7197" s="4" t="s">
        <v>9047</v>
      </c>
      <c r="B7197" s="4" t="s">
        <v>9048</v>
      </c>
      <c r="C7197" s="5" t="str">
        <f>IFERROR(__xludf.DUMMYFUNCTION("GOOGLETRANSLATE(B7197,""en"",""zh-CN"")"),"展示了一个带窗户的房间的特写。")</f>
        <v>展示了一个带窗户的房间的特写。</v>
      </c>
    </row>
    <row r="7198">
      <c r="A7198" s="4" t="s">
        <v>9047</v>
      </c>
      <c r="B7198" s="4" t="s">
        <v>9049</v>
      </c>
      <c r="C7198" s="5" t="str">
        <f>IFERROR(__xludf.DUMMYFUNCTION("GOOGLETRANSLATE(B7198,""en"",""zh-CN"")"),"一个人在墙上平滑泥浆。")</f>
        <v>一个人在墙上平滑泥浆。</v>
      </c>
    </row>
    <row r="7199">
      <c r="A7199" s="4" t="s">
        <v>9047</v>
      </c>
      <c r="B7199" s="4" t="s">
        <v>9050</v>
      </c>
      <c r="C7199" s="5" t="str">
        <f>IFERROR(__xludf.DUMMYFUNCTION("GOOGLETRANSLATE(B7199,""en"",""zh-CN"")"),"他测量并切割再次扩散。")</f>
        <v>他测量并切割再次扩散。</v>
      </c>
    </row>
    <row r="7200">
      <c r="A7200" s="4" t="s">
        <v>9047</v>
      </c>
      <c r="B7200" s="4" t="s">
        <v>9051</v>
      </c>
      <c r="C7200" s="5" t="str">
        <f>IFERROR(__xludf.DUMMYFUNCTION("GOOGLETRANSLATE(B7200,""en"",""zh-CN"")"),"完成后，墙壁完全光滑。")</f>
        <v>完成后，墙壁完全光滑。</v>
      </c>
    </row>
    <row r="7201">
      <c r="A7201" s="4" t="s">
        <v>9052</v>
      </c>
      <c r="B7201" s="4" t="s">
        <v>9053</v>
      </c>
      <c r="C7201" s="5" t="str">
        <f>IFERROR(__xludf.DUMMYFUNCTION("GOOGLETRANSLATE(B7201,""en"",""zh-CN"")"),"一个小孩在挥舞着摇摆时向后移动和第四个，同时笑着向相机微笑。")</f>
        <v>一个小孩在挥舞着摇摆时向后移动和第四个，同时笑着向相机微笑。</v>
      </c>
    </row>
    <row r="7202">
      <c r="A7202" s="4" t="s">
        <v>9052</v>
      </c>
      <c r="B7202" s="4" t="s">
        <v>9054</v>
      </c>
      <c r="C7202" s="5" t="str">
        <f>IFERROR(__xludf.DUMMYFUNCTION("GOOGLETRANSLATE(B7202,""en"",""zh-CN"")"),"孩子继续抽着腿，然后在远处抬头时僵硬。")</f>
        <v>孩子继续抽着腿，然后在远处抬头时僵硬。</v>
      </c>
    </row>
    <row r="7203">
      <c r="A7203" s="4" t="s">
        <v>9055</v>
      </c>
      <c r="B7203" s="4" t="s">
        <v>9056</v>
      </c>
      <c r="C7203" s="5" t="str">
        <f>IFERROR(__xludf.DUMMYFUNCTION("GOOGLETRANSLATE(B7203,""en"",""zh-CN"")"),"一群人穿着不同的服装在玩啤酒乒乓球。")</f>
        <v>一群人穿着不同的服装在玩啤酒乒乓球。</v>
      </c>
    </row>
    <row r="7204">
      <c r="A7204" s="4" t="s">
        <v>9055</v>
      </c>
      <c r="B7204" s="4" t="s">
        <v>9057</v>
      </c>
      <c r="C7204" s="5" t="str">
        <f>IFERROR(__xludf.DUMMYFUNCTION("GOOGLETRANSLATE(B7204,""en"",""zh-CN"")"),"然后人们打啤酒。")</f>
        <v>然后人们打啤酒。</v>
      </c>
    </row>
    <row r="7205">
      <c r="A7205" s="4" t="s">
        <v>9055</v>
      </c>
      <c r="B7205" s="4" t="s">
        <v>9058</v>
      </c>
      <c r="C7205" s="5" t="str">
        <f>IFERROR(__xludf.DUMMYFUNCTION("GOOGLETRANSLATE(B7205,""en"",""zh-CN"")"),"最后发生了很多跳舞。")</f>
        <v>最后发生了很多跳舞。</v>
      </c>
    </row>
    <row r="7206">
      <c r="A7206" s="4" t="s">
        <v>9059</v>
      </c>
      <c r="B7206" s="4" t="s">
        <v>9060</v>
      </c>
      <c r="C7206" s="5" t="str">
        <f>IFERROR(__xludf.DUMMYFUNCTION("GOOGLETRANSLATE(B7206,""en"",""zh-CN"")"),"女人正坐在一张白色桌子前，拿着万圣节南瓜。")</f>
        <v>女人正坐在一张白色桌子前，拿着万圣节南瓜。</v>
      </c>
    </row>
    <row r="7207">
      <c r="A7207" s="4" t="s">
        <v>9059</v>
      </c>
      <c r="B7207" s="4" t="s">
        <v>9061</v>
      </c>
      <c r="C7207" s="5" t="str">
        <f>IFERROR(__xludf.DUMMYFUNCTION("GOOGLETRANSLATE(B7207,""en"",""zh-CN"")"),"女人拿着刀，切开南瓜头，然后从内部清除所有种子。")</f>
        <v>女人拿着刀，切开南瓜头，然后从内部清除所有种子。</v>
      </c>
    </row>
    <row r="7208">
      <c r="A7208" s="4" t="s">
        <v>9059</v>
      </c>
      <c r="B7208" s="4" t="s">
        <v>9062</v>
      </c>
      <c r="C7208" s="5" t="str">
        <f>IFERROR(__xludf.DUMMYFUNCTION("GOOGLETRANSLATE(B7208,""en"",""zh-CN"")"),"女人用黑色标记在脸上擦脸，然后在南瓜上打开孔。")</f>
        <v>女人用黑色标记在脸上擦脸，然后在南瓜上打开孔。</v>
      </c>
    </row>
    <row r="7209">
      <c r="A7209" s="4" t="s">
        <v>9063</v>
      </c>
      <c r="B7209" s="6" t="s">
        <v>9064</v>
      </c>
      <c r="C7209" s="5" t="str">
        <f>IFERROR(__xludf.DUMMYFUNCTION("GOOGLETRANSLATE(B7209,""en"",""zh-CN"")"),"一名穿着黑色衬衫的男人在相机前跟踪，然后显示日历，然后显示绘图。")</f>
        <v>一名穿着黑色衬衫的男人在相机前跟踪，然后显示日历，然后显示绘图。</v>
      </c>
    </row>
    <row r="7210">
      <c r="A7210" s="4" t="s">
        <v>9063</v>
      </c>
      <c r="B7210" s="6" t="s">
        <v>9065</v>
      </c>
      <c r="C7210" s="5" t="str">
        <f>IFERROR(__xludf.DUMMYFUNCTION("GOOGLETRANSLATE(B7210,""en"",""zh-CN"")"),"这个金发男人在镜头前说话，而后面是一个空的坡道，然后是木制坡道上的滑板，然后正在展示滑板，然后他滑板并在木制坡道上做技巧，然后继续他继续说话，然后再次滑板。")</f>
        <v>这个金发男人在镜头前说话，而后面是一个空的坡道，然后是木制坡道上的滑板，然后正在展示滑板，然后他滑板并在木制坡道上做技巧，然后继续他继续说话，然后再次滑板。</v>
      </c>
    </row>
    <row r="7211">
      <c r="A7211" s="4" t="s">
        <v>9066</v>
      </c>
      <c r="B7211" s="4" t="s">
        <v>9067</v>
      </c>
      <c r="C7211" s="5" t="str">
        <f>IFERROR(__xludf.DUMMYFUNCTION("GOOGLETRANSLATE(B7211,""en"",""zh-CN"")"),"穿着红色衬衫的女人再次在躺在地板上的女人摔跤。")</f>
        <v>穿着红色衬衫的女人再次在躺在地板上的女人摔跤。</v>
      </c>
    </row>
    <row r="7212">
      <c r="A7212" s="4" t="s">
        <v>9066</v>
      </c>
      <c r="B7212" s="4" t="s">
        <v>9068</v>
      </c>
      <c r="C7212" s="5" t="str">
        <f>IFERROR(__xludf.DUMMYFUNCTION("GOOGLETRANSLATE(B7212,""en"",""zh-CN"")"),"一位穿着灰色衬衫的金发妇女正在房间里和另一个女人一起摔跤。")</f>
        <v>一位穿着灰色衬衫的金发妇女正在房间里和另一个女人一起摔跤。</v>
      </c>
    </row>
    <row r="7213">
      <c r="A7213" s="4" t="s">
        <v>9066</v>
      </c>
      <c r="B7213" s="4" t="s">
        <v>9069</v>
      </c>
      <c r="C7213" s="5" t="str">
        <f>IFERROR(__xludf.DUMMYFUNCTION("GOOGLETRANSLATE(B7213,""en"",""zh-CN"")"),"获胜的女人正在躺在地板上。")</f>
        <v>获胜的女人正在躺在地板上。</v>
      </c>
    </row>
    <row r="7214">
      <c r="A7214" s="4" t="s">
        <v>9070</v>
      </c>
      <c r="B7214" s="4" t="s">
        <v>9071</v>
      </c>
      <c r="C7214" s="5" t="str">
        <f>IFERROR(__xludf.DUMMYFUNCTION("GOOGLETRANSLATE(B7214,""en"",""zh-CN"")"),"看到一个年轻的女人在喝酒并固定头发时看着相机。")</f>
        <v>看到一个年轻的女人在喝酒并固定头发时看着相机。</v>
      </c>
    </row>
    <row r="7215">
      <c r="A7215" s="4" t="s">
        <v>9070</v>
      </c>
      <c r="B7215" s="4" t="s">
        <v>9072</v>
      </c>
      <c r="C7215" s="5" t="str">
        <f>IFERROR(__xludf.DUMMYFUNCTION("GOOGLETRANSLATE(B7215,""en"",""zh-CN"")"),"那个女人然后举起一包香烟，开始抽烟。")</f>
        <v>那个女人然后举起一包香烟，开始抽烟。</v>
      </c>
    </row>
    <row r="7216">
      <c r="A7216" s="4" t="s">
        <v>9070</v>
      </c>
      <c r="B7216" s="6" t="s">
        <v>9073</v>
      </c>
      <c r="C7216" s="5" t="str">
        <f>IFERROR(__xludf.DUMMYFUNCTION("GOOGLETRANSLATE(B7216,""en"",""zh-CN"")"),"该名女子继续看着相机时，不断抽烟并互相喝酒。")</f>
        <v>该名女子继续看着相机时，不断抽烟并互相喝酒。</v>
      </c>
    </row>
    <row r="7217">
      <c r="A7217" s="4" t="s">
        <v>9074</v>
      </c>
      <c r="B7217" s="6" t="s">
        <v>9075</v>
      </c>
      <c r="C7217" s="5" t="str">
        <f>IFERROR(__xludf.DUMMYFUNCTION("GOOGLETRANSLATE(B7217,""en"",""zh-CN"")"),"视频开始时有不同的运动员，但随后有2个人在水中潜水，而一群人则看着他们。")</f>
        <v>视频开始时有不同的运动员，但随后有2个人在水中潜水，而一群人则看着他们。</v>
      </c>
    </row>
    <row r="7218">
      <c r="A7218" s="4" t="s">
        <v>9074</v>
      </c>
      <c r="B7218" s="4" t="s">
        <v>9076</v>
      </c>
      <c r="C7218" s="5" t="str">
        <f>IFERROR(__xludf.DUMMYFUNCTION("GOOGLETRANSLATE(B7218,""en"",""zh-CN"")"),"最后，举办了男士10m同步平台。")</f>
        <v>最后，举办了男士10m同步平台。</v>
      </c>
    </row>
    <row r="7219">
      <c r="A7219" s="4" t="s">
        <v>9077</v>
      </c>
      <c r="B7219" s="4" t="s">
        <v>9078</v>
      </c>
      <c r="C7219" s="5" t="str">
        <f>IFERROR(__xludf.DUMMYFUNCTION("GOOGLETRANSLATE(B7219,""en"",""zh-CN"")"),"各种各样的景观镜头表明，人们骑着大木筏。")</f>
        <v>各种各样的景观镜头表明，人们骑着大木筏。</v>
      </c>
    </row>
    <row r="7220">
      <c r="A7220" s="4" t="s">
        <v>9077</v>
      </c>
      <c r="B7220" s="4" t="s">
        <v>9079</v>
      </c>
      <c r="C7220" s="5" t="str">
        <f>IFERROR(__xludf.DUMMYFUNCTION("GOOGLETRANSLATE(B7220,""en"",""zh-CN"")"),"有一次，筏子翻转过沿着河上的男子。")</f>
        <v>有一次，筏子翻转过沿着河上的男子。</v>
      </c>
    </row>
    <row r="7221">
      <c r="A7221" s="4" t="s">
        <v>9077</v>
      </c>
      <c r="B7221" s="4" t="s">
        <v>9080</v>
      </c>
      <c r="C7221" s="5" t="str">
        <f>IFERROR(__xludf.DUMMYFUNCTION("GOOGLETRANSLATE(B7221,""en"",""zh-CN"")"),"还显示了更多骑着河的人以及与镜头说话的人。")</f>
        <v>还显示了更多骑着河的人以及与镜头说话的人。</v>
      </c>
    </row>
    <row r="7222">
      <c r="A7222" s="4" t="s">
        <v>9081</v>
      </c>
      <c r="B7222" s="4" t="s">
        <v>9082</v>
      </c>
      <c r="C7222" s="5" t="str">
        <f>IFERROR(__xludf.DUMMYFUNCTION("GOOGLETRANSLATE(B7222,""en"",""zh-CN"")"),"一个新闻女人在新闻室说话。")</f>
        <v>一个新闻女人在新闻室说话。</v>
      </c>
    </row>
    <row r="7223">
      <c r="A7223" s="4" t="s">
        <v>9081</v>
      </c>
      <c r="B7223" s="4" t="s">
        <v>9083</v>
      </c>
      <c r="C7223" s="5" t="str">
        <f>IFERROR(__xludf.DUMMYFUNCTION("GOOGLETRANSLATE(B7223,""en"",""zh-CN"")"),"斗牛士在戒指内显示。")</f>
        <v>斗牛士在戒指内显示。</v>
      </c>
    </row>
    <row r="7224">
      <c r="A7224" s="4" t="s">
        <v>9081</v>
      </c>
      <c r="B7224" s="4" t="s">
        <v>9084</v>
      </c>
      <c r="C7224" s="5" t="str">
        <f>IFERROR(__xludf.DUMMYFUNCTION("GOOGLETRANSLATE(B7224,""en"",""zh-CN"")"),"他们正试图用斗篷吸引公牛。")</f>
        <v>他们正试图用斗篷吸引公牛。</v>
      </c>
    </row>
    <row r="7225">
      <c r="A7225" s="4" t="s">
        <v>9085</v>
      </c>
      <c r="B7225" s="4" t="s">
        <v>9086</v>
      </c>
      <c r="C7225" s="5" t="str">
        <f>IFERROR(__xludf.DUMMYFUNCTION("GOOGLETRANSLATE(B7225,""en"",""zh-CN"")"),"两个人在一个房间里跳舞。")</f>
        <v>两个人在一个房间里跳舞。</v>
      </c>
    </row>
    <row r="7226">
      <c r="A7226" s="4" t="s">
        <v>9085</v>
      </c>
      <c r="B7226" s="4" t="s">
        <v>9087</v>
      </c>
      <c r="C7226" s="5" t="str">
        <f>IFERROR(__xludf.DUMMYFUNCTION("GOOGLETRANSLATE(B7226,""en"",""zh-CN"")"),"他们转向一侧，继续跳舞。")</f>
        <v>他们转向一侧，继续跳舞。</v>
      </c>
    </row>
    <row r="7227">
      <c r="A7227" s="4" t="s">
        <v>9085</v>
      </c>
      <c r="B7227" s="4" t="s">
        <v>9088</v>
      </c>
      <c r="C7227" s="5" t="str">
        <f>IFERROR(__xludf.DUMMYFUNCTION("GOOGLETRANSLATE(B7227,""en"",""zh-CN"")"),"他们结束并摆姿势。")</f>
        <v>他们结束并摆姿势。</v>
      </c>
    </row>
    <row r="7228">
      <c r="A7228" s="4" t="s">
        <v>9089</v>
      </c>
      <c r="B7228" s="4" t="s">
        <v>9090</v>
      </c>
      <c r="C7228" s="5" t="str">
        <f>IFERROR(__xludf.DUMMYFUNCTION("GOOGLETRANSLATE(B7228,""en"",""zh-CN"")"),"一个站在屋顶上的女人吸烟。")</f>
        <v>一个站在屋顶上的女人吸烟。</v>
      </c>
    </row>
    <row r="7229">
      <c r="A7229" s="4" t="s">
        <v>9089</v>
      </c>
      <c r="B7229" s="4" t="s">
        <v>9091</v>
      </c>
      <c r="C7229" s="5" t="str">
        <f>IFERROR(__xludf.DUMMYFUNCTION("GOOGLETRANSLATE(B7229,""en"",""zh-CN"")"),"她吹起烟，并用头发玩耍。")</f>
        <v>她吹起烟，并用头发玩耍。</v>
      </c>
    </row>
    <row r="7230">
      <c r="A7230" s="4" t="s">
        <v>9089</v>
      </c>
      <c r="B7230" s="4" t="s">
        <v>9092</v>
      </c>
      <c r="C7230" s="5" t="str">
        <f>IFERROR(__xludf.DUMMYFUNCTION("GOOGLETRANSLATE(B7230,""en"",""zh-CN"")"),"她不断吸烟，并随便吸烟。")</f>
        <v>她不断吸烟，并随便吸烟。</v>
      </c>
    </row>
    <row r="7231">
      <c r="A7231" s="4" t="s">
        <v>9089</v>
      </c>
      <c r="B7231" s="4" t="s">
        <v>9093</v>
      </c>
      <c r="C7231" s="5" t="str">
        <f>IFERROR(__xludf.DUMMYFUNCTION("GOOGLETRANSLATE(B7231,""en"",""zh-CN"")"),"她最后一次呼气，然后将香烟放在墙上。")</f>
        <v>她最后一次呼气，然后将香烟放在墙上。</v>
      </c>
    </row>
    <row r="7232">
      <c r="A7232" s="4" t="s">
        <v>9094</v>
      </c>
      <c r="B7232" s="4" t="s">
        <v>9095</v>
      </c>
      <c r="C7232" s="5" t="str">
        <f>IFERROR(__xludf.DUMMYFUNCTION("GOOGLETRANSLATE(B7232,""en"",""zh-CN"")"),"几支球队在一个空旷的场上玩曲棍球。")</f>
        <v>几支球队在一个空旷的场上玩曲棍球。</v>
      </c>
    </row>
    <row r="7233">
      <c r="A7233" s="4" t="s">
        <v>9094</v>
      </c>
      <c r="B7233" s="4" t="s">
        <v>9096</v>
      </c>
      <c r="C7233" s="5" t="str">
        <f>IFERROR(__xludf.DUMMYFUNCTION("GOOGLETRANSLATE(B7233,""en"",""zh-CN"")"),"人群专心观看游戏。")</f>
        <v>人群专心观看游戏。</v>
      </c>
    </row>
    <row r="7234">
      <c r="A7234" s="4" t="s">
        <v>9094</v>
      </c>
      <c r="B7234" s="4" t="s">
        <v>9097</v>
      </c>
      <c r="C7234" s="5" t="str">
        <f>IFERROR(__xludf.DUMMYFUNCTION("GOOGLETRANSLATE(B7234,""en"",""zh-CN"")"),"球员在整个场上来回奔跑，将球击中进球。")</f>
        <v>球员在整个场上来回奔跑，将球击中进球。</v>
      </c>
    </row>
    <row r="7235">
      <c r="A7235" s="4" t="s">
        <v>9098</v>
      </c>
      <c r="B7235" s="4" t="s">
        <v>9099</v>
      </c>
      <c r="C7235" s="5" t="str">
        <f>IFERROR(__xludf.DUMMYFUNCTION("GOOGLETRANSLATE(B7235,""en"",""zh-CN"")"),"看到一个男人在剥土豆并看着相机时在相机上说话。")</f>
        <v>看到一个男人在剥土豆并看着相机时在相机上说话。</v>
      </c>
    </row>
    <row r="7236">
      <c r="A7236" s="4" t="s">
        <v>9098</v>
      </c>
      <c r="B7236" s="4" t="s">
        <v>9100</v>
      </c>
      <c r="C7236" s="5" t="str">
        <f>IFERROR(__xludf.DUMMYFUNCTION("GOOGLETRANSLATE(B7236,""en"",""zh-CN"")"),"当男人继续剥土豆并说话时，相机不断地在男人周围摇晃。")</f>
        <v>当男人继续剥土豆并说话时，相机不断地在男人周围摇晃。</v>
      </c>
    </row>
    <row r="7237">
      <c r="A7237" s="4" t="s">
        <v>9101</v>
      </c>
      <c r="B7237" s="4" t="s">
        <v>9102</v>
      </c>
      <c r="C7237" s="5" t="str">
        <f>IFERROR(__xludf.DUMMYFUNCTION("GOOGLETRANSLATE(B7237,""en"",""zh-CN"")"),"一个女人正在她卧室里的网络摄像头说话。")</f>
        <v>一个女人正在她卧室里的网络摄像头说话。</v>
      </c>
    </row>
    <row r="7238">
      <c r="A7238" s="4" t="s">
        <v>9101</v>
      </c>
      <c r="B7238" s="4" t="s">
        <v>9103</v>
      </c>
      <c r="C7238" s="5" t="str">
        <f>IFERROR(__xludf.DUMMYFUNCTION("GOOGLETRANSLATE(B7238,""en"",""zh-CN"")"),"她开始玩头发，将部分分开并编织。")</f>
        <v>她开始玩头发，将部分分开并编织。</v>
      </c>
    </row>
    <row r="7239">
      <c r="A7239" s="4" t="s">
        <v>9101</v>
      </c>
      <c r="B7239" s="4" t="s">
        <v>9104</v>
      </c>
      <c r="C7239" s="5" t="str">
        <f>IFERROR(__xludf.DUMMYFUNCTION("GOOGLETRANSLATE(B7239,""en"",""zh-CN"")"),"她在创建另一个时将第一个编织物放入嘴里。")</f>
        <v>她在创建另一个时将第一个编织物放入嘴里。</v>
      </c>
    </row>
    <row r="7240">
      <c r="A7240" s="4" t="s">
        <v>9101</v>
      </c>
      <c r="B7240" s="4" t="s">
        <v>9105</v>
      </c>
      <c r="C7240" s="5" t="str">
        <f>IFERROR(__xludf.DUMMYFUNCTION("GOOGLETRANSLATE(B7240,""en"",""zh-CN"")"),"她跨越辫子，并在上面放一个橡皮筋。")</f>
        <v>她跨越辫子，并在上面放一个橡皮筋。</v>
      </c>
    </row>
    <row r="7241">
      <c r="A7241" s="4" t="s">
        <v>9101</v>
      </c>
      <c r="B7241" s="4" t="s">
        <v>9106</v>
      </c>
      <c r="C7241" s="5" t="str">
        <f>IFERROR(__xludf.DUMMYFUNCTION("GOOGLETRANSLATE(B7241,""en"",""zh-CN"")"),"她开始与头发的另一侧进行相同的过程。")</f>
        <v>她开始与头发的另一侧进行相同的过程。</v>
      </c>
    </row>
    <row r="7242">
      <c r="A7242" s="4" t="s">
        <v>9101</v>
      </c>
      <c r="B7242" s="4" t="s">
        <v>9107</v>
      </c>
      <c r="C7242" s="5" t="str">
        <f>IFERROR(__xludf.DUMMYFUNCTION("GOOGLETRANSLATE(B7242,""en"",""zh-CN"")"),"视频通过切割同一个女孩的静止图像并上下平移来结束。")</f>
        <v>视频通过切割同一个女孩的静止图像并上下平移来结束。</v>
      </c>
    </row>
    <row r="7243">
      <c r="A7243" s="4" t="s">
        <v>9108</v>
      </c>
      <c r="B7243" s="4" t="s">
        <v>9109</v>
      </c>
      <c r="C7243" s="5" t="str">
        <f>IFERROR(__xludf.DUMMYFUNCTION("GOOGLETRANSLATE(B7243,""en"",""zh-CN"")"),"一个男人站在白屏上。")</f>
        <v>一个男人站在白屏上。</v>
      </c>
    </row>
    <row r="7244">
      <c r="A7244" s="4" t="s">
        <v>9108</v>
      </c>
      <c r="B7244" s="4" t="s">
        <v>9110</v>
      </c>
      <c r="C7244" s="5" t="str">
        <f>IFERROR(__xludf.DUMMYFUNCTION("GOOGLETRANSLATE(B7244,""en"",""zh-CN"")"),"他正在谈论手中的萨克斯管，并显示出适当的手位置。")</f>
        <v>他正在谈论手中的萨克斯管，并显示出适当的手位置。</v>
      </c>
    </row>
    <row r="7245">
      <c r="A7245" s="4" t="s">
        <v>9108</v>
      </c>
      <c r="B7245" s="4" t="s">
        <v>9111</v>
      </c>
      <c r="C7245" s="5" t="str">
        <f>IFERROR(__xludf.DUMMYFUNCTION("GOOGLETRANSLATE(B7245,""en"",""zh-CN"")"),"他演示了如何弹奏乐器。")</f>
        <v>他演示了如何弹奏乐器。</v>
      </c>
    </row>
    <row r="7246">
      <c r="A7246" s="4" t="s">
        <v>9112</v>
      </c>
      <c r="B7246" s="4" t="s">
        <v>9113</v>
      </c>
      <c r="C7246" s="5" t="str">
        <f>IFERROR(__xludf.DUMMYFUNCTION("GOOGLETRANSLATE(B7246,""en"",""zh-CN"")"),"一个穿着大型白色西装的人在围栏上喷水。")</f>
        <v>一个穿着大型白色西装的人在围栏上喷水。</v>
      </c>
    </row>
    <row r="7247">
      <c r="A7247" s="4" t="s">
        <v>9112</v>
      </c>
      <c r="B7247" s="6" t="s">
        <v>9114</v>
      </c>
      <c r="C7247" s="5" t="str">
        <f>IFERROR(__xludf.DUMMYFUNCTION("GOOGLETRANSLATE(B7247,""en"",""zh-CN"")"),"从各个角度显示该人，执行任务，并使围栏看起来全新。")</f>
        <v>从各个角度显示该人，执行任务，并使围栏看起来全新。</v>
      </c>
    </row>
    <row r="7248">
      <c r="A7248" s="4" t="s">
        <v>9115</v>
      </c>
      <c r="B7248" s="4" t="s">
        <v>9116</v>
      </c>
      <c r="C7248" s="5" t="str">
        <f>IFERROR(__xludf.DUMMYFUNCTION("GOOGLETRANSLATE(B7248,""en"",""zh-CN"")"),"一位女性似乎正在用呼啦圈打h，在她的身体方面非常灵活。")</f>
        <v>一位女性似乎正在用呼啦圈打h，在她的身体方面非常灵活。</v>
      </c>
    </row>
    <row r="7249">
      <c r="A7249" s="4" t="s">
        <v>9115</v>
      </c>
      <c r="B7249" s="4" t="s">
        <v>9117</v>
      </c>
      <c r="C7249" s="5" t="str">
        <f>IFERROR(__xludf.DUMMYFUNCTION("GOOGLETRANSLATE(B7249,""en"",""zh-CN"")"),"这位女士在呼啦圈时还骑了一辆轮骑自行车。")</f>
        <v>这位女士在呼啦圈时还骑了一辆轮骑自行车。</v>
      </c>
    </row>
    <row r="7250">
      <c r="A7250" s="4" t="s">
        <v>9115</v>
      </c>
      <c r="B7250" s="6" t="s">
        <v>9118</v>
      </c>
      <c r="C7250" s="5" t="str">
        <f>IFERROR(__xludf.DUMMYFUNCTION("GOOGLETRANSLATE(B7250,""en"",""zh-CN"")"),"然后，女孩站在垫子上时，呼啦圈，然后呼啦圈，两个呼啦圈站在同一地点。")</f>
        <v>然后，女孩站在垫子上时，呼啦圈，然后呼啦圈，两个呼啦圈站在同一地点。</v>
      </c>
    </row>
    <row r="7251">
      <c r="A7251" s="4" t="s">
        <v>9115</v>
      </c>
      <c r="B7251" s="6" t="s">
        <v>9119</v>
      </c>
      <c r="C7251" s="5" t="str">
        <f>IFERROR(__xludf.DUMMYFUNCTION("GOOGLETRANSLATE(B7251,""en"",""zh-CN"")"),"然后，女孩呼啦圈颠倒了，她还在垫子上拆开时，她的手周围hu圈。")</f>
        <v>然后，女孩呼啦圈颠倒了，她还在垫子上拆开时，她的手周围hu圈。</v>
      </c>
    </row>
    <row r="7252">
      <c r="A7252" s="4" t="s">
        <v>9115</v>
      </c>
      <c r="B7252" s="6" t="s">
        <v>9120</v>
      </c>
      <c r="C7252" s="5" t="str">
        <f>IFERROR(__xludf.DUMMYFUNCTION("GOOGLETRANSLATE(B7252,""en"",""zh-CN"")"),"女孩呼啦圈箍一个大轮胎呼啦圈，然后用她的两只手和一只脚在空中搭配三个呼啦圈。")</f>
        <v>女孩呼啦圈箍一个大轮胎呼啦圈，然后用她的两只手和一只脚在空中搭配三个呼啦圈。</v>
      </c>
    </row>
    <row r="7253">
      <c r="A7253" s="4" t="s">
        <v>9115</v>
      </c>
      <c r="B7253" s="6" t="s">
        <v>9121</v>
      </c>
      <c r="C7253" s="5" t="str">
        <f>IFERROR(__xludf.DUMMYFUNCTION("GOOGLETRANSLATE(B7253,""en"",""zh-CN"")"),"然后，这个女孩试图一次尝试呼啦圈很多，因为其他女孩不断为她添加更多。")</f>
        <v>然后，这个女孩试图一次尝试呼啦圈很多，因为其他女孩不断为她添加更多。</v>
      </c>
    </row>
    <row r="7254">
      <c r="A7254" s="4" t="s">
        <v>9122</v>
      </c>
      <c r="B7254" s="4" t="s">
        <v>9123</v>
      </c>
      <c r="C7254" s="5" t="str">
        <f>IFERROR(__xludf.DUMMYFUNCTION("GOOGLETRANSLATE(B7254,""en"",""zh-CN"")"),"三个穿着栅栏装备的男人站在健身房。")</f>
        <v>三个穿着栅栏装备的男人站在健身房。</v>
      </c>
    </row>
    <row r="7255">
      <c r="A7255" s="4" t="s">
        <v>9122</v>
      </c>
      <c r="B7255" s="4" t="s">
        <v>9124</v>
      </c>
      <c r="C7255" s="5" t="str">
        <f>IFERROR(__xludf.DUMMYFUNCTION("GOOGLETRANSLATE(B7255,""en"",""zh-CN"")"),"中间的那个人在说话，另外两个人仍然静止。")</f>
        <v>中间的那个人在说话，另外两个人仍然静止。</v>
      </c>
    </row>
    <row r="7256">
      <c r="A7256" s="4" t="s">
        <v>9122</v>
      </c>
      <c r="B7256" s="6" t="s">
        <v>9125</v>
      </c>
      <c r="C7256" s="5" t="str">
        <f>IFERROR(__xludf.DUMMYFUNCTION("GOOGLETRANSLATE(B7256,""en"",""zh-CN"")"),"当男人指示他们时，两个人开始动作，展示不同的围栏技术。")</f>
        <v>当男人指示他们时，两个人开始动作，展示不同的围栏技术。</v>
      </c>
    </row>
    <row r="7257">
      <c r="A7257" s="4" t="s">
        <v>9122</v>
      </c>
      <c r="B7257" s="4" t="s">
        <v>9126</v>
      </c>
      <c r="C7257" s="5" t="str">
        <f>IFERROR(__xludf.DUMMYFUNCTION("GOOGLETRANSLATE(B7257,""en"",""zh-CN"")"),"他们慢慢地战斗，显示出每一步，然后在屏幕上最终介入该人的最后一句话。")</f>
        <v>他们慢慢地战斗，显示出每一步，然后在屏幕上最终介入该人的最后一句话。</v>
      </c>
    </row>
    <row r="7258">
      <c r="A7258" s="4" t="s">
        <v>9127</v>
      </c>
      <c r="B7258" s="4" t="s">
        <v>9128</v>
      </c>
      <c r="C7258" s="5" t="str">
        <f>IFERROR(__xludf.DUMMYFUNCTION("GOOGLETRANSLATE(B7258,""en"",""zh-CN"")"),"一个男人在他的厨房里说话。")</f>
        <v>一个男人在他的厨房里说话。</v>
      </c>
    </row>
    <row r="7259">
      <c r="A7259" s="4" t="s">
        <v>9127</v>
      </c>
      <c r="B7259" s="4" t="s">
        <v>9129</v>
      </c>
      <c r="C7259" s="5" t="str">
        <f>IFERROR(__xludf.DUMMYFUNCTION("GOOGLETRANSLATE(B7259,""en"",""zh-CN"")"),"他展示了如何将酱汁混合到面食中，然后调味。")</f>
        <v>他展示了如何将酱汁混合到面食中，然后调味。</v>
      </c>
    </row>
    <row r="7260">
      <c r="A7260" s="4" t="s">
        <v>9127</v>
      </c>
      <c r="B7260" s="4" t="s">
        <v>9130</v>
      </c>
      <c r="C7260" s="5" t="str">
        <f>IFERROR(__xludf.DUMMYFUNCTION("GOOGLETRANSLATE(B7260,""en"",""zh-CN"")"),"然后，他展示了如何铺装和食用食物。")</f>
        <v>然后，他展示了如何铺装和食用食物。</v>
      </c>
    </row>
    <row r="7261">
      <c r="A7261" s="4" t="s">
        <v>9131</v>
      </c>
      <c r="B7261" s="4" t="s">
        <v>9132</v>
      </c>
      <c r="C7261" s="5" t="str">
        <f>IFERROR(__xludf.DUMMYFUNCTION("GOOGLETRANSLATE(B7261,""en"",""zh-CN"")"),"一个女人的撑杆跳在高大的酒吧上。")</f>
        <v>一个女人的撑杆跳在高大的酒吧上。</v>
      </c>
    </row>
    <row r="7262">
      <c r="A7262" s="4" t="s">
        <v>9131</v>
      </c>
      <c r="B7262" s="4" t="s">
        <v>9133</v>
      </c>
      <c r="C7262" s="5" t="str">
        <f>IFERROR(__xludf.DUMMYFUNCTION("GOOGLETRANSLATE(B7262,""en"",""zh-CN"")"),"她降落在她下面的黄色垫子上。")</f>
        <v>她降落在她下面的黄色垫子上。</v>
      </c>
    </row>
    <row r="7263">
      <c r="A7263" s="4" t="s">
        <v>9131</v>
      </c>
      <c r="B7263" s="4" t="s">
        <v>2042</v>
      </c>
      <c r="C7263" s="5" t="str">
        <f>IFERROR(__xludf.DUMMYFUNCTION("GOOGLETRANSLATE(B7263,""en"",""zh-CN"")"),"末尾的单词进入屏幕。")</f>
        <v>末尾的单词进入屏幕。</v>
      </c>
    </row>
    <row r="7264">
      <c r="A7264" s="4" t="s">
        <v>9134</v>
      </c>
      <c r="B7264" s="4" t="s">
        <v>9135</v>
      </c>
      <c r="C7264" s="5" t="str">
        <f>IFERROR(__xludf.DUMMYFUNCTION("GOOGLETRANSLATE(B7264,""en"",""zh-CN"")"),"一个年轻人在谈论相机。")</f>
        <v>一个年轻人在谈论相机。</v>
      </c>
    </row>
    <row r="7265">
      <c r="A7265" s="4" t="s">
        <v>9134</v>
      </c>
      <c r="B7265" s="4" t="s">
        <v>9136</v>
      </c>
      <c r="C7265" s="5" t="str">
        <f>IFERROR(__xludf.DUMMYFUNCTION("GOOGLETRANSLATE(B7265,""en"",""zh-CN"")"),"该男子手里拿着棍子。")</f>
        <v>该男子手里拿着棍子。</v>
      </c>
    </row>
    <row r="7266">
      <c r="A7266" s="4" t="s">
        <v>9134</v>
      </c>
      <c r="B7266" s="4" t="s">
        <v>9137</v>
      </c>
      <c r="C7266" s="5" t="str">
        <f>IFERROR(__xludf.DUMMYFUNCTION("GOOGLETRANSLATE(B7266,""en"",""zh-CN"")"),"这个人指向自己。")</f>
        <v>这个人指向自己。</v>
      </c>
    </row>
    <row r="7267">
      <c r="A7267" s="4" t="s">
        <v>9134</v>
      </c>
      <c r="B7267" s="4" t="s">
        <v>9138</v>
      </c>
      <c r="C7267" s="5" t="str">
        <f>IFERROR(__xludf.DUMMYFUNCTION("GOOGLETRANSLATE(B7267,""en"",""zh-CN"")"),"该男子拿起棍子，将冰球推到地面上。")</f>
        <v>该男子拿起棍子，将冰球推到地面上。</v>
      </c>
    </row>
    <row r="7268">
      <c r="A7268" s="4" t="s">
        <v>9139</v>
      </c>
      <c r="B7268" s="4" t="s">
        <v>9140</v>
      </c>
      <c r="C7268" s="5" t="str">
        <f>IFERROR(__xludf.DUMMYFUNCTION("GOOGLETRANSLATE(B7268,""en"",""zh-CN"")"),"女人在碗上放一个鸡蛋，然后将其与香草混合。")</f>
        <v>女人在碗上放一个鸡蛋，然后将其与香草混合。</v>
      </c>
    </row>
    <row r="7269">
      <c r="A7269" s="4" t="s">
        <v>9139</v>
      </c>
      <c r="B7269" s="4" t="s">
        <v>9141</v>
      </c>
      <c r="C7269" s="5" t="str">
        <f>IFERROR(__xludf.DUMMYFUNCTION("GOOGLETRANSLATE(B7269,""en"",""zh-CN"")"),"快速燕麦和发酵粉，可可粉和盐混合在碗中。")</f>
        <v>快速燕麦和发酵粉，可可粉和盐混合在碗中。</v>
      </c>
    </row>
    <row r="7270">
      <c r="A7270" s="4" t="s">
        <v>9139</v>
      </c>
      <c r="B7270" s="4" t="s">
        <v>9142</v>
      </c>
      <c r="C7270" s="5" t="str">
        <f>IFERROR(__xludf.DUMMYFUNCTION("GOOGLETRANSLATE(B7270,""en"",""zh-CN"")"),"巧克力棒用坚果切成碎片，然后放入碗中。")</f>
        <v>巧克力棒用坚果切成碎片，然后放入碗中。</v>
      </c>
    </row>
    <row r="7271">
      <c r="A7271" s="4" t="s">
        <v>9139</v>
      </c>
      <c r="B7271" s="6" t="s">
        <v>9143</v>
      </c>
      <c r="C7271" s="5" t="str">
        <f>IFERROR(__xludf.DUMMYFUNCTION("GOOGLETRANSLATE(B7271,""en"",""zh-CN"")"),"将糖和黄油混合在碗里直到奶油中，然后将香草和粉末成分与巧克力和坚果混合在一起。")</f>
        <v>将糖和黄油混合在碗里直到奶油中，然后将香草和粉末成分与巧克力和坚果混合在一起。</v>
      </c>
    </row>
    <row r="7272">
      <c r="A7272" s="4" t="s">
        <v>9139</v>
      </c>
      <c r="B7272" s="4" t="s">
        <v>9144</v>
      </c>
      <c r="C7272" s="5" t="str">
        <f>IFERROR(__xludf.DUMMYFUNCTION("GOOGLETRANSLATE(B7272,""en"",""zh-CN"")"),"Themix是包裹的，并放入冰箱。")</f>
        <v>Themix是包裹的，并放入冰箱。</v>
      </c>
    </row>
    <row r="7273">
      <c r="A7273" s="4" t="s">
        <v>9139</v>
      </c>
      <c r="B7273" s="4" t="s">
        <v>9145</v>
      </c>
      <c r="C7273" s="5" t="str">
        <f>IFERROR(__xludf.DUMMYFUNCTION("GOOGLETRANSLATE(B7273,""en"",""zh-CN"")"),"批次在锅中，准备进食。")</f>
        <v>批次在锅中，准备进食。</v>
      </c>
    </row>
    <row r="7274">
      <c r="A7274" s="4" t="s">
        <v>9146</v>
      </c>
      <c r="B7274" s="4" t="s">
        <v>9147</v>
      </c>
      <c r="C7274" s="5" t="str">
        <f>IFERROR(__xludf.DUMMYFUNCTION("GOOGLETRANSLATE(B7274,""en"",""zh-CN"")"),"一个男人站在演出中，玩风笛，而其他人则惊讶地看着。")</f>
        <v>一个男人站在演出中，玩风笛，而其他人则惊讶地看着。</v>
      </c>
    </row>
    <row r="7275">
      <c r="A7275" s="4" t="s">
        <v>9146</v>
      </c>
      <c r="B7275" s="4" t="s">
        <v>9148</v>
      </c>
      <c r="C7275" s="5" t="str">
        <f>IFERROR(__xludf.DUMMYFUNCTION("GOOGLETRANSLATE(B7275,""en"",""zh-CN"")"),"该男子继续踢球，观众完成后拍手。")</f>
        <v>该男子继续踢球，观众完成后拍手。</v>
      </c>
    </row>
    <row r="7276">
      <c r="A7276" s="4" t="s">
        <v>9146</v>
      </c>
      <c r="B7276" s="4" t="s">
        <v>9149</v>
      </c>
      <c r="C7276" s="5" t="str">
        <f>IFERROR(__xludf.DUMMYFUNCTION("GOOGLETRANSLATE(B7276,""en"",""zh-CN"")"),"他把乐器交给一个男人走进去，给主人握手。")</f>
        <v>他把乐器交给一个男人走进去，给主人握手。</v>
      </c>
    </row>
    <row r="7277">
      <c r="A7277" s="4" t="s">
        <v>9146</v>
      </c>
      <c r="B7277" s="4" t="s">
        <v>9150</v>
      </c>
      <c r="C7277" s="5" t="str">
        <f>IFERROR(__xludf.DUMMYFUNCTION("GOOGLETRANSLATE(B7277,""en"",""zh-CN"")"),"在主持人与客人结束之前，他与主持人进行了一些交谈，并打动了一个姿势。")</f>
        <v>在主持人与客人结束之前，他与主持人进行了一些交谈，并打动了一个姿势。</v>
      </c>
    </row>
    <row r="7278">
      <c r="A7278" s="4" t="s">
        <v>9151</v>
      </c>
      <c r="B7278" s="6" t="s">
        <v>9152</v>
      </c>
      <c r="C7278" s="5" t="str">
        <f>IFERROR(__xludf.DUMMYFUNCTION("GOOGLETRANSLATE(B7278,""en"",""zh-CN"")"),"一个人练习运球和开枪在球场上行走或跑步，而一个男人看训练。")</f>
        <v>一个人练习运球和开枪在球场上行走或跑步，而一个男人看训练。</v>
      </c>
    </row>
    <row r="7279">
      <c r="A7279" s="4" t="s">
        <v>9151</v>
      </c>
      <c r="B7279" s="4" t="s">
        <v>9153</v>
      </c>
      <c r="C7279" s="5" t="str">
        <f>IFERROR(__xludf.DUMMYFUNCTION("GOOGLETRANSLATE(B7279,""en"",""zh-CN"")"),"该男子站在法庭上。")</f>
        <v>该男子站在法庭上。</v>
      </c>
    </row>
    <row r="7280">
      <c r="A7280" s="4" t="s">
        <v>9151</v>
      </c>
      <c r="B7280" s="4" t="s">
        <v>9154</v>
      </c>
      <c r="C7280" s="5" t="str">
        <f>IFERROR(__xludf.DUMMYFUNCTION("GOOGLETRANSLATE(B7280,""en"",""zh-CN"")"),"之后，几名男子在法庭上练习篮球。")</f>
        <v>之后，几名男子在法庭上练习篮球。</v>
      </c>
    </row>
    <row r="7281">
      <c r="A7281" s="4" t="s">
        <v>9155</v>
      </c>
      <c r="B7281" s="4" t="s">
        <v>9156</v>
      </c>
      <c r="C7281" s="5" t="str">
        <f>IFERROR(__xludf.DUMMYFUNCTION("GOOGLETRANSLATE(B7281,""en"",""zh-CN"")"),"Happy这个词写在沙子侧面的鹅卵石上。")</f>
        <v>Happy这个词写在沙子侧面的鹅卵石上。</v>
      </c>
    </row>
    <row r="7282">
      <c r="A7282" s="4" t="s">
        <v>9155</v>
      </c>
      <c r="B7282" s="4" t="s">
        <v>9157</v>
      </c>
      <c r="C7282" s="5" t="str">
        <f>IFERROR(__xludf.DUMMYFUNCTION("GOOGLETRANSLATE(B7282,""en"",""zh-CN"")"),"显示了大量的水晶蓝色水，其中有一条大船。")</f>
        <v>显示了大量的水晶蓝色水，其中有一条大船。</v>
      </c>
    </row>
    <row r="7283">
      <c r="A7283" s="4" t="s">
        <v>9155</v>
      </c>
      <c r="B7283" s="4" t="s">
        <v>9158</v>
      </c>
      <c r="C7283" s="5" t="str">
        <f>IFERROR(__xludf.DUMMYFUNCTION("GOOGLETRANSLATE(B7283,""en"",""zh-CN"")"),"个人开始跳舞，跳下船，在水中享受自己。")</f>
        <v>个人开始跳舞，跳下船，在水中享受自己。</v>
      </c>
    </row>
    <row r="7284">
      <c r="A7284" s="4" t="s">
        <v>9155</v>
      </c>
      <c r="B7284" s="4" t="s">
        <v>9159</v>
      </c>
      <c r="C7284" s="5" t="str">
        <f>IFERROR(__xludf.DUMMYFUNCTION("GOOGLETRANSLATE(B7284,""en"",""zh-CN"")"),"随着人们的继续，有三到四个人在水上游泳。")</f>
        <v>随着人们的继续，有三到四个人在水上游泳。</v>
      </c>
    </row>
    <row r="7285">
      <c r="A7285" s="4" t="s">
        <v>9160</v>
      </c>
      <c r="B7285" s="4" t="s">
        <v>9161</v>
      </c>
      <c r="C7285" s="5" t="str">
        <f>IFERROR(__xludf.DUMMYFUNCTION("GOOGLETRANSLATE(B7285,""en"",""zh-CN"")"),"一个红色的男人站在舞台上。")</f>
        <v>一个红色的男人站在舞台上。</v>
      </c>
    </row>
    <row r="7286">
      <c r="A7286" s="4" t="s">
        <v>9160</v>
      </c>
      <c r="B7286" s="4" t="s">
        <v>9162</v>
      </c>
      <c r="C7286" s="5" t="str">
        <f>IFERROR(__xludf.DUMMYFUNCTION("GOOGLETRANSLATE(B7286,""en"",""zh-CN"")"),"他将杠铃抬过头。")</f>
        <v>他将杠铃抬过头。</v>
      </c>
    </row>
    <row r="7287">
      <c r="A7287" s="4" t="s">
        <v>9160</v>
      </c>
      <c r="B7287" s="4" t="s">
        <v>9163</v>
      </c>
      <c r="C7287" s="5" t="str">
        <f>IFERROR(__xludf.DUMMYFUNCTION("GOOGLETRANSLATE(B7287,""en"",""zh-CN"")"),"他把杠铃放在地面上。")</f>
        <v>他把杠铃放在地面上。</v>
      </c>
    </row>
    <row r="7288">
      <c r="A7288" s="4" t="s">
        <v>9160</v>
      </c>
      <c r="B7288" s="4" t="s">
        <v>9164</v>
      </c>
      <c r="C7288" s="5" t="str">
        <f>IFERROR(__xludf.DUMMYFUNCTION("GOOGLETRANSLATE(B7288,""en"",""zh-CN"")"),"几个人为他加油。")</f>
        <v>几个人为他加油。</v>
      </c>
    </row>
    <row r="7289">
      <c r="A7289" s="4" t="s">
        <v>9165</v>
      </c>
      <c r="B7289" s="4" t="s">
        <v>9166</v>
      </c>
      <c r="C7289" s="5" t="str">
        <f>IFERROR(__xludf.DUMMYFUNCTION("GOOGLETRANSLATE(B7289,""en"",""zh-CN"")"),"穿着白衬衫的女人站着，然后跪在地面上的一个大塑料袋旁边。")</f>
        <v>穿着白衬衫的女人站着，然后跪在地面上的一个大塑料袋旁边。</v>
      </c>
    </row>
    <row r="7290">
      <c r="A7290" s="4" t="s">
        <v>9165</v>
      </c>
      <c r="B7290" s="6" t="s">
        <v>9167</v>
      </c>
      <c r="C7290" s="5" t="str">
        <f>IFERROR(__xludf.DUMMYFUNCTION("GOOGLETRANSLATE(B7290,""en"",""zh-CN"")"),"她打开袋子，将袋子的内容放在地面上不平坦的孔中，然后用手套的手将其弄平。")</f>
        <v>她打开袋子，将袋子的内容放在地面上不平坦的孔中，然后用手套的手将其弄平。</v>
      </c>
    </row>
    <row r="7291">
      <c r="A7291" s="4" t="s">
        <v>9165</v>
      </c>
      <c r="B7291" s="4" t="s">
        <v>9168</v>
      </c>
      <c r="C7291" s="5" t="str">
        <f>IFERROR(__xludf.DUMMYFUNCTION("GOOGLETRANSLATE(B7291,""en"",""zh-CN"")"),"她看着相机，跪在塑料袋旁边时说话。")</f>
        <v>她看着相机，跪在塑料袋旁边时说话。</v>
      </c>
    </row>
    <row r="7292">
      <c r="A7292" s="4" t="s">
        <v>9165</v>
      </c>
      <c r="B7292" s="4" t="s">
        <v>9169</v>
      </c>
      <c r="C7292" s="5" t="str">
        <f>IFERROR(__xludf.DUMMYFUNCTION("GOOGLETRANSLATE(B7292,""en"",""zh-CN"")"),"她将另一个袋子放在地上，用手将它们弄平，直到覆盖该区域。")</f>
        <v>她将另一个袋子放在地上，用手将它们弄平，直到覆盖该区域。</v>
      </c>
    </row>
    <row r="7293">
      <c r="A7293" s="4" t="s">
        <v>9165</v>
      </c>
      <c r="B7293" s="4" t="s">
        <v>9170</v>
      </c>
      <c r="C7293" s="5" t="str">
        <f>IFERROR(__xludf.DUMMYFUNCTION("GOOGLETRANSLATE(B7293,""en"",""zh-CN"")"),"她向前走，弯曲以使更多的污垢变平。")</f>
        <v>她向前走，弯曲以使更多的污垢变平。</v>
      </c>
    </row>
    <row r="7294">
      <c r="A7294" s="4" t="s">
        <v>9171</v>
      </c>
      <c r="B7294" s="4" t="s">
        <v>9172</v>
      </c>
      <c r="C7294" s="5" t="str">
        <f>IFERROR(__xludf.DUMMYFUNCTION("GOOGLETRANSLATE(B7294,""en"",""zh-CN"")"),"两名妇女在开始搏斗的桌子上彼此对立。")</f>
        <v>两名妇女在开始搏斗的桌子上彼此对立。</v>
      </c>
    </row>
    <row r="7295">
      <c r="A7295" s="4" t="s">
        <v>9171</v>
      </c>
      <c r="B7295" s="4" t="s">
        <v>9173</v>
      </c>
      <c r="C7295" s="5" t="str">
        <f>IFERROR(__xludf.DUMMYFUNCTION("GOOGLETRANSLATE(B7295,""en"",""zh-CN"")"),"在他们开始之前，有一个简短的举止，因为他们的拇指放置不准确。")</f>
        <v>在他们开始之前，有一个简短的举止，因为他们的拇指放置不准确。</v>
      </c>
    </row>
    <row r="7296">
      <c r="A7296" s="4" t="s">
        <v>9171</v>
      </c>
      <c r="B7296" s="6" t="s">
        <v>9174</v>
      </c>
      <c r="C7296" s="5" t="str">
        <f>IFERROR(__xludf.DUMMYFUNCTION("GOOGLETRANSLATE(B7296,""en"",""zh-CN"")"),"一旦他们终于开始，左边的女孩就会获胜，但她很快就停止了，他们必须重新开始，同一个女孩再次获胜。")</f>
        <v>一旦他们终于开始，左边的女孩就会获胜，但她很快就停止了，他们必须重新开始，同一个女孩再次获胜。</v>
      </c>
    </row>
    <row r="7297">
      <c r="A7297" s="4" t="s">
        <v>9175</v>
      </c>
      <c r="B7297" s="4" t="s">
        <v>9176</v>
      </c>
      <c r="C7297" s="5" t="str">
        <f>IFERROR(__xludf.DUMMYFUNCTION("GOOGLETRANSLATE(B7297,""en"",""zh-CN"")"),"一个孩子将花生酱分成两片面包。")</f>
        <v>一个孩子将花生酱分成两片面包。</v>
      </c>
    </row>
    <row r="7298">
      <c r="A7298" s="4" t="s">
        <v>9175</v>
      </c>
      <c r="B7298" s="4" t="s">
        <v>9177</v>
      </c>
      <c r="C7298" s="5" t="str">
        <f>IFERROR(__xludf.DUMMYFUNCTION("GOOGLETRANSLATE(B7298,""en"",""zh-CN"")"),"然后，孩子添加了顶部的果冻。")</f>
        <v>然后，孩子添加了顶部的果冻。</v>
      </c>
    </row>
    <row r="7299">
      <c r="A7299" s="4" t="s">
        <v>9175</v>
      </c>
      <c r="B7299" s="4" t="s">
        <v>9178</v>
      </c>
      <c r="C7299" s="5" t="str">
        <f>IFERROR(__xludf.DUMMYFUNCTION("GOOGLETRANSLATE(B7299,""en"",""zh-CN"")"),"之后，孩子对花生酱和果冻三明治咬了一口。")</f>
        <v>之后，孩子对花生酱和果冻三明治咬了一口。</v>
      </c>
    </row>
    <row r="7300">
      <c r="A7300" s="4" t="s">
        <v>9179</v>
      </c>
      <c r="B7300" s="6" t="s">
        <v>9180</v>
      </c>
      <c r="C7300" s="5" t="str">
        <f>IFERROR(__xludf.DUMMYFUNCTION("GOOGLETRANSLATE(B7300,""en"",""zh-CN"")"),"有一个女人穿着白色衬衫的女人，还有一个穿着白色衬衫的男人在工作室里练习宴会厅跳舞。")</f>
        <v>有一个女人穿着白色衬衫的女人，还有一个穿着白色衬衫的男人在工作室里练习宴会厅跳舞。</v>
      </c>
    </row>
    <row r="7301">
      <c r="A7301" s="4" t="s">
        <v>9179</v>
      </c>
      <c r="B7301" s="4" t="s">
        <v>9181</v>
      </c>
      <c r="C7301" s="5" t="str">
        <f>IFERROR(__xludf.DUMMYFUNCTION("GOOGLETRANSLATE(B7301,""en"",""zh-CN"")"),"他们在一个充满镜子的墙壁的房间里。")</f>
        <v>他们在一个充满镜子的墙壁的房间里。</v>
      </c>
    </row>
    <row r="7302">
      <c r="A7302" s="4" t="s">
        <v>9179</v>
      </c>
      <c r="B7302" s="6" t="s">
        <v>9182</v>
      </c>
      <c r="C7302" s="5" t="str">
        <f>IFERROR(__xludf.DUMMYFUNCTION("GOOGLETRANSLATE(B7302,""en"",""zh-CN"")"),"这位女士正在解释舞蹈的步骤，因为他们都展示了舞蹈中涉及的动作和脚步。")</f>
        <v>这位女士正在解释舞蹈的步骤，因为他们都展示了舞蹈中涉及的动作和脚步。</v>
      </c>
    </row>
    <row r="7303">
      <c r="A7303" s="4" t="s">
        <v>9179</v>
      </c>
      <c r="B7303" s="4" t="s">
        <v>9183</v>
      </c>
      <c r="C7303" s="5" t="str">
        <f>IFERROR(__xludf.DUMMYFUNCTION("GOOGLETRANSLATE(B7303,""en"",""zh-CN"")"),"当他们握住彼此的手时，他们来回走动。")</f>
        <v>当他们握住彼此的手时，他们来回走动。</v>
      </c>
    </row>
    <row r="7304">
      <c r="A7304" s="4" t="s">
        <v>9184</v>
      </c>
      <c r="B7304" s="4" t="s">
        <v>9185</v>
      </c>
      <c r="C7304" s="5" t="str">
        <f>IFERROR(__xludf.DUMMYFUNCTION("GOOGLETRANSLATE(B7304,""en"",""zh-CN"")"),"一个人经过一场即将来临的风暴。")</f>
        <v>一个人经过一场即将来临的风暴。</v>
      </c>
    </row>
    <row r="7305">
      <c r="A7305" s="4" t="s">
        <v>9184</v>
      </c>
      <c r="B7305" s="4" t="s">
        <v>9186</v>
      </c>
      <c r="C7305" s="5" t="str">
        <f>IFERROR(__xludf.DUMMYFUNCTION("GOOGLETRANSLATE(B7305,""en"",""zh-CN"")"),"在水中看到冲浪者，人们正在和冲浪板一起行走。")</f>
        <v>在水中看到冲浪者，人们正在和冲浪板一起行走。</v>
      </c>
    </row>
    <row r="7306">
      <c r="A7306" s="4" t="s">
        <v>9184</v>
      </c>
      <c r="B7306" s="4" t="s">
        <v>9187</v>
      </c>
      <c r="C7306" s="5" t="str">
        <f>IFERROR(__xludf.DUMMYFUNCTION("GOOGLETRANSLATE(B7306,""en"",""zh-CN"")"),"一群妇女聚集在一起，看到了一个祈祷的螳螂。")</f>
        <v>一群妇女聚集在一起，看到了一个祈祷的螳螂。</v>
      </c>
    </row>
    <row r="7307">
      <c r="A7307" s="4" t="s">
        <v>9184</v>
      </c>
      <c r="B7307" s="4" t="s">
        <v>9188</v>
      </c>
      <c r="C7307" s="5" t="str">
        <f>IFERROR(__xludf.DUMMYFUNCTION("GOOGLETRANSLATE(B7307,""en"",""zh-CN"")"),"然后显示许多冲浪者，经过各种波浪。")</f>
        <v>然后显示许多冲浪者，经过各种波浪。</v>
      </c>
    </row>
    <row r="7308">
      <c r="A7308" s="4" t="s">
        <v>9189</v>
      </c>
      <c r="B7308" s="4" t="s">
        <v>9190</v>
      </c>
      <c r="C7308" s="5" t="str">
        <f>IFERROR(__xludf.DUMMYFUNCTION("GOOGLETRANSLATE(B7308,""en"",""zh-CN"")"),"女人正在用白皮书绘画绿色的叶子。")</f>
        <v>女人正在用白皮书绘画绿色的叶子。</v>
      </c>
    </row>
    <row r="7309">
      <c r="A7309" s="4" t="s">
        <v>9189</v>
      </c>
      <c r="B7309" s="4" t="s">
        <v>9191</v>
      </c>
      <c r="C7309" s="5" t="str">
        <f>IFERROR(__xludf.DUMMYFUNCTION("GOOGLETRANSLATE(B7309,""en"",""zh-CN"")"),"显示了红色油漆，女人在纸的角落里盖了一张邮票。")</f>
        <v>显示了红色油漆，女人在纸的角落里盖了一张邮票。</v>
      </c>
    </row>
    <row r="7310">
      <c r="A7310" s="4" t="s">
        <v>9189</v>
      </c>
      <c r="B7310" s="4" t="s">
        <v>9192</v>
      </c>
      <c r="C7310" s="5" t="str">
        <f>IFERROR(__xludf.DUMMYFUNCTION("GOOGLETRANSLATE(B7310,""en"",""zh-CN"")"),"女人正在绘画蓝色广告紫色中国花。")</f>
        <v>女人正在绘画蓝色广告紫色中国花。</v>
      </c>
    </row>
    <row r="7311">
      <c r="A7311" s="4" t="s">
        <v>9189</v>
      </c>
      <c r="B7311" s="6" t="s">
        <v>9193</v>
      </c>
      <c r="C7311" s="5" t="str">
        <f>IFERROR(__xludf.DUMMYFUNCTION("GOOGLETRANSLATE(B7311,""en"",""zh-CN"")"),"红色和黑色的花朵被涂在白皮书上，在黑暗的房间里为同一妇女提供了非常细节。")</f>
        <v>红色和黑色的花朵被涂在白皮书上，在黑暗的房间里为同一妇女提供了非常细节。</v>
      </c>
    </row>
    <row r="7312">
      <c r="A7312" s="4" t="s">
        <v>9189</v>
      </c>
      <c r="B7312" s="6" t="s">
        <v>9194</v>
      </c>
      <c r="C7312" s="5" t="str">
        <f>IFERROR(__xludf.DUMMYFUNCTION("GOOGLETRANSLATE(B7312,""en"",""zh-CN"")"),"女人用一些黑色的绘画来制作细节，将红色邮票放在角落，并在花朵上用黄色和红尾。")</f>
        <v>女人用一些黑色的绘画来制作细节，将红色邮票放在角落，并在花朵上用黄色和红尾。</v>
      </c>
    </row>
    <row r="7313">
      <c r="A7313" s="4" t="s">
        <v>9195</v>
      </c>
      <c r="B7313" s="4" t="s">
        <v>9196</v>
      </c>
      <c r="C7313" s="5" t="str">
        <f>IFERROR(__xludf.DUMMYFUNCTION("GOOGLETRANSLATE(B7313,""en"",""zh-CN"")"),"表明男人的特写镜头后，他问一个女人在海滩上一个问题。")</f>
        <v>表明男人的特写镜头后，他问一个女人在海滩上一个问题。</v>
      </c>
    </row>
    <row r="7314">
      <c r="A7314" s="4" t="s">
        <v>9195</v>
      </c>
      <c r="B7314" s="4" t="s">
        <v>9197</v>
      </c>
      <c r="C7314" s="5" t="str">
        <f>IFERROR(__xludf.DUMMYFUNCTION("GOOGLETRANSLATE(B7314,""en"",""zh-CN"")"),"然后，他向几个不同的人讲话，拿着飞盘和玩游戏。")</f>
        <v>然后，他向几个不同的人讲话，拿着飞盘和玩游戏。</v>
      </c>
    </row>
    <row r="7315">
      <c r="A7315" s="4" t="s">
        <v>9195</v>
      </c>
      <c r="B7315" s="4" t="s">
        <v>9198</v>
      </c>
      <c r="C7315" s="5" t="str">
        <f>IFERROR(__xludf.DUMMYFUNCTION("GOOGLETRANSLATE(B7315,""en"",""zh-CN"")"),"许多女人和男人一起笑，男人给了他们一个吻。")</f>
        <v>许多女人和男人一起笑，男人给了他们一个吻。</v>
      </c>
    </row>
    <row r="7316">
      <c r="A7316" s="4" t="s">
        <v>9199</v>
      </c>
      <c r="B7316" s="4" t="s">
        <v>9200</v>
      </c>
      <c r="C7316" s="5" t="str">
        <f>IFERROR(__xludf.DUMMYFUNCTION("GOOGLETRANSLATE(B7316,""en"",""zh-CN"")"),"看到两个男人跳跃并互相踢，表演各种翻转和窍门。")</f>
        <v>看到两个男人跳跃并互相踢，表演各种翻转和窍门。</v>
      </c>
    </row>
    <row r="7317">
      <c r="A7317" s="4" t="s">
        <v>9199</v>
      </c>
      <c r="B7317" s="6" t="s">
        <v>9201</v>
      </c>
      <c r="C7317" s="5" t="str">
        <f>IFERROR(__xludf.DUMMYFUNCTION("GOOGLETRANSLATE(B7317,""en"",""zh-CN"")"),"这些人继续互相旋转，并在不同位置进行体操运动。")</f>
        <v>这些人继续互相旋转，并在不同位置进行体操运动。</v>
      </c>
    </row>
    <row r="7318">
      <c r="A7318" s="4" t="s">
        <v>9202</v>
      </c>
      <c r="B7318" s="4" t="s">
        <v>9203</v>
      </c>
      <c r="C7318" s="5" t="str">
        <f>IFERROR(__xludf.DUMMYFUNCTION("GOOGLETRANSLATE(B7318,""en"",""zh-CN"")"),"在房屋前看到了一朵花的花。")</f>
        <v>在房屋前看到了一朵花的花。</v>
      </c>
    </row>
    <row r="7319">
      <c r="A7319" s="4" t="s">
        <v>9202</v>
      </c>
      <c r="B7319" s="4" t="s">
        <v>9204</v>
      </c>
      <c r="C7319" s="5" t="str">
        <f>IFERROR(__xludf.DUMMYFUNCTION("GOOGLETRANSLATE(B7319,""en"",""zh-CN"")"),"屋顶工将瓷砖钉在房屋的屋顶梁中。")</f>
        <v>屋顶工将瓷砖钉在房屋的屋顶梁中。</v>
      </c>
    </row>
    <row r="7320">
      <c r="A7320" s="4" t="s">
        <v>9202</v>
      </c>
      <c r="B7320" s="4" t="s">
        <v>9205</v>
      </c>
      <c r="C7320" s="5" t="str">
        <f>IFERROR(__xludf.DUMMYFUNCTION("GOOGLETRANSLATE(B7320,""en"",""zh-CN"")"),"建筑工人将瓷砖滑入屋顶。")</f>
        <v>建筑工人将瓷砖滑入屋顶。</v>
      </c>
    </row>
    <row r="7321">
      <c r="A7321" s="4" t="s">
        <v>9202</v>
      </c>
      <c r="B7321" s="4" t="s">
        <v>9206</v>
      </c>
      <c r="C7321" s="5" t="str">
        <f>IFERROR(__xludf.DUMMYFUNCTION("GOOGLETRANSLATE(B7321,""en"",""zh-CN"")"),"一群建筑工人将瓷砖抬到屋顶上。")</f>
        <v>一群建筑工人将瓷砖抬到屋顶上。</v>
      </c>
    </row>
    <row r="7322">
      <c r="A7322" s="4" t="s">
        <v>9202</v>
      </c>
      <c r="B7322" s="4" t="s">
        <v>9207</v>
      </c>
      <c r="C7322" s="5" t="str">
        <f>IFERROR(__xludf.DUMMYFUNCTION("GOOGLETRANSLATE(B7322,""en"",""zh-CN"")"),"完成工作后，可以看到完成的瓷砖屋顶。")</f>
        <v>完成工作后，可以看到完成的瓷砖屋顶。</v>
      </c>
    </row>
    <row r="7323">
      <c r="A7323" s="4" t="s">
        <v>9202</v>
      </c>
      <c r="B7323" s="4" t="s">
        <v>9208</v>
      </c>
      <c r="C7323" s="5" t="str">
        <f>IFERROR(__xludf.DUMMYFUNCTION("GOOGLETRANSLATE(B7323,""en"",""zh-CN"")"),"工人使用刮铲工具在屋顶上的瓷砖之间涂抹灌浆。")</f>
        <v>工人使用刮铲工具在屋顶上的瓷砖之间涂抹灌浆。</v>
      </c>
    </row>
    <row r="7324">
      <c r="A7324" s="4" t="s">
        <v>9209</v>
      </c>
      <c r="B7324" s="4" t="s">
        <v>9210</v>
      </c>
      <c r="C7324" s="5" t="str">
        <f>IFERROR(__xludf.DUMMYFUNCTION("GOOGLETRANSLATE(B7324,""en"",""zh-CN"")"),"在户外显示篮球场。")</f>
        <v>在户外显示篮球场。</v>
      </c>
    </row>
    <row r="7325">
      <c r="A7325" s="4" t="s">
        <v>9209</v>
      </c>
      <c r="B7325" s="4" t="s">
        <v>9211</v>
      </c>
      <c r="C7325" s="5" t="str">
        <f>IFERROR(__xludf.DUMMYFUNCTION("GOOGLETRANSLATE(B7325,""en"",""zh-CN"")"),"一个人跑了起来，并连续几个躺着。")</f>
        <v>一个人跑了起来，并连续几个躺着。</v>
      </c>
    </row>
    <row r="7326">
      <c r="A7326" s="4" t="s">
        <v>9209</v>
      </c>
      <c r="B7326" s="4" t="s">
        <v>9212</v>
      </c>
      <c r="C7326" s="5" t="str">
        <f>IFERROR(__xludf.DUMMYFUNCTION("GOOGLETRANSLATE(B7326,""en"",""zh-CN"")"),"他做了几个篮子，然后一次又一次地尝试。")</f>
        <v>他做了几个篮子，然后一次又一次地尝试。</v>
      </c>
    </row>
    <row r="7327">
      <c r="A7327" s="4" t="s">
        <v>9209</v>
      </c>
      <c r="B7327" s="4" t="s">
        <v>9213</v>
      </c>
      <c r="C7327" s="5" t="str">
        <f>IFERROR(__xludf.DUMMYFUNCTION("GOOGLETRANSLATE(B7327,""en"",""zh-CN"")"),"一些孩子跑来跑去，挥舞着相机。")</f>
        <v>一些孩子跑来跑去，挥舞着相机。</v>
      </c>
    </row>
    <row r="7328">
      <c r="A7328" s="4" t="s">
        <v>9214</v>
      </c>
      <c r="B7328" s="4" t="s">
        <v>9215</v>
      </c>
      <c r="C7328" s="5" t="str">
        <f>IFERROR(__xludf.DUMMYFUNCTION("GOOGLETRANSLATE(B7328,""en"",""zh-CN"")"),"一个男人站在外面说话。")</f>
        <v>一个男人站在外面说话。</v>
      </c>
    </row>
    <row r="7329">
      <c r="A7329" s="4" t="s">
        <v>9214</v>
      </c>
      <c r="B7329" s="4" t="s">
        <v>9216</v>
      </c>
      <c r="C7329" s="5" t="str">
        <f>IFERROR(__xludf.DUMMYFUNCTION("GOOGLETRANSLATE(B7329,""en"",""zh-CN"")"),"他走上了松懈的线，开始越过它。")</f>
        <v>他走上了松懈的线，开始越过它。</v>
      </c>
    </row>
    <row r="7330">
      <c r="A7330" s="4" t="s">
        <v>9214</v>
      </c>
      <c r="B7330" s="4" t="s">
        <v>9217</v>
      </c>
      <c r="C7330" s="5" t="str">
        <f>IFERROR(__xludf.DUMMYFUNCTION("GOOGLETRANSLATE(B7330,""en"",""zh-CN"")"),"他跌倒在草地上。")</f>
        <v>他跌倒在草地上。</v>
      </c>
    </row>
    <row r="7331">
      <c r="A7331" s="4" t="s">
        <v>9218</v>
      </c>
      <c r="B7331" s="4" t="s">
        <v>9219</v>
      </c>
      <c r="C7331" s="5" t="str">
        <f>IFERROR(__xludf.DUMMYFUNCTION("GOOGLETRANSLATE(B7331,""en"",""zh-CN"")"),"我们在海底看到了圣诞老人的一项。")</f>
        <v>我们在海底看到了圣诞老人的一项。</v>
      </c>
    </row>
    <row r="7332">
      <c r="A7332" s="4" t="s">
        <v>9218</v>
      </c>
      <c r="B7332" s="4" t="s">
        <v>9220</v>
      </c>
      <c r="C7332" s="5" t="str">
        <f>IFERROR(__xludf.DUMMYFUNCTION("GOOGLETRANSLATE(B7332,""en"",""zh-CN"")"),"我们看到白鱼在男人周围游泳。")</f>
        <v>我们看到白鱼在男人周围游泳。</v>
      </c>
    </row>
    <row r="7333">
      <c r="A7333" s="4" t="s">
        <v>9218</v>
      </c>
      <c r="B7333" s="4" t="s">
        <v>9221</v>
      </c>
      <c r="C7333" s="5" t="str">
        <f>IFERROR(__xludf.DUMMYFUNCTION("GOOGLETRANSLATE(B7333,""en"",""zh-CN"")"),"我们坐在那个人的上方看到他的气泡。")</f>
        <v>我们坐在那个人的上方看到他的气泡。</v>
      </c>
    </row>
    <row r="7334">
      <c r="A7334" s="4" t="s">
        <v>9218</v>
      </c>
      <c r="B7334" s="4" t="s">
        <v>9222</v>
      </c>
      <c r="C7334" s="5" t="str">
        <f>IFERROR(__xludf.DUMMYFUNCTION("GOOGLETRANSLATE(B7334,""en"",""zh-CN"")"),"该男子在岩石拱门下游泳。")</f>
        <v>该男子在岩石拱门下游泳。</v>
      </c>
    </row>
    <row r="7335">
      <c r="A7335" s="4" t="s">
        <v>9223</v>
      </c>
      <c r="B7335" s="6" t="s">
        <v>9224</v>
      </c>
      <c r="C7335" s="5" t="str">
        <f>IFERROR(__xludf.DUMMYFUNCTION("GOOGLETRANSLATE(B7335,""en"",""zh-CN"")"),"人正站在楼梯的botom上，正在街上打扫雪地，雪地正在经过，男人正在打扫雪并走一条路。")</f>
        <v>人正站在楼梯的botom上，正在街上打扫雪地，雪地正在经过，男人正在打扫雪并走一条路。</v>
      </c>
    </row>
    <row r="7336">
      <c r="A7336" s="4" t="s">
        <v>9223</v>
      </c>
      <c r="B7336" s="4" t="s">
        <v>9225</v>
      </c>
      <c r="C7336" s="5" t="str">
        <f>IFERROR(__xludf.DUMMYFUNCTION("GOOGLETRANSLATE(B7336,""en"",""zh-CN"")"),"人站在汽车前，正在清洁挡风玻璃和所有窗户。")</f>
        <v>人站在汽车前，正在清洁挡风玻璃和所有窗户。</v>
      </c>
    </row>
    <row r="7337">
      <c r="A7337" s="4" t="s">
        <v>9226</v>
      </c>
      <c r="B7337" s="4" t="s">
        <v>9227</v>
      </c>
      <c r="C7337" s="5" t="str">
        <f>IFERROR(__xludf.DUMMYFUNCTION("GOOGLETRANSLATE(B7337,""en"",""zh-CN"")"),"人们准备去划独木舟然后弹船。")</f>
        <v>人们准备去划独木舟然后弹船。</v>
      </c>
    </row>
    <row r="7338">
      <c r="A7338" s="4" t="s">
        <v>9226</v>
      </c>
      <c r="B7338" s="4" t="s">
        <v>9228</v>
      </c>
      <c r="C7338" s="5" t="str">
        <f>IFERROR(__xludf.DUMMYFUNCTION("GOOGLETRANSLATE(B7338,""en"",""zh-CN"")"),"然后人们走下溪流。")</f>
        <v>然后人们走下溪流。</v>
      </c>
    </row>
    <row r="7339">
      <c r="A7339" s="4" t="s">
        <v>9229</v>
      </c>
      <c r="B7339" s="4" t="s">
        <v>9230</v>
      </c>
      <c r="C7339" s="5" t="str">
        <f>IFERROR(__xludf.DUMMYFUNCTION("GOOGLETRANSLATE(B7339,""en"",""zh-CN"")"),"穿着蝙蝠侠衬衫的男人正坐在聊天中。")</f>
        <v>穿着蝙蝠侠衬衫的男人正坐在聊天中。</v>
      </c>
    </row>
    <row r="7340">
      <c r="A7340" s="4" t="s">
        <v>9229</v>
      </c>
      <c r="B7340" s="4" t="s">
        <v>9231</v>
      </c>
      <c r="C7340" s="5" t="str">
        <f>IFERROR(__xludf.DUMMYFUNCTION("GOOGLETRANSLATE(B7340,""en"",""zh-CN"")"),"一个人开始焊接一块金属。")</f>
        <v>一个人开始焊接一块金属。</v>
      </c>
    </row>
    <row r="7341">
      <c r="A7341" s="4" t="s">
        <v>9229</v>
      </c>
      <c r="B7341" s="4" t="s">
        <v>9232</v>
      </c>
      <c r="C7341" s="5" t="str">
        <f>IFERROR(__xludf.DUMMYFUNCTION("GOOGLETRANSLATE(B7341,""en"",""zh-CN"")"),"他拿起刷子，从金属上刷。")</f>
        <v>他拿起刷子，从金属上刷。</v>
      </c>
    </row>
    <row r="7342">
      <c r="A7342" s="4" t="s">
        <v>9229</v>
      </c>
      <c r="B7342" s="4" t="s">
        <v>9233</v>
      </c>
      <c r="C7342" s="5" t="str">
        <f>IFERROR(__xludf.DUMMYFUNCTION("GOOGLETRANSLATE(B7342,""en"",""zh-CN"")"),"他把所有的碎片都放在一个黑色的袋子里。")</f>
        <v>他把所有的碎片都放在一个黑色的袋子里。</v>
      </c>
    </row>
    <row r="7343">
      <c r="A7343" s="4" t="s">
        <v>9234</v>
      </c>
      <c r="B7343" s="4" t="s">
        <v>9235</v>
      </c>
      <c r="C7343" s="5" t="str">
        <f>IFERROR(__xludf.DUMMYFUNCTION("GOOGLETRANSLATE(B7343,""en"",""zh-CN"")"),"看到一小群人站在网上的两个侧面。")</f>
        <v>看到一小群人站在网上的两个侧面。</v>
      </c>
    </row>
    <row r="7344">
      <c r="A7344" s="4" t="s">
        <v>9234</v>
      </c>
      <c r="B7344" s="4" t="s">
        <v>9236</v>
      </c>
      <c r="C7344" s="5" t="str">
        <f>IFERROR(__xludf.DUMMYFUNCTION("GOOGLETRANSLATE(B7344,""en"",""zh-CN"")"),"然后，人们开始互相玩羽毛球比赛。")</f>
        <v>然后，人们开始互相玩羽毛球比赛。</v>
      </c>
    </row>
    <row r="7345">
      <c r="A7345" s="4" t="s">
        <v>9234</v>
      </c>
      <c r="B7345" s="4" t="s">
        <v>9237</v>
      </c>
      <c r="C7345" s="5" t="str">
        <f>IFERROR(__xludf.DUMMYFUNCTION("GOOGLETRANSLATE(B7345,""en"",""zh-CN"")"),"他们继续将小鸟撞到另一侧并击中它。")</f>
        <v>他们继续将小鸟撞到另一侧并击中它。</v>
      </c>
    </row>
    <row r="7346">
      <c r="A7346" s="4" t="s">
        <v>9238</v>
      </c>
      <c r="B7346" s="4" t="s">
        <v>9239</v>
      </c>
      <c r="C7346" s="5" t="str">
        <f>IFERROR(__xludf.DUMMYFUNCTION("GOOGLETRANSLATE(B7346,""en"",""zh-CN"")"),"大约一千人的人群在外面，在体育场里观看了一场斗牛。")</f>
        <v>大约一千人的人群在外面，在体育场里观看了一场斗牛。</v>
      </c>
    </row>
    <row r="7347">
      <c r="A7347" s="4" t="s">
        <v>9238</v>
      </c>
      <c r="B7347" s="4" t="s">
        <v>9240</v>
      </c>
      <c r="C7347" s="5" t="str">
        <f>IFERROR(__xludf.DUMMYFUNCTION("GOOGLETRANSLATE(B7347,""en"",""zh-CN"")"),"三名年轻人在中心，开始篡改两只黑白公牛。")</f>
        <v>三名年轻人在中心，开始篡改两只黑白公牛。</v>
      </c>
    </row>
    <row r="7348">
      <c r="A7348" s="4" t="s">
        <v>9238</v>
      </c>
      <c r="B7348" s="6" t="s">
        <v>9241</v>
      </c>
      <c r="C7348" s="5" t="str">
        <f>IFERROR(__xludf.DUMMYFUNCTION("GOOGLETRANSLATE(B7348,""en"",""zh-CN"")"),"两头公牛现在正在互相战斗，人群开始关闭他们以查看动作。")</f>
        <v>两头公牛现在正在互相战斗，人群开始关闭他们以查看动作。</v>
      </c>
    </row>
    <row r="7349">
      <c r="A7349" s="4" t="s">
        <v>9242</v>
      </c>
      <c r="B7349" s="4" t="s">
        <v>9243</v>
      </c>
      <c r="C7349" s="5" t="str">
        <f>IFERROR(__xludf.DUMMYFUNCTION("GOOGLETRANSLATE(B7349,""en"",""zh-CN"")"),"相机在湖上摇晃，显示一条船沿着水移动。")</f>
        <v>相机在湖上摇晃，显示一条船沿着水移动。</v>
      </c>
    </row>
    <row r="7350">
      <c r="A7350" s="4" t="s">
        <v>9242</v>
      </c>
      <c r="B7350" s="4" t="s">
        <v>9244</v>
      </c>
      <c r="C7350" s="5" t="str">
        <f>IFERROR(__xludf.DUMMYFUNCTION("GOOGLETRANSLATE(B7350,""en"",""zh-CN"")"),"看到一个人骑着滑雪板在船后骑行。")</f>
        <v>看到一个人骑着滑雪板在船后骑行。</v>
      </c>
    </row>
    <row r="7351">
      <c r="A7351" s="4" t="s">
        <v>9242</v>
      </c>
      <c r="B7351" s="4" t="s">
        <v>9245</v>
      </c>
      <c r="C7351" s="5" t="str">
        <f>IFERROR(__xludf.DUMMYFUNCTION("GOOGLETRANSLATE(B7351,""en"",""zh-CN"")"),"向后面滑雪的人骑着船的射击显示了更多的镜头。")</f>
        <v>向后面滑雪的人骑着船的射击显示了更多的镜头。</v>
      </c>
    </row>
    <row r="7352">
      <c r="A7352" s="4" t="s">
        <v>9246</v>
      </c>
      <c r="B7352" s="6" t="s">
        <v>9247</v>
      </c>
      <c r="C7352" s="5" t="str">
        <f>IFERROR(__xludf.DUMMYFUNCTION("GOOGLETRANSLATE(B7352,""en"",""zh-CN"")"),"看到一大批人站在一起，一个男人打扮成麦克风并指着。")</f>
        <v>看到一大批人站在一起，一个男人打扮成麦克风并指着。</v>
      </c>
    </row>
    <row r="7353">
      <c r="A7353" s="4" t="s">
        <v>9246</v>
      </c>
      <c r="B7353" s="6" t="s">
        <v>9248</v>
      </c>
      <c r="C7353" s="5" t="str">
        <f>IFERROR(__xludf.DUMMYFUNCTION("GOOGLETRANSLATE(B7353,""en"",""zh-CN"")"),"然后，这个男人与另一个男人一起演唱歌曲并跳舞，并逐渐指向新郎。")</f>
        <v>然后，这个男人与另一个男人一起演唱歌曲并跳舞，并逐渐指向新郎。</v>
      </c>
    </row>
    <row r="7354">
      <c r="A7354" s="4" t="s">
        <v>9249</v>
      </c>
      <c r="B7354" s="4" t="s">
        <v>9250</v>
      </c>
      <c r="C7354" s="5" t="str">
        <f>IFERROR(__xludf.DUMMYFUNCTION("GOOGLETRANSLATE(B7354,""en"",""zh-CN"")"),"商人走过繁忙的人群。")</f>
        <v>商人走过繁忙的人群。</v>
      </c>
    </row>
    <row r="7355">
      <c r="A7355" s="4" t="s">
        <v>9249</v>
      </c>
      <c r="B7355" s="4" t="s">
        <v>9251</v>
      </c>
      <c r="C7355" s="5" t="str">
        <f>IFERROR(__xludf.DUMMYFUNCTION("GOOGLETRANSLATE(B7355,""en"",""zh-CN"")"),"一个商人对乒乓球专业人士进行比赛。")</f>
        <v>一个商人对乒乓球专业人士进行比赛。</v>
      </c>
    </row>
    <row r="7356">
      <c r="A7356" s="4" t="s">
        <v>9249</v>
      </c>
      <c r="B7356" s="4" t="s">
        <v>9252</v>
      </c>
      <c r="C7356" s="5" t="str">
        <f>IFERROR(__xludf.DUMMYFUNCTION("GOOGLETRANSLATE(B7356,""en"",""zh-CN"")"),"两名商人在一支球队对阵乒乓球比赛的比赛中比赛。")</f>
        <v>两名商人在一支球队对阵乒乓球比赛的比赛中比赛。</v>
      </c>
    </row>
    <row r="7357">
      <c r="A7357" s="4" t="s">
        <v>9249</v>
      </c>
      <c r="B7357" s="4" t="s">
        <v>9253</v>
      </c>
      <c r="C7357" s="5" t="str">
        <f>IFERROR(__xludf.DUMMYFUNCTION("GOOGLETRANSLATE(B7357,""en"",""zh-CN"")"),"比赛结束了，商人与运动员握手。")</f>
        <v>比赛结束了，商人与运动员握手。</v>
      </c>
    </row>
    <row r="7358">
      <c r="A7358" s="4" t="s">
        <v>9254</v>
      </c>
      <c r="B7358" s="4" t="s">
        <v>9255</v>
      </c>
      <c r="C7358" s="5" t="str">
        <f>IFERROR(__xludf.DUMMYFUNCTION("GOOGLETRANSLATE(B7358,""en"",""zh-CN"")"),"一个青春期的男孩在他指向左边的猴子酒吧的一个开放式公园拍摄挑战中。")</f>
        <v>一个青春期的男孩在他指向左边的猴子酒吧的一个开放式公园拍摄挑战中。</v>
      </c>
    </row>
    <row r="7359">
      <c r="A7359" s="4" t="s">
        <v>9254</v>
      </c>
      <c r="B7359" s="4" t="s">
        <v>9256</v>
      </c>
      <c r="C7359" s="5" t="str">
        <f>IFERROR(__xludf.DUMMYFUNCTION("GOOGLETRANSLATE(B7359,""en"",""zh-CN"")"),"摄像头向左盘，以显示丛林健身房另一部分的幻灯片。")</f>
        <v>摄像头向左盘，以显示丛林健身房另一部分的幻灯片。</v>
      </c>
    </row>
    <row r="7360">
      <c r="A7360" s="4" t="s">
        <v>9254</v>
      </c>
      <c r="B7360" s="4" t="s">
        <v>9257</v>
      </c>
      <c r="C7360" s="5" t="str">
        <f>IFERROR(__xludf.DUMMYFUNCTION("GOOGLETRANSLATE(B7360,""en"",""zh-CN"")"),"摄像机将其倒回到猴子酒吧。")</f>
        <v>摄像机将其倒回到猴子酒吧。</v>
      </c>
    </row>
    <row r="7361">
      <c r="A7361" s="4" t="s">
        <v>9254</v>
      </c>
      <c r="B7361" s="6" t="s">
        <v>9258</v>
      </c>
      <c r="C7361" s="5" t="str">
        <f>IFERROR(__xludf.DUMMYFUNCTION("GOOGLETRANSLATE(B7361,""en"",""zh-CN"")"),"这个男孩试图从第二个梯子上的梯子上爬上猴子酒吧，内部和跌倒，他站起来去梯子。")</f>
        <v>这个男孩试图从第二个梯子上的梯子上爬上猴子酒吧，内部和跌倒，他站起来去梯子。</v>
      </c>
    </row>
    <row r="7362">
      <c r="A7362" s="4" t="s">
        <v>9254</v>
      </c>
      <c r="B7362" s="6" t="s">
        <v>9259</v>
      </c>
      <c r="C7362" s="5" t="str">
        <f>IFERROR(__xludf.DUMMYFUNCTION("GOOGLETRANSLATE(B7362,""en"",""zh-CN"")"),"这个男孩试图再次攀登，这次是从内部的梯子的顶部梯子跌落的，他站起来再次去了梯子。")</f>
        <v>这个男孩试图再次攀登，这次是从内部的梯子的顶部梯子跌落的，他站起来再次去了梯子。</v>
      </c>
    </row>
    <row r="7363">
      <c r="A7363" s="4" t="s">
        <v>9254</v>
      </c>
      <c r="B7363" s="6" t="s">
        <v>9260</v>
      </c>
      <c r="C7363" s="5" t="str">
        <f>IFERROR(__xludf.DUMMYFUNCTION("GOOGLETRANSLATE(B7363,""en"",""zh-CN"")"),"这个男孩试图再次从内部的顶部酒吧再次爬，然后再次跌落，他站起来再次前往梯子。")</f>
        <v>这个男孩试图再次从内部的顶部酒吧再次爬，然后再次跌落，他站起来再次前往梯子。</v>
      </c>
    </row>
    <row r="7364">
      <c r="A7364" s="4" t="s">
        <v>9254</v>
      </c>
      <c r="B7364" s="6" t="s">
        <v>9261</v>
      </c>
      <c r="C7364" s="5" t="str">
        <f>IFERROR(__xludf.DUMMYFUNCTION("GOOGLETRANSLATE(B7364,""en"",""zh-CN"")"),"这个男孩试图再次攀登，这次他再次调整了内部的第二次梯级，并在试图爬上时再次跌落。")</f>
        <v>这个男孩试图再次攀登，这次他再次调整了内部的第二次梯级，并在试图爬上时再次跌落。</v>
      </c>
    </row>
    <row r="7365">
      <c r="A7365" s="4" t="s">
        <v>9254</v>
      </c>
      <c r="B7365" s="6" t="s">
        <v>9262</v>
      </c>
      <c r="C7365" s="5" t="str">
        <f>IFERROR(__xludf.DUMMYFUNCTION("GOOGLETRANSLATE(B7365,""en"",""zh-CN"")"),"这个男孩试图使用相同的起点和跌倒再次攀登，他站起来朝梯子走去，但决定他做完并说再见。")</f>
        <v>这个男孩试图使用相同的起点和跌倒再次攀登，他站起来朝梯子走去，但决定他做完并说再见。</v>
      </c>
    </row>
    <row r="7366">
      <c r="A7366" s="4" t="s">
        <v>9263</v>
      </c>
      <c r="B7366" s="4" t="s">
        <v>9264</v>
      </c>
      <c r="C7366" s="5" t="str">
        <f>IFERROR(__xludf.DUMMYFUNCTION("GOOGLETRANSLATE(B7366,""en"",""zh-CN"")"),"看到一个男人骑着棍子骑着马四处骑行，然后停下来坐下。")</f>
        <v>看到一个男人骑着棍子骑着马四处骑行，然后停下来坐下。</v>
      </c>
    </row>
    <row r="7367">
      <c r="A7367" s="4" t="s">
        <v>9263</v>
      </c>
      <c r="B7367" s="6" t="s">
        <v>9265</v>
      </c>
      <c r="C7367" s="5" t="str">
        <f>IFERROR(__xludf.DUMMYFUNCTION("GOOGLETRANSLATE(B7367,""en"",""zh-CN"")"),"然后，他再次与一群人一起喝水，然后在回去时握手。")</f>
        <v>然后，他再次与一群人一起喝水，然后在回去时握手。</v>
      </c>
    </row>
    <row r="7368">
      <c r="A7368" s="4" t="s">
        <v>9266</v>
      </c>
      <c r="B7368" s="4" t="s">
        <v>9267</v>
      </c>
      <c r="C7368" s="5" t="str">
        <f>IFERROR(__xludf.DUMMYFUNCTION("GOOGLETRANSLATE(B7368,""en"",""zh-CN"")"),"展示了面团的特写，并导致一个人在糕点上散布糖霜的人。")</f>
        <v>展示了面团的特写，并导致一个人在糕点上散布糖霜的人。</v>
      </c>
    </row>
    <row r="7369">
      <c r="A7369" s="4" t="s">
        <v>9266</v>
      </c>
      <c r="B7369" s="4" t="s">
        <v>9268</v>
      </c>
      <c r="C7369" s="5" t="str">
        <f>IFERROR(__xludf.DUMMYFUNCTION("GOOGLETRANSLATE(B7369,""en"",""zh-CN"")"),"她把糕点放在蛋糕上，并继续将糖霜放在蛋糕上。")</f>
        <v>她把糕点放在蛋糕上，并继续将糖霜放在蛋糕上。</v>
      </c>
    </row>
    <row r="7370">
      <c r="A7370" s="4" t="s">
        <v>9266</v>
      </c>
      <c r="B7370" s="6" t="s">
        <v>9269</v>
      </c>
      <c r="C7370" s="5" t="str">
        <f>IFERROR(__xludf.DUMMYFUNCTION("GOOGLETRANSLATE(B7370,""en"",""zh-CN"")"),"相机放大了蛋糕，并显示女士在蛋糕上贴上一张脸并炫耀完成的结果。")</f>
        <v>相机放大了蛋糕，并显示女士在蛋糕上贴上一张脸并炫耀完成的结果。</v>
      </c>
    </row>
    <row r="7371">
      <c r="A7371" s="4" t="s">
        <v>9270</v>
      </c>
      <c r="B7371" s="4" t="s">
        <v>9271</v>
      </c>
      <c r="C7371" s="5" t="str">
        <f>IFERROR(__xludf.DUMMYFUNCTION("GOOGLETRANSLATE(B7371,""en"",""zh-CN"")"),"两个新闻主播在一个房间里说话。")</f>
        <v>两个新闻主播在一个房间里说话。</v>
      </c>
    </row>
    <row r="7372">
      <c r="A7372" s="4" t="s">
        <v>9270</v>
      </c>
      <c r="B7372" s="4" t="s">
        <v>9272</v>
      </c>
      <c r="C7372" s="5" t="str">
        <f>IFERROR(__xludf.DUMMYFUNCTION("GOOGLETRANSLATE(B7372,""en"",""zh-CN"")"),"一个男人正在厨房里做饭。")</f>
        <v>一个男人正在厨房里做饭。</v>
      </c>
    </row>
    <row r="7373">
      <c r="A7373" s="4" t="s">
        <v>9270</v>
      </c>
      <c r="B7373" s="4" t="s">
        <v>9273</v>
      </c>
      <c r="C7373" s="5" t="str">
        <f>IFERROR(__xludf.DUMMYFUNCTION("GOOGLETRANSLATE(B7373,""en"",""zh-CN"")"),"他在锅中煮蘑菇。")</f>
        <v>他在锅中煮蘑菇。</v>
      </c>
    </row>
    <row r="7374">
      <c r="A7374" s="4" t="s">
        <v>9270</v>
      </c>
      <c r="B7374" s="4" t="s">
        <v>9274</v>
      </c>
      <c r="C7374" s="5" t="str">
        <f>IFERROR(__xludf.DUMMYFUNCTION("GOOGLETRANSLATE(B7374,""en"",""zh-CN"")"),"他将食物加入碗中。")</f>
        <v>他将食物加入碗中。</v>
      </c>
    </row>
    <row r="7375">
      <c r="A7375" s="4" t="s">
        <v>9275</v>
      </c>
      <c r="B7375" s="4" t="s">
        <v>9276</v>
      </c>
      <c r="C7375" s="5" t="str">
        <f>IFERROR(__xludf.DUMMYFUNCTION("GOOGLETRANSLATE(B7375,""en"",""zh-CN"")"),"看到一条长五颜六色的围巾在椅子上奔跑。")</f>
        <v>看到一条长五颜六色的围巾在椅子上奔跑。</v>
      </c>
    </row>
    <row r="7376">
      <c r="A7376" s="4" t="s">
        <v>9275</v>
      </c>
      <c r="B7376" s="4" t="s">
        <v>9277</v>
      </c>
      <c r="C7376" s="5" t="str">
        <f>IFERROR(__xludf.DUMMYFUNCTION("GOOGLETRANSLATE(B7376,""en"",""zh-CN"")"),"看到一个女人穿着紫色连衣裙编织围巾。")</f>
        <v>看到一个女人穿着紫色连衣裙编织围巾。</v>
      </c>
    </row>
    <row r="7377">
      <c r="A7377" s="4" t="s">
        <v>9275</v>
      </c>
      <c r="B7377" s="4" t="s">
        <v>9278</v>
      </c>
      <c r="C7377" s="5" t="str">
        <f>IFERROR(__xludf.DUMMYFUNCTION("GOOGLETRANSLATE(B7377,""en"",""zh-CN"")"),"另外三个女人坐在一起，编织围巾的一部分。")</f>
        <v>另外三个女人坐在一起，编织围巾的一部分。</v>
      </c>
    </row>
    <row r="7378">
      <c r="A7378" s="4" t="s">
        <v>9279</v>
      </c>
      <c r="B7378" s="4" t="s">
        <v>1487</v>
      </c>
      <c r="C7378" s="5" t="str">
        <f>IFERROR(__xludf.DUMMYFUNCTION("GOOGLETRANSLATE(B7378,""en"",""zh-CN"")"),"我们看到一个开放标题屏幕。")</f>
        <v>我们看到一个开放标题屏幕。</v>
      </c>
    </row>
    <row r="7379">
      <c r="A7379" s="4" t="s">
        <v>9279</v>
      </c>
      <c r="B7379" s="4" t="s">
        <v>9280</v>
      </c>
      <c r="C7379" s="5" t="str">
        <f>IFERROR(__xludf.DUMMYFUNCTION("GOOGLETRANSLATE(B7379,""en"",""zh-CN"")"),"我们看到一个男人打开百叶窗并在外面登机的图像。")</f>
        <v>我们看到一个男人打开百叶窗并在外面登机的图像。</v>
      </c>
    </row>
    <row r="7380">
      <c r="A7380" s="4" t="s">
        <v>9279</v>
      </c>
      <c r="B7380" s="4" t="s">
        <v>9281</v>
      </c>
      <c r="C7380" s="5" t="str">
        <f>IFERROR(__xludf.DUMMYFUNCTION("GOOGLETRANSLATE(B7380,""en"",""zh-CN"")"),"我们看到一个男人骑摩托艇和表演翻转。")</f>
        <v>我们看到一个男人骑摩托艇和表演翻转。</v>
      </c>
    </row>
    <row r="7381">
      <c r="A7381" s="4" t="s">
        <v>9279</v>
      </c>
      <c r="B7381" s="4" t="s">
        <v>9282</v>
      </c>
      <c r="C7381" s="5" t="str">
        <f>IFERROR(__xludf.DUMMYFUNCTION("GOOGLETRANSLATE(B7381,""en"",""zh-CN"")"),"我们看到一个男人坐在码头上。")</f>
        <v>我们看到一个男人坐在码头上。</v>
      </c>
    </row>
    <row r="7382">
      <c r="A7382" s="4" t="s">
        <v>9279</v>
      </c>
      <c r="B7382" s="4" t="s">
        <v>9283</v>
      </c>
      <c r="C7382" s="5" t="str">
        <f>IFERROR(__xludf.DUMMYFUNCTION("GOOGLETRANSLATE(B7382,""en"",""zh-CN"")"),"我们看到滑雪者骑行越过坡道。")</f>
        <v>我们看到滑雪者骑行越过坡道。</v>
      </c>
    </row>
    <row r="7383">
      <c r="A7383" s="4" t="s">
        <v>9279</v>
      </c>
      <c r="B7383" s="4" t="s">
        <v>9284</v>
      </c>
      <c r="C7383" s="5" t="str">
        <f>IFERROR(__xludf.DUMMYFUNCTION("GOOGLETRANSLATE(B7383,""en"",""zh-CN"")"),"我们短暂地看到鞋子。")</f>
        <v>我们短暂地看到鞋子。</v>
      </c>
    </row>
    <row r="7384">
      <c r="A7384" s="4" t="s">
        <v>9279</v>
      </c>
      <c r="B7384" s="4" t="s">
        <v>777</v>
      </c>
      <c r="C7384" s="5" t="str">
        <f>IFERROR(__xludf.DUMMYFUNCTION("GOOGLETRANSLATE(B7384,""en"",""zh-CN"")"),"我们看到结尾标题屏幕。")</f>
        <v>我们看到结尾标题屏幕。</v>
      </c>
    </row>
    <row r="7385">
      <c r="A7385" s="4" t="s">
        <v>9285</v>
      </c>
      <c r="B7385" s="4" t="s">
        <v>9286</v>
      </c>
      <c r="C7385" s="5" t="str">
        <f>IFERROR(__xludf.DUMMYFUNCTION("GOOGLETRANSLATE(B7385,""en"",""zh-CN"")"),"个人在车道上打球，撞倒别针。")</f>
        <v>个人在车道上打球，撞倒别针。</v>
      </c>
    </row>
    <row r="7386">
      <c r="A7386" s="4" t="s">
        <v>9285</v>
      </c>
      <c r="B7386" s="4" t="s">
        <v>9287</v>
      </c>
      <c r="C7386" s="5" t="str">
        <f>IFERROR(__xludf.DUMMYFUNCTION("GOOGLETRANSLATE(B7386,""en"",""zh-CN"")"),"一个家伙打罢工，张开嘴来表达痛苦。")</f>
        <v>一个家伙打罢工，张开嘴来表达痛苦。</v>
      </c>
    </row>
    <row r="7387">
      <c r="A7387" s="4" t="s">
        <v>9288</v>
      </c>
      <c r="B7387" s="4" t="s">
        <v>9289</v>
      </c>
      <c r="C7387" s="5" t="str">
        <f>IFERROR(__xludf.DUMMYFUNCTION("GOOGLETRANSLATE(B7387,""en"",""zh-CN"")"),"学生接受采访，然后参加比赛。")</f>
        <v>学生接受采访，然后参加比赛。</v>
      </c>
    </row>
    <row r="7388">
      <c r="A7388" s="4" t="s">
        <v>9288</v>
      </c>
      <c r="B7388" s="4" t="s">
        <v>9290</v>
      </c>
      <c r="C7388" s="5" t="str">
        <f>IFERROR(__xludf.DUMMYFUNCTION("GOOGLETRANSLATE(B7388,""en"",""zh-CN"")"),"每个人似乎都很高兴能参与查尔斯顿学院。")</f>
        <v>每个人似乎都很高兴能参与查尔斯顿学院。</v>
      </c>
    </row>
    <row r="7389">
      <c r="A7389" s="4" t="s">
        <v>9291</v>
      </c>
      <c r="B7389" s="6" t="s">
        <v>9292</v>
      </c>
      <c r="C7389" s="5" t="str">
        <f>IFERROR(__xludf.DUMMYFUNCTION("GOOGLETRANSLATE(B7389,""en"",""zh-CN"")"),"一位厨师在切菜板前的厨房里，演示了如何使用土豆去皮和土豆剥离土豆。")</f>
        <v>一位厨师在切菜板前的厨房里，演示了如何使用土豆去皮和土豆剥离土豆。</v>
      </c>
    </row>
    <row r="7390">
      <c r="A7390" s="4" t="s">
        <v>9291</v>
      </c>
      <c r="B7390" s="6" t="s">
        <v>9293</v>
      </c>
      <c r="C7390" s="5" t="str">
        <f>IFERROR(__xludf.DUMMYFUNCTION("GOOGLETRANSLATE(B7390,""en"",""zh-CN"")"),"该男子与相机交谈，并开始用皮肤切片剥皮并在桌子上示意剥皮。")</f>
        <v>该男子与相机交谈，并开始用皮肤切片剥皮并在桌子上示意剥皮。</v>
      </c>
    </row>
    <row r="7391">
      <c r="A7391" s="4" t="s">
        <v>9291</v>
      </c>
      <c r="B7391" s="4" t="s">
        <v>9294</v>
      </c>
      <c r="C7391" s="5" t="str">
        <f>IFERROR(__xludf.DUMMYFUNCTION("GOOGLETRANSLATE(B7391,""en"",""zh-CN"")"),"该男子将土豆剥离，直到它没有皮肤。")</f>
        <v>该男子将土豆剥离，直到它没有皮肤。</v>
      </c>
    </row>
    <row r="7392">
      <c r="A7392" s="4" t="s">
        <v>9295</v>
      </c>
      <c r="B7392" s="4" t="s">
        <v>9296</v>
      </c>
      <c r="C7392" s="5" t="str">
        <f>IFERROR(__xludf.DUMMYFUNCTION("GOOGLETRANSLATE(B7392,""en"",""zh-CN"")"),"当裁判握住手腕时，有两个人站在桌子上，拳头抬起。")</f>
        <v>当裁判握住手腕时，有两个人站在桌子上，拳头抬起。</v>
      </c>
    </row>
    <row r="7393">
      <c r="A7393" s="4" t="s">
        <v>9295</v>
      </c>
      <c r="B7393" s="6" t="s">
        <v>9297</v>
      </c>
      <c r="C7393" s="5" t="str">
        <f>IFERROR(__xludf.DUMMYFUNCTION("GOOGLETRANSLATE(B7393,""en"",""zh-CN"")"),"然后，裁判放开了，几乎立即结束了手臂摔跤比赛，宣布获胜者，获胜者继续前进，还有几场比赛开始进行，他们也突然结束了。")</f>
        <v>然后，裁判放开了，几乎立即结束了手臂摔跤比赛，宣布获胜者，获胜者继续前进，还有几场比赛开始进行，他们也突然结束了。</v>
      </c>
    </row>
    <row r="7394">
      <c r="A7394" s="4" t="s">
        <v>9295</v>
      </c>
      <c r="B7394" s="6" t="s">
        <v>9298</v>
      </c>
      <c r="C7394" s="5" t="str">
        <f>IFERROR(__xludf.DUMMYFUNCTION("GOOGLETRANSLATE(B7394,""en"",""zh-CN"")"),"然而，在尽头，对手终于匹配了比赛，并且在努力动手时要宣布赢家。")</f>
        <v>然而，在尽头，对手终于匹配了比赛，并且在努力动手时要宣布赢家。</v>
      </c>
    </row>
    <row r="7395">
      <c r="A7395" s="4" t="s">
        <v>9299</v>
      </c>
      <c r="B7395" s="4" t="s">
        <v>9300</v>
      </c>
      <c r="C7395" s="5" t="str">
        <f>IFERROR(__xludf.DUMMYFUNCTION("GOOGLETRANSLATE(B7395,""en"",""zh-CN"")"),"男子正在屋顶木制法庭上玩篮子。")</f>
        <v>男子正在屋顶木制法庭上玩篮子。</v>
      </c>
    </row>
    <row r="7396">
      <c r="A7396" s="4" t="s">
        <v>9299</v>
      </c>
      <c r="B7396" s="4" t="s">
        <v>9301</v>
      </c>
      <c r="C7396" s="5" t="str">
        <f>IFERROR(__xludf.DUMMYFUNCTION("GOOGLETRANSLATE(B7396,""en"",""zh-CN"")"),"男人一个人在做篮子。")</f>
        <v>男人一个人在做篮子。</v>
      </c>
    </row>
    <row r="7397">
      <c r="A7397" s="4" t="s">
        <v>9299</v>
      </c>
      <c r="B7397" s="4" t="s">
        <v>9302</v>
      </c>
      <c r="C7397" s="5" t="str">
        <f>IFERROR(__xludf.DUMMYFUNCTION("GOOGLETRANSLATE(B7397,""en"",""zh-CN"")"),"另一个人到达法院并开始一起比赛。")</f>
        <v>另一个人到达法院并开始一起比赛。</v>
      </c>
    </row>
    <row r="7398">
      <c r="A7398" s="4" t="s">
        <v>9303</v>
      </c>
      <c r="B7398" s="4" t="s">
        <v>9304</v>
      </c>
      <c r="C7398" s="5" t="str">
        <f>IFERROR(__xludf.DUMMYFUNCTION("GOOGLETRANSLATE(B7398,""en"",""zh-CN"")"),"公司日志在屏幕上。")</f>
        <v>公司日志在屏幕上。</v>
      </c>
    </row>
    <row r="7399">
      <c r="A7399" s="4" t="s">
        <v>9303</v>
      </c>
      <c r="B7399" s="4" t="s">
        <v>9305</v>
      </c>
      <c r="C7399" s="5" t="str">
        <f>IFERROR(__xludf.DUMMYFUNCTION("GOOGLETRANSLATE(B7399,""en"",""zh-CN"")"),"一条船漂浮在水上。")</f>
        <v>一条船漂浮在水上。</v>
      </c>
    </row>
    <row r="7400">
      <c r="A7400" s="4" t="s">
        <v>9303</v>
      </c>
      <c r="B7400" s="4" t="s">
        <v>9306</v>
      </c>
      <c r="C7400" s="5" t="str">
        <f>IFERROR(__xludf.DUMMYFUNCTION("GOOGLETRANSLATE(B7400,""en"",""zh-CN"")"),"管子上有水贯穿其中，水上有漂浮物。")</f>
        <v>管子上有水贯穿其中，水上有漂浮物。</v>
      </c>
    </row>
    <row r="7401">
      <c r="A7401" s="4" t="s">
        <v>9303</v>
      </c>
      <c r="B7401" s="4" t="s">
        <v>9307</v>
      </c>
      <c r="C7401" s="5" t="str">
        <f>IFERROR(__xludf.DUMMYFUNCTION("GOOGLETRANSLATE(B7401,""en"",""zh-CN"")"),"相机正在扫描船。")</f>
        <v>相机正在扫描船。</v>
      </c>
    </row>
    <row r="7402">
      <c r="A7402" s="4" t="s">
        <v>9303</v>
      </c>
      <c r="B7402" s="4" t="s">
        <v>9308</v>
      </c>
      <c r="C7402" s="5" t="str">
        <f>IFERROR(__xludf.DUMMYFUNCTION("GOOGLETRANSLATE(B7402,""en"",""zh-CN"")"),"两名妇女坐在船上，一个正在戳另一个女人。")</f>
        <v>两名妇女坐在船上，一个正在戳另一个女人。</v>
      </c>
    </row>
    <row r="7403">
      <c r="A7403" s="4" t="s">
        <v>9303</v>
      </c>
      <c r="B7403" s="4" t="s">
        <v>9309</v>
      </c>
      <c r="C7403" s="5" t="str">
        <f>IFERROR(__xludf.DUMMYFUNCTION("GOOGLETRANSLATE(B7403,""en"",""zh-CN"")"),"将塑料座椅充气，然后将板放入水中。")</f>
        <v>将塑料座椅充气，然后将板放入水中。</v>
      </c>
    </row>
    <row r="7404">
      <c r="A7404" s="4" t="s">
        <v>9303</v>
      </c>
      <c r="B7404" s="4" t="s">
        <v>9310</v>
      </c>
      <c r="C7404" s="5" t="str">
        <f>IFERROR(__xludf.DUMMYFUNCTION("GOOGLETRANSLATE(B7404,""en"",""zh-CN"")"),"一名妇女在董事会上，抓住船上的一条线。")</f>
        <v>一名妇女在董事会上，抓住船上的一条线。</v>
      </c>
    </row>
    <row r="7405">
      <c r="A7405" s="4" t="s">
        <v>9303</v>
      </c>
      <c r="B7405" s="4" t="s">
        <v>9311</v>
      </c>
      <c r="C7405" s="5" t="str">
        <f>IFERROR(__xludf.DUMMYFUNCTION("GOOGLETRANSLATE(B7405,""en"",""zh-CN"")"),"另一个女人在另一个女人登上她后面的时候，一个女人在开船。")</f>
        <v>另一个女人在另一个女人登上她后面的时候，一个女人在开船。</v>
      </c>
    </row>
    <row r="7406">
      <c r="A7406" s="4" t="s">
        <v>9303</v>
      </c>
      <c r="B7406" s="4" t="s">
        <v>9312</v>
      </c>
      <c r="C7406" s="5" t="str">
        <f>IFERROR(__xludf.DUMMYFUNCTION("GOOGLETRANSLATE(B7406,""en"",""zh-CN"")"),"一个女人在船上拍照。")</f>
        <v>一个女人在船上拍照。</v>
      </c>
    </row>
    <row r="7407">
      <c r="A7407" s="4" t="s">
        <v>9303</v>
      </c>
      <c r="B7407" s="4" t="s">
        <v>9313</v>
      </c>
      <c r="C7407" s="5" t="str">
        <f>IFERROR(__xludf.DUMMYFUNCTION("GOOGLETRANSLATE(B7407,""en"",""zh-CN"")"),"该名女子正在用水上板上的技巧。")</f>
        <v>该名女子正在用水上板上的技巧。</v>
      </c>
    </row>
    <row r="7408">
      <c r="A7408" s="4" t="s">
        <v>9303</v>
      </c>
      <c r="B7408" s="4" t="s">
        <v>9314</v>
      </c>
      <c r="C7408" s="5" t="str">
        <f>IFERROR(__xludf.DUMMYFUNCTION("GOOGLETRANSLATE(B7408,""en"",""zh-CN"")"),"她放开了线，自由漂浮。")</f>
        <v>她放开了线，自由漂浮。</v>
      </c>
    </row>
    <row r="7409">
      <c r="A7409" s="4" t="s">
        <v>9315</v>
      </c>
      <c r="B7409" s="4" t="s">
        <v>9316</v>
      </c>
      <c r="C7409" s="5" t="str">
        <f>IFERROR(__xludf.DUMMYFUNCTION("GOOGLETRANSLATE(B7409,""en"",""zh-CN"")"),"看到一个女人的化妆在她的脸上，并带来了几张化妆的照片。")</f>
        <v>看到一个女人的化妆在她的脸上，并带来了几张化妆的照片。</v>
      </c>
    </row>
    <row r="7410">
      <c r="A7410" s="4" t="s">
        <v>9315</v>
      </c>
      <c r="B7410" s="4" t="s">
        <v>9317</v>
      </c>
      <c r="C7410" s="5" t="str">
        <f>IFERROR(__xludf.DUMMYFUNCTION("GOOGLETRANSLATE(B7410,""en"",""zh-CN"")"),"在屏幕上显示了更多产品图片。")</f>
        <v>在屏幕上显示了更多产品图片。</v>
      </c>
    </row>
    <row r="7411">
      <c r="A7411" s="4" t="s">
        <v>9315</v>
      </c>
      <c r="B7411" s="6" t="s">
        <v>9318</v>
      </c>
      <c r="C7411" s="5" t="str">
        <f>IFERROR(__xludf.DUMMYFUNCTION("GOOGLETRANSLATE(B7411,""en"",""zh-CN"")"),"更多的产品图片显示出更多的文字和一个女人推翻化妆。")</f>
        <v>更多的产品图片显示出更多的文字和一个女人推翻化妆。</v>
      </c>
    </row>
    <row r="7412">
      <c r="A7412" s="4" t="s">
        <v>9319</v>
      </c>
      <c r="B7412" s="4" t="s">
        <v>9320</v>
      </c>
      <c r="C7412" s="5" t="str">
        <f>IFERROR(__xludf.DUMMYFUNCTION("GOOGLETRANSLATE(B7412,""en"",""zh-CN"")"),"当人们聚集在冰上时，一座大雪的山被视为。")</f>
        <v>当人们聚集在冰上时，一座大雪的山被视为。</v>
      </c>
    </row>
    <row r="7413">
      <c r="A7413" s="4" t="s">
        <v>9319</v>
      </c>
      <c r="B7413" s="4" t="s">
        <v>9321</v>
      </c>
      <c r="C7413" s="5" t="str">
        <f>IFERROR(__xludf.DUMMYFUNCTION("GOOGLETRANSLATE(B7413,""en"",""zh-CN"")"),"他们击中了几个冰球，在游戏中扫了一下。")</f>
        <v>他们击中了几个冰球，在游戏中扫了一下。</v>
      </c>
    </row>
    <row r="7414">
      <c r="A7414" s="4" t="s">
        <v>9322</v>
      </c>
      <c r="B7414" s="4" t="s">
        <v>9323</v>
      </c>
      <c r="C7414" s="5" t="str">
        <f>IFERROR(__xludf.DUMMYFUNCTION("GOOGLETRANSLATE(B7414,""en"",""zh-CN"")"),"一名女体操运动员正在酒吧展示体操表演。")</f>
        <v>一名女体操运动员正在酒吧展示体操表演。</v>
      </c>
    </row>
    <row r="7415">
      <c r="A7415" s="4" t="s">
        <v>9322</v>
      </c>
      <c r="B7415" s="4" t="s">
        <v>9324</v>
      </c>
      <c r="C7415" s="5" t="str">
        <f>IFERROR(__xludf.DUMMYFUNCTION("GOOGLETRANSLATE(B7415,""en"",""zh-CN"")"),"其他体操运动员和讲师正在观看女体操运动员的表演。")</f>
        <v>其他体操运动员和讲师正在观看女体操运动员的表演。</v>
      </c>
    </row>
    <row r="7416">
      <c r="A7416" s="4" t="s">
        <v>9322</v>
      </c>
      <c r="B7416" s="4" t="s">
        <v>9325</v>
      </c>
      <c r="C7416" s="5" t="str">
        <f>IFERROR(__xludf.DUMMYFUNCTION("GOOGLETRANSLATE(B7416,""en"",""zh-CN"")"),"另一个女性体操运动员正在背景中练习。")</f>
        <v>另一个女性体操运动员正在背景中练习。</v>
      </c>
    </row>
    <row r="7417">
      <c r="A7417" s="4" t="s">
        <v>9326</v>
      </c>
      <c r="B7417" s="4" t="s">
        <v>9327</v>
      </c>
      <c r="C7417" s="5" t="str">
        <f>IFERROR(__xludf.DUMMYFUNCTION("GOOGLETRANSLATE(B7417,""en"",""zh-CN"")"),"一个男人在健身房举重。")</f>
        <v>一个男人在健身房举重。</v>
      </c>
    </row>
    <row r="7418">
      <c r="A7418" s="4" t="s">
        <v>9326</v>
      </c>
      <c r="B7418" s="4" t="s">
        <v>9328</v>
      </c>
      <c r="C7418" s="5" t="str">
        <f>IFERROR(__xludf.DUMMYFUNCTION("GOOGLETRANSLATE(B7418,""en"",""zh-CN"")"),"球是第一次进入男人的胸部。")</f>
        <v>球是第一次进入男人的胸部。</v>
      </c>
    </row>
    <row r="7419">
      <c r="A7419" s="4" t="s">
        <v>9326</v>
      </c>
      <c r="B7419" s="4" t="s">
        <v>9329</v>
      </c>
      <c r="C7419" s="5" t="str">
        <f>IFERROR(__xludf.DUMMYFUNCTION("GOOGLETRANSLATE(B7419,""en"",""zh-CN"")"),"这个男人休息一下。")</f>
        <v>这个男人休息一下。</v>
      </c>
    </row>
    <row r="7420">
      <c r="A7420" s="4" t="s">
        <v>9330</v>
      </c>
      <c r="B7420" s="6" t="s">
        <v>9331</v>
      </c>
      <c r="C7420" s="5" t="str">
        <f>IFERROR(__xludf.DUMMYFUNCTION("GOOGLETRANSLATE(B7420,""en"",""zh-CN"")"),"看到一个女孩在听音乐并过渡到她在散步之路外面表演舞蹈。")</f>
        <v>看到一个女孩在听音乐并过渡到她在散步之路外面表演舞蹈。</v>
      </c>
    </row>
    <row r="7421">
      <c r="A7421" s="4" t="s">
        <v>9330</v>
      </c>
      <c r="B7421" s="6" t="s">
        <v>9332</v>
      </c>
      <c r="C7421" s="5" t="str">
        <f>IFERROR(__xludf.DUMMYFUNCTION("GOOGLETRANSLATE(B7421,""en"",""zh-CN"")"),"她继续在镜头微笑时继续跳舞，结束时走开，给镜头带来了两个和平标志。")</f>
        <v>她继续在镜头微笑时继续跳舞，结束时走开，给镜头带来了两个和平标志。</v>
      </c>
    </row>
    <row r="7422">
      <c r="A7422" s="4" t="s">
        <v>9333</v>
      </c>
      <c r="B7422" s="4" t="s">
        <v>9334</v>
      </c>
      <c r="C7422" s="5" t="str">
        <f>IFERROR(__xludf.DUMMYFUNCTION("GOOGLETRANSLATE(B7422,""en"",""zh-CN"")"),"看到一个人在一对鼓前走进框架。")</f>
        <v>看到一个人在一对鼓前走进框架。</v>
      </c>
    </row>
    <row r="7423">
      <c r="A7423" s="4" t="s">
        <v>9333</v>
      </c>
      <c r="B7423" s="4" t="s">
        <v>9335</v>
      </c>
      <c r="C7423" s="5" t="str">
        <f>IFERROR(__xludf.DUMMYFUNCTION("GOOGLETRANSLATE(B7423,""en"",""zh-CN"")"),"然后，他开始打鼓，第四。")</f>
        <v>然后，他开始打鼓，第四。</v>
      </c>
    </row>
    <row r="7424">
      <c r="A7424" s="4" t="s">
        <v>9333</v>
      </c>
      <c r="B7424" s="4" t="s">
        <v>9336</v>
      </c>
      <c r="C7424" s="5" t="str">
        <f>IFERROR(__xludf.DUMMYFUNCTION("GOOGLETRANSLATE(B7424,""en"",""zh-CN"")"),"他继续在鼓上演奏，并通过关闭相机结束。")</f>
        <v>他继续在鼓上演奏，并通过关闭相机结束。</v>
      </c>
    </row>
    <row r="7425">
      <c r="A7425" s="4" t="s">
        <v>9337</v>
      </c>
      <c r="B7425" s="4" t="s">
        <v>9338</v>
      </c>
      <c r="C7425" s="5" t="str">
        <f>IFERROR(__xludf.DUMMYFUNCTION("GOOGLETRANSLATE(B7425,""en"",""zh-CN"")"),"一个年轻的女孩在平衡梁上进行体操例程。")</f>
        <v>一个年轻的女孩在平衡梁上进行体操例程。</v>
      </c>
    </row>
    <row r="7426">
      <c r="A7426" s="4" t="s">
        <v>9337</v>
      </c>
      <c r="B7426" s="4" t="s">
        <v>9339</v>
      </c>
      <c r="C7426" s="5" t="str">
        <f>IFERROR(__xludf.DUMMYFUNCTION("GOOGLETRANSLATE(B7426,""en"",""zh-CN"")"),"这个年轻的女孩抓住了光束，继续她的例行工作。")</f>
        <v>这个年轻的女孩抓住了光束，继续她的例行工作。</v>
      </c>
    </row>
    <row r="7427">
      <c r="A7427" s="4" t="s">
        <v>9337</v>
      </c>
      <c r="B7427" s="4" t="s">
        <v>9340</v>
      </c>
      <c r="C7427" s="5" t="str">
        <f>IFERROR(__xludf.DUMMYFUNCTION("GOOGLETRANSLATE(B7427,""en"",""zh-CN"")"),"年轻的女孩从光束上掉下来。")</f>
        <v>年轻的女孩从光束上掉下来。</v>
      </c>
    </row>
    <row r="7428">
      <c r="A7428" s="4" t="s">
        <v>9337</v>
      </c>
      <c r="B7428" s="4" t="s">
        <v>9341</v>
      </c>
      <c r="C7428" s="5" t="str">
        <f>IFERROR(__xludf.DUMMYFUNCTION("GOOGLETRANSLATE(B7428,""en"",""zh-CN"")"),"这个年轻的女孩回到光束上，完成了她的日常工作。")</f>
        <v>这个年轻的女孩回到光束上，完成了她的日常工作。</v>
      </c>
    </row>
    <row r="7429">
      <c r="A7429" s="4" t="s">
        <v>9342</v>
      </c>
      <c r="B7429" s="4" t="s">
        <v>9343</v>
      </c>
      <c r="C7429" s="5" t="str">
        <f>IFERROR(__xludf.DUMMYFUNCTION("GOOGLETRANSLATE(B7429,""en"",""zh-CN"")"),"一件白衬衫的男人站在机器前。")</f>
        <v>一件白衬衫的男人站在机器前。</v>
      </c>
    </row>
    <row r="7430">
      <c r="A7430" s="4" t="s">
        <v>9342</v>
      </c>
      <c r="B7430" s="4" t="s">
        <v>9344</v>
      </c>
      <c r="C7430" s="5" t="str">
        <f>IFERROR(__xludf.DUMMYFUNCTION("GOOGLETRANSLATE(B7430,""en"",""zh-CN"")"),"他转过身指向机器。")</f>
        <v>他转过身指向机器。</v>
      </c>
    </row>
    <row r="7431">
      <c r="A7431" s="4" t="s">
        <v>9342</v>
      </c>
      <c r="B7431" s="4" t="s">
        <v>9345</v>
      </c>
      <c r="C7431" s="5" t="str">
        <f>IFERROR(__xludf.DUMMYFUNCTION("GOOGLETRANSLATE(B7431,""en"",""zh-CN"")"),"正在显示机器。")</f>
        <v>正在显示机器。</v>
      </c>
    </row>
    <row r="7432">
      <c r="A7432" s="4" t="s">
        <v>9342</v>
      </c>
      <c r="B7432" s="6" t="s">
        <v>9346</v>
      </c>
      <c r="C7432" s="5" t="str">
        <f>IFERROR(__xludf.DUMMYFUNCTION("GOOGLETRANSLATE(B7432,""en"",""zh-CN"")"),"一个穿着白衬衫的男人一直在说话，而在他身后，一位穿着灰色衬衫的男人走路并在机器中伸手去拿。")</f>
        <v>一个穿着白衬衫的男人一直在说话，而在他身后，一位穿着灰色衬衫的男人走路并在机器中伸手去拿。</v>
      </c>
    </row>
    <row r="7433">
      <c r="A7433" s="4" t="s">
        <v>9342</v>
      </c>
      <c r="B7433" s="4" t="s">
        <v>9347</v>
      </c>
      <c r="C7433" s="5" t="str">
        <f>IFERROR(__xludf.DUMMYFUNCTION("GOOGLETRANSLATE(B7433,""en"",""zh-CN"")"),"穿着灰色衬衫的男人在机器上放了一个粉状的东西。")</f>
        <v>穿着灰色衬衫的男人在机器上放了一个粉状的东西。</v>
      </c>
    </row>
    <row r="7434">
      <c r="A7434" s="4" t="s">
        <v>9342</v>
      </c>
      <c r="B7434" s="4" t="s">
        <v>9348</v>
      </c>
      <c r="C7434" s="5" t="str">
        <f>IFERROR(__xludf.DUMMYFUNCTION("GOOGLETRANSLATE(B7434,""en"",""zh-CN"")"),"他在摇袋。")</f>
        <v>他在摇袋。</v>
      </c>
    </row>
    <row r="7435">
      <c r="A7435" s="4" t="s">
        <v>9342</v>
      </c>
      <c r="B7435" s="4" t="s">
        <v>9349</v>
      </c>
      <c r="C7435" s="5" t="str">
        <f>IFERROR(__xludf.DUMMYFUNCTION("GOOGLETRANSLATE(B7435,""en"",""zh-CN"")"),"穿着白衬衫的男人将水泥放在墙上。")</f>
        <v>穿着白衬衫的男人将水泥放在墙上。</v>
      </c>
    </row>
    <row r="7436">
      <c r="A7436" s="4" t="s">
        <v>9342</v>
      </c>
      <c r="B7436" s="4" t="s">
        <v>9350</v>
      </c>
      <c r="C7436" s="5" t="str">
        <f>IFERROR(__xludf.DUMMYFUNCTION("GOOGLETRANSLATE(B7436,""en"",""zh-CN"")"),"该男子在墙上拿着一个蓝色的长管。")</f>
        <v>该男子在墙上拿着一个蓝色的长管。</v>
      </c>
    </row>
    <row r="7437">
      <c r="A7437" s="4" t="s">
        <v>9342</v>
      </c>
      <c r="B7437" s="4" t="s">
        <v>9351</v>
      </c>
      <c r="C7437" s="5" t="str">
        <f>IFERROR(__xludf.DUMMYFUNCTION("GOOGLETRANSLATE(B7437,""en"",""zh-CN"")"),"身穿灰色统一的人使用管子/泵，然后将水泥喷在墙上。")</f>
        <v>身穿灰色统一的人使用管子/泵，然后将水泥喷在墙上。</v>
      </c>
    </row>
    <row r="7438">
      <c r="A7438" s="4" t="s">
        <v>9342</v>
      </c>
      <c r="B7438" s="4" t="s">
        <v>9352</v>
      </c>
      <c r="C7438" s="5" t="str">
        <f>IFERROR(__xludf.DUMMYFUNCTION("GOOGLETRANSLATE(B7438,""en"",""zh-CN"")"),"一个老人在墙上平滑水泥。")</f>
        <v>一个老人在墙上平滑水泥。</v>
      </c>
    </row>
    <row r="7439">
      <c r="A7439" s="4" t="s">
        <v>9353</v>
      </c>
      <c r="B7439" s="6" t="s">
        <v>9354</v>
      </c>
      <c r="C7439" s="5" t="str">
        <f>IFERROR(__xludf.DUMMYFUNCTION("GOOGLETRANSLATE(B7439,""en"",""zh-CN"")"),"一位女士呼啦圈，带有五个呼啦圈，一个人一一又一次地扔掉它，直到她扔掉了她呼啦圈的所有五个呼啦圈。")</f>
        <v>一位女士呼啦圈，带有五个呼啦圈，一个人一一又一次地扔掉它，直到她扔掉了她呼啦圈的所有五个呼啦圈。</v>
      </c>
    </row>
    <row r="7440">
      <c r="A7440" s="4" t="s">
        <v>9353</v>
      </c>
      <c r="B7440" s="4" t="s">
        <v>9355</v>
      </c>
      <c r="C7440" s="5" t="str">
        <f>IFERROR(__xludf.DUMMYFUNCTION("GOOGLETRANSLATE(B7440,""en"",""zh-CN"")"),"然后，这位女士带着300个呼啦圈的呼啦圈将是世界纪录。")</f>
        <v>然后，这位女士带着300个呼啦圈的呼啦圈将是世界纪录。</v>
      </c>
    </row>
    <row r="7441">
      <c r="A7441" s="4" t="s">
        <v>9353</v>
      </c>
      <c r="B7441" s="6" t="s">
        <v>9356</v>
      </c>
      <c r="C7441" s="5" t="str">
        <f>IFERROR(__xludf.DUMMYFUNCTION("GOOGLETRANSLATE(B7441,""en"",""zh-CN"")"),"这位女士首先将300个呼啦圈放在她的身体上，因为她弯腰抓住了他们，然后她直立站立，开始旋转所有300个呼啦圈在她的身体上。")</f>
        <v>这位女士首先将300个呼啦圈放在她的身体上，因为她弯腰抓住了他们，然后她直立站立，开始旋转所有300个呼啦圈在她的身体上。</v>
      </c>
    </row>
    <row r="7442">
      <c r="A7442" s="4" t="s">
        <v>9353</v>
      </c>
      <c r="B7442" s="6" t="s">
        <v>9357</v>
      </c>
      <c r="C7442" s="5" t="str">
        <f>IFERROR(__xludf.DUMMYFUNCTION("GOOGLETRANSLATE(B7442,""en"",""zh-CN"")"),"最终，她设法将所有的呼啦圈旋转在她的孔身体上，并在地面上带着呼啦圈结束，向看着她的人鞠躬。")</f>
        <v>最终，她设法将所有的呼啦圈旋转在她的孔身体上，并在地面上带着呼啦圈结束，向看着她的人鞠躬。</v>
      </c>
    </row>
    <row r="7443">
      <c r="A7443" s="4" t="s">
        <v>9358</v>
      </c>
      <c r="B7443" s="4" t="s">
        <v>9359</v>
      </c>
      <c r="C7443" s="5" t="str">
        <f>IFERROR(__xludf.DUMMYFUNCTION("GOOGLETRANSLATE(B7443,""en"",""zh-CN"")"),"看到一个男人在路边慢跑，并与镜头说话。")</f>
        <v>看到一个男人在路边慢跑，并与镜头说话。</v>
      </c>
    </row>
    <row r="7444">
      <c r="A7444" s="4" t="s">
        <v>9358</v>
      </c>
      <c r="B7444" s="4" t="s">
        <v>9360</v>
      </c>
      <c r="C7444" s="5" t="str">
        <f>IFERROR(__xludf.DUMMYFUNCTION("GOOGLETRANSLATE(B7444,""en"",""zh-CN"")"),"剪辑显示他在侧面热身并沿着山坡上奔跑。")</f>
        <v>剪辑显示他在侧面热身并沿着山坡上奔跑。</v>
      </c>
    </row>
    <row r="7445">
      <c r="A7445" s="4" t="s">
        <v>9358</v>
      </c>
      <c r="B7445" s="6" t="s">
        <v>9361</v>
      </c>
      <c r="C7445" s="5" t="str">
        <f>IFERROR(__xludf.DUMMYFUNCTION("GOOGLETRANSLATE(B7445,""en"",""zh-CN"")"),"他继续在附近跑来跑去时继续与相机交谈，人们炫耀自己的动作。")</f>
        <v>他继续在附近跑来跑去时继续与相机交谈，人们炫耀自己的动作。</v>
      </c>
    </row>
    <row r="7446">
      <c r="A7446" s="4" t="s">
        <v>9362</v>
      </c>
      <c r="B7446" s="4" t="s">
        <v>9363</v>
      </c>
      <c r="C7446" s="5" t="str">
        <f>IFERROR(__xludf.DUMMYFUNCTION("GOOGLETRANSLATE(B7446,""en"",""zh-CN"")"),"一个人站在两个倒鼓后面。")</f>
        <v>一个人站在两个倒鼓后面。</v>
      </c>
    </row>
    <row r="7447">
      <c r="A7447" s="4" t="s">
        <v>9362</v>
      </c>
      <c r="B7447" s="4" t="s">
        <v>9364</v>
      </c>
      <c r="C7447" s="5" t="str">
        <f>IFERROR(__xludf.DUMMYFUNCTION("GOOGLETRANSLATE(B7447,""en"",""zh-CN"")"),"他开始用小棍子玩。")</f>
        <v>他开始用小棍子玩。</v>
      </c>
    </row>
    <row r="7448">
      <c r="A7448" s="4" t="s">
        <v>9362</v>
      </c>
      <c r="B7448" s="4" t="s">
        <v>9365</v>
      </c>
      <c r="C7448" s="5" t="str">
        <f>IFERROR(__xludf.DUMMYFUNCTION("GOOGLETRANSLATE(B7448,""en"",""zh-CN"")"),"他结束了比赛，走开了。")</f>
        <v>他结束了比赛，走开了。</v>
      </c>
    </row>
    <row r="7449">
      <c r="A7449" s="4" t="s">
        <v>9366</v>
      </c>
      <c r="B7449" s="4" t="s">
        <v>9367</v>
      </c>
      <c r="C7449" s="5" t="str">
        <f>IFERROR(__xludf.DUMMYFUNCTION("GOOGLETRANSLATE(B7449,""en"",""zh-CN"")"),"看到一个运动员站在光束前，开始进行体操例行。")</f>
        <v>看到一个运动员站在光束前，开始进行体操例行。</v>
      </c>
    </row>
    <row r="7450">
      <c r="A7450" s="4" t="s">
        <v>9366</v>
      </c>
      <c r="B7450" s="6" t="s">
        <v>9368</v>
      </c>
      <c r="C7450" s="5" t="str">
        <f>IFERROR(__xludf.DUMMYFUNCTION("GOOGLETRANSLATE(B7450,""en"",""zh-CN"")"),"他通过亲吻人群并走开，四处摇摆自己的围绕着翻转和捣蛋。")</f>
        <v>他通过亲吻人群并走开，四处摇摆自己的围绕着翻转和捣蛋。</v>
      </c>
    </row>
    <row r="7451">
      <c r="A7451" s="4" t="s">
        <v>9369</v>
      </c>
      <c r="B7451" s="6" t="s">
        <v>9370</v>
      </c>
      <c r="C7451" s="5" t="str">
        <f>IFERROR(__xludf.DUMMYFUNCTION("GOOGLETRANSLATE(B7451,""en"",""zh-CN"")"),"出现了一个特殊效果介绍屏幕，它主要是屏幕中间出现的蓝色和白色单词，它们阅读“绳索跳过”。")</f>
        <v>出现了一个特殊效果介绍屏幕，它主要是屏幕中间出现的蓝色和白色单词，它们阅读“绳索跳过”。</v>
      </c>
    </row>
    <row r="7452">
      <c r="A7452" s="4" t="s">
        <v>9369</v>
      </c>
      <c r="B7452" s="6" t="s">
        <v>9371</v>
      </c>
      <c r="C7452" s="5" t="str">
        <f>IFERROR(__xludf.DUMMYFUNCTION("GOOGLETRANSLATE(B7452,""en"",""zh-CN"")"),"在这句话后面，有4个带有自己的跳绳的女孩，他们都分开跳过绳索，最终他们齐声跳跃。")</f>
        <v>在这句话后面，有4个带有自己的跳绳的女孩，他们都分开跳过绳索，最终他们齐声跳跃。</v>
      </c>
    </row>
    <row r="7453">
      <c r="A7453" s="4" t="s">
        <v>9369</v>
      </c>
      <c r="B7453" s="6" t="s">
        <v>9372</v>
      </c>
      <c r="C7453" s="5" t="str">
        <f>IFERROR(__xludf.DUMMYFUNCTION("GOOGLETRANSLATE(B7453,""en"",""zh-CN"")"),"屏幕上出现了白色的单词，上面写着“ Klasse 7c/fr Leifels”，女孩们跌倒在地面以结束日常工作，他们微笑着环顾四周。")</f>
        <v>屏幕上出现了白色的单词，上面写着“ Klasse 7c/fr Leifels”，女孩们跌倒在地面以结束日常工作，他们微笑着环顾四周。</v>
      </c>
    </row>
    <row r="7454">
      <c r="A7454" s="4" t="s">
        <v>9373</v>
      </c>
      <c r="B7454" s="6" t="s">
        <v>9374</v>
      </c>
      <c r="C7454" s="5" t="str">
        <f>IFERROR(__xludf.DUMMYFUNCTION("GOOGLETRANSLATE(B7454,""en"",""zh-CN"")"),"一个戴着灰色印花连帽衫的男人正站在墙上介绍自己，然后解释说他将为一些技巧提供教程。")</f>
        <v>一个戴着灰色印花连帽衫的男人正站在墙上介绍自己，然后解释说他将为一些技巧提供教程。</v>
      </c>
    </row>
    <row r="7455">
      <c r="A7455" s="4" t="s">
        <v>9373</v>
      </c>
      <c r="B7455" s="6" t="s">
        <v>9375</v>
      </c>
      <c r="C7455" s="5" t="str">
        <f>IFERROR(__xludf.DUMMYFUNCTION("GOOGLETRANSLATE(B7455,""en"",""zh-CN"")"),"用桌子日历显示了一个停止启动动画，其中显示了翻转动画图，将其融合到框架动画中，导致该组的标题和他们将要解释的滑板教程。")</f>
        <v>用桌子日历显示了一个停止启动动画，其中显示了翻转动画图，将其融合到框架动画中，导致该组的标题和他们将要解释的滑板教程。</v>
      </c>
    </row>
    <row r="7456">
      <c r="A7456" s="4" t="s">
        <v>9373</v>
      </c>
      <c r="B7456" s="6" t="s">
        <v>9376</v>
      </c>
      <c r="C7456" s="5" t="str">
        <f>IFERROR(__xludf.DUMMYFUNCTION("GOOGLETRANSLATE(B7456,""en"",""zh-CN"")"),"滑板手的镜头在相机前做一个技巧之后，灰色连帽衫的男人解释说，他将展示如何在滑板上进行前沿180，以及它可以使用的方法以及基本面学习技巧。")</f>
        <v>滑板手的镜头在相机前做一个技巧之后，灰色连帽衫的男人解释说，他将展示如何在滑板上进行前沿180，以及它可以使用的方法以及基本面学习技巧。</v>
      </c>
    </row>
    <row r="7457">
      <c r="A7457" s="4" t="s">
        <v>9373</v>
      </c>
      <c r="B7457" s="6" t="s">
        <v>9377</v>
      </c>
      <c r="C7457" s="5" t="str">
        <f>IFERROR(__xludf.DUMMYFUNCTION("GOOGLETRANSLATE(B7457,""en"",""zh-CN"")"),"然后，他介绍了如何在谈论窍门时展示如何在深度完成技巧的解释。")</f>
        <v>然后，他介绍了如何在谈论窍门时展示如何在深度完成技巧的解释。</v>
      </c>
    </row>
    <row r="7458">
      <c r="A7458" s="4" t="s">
        <v>9373</v>
      </c>
      <c r="B7458" s="6" t="s">
        <v>9378</v>
      </c>
      <c r="C7458" s="5" t="str">
        <f>IFERROR(__xludf.DUMMYFUNCTION("GOOGLETRANSLATE(B7458,""en"",""zh-CN"")"),"摄像头竖起，并出现一个黑屏，上面有白色字母和网站地址，然后是电影公司和网站频道。")</f>
        <v>摄像头竖起，并出现一个黑屏，上面有白色字母和网站地址，然后是电影公司和网站频道。</v>
      </c>
    </row>
    <row r="7459">
      <c r="A7459" s="4" t="s">
        <v>9379</v>
      </c>
      <c r="B7459" s="4" t="s">
        <v>9380</v>
      </c>
      <c r="C7459" s="5" t="str">
        <f>IFERROR(__xludf.DUMMYFUNCTION("GOOGLETRANSLATE(B7459,""en"",""zh-CN"")"),"一名男子在walking狗绑在皮带上的链条上时抽烟。")</f>
        <v>一名男子在walking狗绑在皮带上的链条上时抽烟。</v>
      </c>
    </row>
    <row r="7460">
      <c r="A7460" s="4" t="s">
        <v>9379</v>
      </c>
      <c r="B7460" s="4" t="s">
        <v>9381</v>
      </c>
      <c r="C7460" s="5" t="str">
        <f>IFERROR(__xludf.DUMMYFUNCTION("GOOGLETRANSLATE(B7460,""en"",""zh-CN"")"),"一个男人在桌子后面说话。")</f>
        <v>一个男人在桌子后面说话。</v>
      </c>
    </row>
    <row r="7461">
      <c r="A7461" s="4" t="s">
        <v>9379</v>
      </c>
      <c r="B7461" s="4" t="s">
        <v>9382</v>
      </c>
      <c r="C7461" s="5" t="str">
        <f>IFERROR(__xludf.DUMMYFUNCTION("GOOGLETRANSLATE(B7461,""en"",""zh-CN"")"),"当新闻人谈论他时，演员显示了几个场景。")</f>
        <v>当新闻人谈论他时，演员显示了几个场景。</v>
      </c>
    </row>
    <row r="7462">
      <c r="A7462" s="4" t="s">
        <v>9383</v>
      </c>
      <c r="B7462" s="4" t="s">
        <v>9384</v>
      </c>
      <c r="C7462" s="5" t="str">
        <f>IFERROR(__xludf.DUMMYFUNCTION("GOOGLETRANSLATE(B7462,""en"",""zh-CN"")"),"一个女人正准备在她的前院洗澡。")</f>
        <v>一个女人正准备在她的前院洗澡。</v>
      </c>
    </row>
    <row r="7463">
      <c r="A7463" s="4" t="s">
        <v>9383</v>
      </c>
      <c r="B7463" s="4" t="s">
        <v>9385</v>
      </c>
      <c r="C7463" s="5" t="str">
        <f>IFERROR(__xludf.DUMMYFUNCTION("GOOGLETRANSLATE(B7463,""en"",""zh-CN"")"),"她拿起软管，首先弄湿狗。")</f>
        <v>她拿起软管，首先弄湿狗。</v>
      </c>
    </row>
    <row r="7464">
      <c r="A7464" s="4" t="s">
        <v>9383</v>
      </c>
      <c r="B7464" s="4" t="s">
        <v>9386</v>
      </c>
      <c r="C7464" s="5" t="str">
        <f>IFERROR(__xludf.DUMMYFUNCTION("GOOGLETRANSLATE(B7464,""en"",""zh-CN"")"),"狗周围还有另一只小狗，还有一只小猫。")</f>
        <v>狗周围还有另一只小狗，还有一只小猫。</v>
      </c>
    </row>
    <row r="7465">
      <c r="A7465" s="4" t="s">
        <v>9383</v>
      </c>
      <c r="B7465" s="4" t="s">
        <v>9387</v>
      </c>
      <c r="C7465" s="5" t="str">
        <f>IFERROR(__xludf.DUMMYFUNCTION("GOOGLETRANSLATE(B7465,""en"",""zh-CN"")"),"该女子拿一些液体肥皂并将其擦在狗身上。")</f>
        <v>该女子拿一些液体肥皂并将其擦在狗身上。</v>
      </c>
    </row>
    <row r="7466">
      <c r="A7466" s="4" t="s">
        <v>9383</v>
      </c>
      <c r="B7466" s="4" t="s">
        <v>9388</v>
      </c>
      <c r="C7466" s="5" t="str">
        <f>IFERROR(__xludf.DUMMYFUNCTION("GOOGLETRANSLATE(B7466,""en"",""zh-CN"")"),"洗完后，她用毛巾将他擦干。")</f>
        <v>洗完后，她用毛巾将他擦干。</v>
      </c>
    </row>
    <row r="7467">
      <c r="A7467" s="4" t="s">
        <v>9383</v>
      </c>
      <c r="B7467" s="4" t="s">
        <v>9389</v>
      </c>
      <c r="C7467" s="5" t="str">
        <f>IFERROR(__xludf.DUMMYFUNCTION("GOOGLETRANSLATE(B7467,""en"",""zh-CN"")"),"然后，她用肥皂和水以同样的方式给小狗洗澡。")</f>
        <v>然后，她用肥皂和水以同样的方式给小狗洗澡。</v>
      </c>
    </row>
    <row r="7468">
      <c r="A7468" s="4" t="s">
        <v>9383</v>
      </c>
      <c r="B7468" s="4" t="s">
        <v>9390</v>
      </c>
      <c r="C7468" s="5" t="str">
        <f>IFERROR(__xludf.DUMMYFUNCTION("GOOGLETRANSLATE(B7468,""en"",""zh-CN"")"),"狗在沐浴结束后，狗在他的身体上湿毛皮后正在地毯上玩耍。")</f>
        <v>狗在沐浴结束后，狗在他的身体上湿毛皮后正在地毯上玩耍。</v>
      </c>
    </row>
    <row r="7469">
      <c r="A7469" s="4" t="s">
        <v>9383</v>
      </c>
      <c r="B7469" s="4" t="s">
        <v>9391</v>
      </c>
      <c r="C7469" s="5" t="str">
        <f>IFERROR(__xludf.DUMMYFUNCTION("GOOGLETRANSLATE(B7469,""en"",""zh-CN"")"),"小狗也用湿皮草在狗周围奔跑。")</f>
        <v>小狗也用湿皮草在狗周围奔跑。</v>
      </c>
    </row>
    <row r="7470">
      <c r="A7470" s="4" t="s">
        <v>9392</v>
      </c>
      <c r="B7470" s="4" t="s">
        <v>9393</v>
      </c>
      <c r="C7470" s="5" t="str">
        <f>IFERROR(__xludf.DUMMYFUNCTION("GOOGLETRANSLATE(B7470,""en"",""zh-CN"")"),"显示了一盘饼干，然后在碗中殴打黄油。")</f>
        <v>显示了一盘饼干，然后在碗中殴打黄油。</v>
      </c>
    </row>
    <row r="7471">
      <c r="A7471" s="4" t="s">
        <v>9392</v>
      </c>
      <c r="B7471" s="4" t="s">
        <v>9394</v>
      </c>
      <c r="C7471" s="5" t="str">
        <f>IFERROR(__xludf.DUMMYFUNCTION("GOOGLETRANSLATE(B7471,""en"",""zh-CN"")"),"一次添加一种成分，将它们混合在一起。")</f>
        <v>一次添加一种成分，将它们混合在一起。</v>
      </c>
    </row>
    <row r="7472">
      <c r="A7472" s="4" t="s">
        <v>9392</v>
      </c>
      <c r="B7472" s="4" t="s">
        <v>9395</v>
      </c>
      <c r="C7472" s="5" t="str">
        <f>IFERROR(__xludf.DUMMYFUNCTION("GOOGLETRANSLATE(B7472,""en"",""zh-CN"")"),"将面团用管道上的托盘，然后烘烤。")</f>
        <v>将面团用管道上的托盘，然后烘烤。</v>
      </c>
    </row>
    <row r="7473">
      <c r="A7473" s="4" t="s">
        <v>9396</v>
      </c>
      <c r="B7473" s="4" t="s">
        <v>9397</v>
      </c>
      <c r="C7473" s="5" t="str">
        <f>IFERROR(__xludf.DUMMYFUNCTION("GOOGLETRANSLATE(B7473,""en"",""zh-CN"")"),"一个女人站在一个房间里说话。")</f>
        <v>一个女人站在一个房间里说话。</v>
      </c>
    </row>
    <row r="7474">
      <c r="A7474" s="4" t="s">
        <v>9396</v>
      </c>
      <c r="B7474" s="4" t="s">
        <v>9398</v>
      </c>
      <c r="C7474" s="5" t="str">
        <f>IFERROR(__xludf.DUMMYFUNCTION("GOOGLETRANSLATE(B7474,""en"",""zh-CN"")"),"她拿起一个塑料瓶。")</f>
        <v>她拿起一个塑料瓶。</v>
      </c>
    </row>
    <row r="7475">
      <c r="A7475" s="4" t="s">
        <v>9396</v>
      </c>
      <c r="B7475" s="4" t="s">
        <v>9399</v>
      </c>
      <c r="C7475" s="5" t="str">
        <f>IFERROR(__xludf.DUMMYFUNCTION("GOOGLETRANSLATE(B7475,""en"",""zh-CN"")"),"她开始给梳妆台除尘。")</f>
        <v>她开始给梳妆台除尘。</v>
      </c>
    </row>
    <row r="7476">
      <c r="A7476" s="4" t="s">
        <v>9396</v>
      </c>
      <c r="B7476" s="4" t="s">
        <v>9400</v>
      </c>
      <c r="C7476" s="5" t="str">
        <f>IFERROR(__xludf.DUMMYFUNCTION("GOOGLETRANSLATE(B7476,""en"",""zh-CN"")"),"她用毛巾将其擦掉。")</f>
        <v>她用毛巾将其擦掉。</v>
      </c>
    </row>
    <row r="7477">
      <c r="A7477" s="4" t="s">
        <v>9396</v>
      </c>
      <c r="B7477" s="4" t="s">
        <v>9401</v>
      </c>
      <c r="C7477" s="5" t="str">
        <f>IFERROR(__xludf.DUMMYFUNCTION("GOOGLETRANSLATE(B7477,""en"",""zh-CN"")"),"她将橄榄油倒在抹布上，然后将其摩擦到梳妆台上。")</f>
        <v>她将橄榄油倒在抹布上，然后将其摩擦到梳妆台上。</v>
      </c>
    </row>
    <row r="7478">
      <c r="A7478" s="4" t="s">
        <v>9402</v>
      </c>
      <c r="B7478" s="6" t="s">
        <v>9403</v>
      </c>
      <c r="C7478" s="5" t="str">
        <f>IFERROR(__xludf.DUMMYFUNCTION("GOOGLETRANSLATE(B7478,""en"",""zh-CN"")"),"团队在球场上打球，在球场上奔跑，而人们在看台上观看比赛。")</f>
        <v>团队在球场上打球，在球场上奔跑，而人们在看台上观看比赛。</v>
      </c>
    </row>
    <row r="7479">
      <c r="A7479" s="4" t="s">
        <v>9402</v>
      </c>
      <c r="B7479" s="4" t="s">
        <v>9404</v>
      </c>
      <c r="C7479" s="5" t="str">
        <f>IFERROR(__xludf.DUMMYFUNCTION("GOOGLETRANSLATE(B7479,""en"",""zh-CN"")"),"团队站在一方指控处罚。")</f>
        <v>团队站在一方指控处罚。</v>
      </c>
    </row>
    <row r="7480">
      <c r="A7480" s="4" t="s">
        <v>9402</v>
      </c>
      <c r="B7480" s="4" t="s">
        <v>9405</v>
      </c>
      <c r="C7480" s="5" t="str">
        <f>IFERROR(__xludf.DUMMYFUNCTION("GOOGLETRANSLATE(B7480,""en"",""zh-CN"")"),"人们在屋顶的健身房玩耍并打动游戏。")</f>
        <v>人们在屋顶的健身房玩耍并打动游戏。</v>
      </c>
    </row>
    <row r="7481">
      <c r="A7481" s="4" t="s">
        <v>9406</v>
      </c>
      <c r="B7481" s="4" t="s">
        <v>9407</v>
      </c>
      <c r="C7481" s="5" t="str">
        <f>IFERROR(__xludf.DUMMYFUNCTION("GOOGLETRANSLATE(B7481,""en"",""zh-CN"")"),"我们看到一个男人在走过房子时说话。")</f>
        <v>我们看到一个男人在走过房子时说话。</v>
      </c>
    </row>
    <row r="7482">
      <c r="A7482" s="4" t="s">
        <v>9406</v>
      </c>
      <c r="B7482" s="4" t="s">
        <v>9408</v>
      </c>
      <c r="C7482" s="5" t="str">
        <f>IFERROR(__xludf.DUMMYFUNCTION("GOOGLETRANSLATE(B7482,""en"",""zh-CN"")"),"我们看到另一个男人在地板上工作。")</f>
        <v>我们看到另一个男人在地板上工作。</v>
      </c>
    </row>
    <row r="7483">
      <c r="A7483" s="4" t="s">
        <v>9406</v>
      </c>
      <c r="B7483" s="4" t="s">
        <v>9409</v>
      </c>
      <c r="C7483" s="5" t="str">
        <f>IFERROR(__xludf.DUMMYFUNCTION("GOOGLETRANSLATE(B7483,""en"",""zh-CN"")"),"我们看到一个男人在另一个房间里躺着瓷砖。")</f>
        <v>我们看到一个男人在另一个房间里躺着瓷砖。</v>
      </c>
    </row>
    <row r="7484">
      <c r="A7484" s="4" t="s">
        <v>9406</v>
      </c>
      <c r="B7484" s="4" t="s">
        <v>9410</v>
      </c>
      <c r="C7484" s="5" t="str">
        <f>IFERROR(__xludf.DUMMYFUNCTION("GOOGLETRANSLATE(B7484,""en"",""zh-CN"")"),"两个人在同一房间从事不同的项目。")</f>
        <v>两个人在同一房间从事不同的项目。</v>
      </c>
    </row>
    <row r="7485">
      <c r="A7485" s="4" t="s">
        <v>9406</v>
      </c>
      <c r="B7485" s="4" t="s">
        <v>9411</v>
      </c>
      <c r="C7485" s="5" t="str">
        <f>IFERROR(__xludf.DUMMYFUNCTION("GOOGLETRANSLATE(B7485,""en"",""zh-CN"")"),"我们看到男人再次与镜头说话。")</f>
        <v>我们看到男人再次与镜头说话。</v>
      </c>
    </row>
    <row r="7486">
      <c r="A7486" s="4" t="s">
        <v>9412</v>
      </c>
      <c r="B7486" s="4" t="s">
        <v>9413</v>
      </c>
      <c r="C7486" s="5" t="str">
        <f>IFERROR(__xludf.DUMMYFUNCTION("GOOGLETRANSLATE(B7486,""en"",""zh-CN"")"),"键入网站地址。")</f>
        <v>键入网站地址。</v>
      </c>
    </row>
    <row r="7487">
      <c r="A7487" s="4" t="s">
        <v>9412</v>
      </c>
      <c r="B7487" s="4" t="s">
        <v>9414</v>
      </c>
      <c r="C7487" s="5" t="str">
        <f>IFERROR(__xludf.DUMMYFUNCTION("GOOGLETRANSLATE(B7487,""en"",""zh-CN"")"),"滑板滑板，并在整个城市的长凳上进行窍门。")</f>
        <v>滑板滑板，并在整个城市的长凳上进行窍门。</v>
      </c>
    </row>
    <row r="7488">
      <c r="A7488" s="4" t="s">
        <v>9412</v>
      </c>
      <c r="B7488" s="4" t="s">
        <v>9415</v>
      </c>
      <c r="C7488" s="5" t="str">
        <f>IFERROR(__xludf.DUMMYFUNCTION("GOOGLETRANSLATE(B7488,""en"",""zh-CN"")"),"滑板手在滑板公园里骑混凝土坡道。")</f>
        <v>滑板手在滑板公园里骑混凝土坡道。</v>
      </c>
    </row>
    <row r="7489">
      <c r="A7489" s="4" t="s">
        <v>9412</v>
      </c>
      <c r="B7489" s="4" t="s">
        <v>9416</v>
      </c>
      <c r="C7489" s="5" t="str">
        <f>IFERROR(__xludf.DUMMYFUNCTION("GOOGLETRANSLATE(B7489,""en"",""zh-CN"")"),"滑板手骑着排水沟的河岸。")</f>
        <v>滑板手骑着排水沟的河岸。</v>
      </c>
    </row>
    <row r="7490">
      <c r="A7490" s="4" t="s">
        <v>9412</v>
      </c>
      <c r="B7490" s="4" t="s">
        <v>9417</v>
      </c>
      <c r="C7490" s="5" t="str">
        <f>IFERROR(__xludf.DUMMYFUNCTION("GOOGLETRANSLATE(B7490,""en"",""zh-CN"")"),"不同的滑板手骑着混凝土坡道做技巧。")</f>
        <v>不同的滑板手骑着混凝土坡道做技巧。</v>
      </c>
    </row>
    <row r="7491">
      <c r="A7491" s="4" t="s">
        <v>9412</v>
      </c>
      <c r="B7491" s="4" t="s">
        <v>9418</v>
      </c>
      <c r="C7491" s="5" t="str">
        <f>IFERROR(__xludf.DUMMYFUNCTION("GOOGLETRANSLATE(B7491,""en"",""zh-CN"")"),"夜间看到城市灯，快速移动。")</f>
        <v>夜间看到城市灯，快速移动。</v>
      </c>
    </row>
    <row r="7492">
      <c r="A7492" s="4" t="s">
        <v>9419</v>
      </c>
      <c r="B7492" s="4" t="s">
        <v>9420</v>
      </c>
      <c r="C7492" s="5" t="str">
        <f>IFERROR(__xludf.DUMMYFUNCTION("GOOGLETRANSLATE(B7492,""en"",""zh-CN"")"),"人们在舞台上跳舞。")</f>
        <v>人们在舞台上跳舞。</v>
      </c>
    </row>
    <row r="7493">
      <c r="A7493" s="4" t="s">
        <v>9419</v>
      </c>
      <c r="B7493" s="4" t="s">
        <v>9421</v>
      </c>
      <c r="C7493" s="5" t="str">
        <f>IFERROR(__xludf.DUMMYFUNCTION("GOOGLETRANSLATE(B7493,""en"",""zh-CN"")"),"观众中的人举手。")</f>
        <v>观众中的人举手。</v>
      </c>
    </row>
    <row r="7494">
      <c r="A7494" s="4" t="s">
        <v>9419</v>
      </c>
      <c r="B7494" s="4" t="s">
        <v>9422</v>
      </c>
      <c r="C7494" s="5" t="str">
        <f>IFERROR(__xludf.DUMMYFUNCTION("GOOGLETRANSLATE(B7494,""en"",""zh-CN"")"),"一个穿着白衬衫的男人开始在舞台上唱歌和跳舞。")</f>
        <v>一个穿着白衬衫的男人开始在舞台上唱歌和跳舞。</v>
      </c>
    </row>
    <row r="7495">
      <c r="A7495" s="4" t="s">
        <v>9423</v>
      </c>
      <c r="B7495" s="6" t="s">
        <v>9424</v>
      </c>
      <c r="C7495" s="5" t="str">
        <f>IFERROR(__xludf.DUMMYFUNCTION("GOOGLETRANSLATE(B7495,""en"",""zh-CN"")"),"一位厨师在准备亚洲启发的饭菜时演示了如何切割和切碎几种蔬菜。")</f>
        <v>一位厨师在准备亚洲启发的饭菜时演示了如何切割和切碎几种蔬菜。</v>
      </c>
    </row>
    <row r="7496">
      <c r="A7496" s="4" t="s">
        <v>9423</v>
      </c>
      <c r="B7496" s="4" t="s">
        <v>9425</v>
      </c>
      <c r="C7496" s="5" t="str">
        <f>IFERROR(__xludf.DUMMYFUNCTION("GOOGLETRANSLATE(B7496,""en"",""zh-CN"")"),"厨房里的白色厨师穿着厨房的厨师将土豆和洋葱煮在锅中。")</f>
        <v>厨房里的白色厨师穿着厨房的厨师将土豆和洋葱煮在锅中。</v>
      </c>
    </row>
    <row r="7497">
      <c r="A7497" s="4" t="s">
        <v>9423</v>
      </c>
      <c r="B7497" s="4" t="s">
        <v>9426</v>
      </c>
      <c r="C7497" s="5" t="str">
        <f>IFERROR(__xludf.DUMMYFUNCTION("GOOGLETRANSLATE(B7497,""en"",""zh-CN"")"),"厨师与相机交谈，并采用一系列蔬菜，然后在柜台上铺上它们。")</f>
        <v>厨师与相机交谈，并采用一系列蔬菜，然后在柜台上铺上它们。</v>
      </c>
    </row>
    <row r="7498">
      <c r="A7498" s="4" t="s">
        <v>9423</v>
      </c>
      <c r="B7498" s="6" t="s">
        <v>9427</v>
      </c>
      <c r="C7498" s="5" t="str">
        <f>IFERROR(__xludf.DUMMYFUNCTION("GOOGLETRANSLATE(B7498,""en"",""zh-CN"")"),"然后，厨师将蔬菜和一些油放入一个碗中，并粘在两个大筷子中以展示成品。")</f>
        <v>然后，厨师将蔬菜和一些油放入一个碗中，并粘在两个大筷子中以展示成品。</v>
      </c>
    </row>
    <row r="7499">
      <c r="A7499" s="4" t="s">
        <v>9428</v>
      </c>
      <c r="B7499" s="4" t="s">
        <v>9429</v>
      </c>
      <c r="C7499" s="5" t="str">
        <f>IFERROR(__xludf.DUMMYFUNCTION("GOOGLETRANSLATE(B7499,""en"",""zh-CN"")"),"看到一个女人躺在桌子上，一个男人从后面刺她。")</f>
        <v>看到一个女人躺在桌子上，一个男人从后面刺她。</v>
      </c>
    </row>
    <row r="7500">
      <c r="A7500" s="4" t="s">
        <v>9428</v>
      </c>
      <c r="B7500" s="4" t="s">
        <v>9430</v>
      </c>
      <c r="C7500" s="5" t="str">
        <f>IFERROR(__xludf.DUMMYFUNCTION("GOOGLETRANSLATE(B7500,""en"",""zh-CN"")"),"当男人继续纹身时，一个女人看着一边，让他停下来。")</f>
        <v>当男人继续纹身时，一个女人看着一边，让他停下来。</v>
      </c>
    </row>
    <row r="7501">
      <c r="A7501" s="4" t="s">
        <v>9428</v>
      </c>
      <c r="B7501" s="6" t="s">
        <v>9431</v>
      </c>
      <c r="C7501" s="5" t="str">
        <f>IFERROR(__xludf.DUMMYFUNCTION("GOOGLETRANSLATE(B7501,""en"",""zh-CN"")"),"该名女子继续试图获得纹身，但要停下来和相机说话，因为它受伤了。")</f>
        <v>该名女子继续试图获得纹身，但要停下来和相机说话，因为它受伤了。</v>
      </c>
    </row>
    <row r="7502">
      <c r="A7502" s="4" t="s">
        <v>9432</v>
      </c>
      <c r="B7502" s="6" t="s">
        <v>9433</v>
      </c>
      <c r="C7502" s="5" t="str">
        <f>IFERROR(__xludf.DUMMYFUNCTION("GOOGLETRANSLATE(B7502,""en"",""zh-CN"")"),"看到一个男人站在梯子上，并在梯子上带着几张照片，然后用另一个墙壁绘画。")</f>
        <v>看到一个男人站在梯子上，并在梯子上带着几张照片，然后用另一个墙壁绘画。</v>
      </c>
    </row>
    <row r="7503">
      <c r="A7503" s="4" t="s">
        <v>9432</v>
      </c>
      <c r="B7503" s="6" t="s">
        <v>9434</v>
      </c>
      <c r="C7503" s="5" t="str">
        <f>IFERROR(__xludf.DUMMYFUNCTION("GOOGLETRANSLATE(B7503,""en"",""zh-CN"")"),"他们看到他们挂在海报上，上下梯子上下爬，最后在一根大棍棒上切割龋齿。")</f>
        <v>他们看到他们挂在海报上，上下梯子上下爬，最后在一根大棍棒上切割龋齿。</v>
      </c>
    </row>
    <row r="7504">
      <c r="A7504" s="4" t="s">
        <v>9435</v>
      </c>
      <c r="B7504" s="4" t="s">
        <v>9436</v>
      </c>
      <c r="C7504" s="5" t="str">
        <f>IFERROR(__xludf.DUMMYFUNCTION("GOOGLETRANSLATE(B7504,""en"",""zh-CN"")"),"一个男人坐在椅子上。")</f>
        <v>一个男人坐在椅子上。</v>
      </c>
    </row>
    <row r="7505">
      <c r="A7505" s="4" t="s">
        <v>9435</v>
      </c>
      <c r="B7505" s="4" t="s">
        <v>9437</v>
      </c>
      <c r="C7505" s="5" t="str">
        <f>IFERROR(__xludf.DUMMYFUNCTION("GOOGLETRANSLATE(B7505,""en"",""zh-CN"")"),"他开始在腿上打手风琴。")</f>
        <v>他开始在腿上打手风琴。</v>
      </c>
    </row>
    <row r="7506">
      <c r="A7506" s="4" t="s">
        <v>9435</v>
      </c>
      <c r="B7506" s="4" t="s">
        <v>9438</v>
      </c>
      <c r="C7506" s="5" t="str">
        <f>IFERROR(__xludf.DUMMYFUNCTION("GOOGLETRANSLATE(B7506,""en"",""zh-CN"")"),"他停止玩耍，看着相机。")</f>
        <v>他停止玩耍，看着相机。</v>
      </c>
    </row>
    <row r="7507">
      <c r="A7507" s="4" t="s">
        <v>9439</v>
      </c>
      <c r="B7507" s="4" t="s">
        <v>9440</v>
      </c>
      <c r="C7507" s="5" t="str">
        <f>IFERROR(__xludf.DUMMYFUNCTION("GOOGLETRANSLATE(B7507,""en"",""zh-CN"")"),"看到一个男人向前走去，向相机说话，开始洗车。")</f>
        <v>看到一个男人向前走去，向相机说话，开始洗车。</v>
      </c>
    </row>
    <row r="7508">
      <c r="A7508" s="4" t="s">
        <v>9439</v>
      </c>
      <c r="B7508" s="4" t="s">
        <v>9441</v>
      </c>
      <c r="C7508" s="5" t="str">
        <f>IFERROR(__xludf.DUMMYFUNCTION("GOOGLETRANSLATE(B7508,""en"",""zh-CN"")"),"该男子在仍在与相机交谈的同时，在车上擦洗。")</f>
        <v>该男子在仍在与相机交谈的同时，在车上擦洗。</v>
      </c>
    </row>
    <row r="7509">
      <c r="A7509" s="4" t="s">
        <v>9439</v>
      </c>
      <c r="B7509" s="4" t="s">
        <v>9442</v>
      </c>
      <c r="C7509" s="5" t="str">
        <f>IFERROR(__xludf.DUMMYFUNCTION("GOOGLETRANSLATE(B7509,""en"",""zh-CN"")"),"他继续洗车，停下来与镜头说话。")</f>
        <v>他继续洗车，停下来与镜头说话。</v>
      </c>
    </row>
    <row r="7510">
      <c r="A7510" s="4" t="s">
        <v>9443</v>
      </c>
      <c r="B7510" s="4" t="s">
        <v>9444</v>
      </c>
      <c r="C7510" s="5" t="str">
        <f>IFERROR(__xludf.DUMMYFUNCTION("GOOGLETRANSLATE(B7510,""en"",""zh-CN"")"),"一个女人试图玩坏人。")</f>
        <v>一个女人试图玩坏人。</v>
      </c>
    </row>
    <row r="7511">
      <c r="A7511" s="4" t="s">
        <v>9443</v>
      </c>
      <c r="B7511" s="4" t="s">
        <v>9445</v>
      </c>
      <c r="C7511" s="5" t="str">
        <f>IFERROR(__xludf.DUMMYFUNCTION("GOOGLETRANSLATE(B7511,""en"",""zh-CN"")"),"她正在撞到班车。")</f>
        <v>她正在撞到班车。</v>
      </c>
    </row>
    <row r="7512">
      <c r="A7512" s="4" t="s">
        <v>9443</v>
      </c>
      <c r="B7512" s="4" t="s">
        <v>9446</v>
      </c>
      <c r="C7512" s="5" t="str">
        <f>IFERROR(__xludf.DUMMYFUNCTION("GOOGLETRANSLATE(B7512,""en"",""zh-CN"")"),"她在球场周围走来走去，环顾四周。")</f>
        <v>她在球场周围走来走去，环顾四周。</v>
      </c>
    </row>
    <row r="7513">
      <c r="A7513" s="4" t="s">
        <v>9443</v>
      </c>
      <c r="B7513" s="4" t="s">
        <v>9447</v>
      </c>
      <c r="C7513" s="5" t="str">
        <f>IFERROR(__xludf.DUMMYFUNCTION("GOOGLETRANSLATE(B7513,""en"",""zh-CN"")"),"她试图不用努力玩游戏。")</f>
        <v>她试图不用努力玩游戏。</v>
      </c>
    </row>
    <row r="7514">
      <c r="A7514" s="4" t="s">
        <v>9443</v>
      </c>
      <c r="B7514" s="4" t="s">
        <v>9448</v>
      </c>
      <c r="C7514" s="5" t="str">
        <f>IFERROR(__xludf.DUMMYFUNCTION("GOOGLETRANSLATE(B7514,""en"",""zh-CN"")"),"她将另一个球拍交给朋友。")</f>
        <v>她将另一个球拍交给朋友。</v>
      </c>
    </row>
    <row r="7515">
      <c r="A7515" s="4" t="s">
        <v>9443</v>
      </c>
      <c r="B7515" s="4" t="s">
        <v>9449</v>
      </c>
      <c r="C7515" s="5" t="str">
        <f>IFERROR(__xludf.DUMMYFUNCTION("GOOGLETRANSLATE(B7515,""en"",""zh-CN"")"),"她并不是真的在玩。")</f>
        <v>她并不是真的在玩。</v>
      </c>
    </row>
    <row r="7516">
      <c r="A7516" s="4" t="s">
        <v>9443</v>
      </c>
      <c r="B7516" s="4" t="s">
        <v>9450</v>
      </c>
      <c r="C7516" s="5" t="str">
        <f>IFERROR(__xludf.DUMMYFUNCTION("GOOGLETRANSLATE(B7516,""en"",""zh-CN"")"),"另一位球员在她服务时是一个更加认真的球员。")</f>
        <v>另一位球员在她服务时是一个更加认真的球员。</v>
      </c>
    </row>
    <row r="7517">
      <c r="A7517" s="4" t="s">
        <v>9443</v>
      </c>
      <c r="B7517" s="4" t="s">
        <v>9451</v>
      </c>
      <c r="C7517" s="5" t="str">
        <f>IFERROR(__xludf.DUMMYFUNCTION("GOOGLETRANSLATE(B7517,""en"",""zh-CN"")"),"当第一位玩家一次又一次地错过时，Bad Mitten的游戏仍在继续。")</f>
        <v>当第一位玩家一次又一次地错过时，Bad Mitten的游戏仍在继续。</v>
      </c>
    </row>
    <row r="7518">
      <c r="A7518" s="4" t="s">
        <v>9443</v>
      </c>
      <c r="B7518" s="4" t="s">
        <v>9452</v>
      </c>
      <c r="C7518" s="5" t="str">
        <f>IFERROR(__xludf.DUMMYFUNCTION("GOOGLETRANSLATE(B7518,""en"",""zh-CN"")"),"人们在镜头前行走。")</f>
        <v>人们在镜头前行走。</v>
      </c>
    </row>
    <row r="7519">
      <c r="A7519" s="4" t="s">
        <v>9443</v>
      </c>
      <c r="B7519" s="4" t="s">
        <v>9453</v>
      </c>
      <c r="C7519" s="5" t="str">
        <f>IFERROR(__xludf.DUMMYFUNCTION("GOOGLETRANSLATE(B7519,""en"",""zh-CN"")"),"相机显示了另外两个玩家。")</f>
        <v>相机显示了另外两个玩家。</v>
      </c>
    </row>
    <row r="7520">
      <c r="A7520" s="4" t="s">
        <v>9443</v>
      </c>
      <c r="B7520" s="4" t="s">
        <v>9454</v>
      </c>
      <c r="C7520" s="5" t="str">
        <f>IFERROR(__xludf.DUMMYFUNCTION("GOOGLETRANSLATE(B7520,""en"",""zh-CN"")"),"游戏结束之前持续了一段时间。")</f>
        <v>游戏结束之前持续了一段时间。</v>
      </c>
    </row>
    <row r="7521">
      <c r="A7521" s="4" t="s">
        <v>9455</v>
      </c>
      <c r="B7521" s="4" t="s">
        <v>9456</v>
      </c>
      <c r="C7521" s="5" t="str">
        <f>IFERROR(__xludf.DUMMYFUNCTION("GOOGLETRANSLATE(B7521,""en"",""zh-CN"")"),"看到一个女人看着相机并举起一块化妆。")</f>
        <v>看到一个女人看着相机并举起一块化妆。</v>
      </c>
    </row>
    <row r="7522">
      <c r="A7522" s="4" t="s">
        <v>9455</v>
      </c>
      <c r="B7522" s="4" t="s">
        <v>9457</v>
      </c>
      <c r="C7522" s="5" t="str">
        <f>IFERROR(__xludf.DUMMYFUNCTION("GOOGLETRANSLATE(B7522,""en"",""zh-CN"")"),"然后，她拿出联系人，握住另一个容器。")</f>
        <v>然后，她拿出联系人，握住另一个容器。</v>
      </c>
    </row>
    <row r="7523">
      <c r="A7523" s="4" t="s">
        <v>9455</v>
      </c>
      <c r="B7523" s="4" t="s">
        <v>9458</v>
      </c>
      <c r="C7523" s="5" t="str">
        <f>IFERROR(__xludf.DUMMYFUNCTION("GOOGLETRANSLATE(B7523,""en"",""zh-CN"")"),"然后，她将另一组联系人放进去，然后对相机微笑。")</f>
        <v>然后，她将另一组联系人放进去，然后对相机微笑。</v>
      </c>
    </row>
    <row r="7524">
      <c r="A7524" s="4" t="s">
        <v>9459</v>
      </c>
      <c r="B7524" s="4" t="s">
        <v>9460</v>
      </c>
      <c r="C7524" s="5" t="str">
        <f>IFERROR(__xludf.DUMMYFUNCTION("GOOGLETRANSLATE(B7524,""en"",""zh-CN"")"),"一个男人调整相机，捕捉到他的手和脸的特写。")</f>
        <v>一个男人调整相机，捕捉到他的手和脸的特写。</v>
      </c>
    </row>
    <row r="7525">
      <c r="A7525" s="4" t="s">
        <v>9459</v>
      </c>
      <c r="B7525" s="4" t="s">
        <v>9461</v>
      </c>
      <c r="C7525" s="5" t="str">
        <f>IFERROR(__xludf.DUMMYFUNCTION("GOOGLETRANSLATE(B7525,""en"",""zh-CN"")"),"一个穿着绿色衬衫的小孩正在演奏一些康加打击乐器。")</f>
        <v>一个穿着绿色衬衫的小孩正在演奏一些康加打击乐器。</v>
      </c>
    </row>
    <row r="7526">
      <c r="A7526" s="4" t="s">
        <v>9459</v>
      </c>
      <c r="B7526" s="6" t="s">
        <v>9462</v>
      </c>
      <c r="C7526" s="5" t="str">
        <f>IFERROR(__xludf.DUMMYFUNCTION("GOOGLETRANSLATE(B7526,""en"",""zh-CN"")"),"一个穿着勃艮第衬衫的大男孩搬进了玩康加并开始跳舞的孩子背后的照片。")</f>
        <v>一个穿着勃艮第衬衫的大男孩搬进了玩康加并开始跳舞的孩子背后的照片。</v>
      </c>
    </row>
    <row r="7527">
      <c r="A7527" s="4" t="s">
        <v>9459</v>
      </c>
      <c r="B7527" s="6" t="s">
        <v>9463</v>
      </c>
      <c r="C7527" s="5" t="str">
        <f>IFERROR(__xludf.DUMMYFUNCTION("GOOGLETRANSLATE(B7527,""en"",""zh-CN"")"),"勃艮第衬衫中的男孩走出了照片，因为年轻的康加球员也随之而来。")</f>
        <v>勃艮第衬衫中的男孩走出了照片，因为年轻的康加球员也随之而来。</v>
      </c>
    </row>
    <row r="7528">
      <c r="A7528" s="4" t="s">
        <v>9459</v>
      </c>
      <c r="B7528" s="6" t="s">
        <v>9464</v>
      </c>
      <c r="C7528" s="5" t="str">
        <f>IFERROR(__xludf.DUMMYFUNCTION("GOOGLETRANSLATE(B7528,""en"",""zh-CN"")"),"这个小孩回来继续打康加的孩子，小时候穿着蓝色衬衫，在年轻的康加球员身后走路。")</f>
        <v>这个小孩回来继续打康加的孩子，小时候穿着蓝色衬衫，在年轻的康加球员身后走路。</v>
      </c>
    </row>
    <row r="7529">
      <c r="A7529" s="4" t="s">
        <v>9465</v>
      </c>
      <c r="B7529" s="4" t="s">
        <v>9466</v>
      </c>
      <c r="C7529" s="5" t="str">
        <f>IFERROR(__xludf.DUMMYFUNCTION("GOOGLETRANSLATE(B7529,""en"",""zh-CN"")"),"看到一个大个子坐在一个圆圈中间，看着相机。")</f>
        <v>看到一个大个子坐在一个圆圈中间，看着相机。</v>
      </c>
    </row>
    <row r="7530">
      <c r="A7530" s="4" t="s">
        <v>9465</v>
      </c>
      <c r="B7530" s="4" t="s">
        <v>9467</v>
      </c>
      <c r="C7530" s="5" t="str">
        <f>IFERROR(__xludf.DUMMYFUNCTION("GOOGLETRANSLATE(B7530,""en"",""zh-CN"")"),"然后，该男子用手中的讨论来旋转自己。")</f>
        <v>然后，该男子用手中的讨论来旋转自己。</v>
      </c>
    </row>
    <row r="7531">
      <c r="A7531" s="4" t="s">
        <v>9465</v>
      </c>
      <c r="B7531" s="4" t="s">
        <v>9468</v>
      </c>
      <c r="C7531" s="5" t="str">
        <f>IFERROR(__xludf.DUMMYFUNCTION("GOOGLETRANSLATE(B7531,""en"",""zh-CN"")"),"最后，他将物体扔到远处。")</f>
        <v>最后，他将物体扔到远处。</v>
      </c>
    </row>
    <row r="7532">
      <c r="A7532" s="4" t="s">
        <v>9469</v>
      </c>
      <c r="B7532" s="4" t="s">
        <v>9470</v>
      </c>
      <c r="C7532" s="5" t="str">
        <f>IFERROR(__xludf.DUMMYFUNCTION("GOOGLETRANSLATE(B7532,""en"",""zh-CN"")"),"一个女人正在将食材倒入厨房援助中。")</f>
        <v>一个女人正在将食材倒入厨房援助中。</v>
      </c>
    </row>
    <row r="7533">
      <c r="A7533" s="4" t="s">
        <v>9469</v>
      </c>
      <c r="B7533" s="4" t="s">
        <v>9471</v>
      </c>
      <c r="C7533" s="5" t="str">
        <f>IFERROR(__xludf.DUMMYFUNCTION("GOOGLETRANSLATE(B7533,""en"",""zh-CN"")"),"她打开它，将成分混合在一起。")</f>
        <v>她打开它，将成分混合在一起。</v>
      </c>
    </row>
    <row r="7534">
      <c r="A7534" s="4" t="s">
        <v>9469</v>
      </c>
      <c r="B7534" s="4" t="s">
        <v>9472</v>
      </c>
      <c r="C7534" s="5" t="str">
        <f>IFERROR(__xludf.DUMMYFUNCTION("GOOGLETRANSLATE(B7534,""en"",""zh-CN"")"),"她将混合物倒入蛋糕锅中。")</f>
        <v>她将混合物倒入蛋糕锅中。</v>
      </c>
    </row>
    <row r="7535">
      <c r="A7535" s="4" t="s">
        <v>9469</v>
      </c>
      <c r="B7535" s="4" t="s">
        <v>9473</v>
      </c>
      <c r="C7535" s="5" t="str">
        <f>IFERROR(__xludf.DUMMYFUNCTION("GOOGLETRANSLATE(B7535,""en"",""zh-CN"")"),"一块蛋糕显示在盘子上。")</f>
        <v>一块蛋糕显示在盘子上。</v>
      </c>
    </row>
    <row r="7536">
      <c r="A7536" s="4" t="s">
        <v>9474</v>
      </c>
      <c r="B7536" s="6" t="s">
        <v>9475</v>
      </c>
      <c r="C7536" s="5" t="str">
        <f>IFERROR(__xludf.DUMMYFUNCTION("GOOGLETRANSLATE(B7536,""en"",""zh-CN"")"),"看到一个男人在一组水桶上打鼓，而几个人走过他，其他人则记录了他。")</f>
        <v>看到一个男人在一组水桶上打鼓，而几个人走过他，其他人则记录了他。</v>
      </c>
    </row>
    <row r="7537">
      <c r="A7537" s="4" t="s">
        <v>9474</v>
      </c>
      <c r="B7537" s="6" t="s">
        <v>9476</v>
      </c>
      <c r="C7537" s="5" t="str">
        <f>IFERROR(__xludf.DUMMYFUNCTION("GOOGLETRANSLATE(B7537,""en"",""zh-CN"")"),"当摄像机遍布他周围时，该男子继续玩耍，人们继续在他周围走来走去并炫耀该地区。")</f>
        <v>当摄像机遍布他周围时，该男子继续玩耍，人们继续在他周围走来走去并炫耀该地区。</v>
      </c>
    </row>
    <row r="7538">
      <c r="A7538" s="4" t="s">
        <v>9477</v>
      </c>
      <c r="B7538" s="4" t="s">
        <v>9478</v>
      </c>
      <c r="C7538" s="5" t="str">
        <f>IFERROR(__xludf.DUMMYFUNCTION("GOOGLETRANSLATE(B7538,""en"",""zh-CN"")"),"两支球队在户外玩曲棍球。")</f>
        <v>两支球队在户外玩曲棍球。</v>
      </c>
    </row>
    <row r="7539">
      <c r="A7539" s="4" t="s">
        <v>9477</v>
      </c>
      <c r="B7539" s="4" t="s">
        <v>9479</v>
      </c>
      <c r="C7539" s="5" t="str">
        <f>IFERROR(__xludf.DUMMYFUNCTION("GOOGLETRANSLATE(B7539,""en"",""zh-CN"")"),"玩家得分并跳跃并跑步以庆祝得分。")</f>
        <v>玩家得分并跳跃并跑步以庆祝得分。</v>
      </c>
    </row>
    <row r="7540">
      <c r="A7540" s="4" t="s">
        <v>9477</v>
      </c>
      <c r="B7540" s="4" t="s">
        <v>9480</v>
      </c>
      <c r="C7540" s="5" t="str">
        <f>IFERROR(__xludf.DUMMYFUNCTION("GOOGLETRANSLATE(B7540,""en"",""zh-CN"")"),"球员将球拿到棍子上，跑到球员得分的进球中。")</f>
        <v>球员将球拿到棍子上，跑到球员得分的进球中。</v>
      </c>
    </row>
    <row r="7541">
      <c r="A7541" s="4" t="s">
        <v>9477</v>
      </c>
      <c r="B7541" s="4" t="s">
        <v>9481</v>
      </c>
      <c r="C7541" s="5" t="str">
        <f>IFERROR(__xludf.DUMMYFUNCTION("GOOGLETRANSLATE(B7541,""en"",""zh-CN"")"),"董事会向获胜者展示。")</f>
        <v>董事会向获胜者展示。</v>
      </c>
    </row>
    <row r="7542">
      <c r="A7542" s="4" t="s">
        <v>9482</v>
      </c>
      <c r="B7542" s="4" t="s">
        <v>9483</v>
      </c>
      <c r="C7542" s="5" t="str">
        <f>IFERROR(__xludf.DUMMYFUNCTION("GOOGLETRANSLATE(B7542,""en"",""zh-CN"")"),"有一个男人穿着S白色衬衫在房间里演奏鼓。")</f>
        <v>有一个男人穿着S白色衬衫在房间里演奏鼓。</v>
      </c>
    </row>
    <row r="7543">
      <c r="A7543" s="4" t="s">
        <v>9482</v>
      </c>
      <c r="B7543" s="4" t="s">
        <v>9484</v>
      </c>
      <c r="C7543" s="5" t="str">
        <f>IFERROR(__xludf.DUMMYFUNCTION("GOOGLETRANSLATE(B7543,""en"",""zh-CN"")"),"他首先弹奏鼓声和低音鼓。")</f>
        <v>他首先弹奏鼓声和低音鼓。</v>
      </c>
    </row>
    <row r="7544">
      <c r="A7544" s="4" t="s">
        <v>9482</v>
      </c>
      <c r="B7544" s="4" t="s">
        <v>9485</v>
      </c>
      <c r="C7544" s="5" t="str">
        <f>IFERROR(__xludf.DUMMYFUNCTION("GOOGLETRANSLATE(B7544,""en"",""zh-CN"")"),"然后，他继续打球和ho帽来继续比赛。")</f>
        <v>然后，他继续打球和ho帽来继续比赛。</v>
      </c>
    </row>
    <row r="7545">
      <c r="A7545" s="4" t="s">
        <v>9482</v>
      </c>
      <c r="B7545" s="4" t="s">
        <v>9486</v>
      </c>
      <c r="C7545" s="5" t="str">
        <f>IFERROR(__xludf.DUMMYFUNCTION("GOOGLETRANSLATE(B7545,""en"",""zh-CN"")"),"他停了一会儿，然后继续演奏鼓组。")</f>
        <v>他停了一会儿，然后继续演奏鼓组。</v>
      </c>
    </row>
    <row r="7546">
      <c r="A7546" s="4" t="s">
        <v>9482</v>
      </c>
      <c r="B7546" s="4" t="s">
        <v>9487</v>
      </c>
      <c r="C7546" s="5" t="str">
        <f>IFERROR(__xludf.DUMMYFUNCTION("GOOGLETRANSLATE(B7546,""en"",""zh-CN"")"),"当他拿起速度并演奏鼓组时，他会节奏地扮演。")</f>
        <v>当他拿起速度并演奏鼓组时，他会节奏地扮演。</v>
      </c>
    </row>
    <row r="7547">
      <c r="A7547" s="4" t="s">
        <v>9482</v>
      </c>
      <c r="B7547" s="4" t="s">
        <v>9488</v>
      </c>
      <c r="C7547" s="5" t="str">
        <f>IFERROR(__xludf.DUMMYFUNCTION("GOOGLETRANSLATE(B7547,""en"",""zh-CN"")"),"然后他停下来，起身关闭相机。")</f>
        <v>然后他停下来，起身关闭相机。</v>
      </c>
    </row>
    <row r="7548">
      <c r="A7548" s="4" t="s">
        <v>9489</v>
      </c>
      <c r="B7548" s="4" t="s">
        <v>9490</v>
      </c>
      <c r="C7548" s="5" t="str">
        <f>IFERROR(__xludf.DUMMYFUNCTION("GOOGLETRANSLATE(B7548,""en"",""zh-CN"")"),"一个男人正伸到水中洗脸。")</f>
        <v>一个男人正伸到水中洗脸。</v>
      </c>
    </row>
    <row r="7549">
      <c r="A7549" s="4" t="s">
        <v>9489</v>
      </c>
      <c r="B7549" s="4" t="s">
        <v>9491</v>
      </c>
      <c r="C7549" s="5" t="str">
        <f>IFERROR(__xludf.DUMMYFUNCTION("GOOGLETRANSLATE(B7549,""en"",""zh-CN"")"),"一个女人正在为水的其他人工作。")</f>
        <v>一个女人正在为水的其他人工作。</v>
      </c>
    </row>
    <row r="7550">
      <c r="A7550" s="4" t="s">
        <v>9489</v>
      </c>
      <c r="B7550" s="4" t="s">
        <v>9492</v>
      </c>
      <c r="C7550" s="5" t="str">
        <f>IFERROR(__xludf.DUMMYFUNCTION("GOOGLETRANSLATE(B7550,""en"",""zh-CN"")"),"该男子用水溅出工人。")</f>
        <v>该男子用水溅出工人。</v>
      </c>
    </row>
    <row r="7551">
      <c r="A7551" s="4" t="s">
        <v>9489</v>
      </c>
      <c r="B7551" s="4" t="s">
        <v>9493</v>
      </c>
      <c r="C7551" s="5" t="str">
        <f>IFERROR(__xludf.DUMMYFUNCTION("GOOGLETRANSLATE(B7551,""en"",""zh-CN"")"),"一个女人看着那个男人。")</f>
        <v>一个女人看着那个男人。</v>
      </c>
    </row>
    <row r="7552">
      <c r="A7552" s="4" t="s">
        <v>9494</v>
      </c>
      <c r="B7552" s="4" t="s">
        <v>9495</v>
      </c>
      <c r="C7552" s="5" t="str">
        <f>IFERROR(__xludf.DUMMYFUNCTION("GOOGLETRANSLATE(B7552,""en"",""zh-CN"")"),"一个小牧羊犬站在桌子的​​顶部。")</f>
        <v>一个小牧羊犬站在桌子的​​顶部。</v>
      </c>
    </row>
    <row r="7553">
      <c r="A7553" s="4" t="s">
        <v>9494</v>
      </c>
      <c r="B7553" s="4" t="s">
        <v>9496</v>
      </c>
      <c r="C7553" s="5" t="str">
        <f>IFERROR(__xludf.DUMMYFUNCTION("GOOGLETRANSLATE(B7553,""en"",""zh-CN"")"),"他被绑在适当的地方，一个人开始刷他。")</f>
        <v>他被绑在适当的地方，一个人开始刷他。</v>
      </c>
    </row>
    <row r="7554">
      <c r="A7554" s="4" t="s">
        <v>9494</v>
      </c>
      <c r="B7554" s="4" t="s">
        <v>9497</v>
      </c>
      <c r="C7554" s="5" t="str">
        <f>IFERROR(__xludf.DUMMYFUNCTION("GOOGLETRANSLATE(B7554,""en"",""zh-CN"")"),"他被修饰时静止不动。")</f>
        <v>他被修饰时静止不动。</v>
      </c>
    </row>
    <row r="7555">
      <c r="A7555" s="4" t="s">
        <v>9498</v>
      </c>
      <c r="B7555" s="4" t="s">
        <v>9499</v>
      </c>
      <c r="C7555" s="5" t="str">
        <f>IFERROR(__xludf.DUMMYFUNCTION("GOOGLETRANSLATE(B7555,""en"",""zh-CN"")"),"一个人戴上焊接头盔。")</f>
        <v>一个人戴上焊接头盔。</v>
      </c>
    </row>
    <row r="7556">
      <c r="A7556" s="4" t="s">
        <v>9498</v>
      </c>
      <c r="B7556" s="4" t="s">
        <v>9500</v>
      </c>
      <c r="C7556" s="5" t="str">
        <f>IFERROR(__xludf.DUMMYFUNCTION("GOOGLETRANSLATE(B7556,""en"",""zh-CN"")"),"然后，该人焊接一块金属。")</f>
        <v>然后，该人焊接一块金属。</v>
      </c>
    </row>
    <row r="7557">
      <c r="A7557" s="4" t="s">
        <v>9498</v>
      </c>
      <c r="B7557" s="4" t="s">
        <v>9501</v>
      </c>
      <c r="C7557" s="5" t="str">
        <f>IFERROR(__xludf.DUMMYFUNCTION("GOOGLETRANSLATE(B7557,""en"",""zh-CN"")"),"然后，该人完成焊接并抬起头盔，但折叠起来。")</f>
        <v>然后，该人完成焊接并抬起头盔，但折叠起来。</v>
      </c>
    </row>
    <row r="7558">
      <c r="A7558" s="4" t="s">
        <v>9502</v>
      </c>
      <c r="B7558" s="4" t="s">
        <v>9503</v>
      </c>
      <c r="C7558" s="5" t="str">
        <f>IFERROR(__xludf.DUMMYFUNCTION("GOOGLETRANSLATE(B7558,""en"",""zh-CN"")"),"正在进行一场越野车活动，由Monster Energy Drink赞助。")</f>
        <v>正在进行一场越野车活动，由Monster Energy Drink赞助。</v>
      </c>
    </row>
    <row r="7559">
      <c r="A7559" s="4" t="s">
        <v>9502</v>
      </c>
      <c r="B7559" s="4" t="s">
        <v>9504</v>
      </c>
      <c r="C7559" s="5" t="str">
        <f>IFERROR(__xludf.DUMMYFUNCTION("GOOGLETRANSLATE(B7559,""en"",""zh-CN"")"),"有几名参赛者参加活动。")</f>
        <v>有几名参赛者参加活动。</v>
      </c>
    </row>
    <row r="7560">
      <c r="A7560" s="4" t="s">
        <v>9502</v>
      </c>
      <c r="B7560" s="4" t="s">
        <v>9505</v>
      </c>
      <c r="C7560" s="5" t="str">
        <f>IFERROR(__xludf.DUMMYFUNCTION("GOOGLETRANSLATE(B7560,""en"",""zh-CN"")"),"其中一名参赛者从他的自行车上摔下来，似乎他受伤了。")</f>
        <v>其中一名参赛者从他的自行车上摔下来，似乎他受伤了。</v>
      </c>
    </row>
    <row r="7561">
      <c r="A7561" s="4" t="s">
        <v>9502</v>
      </c>
      <c r="B7561" s="4" t="s">
        <v>9506</v>
      </c>
      <c r="C7561" s="5" t="str">
        <f>IFERROR(__xludf.DUMMYFUNCTION("GOOGLETRANSLATE(B7561,""en"",""zh-CN"")"),"他马上站起来，走到角落。")</f>
        <v>他马上站起来，走到角落。</v>
      </c>
    </row>
    <row r="7562">
      <c r="A7562" s="4" t="s">
        <v>9507</v>
      </c>
      <c r="B7562" s="4" t="s">
        <v>9508</v>
      </c>
      <c r="C7562" s="5" t="str">
        <f>IFERROR(__xludf.DUMMYFUNCTION("GOOGLETRANSLATE(B7562,""en"",""zh-CN"")"),"看到一个男人在相机上说话，然后他在海滩上与随机的女人说话。")</f>
        <v>看到一个男人在相机上说话，然后他在海滩上与随机的女人说话。</v>
      </c>
    </row>
    <row r="7563">
      <c r="A7563" s="4" t="s">
        <v>9507</v>
      </c>
      <c r="B7563" s="4" t="s">
        <v>9509</v>
      </c>
      <c r="C7563" s="5" t="str">
        <f>IFERROR(__xludf.DUMMYFUNCTION("GOOGLETRANSLATE(B7563,""en"",""zh-CN"")"),"他们一起玩游戏，当他赢得女孩时，女孩给了他一个吻。")</f>
        <v>他们一起玩游戏，当他赢得女孩时，女孩给了他一个吻。</v>
      </c>
    </row>
    <row r="7564">
      <c r="A7564" s="4" t="s">
        <v>9507</v>
      </c>
      <c r="B7564" s="4" t="s">
        <v>9510</v>
      </c>
      <c r="C7564" s="5" t="str">
        <f>IFERROR(__xludf.DUMMYFUNCTION("GOOGLETRANSLATE(B7564,""en"",""zh-CN"")"),"当他们失去女孩时，女孩打了他。")</f>
        <v>当他们失去女孩时，女孩打了他。</v>
      </c>
    </row>
    <row r="7565">
      <c r="A7565" s="4" t="s">
        <v>9507</v>
      </c>
      <c r="B7565" s="4" t="s">
        <v>9511</v>
      </c>
      <c r="C7565" s="5" t="str">
        <f>IFERROR(__xludf.DUMMYFUNCTION("GOOGLETRANSLATE(B7565,""en"",""zh-CN"")"),"几个女孩在接吻或拍打男人时笑着玩耍。")</f>
        <v>几个女孩在接吻或拍打男人时笑着玩耍。</v>
      </c>
    </row>
    <row r="7566">
      <c r="A7566" s="4" t="s">
        <v>9512</v>
      </c>
      <c r="B7566" s="4" t="s">
        <v>9513</v>
      </c>
      <c r="C7566" s="5" t="str">
        <f>IFERROR(__xludf.DUMMYFUNCTION("GOOGLETRANSLATE(B7566,""en"",""zh-CN"")"),"看到一个人拿着一件机器时穿着有趣的服装。")</f>
        <v>看到一个人拿着一件机器时穿着有趣的服装。</v>
      </c>
    </row>
    <row r="7567">
      <c r="A7567" s="4" t="s">
        <v>9512</v>
      </c>
      <c r="B7567" s="4" t="s">
        <v>9514</v>
      </c>
      <c r="C7567" s="5" t="str">
        <f>IFERROR(__xludf.DUMMYFUNCTION("GOOGLETRANSLATE(B7567,""en"",""zh-CN"")"),"该男子在看着相机时将机械推到草坪周围。")</f>
        <v>该男子在看着相机时将机械推到草坪周围。</v>
      </c>
    </row>
    <row r="7568">
      <c r="A7568" s="4" t="s">
        <v>9512</v>
      </c>
      <c r="B7568" s="4" t="s">
        <v>9515</v>
      </c>
      <c r="C7568" s="5" t="str">
        <f>IFERROR(__xludf.DUMMYFUNCTION("GOOGLETRANSLATE(B7568,""en"",""zh-CN"")"),"该男子在看着相机时继续使用机器。")</f>
        <v>该男子在看着相机时继续使用机器。</v>
      </c>
    </row>
    <row r="7569">
      <c r="A7569" s="4" t="s">
        <v>9516</v>
      </c>
      <c r="B7569" s="4" t="s">
        <v>9517</v>
      </c>
      <c r="C7569" s="5" t="str">
        <f>IFERROR(__xludf.DUMMYFUNCTION("GOOGLETRANSLATE(B7569,""en"",""zh-CN"")"),"一群男人在慢动作中欢呼和跳来跳去。")</f>
        <v>一群男人在慢动作中欢呼和跳来跳去。</v>
      </c>
    </row>
    <row r="7570">
      <c r="A7570" s="4" t="s">
        <v>9516</v>
      </c>
      <c r="B7570" s="4" t="s">
        <v>9518</v>
      </c>
      <c r="C7570" s="5" t="str">
        <f>IFERROR(__xludf.DUMMYFUNCTION("GOOGLETRANSLATE(B7570,""en"",""zh-CN"")"),"在展示奖杯时，许多人在场。")</f>
        <v>在展示奖杯时，许多人在场。</v>
      </c>
    </row>
    <row r="7571">
      <c r="A7571" s="4" t="s">
        <v>9516</v>
      </c>
      <c r="B7571" s="4" t="s">
        <v>9519</v>
      </c>
      <c r="C7571" s="5" t="str">
        <f>IFERROR(__xludf.DUMMYFUNCTION("GOOGLETRANSLATE(B7571,""en"",""zh-CN"")"),"一群人聚集在一起玩啤酒和喝酒。")</f>
        <v>一群人聚集在一起玩啤酒和喝酒。</v>
      </c>
    </row>
    <row r="7572">
      <c r="A7572" s="4" t="s">
        <v>9516</v>
      </c>
      <c r="B7572" s="6" t="s">
        <v>9520</v>
      </c>
      <c r="C7572" s="5" t="str">
        <f>IFERROR(__xludf.DUMMYFUNCTION("GOOGLETRANSLATE(B7572,""en"",""zh-CN"")"),"显示了不同表格的各种动作镜头，然后将视频剪切到Internet地址以查找更多信息。")</f>
        <v>显示了不同表格的各种动作镜头，然后将视频剪切到Internet地址以查找更多信息。</v>
      </c>
    </row>
    <row r="7573">
      <c r="A7573" s="4" t="s">
        <v>9521</v>
      </c>
      <c r="B7573" s="6" t="s">
        <v>9522</v>
      </c>
      <c r="C7573" s="5" t="str">
        <f>IFERROR(__xludf.DUMMYFUNCTION("GOOGLETRANSLATE(B7573,""en"",""zh-CN"")"),"浴室里有两个女人，用蓝色水桶洗衣服，里面装满了泡沫肥皂水。")</f>
        <v>浴室里有两个女人，用蓝色水桶洗衣服，里面装满了泡沫肥皂水。</v>
      </c>
    </row>
    <row r="7574">
      <c r="A7574" s="4" t="s">
        <v>9521</v>
      </c>
      <c r="B7574" s="4" t="s">
        <v>9523</v>
      </c>
      <c r="C7574" s="5" t="str">
        <f>IFERROR(__xludf.DUMMYFUNCTION("GOOGLETRANSLATE(B7574,""en"",""zh-CN"")"),"妇女将衣服浸入肥皂水中，然后将其冲洗干净以清洁。")</f>
        <v>妇女将衣服浸入肥皂水中，然后将其冲洗干净以清洁。</v>
      </c>
    </row>
    <row r="7575">
      <c r="A7575" s="4" t="s">
        <v>9521</v>
      </c>
      <c r="B7575" s="4" t="s">
        <v>9524</v>
      </c>
      <c r="C7575" s="5" t="str">
        <f>IFERROR(__xludf.DUMMYFUNCTION("GOOGLETRANSLATE(B7575,""en"",""zh-CN"")"),"然后，她将衣服放在一个大金属桶中，迅速旋转以沥干多余的水。")</f>
        <v>然后，她将衣服放在一个大金属桶中，迅速旋转以沥干多余的水。</v>
      </c>
    </row>
    <row r="7576">
      <c r="A7576" s="4" t="s">
        <v>9521</v>
      </c>
      <c r="B7576" s="4" t="s">
        <v>9525</v>
      </c>
      <c r="C7576" s="5" t="str">
        <f>IFERROR(__xludf.DUMMYFUNCTION("GOOGLETRANSLATE(B7576,""en"",""zh-CN"")"),"然后，他们在一个开放的露台上进入建筑物的顶部，绳索绑在墙壁上。")</f>
        <v>然后，他们在一个开放的露台上进入建筑物的顶部，绳索绑在墙壁上。</v>
      </c>
    </row>
    <row r="7577">
      <c r="A7577" s="4" t="s">
        <v>9521</v>
      </c>
      <c r="B7577" s="4" t="s">
        <v>9526</v>
      </c>
      <c r="C7577" s="5" t="str">
        <f>IFERROR(__xludf.DUMMYFUNCTION("GOOGLETRANSLATE(B7577,""en"",""zh-CN"")"),"他们开始将衣服挂在晾衣绳上以进行干燥。")</f>
        <v>他们开始将衣服挂在晾衣绳上以进行干燥。</v>
      </c>
    </row>
    <row r="7578">
      <c r="A7578" s="4" t="s">
        <v>9527</v>
      </c>
      <c r="B7578" s="4" t="s">
        <v>9528</v>
      </c>
      <c r="C7578" s="5" t="str">
        <f>IFERROR(__xludf.DUMMYFUNCTION("GOOGLETRANSLATE(B7578,""en"",""zh-CN"")"),"一个男孩挂在猴子酒吧上。")</f>
        <v>一个男孩挂在猴子酒吧上。</v>
      </c>
    </row>
    <row r="7579">
      <c r="A7579" s="4" t="s">
        <v>9527</v>
      </c>
      <c r="B7579" s="4" t="s">
        <v>9529</v>
      </c>
      <c r="C7579" s="5" t="str">
        <f>IFERROR(__xludf.DUMMYFUNCTION("GOOGLETRANSLATE(B7579,""en"",""zh-CN"")"),"他容易越过障碍。")</f>
        <v>他容易越过障碍。</v>
      </c>
    </row>
    <row r="7580">
      <c r="A7580" s="4" t="s">
        <v>9527</v>
      </c>
      <c r="B7580" s="4" t="s">
        <v>9530</v>
      </c>
      <c r="C7580" s="5" t="str">
        <f>IFERROR(__xludf.DUMMYFUNCTION("GOOGLETRANSLATE(B7580,""en"",""zh-CN"")"),"他为自己感到骄傲。")</f>
        <v>他为自己感到骄傲。</v>
      </c>
    </row>
    <row r="7581">
      <c r="A7581" s="4" t="s">
        <v>9527</v>
      </c>
      <c r="B7581" s="4" t="s">
        <v>9531</v>
      </c>
      <c r="C7581" s="5" t="str">
        <f>IFERROR(__xludf.DUMMYFUNCTION("GOOGLETRANSLATE(B7581,""en"",""zh-CN"")"),"他对镜头微笑。")</f>
        <v>他对镜头微笑。</v>
      </c>
    </row>
    <row r="7582">
      <c r="A7582" s="4" t="s">
        <v>9532</v>
      </c>
      <c r="B7582" s="4" t="s">
        <v>9533</v>
      </c>
      <c r="C7582" s="5" t="str">
        <f>IFERROR(__xludf.DUMMYFUNCTION("GOOGLETRANSLATE(B7582,""en"",""zh-CN"")"),"一名戴着披肩的女人站在户外的热带植物前。")</f>
        <v>一名戴着披肩的女人站在户外的热带植物前。</v>
      </c>
    </row>
    <row r="7583">
      <c r="A7583" s="4" t="s">
        <v>9532</v>
      </c>
      <c r="B7583" s="4" t="s">
        <v>9534</v>
      </c>
      <c r="C7583" s="5" t="str">
        <f>IFERROR(__xludf.DUMMYFUNCTION("GOOGLETRANSLATE(B7583,""en"",""zh-CN"")"),"一个女人在舞台上展示了​​一支乐队的表演。")</f>
        <v>一个女人在舞台上展示了​​一支乐队的表演。</v>
      </c>
    </row>
    <row r="7584">
      <c r="A7584" s="4" t="s">
        <v>9532</v>
      </c>
      <c r="B7584" s="4" t="s">
        <v>9535</v>
      </c>
      <c r="C7584" s="5" t="str">
        <f>IFERROR(__xludf.DUMMYFUNCTION("GOOGLETRANSLATE(B7584,""en"",""zh-CN"")"),"演出期间，长笛演奏者扮演歌曲的角色。")</f>
        <v>演出期间，长笛演奏者扮演歌曲的角色。</v>
      </c>
    </row>
    <row r="7585">
      <c r="A7585" s="4" t="s">
        <v>9532</v>
      </c>
      <c r="B7585" s="4" t="s">
        <v>9536</v>
      </c>
      <c r="C7585" s="5" t="str">
        <f>IFERROR(__xludf.DUMMYFUNCTION("GOOGLETRANSLATE(B7585,""en"",""zh-CN"")"),"乐队在演出期间一起播放一首歌。")</f>
        <v>乐队在演出期间一起播放一首歌。</v>
      </c>
    </row>
    <row r="7586">
      <c r="A7586" s="4" t="s">
        <v>9537</v>
      </c>
      <c r="B7586" s="4" t="s">
        <v>9538</v>
      </c>
      <c r="C7586" s="5" t="str">
        <f>IFERROR(__xludf.DUMMYFUNCTION("GOOGLETRANSLATE(B7586,""en"",""zh-CN"")"),"女人正站在拿着弓箭的射击室里，将箭扔进木板。")</f>
        <v>女人正站在拿着弓箭的射击室里，将箭扔进木板。</v>
      </c>
    </row>
    <row r="7587">
      <c r="A7587" s="4" t="s">
        <v>9537</v>
      </c>
      <c r="B7587" s="4" t="s">
        <v>9539</v>
      </c>
      <c r="C7587" s="5" t="str">
        <f>IFERROR(__xludf.DUMMYFUNCTION("GOOGLETRANSLATE(B7587,""en"",""zh-CN"")"),"女人站在BG的大田里，握着弓箭和向巴洛恩斯扔箭。")</f>
        <v>女人站在BG的大田里，握着弓箭和向巴洛恩斯扔箭。</v>
      </c>
    </row>
    <row r="7588">
      <c r="A7588" s="4" t="s">
        <v>9537</v>
      </c>
      <c r="B7588" s="6" t="s">
        <v>9540</v>
      </c>
      <c r="C7588" s="5" t="str">
        <f>IFERROR(__xludf.DUMMYFUNCTION("GOOGLETRANSLATE(B7588,""en"",""zh-CN"")"),"女人正站在一个握着弓的小法庭上，向苹果扔了一个男人的头。")</f>
        <v>女人正站在一个握着弓的小法庭上，向苹果扔了一个男人的头。</v>
      </c>
    </row>
    <row r="7589">
      <c r="A7589" s="4" t="s">
        <v>9537</v>
      </c>
      <c r="B7589" s="6" t="s">
        <v>9541</v>
      </c>
      <c r="C7589" s="5" t="str">
        <f>IFERROR(__xludf.DUMMYFUNCTION("GOOGLETRANSLATE(B7589,""en"",""zh-CN"")"),"男人正站在一个绿色的绿地里，向一个女人展示了一个女人如何射击箭，女人从口袋里掏出枪，向董事会射击。")</f>
        <v>男人正站在一个绿色的绿地里，向一个女人展示了一个女人如何射击箭，女人从口袋里掏出枪，向董事会射击。</v>
      </c>
    </row>
    <row r="7590">
      <c r="A7590" s="4" t="s">
        <v>9537</v>
      </c>
      <c r="B7590" s="4" t="s">
        <v>9542</v>
      </c>
      <c r="C7590" s="5" t="str">
        <f>IFERROR(__xludf.DUMMYFUNCTION("GOOGLETRANSLATE(B7590,""en"",""zh-CN"")"),"人站在拿着相机的树旁边。")</f>
        <v>人站在拿着相机的树旁边。</v>
      </c>
    </row>
    <row r="7591">
      <c r="A7591" s="4" t="s">
        <v>9537</v>
      </c>
      <c r="B7591" s="4" t="s">
        <v>9543</v>
      </c>
      <c r="C7591" s="5" t="str">
        <f>IFERROR(__xludf.DUMMYFUNCTION("GOOGLETRANSLATE(B7591,""en"",""zh-CN"")"),"女人正在向西瓜扔阿罗斯。")</f>
        <v>女人正在向西瓜扔阿罗斯。</v>
      </c>
    </row>
    <row r="7592">
      <c r="A7592" s="4" t="s">
        <v>9537</v>
      </c>
      <c r="B7592" s="4" t="s">
        <v>9544</v>
      </c>
      <c r="C7592" s="5" t="str">
        <f>IFERROR(__xludf.DUMMYFUNCTION("GOOGLETRANSLATE(B7592,""en"",""zh-CN"")"),"女人正在向电影海报扔箭，并与镜头交谈。")</f>
        <v>女人正在向电影海报扔箭，并与镜头交谈。</v>
      </c>
    </row>
    <row r="7593">
      <c r="A7593" s="4" t="s">
        <v>9545</v>
      </c>
      <c r="B7593" s="4" t="s">
        <v>9546</v>
      </c>
      <c r="C7593" s="5" t="str">
        <f>IFERROR(__xludf.DUMMYFUNCTION("GOOGLETRANSLATE(B7593,""en"",""zh-CN"")"),"男人正在和站在盒子旁边的相机交谈。")</f>
        <v>男人正在和站在盒子旁边的相机交谈。</v>
      </c>
    </row>
    <row r="7594">
      <c r="A7594" s="4" t="s">
        <v>9545</v>
      </c>
      <c r="B7594" s="4" t="s">
        <v>9547</v>
      </c>
      <c r="C7594" s="5" t="str">
        <f>IFERROR(__xludf.DUMMYFUNCTION("GOOGLETRANSLATE(B7594,""en"",""zh-CN"")"),"男子正在人行道上组装沙芬板法庭。")</f>
        <v>男子正在人行道上组装沙芬板法庭。</v>
      </c>
    </row>
    <row r="7595">
      <c r="A7595" s="4" t="s">
        <v>9545</v>
      </c>
      <c r="B7595" s="4" t="s">
        <v>9548</v>
      </c>
      <c r="C7595" s="5" t="str">
        <f>IFERROR(__xludf.DUMMYFUNCTION("GOOGLETRANSLATE(B7595,""en"",""zh-CN"")"),"男人开始踢冰球的人打冰球。")</f>
        <v>男人开始踢冰球的人打冰球。</v>
      </c>
    </row>
    <row r="7596">
      <c r="A7596" s="4" t="s">
        <v>9549</v>
      </c>
      <c r="B7596" s="4" t="s">
        <v>9550</v>
      </c>
      <c r="C7596" s="5" t="str">
        <f>IFERROR(__xludf.DUMMYFUNCTION("GOOGLETRANSLATE(B7596,""en"",""zh-CN"")"),"一个女孩走到潜水板的边缘。")</f>
        <v>一个女孩走到潜水板的边缘。</v>
      </c>
    </row>
    <row r="7597">
      <c r="A7597" s="4" t="s">
        <v>9549</v>
      </c>
      <c r="B7597" s="4" t="s">
        <v>9551</v>
      </c>
      <c r="C7597" s="5" t="str">
        <f>IFERROR(__xludf.DUMMYFUNCTION("GOOGLETRANSLATE(B7597,""en"",""zh-CN"")"),"女孩伸出手。")</f>
        <v>女孩伸出手。</v>
      </c>
    </row>
    <row r="7598">
      <c r="A7598" s="4" t="s">
        <v>9549</v>
      </c>
      <c r="B7598" s="4" t="s">
        <v>9552</v>
      </c>
      <c r="C7598" s="5" t="str">
        <f>IFERROR(__xludf.DUMMYFUNCTION("GOOGLETRANSLATE(B7598,""en"",""zh-CN"")"),"女孩跳入游泳池。")</f>
        <v>女孩跳入游泳池。</v>
      </c>
    </row>
    <row r="7599">
      <c r="A7599" s="4" t="s">
        <v>9549</v>
      </c>
      <c r="B7599" s="4" t="s">
        <v>9553</v>
      </c>
      <c r="C7599" s="5" t="str">
        <f>IFERROR(__xludf.DUMMYFUNCTION("GOOGLETRANSLATE(B7599,""en"",""zh-CN"")"),"女孩游泳到游泳池的边缘。")</f>
        <v>女孩游泳到游泳池的边缘。</v>
      </c>
    </row>
    <row r="7600">
      <c r="A7600" s="4" t="s">
        <v>9554</v>
      </c>
      <c r="B7600" s="6" t="s">
        <v>9555</v>
      </c>
      <c r="C7600" s="5" t="str">
        <f>IFERROR(__xludf.DUMMYFUNCTION("GOOGLETRANSLATE(B7600,""en"",""zh-CN"")"),"黑暗中显示了一座高大的车库建筑物，然后几个十几岁的男孩在其内部出现滑板。")</f>
        <v>黑暗中显示了一座高大的车库建筑物，然后几个十几岁的男孩在其内部出现滑板。</v>
      </c>
    </row>
    <row r="7601">
      <c r="A7601" s="4" t="s">
        <v>9554</v>
      </c>
      <c r="B7601" s="6" t="s">
        <v>9556</v>
      </c>
      <c r="C7601" s="5" t="str">
        <f>IFERROR(__xludf.DUMMYFUNCTION("GOOGLETRANSLATE(B7601,""en"",""zh-CN"")"),"当他们拐角处时，他们互相握住衬衫，并在单个文件线上沿着倾斜的道路沿着倾斜的道路沿着倾斜的道路上走，并显示一个男孩握着带有自拍杆的相机记录动作。")</f>
        <v>当他们拐角处时，他们互相握住衬衫，并在单个文件线上沿着倾斜的道路沿着倾斜的道路沿着倾斜的道路上走，并显示一个男孩握着带有自拍杆的相机记录动作。</v>
      </c>
    </row>
    <row r="7602">
      <c r="A7602" s="4" t="s">
        <v>9554</v>
      </c>
      <c r="B7602" s="6" t="s">
        <v>9557</v>
      </c>
      <c r="C7602" s="5" t="str">
        <f>IFERROR(__xludf.DUMMYFUNCTION("GOOGLETRANSLATE(B7602,""en"",""zh-CN"")"),"之后，一名黑人男性出现在车里说话，然后显示男孩们走上一组楼梯。")</f>
        <v>之后，一名黑人男性出现在车里说话，然后显示男孩们走上一组楼梯。</v>
      </c>
    </row>
    <row r="7603">
      <c r="A7603" s="4" t="s">
        <v>9554</v>
      </c>
      <c r="B7603" s="6" t="s">
        <v>9558</v>
      </c>
      <c r="C7603" s="5" t="str">
        <f>IFERROR(__xludf.DUMMYFUNCTION("GOOGLETRANSLATE(B7603,""en"",""zh-CN"")"),"动作仍在继续，所有男孩都在车库里互相加入，视频中说话的男性与其他男孩一起滑冰。")</f>
        <v>动作仍在继续，所有男孩都在车库里互相加入，视频中说话的男性与其他男孩一起滑冰。</v>
      </c>
    </row>
    <row r="7604">
      <c r="A7604" s="4" t="s">
        <v>9559</v>
      </c>
      <c r="B7604" s="4" t="s">
        <v>9560</v>
      </c>
      <c r="C7604" s="5" t="str">
        <f>IFERROR(__xludf.DUMMYFUNCTION("GOOGLETRANSLATE(B7604,""en"",""zh-CN"")"),"穿着球衣的男人正站着，双臂交叉凝视着太空。")</f>
        <v>穿着球衣的男人正站着，双臂交叉凝视着太空。</v>
      </c>
    </row>
    <row r="7605">
      <c r="A7605" s="4" t="s">
        <v>9559</v>
      </c>
      <c r="B7605" s="4" t="s">
        <v>9561</v>
      </c>
      <c r="C7605" s="5" t="str">
        <f>IFERROR(__xludf.DUMMYFUNCTION("GOOGLETRANSLATE(B7605,""en"",""zh-CN"")"),"然后，您在场上看到他们在玩游戏，然后再谈论它。")</f>
        <v>然后，您在场上看到他们在玩游戏，然后再谈论它。</v>
      </c>
    </row>
    <row r="7606">
      <c r="A7606" s="4" t="s">
        <v>9559</v>
      </c>
      <c r="B7606" s="4" t="s">
        <v>9562</v>
      </c>
      <c r="C7606" s="5" t="str">
        <f>IFERROR(__xludf.DUMMYFUNCTION("GOOGLETRANSLATE(B7606,""en"",""zh-CN"")"),"他们似乎都回想起自己对奖牌并盯着奖牌的记忆。")</f>
        <v>他们似乎都回想起自己对奖牌并盯着奖牌的记忆。</v>
      </c>
    </row>
    <row r="7607">
      <c r="A7607" s="4" t="s">
        <v>9559</v>
      </c>
      <c r="B7607" s="4" t="s">
        <v>9563</v>
      </c>
      <c r="C7607" s="5" t="str">
        <f>IFERROR(__xludf.DUMMYFUNCTION("GOOGLETRANSLATE(B7607,""en"",""zh-CN"")"),"他们站在一小群人的交谈中，然后您看到观众欢呼和鼓掌。")</f>
        <v>他们站在一小群人的交谈中，然后您看到观众欢呼和鼓掌。</v>
      </c>
    </row>
    <row r="7608">
      <c r="A7608" s="4" t="s">
        <v>9564</v>
      </c>
      <c r="B7608" s="4" t="s">
        <v>9565</v>
      </c>
      <c r="C7608" s="5" t="str">
        <f>IFERROR(__xludf.DUMMYFUNCTION("GOOGLETRANSLATE(B7608,""en"",""zh-CN"")"),"一个人出现在黑暗中的舞台上，带着LED呼啦圈。")</f>
        <v>一个人出现在黑暗中的舞台上，带着LED呼啦圈。</v>
      </c>
    </row>
    <row r="7609">
      <c r="A7609" s="4" t="s">
        <v>9564</v>
      </c>
      <c r="B7609" s="4" t="s">
        <v>9566</v>
      </c>
      <c r="C7609" s="5" t="str">
        <f>IFERROR(__xludf.DUMMYFUNCTION("GOOGLETRANSLATE(B7609,""en"",""zh-CN"")"),"当人跳舞时，呼啦圈上的LED灯开始改变颜色。")</f>
        <v>当人跳舞时，呼啦圈上的LED灯开始改变颜色。</v>
      </c>
    </row>
    <row r="7610">
      <c r="A7610" s="4" t="s">
        <v>9564</v>
      </c>
      <c r="B7610" s="4" t="s">
        <v>9567</v>
      </c>
      <c r="C7610" s="5" t="str">
        <f>IFERROR(__xludf.DUMMYFUNCTION("GOOGLETRANSLATE(B7610,""en"",""zh-CN"")"),"视频结束时，屏幕上显示了截止信用。")</f>
        <v>视频结束时，屏幕上显示了截止信用。</v>
      </c>
    </row>
    <row r="7611">
      <c r="A7611" s="4" t="s">
        <v>9568</v>
      </c>
      <c r="B7611" s="4" t="s">
        <v>9569</v>
      </c>
      <c r="C7611" s="5" t="str">
        <f>IFERROR(__xludf.DUMMYFUNCTION("GOOGLETRANSLATE(B7611,""en"",""zh-CN"")"),"孩子们在学校地面的操场上玩耍。")</f>
        <v>孩子们在学校地面的操场上玩耍。</v>
      </c>
    </row>
    <row r="7612">
      <c r="A7612" s="4" t="s">
        <v>9568</v>
      </c>
      <c r="B7612" s="4" t="s">
        <v>9570</v>
      </c>
      <c r="C7612" s="5" t="str">
        <f>IFERROR(__xludf.DUMMYFUNCTION("GOOGLETRANSLATE(B7612,""en"",""zh-CN"")"),"孩子们在侧面摇摆。")</f>
        <v>孩子们在侧面摇摆。</v>
      </c>
    </row>
    <row r="7613">
      <c r="A7613" s="4" t="s">
        <v>9568</v>
      </c>
      <c r="B7613" s="4" t="s">
        <v>9571</v>
      </c>
      <c r="C7613" s="5" t="str">
        <f>IFERROR(__xludf.DUMMYFUNCTION("GOOGLETRANSLATE(B7613,""en"",""zh-CN"")"),"小孩子站在滑梯的边缘。")</f>
        <v>小孩子站在滑梯的边缘。</v>
      </c>
    </row>
    <row r="7614">
      <c r="A7614" s="4" t="s">
        <v>9572</v>
      </c>
      <c r="B7614" s="6" t="s">
        <v>9573</v>
      </c>
      <c r="C7614" s="5" t="str">
        <f>IFERROR(__xludf.DUMMYFUNCTION("GOOGLETRANSLATE(B7614,""en"",""zh-CN"")"),"一位穿着白色厨师服装的厨师正在演示如何使用称为Rada Knife锐化器的工具来锐化厨房刀。")</f>
        <v>一位穿着白色厨师服装的厨师正在演示如何使用称为Rada Knife锐化器的工具来锐化厨房刀。</v>
      </c>
    </row>
    <row r="7615">
      <c r="A7615" s="4" t="s">
        <v>9572</v>
      </c>
      <c r="B7615" s="4" t="s">
        <v>9574</v>
      </c>
      <c r="C7615" s="5" t="str">
        <f>IFERROR(__xludf.DUMMYFUNCTION("GOOGLETRANSLATE(B7615,""en"",""zh-CN"")"),"他站在柜台前的一个厨房里，那里展示了各种生蔬菜。")</f>
        <v>他站在柜台前的一个厨房里，那里展示了各种生蔬菜。</v>
      </c>
    </row>
    <row r="7616">
      <c r="A7616" s="4" t="s">
        <v>9572</v>
      </c>
      <c r="B7616" s="4" t="s">
        <v>9575</v>
      </c>
      <c r="C7616" s="5" t="str">
        <f>IFERROR(__xludf.DUMMYFUNCTION("GOOGLETRANSLATE(B7616,""en"",""zh-CN"")"),"他将厨房毛巾放在柜台上，然后将刀放在上面。")</f>
        <v>他将厨房毛巾放在柜台上，然后将刀放在上面。</v>
      </c>
    </row>
    <row r="7617">
      <c r="A7617" s="4" t="s">
        <v>9572</v>
      </c>
      <c r="B7617" s="6" t="s">
        <v>9576</v>
      </c>
      <c r="C7617" s="5" t="str">
        <f>IFERROR(__xludf.DUMMYFUNCTION("GOOGLETRANSLATE(B7617,""en"",""zh-CN"")"),"然后，他演示了如何使用RADA锐化工具通过轻柔而稳定的运动来回运行IIT来锐化厨房刀。")</f>
        <v>然后，他演示了如何使用RADA锐化工具通过轻柔而稳定的运动来回运行IIT来锐化厨房刀。</v>
      </c>
    </row>
    <row r="7618">
      <c r="A7618" s="4" t="s">
        <v>9577</v>
      </c>
      <c r="B7618" s="4" t="s">
        <v>9578</v>
      </c>
      <c r="C7618" s="5" t="str">
        <f>IFERROR(__xludf.DUMMYFUNCTION("GOOGLETRANSLATE(B7618,""en"",""zh-CN"")"),"一个家伙站起来。")</f>
        <v>一个家伙站起来。</v>
      </c>
    </row>
    <row r="7619">
      <c r="A7619" s="4" t="s">
        <v>9577</v>
      </c>
      <c r="B7619" s="4" t="s">
        <v>9579</v>
      </c>
      <c r="C7619" s="5" t="str">
        <f>IFERROR(__xludf.DUMMYFUNCTION("GOOGLETRANSLATE(B7619,""en"",""zh-CN"")"),"那个家伙踩着紧身的绳子。")</f>
        <v>那个家伙踩着紧身的绳子。</v>
      </c>
    </row>
    <row r="7620">
      <c r="A7620" s="4" t="s">
        <v>9577</v>
      </c>
      <c r="B7620" s="4" t="s">
        <v>9580</v>
      </c>
      <c r="C7620" s="5" t="str">
        <f>IFERROR(__xludf.DUMMYFUNCTION("GOOGLETRANSLATE(B7620,""en"",""zh-CN"")"),"那家伙转回去。")</f>
        <v>那家伙转回去。</v>
      </c>
    </row>
    <row r="7621">
      <c r="A7621" s="4" t="s">
        <v>9577</v>
      </c>
      <c r="B7621" s="4" t="s">
        <v>9581</v>
      </c>
      <c r="C7621" s="5" t="str">
        <f>IFERROR(__xludf.DUMMYFUNCTION("GOOGLETRANSLATE(B7621,""en"",""zh-CN"")"),"那个家伙在紧身的绳索上向后走。")</f>
        <v>那个家伙在紧身的绳索上向后走。</v>
      </c>
    </row>
    <row r="7622">
      <c r="A7622" s="4" t="s">
        <v>9577</v>
      </c>
      <c r="B7622" s="4" t="s">
        <v>9582</v>
      </c>
      <c r="C7622" s="5" t="str">
        <f>IFERROR(__xludf.DUMMYFUNCTION("GOOGLETRANSLATE(B7622,""en"",""zh-CN"")"),"那个家伙走开紧身绳子，微笑着。")</f>
        <v>那个家伙走开紧身绳子，微笑着。</v>
      </c>
    </row>
    <row r="7623">
      <c r="A7623" s="4" t="s">
        <v>9583</v>
      </c>
      <c r="B7623" s="6" t="s">
        <v>9584</v>
      </c>
      <c r="C7623" s="5" t="str">
        <f>IFERROR(__xludf.DUMMYFUNCTION("GOOGLETRANSLATE(B7623,""en"",""zh-CN"")"),"看到一个男人在相机上说话，并开始显示各种成分，并切成奶酪的人。")</f>
        <v>看到一个男人在相机上说话，并开始显示各种成分，并切成奶酪的人。</v>
      </c>
    </row>
    <row r="7624">
      <c r="A7624" s="4" t="s">
        <v>9583</v>
      </c>
      <c r="B7624" s="4" t="s">
        <v>9585</v>
      </c>
      <c r="C7624" s="5" t="str">
        <f>IFERROR(__xludf.DUMMYFUNCTION("GOOGLETRANSLATE(B7624,""en"",""zh-CN"")"),"该人将食材混合在一起，并将其放在面包片上以制成三明治。")</f>
        <v>该人将食材混合在一起，并将其放在面包片上以制成三明治。</v>
      </c>
    </row>
    <row r="7625">
      <c r="A7625" s="4" t="s">
        <v>9583</v>
      </c>
      <c r="B7625" s="4" t="s">
        <v>9586</v>
      </c>
      <c r="C7625" s="5" t="str">
        <f>IFERROR(__xludf.DUMMYFUNCTION("GOOGLETRANSLATE(B7625,""en"",""zh-CN"")"),"该人将食物压入压榨机，然后咬一口。")</f>
        <v>该人将食物压入压榨机，然后咬一口。</v>
      </c>
    </row>
    <row r="7626">
      <c r="A7626" s="4" t="s">
        <v>9587</v>
      </c>
      <c r="B7626" s="4" t="s">
        <v>9588</v>
      </c>
      <c r="C7626" s="5" t="str">
        <f>IFERROR(__xludf.DUMMYFUNCTION("GOOGLETRANSLATE(B7626,""en"",""zh-CN"")"),"一个年长的男人坐在管子里，而一个年长的女人爬到后面。")</f>
        <v>一个年长的男人坐在管子里，而一个年长的女人爬到后面。</v>
      </c>
    </row>
    <row r="7627">
      <c r="A7627" s="4" t="s">
        <v>9587</v>
      </c>
      <c r="B7627" s="4" t="s">
        <v>9589</v>
      </c>
      <c r="C7627" s="5" t="str">
        <f>IFERROR(__xludf.DUMMYFUNCTION("GOOGLETRANSLATE(B7627,""en"",""zh-CN"")"),"管子里的男人穿着滑雪条，最终与女人一起骑在船后面。")</f>
        <v>管子里的男人穿着滑雪条，最终与女人一起骑在船后面。</v>
      </c>
    </row>
    <row r="7628">
      <c r="A7628" s="4" t="s">
        <v>9587</v>
      </c>
      <c r="B7628" s="6" t="s">
        <v>9590</v>
      </c>
      <c r="C7628" s="5" t="str">
        <f>IFERROR(__xludf.DUMMYFUNCTION("GOOGLETRANSLATE(B7628,""en"",""zh-CN"")"),"这对夫妇继续在滑雪板上互相骑行，而相机放大进出以捕捉运动。")</f>
        <v>这对夫妇继续在滑雪板上互相骑行，而相机放大进出以捕捉运动。</v>
      </c>
    </row>
    <row r="7629">
      <c r="A7629" s="4" t="s">
        <v>9591</v>
      </c>
      <c r="B7629" s="4" t="s">
        <v>9592</v>
      </c>
      <c r="C7629" s="5" t="str">
        <f>IFERROR(__xludf.DUMMYFUNCTION("GOOGLETRANSLATE(B7629,""en"",""zh-CN"")"),"一个女人站在厨房里，盯着相机。")</f>
        <v>一个女人站在厨房里，盯着相机。</v>
      </c>
    </row>
    <row r="7630">
      <c r="A7630" s="4" t="s">
        <v>9591</v>
      </c>
      <c r="B7630" s="4" t="s">
        <v>9593</v>
      </c>
      <c r="C7630" s="5" t="str">
        <f>IFERROR(__xludf.DUMMYFUNCTION("GOOGLETRANSLATE(B7630,""en"",""zh-CN"")"),"该人打开烤箱，掏出一盘巧克力曲奇。")</f>
        <v>该人打开烤箱，掏出一盘巧克力曲奇。</v>
      </c>
    </row>
    <row r="7631">
      <c r="A7631" s="4" t="s">
        <v>9591</v>
      </c>
      <c r="B7631" s="4" t="s">
        <v>9594</v>
      </c>
      <c r="C7631" s="5" t="str">
        <f>IFERROR(__xludf.DUMMYFUNCTION("GOOGLETRANSLATE(B7631,""en"",""zh-CN"")"),"女人盯着饼干，然后检查第二批。")</f>
        <v>女人盯着饼干，然后检查第二批。</v>
      </c>
    </row>
    <row r="7632">
      <c r="A7632" s="4" t="s">
        <v>9591</v>
      </c>
      <c r="B7632" s="4" t="s">
        <v>9595</v>
      </c>
      <c r="C7632" s="5" t="str">
        <f>IFERROR(__xludf.DUMMYFUNCTION("GOOGLETRANSLATE(B7632,""en"",""zh-CN"")"),"那个女人从托盘上铲起饼干，松开它们。")</f>
        <v>那个女人从托盘上铲起饼干，松开它们。</v>
      </c>
    </row>
    <row r="7633">
      <c r="A7633" s="4" t="s">
        <v>9596</v>
      </c>
      <c r="B7633" s="4" t="s">
        <v>9597</v>
      </c>
      <c r="C7633" s="5" t="str">
        <f>IFERROR(__xludf.DUMMYFUNCTION("GOOGLETRANSLATE(B7633,""en"",""zh-CN"")"),"一个小男孩在靠近镜头的微笑。")</f>
        <v>一个小男孩在靠近镜头的微笑。</v>
      </c>
    </row>
    <row r="7634">
      <c r="A7634" s="4" t="s">
        <v>9596</v>
      </c>
      <c r="B7634" s="4" t="s">
        <v>9598</v>
      </c>
      <c r="C7634" s="5" t="str">
        <f>IFERROR(__xludf.DUMMYFUNCTION("GOOGLETRANSLATE(B7634,""en"",""zh-CN"")"),"他使用扳手从孩子的自行车轮胎上卸下螺栓。")</f>
        <v>他使用扳手从孩子的自行车轮胎上卸下螺栓。</v>
      </c>
    </row>
    <row r="7635">
      <c r="A7635" s="4" t="s">
        <v>9596</v>
      </c>
      <c r="B7635" s="4" t="s">
        <v>9599</v>
      </c>
      <c r="C7635" s="5" t="str">
        <f>IFERROR(__xludf.DUMMYFUNCTION("GOOGLETRANSLATE(B7635,""en"",""zh-CN"")"),"完成后，他大声笑。")</f>
        <v>完成后，他大声笑。</v>
      </c>
    </row>
    <row r="7636">
      <c r="A7636" s="4" t="s">
        <v>9600</v>
      </c>
      <c r="B7636" s="4" t="s">
        <v>9601</v>
      </c>
      <c r="C7636" s="5" t="str">
        <f>IFERROR(__xludf.DUMMYFUNCTION("GOOGLETRANSLATE(B7636,""en"",""zh-CN"")"),"一个男人和女人在舞台上打扮，等待着自己的表演。")</f>
        <v>一个男人和女人在舞台上打扮，等待着自己的表演。</v>
      </c>
    </row>
    <row r="7637">
      <c r="A7637" s="4" t="s">
        <v>9600</v>
      </c>
      <c r="B7637" s="4" t="s">
        <v>9602</v>
      </c>
      <c r="C7637" s="5" t="str">
        <f>IFERROR(__xludf.DUMMYFUNCTION("GOOGLETRANSLATE(B7637,""en"",""zh-CN"")"),"表演开始，开始跳舞非常精美。")</f>
        <v>表演开始，开始跳舞非常精美。</v>
      </c>
    </row>
    <row r="7638">
      <c r="A7638" s="4" t="s">
        <v>9600</v>
      </c>
      <c r="B7638" s="4" t="s">
        <v>9603</v>
      </c>
      <c r="C7638" s="5" t="str">
        <f>IFERROR(__xludf.DUMMYFUNCTION("GOOGLETRANSLATE(B7638,""en"",""zh-CN"")"),"他们一起工作得很好，他把她抬到肩上。")</f>
        <v>他们一起工作得很好，他把她抬到肩上。</v>
      </c>
    </row>
    <row r="7639">
      <c r="A7639" s="4" t="s">
        <v>9600</v>
      </c>
      <c r="B7639" s="4" t="s">
        <v>9604</v>
      </c>
      <c r="C7639" s="5" t="str">
        <f>IFERROR(__xludf.DUMMYFUNCTION("GOOGLETRANSLATE(B7639,""en"",""zh-CN"")"),"他们将椅子用作道具和跳舞，直到停下来，然后他们拥抱。")</f>
        <v>他们将椅子用作道具和跳舞，直到停下来，然后他们拥抱。</v>
      </c>
    </row>
    <row r="7640">
      <c r="A7640" s="4" t="s">
        <v>9605</v>
      </c>
      <c r="B7640" s="4" t="s">
        <v>1251</v>
      </c>
      <c r="C7640" s="5" t="str">
        <f>IFERROR(__xludf.DUMMYFUNCTION("GOOGLETRANSLATE(B7640,""en"",""zh-CN"")"),"显示了剪辑的信用。")</f>
        <v>显示了剪辑的信用。</v>
      </c>
    </row>
    <row r="7641">
      <c r="A7641" s="4" t="s">
        <v>9605</v>
      </c>
      <c r="B7641" s="4" t="s">
        <v>9606</v>
      </c>
      <c r="C7641" s="5" t="str">
        <f>IFERROR(__xludf.DUMMYFUNCTION("GOOGLETRANSLATE(B7641,""en"",""zh-CN"")"),"一名女运动员拍手。")</f>
        <v>一名女运动员拍手。</v>
      </c>
    </row>
    <row r="7642">
      <c r="A7642" s="4" t="s">
        <v>9605</v>
      </c>
      <c r="B7642" s="4" t="s">
        <v>9607</v>
      </c>
      <c r="C7642" s="5" t="str">
        <f>IFERROR(__xludf.DUMMYFUNCTION("GOOGLETRANSLATE(B7642,""en"",""zh-CN"")"),"女运动员在高大的障碍物上跑步并抬高自己的身体。")</f>
        <v>女运动员在高大的障碍物上跑步并抬高自己的身体。</v>
      </c>
    </row>
    <row r="7643">
      <c r="A7643" s="4" t="s">
        <v>9605</v>
      </c>
      <c r="B7643" s="4" t="s">
        <v>9608</v>
      </c>
      <c r="C7643" s="5" t="str">
        <f>IFERROR(__xludf.DUMMYFUNCTION("GOOGLETRANSLATE(B7643,""en"",""zh-CN"")"),"女运动员大喊大叫。")</f>
        <v>女运动员大喊大叫。</v>
      </c>
    </row>
    <row r="7644">
      <c r="A7644" s="4" t="s">
        <v>9605</v>
      </c>
      <c r="B7644" s="4" t="s">
        <v>9609</v>
      </c>
      <c r="C7644" s="5" t="str">
        <f>IFERROR(__xludf.DUMMYFUNCTION("GOOGLETRANSLATE(B7644,""en"",""zh-CN"")"),"女运动员跳舞和旋转。")</f>
        <v>女运动员跳舞和旋转。</v>
      </c>
    </row>
    <row r="7645">
      <c r="A7645" s="4" t="s">
        <v>9605</v>
      </c>
      <c r="B7645" s="4" t="s">
        <v>9610</v>
      </c>
      <c r="C7645" s="5" t="str">
        <f>IFERROR(__xludf.DUMMYFUNCTION("GOOGLETRANSLATE(B7645,""en"",""zh-CN"")"),"女运动员走开了。")</f>
        <v>女运动员走开了。</v>
      </c>
    </row>
    <row r="7646">
      <c r="A7646" s="4" t="s">
        <v>9605</v>
      </c>
      <c r="B7646" s="4" t="s">
        <v>573</v>
      </c>
      <c r="C7646" s="5" t="str">
        <f>IFERROR(__xludf.DUMMYFUNCTION("GOOGLETRANSLATE(B7646,""en"",""zh-CN"")"),"显示了视频的积分。")</f>
        <v>显示了视频的积分。</v>
      </c>
    </row>
    <row r="7647">
      <c r="A7647" s="4" t="s">
        <v>9611</v>
      </c>
      <c r="B7647" s="4" t="s">
        <v>9612</v>
      </c>
      <c r="C7647" s="5" t="str">
        <f>IFERROR(__xludf.DUMMYFUNCTION("GOOGLETRANSLATE(B7647,""en"",""zh-CN"")"),"室内课程在仓库设置中用摄像头放置。")</f>
        <v>室内课程在仓库设置中用摄像头放置。</v>
      </c>
    </row>
    <row r="7648">
      <c r="A7648" s="4" t="s">
        <v>9611</v>
      </c>
      <c r="B7648" s="4" t="s">
        <v>9613</v>
      </c>
      <c r="C7648" s="5" t="str">
        <f>IFERROR(__xludf.DUMMYFUNCTION("GOOGLETRANSLATE(B7648,""en"",""zh-CN"")"),"一名运动员沿着轨道和撑杆跳在高的酒吧上，并登上缓冲垫。")</f>
        <v>一名运动员沿着轨道和撑杆跳在高的酒吧上，并登上缓冲垫。</v>
      </c>
    </row>
    <row r="7649">
      <c r="A7649" s="4" t="s">
        <v>9611</v>
      </c>
      <c r="B7649" s="4" t="s">
        <v>9614</v>
      </c>
      <c r="C7649" s="5" t="str">
        <f>IFERROR(__xludf.DUMMYFUNCTION("GOOGLETRANSLATE(B7649,""en"",""zh-CN"")"),"钢管武术者在使用前讨论事件并将一些木池放下。")</f>
        <v>钢管武术者在使用前讨论事件并将一些木池放下。</v>
      </c>
    </row>
    <row r="7650">
      <c r="A7650" s="4" t="s">
        <v>9611</v>
      </c>
      <c r="B7650" s="4" t="s">
        <v>9615</v>
      </c>
      <c r="C7650" s="5" t="str">
        <f>IFERROR(__xludf.DUMMYFUNCTION("GOOGLETRANSLATE(B7650,""en"",""zh-CN"")"),"运动员讨论更多，并在电视屏幕上看到以前的撑杆跳。")</f>
        <v>运动员讨论更多，并在电视屏幕上看到以前的撑杆跳。</v>
      </c>
    </row>
    <row r="7651">
      <c r="A7651" s="4" t="s">
        <v>9611</v>
      </c>
      <c r="B7651" s="4" t="s">
        <v>9616</v>
      </c>
      <c r="C7651" s="5" t="str">
        <f>IFERROR(__xludf.DUMMYFUNCTION("GOOGLETRANSLATE(B7651,""en"",""zh-CN"")"),"运动员与教练坐在一起，看电视屏幕。")</f>
        <v>运动员与教练坐在一起，看电视屏幕。</v>
      </c>
    </row>
    <row r="7652">
      <c r="A7652" s="4" t="s">
        <v>9611</v>
      </c>
      <c r="B7652" s="4" t="s">
        <v>9617</v>
      </c>
      <c r="C7652" s="5" t="str">
        <f>IFERROR(__xludf.DUMMYFUNCTION("GOOGLETRANSLATE(B7652,""en"",""zh-CN"")"),"运动员在赛道上站着并进行交谈，并在垫子上进行热身奔跑。")</f>
        <v>运动员在赛道上站着并进行交谈，并在垫子上进行热身奔跑。</v>
      </c>
    </row>
    <row r="7653">
      <c r="A7653" s="4" t="s">
        <v>9611</v>
      </c>
      <c r="B7653" s="4" t="s">
        <v>9618</v>
      </c>
      <c r="C7653" s="5" t="str">
        <f>IFERROR(__xludf.DUMMYFUNCTION("GOOGLETRANSLATE(B7653,""en"",""zh-CN"")"),"运动员躺在女运动员旁边的垫子上。")</f>
        <v>运动员躺在女运动员旁边的垫子上。</v>
      </c>
    </row>
    <row r="7654">
      <c r="A7654" s="4" t="s">
        <v>9611</v>
      </c>
      <c r="B7654" s="4" t="s">
        <v>9619</v>
      </c>
      <c r="C7654" s="5" t="str">
        <f>IFERROR(__xludf.DUMMYFUNCTION("GOOGLETRANSLATE(B7654,""en"",""zh-CN"")"),"运动员在练习垫上进行多个撑竿跳高。")</f>
        <v>运动员在练习垫上进行多个撑竿跳高。</v>
      </c>
    </row>
    <row r="7655">
      <c r="A7655" s="4" t="s">
        <v>9611</v>
      </c>
      <c r="B7655" s="4" t="s">
        <v>9620</v>
      </c>
      <c r="C7655" s="5" t="str">
        <f>IFERROR(__xludf.DUMMYFUNCTION("GOOGLETRANSLATE(B7655,""en"",""zh-CN"")"),"在城市环境中可以看到仓库的外部。")</f>
        <v>在城市环境中可以看到仓库的外部。</v>
      </c>
    </row>
    <row r="7656">
      <c r="A7656" s="4" t="s">
        <v>9621</v>
      </c>
      <c r="B7656" s="4" t="s">
        <v>9622</v>
      </c>
      <c r="C7656" s="5" t="str">
        <f>IFERROR(__xludf.DUMMYFUNCTION("GOOGLETRANSLATE(B7656,""en"",""zh-CN"")"),"看到猫的闭合坐在一个人的腿上。")</f>
        <v>看到猫的闭合坐在一个人的腿上。</v>
      </c>
    </row>
    <row r="7657">
      <c r="A7657" s="4" t="s">
        <v>9621</v>
      </c>
      <c r="B7657" s="4" t="s">
        <v>9623</v>
      </c>
      <c r="C7657" s="5" t="str">
        <f>IFERROR(__xludf.DUMMYFUNCTION("GOOGLETRANSLATE(B7657,""en"",""zh-CN"")"),"然后，该人抓住了一对快船，开始剪掉猫的指甲。")</f>
        <v>然后，该人抓住了一对快船，开始剪掉猫的指甲。</v>
      </c>
    </row>
    <row r="7658">
      <c r="A7658" s="4" t="s">
        <v>9621</v>
      </c>
      <c r="B7658" s="4" t="s">
        <v>9624</v>
      </c>
      <c r="C7658" s="5" t="str">
        <f>IFERROR(__xludf.DUMMYFUNCTION("GOOGLETRANSLATE(B7658,""en"",""zh-CN"")"),"他继续剪指甲，最后炫耀猫爪。")</f>
        <v>他继续剪指甲，最后炫耀猫爪。</v>
      </c>
    </row>
    <row r="7659">
      <c r="A7659" s="4" t="s">
        <v>9625</v>
      </c>
      <c r="B7659" s="4" t="s">
        <v>9626</v>
      </c>
      <c r="C7659" s="5" t="str">
        <f>IFERROR(__xludf.DUMMYFUNCTION("GOOGLETRANSLATE(B7659,""en"",""zh-CN"")"),"一辆银色的汽车停在街上。")</f>
        <v>一辆银色的汽车停在街上。</v>
      </c>
    </row>
    <row r="7660">
      <c r="A7660" s="4" t="s">
        <v>9625</v>
      </c>
      <c r="B7660" s="4" t="s">
        <v>9627</v>
      </c>
      <c r="C7660" s="5" t="str">
        <f>IFERROR(__xludf.DUMMYFUNCTION("GOOGLETRANSLATE(B7660,""en"",""zh-CN"")"),"一个人的力量在街上洗车。")</f>
        <v>一个人的力量在街上洗车。</v>
      </c>
    </row>
    <row r="7661">
      <c r="A7661" s="4" t="s">
        <v>9625</v>
      </c>
      <c r="B7661" s="4" t="s">
        <v>9628</v>
      </c>
      <c r="C7661" s="5" t="str">
        <f>IFERROR(__xludf.DUMMYFUNCTION("GOOGLETRANSLATE(B7661,""en"",""zh-CN"")"),"然后，他将其干燥。")</f>
        <v>然后，他将其干燥。</v>
      </c>
    </row>
    <row r="7662">
      <c r="A7662" s="4" t="s">
        <v>9625</v>
      </c>
      <c r="B7662" s="4" t="s">
        <v>9629</v>
      </c>
      <c r="C7662" s="5" t="str">
        <f>IFERROR(__xludf.DUMMYFUNCTION("GOOGLETRANSLATE(B7662,""en"",""zh-CN"")"),"汽车现在完全干净。")</f>
        <v>汽车现在完全干净。</v>
      </c>
    </row>
    <row r="7663">
      <c r="A7663" s="4" t="s">
        <v>9630</v>
      </c>
      <c r="B7663" s="4" t="s">
        <v>9631</v>
      </c>
      <c r="C7663" s="5" t="str">
        <f>IFERROR(__xludf.DUMMYFUNCTION("GOOGLETRANSLATE(B7663,""en"",""zh-CN"")"),"一名妇女在街头环境中与镜头交谈，而行人和汽车经过。")</f>
        <v>一名妇女在街头环境中与镜头交谈，而行人和汽车经过。</v>
      </c>
    </row>
    <row r="7664">
      <c r="A7664" s="4" t="s">
        <v>9630</v>
      </c>
      <c r="B7664" s="4" t="s">
        <v>9632</v>
      </c>
      <c r="C7664" s="5" t="str">
        <f>IFERROR(__xludf.DUMMYFUNCTION("GOOGLETRANSLATE(B7664,""en"",""zh-CN"")"),"女人从墙后面偷看。")</f>
        <v>女人从墙后面偷看。</v>
      </c>
    </row>
    <row r="7665">
      <c r="A7665" s="4" t="s">
        <v>9630</v>
      </c>
      <c r="B7665" s="4" t="s">
        <v>9633</v>
      </c>
      <c r="C7665" s="5" t="str">
        <f>IFERROR(__xludf.DUMMYFUNCTION("GOOGLETRANSLATE(B7665,""en"",""zh-CN"")"),"女人看着一个男人看着笔记本电脑的屏幕。")</f>
        <v>女人看着一个男人看着笔记本电脑的屏幕。</v>
      </c>
    </row>
    <row r="7666">
      <c r="A7666" s="4" t="s">
        <v>9630</v>
      </c>
      <c r="B7666" s="6" t="s">
        <v>9634</v>
      </c>
      <c r="C7666" s="5" t="str">
        <f>IFERROR(__xludf.DUMMYFUNCTION("GOOGLETRANSLATE(B7666,""en"",""zh-CN"")"),"该男子在女人的上臂上施加纹身图案，视频有时会加速。")</f>
        <v>该男子在女人的上臂上施加纹身图案，视频有时会加速。</v>
      </c>
    </row>
    <row r="7667">
      <c r="A7667" s="4" t="s">
        <v>9630</v>
      </c>
      <c r="B7667" s="4" t="s">
        <v>9635</v>
      </c>
      <c r="C7667" s="5" t="str">
        <f>IFERROR(__xludf.DUMMYFUNCTION("GOOGLETRANSLATE(B7667,""en"",""zh-CN"")"),"该名女子在与镜头交谈时展示了完整的纹身。")</f>
        <v>该名女子在与镜头交谈时展示了完整的纹身。</v>
      </c>
    </row>
    <row r="7668">
      <c r="A7668" s="4" t="s">
        <v>9636</v>
      </c>
      <c r="B7668" s="4" t="s">
        <v>9637</v>
      </c>
      <c r="C7668" s="5" t="str">
        <f>IFERROR(__xludf.DUMMYFUNCTION("GOOGLETRANSLATE(B7668,""en"",""zh-CN"")"),"巨大的海景显示为波浪坠毁。")</f>
        <v>巨大的海景显示为波浪坠毁。</v>
      </c>
    </row>
    <row r="7669">
      <c r="A7669" s="4" t="s">
        <v>9636</v>
      </c>
      <c r="B7669" s="4" t="s">
        <v>9638</v>
      </c>
      <c r="C7669" s="5" t="str">
        <f>IFERROR(__xludf.DUMMYFUNCTION("GOOGLETRANSLATE(B7669,""en"",""zh-CN"")"),"这是从几个不同角度重复的。")</f>
        <v>这是从几个不同角度重复的。</v>
      </c>
    </row>
    <row r="7670">
      <c r="A7670" s="4" t="s">
        <v>9636</v>
      </c>
      <c r="B7670" s="4" t="s">
        <v>9639</v>
      </c>
      <c r="C7670" s="5" t="str">
        <f>IFERROR(__xludf.DUMMYFUNCTION("GOOGLETRANSLATE(B7670,""en"",""zh-CN"")"),"然后显示人们通过海浪冲浪。")</f>
        <v>然后显示人们通过海浪冲浪。</v>
      </c>
    </row>
    <row r="7671">
      <c r="A7671" s="4" t="s">
        <v>9640</v>
      </c>
      <c r="B7671" s="4" t="s">
        <v>9641</v>
      </c>
      <c r="C7671" s="5" t="str">
        <f>IFERROR(__xludf.DUMMYFUNCTION("GOOGLETRANSLATE(B7671,""en"",""zh-CN"")"),"一个男人站在桌子前。")</f>
        <v>一个男人站在桌子前。</v>
      </c>
    </row>
    <row r="7672">
      <c r="A7672" s="4" t="s">
        <v>9640</v>
      </c>
      <c r="B7672" s="4" t="s">
        <v>9642</v>
      </c>
      <c r="C7672" s="5" t="str">
        <f>IFERROR(__xludf.DUMMYFUNCTION("GOOGLETRANSLATE(B7672,""en"",""zh-CN"")"),"他在碗上拿着土豆和去皮。")</f>
        <v>他在碗上拿着土豆和去皮。</v>
      </c>
    </row>
    <row r="7673">
      <c r="A7673" s="4" t="s">
        <v>9640</v>
      </c>
      <c r="B7673" s="4" t="s">
        <v>9643</v>
      </c>
      <c r="C7673" s="5" t="str">
        <f>IFERROR(__xludf.DUMMYFUNCTION("GOOGLETRANSLATE(B7673,""en"",""zh-CN"")"),"他一次剥离土豆一条条。")</f>
        <v>他一次剥离土豆一条条。</v>
      </c>
    </row>
    <row r="7674">
      <c r="A7674" s="4" t="s">
        <v>9644</v>
      </c>
      <c r="B7674" s="4" t="s">
        <v>9645</v>
      </c>
      <c r="C7674" s="5" t="str">
        <f>IFERROR(__xludf.DUMMYFUNCTION("GOOGLETRANSLATE(B7674,""en"",""zh-CN"")"),"汽车正在洗车上。")</f>
        <v>汽车正在洗车上。</v>
      </c>
    </row>
    <row r="7675">
      <c r="A7675" s="4" t="s">
        <v>9644</v>
      </c>
      <c r="B7675" s="4" t="s">
        <v>9646</v>
      </c>
      <c r="C7675" s="5" t="str">
        <f>IFERROR(__xludf.DUMMYFUNCTION("GOOGLETRANSLATE(B7675,""en"",""zh-CN"")"),"正在显示洗车中的游戏室。")</f>
        <v>正在显示洗车中的游戏室。</v>
      </c>
    </row>
    <row r="7676">
      <c r="A7676" s="4" t="s">
        <v>9644</v>
      </c>
      <c r="B7676" s="4" t="s">
        <v>9647</v>
      </c>
      <c r="C7676" s="5" t="str">
        <f>IFERROR(__xludf.DUMMYFUNCTION("GOOGLETRANSLATE(B7676,""en"",""zh-CN"")"),"显示了洗车建筑的外部。")</f>
        <v>显示了洗车建筑的外部。</v>
      </c>
    </row>
    <row r="7677">
      <c r="A7677" s="4" t="s">
        <v>9648</v>
      </c>
      <c r="B7677" s="4" t="s">
        <v>9649</v>
      </c>
      <c r="C7677" s="5" t="str">
        <f>IFERROR(__xludf.DUMMYFUNCTION("GOOGLETRANSLATE(B7677,""en"",""zh-CN"")"),"介绍展示了视频的产品。")</f>
        <v>介绍展示了视频的产品。</v>
      </c>
    </row>
    <row r="7678">
      <c r="A7678" s="4" t="s">
        <v>9648</v>
      </c>
      <c r="B7678" s="4" t="s">
        <v>9650</v>
      </c>
      <c r="C7678" s="5" t="str">
        <f>IFERROR(__xludf.DUMMYFUNCTION("GOOGLETRANSLATE(B7678,""en"",""zh-CN"")"),"主机展示了每种产品以及如何帮助清洁鞋子。")</f>
        <v>主机展示了每种产品以及如何帮助清洁鞋子。</v>
      </c>
    </row>
    <row r="7679">
      <c r="A7679" s="4" t="s">
        <v>9648</v>
      </c>
      <c r="B7679" s="4" t="s">
        <v>9651</v>
      </c>
      <c r="C7679" s="5" t="str">
        <f>IFERROR(__xludf.DUMMYFUNCTION("GOOGLETRANSLATE(B7679,""en"",""zh-CN"")"),"首先，我们看到运动鞋被清洁了。")</f>
        <v>首先，我们看到运动鞋被清洁了。</v>
      </c>
    </row>
    <row r="7680">
      <c r="A7680" s="4" t="s">
        <v>9648</v>
      </c>
      <c r="B7680" s="4" t="s">
        <v>9652</v>
      </c>
      <c r="C7680" s="5" t="str">
        <f>IFERROR(__xludf.DUMMYFUNCTION("GOOGLETRANSLATE(B7680,""en"",""zh-CN"")"),"接下来要清洁篮球鞋。")</f>
        <v>接下来要清洁篮球鞋。</v>
      </c>
    </row>
    <row r="7681">
      <c r="A7681" s="4" t="s">
        <v>9648</v>
      </c>
      <c r="B7681" s="4" t="s">
        <v>9653</v>
      </c>
      <c r="C7681" s="5" t="str">
        <f>IFERROR(__xludf.DUMMYFUNCTION("GOOGLETRANSLATE(B7681,""en"",""zh-CN"")"),"一些广告播放以关闭视频。")</f>
        <v>一些广告播放以关闭视频。</v>
      </c>
    </row>
    <row r="7682">
      <c r="A7682" s="4" t="s">
        <v>9654</v>
      </c>
      <c r="B7682" s="4" t="s">
        <v>9655</v>
      </c>
      <c r="C7682" s="5" t="str">
        <f>IFERROR(__xludf.DUMMYFUNCTION("GOOGLETRANSLATE(B7682,""en"",""zh-CN"")"),"在舞台上，几个穿着红色服装的跳舞，在舞台上为大型观众带来彩色照明的舞台。")</f>
        <v>在舞台上，几个穿着红色服装的跳舞，在舞台上为大型观众带来彩色照明的舞台。</v>
      </c>
    </row>
    <row r="7683">
      <c r="A7683" s="4" t="s">
        <v>9654</v>
      </c>
      <c r="B7683" s="4" t="s">
        <v>9656</v>
      </c>
      <c r="C7683" s="5" t="str">
        <f>IFERROR(__xludf.DUMMYFUNCTION("GOOGLETRANSLATE(B7683,""en"",""zh-CN"")"),"一个男人和一个女人热情地抱着彼此的拥抱。")</f>
        <v>一个男人和一个女人热情地抱着彼此的拥抱。</v>
      </c>
    </row>
    <row r="7684">
      <c r="A7684" s="4" t="s">
        <v>9654</v>
      </c>
      <c r="B7684" s="4" t="s">
        <v>9657</v>
      </c>
      <c r="C7684" s="5" t="str">
        <f>IFERROR(__xludf.DUMMYFUNCTION("GOOGLETRANSLATE(B7684,""en"",""zh-CN"")"),"该男子浸入他的女伴侣，在舞蹈结束时进行了分裂。")</f>
        <v>该男子浸入他的女伴侣，在舞蹈结束时进行了分裂。</v>
      </c>
    </row>
    <row r="7685">
      <c r="A7685" s="4" t="s">
        <v>9658</v>
      </c>
      <c r="B7685" s="4" t="s">
        <v>9659</v>
      </c>
      <c r="C7685" s="5" t="str">
        <f>IFERROR(__xludf.DUMMYFUNCTION("GOOGLETRANSLATE(B7685,""en"",""zh-CN"")"),"一个长发的女人在延时视频中在大面板上绘画。")</f>
        <v>一个长发的女人在延时视频中在大面板上绘画。</v>
      </c>
    </row>
    <row r="7686">
      <c r="A7686" s="4" t="s">
        <v>9658</v>
      </c>
      <c r="B7686" s="4" t="s">
        <v>9660</v>
      </c>
      <c r="C7686" s="5" t="str">
        <f>IFERROR(__xludf.DUMMYFUNCTION("GOOGLETRANSLATE(B7686,""en"",""zh-CN"")"),"这个女人仍在画面板，但现在换了衣服。")</f>
        <v>这个女人仍在画面板，但现在换了衣服。</v>
      </c>
    </row>
    <row r="7687">
      <c r="A7687" s="4" t="s">
        <v>9658</v>
      </c>
      <c r="B7687" s="4" t="s">
        <v>9661</v>
      </c>
      <c r="C7687" s="5" t="str">
        <f>IFERROR(__xludf.DUMMYFUNCTION("GOOGLETRANSLATE(B7687,""en"",""zh-CN"")"),"该名女子仍在画面板，但又有另一个衣服。")</f>
        <v>该名女子仍在画面板，但又有另一个衣服。</v>
      </c>
    </row>
    <row r="7688">
      <c r="A7688" s="4" t="s">
        <v>9658</v>
      </c>
      <c r="B7688" s="4" t="s">
        <v>9662</v>
      </c>
      <c r="C7688" s="5" t="str">
        <f>IFERROR(__xludf.DUMMYFUNCTION("GOOGLETRANSLATE(B7688,""en"",""zh-CN"")"),"女人用四套不同的衣服绘画。")</f>
        <v>女人用四套不同的衣服绘画。</v>
      </c>
    </row>
    <row r="7689">
      <c r="A7689" s="4" t="s">
        <v>9658</v>
      </c>
      <c r="B7689" s="4" t="s">
        <v>9663</v>
      </c>
      <c r="C7689" s="5" t="str">
        <f>IFERROR(__xludf.DUMMYFUNCTION("GOOGLETRANSLATE(B7689,""en"",""zh-CN"")"),"女人继续用五套不同的衣服绘画。")</f>
        <v>女人继续用五套不同的衣服绘画。</v>
      </c>
    </row>
    <row r="7690">
      <c r="A7690" s="4" t="s">
        <v>9658</v>
      </c>
      <c r="B7690" s="4" t="s">
        <v>9664</v>
      </c>
      <c r="C7690" s="5" t="str">
        <f>IFERROR(__xludf.DUMMYFUNCTION("GOOGLETRANSLATE(B7690,""en"",""zh-CN"")"),"女人继续用第六套不同的衣服绘画。")</f>
        <v>女人继续用第六套不同的衣服绘画。</v>
      </c>
    </row>
    <row r="7691">
      <c r="A7691" s="4" t="s">
        <v>9658</v>
      </c>
      <c r="B7691" s="4" t="s">
        <v>9665</v>
      </c>
      <c r="C7691" s="5" t="str">
        <f>IFERROR(__xludf.DUMMYFUNCTION("GOOGLETRANSLATE(B7691,""en"",""zh-CN"")"),"显示了完整图片的特写。")</f>
        <v>显示了完整图片的特写。</v>
      </c>
    </row>
    <row r="7692">
      <c r="A7692" s="4" t="s">
        <v>9666</v>
      </c>
      <c r="B7692" s="4" t="s">
        <v>9667</v>
      </c>
      <c r="C7692" s="5" t="str">
        <f>IFERROR(__xludf.DUMMYFUNCTION("GOOGLETRANSLATE(B7692,""en"",""zh-CN"")"),"“ IAAF”徽标出现在“跳远人”一词。")</f>
        <v>“ IAAF”徽标出现在“跳远人”一词。</v>
      </c>
    </row>
    <row r="7693">
      <c r="A7693" s="4" t="s">
        <v>9666</v>
      </c>
      <c r="B7693" s="4" t="s">
        <v>9668</v>
      </c>
      <c r="C7693" s="5" t="str">
        <f>IFERROR(__xludf.DUMMYFUNCTION("GOOGLETRANSLATE(B7693,""en"",""zh-CN"")"),"几名男子在轨道上跑来跑去，并在职业体育场地进行跳远。")</f>
        <v>几名男子在轨道上跑来跑去，并在职业体育场地进行跳远。</v>
      </c>
    </row>
    <row r="7694">
      <c r="A7694" s="4" t="s">
        <v>9666</v>
      </c>
      <c r="B7694" s="4" t="s">
        <v>9669</v>
      </c>
      <c r="C7694" s="5" t="str">
        <f>IFERROR(__xludf.DUMMYFUNCTION("GOOGLETRANSLATE(B7694,""en"",""zh-CN"")"),"显示了所有参与玩家的记分牌图形。")</f>
        <v>显示了所有参与玩家的记分牌图形。</v>
      </c>
    </row>
    <row r="7695">
      <c r="A7695" s="4" t="s">
        <v>9670</v>
      </c>
      <c r="B7695" s="4" t="s">
        <v>9671</v>
      </c>
      <c r="C7695" s="5" t="str">
        <f>IFERROR(__xludf.DUMMYFUNCTION("GOOGLETRANSLATE(B7695,""en"",""zh-CN"")"),"人们站在蓝色垫子上。")</f>
        <v>人们站在蓝色垫子上。</v>
      </c>
    </row>
    <row r="7696">
      <c r="A7696" s="4" t="s">
        <v>9670</v>
      </c>
      <c r="B7696" s="4" t="s">
        <v>9672</v>
      </c>
      <c r="C7696" s="5" t="str">
        <f>IFERROR(__xludf.DUMMYFUNCTION("GOOGLETRANSLATE(B7696,""en"",""zh-CN"")"),"他们开始在垫子上做啦啦队的例行程序。")</f>
        <v>他们开始在垫子上做啦啦队的例行程序。</v>
      </c>
    </row>
    <row r="7697">
      <c r="A7697" s="4" t="s">
        <v>9670</v>
      </c>
      <c r="B7697" s="4" t="s">
        <v>9673</v>
      </c>
      <c r="C7697" s="5" t="str">
        <f>IFERROR(__xludf.DUMMYFUNCTION("GOOGLETRANSLATE(B7697,""en"",""zh-CN"")"),"他们在垫子的前面举起标志。")</f>
        <v>他们在垫子的前面举起标志。</v>
      </c>
    </row>
    <row r="7698">
      <c r="A7698" s="4" t="s">
        <v>9674</v>
      </c>
      <c r="B7698" s="4" t="s">
        <v>9675</v>
      </c>
      <c r="C7698" s="5" t="str">
        <f>IFERROR(__xludf.DUMMYFUNCTION("GOOGLETRANSLATE(B7698,""en"",""zh-CN"")"),"显示了一个黑屏，并显示了各种白色单词。")</f>
        <v>显示了一个黑屏，并显示了各种白色单词。</v>
      </c>
    </row>
    <row r="7699">
      <c r="A7699" s="4" t="s">
        <v>9674</v>
      </c>
      <c r="B7699" s="4" t="s">
        <v>9676</v>
      </c>
      <c r="C7699" s="5" t="str">
        <f>IFERROR(__xludf.DUMMYFUNCTION("GOOGLETRANSLATE(B7699,""en"",""zh-CN"")"),"之后，向一个高加索男子展示了手鼓并踩脚。")</f>
        <v>之后，向一个高加索男子展示了手鼓并踩脚。</v>
      </c>
    </row>
    <row r="7700">
      <c r="A7700" s="4" t="s">
        <v>9677</v>
      </c>
      <c r="B7700" s="4" t="s">
        <v>9678</v>
      </c>
      <c r="C7700" s="5" t="str">
        <f>IFERROR(__xludf.DUMMYFUNCTION("GOOGLETRANSLATE(B7700,""en"",""zh-CN"")"),"沿着院子的雪地覆盖的铲子耙子。")</f>
        <v>沿着院子的雪地覆盖的铲子耙子。</v>
      </c>
    </row>
    <row r="7701">
      <c r="A7701" s="4" t="s">
        <v>9677</v>
      </c>
      <c r="B7701" s="4" t="s">
        <v>9679</v>
      </c>
      <c r="C7701" s="5" t="str">
        <f>IFERROR(__xludf.DUMMYFUNCTION("GOOGLETRANSLATE(B7701,""en"",""zh-CN"")"),"它大量降雪。")</f>
        <v>它大量降雪。</v>
      </c>
    </row>
    <row r="7702">
      <c r="A7702" s="4" t="s">
        <v>9677</v>
      </c>
      <c r="B7702" s="4" t="s">
        <v>9680</v>
      </c>
      <c r="C7702" s="5" t="str">
        <f>IFERROR(__xludf.DUMMYFUNCTION("GOOGLETRANSLATE(B7702,""en"",""zh-CN"")"),"一个男人拉起铲子，将其放在一边。")</f>
        <v>一个男人拉起铲子，将其放在一边。</v>
      </c>
    </row>
    <row r="7703">
      <c r="A7703" s="4" t="s">
        <v>9681</v>
      </c>
      <c r="B7703" s="4" t="s">
        <v>9682</v>
      </c>
      <c r="C7703" s="5" t="str">
        <f>IFERROR(__xludf.DUMMYFUNCTION("GOOGLETRANSLATE(B7703,""en"",""zh-CN"")"),"我们看到一个蓝色的介绍屏幕。")</f>
        <v>我们看到一个蓝色的介绍屏幕。</v>
      </c>
    </row>
    <row r="7704">
      <c r="A7704" s="4" t="s">
        <v>9681</v>
      </c>
      <c r="B7704" s="4" t="s">
        <v>9683</v>
      </c>
      <c r="C7704" s="5" t="str">
        <f>IFERROR(__xludf.DUMMYFUNCTION("GOOGLETRANSLATE(B7704,""en"",""zh-CN"")"),"我们看到孩子们骑越野车。")</f>
        <v>我们看到孩子们骑越野车。</v>
      </c>
    </row>
    <row r="7705">
      <c r="A7705" s="4" t="s">
        <v>9681</v>
      </c>
      <c r="B7705" s="4" t="s">
        <v>9684</v>
      </c>
      <c r="C7705" s="5" t="str">
        <f>IFERROR(__xludf.DUMMYFUNCTION("GOOGLETRANSLATE(B7705,""en"",""zh-CN"")"),"我们看到了另一个标题屏幕，并看到了中级骑手。")</f>
        <v>我们看到了另一个标题屏幕，并看到了中级骑手。</v>
      </c>
    </row>
    <row r="7706">
      <c r="A7706" s="4" t="s">
        <v>9681</v>
      </c>
      <c r="B7706" s="4" t="s">
        <v>9685</v>
      </c>
      <c r="C7706" s="5" t="str">
        <f>IFERROR(__xludf.DUMMYFUNCTION("GOOGLETRANSLATE(B7706,""en"",""zh-CN"")"),"我们看到屏幕再次变蓝，我们看到了专家。")</f>
        <v>我们看到屏幕再次变蓝，我们看到了专家。</v>
      </c>
    </row>
    <row r="7707">
      <c r="A7707" s="4" t="s">
        <v>9681</v>
      </c>
      <c r="B7707" s="4" t="s">
        <v>9686</v>
      </c>
      <c r="C7707" s="5" t="str">
        <f>IFERROR(__xludf.DUMMYFUNCTION("GOOGLETRANSLATE(B7707,""en"",""zh-CN"")"),"显示了另一个标题屏幕，我们看到了积分。")</f>
        <v>显示了另一个标题屏幕，我们看到了积分。</v>
      </c>
    </row>
    <row r="7708">
      <c r="A7708" s="4" t="s">
        <v>9687</v>
      </c>
      <c r="B7708" s="6" t="s">
        <v>9688</v>
      </c>
      <c r="C7708" s="5" t="str">
        <f>IFERROR(__xludf.DUMMYFUNCTION("GOOGLETRANSLATE(B7708,""en"",""zh-CN"")"),"屏幕上出现了一个黑屏，并在屏幕上显示了手写的白色文本，并说“ Bart Rollin”。")</f>
        <v>屏幕上出现了一个黑屏，并在屏幕上显示了手写的白色文本，并说“ Bart Rollin”。</v>
      </c>
    </row>
    <row r="7709">
      <c r="A7709" s="4" t="s">
        <v>9687</v>
      </c>
      <c r="B7709" s="6" t="s">
        <v>9689</v>
      </c>
      <c r="C7709" s="5" t="str">
        <f>IFERROR(__xludf.DUMMYFUNCTION("GOOGLETRANSLATE(B7709,""en"",""zh-CN"")"),"一个男人在一个城市中的户外滑冰，有没有衬衫在不同的地方，跌倒了几次，白天和黑夜都在溜冰，而人们在不同的地方看着不同的地方，有时他一个人。")</f>
        <v>一个男人在一个城市中的户外滑冰，有没有衬衫在不同的地方，跌倒了几次，白天和黑夜都在溜冰，而人们在不同的地方看着不同的地方，有时他一个人。</v>
      </c>
    </row>
    <row r="7710">
      <c r="A7710" s="4" t="s">
        <v>9687</v>
      </c>
      <c r="B7710" s="6" t="s">
        <v>9690</v>
      </c>
      <c r="C7710" s="5" t="str">
        <f>IFERROR(__xludf.DUMMYFUNCTION("GOOGLETRANSLATE(B7710,""en"",""zh-CN"")"),"当男人完成滑冰时，出现了拆卸，它包括一个看起来像血腥手指的屏幕截图，一个白色的屏幕，男性微弱地绘制在上面，而黑色的单词从下到顶部滚动，直到只有男性绘画的白屏幕是只能可见。")</f>
        <v>当男人完成滑冰时，出现了拆卸，它包括一个看起来像血腥手指的屏幕截图，一个白色的屏幕，男性微弱地绘制在上面，而黑色的单词从下到顶部滚动，直到只有男性绘画的白屏幕是只能可见。</v>
      </c>
    </row>
    <row r="7711">
      <c r="A7711" s="4" t="s">
        <v>9691</v>
      </c>
      <c r="B7711" s="4" t="s">
        <v>9692</v>
      </c>
      <c r="C7711" s="5" t="str">
        <f>IFERROR(__xludf.DUMMYFUNCTION("GOOGLETRANSLATE(B7711,""en"",""zh-CN"")"),"看到一个男人在相机上说话，并导致他沿着墙壁爬的剪辑。")</f>
        <v>看到一个男人在相机上说话，并导致他沿着墙壁爬的剪辑。</v>
      </c>
    </row>
    <row r="7712">
      <c r="A7712" s="4" t="s">
        <v>9691</v>
      </c>
      <c r="B7712" s="4" t="s">
        <v>9693</v>
      </c>
      <c r="C7712" s="5" t="str">
        <f>IFERROR(__xludf.DUMMYFUNCTION("GOOGLETRANSLATE(B7712,""en"",""zh-CN"")"),"该男子继续沿着岩壁攀登，然后回头回到相机。")</f>
        <v>该男子继续沿着岩壁攀登，然后回头回到相机。</v>
      </c>
    </row>
    <row r="7713">
      <c r="A7713" s="4" t="s">
        <v>9694</v>
      </c>
      <c r="B7713" s="4" t="s">
        <v>9695</v>
      </c>
      <c r="C7713" s="5" t="str">
        <f>IFERROR(__xludf.DUMMYFUNCTION("GOOGLETRANSLATE(B7713,""en"",""zh-CN"")"),"两个男孩坐在建筑物内的一个摊位里。")</f>
        <v>两个男孩坐在建筑物内的一个摊位里。</v>
      </c>
    </row>
    <row r="7714">
      <c r="A7714" s="4" t="s">
        <v>9694</v>
      </c>
      <c r="B7714" s="4" t="s">
        <v>9696</v>
      </c>
      <c r="C7714" s="5" t="str">
        <f>IFERROR(__xludf.DUMMYFUNCTION("GOOGLETRANSLATE(B7714,""en"",""zh-CN"")"),"他们正在谈论做剪辑。")</f>
        <v>他们正在谈论做剪辑。</v>
      </c>
    </row>
    <row r="7715">
      <c r="A7715" s="4" t="s">
        <v>9694</v>
      </c>
      <c r="B7715" s="4" t="s">
        <v>9697</v>
      </c>
      <c r="C7715" s="5" t="str">
        <f>IFERROR(__xludf.DUMMYFUNCTION("GOOGLETRANSLATE(B7715,""en"",""zh-CN"")"),"然后，他们在吃一碗香草冰淇淋时说话。")</f>
        <v>然后，他们在吃一碗香草冰淇淋时说话。</v>
      </c>
    </row>
    <row r="7716">
      <c r="A7716" s="4" t="s">
        <v>9698</v>
      </c>
      <c r="B7716" s="4" t="s">
        <v>9699</v>
      </c>
      <c r="C7716" s="5" t="str">
        <f>IFERROR(__xludf.DUMMYFUNCTION("GOOGLETRANSLATE(B7716,""en"",""zh-CN"")"),"一个女人坐在椅子上。")</f>
        <v>一个女人坐在椅子上。</v>
      </c>
    </row>
    <row r="7717">
      <c r="A7717" s="4" t="s">
        <v>9698</v>
      </c>
      <c r="B7717" s="4" t="s">
        <v>9700</v>
      </c>
      <c r="C7717" s="5" t="str">
        <f>IFERROR(__xludf.DUMMYFUNCTION("GOOGLETRANSLATE(B7717,""en"",""zh-CN"")"),"一个男孩正在刷她的长发。")</f>
        <v>一个男孩正在刷她的长发。</v>
      </c>
    </row>
    <row r="7718">
      <c r="A7718" s="4" t="s">
        <v>9698</v>
      </c>
      <c r="B7718" s="4" t="s">
        <v>9701</v>
      </c>
      <c r="C7718" s="5" t="str">
        <f>IFERROR(__xludf.DUMMYFUNCTION("GOOGLETRANSLATE(B7718,""en"",""zh-CN"")"),"她笑着用手遮住嘴。")</f>
        <v>她笑着用手遮住嘴。</v>
      </c>
    </row>
    <row r="7719">
      <c r="A7719" s="4" t="s">
        <v>9702</v>
      </c>
      <c r="B7719" s="4" t="s">
        <v>9703</v>
      </c>
      <c r="C7719" s="5" t="str">
        <f>IFERROR(__xludf.DUMMYFUNCTION("GOOGLETRANSLATE(B7719,""en"",""zh-CN"")"),"该视频始于餐厅里的一个小男孩戴着摩托车头盔。")</f>
        <v>该视频始于餐厅里的一个小男孩戴着摩托车头盔。</v>
      </c>
    </row>
    <row r="7720">
      <c r="A7720" s="4" t="s">
        <v>9702</v>
      </c>
      <c r="B7720" s="4" t="s">
        <v>9704</v>
      </c>
      <c r="C7720" s="5" t="str">
        <f>IFERROR(__xludf.DUMMYFUNCTION("GOOGLETRANSLATE(B7720,""en"",""zh-CN"")"),"摄影师递给他滑雪。")</f>
        <v>摄影师递给他滑雪。</v>
      </c>
    </row>
    <row r="7721">
      <c r="A7721" s="4" t="s">
        <v>9702</v>
      </c>
      <c r="B7721" s="4" t="s">
        <v>9705</v>
      </c>
      <c r="C7721" s="5" t="str">
        <f>IFERROR(__xludf.DUMMYFUNCTION("GOOGLETRANSLATE(B7721,""en"",""zh-CN"")"),"一个女人和婴儿坐在他附近，他试图走路，只是摔倒了。")</f>
        <v>一个女人和婴儿坐在他附近，他试图走路，只是摔倒了。</v>
      </c>
    </row>
    <row r="7722">
      <c r="A7722" s="4" t="s">
        <v>9702</v>
      </c>
      <c r="B7722" s="4" t="s">
        <v>9706</v>
      </c>
      <c r="C7722" s="5" t="str">
        <f>IFERROR(__xludf.DUMMYFUNCTION("GOOGLETRANSLATE(B7722,""en"",""zh-CN"")"),"接下来是小男孩和父亲滑雪的小男孩的剪辑。")</f>
        <v>接下来是小男孩和父亲滑雪的小男孩的剪辑。</v>
      </c>
    </row>
    <row r="7723">
      <c r="A7723" s="4" t="s">
        <v>9702</v>
      </c>
      <c r="B7723" s="4" t="s">
        <v>9707</v>
      </c>
      <c r="C7723" s="5" t="str">
        <f>IFERROR(__xludf.DUMMYFUNCTION("GOOGLETRANSLATE(B7723,""en"",""zh-CN"")"),"有一次，他在一个小坡道上滑动。")</f>
        <v>有一次，他在一个小坡道上滑动。</v>
      </c>
    </row>
    <row r="7724">
      <c r="A7724" s="4" t="s">
        <v>9702</v>
      </c>
      <c r="B7724" s="4" t="s">
        <v>9708</v>
      </c>
      <c r="C7724" s="5" t="str">
        <f>IFERROR(__xludf.DUMMYFUNCTION("GOOGLETRANSLATE(B7724,""en"",""zh-CN"")"),"他还面临滚滚。")</f>
        <v>他还面临滚滚。</v>
      </c>
    </row>
    <row r="7725">
      <c r="A7725" s="4" t="s">
        <v>9702</v>
      </c>
      <c r="B7725" s="4" t="s">
        <v>9709</v>
      </c>
      <c r="C7725" s="5" t="str">
        <f>IFERROR(__xludf.DUMMYFUNCTION("GOOGLETRANSLATE(B7725,""en"",""zh-CN"")"),"很快，男孩和他的家人为离开车辆离开。")</f>
        <v>很快，男孩和他的家人为离开车辆离开。</v>
      </c>
    </row>
    <row r="7726">
      <c r="A7726" s="4" t="s">
        <v>9702</v>
      </c>
      <c r="B7726" s="4" t="s">
        <v>9710</v>
      </c>
      <c r="C7726" s="5" t="str">
        <f>IFERROR(__xludf.DUMMYFUNCTION("GOOGLETRANSLATE(B7726,""en"",""zh-CN"")"),"视频以小男孩和他父亲的照片结尾。")</f>
        <v>视频以小男孩和他父亲的照片结尾。</v>
      </c>
    </row>
    <row r="7727">
      <c r="A7727" s="4" t="s">
        <v>9711</v>
      </c>
      <c r="B7727" s="6" t="s">
        <v>9712</v>
      </c>
      <c r="C7727" s="5" t="str">
        <f>IFERROR(__xludf.DUMMYFUNCTION("GOOGLETRANSLATE(B7727,""en"",""zh-CN"")"),"看到一个女人跪在真空旁边，然后是几张照片，上面有几张照片，并在地毯上移动。")</f>
        <v>看到一个女人跪在真空旁边，然后是几张照片，上面有几张照片，并在地毯上移动。</v>
      </c>
    </row>
    <row r="7728">
      <c r="A7728" s="4" t="s">
        <v>9711</v>
      </c>
      <c r="B7728" s="6" t="s">
        <v>9713</v>
      </c>
      <c r="C7728" s="5" t="str">
        <f>IFERROR(__xludf.DUMMYFUNCTION("GOOGLETRANSLATE(B7728,""en"",""zh-CN"")"),"显示了地毯以及跪下的更多图片，她仍然与相机说话时清空了真空。")</f>
        <v>显示了地毯以及跪下的更多图片，她仍然与相机说话时清空了真空。</v>
      </c>
    </row>
    <row r="7729">
      <c r="A7729" s="4" t="s">
        <v>9714</v>
      </c>
      <c r="B7729" s="4" t="s">
        <v>9715</v>
      </c>
      <c r="C7729" s="5" t="str">
        <f>IFERROR(__xludf.DUMMYFUNCTION("GOOGLETRANSLATE(B7729,""en"",""zh-CN"")"),"一个男人站在一棵树旁边，手里拿着圣诞节装饰品。")</f>
        <v>一个男人站在一棵树旁边，手里拿着圣诞节装饰品。</v>
      </c>
    </row>
    <row r="7730">
      <c r="A7730" s="4" t="s">
        <v>9714</v>
      </c>
      <c r="B7730" s="4" t="s">
        <v>9716</v>
      </c>
      <c r="C7730" s="5" t="str">
        <f>IFERROR(__xludf.DUMMYFUNCTION("GOOGLETRANSLATE(B7730,""en"",""zh-CN"")"),"然后，他回头看着相机，将装饰品悬挂在树上。")</f>
        <v>然后，他回头看着相机，将装饰品悬挂在树上。</v>
      </c>
    </row>
    <row r="7731">
      <c r="A7731" s="4" t="s">
        <v>9717</v>
      </c>
      <c r="B7731" s="4" t="s">
        <v>9718</v>
      </c>
      <c r="C7731" s="5" t="str">
        <f>IFERROR(__xludf.DUMMYFUNCTION("GOOGLETRANSLATE(B7731,""en"",""zh-CN"")"),"有一个穿着红色衬衫的年轻人弹声吉他。")</f>
        <v>有一个穿着红色衬衫的年轻人弹声吉他。</v>
      </c>
    </row>
    <row r="7732">
      <c r="A7732" s="4" t="s">
        <v>9717</v>
      </c>
      <c r="B7732" s="4" t="s">
        <v>9719</v>
      </c>
      <c r="C7732" s="5" t="str">
        <f>IFERROR(__xludf.DUMMYFUNCTION("GOOGLETRANSLATE(B7732,""en"",""zh-CN"")"),"他用自己的选择弹奏吉他，并沿着和弦移动手指。")</f>
        <v>他用自己的选择弹奏吉他，并沿着和弦移动手指。</v>
      </c>
    </row>
    <row r="7733">
      <c r="A7733" s="4" t="s">
        <v>9717</v>
      </c>
      <c r="B7733" s="4" t="s">
        <v>9720</v>
      </c>
      <c r="C7733" s="5" t="str">
        <f>IFERROR(__xludf.DUMMYFUNCTION("GOOGLETRANSLATE(B7733,""en"",""zh-CN"")"),"完成比赛后，他抬起头微笑。")</f>
        <v>完成比赛后，他抬起头微笑。</v>
      </c>
    </row>
    <row r="7734">
      <c r="A7734" s="4" t="s">
        <v>9721</v>
      </c>
      <c r="B7734" s="4" t="s">
        <v>9722</v>
      </c>
      <c r="C7734" s="5" t="str">
        <f>IFERROR(__xludf.DUMMYFUNCTION("GOOGLETRANSLATE(B7734,""en"",""zh-CN"")"),"梯子正靠在房子上。")</f>
        <v>梯子正靠在房子上。</v>
      </c>
    </row>
    <row r="7735">
      <c r="A7735" s="4" t="s">
        <v>9721</v>
      </c>
      <c r="B7735" s="4" t="s">
        <v>9723</v>
      </c>
      <c r="C7735" s="5" t="str">
        <f>IFERROR(__xludf.DUMMYFUNCTION("GOOGLETRANSLATE(B7735,""en"",""zh-CN"")"),"一块木头上下梯子。")</f>
        <v>一块木头上下梯子。</v>
      </c>
    </row>
    <row r="7736">
      <c r="A7736" s="4" t="s">
        <v>9724</v>
      </c>
      <c r="B7736" s="4" t="s">
        <v>9725</v>
      </c>
      <c r="C7736" s="5" t="str">
        <f>IFERROR(__xludf.DUMMYFUNCTION("GOOGLETRANSLATE(B7736,""en"",""zh-CN"")"),"一个人站在公园里的一组拉式和双杆前。")</f>
        <v>一个人站在公园里的一组拉式和双杆前。</v>
      </c>
    </row>
    <row r="7737">
      <c r="A7737" s="4" t="s">
        <v>9724</v>
      </c>
      <c r="B7737" s="4" t="s">
        <v>9726</v>
      </c>
      <c r="C7737" s="5" t="str">
        <f>IFERROR(__xludf.DUMMYFUNCTION("GOOGLETRANSLATE(B7737,""en"",""zh-CN"")"),"该男子确实在平行条上倾斜。")</f>
        <v>该男子确实在平行条上倾斜。</v>
      </c>
    </row>
    <row r="7738">
      <c r="A7738" s="4" t="s">
        <v>9724</v>
      </c>
      <c r="B7738" s="4" t="s">
        <v>9727</v>
      </c>
      <c r="C7738" s="5" t="str">
        <f>IFERROR(__xludf.DUMMYFUNCTION("GOOGLETRANSLATE(B7738,""en"",""zh-CN"")"),"该男子的脚在平行的条上抬起来。")</f>
        <v>该男子的脚在平行的条上抬起来。</v>
      </c>
    </row>
    <row r="7739">
      <c r="A7739" s="4" t="s">
        <v>9724</v>
      </c>
      <c r="B7739" s="4" t="s">
        <v>9728</v>
      </c>
      <c r="C7739" s="5" t="str">
        <f>IFERROR(__xludf.DUMMYFUNCTION("GOOGLETRANSLATE(B7739,""en"",""zh-CN"")"),"该男子确实在其中一个酒吧上拉起。")</f>
        <v>该男子确实在其中一个酒吧上拉起。</v>
      </c>
    </row>
    <row r="7740">
      <c r="A7740" s="4" t="s">
        <v>9724</v>
      </c>
      <c r="B7740" s="4" t="s">
        <v>9729</v>
      </c>
      <c r="C7740" s="5" t="str">
        <f>IFERROR(__xludf.DUMMYFUNCTION("GOOGLETRANSLATE(B7740,""en"",""zh-CN"")"),"例行程序后，该男子在设备前向前走。")</f>
        <v>例行程序后，该男子在设备前向前走。</v>
      </c>
    </row>
    <row r="7741">
      <c r="A7741" s="4" t="s">
        <v>9730</v>
      </c>
      <c r="B7741" s="4" t="s">
        <v>9731</v>
      </c>
      <c r="C7741" s="5" t="str">
        <f>IFERROR(__xludf.DUMMYFUNCTION("GOOGLETRANSLATE(B7741,""en"",""zh-CN"")"),"一个人从一堆磁盘上抓住磁盘。")</f>
        <v>一个人从一堆磁盘上抓住磁盘。</v>
      </c>
    </row>
    <row r="7742">
      <c r="A7742" s="4" t="s">
        <v>9730</v>
      </c>
      <c r="B7742" s="4" t="s">
        <v>9732</v>
      </c>
      <c r="C7742" s="5" t="str">
        <f>IFERROR(__xludf.DUMMYFUNCTION("GOOGLETRANSLATE(B7742,""en"",""zh-CN"")"),"他们把它扔下了一个洗牌板。")</f>
        <v>他们把它扔下了一个洗牌板。</v>
      </c>
    </row>
    <row r="7743">
      <c r="A7743" s="4" t="s">
        <v>9730</v>
      </c>
      <c r="B7743" s="4" t="s">
        <v>9733</v>
      </c>
      <c r="C7743" s="5" t="str">
        <f>IFERROR(__xludf.DUMMYFUNCTION("GOOGLETRANSLATE(B7743,""en"",""zh-CN"")"),"继续将磁盘扔下洗牌板。")</f>
        <v>继续将磁盘扔下洗牌板。</v>
      </c>
    </row>
    <row r="7744">
      <c r="A7744" s="4" t="s">
        <v>9734</v>
      </c>
      <c r="B7744" s="6" t="s">
        <v>9735</v>
      </c>
      <c r="C7744" s="5" t="str">
        <f>IFERROR(__xludf.DUMMYFUNCTION("GOOGLETRANSLATE(B7744,""en"",""zh-CN"")"),"看到一个人在相机上说话，并导致地面近距离，另一个人坐在侧面。")</f>
        <v>看到一个人在相机上说话，并导致地面近距离，另一个人坐在侧面。</v>
      </c>
    </row>
    <row r="7745">
      <c r="A7745" s="4" t="s">
        <v>9734</v>
      </c>
      <c r="B7745" s="4" t="s">
        <v>9736</v>
      </c>
      <c r="C7745" s="5" t="str">
        <f>IFERROR(__xludf.DUMMYFUNCTION("GOOGLETRANSLATE(B7745,""en"",""zh-CN"")"),"显示了更多的原木和棍子，还有一个火坑和一个男孩切棒。")</f>
        <v>显示了更多的原木和棍子，还有一个火坑和一个男孩切棒。</v>
      </c>
    </row>
    <row r="7746">
      <c r="A7746" s="4" t="s">
        <v>9737</v>
      </c>
      <c r="B7746" s="4" t="s">
        <v>9738</v>
      </c>
      <c r="C7746" s="5" t="str">
        <f>IFERROR(__xludf.DUMMYFUNCTION("GOOGLETRANSLATE(B7746,""en"",""zh-CN"")"),"一个男人正在演示如何在厨房里制作三个鸡蛋煎蛋。")</f>
        <v>一个男人正在演示如何在厨房里制作三个鸡蛋煎蛋。</v>
      </c>
    </row>
    <row r="7747">
      <c r="A7747" s="4" t="s">
        <v>9737</v>
      </c>
      <c r="B7747" s="4" t="s">
        <v>9739</v>
      </c>
      <c r="C7747" s="5" t="str">
        <f>IFERROR(__xludf.DUMMYFUNCTION("GOOGLETRANSLATE(B7747,""en"",""zh-CN"")"),"他首先将鸡蛋在一个透明的玻璃碗中破裂。")</f>
        <v>他首先将鸡蛋在一个透明的玻璃碗中破裂。</v>
      </c>
    </row>
    <row r="7748">
      <c r="A7748" s="4" t="s">
        <v>9737</v>
      </c>
      <c r="B7748" s="4" t="s">
        <v>9740</v>
      </c>
      <c r="C7748" s="5" t="str">
        <f>IFERROR(__xludf.DUMMYFUNCTION("GOOGLETRANSLATE(B7748,""en"",""zh-CN"")"),"然后，他将鸡蛋打得很好，并在平底锅中添加一些黄油。")</f>
        <v>然后，他将鸡蛋打得很好，并在平底锅中添加一些黄油。</v>
      </c>
    </row>
    <row r="7749">
      <c r="A7749" s="4" t="s">
        <v>9737</v>
      </c>
      <c r="B7749" s="4" t="s">
        <v>9741</v>
      </c>
      <c r="C7749" s="5" t="str">
        <f>IFERROR(__xludf.DUMMYFUNCTION("GOOGLETRANSLATE(B7749,""en"",""zh-CN"")"),"他将生鸡蛋面糊倒入锅中。")</f>
        <v>他将生鸡蛋面糊倒入锅中。</v>
      </c>
    </row>
    <row r="7750">
      <c r="A7750" s="4" t="s">
        <v>9737</v>
      </c>
      <c r="B7750" s="4" t="s">
        <v>9742</v>
      </c>
      <c r="C7750" s="5" t="str">
        <f>IFERROR(__xludf.DUMMYFUNCTION("GOOGLETRANSLATE(B7750,""en"",""zh-CN"")"),"他抬起锅，将其移动以洗净鸡蛋。")</f>
        <v>他抬起锅，将其移动以洗净鸡蛋。</v>
      </c>
    </row>
    <row r="7751">
      <c r="A7751" s="4" t="s">
        <v>9737</v>
      </c>
      <c r="B7751" s="4" t="s">
        <v>9743</v>
      </c>
      <c r="C7751" s="5" t="str">
        <f>IFERROR(__xludf.DUMMYFUNCTION("GOOGLETRANSLATE(B7751,""en"",""zh-CN"")"),"然后，他上面放了一些磨碎的奶酪。")</f>
        <v>然后，他上面放了一些磨碎的奶酪。</v>
      </c>
    </row>
    <row r="7752">
      <c r="A7752" s="4" t="s">
        <v>9737</v>
      </c>
      <c r="B7752" s="4" t="s">
        <v>9744</v>
      </c>
      <c r="C7752" s="5" t="str">
        <f>IFERROR(__xludf.DUMMYFUNCTION("GOOGLETRANSLATE(B7752,""en"",""zh-CN"")"),"他拿起叉子，将煎蛋滑入白板。")</f>
        <v>他拿起叉子，将煎蛋滑入白板。</v>
      </c>
    </row>
    <row r="7753">
      <c r="A7753" s="4" t="s">
        <v>9737</v>
      </c>
      <c r="B7753" s="4" t="s">
        <v>9745</v>
      </c>
      <c r="C7753" s="5" t="str">
        <f>IFERROR(__xludf.DUMMYFUNCTION("GOOGLETRANSLATE(B7753,""en"",""zh-CN"")"),"然后，他用果岭上的一些果岭将其装饰，以获得健康的触感。")</f>
        <v>然后，他用果岭上的一些果岭将其装饰，以获得健康的触感。</v>
      </c>
    </row>
    <row r="7754">
      <c r="A7754" s="4" t="s">
        <v>9746</v>
      </c>
      <c r="B7754" s="4" t="s">
        <v>9747</v>
      </c>
      <c r="C7754" s="5" t="str">
        <f>IFERROR(__xludf.DUMMYFUNCTION("GOOGLETRANSLATE(B7754,""en"",""zh-CN"")"),"当跑步者扔球时，一支球队在田野里，击球手击中并被抓住。")</f>
        <v>当跑步者扔球时，一支球队在田野里，击球手击中并被抓住。</v>
      </c>
    </row>
    <row r="7755">
      <c r="A7755" s="4" t="s">
        <v>9746</v>
      </c>
      <c r="B7755" s="4" t="s">
        <v>9748</v>
      </c>
      <c r="C7755" s="5" t="str">
        <f>IFERROR(__xludf.DUMMYFUNCTION("GOOGLETRANSLATE(B7755,""en"",""zh-CN"")"),"教练指导球员继续比赛。")</f>
        <v>教练指导球员继续比赛。</v>
      </c>
    </row>
    <row r="7756">
      <c r="A7756" s="4" t="s">
        <v>9746</v>
      </c>
      <c r="B7756" s="4" t="s">
        <v>9749</v>
      </c>
      <c r="C7756" s="5" t="str">
        <f>IFERROR(__xludf.DUMMYFUNCTION("GOOGLETRANSLATE(B7756,""en"",""zh-CN"")"),"球员走开了，然后显示了球击球的景色。")</f>
        <v>球员走开了，然后显示了球击球的景色。</v>
      </c>
    </row>
    <row r="7757">
      <c r="A7757" s="4" t="s">
        <v>9750</v>
      </c>
      <c r="B7757" s="4" t="s">
        <v>9751</v>
      </c>
      <c r="C7757" s="5" t="str">
        <f>IFERROR(__xludf.DUMMYFUNCTION("GOOGLETRANSLATE(B7757,""en"",""zh-CN"")"),"显示了墙壁，上面覆盖着悬挂工具。")</f>
        <v>显示了墙壁，上面覆盖着悬挂工具。</v>
      </c>
    </row>
    <row r="7758">
      <c r="A7758" s="4" t="s">
        <v>9750</v>
      </c>
      <c r="B7758" s="4" t="s">
        <v>9752</v>
      </c>
      <c r="C7758" s="5" t="str">
        <f>IFERROR(__xludf.DUMMYFUNCTION("GOOGLETRANSLATE(B7758,""en"",""zh-CN"")"),"一个男人在研讨会上，谈论屋顶瓦。")</f>
        <v>一个男人在研讨会上，谈论屋顶瓦。</v>
      </c>
    </row>
    <row r="7759">
      <c r="A7759" s="4" t="s">
        <v>9750</v>
      </c>
      <c r="B7759" s="4" t="s">
        <v>9753</v>
      </c>
      <c r="C7759" s="5" t="str">
        <f>IFERROR(__xludf.DUMMYFUNCTION("GOOGLETRANSLATE(B7759,""en"",""zh-CN"")"),"他演示了如何施加胶水，瓷砖，然后锤击将瓷砖钉在适当的位置。")</f>
        <v>他演示了如何施加胶水，瓷砖，然后锤击将瓷砖钉在适当的位置。</v>
      </c>
    </row>
    <row r="7760">
      <c r="A7760" s="4" t="s">
        <v>9754</v>
      </c>
      <c r="B7760" s="4" t="s">
        <v>9755</v>
      </c>
      <c r="C7760" s="5" t="str">
        <f>IFERROR(__xludf.DUMMYFUNCTION("GOOGLETRANSLATE(B7760,""en"",""zh-CN"")"),"显示了一瓶衰老霜，一个女人开始在她的T区中涂抹在她的脸上。")</f>
        <v>显示了一瓶衰老霜，一个女人开始在她的T区中涂抹在她的脸上。</v>
      </c>
    </row>
    <row r="7761">
      <c r="A7761" s="4" t="s">
        <v>9754</v>
      </c>
      <c r="B7761" s="6" t="s">
        <v>9756</v>
      </c>
      <c r="C7761" s="5" t="str">
        <f>IFERROR(__xludf.DUMMYFUNCTION("GOOGLETRANSLATE(B7761,""en"",""zh-CN"")"),"一旦均匀展示，几段就开始显示产品的使用以及每周应该是什么。")</f>
        <v>一旦均匀展示，几段就开始显示产品的使用以及每周应该是什么。</v>
      </c>
    </row>
    <row r="7762">
      <c r="A7762" s="4" t="s">
        <v>9754</v>
      </c>
      <c r="B7762" s="4" t="s">
        <v>9757</v>
      </c>
      <c r="C7762" s="5" t="str">
        <f>IFERROR(__xludf.DUMMYFUNCTION("GOOGLETRANSLATE(B7762,""en"",""zh-CN"")"),"之后，出现了一个简短的句子，并告诉您进入他们的网页以获取更多详细信息。")</f>
        <v>之后，出现了一个简短的句子，并告诉您进入他们的网页以获取更多详细信息。</v>
      </c>
    </row>
    <row r="7763">
      <c r="A7763" s="4" t="s">
        <v>9758</v>
      </c>
      <c r="B7763" s="4" t="s">
        <v>9759</v>
      </c>
      <c r="C7763" s="5" t="str">
        <f>IFERROR(__xludf.DUMMYFUNCTION("GOOGLETRANSLATE(B7763,""en"",""zh-CN"")"),"体育馆正站在比赛室。")</f>
        <v>体育馆正站在比赛室。</v>
      </c>
    </row>
    <row r="7764">
      <c r="A7764" s="4" t="s">
        <v>9758</v>
      </c>
      <c r="B7764" s="4" t="s">
        <v>9760</v>
      </c>
      <c r="C7764" s="5" t="str">
        <f>IFERROR(__xludf.DUMMYFUNCTION("GOOGLETRANSLATE(B7764,""en"",""zh-CN"")"),"一个人坐着梁。")</f>
        <v>一个人坐着梁。</v>
      </c>
    </row>
    <row r="7765">
      <c r="A7765" s="4" t="s">
        <v>9758</v>
      </c>
      <c r="B7765" s="4" t="s">
        <v>9761</v>
      </c>
      <c r="C7765" s="5" t="str">
        <f>IFERROR(__xludf.DUMMYFUNCTION("GOOGLETRANSLATE(B7765,""en"",""zh-CN"")"),"他开始旋转，翻转并做几个技巧。")</f>
        <v>他开始旋转，翻转并做几个技巧。</v>
      </c>
    </row>
    <row r="7766">
      <c r="A7766" s="4" t="s">
        <v>9758</v>
      </c>
      <c r="B7766" s="4" t="s">
        <v>9762</v>
      </c>
      <c r="C7766" s="5" t="str">
        <f>IFERROR(__xludf.DUMMYFUNCTION("GOOGLETRANSLATE(B7766,""en"",""zh-CN"")"),"他卸下，将手臂抬到空中并鞠躬。")</f>
        <v>他卸下，将手臂抬到空中并鞠躬。</v>
      </c>
    </row>
    <row r="7767">
      <c r="A7767" s="4" t="s">
        <v>9763</v>
      </c>
      <c r="B7767" s="4" t="s">
        <v>9764</v>
      </c>
      <c r="C7767" s="5" t="str">
        <f>IFERROR(__xludf.DUMMYFUNCTION("GOOGLETRANSLATE(B7767,""en"",""zh-CN"")"),"看到一个婴儿在摇摆时向后摇摆，在摇摆着相机上微笑着。")</f>
        <v>看到一个婴儿在摇摆时向后摇摆，在摇摆着相机上微笑着。</v>
      </c>
    </row>
    <row r="7768">
      <c r="A7768" s="4" t="s">
        <v>9763</v>
      </c>
      <c r="B7768" s="4" t="s">
        <v>9765</v>
      </c>
      <c r="C7768" s="5" t="str">
        <f>IFERROR(__xludf.DUMMYFUNCTION("GOOGLETRANSLATE(B7768,""en"",""zh-CN"")"),"婴儿在仰望相机并微笑时继续向后移动。")</f>
        <v>婴儿在仰望相机并微笑时继续向后移动。</v>
      </c>
    </row>
    <row r="7769">
      <c r="A7769" s="4" t="s">
        <v>9766</v>
      </c>
      <c r="B7769" s="4" t="s">
        <v>9767</v>
      </c>
      <c r="C7769" s="5" t="str">
        <f>IFERROR(__xludf.DUMMYFUNCTION("GOOGLETRANSLATE(B7769,""en"",""zh-CN"")"),"一个亚洲妇女坐着，然后她骑滑板，开始在空的道路上滑冰。")</f>
        <v>一个亚洲妇女坐着，然后她骑滑板，开始在空的道路上滑冰。</v>
      </c>
    </row>
    <row r="7770">
      <c r="A7770" s="4" t="s">
        <v>9766</v>
      </c>
      <c r="B7770" s="4" t="s">
        <v>9768</v>
      </c>
      <c r="C7770" s="5" t="str">
        <f>IFERROR(__xludf.DUMMYFUNCTION("GOOGLETRANSLATE(B7770,""en"",""zh-CN"")"),"这个女孩是滑板，一边拿着自拍照。")</f>
        <v>这个女孩是滑板，一边拿着自拍照。</v>
      </c>
    </row>
    <row r="7771">
      <c r="A7771" s="4" t="s">
        <v>9766</v>
      </c>
      <c r="B7771" s="4" t="s">
        <v>9769</v>
      </c>
      <c r="C7771" s="5" t="str">
        <f>IFERROR(__xludf.DUMMYFUNCTION("GOOGLETRANSLATE(B7771,""en"",""zh-CN"")"),"在人行道上的女孩滑板，靠近水，狭窄的小路和公园。")</f>
        <v>在人行道上的女孩滑板，靠近水，狭窄的小路和公园。</v>
      </c>
    </row>
    <row r="7772">
      <c r="A7772" s="4" t="s">
        <v>9770</v>
      </c>
      <c r="B7772" s="6" t="s">
        <v>9771</v>
      </c>
      <c r="C7772" s="5" t="str">
        <f>IFERROR(__xludf.DUMMYFUNCTION("GOOGLETRANSLATE(B7772,""en"",""zh-CN"")"),"一群坐在高架看台上的人，看着一个男人戴着马套在马lasso上，一条小牛犊，覆盖着泥土，室内，牛仔竞技表演。")</f>
        <v>一群坐在高架看台上的人，看着一个男人戴着马套在马lasso上，一条小牛犊，覆盖着泥土，室内，牛仔竞技表演。</v>
      </c>
    </row>
    <row r="7773">
      <c r="A7773" s="4" t="s">
        <v>9770</v>
      </c>
      <c r="B7773" s="4" t="s">
        <v>9772</v>
      </c>
      <c r="C7773" s="5" t="str">
        <f>IFERROR(__xludf.DUMMYFUNCTION("GOOGLETRANSLATE(B7773,""en"",""zh-CN"")"),"该名男子从地板门，一匹马驶入戒指，追赶一条小牛犊。")</f>
        <v>该名男子从地板门，一匹马驶入戒指，追赶一条小牛犊。</v>
      </c>
    </row>
    <row r="7774">
      <c r="A7774" s="4" t="s">
        <v>9770</v>
      </c>
      <c r="B7774" s="6" t="s">
        <v>9773</v>
      </c>
      <c r="C7774" s="5" t="str">
        <f>IFERROR(__xludf.DUMMYFUNCTION("GOOGLETRANSLATE(B7774,""en"",""zh-CN"")"),"该男子同时将绳索围在小牛脖子上，并在马上运动时卸下马。")</f>
        <v>该男子同时将绳索围在小牛脖子上，并在马上运动时卸下马。</v>
      </c>
    </row>
    <row r="7775">
      <c r="A7775" s="4" t="s">
        <v>9770</v>
      </c>
      <c r="B7775" s="6" t="s">
        <v>9774</v>
      </c>
      <c r="C7775" s="5" t="str">
        <f>IFERROR(__xludf.DUMMYFUNCTION("GOOGLETRANSLATE(B7775,""en"",""zh-CN"")"),"下马后降落在地面上时，该男子跑到小腿上，将小牛绑在绳索中，然后回到马再次骑马，而两个人进入戒指并抓住绑扎的小牛。")</f>
        <v>下马后降落在地面上时，该男子跑到小腿上，将小牛绑在绳索中，然后回到马再次骑马，而两个人进入戒指并抓住绑扎的小牛。</v>
      </c>
    </row>
    <row r="7776">
      <c r="A7776" s="4" t="s">
        <v>9775</v>
      </c>
      <c r="B7776" s="4" t="s">
        <v>9776</v>
      </c>
      <c r="C7776" s="5" t="str">
        <f>IFERROR(__xludf.DUMMYFUNCTION("GOOGLETRANSLATE(B7776,""en"",""zh-CN"")"),"一个男人在浴室中显示出牙刷。")</f>
        <v>一个男人在浴室中显示出牙刷。</v>
      </c>
    </row>
    <row r="7777">
      <c r="A7777" s="4" t="s">
        <v>9775</v>
      </c>
      <c r="B7777" s="4" t="s">
        <v>9777</v>
      </c>
      <c r="C7777" s="5" t="str">
        <f>IFERROR(__xludf.DUMMYFUNCTION("GOOGLETRANSLATE(B7777,""en"",""zh-CN"")"),"然后，他刷牙并看到鲜血。")</f>
        <v>然后，他刷牙并看到鲜血。</v>
      </c>
    </row>
    <row r="7778">
      <c r="A7778" s="4" t="s">
        <v>9775</v>
      </c>
      <c r="B7778" s="4" t="s">
        <v>9778</v>
      </c>
      <c r="C7778" s="5" t="str">
        <f>IFERROR(__xludf.DUMMYFUNCTION("GOOGLETRANSLATE(B7778,""en"",""zh-CN"")"),"他用李斯特碱洗过三十秒来杀死细菌。")</f>
        <v>他用李斯特碱洗过三十秒来杀死细菌。</v>
      </c>
    </row>
    <row r="7779">
      <c r="A7779" s="4" t="s">
        <v>9779</v>
      </c>
      <c r="B7779" s="4" t="s">
        <v>9780</v>
      </c>
      <c r="C7779" s="5" t="str">
        <f>IFERROR(__xludf.DUMMYFUNCTION("GOOGLETRANSLATE(B7779,""en"",""zh-CN"")"),"显示了桌子的近距离，以及一个站在桌子旁并指向侧面的人。")</f>
        <v>显示了桌子的近距离，以及一个站在桌子旁并指向侧面的人。</v>
      </c>
    </row>
    <row r="7780">
      <c r="A7780" s="4" t="s">
        <v>9779</v>
      </c>
      <c r="B7780" s="4" t="s">
        <v>9781</v>
      </c>
      <c r="C7780" s="5" t="str">
        <f>IFERROR(__xludf.DUMMYFUNCTION("GOOGLETRANSLATE(B7780,""en"",""zh-CN"")"),"随着比赛的继续，有两个人在看着一边，另一个男人在手机上唱片。")</f>
        <v>随着比赛的继续，有两个人在看着一边，另一个男人在手机上唱片。</v>
      </c>
    </row>
    <row r="7781">
      <c r="A7781" s="4" t="s">
        <v>9782</v>
      </c>
      <c r="B7781" s="4" t="s">
        <v>9783</v>
      </c>
      <c r="C7781" s="5" t="str">
        <f>IFERROR(__xludf.DUMMYFUNCTION("GOOGLETRANSLATE(B7781,""en"",""zh-CN"")"),"一个男孩坐在骆驼上面。")</f>
        <v>一个男孩坐在骆驼上面。</v>
      </c>
    </row>
    <row r="7782">
      <c r="A7782" s="4" t="s">
        <v>9782</v>
      </c>
      <c r="B7782" s="4" t="s">
        <v>9784</v>
      </c>
      <c r="C7782" s="5" t="str">
        <f>IFERROR(__xludf.DUMMYFUNCTION("GOOGLETRANSLATE(B7782,""en"",""zh-CN"")"),"骆驼开始在处理程序的帮助下移动。")</f>
        <v>骆驼开始在处理程序的帮助下移动。</v>
      </c>
    </row>
    <row r="7783">
      <c r="A7783" s="4" t="s">
        <v>9782</v>
      </c>
      <c r="B7783" s="4" t="s">
        <v>9785</v>
      </c>
      <c r="C7783" s="5" t="str">
        <f>IFERROR(__xludf.DUMMYFUNCTION("GOOGLETRANSLATE(B7783,""en"",""zh-CN"")"),"人们出现在背景中。")</f>
        <v>人们出现在背景中。</v>
      </c>
    </row>
    <row r="7784">
      <c r="A7784" s="4" t="s">
        <v>9786</v>
      </c>
      <c r="B7784" s="4" t="s">
        <v>9787</v>
      </c>
      <c r="C7784" s="5" t="str">
        <f>IFERROR(__xludf.DUMMYFUNCTION("GOOGLETRANSLATE(B7784,""en"",""zh-CN"")"),"穿着泳衣的母亲和孩子在海滩上建造了沙堡。")</f>
        <v>穿着泳衣的母亲和孩子在海滩上建造了沙堡。</v>
      </c>
    </row>
    <row r="7785">
      <c r="A7785" s="4" t="s">
        <v>9786</v>
      </c>
      <c r="B7785" s="4" t="s">
        <v>9788</v>
      </c>
      <c r="C7785" s="5" t="str">
        <f>IFERROR(__xludf.DUMMYFUNCTION("GOOGLETRANSLATE(B7785,""en"",""zh-CN"")"),"孩子摧毁了沙堡。")</f>
        <v>孩子摧毁了沙堡。</v>
      </c>
    </row>
    <row r="7786">
      <c r="A7786" s="4" t="s">
        <v>9786</v>
      </c>
      <c r="B7786" s="4" t="s">
        <v>9789</v>
      </c>
      <c r="C7786" s="5" t="str">
        <f>IFERROR(__xludf.DUMMYFUNCTION("GOOGLETRANSLATE(B7786,""en"",""zh-CN"")"),"母亲将塑料模具挫败了。")</f>
        <v>母亲将塑料模具挫败了。</v>
      </c>
    </row>
    <row r="7787">
      <c r="A7787" s="4" t="s">
        <v>9790</v>
      </c>
      <c r="B7787" s="4" t="s">
        <v>9791</v>
      </c>
      <c r="C7787" s="5" t="str">
        <f>IFERROR(__xludf.DUMMYFUNCTION("GOOGLETRANSLATE(B7787,""en"",""zh-CN"")"),"向一个人展示了一个带有绿色真空吸尘器的大地毯的真空吸尘器。")</f>
        <v>向一个人展示了一个带有绿色真空吸尘器的大地毯的真空吸尘器。</v>
      </c>
    </row>
    <row r="7788">
      <c r="A7788" s="4" t="s">
        <v>9790</v>
      </c>
      <c r="B7788" s="4" t="s">
        <v>9792</v>
      </c>
      <c r="C7788" s="5" t="str">
        <f>IFERROR(__xludf.DUMMYFUNCTION("GOOGLETRANSLATE(B7788,""en"",""zh-CN"")"),"当男人继续在地毯上使用真空时，屏幕上出现了标题。")</f>
        <v>当男人继续在地毯上使用真空时，屏幕上出现了标题。</v>
      </c>
    </row>
    <row r="7789">
      <c r="A7789" s="4" t="s">
        <v>9793</v>
      </c>
      <c r="B7789" s="4" t="s">
        <v>9794</v>
      </c>
      <c r="C7789" s="5" t="str">
        <f>IFERROR(__xludf.DUMMYFUNCTION("GOOGLETRANSLATE(B7789,""en"",""zh-CN"")"),"显示了台球桌的特写，后面是一个人在侧面走来走去。")</f>
        <v>显示了台球桌的特写，后面是一个人在侧面走来走去。</v>
      </c>
    </row>
    <row r="7790">
      <c r="A7790" s="4" t="s">
        <v>9793</v>
      </c>
      <c r="B7790" s="4" t="s">
        <v>9795</v>
      </c>
      <c r="C7790" s="5" t="str">
        <f>IFERROR(__xludf.DUMMYFUNCTION("GOOGLETRANSLATE(B7790,""en"",""zh-CN"")"),"然后，该人在桌子周围连续击中泳池球。")</f>
        <v>然后，该人在桌子周围连续击中泳池球。</v>
      </c>
    </row>
    <row r="7791">
      <c r="A7791" s="4" t="s">
        <v>9793</v>
      </c>
      <c r="B7791" s="4" t="s">
        <v>9796</v>
      </c>
      <c r="C7791" s="5" t="str">
        <f>IFERROR(__xludf.DUMMYFUNCTION("GOOGLETRANSLATE(B7791,""en"",""zh-CN"")"),"然后，该男子沉没了最后一个球，并与一群人一起庆祝。")</f>
        <v>然后，该男子沉没了最后一个球，并与一群人一起庆祝。</v>
      </c>
    </row>
    <row r="7792">
      <c r="A7792" s="4" t="s">
        <v>9797</v>
      </c>
      <c r="B7792" s="4" t="s">
        <v>9798</v>
      </c>
      <c r="C7792" s="5" t="str">
        <f>IFERROR(__xludf.DUMMYFUNCTION("GOOGLETRANSLATE(B7792,""en"",""zh-CN"")"),"一个人把球扔到人行道上。")</f>
        <v>一个人把球扔到人行道上。</v>
      </c>
    </row>
    <row r="7793">
      <c r="A7793" s="4" t="s">
        <v>9797</v>
      </c>
      <c r="B7793" s="4" t="s">
        <v>9799</v>
      </c>
      <c r="C7793" s="5" t="str">
        <f>IFERROR(__xludf.DUMMYFUNCTION("GOOGLETRANSLATE(B7793,""en"",""zh-CN"")"),"他扮演跳跃来捡起它。")</f>
        <v>他扮演跳跃来捡起它。</v>
      </c>
    </row>
    <row r="7794">
      <c r="A7794" s="4" t="s">
        <v>9797</v>
      </c>
      <c r="B7794" s="4" t="s">
        <v>9800</v>
      </c>
      <c r="C7794" s="5" t="str">
        <f>IFERROR(__xludf.DUMMYFUNCTION("GOOGLETRANSLATE(B7794,""en"",""zh-CN"")"),"一个小孩子在他面前跑来跑去。")</f>
        <v>一个小孩子在他面前跑来跑去。</v>
      </c>
    </row>
    <row r="7795">
      <c r="A7795" s="4" t="s">
        <v>9801</v>
      </c>
      <c r="B7795" s="4" t="s">
        <v>9802</v>
      </c>
      <c r="C7795" s="5" t="str">
        <f>IFERROR(__xludf.DUMMYFUNCTION("GOOGLETRANSLATE(B7795,""en"",""zh-CN"")"),"当相机放大时，一个拿着冰刮刀的男人正在将冰上推开。")</f>
        <v>当相机放大时，一个拿着冰刮刀的男人正在将冰上推开。</v>
      </c>
    </row>
    <row r="7796">
      <c r="A7796" s="4" t="s">
        <v>9801</v>
      </c>
      <c r="B7796" s="4" t="s">
        <v>9803</v>
      </c>
      <c r="C7796" s="5" t="str">
        <f>IFERROR(__xludf.DUMMYFUNCTION("GOOGLETRANSLATE(B7796,""en"",""zh-CN"")"),"相机示意他的手Mutiple Times近距离逐渐推开冰块。")</f>
        <v>相机示意他的手Mutiple Times近距离逐渐推开冰块。</v>
      </c>
    </row>
    <row r="7797">
      <c r="A7797" s="4" t="s">
        <v>9804</v>
      </c>
      <c r="B7797" s="4" t="s">
        <v>9805</v>
      </c>
      <c r="C7797" s="5" t="str">
        <f>IFERROR(__xludf.DUMMYFUNCTION("GOOGLETRANSLATE(B7797,""en"",""zh-CN"")"),"一个女人在起火前的客厅里。")</f>
        <v>一个女人在起火前的客厅里。</v>
      </c>
    </row>
    <row r="7798">
      <c r="A7798" s="4" t="s">
        <v>9804</v>
      </c>
      <c r="B7798" s="4" t="s">
        <v>9806</v>
      </c>
      <c r="C7798" s="5" t="str">
        <f>IFERROR(__xludf.DUMMYFUNCTION("GOOGLETRANSLATE(B7798,""en"",""zh-CN"")"),"她将纸切成条，然后将其整齐地包裹在盒子上。")</f>
        <v>她将纸切成条，然后将其整齐地包裹在盒子上。</v>
      </c>
    </row>
    <row r="7799">
      <c r="A7799" s="4" t="s">
        <v>9804</v>
      </c>
      <c r="B7799" s="4" t="s">
        <v>9807</v>
      </c>
      <c r="C7799" s="5" t="str">
        <f>IFERROR(__xludf.DUMMYFUNCTION("GOOGLETRANSLATE(B7799,""en"",""zh-CN"")"),"她将盒子贴上胶带，然后将其轻轻放在桌子上。")</f>
        <v>她将盒子贴上胶带，然后将其轻轻放在桌子上。</v>
      </c>
    </row>
    <row r="7800">
      <c r="A7800" s="4" t="s">
        <v>9808</v>
      </c>
      <c r="B7800" s="4" t="s">
        <v>9809</v>
      </c>
      <c r="C7800" s="5" t="str">
        <f>IFERROR(__xludf.DUMMYFUNCTION("GOOGLETRANSLATE(B7800,""en"",""zh-CN"")"),"一个穿着黑色衬衫的女人开始说话，然后有人戴上腿。")</f>
        <v>一个穿着黑色衬衫的女人开始说话，然后有人戴上腿。</v>
      </c>
    </row>
    <row r="7801">
      <c r="A7801" s="4" t="s">
        <v>9808</v>
      </c>
      <c r="B7801" s="4" t="s">
        <v>9810</v>
      </c>
      <c r="C7801" s="5" t="str">
        <f>IFERROR(__xludf.DUMMYFUNCTION("GOOGLETRANSLATE(B7801,""en"",""zh-CN"")"),"当她说话时，如果放在腿上，然后是一张白色的纸，一层蜡。")</f>
        <v>当她说话时，如果放在腿上，然后是一张白色的纸，一层蜡。</v>
      </c>
    </row>
    <row r="7802">
      <c r="A7802" s="4" t="s">
        <v>9811</v>
      </c>
      <c r="B7802" s="4" t="s">
        <v>9812</v>
      </c>
      <c r="C7802" s="5" t="str">
        <f>IFERROR(__xludf.DUMMYFUNCTION("GOOGLETRANSLATE(B7802,""en"",""zh-CN"")"),"一名体操运动员正站在一个姿势上，等待开始她的表演。")</f>
        <v>一名体操运动员正站在一个姿势上，等待开始她的表演。</v>
      </c>
    </row>
    <row r="7803">
      <c r="A7803" s="4" t="s">
        <v>9811</v>
      </c>
      <c r="B7803" s="4" t="s">
        <v>9813</v>
      </c>
      <c r="C7803" s="5" t="str">
        <f>IFERROR(__xludf.DUMMYFUNCTION("GOOGLETRANSLATE(B7803,""en"",""zh-CN"")"),"她开始旋转指挥棒，并随身携带全身，然后将其翻转和一切。")</f>
        <v>她开始旋转指挥棒，并随身携带全身，然后将其翻转和一切。</v>
      </c>
    </row>
    <row r="7804">
      <c r="A7804" s="4" t="s">
        <v>9811</v>
      </c>
      <c r="B7804" s="4" t="s">
        <v>9814</v>
      </c>
      <c r="C7804" s="5" t="str">
        <f>IFERROR(__xludf.DUMMYFUNCTION("GOOGLETRANSLATE(B7804,""en"",""zh-CN"")"),"她开始做一只手的手推车，然后将警棍摆在脖子上。")</f>
        <v>她开始做一只手的手推车，然后将警棍摆在脖子上。</v>
      </c>
    </row>
    <row r="7805">
      <c r="A7805" s="4" t="s">
        <v>9811</v>
      </c>
      <c r="B7805" s="4" t="s">
        <v>9815</v>
      </c>
      <c r="C7805" s="5" t="str">
        <f>IFERROR(__xludf.DUMMYFUNCTION("GOOGLETRANSLATE(B7805,""en"",""zh-CN"")"),"她表现出色，一旦结束，她就会冻结。")</f>
        <v>她表现出色，一旦结束，她就会冻结。</v>
      </c>
    </row>
    <row r="7806">
      <c r="A7806" s="4" t="s">
        <v>9816</v>
      </c>
      <c r="B7806" s="4" t="s">
        <v>9817</v>
      </c>
      <c r="C7806" s="5" t="str">
        <f>IFERROR(__xludf.DUMMYFUNCTION("GOOGLETRANSLATE(B7806,""en"",""zh-CN"")"),"齿轮上的一个人指向两把枪。")</f>
        <v>齿轮上的一个人指向两把枪。</v>
      </c>
    </row>
    <row r="7807">
      <c r="A7807" s="4" t="s">
        <v>9816</v>
      </c>
      <c r="B7807" s="4" t="s">
        <v>9818</v>
      </c>
      <c r="C7807" s="5" t="str">
        <f>IFERROR(__xludf.DUMMYFUNCTION("GOOGLETRANSLATE(B7807,""en"",""zh-CN"")"),"他躲在岩石后面，偷偷溜进其他彩弹球员。")</f>
        <v>他躲在岩石后面，偷偷溜进其他彩弹球员。</v>
      </c>
    </row>
    <row r="7808">
      <c r="A7808" s="4" t="s">
        <v>9816</v>
      </c>
      <c r="B7808" s="4" t="s">
        <v>9819</v>
      </c>
      <c r="C7808" s="5" t="str">
        <f>IFERROR(__xludf.DUMMYFUNCTION("GOOGLETRANSLATE(B7808,""en"",""zh-CN"")"),"当他回到岩石后面躲藏时，他们互相射击。")</f>
        <v>当他回到岩石后面躲藏时，他们互相射击。</v>
      </c>
    </row>
    <row r="7809">
      <c r="A7809" s="4" t="s">
        <v>9820</v>
      </c>
      <c r="B7809" s="6" t="s">
        <v>9821</v>
      </c>
      <c r="C7809" s="5" t="str">
        <f>IFERROR(__xludf.DUMMYFUNCTION("GOOGLETRANSLATE(B7809,""en"",""zh-CN"")"),"一个人正在使用大型武装窗户洗涤机构洗涤三明治商店的外部，前，玻璃窗。")</f>
        <v>一个人正在使用大型武装窗户洗涤机构洗涤三明治商店的外部，前，玻璃窗。</v>
      </c>
    </row>
    <row r="7810">
      <c r="A7810" s="4" t="s">
        <v>9820</v>
      </c>
      <c r="B7810" s="6" t="s">
        <v>9822</v>
      </c>
      <c r="C7810" s="5" t="str">
        <f>IFERROR(__xludf.DUMMYFUNCTION("GOOGLETRANSLATE(B7810,""en"",""zh-CN"")"),"这个人是一个有白发和眼镜的人，他使用该工具将窗户的顶部一直到玻璃底部洗净。")</f>
        <v>这个人是一个有白发和眼镜的人，他使用该工具将窗户的顶部一直到玻璃底部洗净。</v>
      </c>
    </row>
    <row r="7811">
      <c r="A7811" s="4" t="s">
        <v>9820</v>
      </c>
      <c r="B7811" s="6" t="s">
        <v>9823</v>
      </c>
      <c r="C7811" s="5" t="str">
        <f>IFERROR(__xludf.DUMMYFUNCTION("GOOGLETRANSLATE(B7811,""en"",""zh-CN"")"),"该男子继续用弯曲的动作一一洗净所有四个玻璃窗格，然后离开窗户离开商店。")</f>
        <v>该男子继续用弯曲的动作一一洗净所有四个玻璃窗格，然后离开窗户离开商店。</v>
      </c>
    </row>
    <row r="7812">
      <c r="A7812" s="4" t="s">
        <v>9824</v>
      </c>
      <c r="B7812" s="4" t="s">
        <v>9825</v>
      </c>
      <c r="C7812" s="5" t="str">
        <f>IFERROR(__xludf.DUMMYFUNCTION("GOOGLETRANSLATE(B7812,""en"",""zh-CN"")"),"一个小女孩坐在鼓盘上，戴着耳机。")</f>
        <v>一个小女孩坐在鼓盘上，戴着耳机。</v>
      </c>
    </row>
    <row r="7813">
      <c r="A7813" s="4" t="s">
        <v>9824</v>
      </c>
      <c r="B7813" s="4" t="s">
        <v>9826</v>
      </c>
      <c r="C7813" s="5" t="str">
        <f>IFERROR(__xludf.DUMMYFUNCTION("GOOGLETRANSLATE(B7813,""en"",""zh-CN"")"),"她演奏鼓声和cy，保持快速的节奏。")</f>
        <v>她演奏鼓声和cy，保持快速的节奏。</v>
      </c>
    </row>
    <row r="7814">
      <c r="A7814" s="4" t="s">
        <v>9824</v>
      </c>
      <c r="B7814" s="4" t="s">
        <v>9827</v>
      </c>
      <c r="C7814" s="5" t="str">
        <f>IFERROR(__xludf.DUMMYFUNCTION("GOOGLETRANSLATE(B7814,""en"",""zh-CN"")"),"当她玩耍时，她来回撞头。")</f>
        <v>当她玩耍时，她来回撞头。</v>
      </c>
    </row>
    <row r="7815">
      <c r="A7815" s="4" t="s">
        <v>9828</v>
      </c>
      <c r="B7815" s="4" t="s">
        <v>9829</v>
      </c>
      <c r="C7815" s="5" t="str">
        <f>IFERROR(__xludf.DUMMYFUNCTION("GOOGLETRANSLATE(B7815,""en"",""zh-CN"")"),"一个小女孩在沙滩上玩。")</f>
        <v>一个小女孩在沙滩上玩。</v>
      </c>
    </row>
    <row r="7816">
      <c r="A7816" s="4" t="s">
        <v>9828</v>
      </c>
      <c r="B7816" s="4" t="s">
        <v>9830</v>
      </c>
      <c r="C7816" s="5" t="str">
        <f>IFERROR(__xludf.DUMMYFUNCTION("GOOGLETRANSLATE(B7816,""en"",""zh-CN"")"),"女孩抓住了铲子。")</f>
        <v>女孩抓住了铲子。</v>
      </c>
    </row>
    <row r="7817">
      <c r="A7817" s="4" t="s">
        <v>9828</v>
      </c>
      <c r="B7817" s="4" t="s">
        <v>9831</v>
      </c>
      <c r="C7817" s="5" t="str">
        <f>IFERROR(__xludf.DUMMYFUNCTION("GOOGLETRANSLATE(B7817,""en"",""zh-CN"")"),"一个人在镜头前行走。")</f>
        <v>一个人在镜头前行走。</v>
      </c>
    </row>
    <row r="7818">
      <c r="A7818" s="4" t="s">
        <v>9828</v>
      </c>
      <c r="B7818" s="4" t="s">
        <v>9832</v>
      </c>
      <c r="C7818" s="5" t="str">
        <f>IFERROR(__xludf.DUMMYFUNCTION("GOOGLETRANSLATE(B7818,""en"",""zh-CN"")"),"摄像机锅倒在水中。")</f>
        <v>摄像机锅倒在水中。</v>
      </c>
    </row>
    <row r="7819">
      <c r="A7819" s="4" t="s">
        <v>9828</v>
      </c>
      <c r="B7819" s="4" t="s">
        <v>9833</v>
      </c>
      <c r="C7819" s="5" t="str">
        <f>IFERROR(__xludf.DUMMYFUNCTION("GOOGLETRANSLATE(B7819,""en"",""zh-CN"")"),"女孩走到水面。")</f>
        <v>女孩走到水面。</v>
      </c>
    </row>
    <row r="7820">
      <c r="A7820" s="4" t="s">
        <v>9828</v>
      </c>
      <c r="B7820" s="4" t="s">
        <v>9834</v>
      </c>
      <c r="C7820" s="5" t="str">
        <f>IFERROR(__xludf.DUMMYFUNCTION("GOOGLETRANSLATE(B7820,""en"",""zh-CN"")"),"女孩走进水。")</f>
        <v>女孩走进水。</v>
      </c>
    </row>
    <row r="7821">
      <c r="A7821" s="4" t="s">
        <v>9835</v>
      </c>
      <c r="B7821" s="4" t="s">
        <v>9836</v>
      </c>
      <c r="C7821" s="5" t="str">
        <f>IFERROR(__xludf.DUMMYFUNCTION("GOOGLETRANSLATE(B7821,""en"",""zh-CN"")"),"介绍出现在屏幕上，以进行有关自动维修的演示文稿。")</f>
        <v>介绍出现在屏幕上，以进行有关自动维修的演示文稿。</v>
      </c>
    </row>
    <row r="7822">
      <c r="A7822" s="4" t="s">
        <v>9835</v>
      </c>
      <c r="B7822" s="4" t="s">
        <v>9837</v>
      </c>
      <c r="C7822" s="5" t="str">
        <f>IFERROR(__xludf.DUMMYFUNCTION("GOOGLETRANSLATE(B7822,""en"",""zh-CN"")"),"该视频显示正在处理的汽车的几个不同部分。")</f>
        <v>该视频显示正在处理的汽车的几个不同部分。</v>
      </c>
    </row>
    <row r="7823">
      <c r="A7823" s="4" t="s">
        <v>9835</v>
      </c>
      <c r="B7823" s="4" t="s">
        <v>9838</v>
      </c>
      <c r="C7823" s="5" t="str">
        <f>IFERROR(__xludf.DUMMYFUNCTION("GOOGLETRANSLATE(B7823,""en"",""zh-CN"")"),"A凹痕机构附着在汽车上，以显示其如何修复一个车轮。")</f>
        <v>A凹痕机构附着在汽车上，以显示其如何修复一个车轮。</v>
      </c>
    </row>
    <row r="7824">
      <c r="A7824" s="4" t="s">
        <v>9835</v>
      </c>
      <c r="B7824" s="4" t="s">
        <v>9839</v>
      </c>
      <c r="C7824" s="5" t="str">
        <f>IFERROR(__xludf.DUMMYFUNCTION("GOOGLETRANSLATE(B7824,""en"",""zh-CN"")"),"然后，它显示了另一个用相同机制修复的车轮。")</f>
        <v>然后，它显示了另一个用相同机制修复的车轮。</v>
      </c>
    </row>
    <row r="7825">
      <c r="A7825" s="4" t="s">
        <v>9835</v>
      </c>
      <c r="B7825" s="4" t="s">
        <v>9840</v>
      </c>
      <c r="C7825" s="5" t="str">
        <f>IFERROR(__xludf.DUMMYFUNCTION("GOOGLETRANSLATE(B7825,""en"",""zh-CN"")"),"接下来，该视频的结束信用显示在屏幕上。")</f>
        <v>接下来，该视频的结束信用显示在屏幕上。</v>
      </c>
    </row>
    <row r="7826">
      <c r="A7826" s="4" t="s">
        <v>9841</v>
      </c>
      <c r="B7826" s="4" t="s">
        <v>1487</v>
      </c>
      <c r="C7826" s="5" t="str">
        <f>IFERROR(__xludf.DUMMYFUNCTION("GOOGLETRANSLATE(B7826,""en"",""zh-CN"")"),"我们看到一个开放标题屏幕。")</f>
        <v>我们看到一个开放标题屏幕。</v>
      </c>
    </row>
    <row r="7827">
      <c r="A7827" s="4" t="s">
        <v>9841</v>
      </c>
      <c r="B7827" s="4" t="s">
        <v>9842</v>
      </c>
      <c r="C7827" s="5" t="str">
        <f>IFERROR(__xludf.DUMMYFUNCTION("GOOGLETRANSLATE(B7827,""en"",""zh-CN"")"),"我们看到两位女士在一个田野里跳舞。")</f>
        <v>我们看到两位女士在一个田野里跳舞。</v>
      </c>
    </row>
    <row r="7828">
      <c r="A7828" s="4" t="s">
        <v>9841</v>
      </c>
      <c r="B7828" s="4" t="s">
        <v>9843</v>
      </c>
      <c r="C7828" s="5" t="str">
        <f>IFERROR(__xludf.DUMMYFUNCTION("GOOGLETRANSLATE(B7828,""en"",""zh-CN"")"),"我们切换到女士们在一只牛周围跳舞的女士。")</f>
        <v>我们切换到女士们在一只牛周围跳舞的女士。</v>
      </c>
    </row>
    <row r="7829">
      <c r="A7829" s="4" t="s">
        <v>9841</v>
      </c>
      <c r="B7829" s="4" t="s">
        <v>9844</v>
      </c>
      <c r="C7829" s="5" t="str">
        <f>IFERROR(__xludf.DUMMYFUNCTION("GOOGLETRANSLATE(B7829,""en"",""zh-CN"")"),"我们看到女士们彼此相邻。")</f>
        <v>我们看到女士们彼此相邻。</v>
      </c>
    </row>
    <row r="7830">
      <c r="A7830" s="4" t="s">
        <v>9841</v>
      </c>
      <c r="B7830" s="4" t="s">
        <v>9845</v>
      </c>
      <c r="C7830" s="5" t="str">
        <f>IFERROR(__xludf.DUMMYFUNCTION("GOOGLETRANSLATE(B7830,""en"",""zh-CN"")"),"我们在野外看到女士们的膝盖。")</f>
        <v>我们在野外看到女士们的膝盖。</v>
      </c>
    </row>
    <row r="7831">
      <c r="A7831" s="4" t="s">
        <v>9841</v>
      </c>
      <c r="B7831" s="4" t="s">
        <v>9846</v>
      </c>
      <c r="C7831" s="5" t="str">
        <f>IFERROR(__xludf.DUMMYFUNCTION("GOOGLETRANSLATE(B7831,""en"",""zh-CN"")"),"我们在场上看到三名女士。")</f>
        <v>我们在场上看到三名女士。</v>
      </c>
    </row>
    <row r="7832">
      <c r="A7832" s="4" t="s">
        <v>9841</v>
      </c>
      <c r="B7832" s="4" t="s">
        <v>9847</v>
      </c>
      <c r="C7832" s="5" t="str">
        <f>IFERROR(__xludf.DUMMYFUNCTION("GOOGLETRANSLATE(B7832,""en"",""zh-CN"")"),"我们看到两位女士跳舞。")</f>
        <v>我们看到两位女士跳舞。</v>
      </c>
    </row>
    <row r="7833">
      <c r="A7833" s="4" t="s">
        <v>9841</v>
      </c>
      <c r="B7833" s="4" t="s">
        <v>9848</v>
      </c>
      <c r="C7833" s="5" t="str">
        <f>IFERROR(__xludf.DUMMYFUNCTION("GOOGLETRANSLATE(B7833,""en"",""zh-CN"")"),"我们看到关闭屏幕。")</f>
        <v>我们看到关闭屏幕。</v>
      </c>
    </row>
    <row r="7834">
      <c r="A7834" s="4" t="s">
        <v>9849</v>
      </c>
      <c r="B7834" s="4" t="s">
        <v>9850</v>
      </c>
      <c r="C7834" s="5" t="str">
        <f>IFERROR(__xludf.DUMMYFUNCTION("GOOGLETRANSLATE(B7834,""en"",""zh-CN"")"),"人们正在攀登岩石。")</f>
        <v>人们正在攀登岩石。</v>
      </c>
    </row>
    <row r="7835">
      <c r="A7835" s="4" t="s">
        <v>9849</v>
      </c>
      <c r="B7835" s="4" t="s">
        <v>9851</v>
      </c>
      <c r="C7835" s="5" t="str">
        <f>IFERROR(__xludf.DUMMYFUNCTION("GOOGLETRANSLATE(B7835,""en"",""zh-CN"")"),"一个人从岩石上掉进了下面的水中。")</f>
        <v>一个人从岩石上掉进了下面的水中。</v>
      </c>
    </row>
    <row r="7836">
      <c r="A7836" s="4" t="s">
        <v>9852</v>
      </c>
      <c r="B7836" s="4" t="s">
        <v>9853</v>
      </c>
      <c r="C7836" s="5" t="str">
        <f>IFERROR(__xludf.DUMMYFUNCTION("GOOGLETRANSLATE(B7836,""en"",""zh-CN"")"),"一个男人的腿坐在椅子上。")</f>
        <v>一个男人的腿坐在椅子上。</v>
      </c>
    </row>
    <row r="7837">
      <c r="A7837" s="4" t="s">
        <v>9852</v>
      </c>
      <c r="B7837" s="4" t="s">
        <v>9854</v>
      </c>
      <c r="C7837" s="5" t="str">
        <f>IFERROR(__xludf.DUMMYFUNCTION("GOOGLETRANSLATE(B7837,""en"",""zh-CN"")"),"一个人将打蜡条放在腿上，拔下头发。")</f>
        <v>一个人将打蜡条放在腿上，拔下头发。</v>
      </c>
    </row>
    <row r="7838">
      <c r="A7838" s="4" t="s">
        <v>9852</v>
      </c>
      <c r="B7838" s="4" t="s">
        <v>9855</v>
      </c>
      <c r="C7838" s="5" t="str">
        <f>IFERROR(__xludf.DUMMYFUNCTION("GOOGLETRANSLATE(B7838,""en"",""zh-CN"")"),"他把衬衫放在脸上。")</f>
        <v>他把衬衫放在脸上。</v>
      </c>
    </row>
    <row r="7839">
      <c r="A7839" s="4" t="s">
        <v>9856</v>
      </c>
      <c r="B7839" s="6" t="s">
        <v>9857</v>
      </c>
      <c r="C7839" s="5" t="str">
        <f>IFERROR(__xludf.DUMMYFUNCTION("GOOGLETRANSLATE(B7839,""en"",""zh-CN"")"),"看到一个穿着服装的人站在独木舟内，最终将自己推到河里。")</f>
        <v>看到一个穿着服装的人站在独木舟内，最终将自己推到河里。</v>
      </c>
    </row>
    <row r="7840">
      <c r="A7840" s="4" t="s">
        <v>9856</v>
      </c>
      <c r="B7840" s="6" t="s">
        <v>9858</v>
      </c>
      <c r="C7840" s="5" t="str">
        <f>IFERROR(__xludf.DUMMYFUNCTION("GOOGLETRANSLATE(B7840,""en"",""zh-CN"")"),"该人慢慢移动到独木舟中，相机跟随他沿着独木舟中的水移动。")</f>
        <v>该人慢慢移动到独木舟中，相机跟随他沿着独木舟中的水移动。</v>
      </c>
    </row>
    <row r="7841">
      <c r="A7841" s="4" t="s">
        <v>9859</v>
      </c>
      <c r="B7841" s="6" t="s">
        <v>9860</v>
      </c>
      <c r="C7841" s="5" t="str">
        <f>IFERROR(__xludf.DUMMYFUNCTION("GOOGLETRANSLATE(B7841,""en"",""zh-CN"")"),"看到两名男子表演武术的动作彼此相对，并导致一个人说话。")</f>
        <v>看到两名男子表演武术的动作彼此相对，并导致一个人说话。</v>
      </c>
    </row>
    <row r="7842">
      <c r="A7842" s="4" t="s">
        <v>9859</v>
      </c>
      <c r="B7842" s="6" t="s">
        <v>9861</v>
      </c>
      <c r="C7842" s="5" t="str">
        <f>IFERROR(__xludf.DUMMYFUNCTION("GOOGLETRANSLATE(B7842,""en"",""zh-CN"")"),"然后，该男子在仍在与相机交谈的同时，与另一个男人一起展示了几种武术。")</f>
        <v>然后，该男子在仍在与相机交谈的同时，与另一个男人一起展示了几种武术。</v>
      </c>
    </row>
    <row r="7843">
      <c r="A7843" s="4" t="s">
        <v>9859</v>
      </c>
      <c r="B7843" s="4" t="s">
        <v>9862</v>
      </c>
      <c r="C7843" s="5" t="str">
        <f>IFERROR(__xludf.DUMMYFUNCTION("GOOGLETRANSLATE(B7843,""en"",""zh-CN"")"),"该男子在停下来表明其正确完成的同时继续进行这些动作。")</f>
        <v>该男子在停下来表明其正确完成的同时继续进行这些动作。</v>
      </c>
    </row>
    <row r="7844">
      <c r="A7844" s="4" t="s">
        <v>9863</v>
      </c>
      <c r="B7844" s="4" t="s">
        <v>9864</v>
      </c>
      <c r="C7844" s="5" t="str">
        <f>IFERROR(__xludf.DUMMYFUNCTION("GOOGLETRANSLATE(B7844,""en"",""zh-CN"")"),"人们正在室内竞技场踢足球比赛。")</f>
        <v>人们正在室内竞技场踢足球比赛。</v>
      </c>
    </row>
    <row r="7845">
      <c r="A7845" s="4" t="s">
        <v>9863</v>
      </c>
      <c r="B7845" s="4" t="s">
        <v>9865</v>
      </c>
      <c r="C7845" s="5" t="str">
        <f>IFERROR(__xludf.DUMMYFUNCTION("GOOGLETRANSLATE(B7845,""en"",""zh-CN"")"),"一个男人捡起球，扔别人。")</f>
        <v>一个男人捡起球，扔别人。</v>
      </c>
    </row>
    <row r="7846">
      <c r="A7846" s="4" t="s">
        <v>9863</v>
      </c>
      <c r="B7846" s="4" t="s">
        <v>9866</v>
      </c>
      <c r="C7846" s="5" t="str">
        <f>IFERROR(__xludf.DUMMYFUNCTION("GOOGLETRANSLATE(B7846,""en"",""zh-CN"")"),"人们跌倒在竞技场地板上。")</f>
        <v>人们跌倒在竞技场地板上。</v>
      </c>
    </row>
    <row r="7847">
      <c r="A7847" s="4" t="s">
        <v>9867</v>
      </c>
      <c r="B7847" s="4" t="s">
        <v>9868</v>
      </c>
      <c r="C7847" s="5" t="str">
        <f>IFERROR(__xludf.DUMMYFUNCTION("GOOGLETRANSLATE(B7847,""en"",""zh-CN"")"),"伙计们站在室内法庭上。")</f>
        <v>伙计们站在室内法庭上。</v>
      </c>
    </row>
    <row r="7848">
      <c r="A7848" s="4" t="s">
        <v>9867</v>
      </c>
      <c r="B7848" s="6" t="s">
        <v>9869</v>
      </c>
      <c r="C7848" s="5" t="str">
        <f>IFERROR(__xludf.DUMMYFUNCTION("GOOGLETRANSLATE(B7848,""en"",""zh-CN"")"),"两个家伙踢接力足球，一名运动员在踢球之前接触了对手的手和守门员。")</f>
        <v>两个家伙踢接力足球，一名运动员在踢球之前接触了对手的手和守门员。</v>
      </c>
    </row>
    <row r="7849">
      <c r="A7849" s="4" t="s">
        <v>9867</v>
      </c>
      <c r="B7849" s="4" t="s">
        <v>9870</v>
      </c>
      <c r="C7849" s="5" t="str">
        <f>IFERROR(__xludf.DUMMYFUNCTION("GOOGLETRANSLATE(B7849,""en"",""zh-CN"")"),"一名球员将球踢向中央球场的守门员。")</f>
        <v>一名球员将球踢向中央球场的守门员。</v>
      </c>
    </row>
    <row r="7850">
      <c r="A7850" s="4" t="s">
        <v>9867</v>
      </c>
      <c r="B7850" s="4" t="s">
        <v>9871</v>
      </c>
      <c r="C7850" s="5" t="str">
        <f>IFERROR(__xludf.DUMMYFUNCTION("GOOGLETRANSLATE(B7850,""en"",""zh-CN"")"),"伙计们停了一会儿。")</f>
        <v>伙计们停了一会儿。</v>
      </c>
    </row>
    <row r="7851">
      <c r="A7851" s="4" t="s">
        <v>9872</v>
      </c>
      <c r="B7851" s="4" t="s">
        <v>9873</v>
      </c>
      <c r="C7851" s="5" t="str">
        <f>IFERROR(__xludf.DUMMYFUNCTION("GOOGLETRANSLATE(B7851,""en"",""zh-CN"")"),"一个人推一根割草机在院子里切断了一片杂草。")</f>
        <v>一个人推一根割草机在院子里切断了一片杂草。</v>
      </c>
    </row>
    <row r="7852">
      <c r="A7852" s="4" t="s">
        <v>9872</v>
      </c>
      <c r="B7852" s="4" t="s">
        <v>9874</v>
      </c>
      <c r="C7852" s="5" t="str">
        <f>IFERROR(__xludf.DUMMYFUNCTION("GOOGLETRANSLATE(B7852,""en"",""zh-CN"")"),"该男子翻过割草机，然后清除了纠结的草。")</f>
        <v>该男子翻过割草机，然后清除了纠结的草。</v>
      </c>
    </row>
    <row r="7853">
      <c r="A7853" s="4" t="s">
        <v>9872</v>
      </c>
      <c r="B7853" s="6" t="s">
        <v>9875</v>
      </c>
      <c r="C7853" s="5" t="str">
        <f>IFERROR(__xludf.DUMMYFUNCTION("GOOGLETRANSLATE(B7853,""en"",""zh-CN"")"),"该名男子向后退，将割草机围成一圈摆动，并将割草机朝相反的方向转动。")</f>
        <v>该名男子向后退，将割草机围成一圈摆动，并将割草机朝相反的方向转动。</v>
      </c>
    </row>
    <row r="7854">
      <c r="A7854" s="4" t="s">
        <v>9876</v>
      </c>
      <c r="B7854" s="4" t="s">
        <v>9877</v>
      </c>
      <c r="C7854" s="5" t="str">
        <f>IFERROR(__xludf.DUMMYFUNCTION("GOOGLETRANSLATE(B7854,""en"",""zh-CN"")"),"各种蛋糕坐在盘子上显示出来，字样出现，说明如何制作它们。")</f>
        <v>各种蛋糕坐在盘子上显示出来，字样出现，说明如何制作它们。</v>
      </c>
    </row>
    <row r="7855">
      <c r="A7855" s="4" t="s">
        <v>9876</v>
      </c>
      <c r="B7855" s="4" t="s">
        <v>9878</v>
      </c>
      <c r="C7855" s="5" t="str">
        <f>IFERROR(__xludf.DUMMYFUNCTION("GOOGLETRANSLATE(B7855,""en"",""zh-CN"")"),"显示了几种成分，并将成分混合在一起的人在碗中。")</f>
        <v>显示了几种成分，并将成分混合在一起的人在碗中。</v>
      </c>
    </row>
    <row r="7856">
      <c r="A7856" s="4" t="s">
        <v>9876</v>
      </c>
      <c r="B7856" s="4" t="s">
        <v>9879</v>
      </c>
      <c r="C7856" s="5" t="str">
        <f>IFERROR(__xludf.DUMMYFUNCTION("GOOGLETRANSLATE(B7856,""en"",""zh-CN"")"),"该人将所有成分混合在一起，然后将它们放入锅中烹饪。")</f>
        <v>该人将所有成分混合在一起，然后将它们放入锅中烹饪。</v>
      </c>
    </row>
    <row r="7857">
      <c r="A7857" s="4" t="s">
        <v>9876</v>
      </c>
      <c r="B7857" s="4" t="s">
        <v>9880</v>
      </c>
      <c r="C7857" s="5" t="str">
        <f>IFERROR(__xludf.DUMMYFUNCTION("GOOGLETRANSLATE(B7857,""en"",""zh-CN"")"),"纸杯蛋糕终于煮熟并放在盘子上享用。")</f>
        <v>纸杯蛋糕终于煮熟并放在盘子上享用。</v>
      </c>
    </row>
    <row r="7858">
      <c r="A7858" s="4" t="s">
        <v>9881</v>
      </c>
      <c r="B7858" s="4" t="s">
        <v>9882</v>
      </c>
      <c r="C7858" s="5" t="str">
        <f>IFERROR(__xludf.DUMMYFUNCTION("GOOGLETRANSLATE(B7858,""en"",""zh-CN"")"),"几张图片显示了指甲闭合，并导致一个人将文字绘画到指甲上。")</f>
        <v>几张图片显示了指甲闭合，并导致一个人将文字绘画到指甲上。</v>
      </c>
    </row>
    <row r="7859">
      <c r="A7859" s="4" t="s">
        <v>9881</v>
      </c>
      <c r="B7859" s="4" t="s">
        <v>9883</v>
      </c>
      <c r="C7859" s="5" t="str">
        <f>IFERROR(__xludf.DUMMYFUNCTION("GOOGLETRANSLATE(B7859,""en"",""zh-CN"")"),"该人展示了指甲油的特写，并继续在指甲上绘画。")</f>
        <v>该人展示了指甲油的特写，并继续在指甲上绘画。</v>
      </c>
    </row>
    <row r="7860">
      <c r="A7860" s="4" t="s">
        <v>9881</v>
      </c>
      <c r="B7860" s="4" t="s">
        <v>9884</v>
      </c>
      <c r="C7860" s="5" t="str">
        <f>IFERROR(__xludf.DUMMYFUNCTION("GOOGLETRANSLATE(B7860,""en"",""zh-CN"")"),"女人完成了她的设计，并展示了另一张指甲照片。")</f>
        <v>女人完成了她的设计，并展示了另一张指甲照片。</v>
      </c>
    </row>
    <row r="7861">
      <c r="A7861" s="4" t="s">
        <v>9885</v>
      </c>
      <c r="B7861" s="4" t="s">
        <v>9886</v>
      </c>
      <c r="C7861" s="5" t="str">
        <f>IFERROR(__xludf.DUMMYFUNCTION("GOOGLETRANSLATE(B7861,""en"",""zh-CN"")"),"一个人坐在皮划艇中，将桨握在河里，展示如何正确使用它。")</f>
        <v>一个人坐在皮划艇中，将桨握在河里，展示如何正确使用它。</v>
      </c>
    </row>
    <row r="7862">
      <c r="A7862" s="4" t="s">
        <v>9885</v>
      </c>
      <c r="B7862" s="4" t="s">
        <v>9887</v>
      </c>
      <c r="C7862" s="5" t="str">
        <f>IFERROR(__xludf.DUMMYFUNCTION("GOOGLETRANSLATE(B7862,""en"",""zh-CN"")"),"该男子靠在他的皮划艇上，以展示平衡技术。")</f>
        <v>该男子靠在他的皮划艇上，以展示平衡技术。</v>
      </c>
    </row>
    <row r="7863">
      <c r="A7863" s="4" t="s">
        <v>9885</v>
      </c>
      <c r="B7863" s="6" t="s">
        <v>9888</v>
      </c>
      <c r="C7863" s="5" t="str">
        <f>IFERROR(__xludf.DUMMYFUNCTION("GOOGLETRANSLATE(B7863,""en"",""zh-CN"")"),"皮划艇骑手在水下掉下的白色洗涤物中​​划水，然后再次翻转，然后再次权利。")</f>
        <v>皮划艇骑手在水下掉下的白色洗涤物中​​划水，然后再次翻转，然后再次权利。</v>
      </c>
    </row>
    <row r="7864">
      <c r="A7864" s="4" t="s">
        <v>9889</v>
      </c>
      <c r="B7864" s="4" t="s">
        <v>9890</v>
      </c>
      <c r="C7864" s="5" t="str">
        <f>IFERROR(__xludf.DUMMYFUNCTION("GOOGLETRANSLATE(B7864,""en"",""zh-CN"")"),"看到一个男人坐在椅子上行走，并将其放在保龄球巷的中间。")</f>
        <v>看到一个男人坐在椅子上行走，并将其放在保龄球巷的中间。</v>
      </c>
    </row>
    <row r="7865">
      <c r="A7865" s="4" t="s">
        <v>9889</v>
      </c>
      <c r="B7865" s="4" t="s">
        <v>9891</v>
      </c>
      <c r="C7865" s="5" t="str">
        <f>IFERROR(__xludf.DUMMYFUNCTION("GOOGLETRANSLATE(B7865,""en"",""zh-CN"")"),"他高高地击败了观众，将球扔到椅子上，并击中了所有销钉。")</f>
        <v>他高高地击败了观众，将球扔到椅子上，并击中了所有销钉。</v>
      </c>
    </row>
    <row r="7866">
      <c r="A7866" s="4" t="s">
        <v>9889</v>
      </c>
      <c r="B7866" s="4" t="s">
        <v>9892</v>
      </c>
      <c r="C7866" s="5" t="str">
        <f>IFERROR(__xludf.DUMMYFUNCTION("GOOGLETRANSLATE(B7866,""en"",""zh-CN"")"),"他的同一张镜头几次显示，他坐在椅子上笑着。")</f>
        <v>他的同一张镜头几次显示，他坐在椅子上笑着。</v>
      </c>
    </row>
    <row r="7867">
      <c r="A7867" s="4" t="s">
        <v>9893</v>
      </c>
      <c r="B7867" s="4" t="s">
        <v>9894</v>
      </c>
      <c r="C7867" s="5" t="str">
        <f>IFERROR(__xludf.DUMMYFUNCTION("GOOGLETRANSLATE(B7867,""en"",""zh-CN"")"),"标题页盘中握着带有肖像画的油漆刷。")</f>
        <v>标题页盘中握着带有肖像画的油漆刷。</v>
      </c>
    </row>
    <row r="7868">
      <c r="A7868" s="4" t="s">
        <v>9893</v>
      </c>
      <c r="B7868" s="4" t="s">
        <v>9895</v>
      </c>
      <c r="C7868" s="5" t="str">
        <f>IFERROR(__xludf.DUMMYFUNCTION("GOOGLETRANSLATE(B7868,""en"",""zh-CN"")"),"她旁边拿着另一张照片，将刷子推入油漆中。")</f>
        <v>她旁边拿着另一张照片，将刷子推入油漆中。</v>
      </c>
    </row>
    <row r="7869">
      <c r="A7869" s="4" t="s">
        <v>9893</v>
      </c>
      <c r="B7869" s="4" t="s">
        <v>9896</v>
      </c>
      <c r="C7869" s="5" t="str">
        <f>IFERROR(__xludf.DUMMYFUNCTION("GOOGLETRANSLATE(B7869,""en"",""zh-CN"")"),"然后，她开始绘画图片，并为肖像增添更多颜色。")</f>
        <v>然后，她开始绘画图片，并为肖像增添更多颜色。</v>
      </c>
    </row>
    <row r="7870">
      <c r="A7870" s="4" t="s">
        <v>9897</v>
      </c>
      <c r="B7870" s="6" t="s">
        <v>9898</v>
      </c>
      <c r="C7870" s="5" t="str">
        <f>IFERROR(__xludf.DUMMYFUNCTION("GOOGLETRANSLATE(B7870,""en"",""zh-CN"")"),"看到一大批人在竞技场周围打曲棍球，与冰球一起表演各种技巧。")</f>
        <v>看到一大批人在竞技场周围打曲棍球，与冰球一起表演各种技巧。</v>
      </c>
    </row>
    <row r="7871">
      <c r="A7871" s="4" t="s">
        <v>9897</v>
      </c>
      <c r="B7871" s="6" t="s">
        <v>9899</v>
      </c>
      <c r="C7871" s="5" t="str">
        <f>IFERROR(__xludf.DUMMYFUNCTION("GOOGLETRANSLATE(B7871,""en"",""zh-CN"")"),"当相机从几个侧捕获它们时，这些人继续互相撞到冰球。")</f>
        <v>当相机从几个侧捕获它们时，这些人继续互相撞到冰球。</v>
      </c>
    </row>
    <row r="7872">
      <c r="A7872" s="4" t="s">
        <v>9897</v>
      </c>
      <c r="B7872" s="4" t="s">
        <v>9900</v>
      </c>
      <c r="C7872" s="5" t="str">
        <f>IFERROR(__xludf.DUMMYFUNCTION("GOOGLETRANSLATE(B7872,""en"",""zh-CN"")"),"该男子将冰球推到障碍物上。")</f>
        <v>该男子将冰球推到障碍物上。</v>
      </c>
    </row>
    <row r="7873">
      <c r="A7873" s="4" t="s">
        <v>9901</v>
      </c>
      <c r="B7873" s="6" t="s">
        <v>9902</v>
      </c>
      <c r="C7873" s="5" t="str">
        <f>IFERROR(__xludf.DUMMYFUNCTION("GOOGLETRANSLATE(B7873,""en"",""zh-CN"")"),"首先，有一个屏幕，少量时间，让观众知道该视频的内容。")</f>
        <v>首先，有一个屏幕，少量时间，让观众知道该视频的内容。</v>
      </c>
    </row>
    <row r="7874">
      <c r="A7874" s="4" t="s">
        <v>9901</v>
      </c>
      <c r="B7874" s="4" t="s">
        <v>9903</v>
      </c>
      <c r="C7874" s="5" t="str">
        <f>IFERROR(__xludf.DUMMYFUNCTION("GOOGLETRANSLATE(B7874,""en"",""zh-CN"")"),"然后有一个人在不同的环境中骑不同的马匹，人们看着它们。")</f>
        <v>然后有一个人在不同的环境中骑不同的马匹，人们看着它们。</v>
      </c>
    </row>
    <row r="7875">
      <c r="A7875" s="4" t="s">
        <v>9901</v>
      </c>
      <c r="B7875" s="6" t="s">
        <v>9904</v>
      </c>
      <c r="C7875" s="5" t="str">
        <f>IFERROR(__xludf.DUMMYFUNCTION("GOOGLETRANSLATE(B7875,""en"",""zh-CN"")"),"在第一匹上，这匹马与他背着，他试图跳过木质障碍，但失败了，还有更多的失败。")</f>
        <v>在第一匹上，这匹马与他背着，他试图跳过木质障碍，但失败了，还有更多的失败。</v>
      </c>
    </row>
    <row r="7876">
      <c r="A7876" s="4" t="s">
        <v>9905</v>
      </c>
      <c r="B7876" s="4" t="s">
        <v>9906</v>
      </c>
      <c r="C7876" s="5" t="str">
        <f>IFERROR(__xludf.DUMMYFUNCTION("GOOGLETRANSLATE(B7876,""en"",""zh-CN"")"),"看到一个有卷发的男人以认真的信念在相机上说话。")</f>
        <v>看到一个有卷发的男人以认真的信念在相机上说话。</v>
      </c>
    </row>
    <row r="7877">
      <c r="A7877" s="4" t="s">
        <v>9905</v>
      </c>
      <c r="B7877" s="4" t="s">
        <v>9907</v>
      </c>
      <c r="C7877" s="5" t="str">
        <f>IFERROR(__xludf.DUMMYFUNCTION("GOOGLETRANSLATE(B7877,""en"",""zh-CN"")"),"然后，他用一只狗在框架上刷自己的头发，并炫耀他的头发。")</f>
        <v>然后，他用一只狗在框架上刷自己的头发，并炫耀他的头发。</v>
      </c>
    </row>
    <row r="7878">
      <c r="A7878" s="4" t="s">
        <v>9905</v>
      </c>
      <c r="B7878" s="4" t="s">
        <v>9908</v>
      </c>
      <c r="C7878" s="5" t="str">
        <f>IFERROR(__xludf.DUMMYFUNCTION("GOOGLETRANSLATE(B7878,""en"",""zh-CN"")"),"然后，他再次看到湿的头发，将眼睛闭上眼睛。")</f>
        <v>然后，他再次看到湿的头发，将眼睛闭上眼睛。</v>
      </c>
    </row>
    <row r="7879">
      <c r="A7879" s="4" t="s">
        <v>9909</v>
      </c>
      <c r="B7879" s="4" t="s">
        <v>9910</v>
      </c>
      <c r="C7879" s="5" t="str">
        <f>IFERROR(__xludf.DUMMYFUNCTION("GOOGLETRANSLATE(B7879,""en"",""zh-CN"")"),"一个男人跳到平衡梁上。")</f>
        <v>一个男人跳到平衡梁上。</v>
      </c>
    </row>
    <row r="7880">
      <c r="A7880" s="4" t="s">
        <v>9909</v>
      </c>
      <c r="B7880" s="4" t="s">
        <v>9911</v>
      </c>
      <c r="C7880" s="5" t="str">
        <f>IFERROR(__xludf.DUMMYFUNCTION("GOOGLETRANSLATE(B7880,""en"",""zh-CN"")"),"他们开始在平衡梁上进行体操例程。")</f>
        <v>他们开始在平衡梁上进行体操例程。</v>
      </c>
    </row>
    <row r="7881">
      <c r="A7881" s="4" t="s">
        <v>9909</v>
      </c>
      <c r="B7881" s="4" t="s">
        <v>9912</v>
      </c>
      <c r="C7881" s="5" t="str">
        <f>IFERROR(__xludf.DUMMYFUNCTION("GOOGLETRANSLATE(B7881,""en"",""zh-CN"")"),"他们跳到旁边的垫子上。")</f>
        <v>他们跳到旁边的垫子上。</v>
      </c>
    </row>
    <row r="7882">
      <c r="A7882" s="4" t="s">
        <v>9913</v>
      </c>
      <c r="B7882" s="4" t="s">
        <v>9914</v>
      </c>
      <c r="C7882" s="5" t="str">
        <f>IFERROR(__xludf.DUMMYFUNCTION("GOOGLETRANSLATE(B7882,""en"",""zh-CN"")"),"看到一个人站在绳子上，开始越过绳索。")</f>
        <v>看到一个人站在绳子上，开始越过绳索。</v>
      </c>
    </row>
    <row r="7883">
      <c r="A7883" s="4" t="s">
        <v>9913</v>
      </c>
      <c r="B7883" s="4" t="s">
        <v>9915</v>
      </c>
      <c r="C7883" s="5" t="str">
        <f>IFERROR(__xludf.DUMMYFUNCTION("GOOGLETRANSLATE(B7883,""en"",""zh-CN"")"),"当相机捕捉他的动作时，该男子继续行走。")</f>
        <v>当相机捕捉他的动作时，该男子继续行走。</v>
      </c>
    </row>
    <row r="7884">
      <c r="A7884" s="4" t="s">
        <v>9913</v>
      </c>
      <c r="B7884" s="4" t="s">
        <v>9916</v>
      </c>
      <c r="C7884" s="5" t="str">
        <f>IFERROR(__xludf.DUMMYFUNCTION("GOOGLETRANSLATE(B7884,""en"",""zh-CN"")"),"他一直沿着绳子走到尽头，跳下。")</f>
        <v>他一直沿着绳子走到尽头，跳下。</v>
      </c>
    </row>
    <row r="7885">
      <c r="A7885" s="4" t="s">
        <v>9917</v>
      </c>
      <c r="B7885" s="4" t="s">
        <v>9918</v>
      </c>
      <c r="C7885" s="5" t="str">
        <f>IFERROR(__xludf.DUMMYFUNCTION("GOOGLETRANSLATE(B7885,""en"",""zh-CN"")"),"在周围的摄像头铺设的情况下，显示了门廊的特写。")</f>
        <v>在周围的摄像头铺设的情况下，显示了门廊的特写。</v>
      </c>
    </row>
    <row r="7886">
      <c r="A7886" s="4" t="s">
        <v>9917</v>
      </c>
      <c r="B7886" s="4" t="s">
        <v>9919</v>
      </c>
      <c r="C7886" s="5" t="str">
        <f>IFERROR(__xludf.DUMMYFUNCTION("GOOGLETRANSLATE(B7886,""en"",""zh-CN"")"),"相机走到门廊的尽头。")</f>
        <v>相机走到门廊的尽头。</v>
      </c>
    </row>
    <row r="7887">
      <c r="A7887" s="4" t="s">
        <v>9917</v>
      </c>
      <c r="B7887" s="4" t="s">
        <v>9920</v>
      </c>
      <c r="C7887" s="5" t="str">
        <f>IFERROR(__xludf.DUMMYFUNCTION("GOOGLETRANSLATE(B7887,""en"",""zh-CN"")"),"相机在仍在看门廊的同时转身。")</f>
        <v>相机在仍在看门廊的同时转身。</v>
      </c>
    </row>
    <row r="7888">
      <c r="A7888" s="4" t="s">
        <v>9921</v>
      </c>
      <c r="B7888" s="4" t="s">
        <v>9922</v>
      </c>
      <c r="C7888" s="5" t="str">
        <f>IFERROR(__xludf.DUMMYFUNCTION("GOOGLETRANSLATE(B7888,""en"",""zh-CN"")"),"孩子们在海滩上玩。")</f>
        <v>孩子们在海滩上玩。</v>
      </c>
    </row>
    <row r="7889">
      <c r="A7889" s="4" t="s">
        <v>9921</v>
      </c>
      <c r="B7889" s="4" t="s">
        <v>9923</v>
      </c>
      <c r="C7889" s="5" t="str">
        <f>IFERROR(__xludf.DUMMYFUNCTION("GOOGLETRANSLATE(B7889,""en"",""zh-CN"")"),"他们正在建造一座沙堡。")</f>
        <v>他们正在建造一座沙堡。</v>
      </c>
    </row>
    <row r="7890">
      <c r="A7890" s="4" t="s">
        <v>9921</v>
      </c>
      <c r="B7890" s="4" t="s">
        <v>9924</v>
      </c>
      <c r="C7890" s="5" t="str">
        <f>IFERROR(__xludf.DUMMYFUNCTION("GOOGLETRANSLATE(B7890,""en"",""zh-CN"")"),"一个女孩在她面前倾倒一个装满沙子的水桶。")</f>
        <v>一个女孩在她面前倾倒一个装满沙子的水桶。</v>
      </c>
    </row>
    <row r="7891">
      <c r="A7891" s="4" t="s">
        <v>9925</v>
      </c>
      <c r="B7891" s="4" t="s">
        <v>9926</v>
      </c>
      <c r="C7891" s="5" t="str">
        <f>IFERROR(__xludf.DUMMYFUNCTION("GOOGLETRANSLATE(B7891,""en"",""zh-CN"")"),"一个戴着帽子的男人正在和相机交谈。")</f>
        <v>一个戴着帽子的男人正在和相机交谈。</v>
      </c>
    </row>
    <row r="7892">
      <c r="A7892" s="4" t="s">
        <v>9925</v>
      </c>
      <c r="B7892" s="4" t="s">
        <v>9927</v>
      </c>
      <c r="C7892" s="5" t="str">
        <f>IFERROR(__xludf.DUMMYFUNCTION("GOOGLETRANSLATE(B7892,""en"",""zh-CN"")"),"他穿着相扑摔跤的衣服打扮，玩冰壶。")</f>
        <v>他穿着相扑摔跤的衣服打扮，玩冰壶。</v>
      </c>
    </row>
    <row r="7893">
      <c r="A7893" s="4" t="s">
        <v>9925</v>
      </c>
      <c r="B7893" s="4" t="s">
        <v>9928</v>
      </c>
      <c r="C7893" s="5" t="str">
        <f>IFERROR(__xludf.DUMMYFUNCTION("GOOGLETRANSLATE(B7893,""en"",""zh-CN"")"),"他正在网球场打网球。")</f>
        <v>他正在网球场打网球。</v>
      </c>
    </row>
    <row r="7894">
      <c r="A7894" s="4" t="s">
        <v>9929</v>
      </c>
      <c r="B7894" s="4" t="s">
        <v>9930</v>
      </c>
      <c r="C7894" s="5" t="str">
        <f>IFERROR(__xludf.DUMMYFUNCTION("GOOGLETRANSLATE(B7894,""en"",""zh-CN"")"),"从摩天大楼可以看到城市景观。")</f>
        <v>从摩天大楼可以看到城市景观。</v>
      </c>
    </row>
    <row r="7895">
      <c r="A7895" s="4" t="s">
        <v>9929</v>
      </c>
      <c r="B7895" s="4" t="s">
        <v>9931</v>
      </c>
      <c r="C7895" s="5" t="str">
        <f>IFERROR(__xludf.DUMMYFUNCTION("GOOGLETRANSLATE(B7895,""en"",""zh-CN"")"),"显示了两个男人在建筑物侧面清洁窗户。")</f>
        <v>显示了两个男人在建筑物侧面清洁窗户。</v>
      </c>
    </row>
    <row r="7896">
      <c r="A7896" s="4" t="s">
        <v>9929</v>
      </c>
      <c r="B7896" s="4" t="s">
        <v>9932</v>
      </c>
      <c r="C7896" s="5" t="str">
        <f>IFERROR(__xludf.DUMMYFUNCTION("GOOGLETRANSLATE(B7896,""en"",""zh-CN"")"),"他们挤压并专业地擦拭玻璃杯。")</f>
        <v>他们挤压并专业地擦拭玻璃杯。</v>
      </c>
    </row>
    <row r="7897">
      <c r="A7897" s="4" t="s">
        <v>9929</v>
      </c>
      <c r="B7897" s="4" t="s">
        <v>9933</v>
      </c>
      <c r="C7897" s="5" t="str">
        <f>IFERROR(__xludf.DUMMYFUNCTION("GOOGLETRANSLATE(B7897,""en"",""zh-CN"")"),"然后，他们在完成之前检查工作。")</f>
        <v>然后，他们在完成之前检查工作。</v>
      </c>
    </row>
    <row r="7898">
      <c r="A7898" s="4" t="s">
        <v>9934</v>
      </c>
      <c r="B7898" s="4" t="s">
        <v>9935</v>
      </c>
      <c r="C7898" s="5" t="str">
        <f>IFERROR(__xludf.DUMMYFUNCTION("GOOGLETRANSLATE(B7898,""en"",""zh-CN"")"),"公园上方的天空中有一些鹅飞。")</f>
        <v>公园上方的天空中有一些鹅飞。</v>
      </c>
    </row>
    <row r="7899">
      <c r="A7899" s="4" t="s">
        <v>9934</v>
      </c>
      <c r="B7899" s="4" t="s">
        <v>9936</v>
      </c>
      <c r="C7899" s="5" t="str">
        <f>IFERROR(__xludf.DUMMYFUNCTION("GOOGLETRANSLATE(B7899,""en"",""zh-CN"")"),"一个男人正在用麦克风说话，因为有些人在公园里踢板球。")</f>
        <v>一个男人正在用麦克风说话，因为有些人在公园里踢板球。</v>
      </c>
    </row>
    <row r="7900">
      <c r="A7900" s="4" t="s">
        <v>9934</v>
      </c>
      <c r="B7900" s="6" t="s">
        <v>9937</v>
      </c>
      <c r="C7900" s="5" t="str">
        <f>IFERROR(__xludf.DUMMYFUNCTION("GOOGLETRANSLATE(B7900,""en"",""zh-CN"")"),"这是晴天，鹅在公园周围漫步，人们享受一场随便的板球比赛。")</f>
        <v>这是晴天，鹅在公园周围漫步，人们享受一场随便的板球比赛。</v>
      </c>
    </row>
    <row r="7901">
      <c r="A7901" s="4" t="s">
        <v>9934</v>
      </c>
      <c r="B7901" s="4" t="s">
        <v>9938</v>
      </c>
      <c r="C7901" s="5" t="str">
        <f>IFERROR(__xludf.DUMMYFUNCTION("GOOGLETRANSLATE(B7901,""en"",""zh-CN"")"),"有一个男人用他的板球球拍打球，另一个人试图抓住球。")</f>
        <v>有一个男人用他的板球球拍打球，另一个人试图抓住球。</v>
      </c>
    </row>
    <row r="7902">
      <c r="A7902" s="4" t="s">
        <v>9934</v>
      </c>
      <c r="B7902" s="4" t="s">
        <v>9939</v>
      </c>
      <c r="C7902" s="5" t="str">
        <f>IFERROR(__xludf.DUMMYFUNCTION("GOOGLETRANSLATE(B7902,""en"",""zh-CN"")"),"一只松鼠坐在公园长凳上，也享受阳光。")</f>
        <v>一只松鼠坐在公园长凳上，也享受阳光。</v>
      </c>
    </row>
    <row r="7903">
      <c r="A7903" s="4" t="s">
        <v>9940</v>
      </c>
      <c r="B7903" s="4" t="s">
        <v>9941</v>
      </c>
      <c r="C7903" s="5" t="str">
        <f>IFERROR(__xludf.DUMMYFUNCTION("GOOGLETRANSLATE(B7903,""en"",""zh-CN"")"),"看到一个男人在镜头前弹萨克斯管，并导致他说话。")</f>
        <v>看到一个男人在镜头前弹萨克斯管，并导致他说话。</v>
      </c>
    </row>
    <row r="7904">
      <c r="A7904" s="4" t="s">
        <v>9940</v>
      </c>
      <c r="B7904" s="4" t="s">
        <v>9942</v>
      </c>
      <c r="C7904" s="5" t="str">
        <f>IFERROR(__xludf.DUMMYFUNCTION("GOOGLETRANSLATE(B7904,""en"",""zh-CN"")"),"显示了他在弹奏乐器的同时弹奏更多演奏的更多镜头。")</f>
        <v>显示了他在弹奏乐器的同时弹奏更多演奏的更多镜头。</v>
      </c>
    </row>
    <row r="7905">
      <c r="A7905" s="4" t="s">
        <v>9940</v>
      </c>
      <c r="B7905" s="4" t="s">
        <v>9943</v>
      </c>
      <c r="C7905" s="5" t="str">
        <f>IFERROR(__xludf.DUMMYFUNCTION("GOOGLETRANSLATE(B7905,""en"",""zh-CN"")"),"他继续演奏并通过微笑着相机结束。")</f>
        <v>他继续演奏并通过微笑着相机结束。</v>
      </c>
    </row>
    <row r="7906">
      <c r="A7906" s="4" t="s">
        <v>9944</v>
      </c>
      <c r="B7906" s="4" t="s">
        <v>9945</v>
      </c>
      <c r="C7906" s="5" t="str">
        <f>IFERROR(__xludf.DUMMYFUNCTION("GOOGLETRANSLATE(B7906,""en"",""zh-CN"")"),"几个人在照片中显示，聚集在雪中的冬季装备中。")</f>
        <v>几个人在照片中显示，聚集在雪中的冬季装备中。</v>
      </c>
    </row>
    <row r="7907">
      <c r="A7907" s="4" t="s">
        <v>9944</v>
      </c>
      <c r="B7907" s="4" t="s">
        <v>9946</v>
      </c>
      <c r="C7907" s="5" t="str">
        <f>IFERROR(__xludf.DUMMYFUNCTION("GOOGLETRANSLATE(B7907,""en"",""zh-CN"")"),"他们一起在小山上乘坐交织，互相笑着聊天。")</f>
        <v>他们一起在小山上乘坐交织，互相笑着聊天。</v>
      </c>
    </row>
    <row r="7908">
      <c r="A7908" s="4" t="s">
        <v>9944</v>
      </c>
      <c r="B7908" s="4" t="s">
        <v>9947</v>
      </c>
      <c r="C7908" s="5" t="str">
        <f>IFERROR(__xludf.DUMMYFUNCTION("GOOGLETRANSLATE(B7908,""en"",""zh-CN"")"),"然后在庆祝照片之后展示它们，一起摆姿势。")</f>
        <v>然后在庆祝照片之后展示它们，一起摆姿势。</v>
      </c>
    </row>
    <row r="7909">
      <c r="A7909" s="4" t="s">
        <v>9948</v>
      </c>
      <c r="B7909" s="4" t="s">
        <v>9949</v>
      </c>
      <c r="C7909" s="5" t="str">
        <f>IFERROR(__xludf.DUMMYFUNCTION("GOOGLETRANSLATE(B7909,""en"",""zh-CN"")"),"一个十字架以水池中水下的瓷砖方式出现。")</f>
        <v>一个十字架以水池中水下的瓷砖方式出现。</v>
      </c>
    </row>
    <row r="7910">
      <c r="A7910" s="4" t="s">
        <v>9948</v>
      </c>
      <c r="B7910" s="4" t="s">
        <v>9950</v>
      </c>
      <c r="C7910" s="5" t="str">
        <f>IFERROR(__xludf.DUMMYFUNCTION("GOOGLETRANSLATE(B7910,""en"",""zh-CN"")"),"一个穿着游泳帽的男人朝着相机游泳。")</f>
        <v>一个穿着游泳帽的男人朝着相机游泳。</v>
      </c>
    </row>
    <row r="7911">
      <c r="A7911" s="4" t="s">
        <v>9948</v>
      </c>
      <c r="B7911" s="4" t="s">
        <v>9951</v>
      </c>
      <c r="C7911" s="5" t="str">
        <f>IFERROR(__xludf.DUMMYFUNCTION("GOOGLETRANSLATE(B7911,""en"",""zh-CN"")"),"他从许多角度向他展示了游泳。")</f>
        <v>他从许多角度向他展示了游泳。</v>
      </c>
    </row>
    <row r="7912">
      <c r="A7912" s="4" t="s">
        <v>9952</v>
      </c>
      <c r="B7912" s="4" t="s">
        <v>9953</v>
      </c>
      <c r="C7912" s="5" t="str">
        <f>IFERROR(__xludf.DUMMYFUNCTION("GOOGLETRANSLATE(B7912,""en"",""zh-CN"")"),"两个人穿着全黑的衣服，骑自行车在路上。")</f>
        <v>两个人穿着全黑的衣服，骑自行车在路上。</v>
      </c>
    </row>
    <row r="7913">
      <c r="A7913" s="4" t="s">
        <v>9952</v>
      </c>
      <c r="B7913" s="4" t="s">
        <v>9954</v>
      </c>
      <c r="C7913" s="5" t="str">
        <f>IFERROR(__xludf.DUMMYFUNCTION("GOOGLETRANSLATE(B7913,""en"",""zh-CN"")"),"然后将两个男孩在彼此的拆分屏幕上拍摄，戴着头盔。")</f>
        <v>然后将两个男孩在彼此的拆分屏幕上拍摄，戴着头盔。</v>
      </c>
    </row>
    <row r="7914">
      <c r="A7914" s="4" t="s">
        <v>9952</v>
      </c>
      <c r="B7914" s="4" t="s">
        <v>9955</v>
      </c>
      <c r="C7914" s="5" t="str">
        <f>IFERROR(__xludf.DUMMYFUNCTION("GOOGLETRANSLATE(B7914,""en"",""zh-CN"")"),"然后，两者戴上绿色的骑自行车手套，然后骑自行车。")</f>
        <v>然后，两者戴上绿色的骑自行车手套，然后骑自行车。</v>
      </c>
    </row>
    <row r="7915">
      <c r="A7915" s="4" t="s">
        <v>9952</v>
      </c>
      <c r="B7915" s="4" t="s">
        <v>9956</v>
      </c>
      <c r="C7915" s="5" t="str">
        <f>IFERROR(__xludf.DUMMYFUNCTION("GOOGLETRANSLATE(B7915,""en"",""zh-CN"")"),"然后显示一个滑板公园，其中一个男孩开始在颠簸上做技巧。")</f>
        <v>然后显示一个滑板公园，其中一个男孩开始在颠簸上做技巧。</v>
      </c>
    </row>
    <row r="7916">
      <c r="A7916" s="4" t="s">
        <v>9952</v>
      </c>
      <c r="B7916" s="4" t="s">
        <v>9957</v>
      </c>
      <c r="C7916" s="5" t="str">
        <f>IFERROR(__xludf.DUMMYFUNCTION("GOOGLETRANSLATE(B7916,""en"",""zh-CN"")"),"完成后，自行车走过去，男孩们开始握手。")</f>
        <v>完成后，自行车走过去，男孩们开始握手。</v>
      </c>
    </row>
    <row r="7917">
      <c r="A7917" s="4" t="s">
        <v>9952</v>
      </c>
      <c r="B7917" s="4" t="s">
        <v>9958</v>
      </c>
      <c r="C7917" s="5" t="str">
        <f>IFERROR(__xludf.DUMMYFUNCTION("GOOGLETRANSLATE(B7917,""en"",""zh-CN"")"),"技巧继续下来，他们不断跳跃并在山上做技巧。")</f>
        <v>技巧继续下来，他们不断跳跃并在山上做技巧。</v>
      </c>
    </row>
    <row r="7918">
      <c r="A7918" s="4" t="s">
        <v>9959</v>
      </c>
      <c r="B7918" s="4" t="s">
        <v>9960</v>
      </c>
      <c r="C7918" s="5" t="str">
        <f>IFERROR(__xludf.DUMMYFUNCTION("GOOGLETRANSLATE(B7918,""en"",""zh-CN"")"),"当讲师走出去时，人们在室内健身房里等待。")</f>
        <v>当讲师走出去时，人们在室内健身房里等待。</v>
      </c>
    </row>
    <row r="7919">
      <c r="A7919" s="4" t="s">
        <v>9959</v>
      </c>
      <c r="B7919" s="4" t="s">
        <v>9961</v>
      </c>
      <c r="C7919" s="5" t="str">
        <f>IFERROR(__xludf.DUMMYFUNCTION("GOOGLETRANSLATE(B7919,""en"",""zh-CN"")"),"该类使用黑框开始stepercize类。")</f>
        <v>该类使用黑框开始stepercize类。</v>
      </c>
    </row>
    <row r="7920">
      <c r="A7920" s="4" t="s">
        <v>9959</v>
      </c>
      <c r="B7920" s="4" t="s">
        <v>9962</v>
      </c>
      <c r="C7920" s="5" t="str">
        <f>IFERROR(__xludf.DUMMYFUNCTION("GOOGLETRANSLATE(B7920,""en"",""zh-CN"")"),"班级挥舞着手臂结束，教练走开了。")</f>
        <v>班级挥舞着手臂结束，教练走开了。</v>
      </c>
    </row>
    <row r="7921">
      <c r="A7921" s="4" t="s">
        <v>9963</v>
      </c>
      <c r="B7921" s="4" t="s">
        <v>9964</v>
      </c>
      <c r="C7921" s="5" t="str">
        <f>IFERROR(__xludf.DUMMYFUNCTION("GOOGLETRANSLATE(B7921,""en"",""zh-CN"")"),"看到两个男人的手臂互相摔跤，同时将手臂伸向两侧。")</f>
        <v>看到两个男人的手臂互相摔跤，同时将手臂伸向两侧。</v>
      </c>
    </row>
    <row r="7922">
      <c r="A7922" s="4" t="s">
        <v>9963</v>
      </c>
      <c r="B7922" s="4" t="s">
        <v>9965</v>
      </c>
      <c r="C7922" s="5" t="str">
        <f>IFERROR(__xludf.DUMMYFUNCTION("GOOGLETRANSLATE(B7922,""en"",""zh-CN"")"),"他们继续重新开始，直到其中一个最终获胜。")</f>
        <v>他们继续重新开始，直到其中一个最终获胜。</v>
      </c>
    </row>
    <row r="7923">
      <c r="A7923" s="4" t="s">
        <v>9966</v>
      </c>
      <c r="B7923" s="4" t="s">
        <v>9967</v>
      </c>
      <c r="C7923" s="5" t="str">
        <f>IFERROR(__xludf.DUMMYFUNCTION("GOOGLETRANSLATE(B7923,""en"",""zh-CN"")"),"一个人站在篮球目标下。")</f>
        <v>一个人站在篮球目标下。</v>
      </c>
    </row>
    <row r="7924">
      <c r="A7924" s="4" t="s">
        <v>9966</v>
      </c>
      <c r="B7924" s="4" t="s">
        <v>9968</v>
      </c>
      <c r="C7924" s="5" t="str">
        <f>IFERROR(__xludf.DUMMYFUNCTION("GOOGLETRANSLATE(B7924,""en"",""zh-CN"")"),"一群男孩正在听教练。")</f>
        <v>一群男孩正在听教练。</v>
      </c>
    </row>
    <row r="7925">
      <c r="A7925" s="4" t="s">
        <v>9966</v>
      </c>
      <c r="B7925" s="4" t="s">
        <v>9969</v>
      </c>
      <c r="C7925" s="5" t="str">
        <f>IFERROR(__xludf.DUMMYFUNCTION("GOOGLETRANSLATE(B7925,""en"",""zh-CN"")"),"他们开始通过铺设开始热身。")</f>
        <v>他们开始通过铺设开始热身。</v>
      </c>
    </row>
    <row r="7926">
      <c r="A7926" s="4" t="s">
        <v>9966</v>
      </c>
      <c r="B7926" s="4" t="s">
        <v>9970</v>
      </c>
      <c r="C7926" s="5" t="str">
        <f>IFERROR(__xludf.DUMMYFUNCTION("GOOGLETRANSLATE(B7926,""en"",""zh-CN"")"),"男孩们排队，准备玩游戏。")</f>
        <v>男孩们排队，准备玩游戏。</v>
      </c>
    </row>
    <row r="7927">
      <c r="A7927" s="4" t="s">
        <v>9971</v>
      </c>
      <c r="B7927" s="4" t="s">
        <v>9972</v>
      </c>
      <c r="C7927" s="5" t="str">
        <f>IFERROR(__xludf.DUMMYFUNCTION("GOOGLETRANSLATE(B7927,""en"",""zh-CN"")"),"人们在湖水中被船拉动。")</f>
        <v>人们在湖水中被船拉动。</v>
      </c>
    </row>
    <row r="7928">
      <c r="A7928" s="4" t="s">
        <v>9971</v>
      </c>
      <c r="B7928" s="4" t="s">
        <v>9973</v>
      </c>
      <c r="C7928" s="5" t="str">
        <f>IFERROR(__xludf.DUMMYFUNCTION("GOOGLETRANSLATE(B7928,""en"",""zh-CN"")"),"许多人站在码头上观看滑水比赛。")</f>
        <v>许多人站在码头上观看滑水比赛。</v>
      </c>
    </row>
    <row r="7929">
      <c r="A7929" s="4" t="s">
        <v>9971</v>
      </c>
      <c r="B7929" s="4" t="s">
        <v>9974</v>
      </c>
      <c r="C7929" s="5" t="str">
        <f>IFERROR(__xludf.DUMMYFUNCTION("GOOGLETRANSLATE(B7929,""en"",""zh-CN"")"),"人们穿着冬衣在码头上行走。")</f>
        <v>人们穿着冬衣在码头上行走。</v>
      </c>
    </row>
    <row r="7930">
      <c r="A7930" s="4" t="s">
        <v>9975</v>
      </c>
      <c r="B7930" s="4" t="s">
        <v>9976</v>
      </c>
      <c r="C7930" s="5" t="str">
        <f>IFERROR(__xludf.DUMMYFUNCTION("GOOGLETRANSLATE(B7930,""en"",""zh-CN"")"),"有一个女人，只有短裤和一件T恤。")</f>
        <v>有一个女人，只有短裤和一件T恤。</v>
      </c>
    </row>
    <row r="7931">
      <c r="A7931" s="4" t="s">
        <v>9975</v>
      </c>
      <c r="B7931" s="4" t="s">
        <v>9977</v>
      </c>
      <c r="C7931" s="5" t="str">
        <f>IFERROR(__xludf.DUMMYFUNCTION("GOOGLETRANSLATE(B7931,""en"",""zh-CN"")"),"她坐在岩石上，一边洗完河里的衣服。")</f>
        <v>她坐在岩石上，一边洗完河里的衣服。</v>
      </c>
    </row>
    <row r="7932">
      <c r="A7932" s="4" t="s">
        <v>9978</v>
      </c>
      <c r="B7932" s="4" t="s">
        <v>9979</v>
      </c>
      <c r="C7932" s="5" t="str">
        <f>IFERROR(__xludf.DUMMYFUNCTION("GOOGLETRANSLATE(B7932,""en"",""zh-CN"")"),"有人在带红球的车道上的保龄球馆里。")</f>
        <v>有人在带红球的车道上的保龄球馆里。</v>
      </c>
    </row>
    <row r="7933">
      <c r="A7933" s="4" t="s">
        <v>9978</v>
      </c>
      <c r="B7933" s="4" t="s">
        <v>9980</v>
      </c>
      <c r="C7933" s="5" t="str">
        <f>IFERROR(__xludf.DUMMYFUNCTION("GOOGLETRANSLATE(B7933,""en"",""zh-CN"")"),"他把球扔了，脚向上，球滚动以击中别针。")</f>
        <v>他把球扔了，脚向上，球滚动以击中别针。</v>
      </c>
    </row>
    <row r="7934">
      <c r="A7934" s="4" t="s">
        <v>9978</v>
      </c>
      <c r="B7934" s="4" t="s">
        <v>9981</v>
      </c>
      <c r="C7934" s="5" t="str">
        <f>IFERROR(__xludf.DUMMYFUNCTION("GOOGLETRANSLATE(B7934,""en"",""zh-CN"")"),"多人轮流采取相同的立场，或多或少。")</f>
        <v>多人轮流采取相同的立场，或多或少。</v>
      </c>
    </row>
    <row r="7935">
      <c r="A7935" s="4" t="s">
        <v>9978</v>
      </c>
      <c r="B7935" s="4" t="s">
        <v>9982</v>
      </c>
      <c r="C7935" s="5" t="str">
        <f>IFERROR(__xludf.DUMMYFUNCTION("GOOGLETRANSLATE(B7935,""en"",""zh-CN"")"),"您永远不会看到球击中了大家只扔球。")</f>
        <v>您永远不会看到球击中了大家只扔球。</v>
      </c>
    </row>
    <row r="7936">
      <c r="A7936" s="4" t="s">
        <v>9983</v>
      </c>
      <c r="B7936" s="4" t="s">
        <v>9984</v>
      </c>
      <c r="C7936" s="5" t="str">
        <f>IFERROR(__xludf.DUMMYFUNCTION("GOOGLETRANSLATE(B7936,""en"",""zh-CN"")"),"一名摄影师沿着一条白雪皑皑的车道走，捕捉一个小孩铲雪。")</f>
        <v>一名摄影师沿着一条白雪皑皑的车道走，捕捉一个小孩铲雪。</v>
      </c>
    </row>
    <row r="7937">
      <c r="A7937" s="4" t="s">
        <v>9983</v>
      </c>
      <c r="B7937" s="4" t="s">
        <v>9985</v>
      </c>
      <c r="C7937" s="5" t="str">
        <f>IFERROR(__xludf.DUMMYFUNCTION("GOOGLETRANSLATE(B7937,""en"",""zh-CN"")"),"这个男孩向相机说话，并继续用铲子将雪推到周围。")</f>
        <v>这个男孩向相机说话，并继续用铲子将雪推到周围。</v>
      </c>
    </row>
    <row r="7938">
      <c r="A7938" s="4" t="s">
        <v>9986</v>
      </c>
      <c r="B7938" s="4" t="s">
        <v>9987</v>
      </c>
      <c r="C7938" s="5" t="str">
        <f>IFERROR(__xludf.DUMMYFUNCTION("GOOGLETRANSLATE(B7938,""en"",""zh-CN"")"),"五个女人在一个房间里跳舞。")</f>
        <v>五个女人在一个房间里跳舞。</v>
      </c>
    </row>
    <row r="7939">
      <c r="A7939" s="4" t="s">
        <v>9986</v>
      </c>
      <c r="B7939" s="4" t="s">
        <v>9988</v>
      </c>
      <c r="C7939" s="5" t="str">
        <f>IFERROR(__xludf.DUMMYFUNCTION("GOOGLETRANSLATE(B7939,""en"",""zh-CN"")"),"他们四处跳舞。")</f>
        <v>他们四处跳舞。</v>
      </c>
    </row>
    <row r="7940">
      <c r="A7940" s="4" t="s">
        <v>9986</v>
      </c>
      <c r="B7940" s="4" t="s">
        <v>9989</v>
      </c>
      <c r="C7940" s="5" t="str">
        <f>IFERROR(__xludf.DUMMYFUNCTION("GOOGLETRANSLATE(B7940,""en"",""zh-CN"")"),"他们继续在房间里一起跳舞。")</f>
        <v>他们继续在房间里一起跳舞。</v>
      </c>
    </row>
    <row r="7941">
      <c r="A7941" s="4" t="s">
        <v>9990</v>
      </c>
      <c r="B7941" s="4" t="s">
        <v>9991</v>
      </c>
      <c r="C7941" s="5" t="str">
        <f>IFERROR(__xludf.DUMMYFUNCTION("GOOGLETRANSLATE(B7941,""en"",""zh-CN"")"),"一个戴着手套的女人在水槽前。")</f>
        <v>一个戴着手套的女人在水槽前。</v>
      </c>
    </row>
    <row r="7942">
      <c r="A7942" s="4" t="s">
        <v>9990</v>
      </c>
      <c r="B7942" s="4" t="s">
        <v>9992</v>
      </c>
      <c r="C7942" s="5" t="str">
        <f>IFERROR(__xludf.DUMMYFUNCTION("GOOGLETRANSLATE(B7942,""en"",""zh-CN"")"),"她用清洁解决方案将其喷洒。")</f>
        <v>她用清洁解决方案将其喷洒。</v>
      </c>
    </row>
    <row r="7943">
      <c r="A7943" s="4" t="s">
        <v>9990</v>
      </c>
      <c r="B7943" s="4" t="s">
        <v>9993</v>
      </c>
      <c r="C7943" s="5" t="str">
        <f>IFERROR(__xludf.DUMMYFUNCTION("GOOGLETRANSLATE(B7943,""en"",""zh-CN"")"),"然后，她擦洗水槽直到干净。")</f>
        <v>然后，她擦洗水槽直到干净。</v>
      </c>
    </row>
    <row r="7944">
      <c r="A7944" s="4" t="s">
        <v>9994</v>
      </c>
      <c r="B7944" s="4" t="s">
        <v>9995</v>
      </c>
      <c r="C7944" s="5" t="str">
        <f>IFERROR(__xludf.DUMMYFUNCTION("GOOGLETRANSLATE(B7944,""en"",""zh-CN"")"),"一个人站在镜头前，然后开始向前梳头。")</f>
        <v>一个人站在镜头前，然后开始向前梳头。</v>
      </c>
    </row>
    <row r="7945">
      <c r="A7945" s="4" t="s">
        <v>9994</v>
      </c>
      <c r="B7945" s="4" t="s">
        <v>9996</v>
      </c>
      <c r="C7945" s="5" t="str">
        <f>IFERROR(__xludf.DUMMYFUNCTION("GOOGLETRANSLATE(B7945,""en"",""zh-CN"")"),"然后，他专注于头发的侧面和背面，再次梳理。")</f>
        <v>然后，他专注于头发的侧面和背面，再次梳理。</v>
      </c>
    </row>
    <row r="7946">
      <c r="A7946" s="4" t="s">
        <v>9994</v>
      </c>
      <c r="B7946" s="4" t="s">
        <v>9997</v>
      </c>
      <c r="C7946" s="5" t="str">
        <f>IFERROR(__xludf.DUMMYFUNCTION("GOOGLETRANSLATE(B7946,""en"",""zh-CN"")"),"他将刷子全部带到头发上，加上左手滑动。")</f>
        <v>他将刷子全部带到头发上，加上左手滑动。</v>
      </c>
    </row>
    <row r="7947">
      <c r="A7947" s="4" t="s">
        <v>9998</v>
      </c>
      <c r="B7947" s="4" t="s">
        <v>9999</v>
      </c>
      <c r="C7947" s="5" t="str">
        <f>IFERROR(__xludf.DUMMYFUNCTION("GOOGLETRANSLATE(B7947,""en"",""zh-CN"")"),"我们看到一个男人调整相机并摇动头发。")</f>
        <v>我们看到一个男人调整相机并摇动头发。</v>
      </c>
    </row>
    <row r="7948">
      <c r="A7948" s="4" t="s">
        <v>9998</v>
      </c>
      <c r="B7948" s="4" t="s">
        <v>10000</v>
      </c>
      <c r="C7948" s="5" t="str">
        <f>IFERROR(__xludf.DUMMYFUNCTION("GOOGLETRANSLATE(B7948,""en"",""zh-CN"")"),"我们在屏幕上看到评论。")</f>
        <v>我们在屏幕上看到评论。</v>
      </c>
    </row>
    <row r="7949">
      <c r="A7949" s="4" t="s">
        <v>9998</v>
      </c>
      <c r="B7949" s="4" t="s">
        <v>10001</v>
      </c>
      <c r="C7949" s="5" t="str">
        <f>IFERROR(__xludf.DUMMYFUNCTION("GOOGLETRANSLATE(B7949,""en"",""zh-CN"")"),"图像是彩色的，男人吹着他的头发。")</f>
        <v>图像是彩色的，男人吹着他的头发。</v>
      </c>
    </row>
    <row r="7950">
      <c r="A7950" s="4" t="s">
        <v>9998</v>
      </c>
      <c r="B7950" s="4" t="s">
        <v>10002</v>
      </c>
      <c r="C7950" s="5" t="str">
        <f>IFERROR(__xludf.DUMMYFUNCTION("GOOGLETRANSLATE(B7950,""en"",""zh-CN"")"),"该男子使用刷子，出现说明。")</f>
        <v>该男子使用刷子，出现说明。</v>
      </c>
    </row>
    <row r="7951">
      <c r="A7951" s="4" t="s">
        <v>9998</v>
      </c>
      <c r="B7951" s="4" t="s">
        <v>10003</v>
      </c>
      <c r="C7951" s="5" t="str">
        <f>IFERROR(__xludf.DUMMYFUNCTION("GOOGLETRANSLATE(B7951,""en"",""zh-CN"")"),"我们在屏幕上看到了更多说明。")</f>
        <v>我们在屏幕上看到了更多说明。</v>
      </c>
    </row>
    <row r="7952">
      <c r="A7952" s="4" t="s">
        <v>9998</v>
      </c>
      <c r="B7952" s="4" t="s">
        <v>10004</v>
      </c>
      <c r="C7952" s="5" t="str">
        <f>IFERROR(__xludf.DUMMYFUNCTION("GOOGLETRANSLATE(B7952,""en"",""zh-CN"")"),"指示告诉霉菌的视图。")</f>
        <v>指示告诉霉菌的视图。</v>
      </c>
    </row>
    <row r="7953">
      <c r="A7953" s="4" t="s">
        <v>9998</v>
      </c>
      <c r="B7953" s="4" t="s">
        <v>10005</v>
      </c>
      <c r="C7953" s="5" t="str">
        <f>IFERROR(__xludf.DUMMYFUNCTION("GOOGLETRANSLATE(B7953,""en"",""zh-CN"")"),"屏幕上显示更多说明。")</f>
        <v>屏幕上显示更多说明。</v>
      </c>
    </row>
    <row r="7954">
      <c r="A7954" s="4" t="s">
        <v>9998</v>
      </c>
      <c r="B7954" s="4" t="s">
        <v>10006</v>
      </c>
      <c r="C7954" s="5" t="str">
        <f>IFERROR(__xludf.DUMMYFUNCTION("GOOGLETRANSLATE(B7954,""en"",""zh-CN"")"),"这个男人在头发上增加了润发油。")</f>
        <v>这个男人在头发上增加了润发油。</v>
      </c>
    </row>
    <row r="7955">
      <c r="A7955" s="4" t="s">
        <v>9998</v>
      </c>
      <c r="B7955" s="4" t="s">
        <v>10007</v>
      </c>
      <c r="C7955" s="5" t="str">
        <f>IFERROR(__xludf.DUMMYFUNCTION("GOOGLETRANSLATE(B7955,""en"",""zh-CN"")"),"该男子用刷子刷头发。")</f>
        <v>该男子用刷子刷头发。</v>
      </c>
    </row>
    <row r="7956">
      <c r="A7956" s="4" t="s">
        <v>9998</v>
      </c>
      <c r="B7956" s="4" t="s">
        <v>10008</v>
      </c>
      <c r="C7956" s="5" t="str">
        <f>IFERROR(__xludf.DUMMYFUNCTION("GOOGLETRANSLATE(B7956,""en"",""zh-CN"")"),"我们看到场景变黑了，写作出现在屏幕上。")</f>
        <v>我们看到场景变黑了，写作出现在屏幕上。</v>
      </c>
    </row>
    <row r="7957">
      <c r="A7957" s="4" t="s">
        <v>10009</v>
      </c>
      <c r="B7957" s="4" t="s">
        <v>10010</v>
      </c>
      <c r="C7957" s="5" t="str">
        <f>IFERROR(__xludf.DUMMYFUNCTION("GOOGLETRANSLATE(B7957,""en"",""zh-CN"")"),"一匹马与教练追逐它一起疯狂地奔跑。")</f>
        <v>一匹马与教练追逐它一起疯狂地奔跑。</v>
      </c>
    </row>
    <row r="7958">
      <c r="A7958" s="4" t="s">
        <v>10009</v>
      </c>
      <c r="B7958" s="4" t="s">
        <v>10011</v>
      </c>
      <c r="C7958" s="5" t="str">
        <f>IFERROR(__xludf.DUMMYFUNCTION("GOOGLETRANSLATE(B7958,""en"",""zh-CN"")"),"一匹马奔跑，雄鹿用牛角向其冲锋。")</f>
        <v>一匹马奔跑，雄鹿用牛角向其冲锋。</v>
      </c>
    </row>
    <row r="7959">
      <c r="A7959" s="4" t="s">
        <v>10009</v>
      </c>
      <c r="B7959" s="4" t="s">
        <v>10012</v>
      </c>
      <c r="C7959" s="5" t="str">
        <f>IFERROR(__xludf.DUMMYFUNCTION("GOOGLETRANSLATE(B7959,""en"",""zh-CN"")"),"这匹马被牛仔队脱离珊瑚。")</f>
        <v>这匹马被牛仔队脱离珊瑚。</v>
      </c>
    </row>
    <row r="7960">
      <c r="A7960" s="4" t="s">
        <v>10009</v>
      </c>
      <c r="B7960" s="4" t="s">
        <v>10013</v>
      </c>
      <c r="C7960" s="5" t="str">
        <f>IFERROR(__xludf.DUMMYFUNCTION("GOOGLETRANSLATE(B7960,""en"",""zh-CN"")"),"马肠受伤从身体上垂下。")</f>
        <v>马肠受伤从身体上垂下。</v>
      </c>
    </row>
    <row r="7961">
      <c r="A7961" s="4" t="s">
        <v>10009</v>
      </c>
      <c r="B7961" s="4" t="s">
        <v>10014</v>
      </c>
      <c r="C7961" s="5" t="str">
        <f>IFERROR(__xludf.DUMMYFUNCTION("GOOGLETRANSLATE(B7961,""en"",""zh-CN"")"),"这匹马躺在地面上有癫痫发作。")</f>
        <v>这匹马躺在地面上有癫痫发作。</v>
      </c>
    </row>
    <row r="7962">
      <c r="A7962" s="4" t="s">
        <v>10009</v>
      </c>
      <c r="B7962" s="4" t="s">
        <v>10015</v>
      </c>
      <c r="C7962" s="5" t="str">
        <f>IFERROR(__xludf.DUMMYFUNCTION("GOOGLETRANSLATE(B7962,""en"",""zh-CN"")"),"一只公牛追着牛仔骑着马上的马。")</f>
        <v>一只公牛追着牛仔骑着马上的马。</v>
      </c>
    </row>
    <row r="7963">
      <c r="A7963" s="4" t="s">
        <v>10016</v>
      </c>
      <c r="B7963" s="4" t="s">
        <v>10017</v>
      </c>
      <c r="C7963" s="5" t="str">
        <f>IFERROR(__xludf.DUMMYFUNCTION("GOOGLETRANSLATE(B7963,""en"",""zh-CN"")"),"一名摩托车手在床上，被闹钟唤醒。")</f>
        <v>一名摩托车手在床上，被闹钟唤醒。</v>
      </c>
    </row>
    <row r="7964">
      <c r="A7964" s="4" t="s">
        <v>10016</v>
      </c>
      <c r="B7964" s="6" t="s">
        <v>10018</v>
      </c>
      <c r="C7964" s="5" t="str">
        <f>IFERROR(__xludf.DUMMYFUNCTION("GOOGLETRANSLATE(B7964,""en"",""zh-CN"")"),"摩托车手起床，准备通过浴室洗澡并阅读报纸来离开。")</f>
        <v>摩托车手起床，准备通过浴室洗澡并阅读报纸来离开。</v>
      </c>
    </row>
    <row r="7965">
      <c r="A7965" s="4" t="s">
        <v>10016</v>
      </c>
      <c r="B7965" s="4" t="s">
        <v>10019</v>
      </c>
      <c r="C7965" s="5" t="str">
        <f>IFERROR(__xludf.DUMMYFUNCTION("GOOGLETRANSLATE(B7965,""en"",""zh-CN"")"),"他将摩托车沿着大厅驶入电梯。")</f>
        <v>他将摩托车沿着大厅驶入电梯。</v>
      </c>
    </row>
    <row r="7966">
      <c r="A7966" s="4" t="s">
        <v>10016</v>
      </c>
      <c r="B7966" s="6" t="s">
        <v>10020</v>
      </c>
      <c r="C7966" s="5" t="str">
        <f>IFERROR(__xludf.DUMMYFUNCTION("GOOGLETRANSLATE(B7966,""en"",""zh-CN"")"),"他离开建筑物，将摩托车骑到赌场，在那里他观看时执行几个技巧。")</f>
        <v>他离开建筑物，将摩托车骑到赌场，在那里他观看时执行几个技巧。</v>
      </c>
    </row>
    <row r="7967">
      <c r="A7967" s="4" t="s">
        <v>10016</v>
      </c>
      <c r="B7967" s="4" t="s">
        <v>10021</v>
      </c>
      <c r="C7967" s="5" t="str">
        <f>IFERROR(__xludf.DUMMYFUNCTION("GOOGLETRANSLATE(B7967,""en"",""zh-CN"")"),"他退出了赌场，屏幕上出现了结束信用。")</f>
        <v>他退出了赌场，屏幕上出现了结束信用。</v>
      </c>
    </row>
    <row r="7968">
      <c r="A7968" s="4" t="s">
        <v>10022</v>
      </c>
      <c r="B7968" s="4" t="s">
        <v>10023</v>
      </c>
      <c r="C7968" s="5" t="str">
        <f>IFERROR(__xludf.DUMMYFUNCTION("GOOGLETRANSLATE(B7968,""en"",""zh-CN"")"),"显示了重量的特写。")</f>
        <v>显示了重量的特写。</v>
      </c>
    </row>
    <row r="7969">
      <c r="A7969" s="4" t="s">
        <v>10022</v>
      </c>
      <c r="B7969" s="6" t="s">
        <v>10024</v>
      </c>
      <c r="C7969" s="5" t="str">
        <f>IFERROR(__xludf.DUMMYFUNCTION("GOOGLETRANSLATE(B7969,""en"",""zh-CN"")"),"显示了几个人在健身房中以各种方式举重，而其他人则在背景中观看或运动。")</f>
        <v>显示了几个人在健身房中以各种方式举重，而其他人则在背景中观看或运动。</v>
      </c>
    </row>
    <row r="7970">
      <c r="A7970" s="4" t="s">
        <v>10022</v>
      </c>
      <c r="B7970" s="4" t="s">
        <v>10025</v>
      </c>
      <c r="C7970" s="5" t="str">
        <f>IFERROR(__xludf.DUMMYFUNCTION("GOOGLETRANSLATE(B7970,""en"",""zh-CN"")"),"显示了带有徽标和联系信息的屏幕。")</f>
        <v>显示了带有徽标和联系信息的屏幕。</v>
      </c>
    </row>
    <row r="7971">
      <c r="A7971" s="4" t="s">
        <v>10026</v>
      </c>
      <c r="B7971" s="4" t="s">
        <v>10027</v>
      </c>
      <c r="C7971" s="5" t="str">
        <f>IFERROR(__xludf.DUMMYFUNCTION("GOOGLETRANSLATE(B7971,""en"",""zh-CN"")"),"我们看到一位女士walking狗。")</f>
        <v>我们看到一位女士walking狗。</v>
      </c>
    </row>
    <row r="7972">
      <c r="A7972" s="4" t="s">
        <v>10026</v>
      </c>
      <c r="B7972" s="4" t="s">
        <v>10028</v>
      </c>
      <c r="C7972" s="5" t="str">
        <f>IFERROR(__xludf.DUMMYFUNCTION("GOOGLETRANSLATE(B7972,""en"",""zh-CN"")"),"我们看到一个男人walking狗。")</f>
        <v>我们看到一个男人walking狗。</v>
      </c>
    </row>
    <row r="7973">
      <c r="A7973" s="4" t="s">
        <v>10026</v>
      </c>
      <c r="B7973" s="4" t="s">
        <v>10029</v>
      </c>
      <c r="C7973" s="5" t="str">
        <f>IFERROR(__xludf.DUMMYFUNCTION("GOOGLETRANSLATE(B7973,""en"",""zh-CN"")"),"我们回到walking狗的女士。")</f>
        <v>我们回到walking狗的女士。</v>
      </c>
    </row>
    <row r="7974">
      <c r="A7974" s="4" t="s">
        <v>10026</v>
      </c>
      <c r="B7974" s="4" t="s">
        <v>10030</v>
      </c>
      <c r="C7974" s="5" t="str">
        <f>IFERROR(__xludf.DUMMYFUNCTION("GOOGLETRANSLATE(B7974,""en"",""zh-CN"")"),"狗把女士拉在街上。")</f>
        <v>狗把女士拉在街上。</v>
      </c>
    </row>
    <row r="7975">
      <c r="A7975" s="4" t="s">
        <v>10026</v>
      </c>
      <c r="B7975" s="4" t="s">
        <v>10031</v>
      </c>
      <c r="C7975" s="5" t="str">
        <f>IFERROR(__xludf.DUMMYFUNCTION("GOOGLETRANSLATE(B7975,""en"",""zh-CN"")"),"我们看到女士和男人说话。")</f>
        <v>我们看到女士和男人说话。</v>
      </c>
    </row>
    <row r="7976">
      <c r="A7976" s="4" t="s">
        <v>10026</v>
      </c>
      <c r="B7976" s="4" t="s">
        <v>10032</v>
      </c>
      <c r="C7976" s="5" t="str">
        <f>IFERROR(__xludf.DUMMYFUNCTION("GOOGLETRANSLATE(B7976,""en"",""zh-CN"")"),"该男子将狗走在楼梯和车道上。")</f>
        <v>该男子将狗走在楼梯和车道上。</v>
      </c>
    </row>
    <row r="7977">
      <c r="A7977" s="4" t="s">
        <v>10026</v>
      </c>
      <c r="B7977" s="4" t="s">
        <v>10033</v>
      </c>
      <c r="C7977" s="5" t="str">
        <f>IFERROR(__xludf.DUMMYFUNCTION("GOOGLETRANSLATE(B7977,""en"",""zh-CN"")"),"我们看到那位女士把狗的儿子放在狗时，然后在男人看着时走他。")</f>
        <v>我们看到那位女士把狗的儿子放在狗时，然后在男人看着时走他。</v>
      </c>
    </row>
    <row r="7978">
      <c r="A7978" s="4" t="s">
        <v>10026</v>
      </c>
      <c r="B7978" s="4" t="s">
        <v>10034</v>
      </c>
      <c r="C7978" s="5" t="str">
        <f>IFERROR(__xludf.DUMMYFUNCTION("GOOGLETRANSLATE(B7978,""en"",""zh-CN"")"),"然后，我们看到黑色关闭屏幕。")</f>
        <v>然后，我们看到黑色关闭屏幕。</v>
      </c>
    </row>
    <row r="7979">
      <c r="A7979" s="4" t="s">
        <v>10035</v>
      </c>
      <c r="B7979" s="4" t="s">
        <v>10036</v>
      </c>
      <c r="C7979" s="5" t="str">
        <f>IFERROR(__xludf.DUMMYFUNCTION("GOOGLETRANSLATE(B7979,""en"",""zh-CN"")"),"游泳聚会时，女游泳者跳入水中。")</f>
        <v>游泳聚会时，女游泳者跳入水中。</v>
      </c>
    </row>
    <row r="7980">
      <c r="A7980" s="4" t="s">
        <v>10035</v>
      </c>
      <c r="B7980" s="4" t="s">
        <v>10037</v>
      </c>
      <c r="C7980" s="5" t="str">
        <f>IFERROR(__xludf.DUMMYFUNCTION("GOOGLETRANSLATE(B7980,""en"",""zh-CN"")"),"他们迅速沿着游泳车道比赛。")</f>
        <v>他们迅速沿着游泳车道比赛。</v>
      </c>
    </row>
    <row r="7981">
      <c r="A7981" s="4" t="s">
        <v>10035</v>
      </c>
      <c r="B7981" s="6" t="s">
        <v>10038</v>
      </c>
      <c r="C7981" s="5" t="str">
        <f>IFERROR(__xludf.DUMMYFUNCTION("GOOGLETRANSLATE(B7981,""en"",""zh-CN"")"),"游泳者反复使用各种游泳技术来回走动。")</f>
        <v>游泳者反复使用各种游泳技术来回走动。</v>
      </c>
    </row>
    <row r="7982">
      <c r="A7982" s="4" t="s">
        <v>10039</v>
      </c>
      <c r="B7982" s="4" t="s">
        <v>10040</v>
      </c>
      <c r="C7982" s="5" t="str">
        <f>IFERROR(__xludf.DUMMYFUNCTION("GOOGLETRANSLATE(B7982,""en"",""zh-CN"")"),"有些人在室内溜冰场上卷曲。")</f>
        <v>有些人在室内溜冰场上卷曲。</v>
      </c>
    </row>
    <row r="7983">
      <c r="A7983" s="4" t="s">
        <v>10039</v>
      </c>
      <c r="B7983" s="4" t="s">
        <v>10041</v>
      </c>
      <c r="C7983" s="5" t="str">
        <f>IFERROR(__xludf.DUMMYFUNCTION("GOOGLETRANSLATE(B7983,""en"",""zh-CN"")"),"有些女孩准备好卷发棍子，准备溜冰场打冰壶。")</f>
        <v>有些女孩准备好卷发棍子，准备溜冰场打冰壶。</v>
      </c>
    </row>
    <row r="7984">
      <c r="A7984" s="4" t="s">
        <v>10039</v>
      </c>
      <c r="B7984" s="6" t="s">
        <v>10042</v>
      </c>
      <c r="C7984" s="5" t="str">
        <f>IFERROR(__xludf.DUMMYFUNCTION("GOOGLETRANSLATE(B7984,""en"",""zh-CN"")"),"两个穿着黑色齿轮的女孩在穿越溜冰场的卷发棒推动岩石时正在玩游戏。")</f>
        <v>两个穿着黑色齿轮的女孩在穿越溜冰场的卷发棒推动岩石时正在玩游戏。</v>
      </c>
    </row>
    <row r="7985">
      <c r="A7985" s="4" t="s">
        <v>10039</v>
      </c>
      <c r="B7985" s="4" t="s">
        <v>10043</v>
      </c>
      <c r="C7985" s="5" t="str">
        <f>IFERROR(__xludf.DUMMYFUNCTION("GOOGLETRANSLATE(B7985,""en"",""zh-CN"")"),"其中一名球员滑过地板，将岩石推到溜冰场的尽头。")</f>
        <v>其中一名球员滑过地板，将岩石推到溜冰场的尽头。</v>
      </c>
    </row>
    <row r="7986">
      <c r="A7986" s="4" t="s">
        <v>10039</v>
      </c>
      <c r="B7986" s="6" t="s">
        <v>10044</v>
      </c>
      <c r="C7986" s="5" t="str">
        <f>IFERROR(__xludf.DUMMYFUNCTION("GOOGLETRANSLATE(B7986,""en"",""zh-CN"")"),"两名球员在穿越溜冰场并滑动岩石直到线结束时继续比赛。")</f>
        <v>两名球员在穿越溜冰场并滑动岩石直到线结束时继续比赛。</v>
      </c>
    </row>
    <row r="7987">
      <c r="A7987" s="4" t="s">
        <v>10039</v>
      </c>
      <c r="B7987" s="4" t="s">
        <v>10045</v>
      </c>
      <c r="C7987" s="5" t="str">
        <f>IFERROR(__xludf.DUMMYFUNCTION("GOOGLETRANSLATE(B7987,""en"",""zh-CN"")"),"另外两名穿着粉红色的玩家在溜冰场滑动岩石时玩游戏。")</f>
        <v>另外两名穿着粉红色的玩家在溜冰场滑动岩石时玩游戏。</v>
      </c>
    </row>
    <row r="7988">
      <c r="A7988" s="4" t="s">
        <v>10046</v>
      </c>
      <c r="B7988" s="6" t="s">
        <v>10047</v>
      </c>
      <c r="C7988" s="5" t="str">
        <f>IFERROR(__xludf.DUMMYFUNCTION("GOOGLETRANSLATE(B7988,""en"",""zh-CN"")"),"这位黑色女士正在做一个发型教程，并在另一个坐在她旁边的女人展示。")</f>
        <v>这位黑色女士正在做一个发型教程，并在另一个坐在她旁边的女人展示。</v>
      </c>
    </row>
    <row r="7989">
      <c r="A7989" s="4" t="s">
        <v>10046</v>
      </c>
      <c r="B7989" s="4" t="s">
        <v>10048</v>
      </c>
      <c r="C7989" s="5" t="str">
        <f>IFERROR(__xludf.DUMMYFUNCTION("GOOGLETRANSLATE(B7989,""en"",""zh-CN"")"),"她展示了她在模型上使用的发胶。")</f>
        <v>她展示了她在模型上使用的发胶。</v>
      </c>
    </row>
    <row r="7990">
      <c r="A7990" s="4" t="s">
        <v>10046</v>
      </c>
      <c r="B7990" s="4" t="s">
        <v>10049</v>
      </c>
      <c r="C7990" s="5" t="str">
        <f>IFERROR(__xludf.DUMMYFUNCTION("GOOGLETRANSLATE(B7990,""en"",""zh-CN"")"),"她在模型的头发上使用发胶并喷洒。")</f>
        <v>她在模型的头发上使用发胶并喷洒。</v>
      </c>
    </row>
    <row r="7991">
      <c r="A7991" s="4" t="s">
        <v>10046</v>
      </c>
      <c r="B7991" s="4" t="s">
        <v>10050</v>
      </c>
      <c r="C7991" s="5" t="str">
        <f>IFERROR(__xludf.DUMMYFUNCTION("GOOGLETRANSLATE(B7991,""en"",""zh-CN"")"),"然后，她拿起一对剪刀，剪掉橡皮筋，然后再次喷发头发。")</f>
        <v>然后，她拿起一对剪刀，剪掉橡皮筋，然后再次喷发头发。</v>
      </c>
    </row>
    <row r="7992">
      <c r="A7992" s="4" t="s">
        <v>10046</v>
      </c>
      <c r="B7992" s="4" t="s">
        <v>10051</v>
      </c>
      <c r="C7992" s="5" t="str">
        <f>IFERROR(__xludf.DUMMYFUNCTION("GOOGLETRANSLATE(B7992,""en"",""zh-CN"")"),"她将辫子拉开，用手指擦在上面。")</f>
        <v>她将辫子拉开，用手指擦在上面。</v>
      </c>
    </row>
    <row r="7993">
      <c r="A7993" s="4" t="s">
        <v>10046</v>
      </c>
      <c r="B7993" s="4" t="s">
        <v>10052</v>
      </c>
      <c r="C7993" s="5" t="str">
        <f>IFERROR(__xludf.DUMMYFUNCTION("GOOGLETRANSLATE(B7993,""en"",""zh-CN"")"),"然后，她扭曲了辫子，然后将其固定在模特的头上。")</f>
        <v>然后，她扭曲了辫子，然后将其固定在模特的头上。</v>
      </c>
    </row>
    <row r="7994">
      <c r="A7994" s="4" t="s">
        <v>10046</v>
      </c>
      <c r="B7994" s="4" t="s">
        <v>10053</v>
      </c>
      <c r="C7994" s="5" t="str">
        <f>IFERROR(__xludf.DUMMYFUNCTION("GOOGLETRANSLATE(B7994,""en"",""zh-CN"")"),"她再次扭曲，将其收紧并再次用别针固定。")</f>
        <v>她再次扭曲，将其收紧并再次用别针固定。</v>
      </c>
    </row>
    <row r="7995">
      <c r="A7995" s="4" t="s">
        <v>10046</v>
      </c>
      <c r="B7995" s="4" t="s">
        <v>10054</v>
      </c>
      <c r="C7995" s="5" t="str">
        <f>IFERROR(__xludf.DUMMYFUNCTION("GOOGLETRANSLATE(B7995,""en"",""zh-CN"")"),"她还用辫子制作一个面包来完成发型。")</f>
        <v>她还用辫子制作一个面包来完成发型。</v>
      </c>
    </row>
    <row r="7996">
      <c r="A7996" s="4" t="s">
        <v>10046</v>
      </c>
      <c r="B7996" s="4" t="s">
        <v>10055</v>
      </c>
      <c r="C7996" s="5" t="str">
        <f>IFERROR(__xludf.DUMMYFUNCTION("GOOGLETRANSLATE(B7996,""en"",""zh-CN"")"),"她再次显示了她在模型上使用的发胶瓶。")</f>
        <v>她再次显示了她在模型上使用的发胶瓶。</v>
      </c>
    </row>
    <row r="7997">
      <c r="A7997" s="4" t="s">
        <v>10056</v>
      </c>
      <c r="B7997" s="4" t="s">
        <v>10057</v>
      </c>
      <c r="C7997" s="5" t="str">
        <f>IFERROR(__xludf.DUMMYFUNCTION("GOOGLETRANSLATE(B7997,""en"",""zh-CN"")"),"一个男人和女人站在一个鲜明的白色房间里。")</f>
        <v>一个男人和女人站在一个鲜明的白色房间里。</v>
      </c>
    </row>
    <row r="7998">
      <c r="A7998" s="4" t="s">
        <v>10056</v>
      </c>
      <c r="B7998" s="4" t="s">
        <v>10058</v>
      </c>
      <c r="C7998" s="5" t="str">
        <f>IFERROR(__xludf.DUMMYFUNCTION("GOOGLETRANSLATE(B7998,""en"",""zh-CN"")"),"他们将塑料放在地面上，并用白色油漆填充浴缸。")</f>
        <v>他们将塑料放在地面上，并用白色油漆填充浴缸。</v>
      </c>
    </row>
    <row r="7999">
      <c r="A7999" s="4" t="s">
        <v>10056</v>
      </c>
      <c r="B7999" s="4" t="s">
        <v>10059</v>
      </c>
      <c r="C7999" s="5" t="str">
        <f>IFERROR(__xludf.DUMMYFUNCTION("GOOGLETRANSLATE(B7999,""en"",""zh-CN"")"),"然后，他们演示了如何将一条墙纸挂在墙上。")</f>
        <v>然后，他们演示了如何将一条墙纸挂在墙上。</v>
      </c>
    </row>
    <row r="8000">
      <c r="A8000" s="4" t="s">
        <v>10060</v>
      </c>
      <c r="B8000" s="6" t="s">
        <v>10061</v>
      </c>
      <c r="C8000" s="5" t="str">
        <f>IFERROR(__xludf.DUMMYFUNCTION("GOOGLETRANSLATE(B8000,""en"",""zh-CN"")"),"看到一个男人练习他的乒乓球能力，然后他与另一个人一起玩游戏。")</f>
        <v>看到一个男人练习他的乒乓球能力，然后他与另一个人一起玩游戏。</v>
      </c>
    </row>
    <row r="8001">
      <c r="A8001" s="4" t="s">
        <v>10060</v>
      </c>
      <c r="B8001" s="4" t="s">
        <v>10062</v>
      </c>
      <c r="C8001" s="5" t="str">
        <f>IFERROR(__xludf.DUMMYFUNCTION("GOOGLETRANSLATE(B8001,""en"",""zh-CN"")"),"当男人继续和更多的人停下来观看时，一个男人在侧面观看。")</f>
        <v>当男人继续和更多的人停下来观看时，一个男人在侧面观看。</v>
      </c>
    </row>
    <row r="8002">
      <c r="A8002" s="4" t="s">
        <v>10063</v>
      </c>
      <c r="B8002" s="4" t="s">
        <v>10064</v>
      </c>
      <c r="C8002" s="5" t="str">
        <f>IFERROR(__xludf.DUMMYFUNCTION("GOOGLETRANSLATE(B8002,""en"",""zh-CN"")"),"一个比基尼的女人站在一个房间里。")</f>
        <v>一个比基尼的女人站在一个房间里。</v>
      </c>
    </row>
    <row r="8003">
      <c r="A8003" s="4" t="s">
        <v>10063</v>
      </c>
      <c r="B8003" s="4" t="s">
        <v>10065</v>
      </c>
      <c r="C8003" s="5" t="str">
        <f>IFERROR(__xludf.DUMMYFUNCTION("GOOGLETRANSLATE(B8003,""en"",""zh-CN"")"),"她开始带着呼啦圈箍。")</f>
        <v>她开始带着呼啦圈箍。</v>
      </c>
    </row>
    <row r="8004">
      <c r="A8004" s="4" t="s">
        <v>10063</v>
      </c>
      <c r="B8004" s="4" t="s">
        <v>10066</v>
      </c>
      <c r="C8004" s="5" t="str">
        <f>IFERROR(__xludf.DUMMYFUNCTION("GOOGLETRANSLATE(B8004,""en"",""zh-CN"")"),"看到呼啦圈坐在衬衫旁边。")</f>
        <v>看到呼啦圈坐在衬衫旁边。</v>
      </c>
    </row>
    <row r="8005">
      <c r="A8005" s="4" t="s">
        <v>10067</v>
      </c>
      <c r="B8005" s="4" t="s">
        <v>10068</v>
      </c>
      <c r="C8005" s="5" t="str">
        <f>IFERROR(__xludf.DUMMYFUNCTION("GOOGLETRANSLATE(B8005,""en"",""zh-CN"")"),"一个人走进拿着工具的框架，上下切树。")</f>
        <v>一个人走进拿着工具的框架，上下切树。</v>
      </c>
    </row>
    <row r="8006">
      <c r="A8006" s="4" t="s">
        <v>10067</v>
      </c>
      <c r="B8006" s="6" t="s">
        <v>10069</v>
      </c>
      <c r="C8006" s="5" t="str">
        <f>IFERROR(__xludf.DUMMYFUNCTION("GOOGLETRANSLATE(B8006,""en"",""zh-CN"")"),"该人继续使用树上的工具，并使用一个小的工具来完成侧面，最后呈现一棵小树。")</f>
        <v>该人继续使用树上的工具，并使用一个小的工具来完成侧面，最后呈现一棵小树。</v>
      </c>
    </row>
    <row r="8007">
      <c r="A8007" s="4" t="s">
        <v>10070</v>
      </c>
      <c r="B8007" s="4" t="s">
        <v>10071</v>
      </c>
      <c r="C8007" s="5" t="str">
        <f>IFERROR(__xludf.DUMMYFUNCTION("GOOGLETRANSLATE(B8007,""en"",""zh-CN"")"),"一个女人说话时正站在熨衣板前。")</f>
        <v>一个女人说话时正站在熨衣板前。</v>
      </c>
    </row>
    <row r="8008">
      <c r="A8008" s="4" t="s">
        <v>10070</v>
      </c>
      <c r="B8008" s="4" t="s">
        <v>10072</v>
      </c>
      <c r="C8008" s="5" t="str">
        <f>IFERROR(__xludf.DUMMYFUNCTION("GOOGLETRANSLATE(B8008,""en"",""zh-CN"")"),"她炫耀了一件白衬衫，她用罐子里喷了东西。")</f>
        <v>她炫耀了一件白衬衫，她用罐子里喷了东西。</v>
      </c>
    </row>
    <row r="8009">
      <c r="A8009" s="4" t="s">
        <v>10070</v>
      </c>
      <c r="B8009" s="4" t="s">
        <v>10073</v>
      </c>
      <c r="C8009" s="5" t="str">
        <f>IFERROR(__xludf.DUMMYFUNCTION("GOOGLETRANSLATE(B8009,""en"",""zh-CN"")"),"她将衬衫安排在熨衣板上，然后开始熨烫衬衫。")</f>
        <v>她将衬衫安排在熨衣板上，然后开始熨烫衬衫。</v>
      </c>
    </row>
    <row r="8010">
      <c r="A8010" s="4" t="s">
        <v>10070</v>
      </c>
      <c r="B8010" s="4" t="s">
        <v>10074</v>
      </c>
      <c r="C8010" s="5" t="str">
        <f>IFERROR(__xludf.DUMMYFUNCTION("GOOGLETRANSLATE(B8010,""en"",""zh-CN"")"),"在她牢牢的衬衫后，屏幕上了专家村的广告。")</f>
        <v>在她牢牢的衬衫后，屏幕上了专家村的广告。</v>
      </c>
    </row>
    <row r="8011">
      <c r="A8011" s="4" t="s">
        <v>10075</v>
      </c>
      <c r="B8011" s="4" t="s">
        <v>10076</v>
      </c>
      <c r="C8011" s="5" t="str">
        <f>IFERROR(__xludf.DUMMYFUNCTION("GOOGLETRANSLATE(B8011,""en"",""zh-CN"")"),"两名妇女在洗车。")</f>
        <v>两名妇女在洗车。</v>
      </c>
    </row>
    <row r="8012">
      <c r="A8012" s="4" t="s">
        <v>10075</v>
      </c>
      <c r="B8012" s="4" t="s">
        <v>10077</v>
      </c>
      <c r="C8012" s="5" t="str">
        <f>IFERROR(__xludf.DUMMYFUNCTION("GOOGLETRANSLATE(B8012,""en"",""zh-CN"")"),"一辆汽车被肥皂泡沫覆盖。")</f>
        <v>一辆汽车被肥皂泡沫覆盖。</v>
      </c>
    </row>
    <row r="8013">
      <c r="A8013" s="4" t="s">
        <v>10075</v>
      </c>
      <c r="B8013" s="4" t="s">
        <v>10078</v>
      </c>
      <c r="C8013" s="5" t="str">
        <f>IFERROR(__xludf.DUMMYFUNCTION("GOOGLETRANSLATE(B8013,""en"",""zh-CN"")"),"妇女开始使用水管清理肥皂。")</f>
        <v>妇女开始使用水管清理肥皂。</v>
      </c>
    </row>
    <row r="8014">
      <c r="A8014" s="4" t="s">
        <v>10075</v>
      </c>
      <c r="B8014" s="4" t="s">
        <v>10079</v>
      </c>
      <c r="C8014" s="5" t="str">
        <f>IFERROR(__xludf.DUMMYFUNCTION("GOOGLETRANSLATE(B8014,""en"",""zh-CN"")"),"他们在汽车上锻炼软管和刷子。")</f>
        <v>他们在汽车上锻炼软管和刷子。</v>
      </c>
    </row>
    <row r="8015">
      <c r="A8015" s="4" t="s">
        <v>10075</v>
      </c>
      <c r="B8015" s="4" t="s">
        <v>10080</v>
      </c>
      <c r="C8015" s="5" t="str">
        <f>IFERROR(__xludf.DUMMYFUNCTION("GOOGLETRANSLATE(B8015,""en"",""zh-CN"")"),"他们结束了它。")</f>
        <v>他们结束了它。</v>
      </c>
    </row>
    <row r="8016">
      <c r="A8016" s="4" t="s">
        <v>10081</v>
      </c>
      <c r="B8016" s="4" t="s">
        <v>10082</v>
      </c>
      <c r="C8016" s="5" t="str">
        <f>IFERROR(__xludf.DUMMYFUNCTION("GOOGLETRANSLATE(B8016,""en"",""zh-CN"")"),"一个年轻人准备在平行条上完成例程。")</f>
        <v>一个年轻人准备在平行条上完成例程。</v>
      </c>
    </row>
    <row r="8017">
      <c r="A8017" s="4" t="s">
        <v>10081</v>
      </c>
      <c r="B8017" s="4" t="s">
        <v>10083</v>
      </c>
      <c r="C8017" s="5" t="str">
        <f>IFERROR(__xludf.DUMMYFUNCTION("GOOGLETRANSLATE(B8017,""en"",""zh-CN"")"),"许多人在背景中的看台上走来走去，坐着看。")</f>
        <v>许多人在背景中的看台上走来走去，坐着看。</v>
      </c>
    </row>
    <row r="8018">
      <c r="A8018" s="4" t="s">
        <v>10081</v>
      </c>
      <c r="B8018" s="4" t="s">
        <v>10084</v>
      </c>
      <c r="C8018" s="5" t="str">
        <f>IFERROR(__xludf.DUMMYFUNCTION("GOOGLETRANSLATE(B8018,""en"",""zh-CN"")"),"年轻人使用弹簧板安装酒吧。")</f>
        <v>年轻人使用弹簧板安装酒吧。</v>
      </c>
    </row>
    <row r="8019">
      <c r="A8019" s="4" t="s">
        <v>10081</v>
      </c>
      <c r="B8019" s="4" t="s">
        <v>10085</v>
      </c>
      <c r="C8019" s="5" t="str">
        <f>IFERROR(__xludf.DUMMYFUNCTION("GOOGLETRANSLATE(B8019,""en"",""zh-CN"")"),"一个站在附近的男人将弹簧板拉开。")</f>
        <v>一个站在附近的男人将弹簧板拉开。</v>
      </c>
    </row>
    <row r="8020">
      <c r="A8020" s="4" t="s">
        <v>10081</v>
      </c>
      <c r="B8020" s="4" t="s">
        <v>10086</v>
      </c>
      <c r="C8020" s="5" t="str">
        <f>IFERROR(__xludf.DUMMYFUNCTION("GOOGLETRANSLATE(B8020,""en"",""zh-CN"")"),"几位法官坐在看台看着看门人前面的桌子上。")</f>
        <v>几位法官坐在看台看着看门人前面的桌子上。</v>
      </c>
    </row>
    <row r="8021">
      <c r="A8021" s="4" t="s">
        <v>10081</v>
      </c>
      <c r="B8021" s="4" t="s">
        <v>10087</v>
      </c>
      <c r="C8021" s="5" t="str">
        <f>IFERROR(__xludf.DUMMYFUNCTION("GOOGLETRANSLATE(B8021,""en"",""zh-CN"")"),"这位年轻人完成了他的平行酒吧例程。")</f>
        <v>这位年轻人完成了他的平行酒吧例程。</v>
      </c>
    </row>
    <row r="8022">
      <c r="A8022" s="4" t="s">
        <v>10081</v>
      </c>
      <c r="B8022" s="4" t="s">
        <v>10088</v>
      </c>
      <c r="C8022" s="5" t="str">
        <f>IFERROR(__xludf.DUMMYFUNCTION("GOOGLETRANSLATE(B8022,""en"",""zh-CN"")"),"然后，年轻人卸下，陆上和弓。")</f>
        <v>然后，年轻人卸下，陆上和弓。</v>
      </c>
    </row>
    <row r="8023">
      <c r="A8023" s="4" t="s">
        <v>10081</v>
      </c>
      <c r="B8023" s="4" t="s">
        <v>10089</v>
      </c>
      <c r="C8023" s="5" t="str">
        <f>IFERROR(__xludf.DUMMYFUNCTION("GOOGLETRANSLATE(B8023,""en"",""zh-CN"")"),"他走开，就像另一个穿着同一制服的男人一样。")</f>
        <v>他走开，就像另一个穿着同一制服的男人一样。</v>
      </c>
    </row>
    <row r="8024">
      <c r="A8024" s="4" t="s">
        <v>10090</v>
      </c>
      <c r="B8024" s="4" t="s">
        <v>10091</v>
      </c>
      <c r="C8024" s="5" t="str">
        <f>IFERROR(__xludf.DUMMYFUNCTION("GOOGLETRANSLATE(B8024,""en"",""zh-CN"")"),"看到了原木的特写，一个人上下摆动斧头。")</f>
        <v>看到了原木的特写，一个人上下摆动斧头。</v>
      </c>
    </row>
    <row r="8025">
      <c r="A8025" s="4" t="s">
        <v>10090</v>
      </c>
      <c r="B8025" s="4" t="s">
        <v>10092</v>
      </c>
      <c r="C8025" s="5" t="str">
        <f>IFERROR(__xludf.DUMMYFUNCTION("GOOGLETRANSLATE(B8025,""en"",""zh-CN"")"),"该人将斧头摇摆在狗上，并将其切成两半。")</f>
        <v>该人将斧头摇摆在狗上，并将其切成两半。</v>
      </c>
    </row>
    <row r="8026">
      <c r="A8026" s="4" t="s">
        <v>10090</v>
      </c>
      <c r="B8026" s="4" t="s">
        <v>10093</v>
      </c>
      <c r="C8026" s="5" t="str">
        <f>IFERROR(__xludf.DUMMYFUNCTION("GOOGLETRANSLATE(B8026,""en"",""zh-CN"")"),"该人执行了几次。")</f>
        <v>该人执行了几次。</v>
      </c>
    </row>
    <row r="8027">
      <c r="A8027" s="4" t="s">
        <v>10094</v>
      </c>
      <c r="B8027" s="6" t="s">
        <v>10095</v>
      </c>
      <c r="C8027" s="5" t="str">
        <f>IFERROR(__xludf.DUMMYFUNCTION("GOOGLETRANSLATE(B8027,""en"",""zh-CN"")"),"看到各种各样的人在其他人的帮助和过渡中坐下来，向执行艰苦任务的人们进行了几张镜头。")</f>
        <v>看到各种各样的人在其他人的帮助和过渡中坐下来，向执行艰苦任务的人们进行了几张镜头。</v>
      </c>
    </row>
    <row r="8028">
      <c r="A8028" s="4" t="s">
        <v>10094</v>
      </c>
      <c r="B8028" s="6" t="s">
        <v>10096</v>
      </c>
      <c r="C8028" s="5" t="str">
        <f>IFERROR(__xludf.DUMMYFUNCTION("GOOGLETRANSLATE(B8028,""en"",""zh-CN"")"),"一个人爬上墙壁并进行俯卧撑，而另一个人则被相机采访，几个人爬上墙。")</f>
        <v>一个人爬上墙壁并进行俯卧撑，而另一个人则被相机采访，几个人爬上墙。</v>
      </c>
    </row>
    <row r="8029">
      <c r="A8029" s="4" t="s">
        <v>10094</v>
      </c>
      <c r="B8029" s="6" t="s">
        <v>10097</v>
      </c>
      <c r="C8029" s="5" t="str">
        <f>IFERROR(__xludf.DUMMYFUNCTION("GOOGLETRANSLATE(B8029,""en"",""zh-CN"")"),"显示了更多的锻炼人士，以及攀登岩石墙和几个俯卧撑。")</f>
        <v>显示了更多的锻炼人士，以及攀登岩石墙和几个俯卧撑。</v>
      </c>
    </row>
    <row r="8030">
      <c r="A8030" s="4" t="s">
        <v>10098</v>
      </c>
      <c r="B8030" s="6" t="s">
        <v>10099</v>
      </c>
      <c r="C8030" s="5" t="str">
        <f>IFERROR(__xludf.DUMMYFUNCTION("GOOGLETRANSLATE(B8030,""en"",""zh-CN"")"),"一个穿着白色衬衫和青蛙图案的男人在拿着录音机时触摸他的乳头。")</f>
        <v>一个穿着白色衬衫和青蛙图案的男人在拿着录音机时触摸他的乳头。</v>
      </c>
    </row>
    <row r="8031">
      <c r="A8031" s="4" t="s">
        <v>10098</v>
      </c>
      <c r="B8031" s="4" t="s">
        <v>10100</v>
      </c>
      <c r="C8031" s="5" t="str">
        <f>IFERROR(__xludf.DUMMYFUNCTION("GOOGLETRANSLATE(B8031,""en"",""zh-CN"")"),"该男子将录音机带到他的右鼻孔中。")</f>
        <v>该男子将录音机带到他的右鼻孔中。</v>
      </c>
    </row>
    <row r="8032">
      <c r="A8032" s="4" t="s">
        <v>10098</v>
      </c>
      <c r="B8032" s="4" t="s">
        <v>10101</v>
      </c>
      <c r="C8032" s="5" t="str">
        <f>IFERROR(__xludf.DUMMYFUNCTION("GOOGLETRANSLATE(B8032,""en"",""zh-CN"")"),"该男子开始扮演录音机。")</f>
        <v>该男子开始扮演录音机。</v>
      </c>
    </row>
    <row r="8033">
      <c r="A8033" s="4" t="s">
        <v>10098</v>
      </c>
      <c r="B8033" s="4" t="s">
        <v>10102</v>
      </c>
      <c r="C8033" s="5" t="str">
        <f>IFERROR(__xludf.DUMMYFUNCTION("GOOGLETRANSLATE(B8033,""en"",""zh-CN"")"),"场景切入了男人，打完比赛，在抚摸他的乳头时鞠躬。")</f>
        <v>场景切入了男人，打完比赛，在抚摸他的乳头时鞠躬。</v>
      </c>
    </row>
    <row r="8034">
      <c r="A8034" s="4" t="s">
        <v>10103</v>
      </c>
      <c r="B8034" s="4" t="s">
        <v>10104</v>
      </c>
      <c r="C8034" s="5" t="str">
        <f>IFERROR(__xludf.DUMMYFUNCTION("GOOGLETRANSLATE(B8034,""en"",""zh-CN"")"),"人们在房间里玩游泳池。")</f>
        <v>人们在房间里玩游泳池。</v>
      </c>
    </row>
    <row r="8035">
      <c r="A8035" s="4" t="s">
        <v>10103</v>
      </c>
      <c r="B8035" s="4" t="s">
        <v>10105</v>
      </c>
      <c r="C8035" s="5" t="str">
        <f>IFERROR(__xludf.DUMMYFUNCTION("GOOGLETRANSLATE(B8035,""en"",""zh-CN"")"),"一个男人向球射击，然后将其放入口袋。")</f>
        <v>一个男人向球射击，然后将其放入口袋。</v>
      </c>
    </row>
    <row r="8036">
      <c r="A8036" s="4" t="s">
        <v>10103</v>
      </c>
      <c r="B8036" s="4" t="s">
        <v>10106</v>
      </c>
      <c r="C8036" s="5" t="str">
        <f>IFERROR(__xludf.DUMMYFUNCTION("GOOGLETRANSLATE(B8036,""en"",""zh-CN"")"),"人们站在他身后玩游泳池在另一张桌子上。")</f>
        <v>人们站在他身后玩游泳池在另一张桌子上。</v>
      </c>
    </row>
    <row r="8037">
      <c r="A8037" s="4" t="s">
        <v>10107</v>
      </c>
      <c r="B8037" s="4" t="s">
        <v>10108</v>
      </c>
      <c r="C8037" s="5" t="str">
        <f>IFERROR(__xludf.DUMMYFUNCTION("GOOGLETRANSLATE(B8037,""en"",""zh-CN"")"),"我们看到标题卡消失了。")</f>
        <v>我们看到标题卡消失了。</v>
      </c>
    </row>
    <row r="8038">
      <c r="A8038" s="4" t="s">
        <v>10107</v>
      </c>
      <c r="B8038" s="4" t="s">
        <v>10109</v>
      </c>
      <c r="C8038" s="5" t="str">
        <f>IFERROR(__xludf.DUMMYFUNCTION("GOOGLETRANSLATE(B8038,""en"",""zh-CN"")"),"我们在狂欢节上看到两个孩子在骆驼上。")</f>
        <v>我们在狂欢节上看到两个孩子在骆驼上。</v>
      </c>
    </row>
    <row r="8039">
      <c r="A8039" s="4" t="s">
        <v>10107</v>
      </c>
      <c r="B8039" s="4" t="s">
        <v>10110</v>
      </c>
      <c r="C8039" s="5" t="str">
        <f>IFERROR(__xludf.DUMMYFUNCTION("GOOGLETRANSLATE(B8039,""en"",""zh-CN"")"),"当他抽烟时，该男子将骆驼从笔上带出。")</f>
        <v>当他抽烟时，该男子将骆驼从笔上带出。</v>
      </c>
    </row>
    <row r="8040">
      <c r="A8040" s="4" t="s">
        <v>10107</v>
      </c>
      <c r="B8040" s="4" t="s">
        <v>10111</v>
      </c>
      <c r="C8040" s="5" t="str">
        <f>IFERROR(__xludf.DUMMYFUNCTION("GOOGLETRANSLATE(B8040,""en"",""zh-CN"")"),"他们通过抚摸动物园。")</f>
        <v>他们通过抚摸动物园。</v>
      </c>
    </row>
    <row r="8041">
      <c r="A8041" s="4" t="s">
        <v>10107</v>
      </c>
      <c r="B8041" s="4" t="s">
        <v>10112</v>
      </c>
      <c r="C8041" s="5" t="str">
        <f>IFERROR(__xludf.DUMMYFUNCTION("GOOGLETRANSLATE(B8041,""en"",""zh-CN"")"),"我们看到妈妈为孩子们拍照。")</f>
        <v>我们看到妈妈为孩子们拍照。</v>
      </c>
    </row>
    <row r="8042">
      <c r="A8042" s="4" t="s">
        <v>10107</v>
      </c>
      <c r="B8042" s="4" t="s">
        <v>10113</v>
      </c>
      <c r="C8042" s="5" t="str">
        <f>IFERROR(__xludf.DUMMYFUNCTION("GOOGLETRANSLATE(B8042,""en"",""zh-CN"")"),"显示结尾卡。")</f>
        <v>显示结尾卡。</v>
      </c>
    </row>
    <row r="8043">
      <c r="A8043" s="4" t="s">
        <v>10114</v>
      </c>
      <c r="B8043" s="6" t="s">
        <v>10115</v>
      </c>
      <c r="C8043" s="5" t="str">
        <f>IFERROR(__xludf.DUMMYFUNCTION("GOOGLETRANSLATE(B8043,""en"",""zh-CN"")"),"有一个男人和另外两个男人一起在房间里，他举起一个重量超过400磅的体重。")</f>
        <v>有一个男人和另外两个男人一起在房间里，他举起一个重量超过400磅的体重。</v>
      </c>
    </row>
    <row r="8044">
      <c r="A8044" s="4" t="s">
        <v>10114</v>
      </c>
      <c r="B8044" s="4" t="s">
        <v>10116</v>
      </c>
      <c r="C8044" s="5" t="str">
        <f>IFERROR(__xludf.DUMMYFUNCTION("GOOGLETRANSLATE(B8044,""en"",""zh-CN"")"),"接下来，他举起一个比最后一个重的重量。")</f>
        <v>接下来，他举起一个比最后一个重的重量。</v>
      </c>
    </row>
    <row r="8045">
      <c r="A8045" s="4" t="s">
        <v>10114</v>
      </c>
      <c r="B8045" s="4" t="s">
        <v>10117</v>
      </c>
      <c r="C8045" s="5" t="str">
        <f>IFERROR(__xludf.DUMMYFUNCTION("GOOGLETRANSLATE(B8045,""en"",""zh-CN"")"),"他得到了一个老人的握手和一个拥抱。")</f>
        <v>他得到了一个老人的握手和一个拥抱。</v>
      </c>
    </row>
    <row r="8046">
      <c r="A8046" s="4" t="s">
        <v>10114</v>
      </c>
      <c r="B8046" s="4" t="s">
        <v>10118</v>
      </c>
      <c r="C8046" s="5" t="str">
        <f>IFERROR(__xludf.DUMMYFUNCTION("GOOGLETRANSLATE(B8046,""en"",""zh-CN"")"),"然后有人给他钱，其他坐在椅子上的人给他一个高级的人。")</f>
        <v>然后有人给他钱，其他坐在椅子上的人给他一个高级的人。</v>
      </c>
    </row>
    <row r="8047">
      <c r="A8047" s="4" t="s">
        <v>10119</v>
      </c>
      <c r="B8047" s="4" t="s">
        <v>10120</v>
      </c>
      <c r="C8047" s="5" t="str">
        <f>IFERROR(__xludf.DUMMYFUNCTION("GOOGLETRANSLATE(B8047,""en"",""zh-CN"")"),"一群孩子在父母观看的操场设备上玩耍。")</f>
        <v>一群孩子在父母观看的操场设备上玩耍。</v>
      </c>
    </row>
    <row r="8048">
      <c r="A8048" s="4" t="s">
        <v>10119</v>
      </c>
      <c r="B8048" s="4" t="s">
        <v>10121</v>
      </c>
      <c r="C8048" s="5" t="str">
        <f>IFERROR(__xludf.DUMMYFUNCTION("GOOGLETRANSLATE(B8048,""en"",""zh-CN"")"),"一个孩子在猴子酒吧摆动。")</f>
        <v>一个孩子在猴子酒吧摆动。</v>
      </c>
    </row>
    <row r="8049">
      <c r="A8049" s="4" t="s">
        <v>10119</v>
      </c>
      <c r="B8049" s="4" t="s">
        <v>10122</v>
      </c>
      <c r="C8049" s="5" t="str">
        <f>IFERROR(__xludf.DUMMYFUNCTION("GOOGLETRANSLATE(B8049,""en"",""zh-CN"")"),"孩子到另一侧蝴蝶结，跑回猴子酒吧跳了起来。")</f>
        <v>孩子到另一侧蝴蝶结，跑回猴子酒吧跳了起来。</v>
      </c>
    </row>
    <row r="8050">
      <c r="A8050" s="4" t="s">
        <v>10119</v>
      </c>
      <c r="B8050" s="4" t="s">
        <v>10123</v>
      </c>
      <c r="C8050" s="5" t="str">
        <f>IFERROR(__xludf.DUMMYFUNCTION("GOOGLETRANSLATE(B8050,""en"",""zh-CN"")"),"孩子开心地跳来跳去，跌倒，但立即恢复。")</f>
        <v>孩子开心地跳来跳去，跌倒，但立即恢复。</v>
      </c>
    </row>
    <row r="8051">
      <c r="A8051" s="4" t="s">
        <v>10124</v>
      </c>
      <c r="B8051" s="4" t="s">
        <v>10125</v>
      </c>
      <c r="C8051" s="5" t="str">
        <f>IFERROR(__xludf.DUMMYFUNCTION("GOOGLETRANSLATE(B8051,""en"",""zh-CN"")"),"在广告中的椭圆教练上看到一个女人。")</f>
        <v>在广告中的椭圆教练上看到一个女人。</v>
      </c>
    </row>
    <row r="8052">
      <c r="A8052" s="4" t="s">
        <v>10124</v>
      </c>
      <c r="B8052" s="4" t="s">
        <v>10126</v>
      </c>
      <c r="C8052" s="5" t="str">
        <f>IFERROR(__xludf.DUMMYFUNCTION("GOOGLETRANSLATE(B8052,""en"",""zh-CN"")"),"然后，我们看到了使用机器的各种组件和选项。")</f>
        <v>然后，我们看到了使用机器的各种组件和选项。</v>
      </c>
    </row>
    <row r="8053">
      <c r="A8053" s="4" t="s">
        <v>10124</v>
      </c>
      <c r="B8053" s="4" t="s">
        <v>10127</v>
      </c>
      <c r="C8053" s="5" t="str">
        <f>IFERROR(__xludf.DUMMYFUNCTION("GOOGLETRANSLATE(B8053,""en"",""zh-CN"")"),"一个女人在数字屏幕上滚动，然后看到骑椭圆形。")</f>
        <v>一个女人在数字屏幕上滚动，然后看到骑椭圆形。</v>
      </c>
    </row>
    <row r="8054">
      <c r="A8054" s="4" t="s">
        <v>10128</v>
      </c>
      <c r="B8054" s="4" t="s">
        <v>10129</v>
      </c>
      <c r="C8054" s="5" t="str">
        <f>IFERROR(__xludf.DUMMYFUNCTION("GOOGLETRANSLATE(B8054,""en"",""zh-CN"")"),"一个男人在仰卧起来时正在做各种任务。")</f>
        <v>一个男人在仰卧起来时正在做各种任务。</v>
      </c>
    </row>
    <row r="8055">
      <c r="A8055" s="4" t="s">
        <v>10128</v>
      </c>
      <c r="B8055" s="4" t="s">
        <v>5880</v>
      </c>
      <c r="C8055" s="5" t="str">
        <f>IFERROR(__xludf.DUMMYFUNCTION("GOOGLETRANSLATE(B8055,""en"",""zh-CN"")"),"他停下来与镜头交谈。")</f>
        <v>他停下来与镜头交谈。</v>
      </c>
    </row>
    <row r="8056">
      <c r="A8056" s="4" t="s">
        <v>10128</v>
      </c>
      <c r="B8056" s="4" t="s">
        <v>10130</v>
      </c>
      <c r="C8056" s="5" t="str">
        <f>IFERROR(__xludf.DUMMYFUNCTION("GOOGLETRANSLATE(B8056,""en"",""zh-CN"")"),"他在锻炼机器上举起后背，再次开始仰卧起来。")</f>
        <v>他在锻炼机器上举起后背，再次开始仰卧起来。</v>
      </c>
    </row>
    <row r="8057">
      <c r="A8057" s="4" t="s">
        <v>10128</v>
      </c>
      <c r="B8057" s="4" t="s">
        <v>10131</v>
      </c>
      <c r="C8057" s="5" t="str">
        <f>IFERROR(__xludf.DUMMYFUNCTION("GOOGLETRANSLATE(B8057,""en"",""zh-CN"")"),"他坐起来，继续与镜头交谈。")</f>
        <v>他坐起来，继续与镜头交谈。</v>
      </c>
    </row>
    <row r="8058">
      <c r="A8058" s="4" t="s">
        <v>10132</v>
      </c>
      <c r="B8058" s="4" t="s">
        <v>10133</v>
      </c>
      <c r="C8058" s="5" t="str">
        <f>IFERROR(__xludf.DUMMYFUNCTION("GOOGLETRANSLATE(B8058,""en"",""zh-CN"")"),"看到两名男子站在一个网球场上，拿着球拍并与镜头说话。")</f>
        <v>看到两名男子站在一个网球场上，拿着球拍并与镜头说话。</v>
      </c>
    </row>
    <row r="8059">
      <c r="A8059" s="4" t="s">
        <v>10132</v>
      </c>
      <c r="B8059" s="6" t="s">
        <v>10134</v>
      </c>
      <c r="C8059" s="5" t="str">
        <f>IFERROR(__xludf.DUMMYFUNCTION("GOOGLETRANSLATE(B8059,""en"",""zh-CN"")"),"显示了几个慢动作场景，并与后展示的男人一起执行正确的网球场。")</f>
        <v>显示了几个慢动作场景，并与后展示的男人一起执行正确的网球场。</v>
      </c>
    </row>
    <row r="8060">
      <c r="A8060" s="4" t="s">
        <v>10132</v>
      </c>
      <c r="B8060" s="6" t="s">
        <v>10135</v>
      </c>
      <c r="C8060" s="5" t="str">
        <f>IFERROR(__xludf.DUMMYFUNCTION("GOOGLETRANSLATE(B8060,""en"",""zh-CN"")"),"这些人用一个男人的慢动作进行了几个转弯，此后执行技巧。")</f>
        <v>这些人用一个男人的慢动作进行了几个转弯，此后执行技巧。</v>
      </c>
    </row>
    <row r="8061">
      <c r="A8061" s="4" t="s">
        <v>10136</v>
      </c>
      <c r="B8061" s="4" t="s">
        <v>10137</v>
      </c>
      <c r="C8061" s="5" t="str">
        <f>IFERROR(__xludf.DUMMYFUNCTION("GOOGLETRANSLATE(B8061,""en"",""zh-CN"")"),"看到一个男人在相机上说话，并开始用刷子擦拭黑色鞋子。")</f>
        <v>看到一个男人在相机上说话，并开始用刷子擦拭黑色鞋子。</v>
      </c>
    </row>
    <row r="8062">
      <c r="A8062" s="4" t="s">
        <v>10136</v>
      </c>
      <c r="B8062" s="4" t="s">
        <v>10138</v>
      </c>
      <c r="C8062" s="5" t="str">
        <f>IFERROR(__xludf.DUMMYFUNCTION("GOOGLETRANSLATE(B8062,""en"",""zh-CN"")"),"他指着鞋子，用手将鞋子翻转。")</f>
        <v>他指着鞋子，用手将鞋子翻转。</v>
      </c>
    </row>
    <row r="8063">
      <c r="A8063" s="4" t="s">
        <v>10139</v>
      </c>
      <c r="B8063" s="4" t="s">
        <v>10140</v>
      </c>
      <c r="C8063" s="5" t="str">
        <f>IFERROR(__xludf.DUMMYFUNCTION("GOOGLETRANSLATE(B8063,""en"",""zh-CN"")"),"一个男孩在田野里说话，然后他和一个用棍子击球的人一起玩。")</f>
        <v>一个男孩在田野里说话，然后他和一个用棍子击球的人一起玩。</v>
      </c>
    </row>
    <row r="8064">
      <c r="A8064" s="4" t="s">
        <v>10139</v>
      </c>
      <c r="B8064" s="4" t="s">
        <v>10141</v>
      </c>
      <c r="C8064" s="5" t="str">
        <f>IFERROR(__xludf.DUMMYFUNCTION("GOOGLETRANSLATE(B8064,""en"",""zh-CN"")"),"男孩把球扔给另一个男孩并得分。")</f>
        <v>男孩把球扔给另一个男孩并得分。</v>
      </c>
    </row>
    <row r="8065">
      <c r="A8065" s="4" t="s">
        <v>10139</v>
      </c>
      <c r="B8065" s="4" t="s">
        <v>10142</v>
      </c>
      <c r="C8065" s="5" t="str">
        <f>IFERROR(__xludf.DUMMYFUNCTION("GOOGLETRANSLATE(B8065,""en"",""zh-CN"")"),"男孩们在野外说话。")</f>
        <v>男孩们在野外说话。</v>
      </c>
    </row>
    <row r="8066">
      <c r="A8066" s="4" t="s">
        <v>10143</v>
      </c>
      <c r="B8066" s="4" t="s">
        <v>6097</v>
      </c>
      <c r="C8066" s="5" t="str">
        <f>IFERROR(__xludf.DUMMYFUNCTION("GOOGLETRANSLATE(B8066,""en"",""zh-CN"")"),"我们看到一个黑色的打开屏幕。")</f>
        <v>我们看到一个黑色的打开屏幕。</v>
      </c>
    </row>
    <row r="8067">
      <c r="A8067" s="4" t="s">
        <v>10143</v>
      </c>
      <c r="B8067" s="4" t="s">
        <v>10144</v>
      </c>
      <c r="C8067" s="5" t="str">
        <f>IFERROR(__xludf.DUMMYFUNCTION("GOOGLETRANSLATE(B8067,""en"",""zh-CN"")"),"我们看到人们在海洋中冲浪两个人正在拍摄图像。")</f>
        <v>我们看到人们在海洋中冲浪两个人正在拍摄图像。</v>
      </c>
    </row>
    <row r="8068">
      <c r="A8068" s="4" t="s">
        <v>10143</v>
      </c>
      <c r="B8068" s="4" t="s">
        <v>10145</v>
      </c>
      <c r="C8068" s="5" t="str">
        <f>IFERROR(__xludf.DUMMYFUNCTION("GOOGLETRANSLATE(B8068,""en"",""zh-CN"")"),"我们看到一个标题屏幕，然后有两个男人用相机站在海滩上。")</f>
        <v>我们看到一个标题屏幕，然后有两个男人用相机站在海滩上。</v>
      </c>
    </row>
    <row r="8069">
      <c r="A8069" s="4" t="s">
        <v>10143</v>
      </c>
      <c r="B8069" s="4" t="s">
        <v>10146</v>
      </c>
      <c r="C8069" s="5" t="str">
        <f>IFERROR(__xludf.DUMMYFUNCTION("GOOGLETRANSLATE(B8069,""en"",""zh-CN"")"),"我们看到海洋中的冲浪者。")</f>
        <v>我们看到海洋中的冲浪者。</v>
      </c>
    </row>
    <row r="8070">
      <c r="A8070" s="4" t="s">
        <v>10143</v>
      </c>
      <c r="B8070" s="4" t="s">
        <v>10147</v>
      </c>
      <c r="C8070" s="5" t="str">
        <f>IFERROR(__xludf.DUMMYFUNCTION("GOOGLETRANSLATE(B8070,""en"",""zh-CN"")"),"我们看到了第三个标题屏幕，还有两个男人在海滩上带着相机。")</f>
        <v>我们看到了第三个标题屏幕，还有两个男人在海滩上带着相机。</v>
      </c>
    </row>
    <row r="8071">
      <c r="A8071" s="4" t="s">
        <v>10143</v>
      </c>
      <c r="B8071" s="4" t="s">
        <v>10148</v>
      </c>
      <c r="C8071" s="5" t="str">
        <f>IFERROR(__xludf.DUMMYFUNCTION("GOOGLETRANSLATE(B8071,""en"",""zh-CN"")"),"然后，我们看到海洋中的冲浪者。")</f>
        <v>然后，我们看到海洋中的冲浪者。</v>
      </c>
    </row>
    <row r="8072">
      <c r="A8072" s="4" t="s">
        <v>10143</v>
      </c>
      <c r="B8072" s="4" t="s">
        <v>10149</v>
      </c>
      <c r="C8072" s="5" t="str">
        <f>IFERROR(__xludf.DUMMYFUNCTION("GOOGLETRANSLATE(B8072,""en"",""zh-CN"")"),"我们看到一个男人在船上拿着相机。")</f>
        <v>我们看到一个男人在船上拿着相机。</v>
      </c>
    </row>
    <row r="8073">
      <c r="A8073" s="4" t="s">
        <v>10143</v>
      </c>
      <c r="B8073" s="4" t="s">
        <v>10150</v>
      </c>
      <c r="C8073" s="5" t="str">
        <f>IFERROR(__xludf.DUMMYFUNCTION("GOOGLETRANSLATE(B8073,""en"",""zh-CN"")"),"然后，我们看到关闭标题屏幕。")</f>
        <v>然后，我们看到关闭标题屏幕。</v>
      </c>
    </row>
    <row r="8074">
      <c r="A8074" s="4" t="s">
        <v>10151</v>
      </c>
      <c r="B8074" s="4" t="s">
        <v>10152</v>
      </c>
      <c r="C8074" s="5" t="str">
        <f>IFERROR(__xludf.DUMMYFUNCTION("GOOGLETRANSLATE(B8074,""en"",""zh-CN"")"),"一个男人坐在镜头里说话。")</f>
        <v>一个男人坐在镜头里说话。</v>
      </c>
    </row>
    <row r="8075">
      <c r="A8075" s="4" t="s">
        <v>10151</v>
      </c>
      <c r="B8075" s="4" t="s">
        <v>10153</v>
      </c>
      <c r="C8075" s="5" t="str">
        <f>IFERROR(__xludf.DUMMYFUNCTION("GOOGLETRANSLATE(B8075,""en"",""zh-CN"")"),"他穿着西装和领带，背景丰富多彩。")</f>
        <v>他穿着西装和领带，背景丰富多彩。</v>
      </c>
    </row>
    <row r="8076">
      <c r="A8076" s="4" t="s">
        <v>10151</v>
      </c>
      <c r="B8076" s="4" t="s">
        <v>10154</v>
      </c>
      <c r="C8076" s="5" t="str">
        <f>IFERROR(__xludf.DUMMYFUNCTION("GOOGLETRANSLATE(B8076,""en"",""zh-CN"")"),"他继续说话，继续说话。")</f>
        <v>他继续说话，继续说话。</v>
      </c>
    </row>
    <row r="8077">
      <c r="A8077" s="4" t="s">
        <v>10155</v>
      </c>
      <c r="B8077" s="4" t="s">
        <v>10156</v>
      </c>
      <c r="C8077" s="5" t="str">
        <f>IFERROR(__xludf.DUMMYFUNCTION("GOOGLETRANSLATE(B8077,""en"",""zh-CN"")"),"看到一个女人沿着长长的轨道奔跑，跳入坑中。")</f>
        <v>看到一个女人沿着长长的轨道奔跑，跳入坑中。</v>
      </c>
    </row>
    <row r="8078">
      <c r="A8078" s="4" t="s">
        <v>10155</v>
      </c>
      <c r="B8078" s="4" t="s">
        <v>10157</v>
      </c>
      <c r="C8078" s="5" t="str">
        <f>IFERROR(__xludf.DUMMYFUNCTION("GOOGLETRANSLATE(B8078,""en"",""zh-CN"")"),"相机看着她走开，将舌头伸向另一个人。")</f>
        <v>相机看着她走开，将舌头伸向另一个人。</v>
      </c>
    </row>
    <row r="8079">
      <c r="A8079" s="4" t="s">
        <v>10158</v>
      </c>
      <c r="B8079" s="6" t="s">
        <v>10159</v>
      </c>
      <c r="C8079" s="5" t="str">
        <f>IFERROR(__xludf.DUMMYFUNCTION("GOOGLETRANSLATE(B8079,""en"",""zh-CN"")"),"一个男孩穿着防护外套，头盔，护目镜和手套，在室内商店中焊接一块金属。")</f>
        <v>一个男孩穿着防护外套，头盔，护目镜和手套，在室内商店中焊接一块金属。</v>
      </c>
    </row>
    <row r="8080">
      <c r="A8080" s="4" t="s">
        <v>10158</v>
      </c>
      <c r="B8080" s="6" t="s">
        <v>10160</v>
      </c>
      <c r="C8080" s="5" t="str">
        <f>IFERROR(__xludf.DUMMYFUNCTION("GOOGLETRANSLATE(B8080,""en"",""zh-CN"")"),"一家商店里的一个男孩站在一块金属前，处理焊接工具，以准备焊接。")</f>
        <v>一家商店里的一个男孩站在一块金属前，处理焊接工具，以准备焊接。</v>
      </c>
    </row>
    <row r="8081">
      <c r="A8081" s="4" t="s">
        <v>10158</v>
      </c>
      <c r="B8081" s="6" t="s">
        <v>10161</v>
      </c>
      <c r="C8081" s="5" t="str">
        <f>IFERROR(__xludf.DUMMYFUNCTION("GOOGLETRANSLATE(B8081,""en"",""zh-CN"")"),"这个男孩开始焊接产生极端的火火花，就像他面前在焊接的材料上发生的反应一样。")</f>
        <v>这个男孩开始焊接产生极端的火火花，就像他面前在焊接的材料上发生的反应一样。</v>
      </c>
    </row>
    <row r="8082">
      <c r="A8082" s="4" t="s">
        <v>10158</v>
      </c>
      <c r="B8082" s="6" t="s">
        <v>10162</v>
      </c>
      <c r="C8082" s="5" t="str">
        <f>IFERROR(__xludf.DUMMYFUNCTION("GOOGLETRANSLATE(B8082,""en"",""zh-CN"")"),"这个男孩展示了工具的红色热尖，完成焊接，然后将相机刷给另一个穿着相同保护性焊接装备的小男孩。")</f>
        <v>这个男孩展示了工具的红色热尖，完成焊接，然后将相机刷给另一个穿着相同保护性焊接装备的小男孩。</v>
      </c>
    </row>
    <row r="8083">
      <c r="A8083" s="4" t="s">
        <v>10163</v>
      </c>
      <c r="B8083" s="4" t="s">
        <v>10164</v>
      </c>
      <c r="C8083" s="5" t="str">
        <f>IFERROR(__xludf.DUMMYFUNCTION("GOOGLETRANSLATE(B8083,""en"",""zh-CN"")"),"显示了几个剃须刀的特写镜头，该剃须刀导致一个人剃光另一个人的脸。")</f>
        <v>显示了几个剃须刀的特写镜头，该剃须刀导致一个人剃光另一个人的脸。</v>
      </c>
    </row>
    <row r="8084">
      <c r="A8084" s="4" t="s">
        <v>10163</v>
      </c>
      <c r="B8084" s="4" t="s">
        <v>10165</v>
      </c>
      <c r="C8084" s="5" t="str">
        <f>IFERROR(__xludf.DUMMYFUNCTION("GOOGLETRANSLATE(B8084,""en"",""zh-CN"")"),"该男子再次用剃须刀涂上奶油并开始剃须。")</f>
        <v>该男子再次用剃须刀涂上奶油并开始剃须。</v>
      </c>
    </row>
    <row r="8085">
      <c r="A8085" s="4" t="s">
        <v>10163</v>
      </c>
      <c r="B8085" s="4" t="s">
        <v>10166</v>
      </c>
      <c r="C8085" s="5" t="str">
        <f>IFERROR(__xludf.DUMMYFUNCTION("GOOGLETRANSLATE(B8085,""en"",""zh-CN"")"),"该男子另一方使用各种工具来剃须，并与相机交谈。")</f>
        <v>该男子另一方使用各种工具来剃须，并与相机交谈。</v>
      </c>
    </row>
    <row r="8086">
      <c r="A8086" s="4" t="s">
        <v>10167</v>
      </c>
      <c r="B8086" s="4" t="s">
        <v>10168</v>
      </c>
      <c r="C8086" s="5" t="str">
        <f>IFERROR(__xludf.DUMMYFUNCTION("GOOGLETRANSLATE(B8086,""en"",""zh-CN"")"),"一位年轻女士展示了一个美务奶油瓶。")</f>
        <v>一位年轻女士展示了一个美务奶油瓶。</v>
      </c>
    </row>
    <row r="8087">
      <c r="A8087" s="4" t="s">
        <v>10167</v>
      </c>
      <c r="B8087" s="4" t="s">
        <v>10169</v>
      </c>
      <c r="C8087" s="5" t="str">
        <f>IFERROR(__xludf.DUMMYFUNCTION("GOOGLETRANSLATE(B8087,""en"",""zh-CN"")"),"然后，年轻的女孩将奶油放在HRS手指上，并揉了揉肩膀。")</f>
        <v>然后，年轻的女孩将奶油放在HRS手指上，并揉了揉肩膀。</v>
      </c>
    </row>
    <row r="8088">
      <c r="A8088" s="4" t="s">
        <v>10170</v>
      </c>
      <c r="B8088" s="4" t="s">
        <v>10171</v>
      </c>
      <c r="C8088" s="5" t="str">
        <f>IFERROR(__xludf.DUMMYFUNCTION("GOOGLETRANSLATE(B8088,""en"",""zh-CN"")"),"WWE专业摔跤的视频游戏开始，一场比赛中有三场比赛。")</f>
        <v>WWE专业摔跤的视频游戏开始，一场比赛中有三场比赛。</v>
      </c>
    </row>
    <row r="8089">
      <c r="A8089" s="4" t="s">
        <v>10170</v>
      </c>
      <c r="B8089" s="6" t="s">
        <v>10172</v>
      </c>
      <c r="C8089" s="5" t="str">
        <f>IFERROR(__xludf.DUMMYFUNCTION("GOOGLETRANSLATE(B8089,""en"",""zh-CN"")"),"控制罗马人统治的球员对他的对手有了重大的举动，他的球队进攻大量协调。")</f>
        <v>控制罗马人统治的球员对他的对手有了重大的举动，他的球队进攻大量协调。</v>
      </c>
    </row>
    <row r="8090">
      <c r="A8090" s="4" t="s">
        <v>10173</v>
      </c>
      <c r="B8090" s="4" t="s">
        <v>10174</v>
      </c>
      <c r="C8090" s="5" t="str">
        <f>IFERROR(__xludf.DUMMYFUNCTION("GOOGLETRANSLATE(B8090,""en"",""zh-CN"")"),"男人正在骑谷仓里骑马，并用绳子抓住了公牛。")</f>
        <v>男人正在骑谷仓里骑马，并用绳子抓住了公牛。</v>
      </c>
    </row>
    <row r="8091">
      <c r="A8091" s="4" t="s">
        <v>10173</v>
      </c>
      <c r="B8091" s="4" t="s">
        <v>10175</v>
      </c>
      <c r="C8091" s="5" t="str">
        <f>IFERROR(__xludf.DUMMYFUNCTION("GOOGLETRANSLATE(B8091,""en"",""zh-CN"")"),"人站在Te Barn的一边。")</f>
        <v>人站在Te Barn的一边。</v>
      </c>
    </row>
    <row r="8092">
      <c r="A8092" s="4" t="s">
        <v>10176</v>
      </c>
      <c r="B8092" s="6" t="s">
        <v>10177</v>
      </c>
      <c r="C8092" s="5" t="str">
        <f>IFERROR(__xludf.DUMMYFUNCTION("GOOGLETRANSLATE(B8092,""en"",""zh-CN"")"),"看到一个男人在相机上说话，然后进入他将液体倒入碗中，然后将其摩擦到木制物体中。")</f>
        <v>看到一个男人在相机上说话，然后进入他将液体倒入碗中，然后将其摩擦到木制物体中。</v>
      </c>
    </row>
    <row r="8093">
      <c r="A8093" s="4" t="s">
        <v>10176</v>
      </c>
      <c r="B8093" s="6" t="s">
        <v>10178</v>
      </c>
      <c r="C8093" s="5" t="str">
        <f>IFERROR(__xludf.DUMMYFUNCTION("GOOGLETRANSLATE(B8093,""en"",""zh-CN"")"),"然后，他用刷子将其绘制在该区域，然后将织物钉在后面，形成椅子，然后将相机锅放下。")</f>
        <v>然后，他用刷子将其绘制在该区域，然后将织物钉在后面，形成椅子，然后将相机锅放下。</v>
      </c>
    </row>
    <row r="8094">
      <c r="A8094" s="4" t="s">
        <v>10179</v>
      </c>
      <c r="B8094" s="4" t="s">
        <v>10180</v>
      </c>
      <c r="C8094" s="5" t="str">
        <f>IFERROR(__xludf.DUMMYFUNCTION("GOOGLETRANSLATE(B8094,""en"",""zh-CN"")"),"一个女人旋转一个小男孩。")</f>
        <v>一个女人旋转一个小男孩。</v>
      </c>
    </row>
    <row r="8095">
      <c r="A8095" s="4" t="s">
        <v>10179</v>
      </c>
      <c r="B8095" s="4" t="s">
        <v>10181</v>
      </c>
      <c r="C8095" s="5" t="str">
        <f>IFERROR(__xludf.DUMMYFUNCTION("GOOGLETRANSLATE(B8095,""en"",""zh-CN"")"),"这个男孩拿着一根长棍子，戴着眼罩。")</f>
        <v>这个男孩拿着一根长棍子，戴着眼罩。</v>
      </c>
    </row>
    <row r="8096">
      <c r="A8096" s="4" t="s">
        <v>10179</v>
      </c>
      <c r="B8096" s="4" t="s">
        <v>10182</v>
      </c>
      <c r="C8096" s="5" t="str">
        <f>IFERROR(__xludf.DUMMYFUNCTION("GOOGLETRANSLATE(B8096,""en"",""zh-CN"")"),"女人停止旋转男孩，并将他瞄准天花板上悬挂的皮纳塔。")</f>
        <v>女人停止旋转男孩，并将他瞄准天花板上悬挂的皮纳塔。</v>
      </c>
    </row>
    <row r="8097">
      <c r="A8097" s="4" t="s">
        <v>10179</v>
      </c>
      <c r="B8097" s="4" t="s">
        <v>10183</v>
      </c>
      <c r="C8097" s="5" t="str">
        <f>IFERROR(__xludf.DUMMYFUNCTION("GOOGLETRANSLATE(B8097,""en"",""zh-CN"")"),"这个男孩挥舞着击中皮纳塔。")</f>
        <v>这个男孩挥舞着击中皮纳塔。</v>
      </c>
    </row>
    <row r="8098">
      <c r="A8098" s="4" t="s">
        <v>10179</v>
      </c>
      <c r="B8098" s="4" t="s">
        <v>10184</v>
      </c>
      <c r="C8098" s="5" t="str">
        <f>IFERROR(__xludf.DUMMYFUNCTION("GOOGLETRANSLATE(B8098,""en"",""zh-CN"")"),"然后，他摇摆并错过了很多次。")</f>
        <v>然后，他摇摆并错过了很多次。</v>
      </c>
    </row>
    <row r="8099">
      <c r="A8099" s="4" t="s">
        <v>10179</v>
      </c>
      <c r="B8099" s="4" t="s">
        <v>10185</v>
      </c>
      <c r="C8099" s="5" t="str">
        <f>IFERROR(__xludf.DUMMYFUNCTION("GOOGLETRANSLATE(B8099,""en"",""zh-CN"")"),"这个男孩终于放弃了，蒙住了眼罩。")</f>
        <v>这个男孩终于放弃了，蒙住了眼罩。</v>
      </c>
    </row>
    <row r="8100">
      <c r="A8100" s="4" t="s">
        <v>10179</v>
      </c>
      <c r="B8100" s="4" t="s">
        <v>10186</v>
      </c>
      <c r="C8100" s="5" t="str">
        <f>IFERROR(__xludf.DUMMYFUNCTION("GOOGLETRANSLATE(B8100,""en"",""zh-CN"")"),"另一个女人走进去，在皮纳塔附近停下来。")</f>
        <v>另一个女人走进去，在皮纳塔附近停下来。</v>
      </c>
    </row>
    <row r="8101">
      <c r="A8101" s="4" t="s">
        <v>10187</v>
      </c>
      <c r="B8101" s="6" t="s">
        <v>10188</v>
      </c>
      <c r="C8101" s="5" t="str">
        <f>IFERROR(__xludf.DUMMYFUNCTION("GOOGLETRANSLATE(B8101,""en"",""zh-CN"")"),"一个小男孩在外面穿过绿色的田野，然后他再次戴着绿色头盔和手中的棍子，形状像桨一样。")</f>
        <v>一个小男孩在外面穿过绿色的田野，然后他再次戴着绿色头盔和手中的棍子，形状像桨一样。</v>
      </c>
    </row>
    <row r="8102">
      <c r="A8102" s="4" t="s">
        <v>10187</v>
      </c>
      <c r="B8102" s="6" t="s">
        <v>10189</v>
      </c>
      <c r="C8102" s="5" t="str">
        <f>IFERROR(__xludf.DUMMYFUNCTION("GOOGLETRANSLATE(B8102,""en"",""zh-CN"")"),"然后，男孩与他的其他团队一起聚集，他们站在一条线上，开始互相争夺。")</f>
        <v>然后，男孩与他的其他团队一起聚集，他们站在一条线上，开始互相争夺。</v>
      </c>
    </row>
    <row r="8103">
      <c r="A8103" s="4" t="s">
        <v>10187</v>
      </c>
      <c r="B8103" s="6" t="s">
        <v>10190</v>
      </c>
      <c r="C8103" s="5" t="str">
        <f>IFERROR(__xludf.DUMMYFUNCTION("GOOGLETRANSLATE(B8103,""en"",""zh-CN"")"),"随着比赛的继续，孩子们在球场上来回奔跑，教练在他们身后落后。")</f>
        <v>随着比赛的继续，孩子们在球场上来回奔跑，教练在他们身后落后。</v>
      </c>
    </row>
    <row r="8104">
      <c r="A8104" s="4" t="s">
        <v>10191</v>
      </c>
      <c r="B8104" s="4" t="s">
        <v>10192</v>
      </c>
      <c r="C8104" s="5" t="str">
        <f>IFERROR(__xludf.DUMMYFUNCTION("GOOGLETRANSLATE(B8104,""en"",""zh-CN"")"),"屏幕上说三重跳。")</f>
        <v>屏幕上说三重跳。</v>
      </c>
    </row>
    <row r="8105">
      <c r="A8105" s="4" t="s">
        <v>10191</v>
      </c>
      <c r="B8105" s="4" t="s">
        <v>10193</v>
      </c>
      <c r="C8105" s="5" t="str">
        <f>IFERROR(__xludf.DUMMYFUNCTION("GOOGLETRANSLATE(B8105,""en"",""zh-CN"")"),"一个人在跑步之前站在田野里，跳入一片泥土。")</f>
        <v>一个人在跑步之前站在田野里，跳入一片泥土。</v>
      </c>
    </row>
    <row r="8106">
      <c r="A8106" s="4" t="s">
        <v>10191</v>
      </c>
      <c r="B8106" s="4" t="s">
        <v>10194</v>
      </c>
      <c r="C8106" s="5" t="str">
        <f>IFERROR(__xludf.DUMMYFUNCTION("GOOGLETRANSLATE(B8106,""en"",""zh-CN"")"),"他离开跳跃，与镜头交谈。")</f>
        <v>他离开跳跃，与镜头交谈。</v>
      </c>
    </row>
    <row r="8107">
      <c r="A8107" s="4" t="s">
        <v>10191</v>
      </c>
      <c r="B8107" s="4" t="s">
        <v>10195</v>
      </c>
      <c r="C8107" s="5" t="str">
        <f>IFERROR(__xludf.DUMMYFUNCTION("GOOGLETRANSLATE(B8107,""en"",""zh-CN"")"),"它再次以慢动作显示。")</f>
        <v>它再次以慢动作显示。</v>
      </c>
    </row>
    <row r="8108">
      <c r="A8108" s="4" t="s">
        <v>10196</v>
      </c>
      <c r="B8108" s="6" t="s">
        <v>10197</v>
      </c>
      <c r="C8108" s="5" t="str">
        <f>IFERROR(__xludf.DUMMYFUNCTION("GOOGLETRANSLATE(B8108,""en"",""zh-CN"")"),"一个穿着蓝色的运动男子接近体操马，站在那儿，凝视着几秒钟。")</f>
        <v>一个穿着蓝色的运动男子接近体操马，站在那儿，凝视着几秒钟。</v>
      </c>
    </row>
    <row r="8109">
      <c r="A8109" s="4" t="s">
        <v>10196</v>
      </c>
      <c r="B8109" s="6" t="s">
        <v>10198</v>
      </c>
      <c r="C8109" s="5" t="str">
        <f>IFERROR(__xludf.DUMMYFUNCTION("GOOGLETRANSLATE(B8109,""en"",""zh-CN"")"),"然后，该男子接近它，将他的两只手放在上面，并开始对其进行各种动作，在他的体操马周围扭动，转弯和操纵自己的身体。")</f>
        <v>然后，该男子接近它，将他的两只手放在上面，并开始对其进行各种动作，在他的体操马周围扭动，转弯和操纵自己的身体。</v>
      </c>
    </row>
    <row r="8110">
      <c r="A8110" s="4" t="s">
        <v>10196</v>
      </c>
      <c r="B8110" s="6" t="s">
        <v>10199</v>
      </c>
      <c r="C8110" s="5" t="str">
        <f>IFERROR(__xludf.DUMMYFUNCTION("GOOGLETRANSLATE(B8110,""en"",""zh-CN"")"),"这个人完成了例行的末端，跳下了两脚的体操马，将他的两只手臂握在空中，一次拍手，然后鞠躬。")</f>
        <v>这个人完成了例行的末端，跳下了两脚的体操马，将他的两只手臂握在空中，一次拍手，然后鞠躬。</v>
      </c>
    </row>
    <row r="8111">
      <c r="A8111" s="4" t="s">
        <v>10200</v>
      </c>
      <c r="B8111" s="4" t="s">
        <v>10201</v>
      </c>
      <c r="C8111" s="5" t="str">
        <f>IFERROR(__xludf.DUMMYFUNCTION("GOOGLETRANSLATE(B8111,""en"",""zh-CN"")"),"人们在玩彩弹比赛的障碍物四处奔跑。")</f>
        <v>人们在玩彩弹比赛的障碍物四处奔跑。</v>
      </c>
    </row>
    <row r="8112">
      <c r="A8112" s="4" t="s">
        <v>10200</v>
      </c>
      <c r="B8112" s="4" t="s">
        <v>10202</v>
      </c>
      <c r="C8112" s="5" t="str">
        <f>IFERROR(__xludf.DUMMYFUNCTION("GOOGLETRANSLATE(B8112,""en"",""zh-CN"")"),"一个男孩围着一个角落看着地面。")</f>
        <v>一个男孩围着一个角落看着地面。</v>
      </c>
    </row>
    <row r="8113">
      <c r="A8113" s="4" t="s">
        <v>10200</v>
      </c>
      <c r="B8113" s="4" t="s">
        <v>10203</v>
      </c>
      <c r="C8113" s="5" t="str">
        <f>IFERROR(__xludf.DUMMYFUNCTION("GOOGLETRANSLATE(B8113,""en"",""zh-CN"")"),"屏幕上显示了美国国旗。")</f>
        <v>屏幕上显示了美国国旗。</v>
      </c>
    </row>
    <row r="8114">
      <c r="A8114" s="4" t="s">
        <v>10204</v>
      </c>
      <c r="B8114" s="6" t="s">
        <v>10205</v>
      </c>
      <c r="C8114" s="5" t="str">
        <f>IFERROR(__xludf.DUMMYFUNCTION("GOOGLETRANSLATE(B8114,""en"",""zh-CN"")"),"有一个男人戴着白色的背心和蓝色的硬帽在一条带有双面桨的黄色行船上划船。")</f>
        <v>有一个男人戴着白色的背心和蓝色的硬帽在一条带有双面桨的黄色行船上划船。</v>
      </c>
    </row>
    <row r="8115">
      <c r="A8115" s="4" t="s">
        <v>10204</v>
      </c>
      <c r="B8115" s="4" t="s">
        <v>10206</v>
      </c>
      <c r="C8115" s="5" t="str">
        <f>IFERROR(__xludf.DUMMYFUNCTION("GOOGLETRANSLATE(B8115,""en"",""zh-CN"")"),"他正在展示正确的方法，同时又保持了船。")</f>
        <v>他正在展示正确的方法，同时又保持了船。</v>
      </c>
    </row>
    <row r="8116">
      <c r="A8116" s="4" t="s">
        <v>10204</v>
      </c>
      <c r="B8116" s="4" t="s">
        <v>10207</v>
      </c>
      <c r="C8116" s="5" t="str">
        <f>IFERROR(__xludf.DUMMYFUNCTION("GOOGLETRANSLATE(B8116,""en"",""zh-CN"")"),"他在水体中，有一些强波。")</f>
        <v>他在水体中，有一些强波。</v>
      </c>
    </row>
    <row r="8117">
      <c r="A8117" s="4" t="s">
        <v>10204</v>
      </c>
      <c r="B8117" s="4" t="s">
        <v>10208</v>
      </c>
      <c r="C8117" s="5" t="str">
        <f>IFERROR(__xludf.DUMMYFUNCTION("GOOGLETRANSLATE(B8117,""en"",""zh-CN"")"),"他正在展示如何用桨来对抗水流。")</f>
        <v>他正在展示如何用桨来对抗水流。</v>
      </c>
    </row>
    <row r="8118">
      <c r="A8118" s="4" t="s">
        <v>10204</v>
      </c>
      <c r="B8118" s="4" t="s">
        <v>10209</v>
      </c>
      <c r="C8118" s="5" t="str">
        <f>IFERROR(__xludf.DUMMYFUNCTION("GOOGLETRANSLATE(B8118,""en"",""zh-CN"")"),"当他演示如何与强大的海浪划船时，他走了圈。")</f>
        <v>当他演示如何与强大的海浪划船时，他走了圈。</v>
      </c>
    </row>
    <row r="8119">
      <c r="A8119" s="4" t="s">
        <v>10210</v>
      </c>
      <c r="B8119" s="4" t="s">
        <v>10211</v>
      </c>
      <c r="C8119" s="5" t="str">
        <f>IFERROR(__xludf.DUMMYFUNCTION("GOOGLETRANSLATE(B8119,""en"",""zh-CN"")"),"男人在桌子的两侧玩比尔彭。")</f>
        <v>男人在桌子的两侧玩比尔彭。</v>
      </c>
    </row>
    <row r="8120">
      <c r="A8120" s="4" t="s">
        <v>10210</v>
      </c>
      <c r="B8120" s="4" t="s">
        <v>10212</v>
      </c>
      <c r="C8120" s="5" t="str">
        <f>IFERROR(__xludf.DUMMYFUNCTION("GOOGLETRANSLATE(B8120,""en"",""zh-CN"")"),"一个男人坐在桌子旁的椅子上，看着男人在玩耍。")</f>
        <v>一个男人坐在桌子旁的椅子上，看着男人在玩耍。</v>
      </c>
    </row>
    <row r="8121">
      <c r="A8121" s="4" t="s">
        <v>10210</v>
      </c>
      <c r="B8121" s="4" t="s">
        <v>10213</v>
      </c>
      <c r="C8121" s="5" t="str">
        <f>IFERROR(__xludf.DUMMYFUNCTION("GOOGLETRANSLATE(B8121,""en"",""zh-CN"")"),"这些人在桌子上容纳杯子。")</f>
        <v>这些人在桌子上容纳杯子。</v>
      </c>
    </row>
    <row r="8122">
      <c r="A8122" s="4" t="s">
        <v>10214</v>
      </c>
      <c r="B8122" s="4" t="s">
        <v>10215</v>
      </c>
      <c r="C8122" s="5" t="str">
        <f>IFERROR(__xludf.DUMMYFUNCTION("GOOGLETRANSLATE(B8122,""en"",""zh-CN"")"),"看到各种各样的人站在一个开放区域，与他们的狗一起表演了多个技巧。")</f>
        <v>看到各种各样的人站在一个开放区域，与他们的狗一起表演了多个技巧。</v>
      </c>
    </row>
    <row r="8123">
      <c r="A8123" s="4" t="s">
        <v>10214</v>
      </c>
      <c r="B8123" s="4" t="s">
        <v>10216</v>
      </c>
      <c r="C8123" s="5" t="str">
        <f>IFERROR(__xludf.DUMMYFUNCTION("GOOGLETRANSLATE(B8123,""en"",""zh-CN"")"),"许多人在场外观看，越来越多的人继续和他们的狗一起展示技巧。")</f>
        <v>许多人在场外观看，越来越多的人继续和他们的狗一起展示技巧。</v>
      </c>
    </row>
    <row r="8124">
      <c r="A8124" s="4" t="s">
        <v>10214</v>
      </c>
      <c r="B8124" s="4" t="s">
        <v>10217</v>
      </c>
      <c r="C8124" s="5" t="str">
        <f>IFERROR(__xludf.DUMMYFUNCTION("GOOGLETRANSLATE(B8124,""en"",""zh-CN"")"),"几个人接受了摄像机的采访，并带来了更多的技巧。")</f>
        <v>几个人接受了摄像机的采访，并带来了更多的技巧。</v>
      </c>
    </row>
    <row r="8125">
      <c r="A8125" s="4" t="s">
        <v>10218</v>
      </c>
      <c r="B8125" s="4" t="s">
        <v>10219</v>
      </c>
      <c r="C8125" s="5" t="str">
        <f>IFERROR(__xludf.DUMMYFUNCTION("GOOGLETRANSLATE(B8125,""en"",""zh-CN"")"),"一群鼓手在超级舞会内踢球。")</f>
        <v>一群鼓手在超级舞会内踢球。</v>
      </c>
    </row>
    <row r="8126">
      <c r="A8126" s="4" t="s">
        <v>10218</v>
      </c>
      <c r="B8126" s="4" t="s">
        <v>10220</v>
      </c>
      <c r="C8126" s="5" t="str">
        <f>IFERROR(__xludf.DUMMYFUNCTION("GOOGLETRANSLATE(B8126,""en"",""zh-CN"")"),"几位低音鼓手似乎穿着球衣。")</f>
        <v>几位低音鼓手似乎穿着球衣。</v>
      </c>
    </row>
    <row r="8127">
      <c r="A8127" s="4" t="s">
        <v>10218</v>
      </c>
      <c r="B8127" s="4" t="s">
        <v>10221</v>
      </c>
      <c r="C8127" s="5" t="str">
        <f>IFERROR(__xludf.DUMMYFUNCTION("GOOGLETRANSLATE(B8127,""en"",""zh-CN"")"),"当人们在他们之间行走时，他们都会打个节奏。")</f>
        <v>当人们在他们之间行走时，他们都会打个节奏。</v>
      </c>
    </row>
    <row r="8128">
      <c r="A8128" s="4" t="s">
        <v>10222</v>
      </c>
      <c r="B8128" s="4" t="s">
        <v>10223</v>
      </c>
      <c r="C8128" s="5" t="str">
        <f>IFERROR(__xludf.DUMMYFUNCTION("GOOGLETRANSLATE(B8128,""en"",""zh-CN"")"),"黑屏上出现了白色单词，上面写着“ Sport Bez Barier Curling Na Wozkach”。")</f>
        <v>黑屏上出现了白色单词，上面写着“ Sport Bez Barier Curling Na Wozkach”。</v>
      </c>
    </row>
    <row r="8129">
      <c r="A8129" s="4" t="s">
        <v>10222</v>
      </c>
      <c r="B8129" s="6" t="s">
        <v>10224</v>
      </c>
      <c r="C8129" s="5" t="str">
        <f>IFERROR(__xludf.DUMMYFUNCTION("GOOGLETRANSLATE(B8129,""en"",""zh-CN"")"),"现在，一个冰上的清洁器正在溜冰场上，然后坐在轮椅上的人开始前往溜冰场。")</f>
        <v>现在，一个冰上的清洁器正在溜冰场上，然后坐在轮椅上的人开始前往溜冰场。</v>
      </c>
    </row>
    <row r="8130">
      <c r="A8130" s="4" t="s">
        <v>10222</v>
      </c>
      <c r="B8130" s="6" t="s">
        <v>10225</v>
      </c>
      <c r="C8130" s="5" t="str">
        <f>IFERROR(__xludf.DUMMYFUNCTION("GOOGLETRANSLATE(B8130,""en"",""zh-CN"")"),"坐在轮椅上的女人开始讲话，屏幕上的单词说她的名字叫“ Agnieszka Kachel”。")</f>
        <v>坐在轮椅上的女人开始讲话，屏幕上的单词说她的名字叫“ Agnieszka Kachel”。</v>
      </c>
    </row>
    <row r="8131">
      <c r="A8131" s="4" t="s">
        <v>10222</v>
      </c>
      <c r="B8131" s="6" t="s">
        <v>10226</v>
      </c>
      <c r="C8131" s="5" t="str">
        <f>IFERROR(__xludf.DUMMYFUNCTION("GOOGLETRANSLATE(B8131,""en"",""zh-CN"")"),"溜冰场再次显示，它显示了带有五颜六色上衣的灰色物体，并用轮椅上的人们握着的棍子将其推在冰上，它来回切换到那个独自说话的女人，并与冰上的人说话。")</f>
        <v>溜冰场再次显示，它显示了带有五颜六色上衣的灰色物体，并用轮椅上的人们握着的棍子将其推在冰上，它来回切换到那个独自说话的女人，并与冰上的人说话。</v>
      </c>
    </row>
    <row r="8132">
      <c r="A8132" s="4" t="s">
        <v>10222</v>
      </c>
      <c r="B8132" s="4" t="s">
        <v>10227</v>
      </c>
      <c r="C8132" s="5" t="str">
        <f>IFERROR(__xludf.DUMMYFUNCTION("GOOGLETRANSLATE(B8132,""en"",""zh-CN"")"),"出现白色的Outro屏幕，上面有黑色字母，其中包括名称，网站和徽标的列表。")</f>
        <v>出现白色的Outro屏幕，上面有黑色字母，其中包括名称，网站和徽标的列表。</v>
      </c>
    </row>
    <row r="8133">
      <c r="A8133" s="4" t="s">
        <v>10228</v>
      </c>
      <c r="B8133" s="6" t="s">
        <v>10229</v>
      </c>
      <c r="C8133" s="5" t="str">
        <f>IFERROR(__xludf.DUMMYFUNCTION("GOOGLETRANSLATE(B8133,""en"",""zh-CN"")"),"看到一名体操运动员爬上一组不平坦的条，进行例行活动，而许多人则在侧面观看。")</f>
        <v>看到一名体操运动员爬上一组不平坦的条，进行例行活动，而许多人则在侧面观看。</v>
      </c>
    </row>
    <row r="8134">
      <c r="A8134" s="4" t="s">
        <v>10228</v>
      </c>
      <c r="B8134" s="4" t="s">
        <v>10230</v>
      </c>
      <c r="C8134" s="5" t="str">
        <f>IFERROR(__xludf.DUMMYFUNCTION("GOOGLETRANSLATE(B8134,""en"",""zh-CN"")"),"他通过跳下并举起手臂来表演各种翻转和窍门。")</f>
        <v>他通过跳下并举起手臂来表演各种翻转和窍门。</v>
      </c>
    </row>
    <row r="8135">
      <c r="A8135" s="4" t="s">
        <v>10231</v>
      </c>
      <c r="B8135" s="4" t="s">
        <v>10232</v>
      </c>
      <c r="C8135" s="5" t="str">
        <f>IFERROR(__xludf.DUMMYFUNCTION("GOOGLETRANSLATE(B8135,""en"",""zh-CN"")"),"一个男人在镜子前洗脸。")</f>
        <v>一个男人在镜子前洗脸。</v>
      </c>
    </row>
    <row r="8136">
      <c r="A8136" s="4" t="s">
        <v>10231</v>
      </c>
      <c r="B8136" s="4" t="s">
        <v>10233</v>
      </c>
      <c r="C8136" s="5" t="str">
        <f>IFERROR(__xludf.DUMMYFUNCTION("GOOGLETRANSLATE(B8136,""en"",""zh-CN"")"),"他嘲笑相机。")</f>
        <v>他嘲笑相机。</v>
      </c>
    </row>
    <row r="8137">
      <c r="A8137" s="4" t="s">
        <v>10231</v>
      </c>
      <c r="B8137" s="4" t="s">
        <v>10234</v>
      </c>
      <c r="C8137" s="5" t="str">
        <f>IFERROR(__xludf.DUMMYFUNCTION("GOOGLETRANSLATE(B8137,""en"",""zh-CN"")"),"他再揉一些脸。")</f>
        <v>他再揉一些脸。</v>
      </c>
    </row>
    <row r="8138">
      <c r="A8138" s="4" t="s">
        <v>10231</v>
      </c>
      <c r="B8138" s="4" t="s">
        <v>10235</v>
      </c>
      <c r="C8138" s="5" t="str">
        <f>IFERROR(__xludf.DUMMYFUNCTION("GOOGLETRANSLATE(B8138,""en"",""zh-CN"")"),"他弯腰冲洗水槽。")</f>
        <v>他弯腰冲洗水槽。</v>
      </c>
    </row>
    <row r="8139">
      <c r="A8139" s="4" t="s">
        <v>10236</v>
      </c>
      <c r="B8139" s="4" t="s">
        <v>10237</v>
      </c>
      <c r="C8139" s="5" t="str">
        <f>IFERROR(__xludf.DUMMYFUNCTION("GOOGLETRANSLATE(B8139,""en"",""zh-CN"")"),"一个男人正在积极地踩着吉他。")</f>
        <v>一个男人正在积极地踩着吉他。</v>
      </c>
    </row>
    <row r="8140">
      <c r="A8140" s="4" t="s">
        <v>10236</v>
      </c>
      <c r="B8140" s="4" t="s">
        <v>10238</v>
      </c>
      <c r="C8140" s="5" t="str">
        <f>IFERROR(__xludf.DUMMYFUNCTION("GOOGLETRANSLATE(B8140,""en"",""zh-CN"")"),"另一个带有蓝色吉他的人正在弹奏和敲打吉他。")</f>
        <v>另一个带有蓝色吉他的人正在弹奏和敲打吉他。</v>
      </c>
    </row>
    <row r="8141">
      <c r="A8141" s="4" t="s">
        <v>10236</v>
      </c>
      <c r="B8141" s="6" t="s">
        <v>10239</v>
      </c>
      <c r="C8141" s="5" t="str">
        <f>IFERROR(__xludf.DUMMYFUNCTION("GOOGLETRANSLATE(B8141,""en"",""zh-CN"")"),"一个穿着电吉他的红色衬衫的男人正在敲打脚步节奏并演奏曲调。")</f>
        <v>一个穿着电吉他的红色衬衫的男人正在敲打脚步节奏并演奏曲调。</v>
      </c>
    </row>
    <row r="8142">
      <c r="A8142" s="4" t="s">
        <v>10236</v>
      </c>
      <c r="B8142" s="4" t="s">
        <v>10240</v>
      </c>
      <c r="C8142" s="5" t="str">
        <f>IFERROR(__xludf.DUMMYFUNCTION("GOOGLETRANSLATE(B8142,""en"",""zh-CN"")"),"他在表演或曲调上起作用。")</f>
        <v>他在表演或曲调上起作用。</v>
      </c>
    </row>
    <row r="8143">
      <c r="A8143" s="4" t="s">
        <v>10241</v>
      </c>
      <c r="B8143" s="6" t="s">
        <v>10242</v>
      </c>
      <c r="C8143" s="5" t="str">
        <f>IFERROR(__xludf.DUMMYFUNCTION("GOOGLETRANSLATE(B8143,""en"",""zh-CN"")"),"一个穿着红色服装的女人举起手脚，以缓慢而有条不紊的方式交替。")</f>
        <v>一个穿着红色服装的女人举起手脚，以缓慢而有条不紊的方式交替。</v>
      </c>
    </row>
    <row r="8144">
      <c r="A8144" s="4" t="s">
        <v>10241</v>
      </c>
      <c r="B8144" s="4" t="s">
        <v>10243</v>
      </c>
      <c r="C8144" s="5" t="str">
        <f>IFERROR(__xludf.DUMMYFUNCTION("GOOGLETRANSLATE(B8144,""en"",""zh-CN"")"),"她在舞台上演出，来回流动。")</f>
        <v>她在舞台上演出，来回流动。</v>
      </c>
    </row>
    <row r="8145">
      <c r="A8145" s="4" t="s">
        <v>10241</v>
      </c>
      <c r="B8145" s="6" t="s">
        <v>10244</v>
      </c>
      <c r="C8145" s="5" t="str">
        <f>IFERROR(__xludf.DUMMYFUNCTION("GOOGLETRANSLATE(B8145,""en"",""zh-CN"")"),"该名女子朝着几个不同的方向转向，在直立直立并仍然是她的结局之前提供了不同的动作。")</f>
        <v>该名女子朝着几个不同的方向转向，在直立直立并仍然是她的结局之前提供了不同的动作。</v>
      </c>
    </row>
    <row r="8146">
      <c r="A8146" s="4" t="s">
        <v>10245</v>
      </c>
      <c r="B8146" s="4" t="s">
        <v>10246</v>
      </c>
      <c r="C8146" s="5" t="str">
        <f>IFERROR(__xludf.DUMMYFUNCTION("GOOGLETRANSLATE(B8146,""en"",""zh-CN"")"),"黑屏上有白色的缩放文本，上面有女孩表演不均匀的酒吧。")</f>
        <v>黑屏上有白色的缩放文本，上面有女孩表演不均匀的酒吧。</v>
      </c>
    </row>
    <row r="8147">
      <c r="A8147" s="4" t="s">
        <v>10245</v>
      </c>
      <c r="B8147" s="6" t="s">
        <v>10247</v>
      </c>
      <c r="C8147" s="5" t="str">
        <f>IFERROR(__xludf.DUMMYFUNCTION("GOOGLETRANSLATE(B8147,""en"",""zh-CN"")"),"一名体操运动员大步走到不平坦的酒吧，跳下了木板，抓住了酒吧，穿过她的日常活动。")</f>
        <v>一名体操运动员大步走到不平坦的酒吧，跳下了木板，抓住了酒吧，穿过她的日常活动。</v>
      </c>
    </row>
    <row r="8148">
      <c r="A8148" s="4" t="s">
        <v>10245</v>
      </c>
      <c r="B8148" s="4" t="s">
        <v>10248</v>
      </c>
      <c r="C8148" s="5" t="str">
        <f>IFERROR(__xludf.DUMMYFUNCTION("GOOGLETRANSLATE(B8148,""en"",""zh-CN"")"),"屏幕上有一些文字描述她必须做什么。")</f>
        <v>屏幕上有一些文字描述她必须做什么。</v>
      </c>
    </row>
    <row r="8149">
      <c r="A8149" s="4" t="s">
        <v>10245</v>
      </c>
      <c r="B8149" s="4" t="s">
        <v>10249</v>
      </c>
      <c r="C8149" s="5" t="str">
        <f>IFERROR(__xludf.DUMMYFUNCTION("GOOGLETRANSLATE(B8149,""en"",""zh-CN"")"),"当人群欢呼时，她结束了例行程序，并降落在垫子上。")</f>
        <v>当人群欢呼时，她结束了例行程序，并降落在垫子上。</v>
      </c>
    </row>
    <row r="8150">
      <c r="A8150" s="4" t="s">
        <v>10245</v>
      </c>
      <c r="B8150" s="4" t="s">
        <v>10250</v>
      </c>
      <c r="C8150" s="5" t="str">
        <f>IFERROR(__xludf.DUMMYFUNCTION("GOOGLETRANSLATE(B8150,""en"",""zh-CN"")"),"出现了带有白色文字的黑屏，然后是体操运动员得分。")</f>
        <v>出现了带有白色文字的黑屏，然后是体操运动员得分。</v>
      </c>
    </row>
    <row r="8151">
      <c r="A8151" s="4" t="s">
        <v>10251</v>
      </c>
      <c r="B8151" s="4" t="s">
        <v>10252</v>
      </c>
      <c r="C8151" s="5" t="str">
        <f>IFERROR(__xludf.DUMMYFUNCTION("GOOGLETRANSLATE(B8151,""en"",""zh-CN"")"),"看到一群人坐在骑自行车上，在赛道前等待。")</f>
        <v>看到一群人坐在骑自行车上，在赛道前等待。</v>
      </c>
    </row>
    <row r="8152">
      <c r="A8152" s="4" t="s">
        <v>10251</v>
      </c>
      <c r="B8152" s="4" t="s">
        <v>10253</v>
      </c>
      <c r="C8152" s="5" t="str">
        <f>IFERROR(__xludf.DUMMYFUNCTION("GOOGLETRANSLATE(B8152,""en"",""zh-CN"")"),"酒吧让我们走，男人在彼此背后的自行车上骑着一条长途骑行。")</f>
        <v>酒吧让我们走，男人在彼此背后的自行车上骑着一条长途骑行。</v>
      </c>
    </row>
    <row r="8153">
      <c r="A8153" s="4" t="s">
        <v>10254</v>
      </c>
      <c r="B8153" s="6" t="s">
        <v>10255</v>
      </c>
      <c r="C8153" s="5" t="str">
        <f>IFERROR(__xludf.DUMMYFUNCTION("GOOGLETRANSLATE(B8153,""en"",""zh-CN"")"),"看到一个男人站在骑自行车的前面对着镜头说话，并导致他四处奔波。")</f>
        <v>看到一个男人站在骑自行车的前面对着镜头说话，并导致他四处奔波。</v>
      </c>
    </row>
    <row r="8154">
      <c r="A8154" s="4" t="s">
        <v>10254</v>
      </c>
      <c r="B8154" s="6" t="s">
        <v>10256</v>
      </c>
      <c r="C8154" s="5" t="str">
        <f>IFERROR(__xludf.DUMMYFUNCTION("GOOGLETRANSLATE(B8154,""en"",""zh-CN"")"),"该男子继续与相机说话，因为有更多的镜头显示他在轨道上骑着泥土自行车。")</f>
        <v>该男子继续与相机说话，因为有更多的镜头显示他在轨道上骑着泥土自行车。</v>
      </c>
    </row>
    <row r="8155">
      <c r="A8155" s="4" t="s">
        <v>10257</v>
      </c>
      <c r="B8155" s="4" t="s">
        <v>10258</v>
      </c>
      <c r="C8155" s="5" t="str">
        <f>IFERROR(__xludf.DUMMYFUNCTION("GOOGLETRANSLATE(B8155,""en"",""zh-CN"")"),"看到一个女人在大灌木丛前面的相机说话。")</f>
        <v>看到一个女人在大灌木丛前面的相机说话。</v>
      </c>
    </row>
    <row r="8156">
      <c r="A8156" s="4" t="s">
        <v>10257</v>
      </c>
      <c r="B8156" s="4" t="s">
        <v>10259</v>
      </c>
      <c r="C8156" s="5" t="str">
        <f>IFERROR(__xludf.DUMMYFUNCTION("GOOGLETRANSLATE(B8156,""en"",""zh-CN"")"),"然后，女人沿着一些污垢使用铲子。")</f>
        <v>然后，女人沿着一些污垢使用铲子。</v>
      </c>
    </row>
    <row r="8157">
      <c r="A8157" s="4" t="s">
        <v>10257</v>
      </c>
      <c r="B8157" s="4" t="s">
        <v>10260</v>
      </c>
      <c r="C8157" s="5" t="str">
        <f>IFERROR(__xludf.DUMMYFUNCTION("GOOGLETRANSLATE(B8157,""en"",""zh-CN"")"),"摄像机完成后，摄像机在植物周围。")</f>
        <v>摄像机完成后，摄像机在植物周围。</v>
      </c>
    </row>
    <row r="8158">
      <c r="A8158" s="4" t="s">
        <v>10261</v>
      </c>
      <c r="B8158" s="4" t="s">
        <v>10262</v>
      </c>
      <c r="C8158" s="5" t="str">
        <f>IFERROR(__xludf.DUMMYFUNCTION("GOOGLETRANSLATE(B8158,""en"",""zh-CN"")"),"一个戴着眼镜和白发的年长男人弹吉他时坐着唱歌。")</f>
        <v>一个戴着眼镜和白发的年长男人弹吉他时坐着唱歌。</v>
      </c>
    </row>
    <row r="8159">
      <c r="A8159" s="4" t="s">
        <v>10261</v>
      </c>
      <c r="B8159" s="4" t="s">
        <v>10263</v>
      </c>
      <c r="C8159" s="5" t="str">
        <f>IFERROR(__xludf.DUMMYFUNCTION("GOOGLETRANSLATE(B8159,""en"",""zh-CN"")"),"这个人停了一秒钟。")</f>
        <v>这个人停了一秒钟。</v>
      </c>
    </row>
    <row r="8160">
      <c r="A8160" s="4" t="s">
        <v>10261</v>
      </c>
      <c r="B8160" s="4" t="s">
        <v>10264</v>
      </c>
      <c r="C8160" s="5" t="str">
        <f>IFERROR(__xludf.DUMMYFUNCTION("GOOGLETRANSLATE(B8160,""en"",""zh-CN"")"),"该男子完成了他的歌并停下来。")</f>
        <v>该男子完成了他的歌并停下来。</v>
      </c>
    </row>
    <row r="8161">
      <c r="A8161" s="4" t="s">
        <v>10261</v>
      </c>
      <c r="B8161" s="4" t="s">
        <v>10265</v>
      </c>
      <c r="C8161" s="5" t="str">
        <f>IFERROR(__xludf.DUMMYFUNCTION("GOOGLETRANSLATE(B8161,""en"",""zh-CN"")"),"我们在上面看到了带有猫的结尾标题屏幕。")</f>
        <v>我们在上面看到了带有猫的结尾标题屏幕。</v>
      </c>
    </row>
    <row r="8162">
      <c r="A8162" s="4" t="s">
        <v>10266</v>
      </c>
      <c r="B8162" s="4" t="s">
        <v>10267</v>
      </c>
      <c r="C8162" s="5" t="str">
        <f>IFERROR(__xludf.DUMMYFUNCTION("GOOGLETRANSLATE(B8162,""en"",""zh-CN"")"),"一个秃头的男人正站在柜台旁边，玻璃和搅拌器在他面前。")</f>
        <v>一个秃头的男人正站在柜台旁边，玻璃和搅拌器在他面前。</v>
      </c>
    </row>
    <row r="8163">
      <c r="A8163" s="4" t="s">
        <v>10266</v>
      </c>
      <c r="B8163" s="6" t="s">
        <v>10268</v>
      </c>
      <c r="C8163" s="5" t="str">
        <f>IFERROR(__xludf.DUMMYFUNCTION("GOOGLETRANSLATE(B8163,""en"",""zh-CN"")"),"该男子将冰放入玻璃杯中，将透明的液体放入玻璃杯中，加入橙汁，在倒入橙汁时混合物品，然后加入落在橙汁下的红色液体。")</f>
        <v>该男子将冰放入玻璃杯中，将透明的液体放入玻璃杯中，加入橙汁，在倒入橙汁时混合物品，然后加入落在橙汁下的红色液体。</v>
      </c>
    </row>
    <row r="8164">
      <c r="A8164" s="4" t="s">
        <v>10269</v>
      </c>
      <c r="B8164" s="4" t="s">
        <v>10270</v>
      </c>
      <c r="C8164" s="5" t="str">
        <f>IFERROR(__xludf.DUMMYFUNCTION("GOOGLETRANSLATE(B8164,""en"",""zh-CN"")"),"森林道路上的一名年轻女士滑冰。")</f>
        <v>森林道路上的一名年轻女士滑冰。</v>
      </c>
    </row>
    <row r="8165">
      <c r="A8165" s="4" t="s">
        <v>10269</v>
      </c>
      <c r="B8165" s="4" t="s">
        <v>10271</v>
      </c>
      <c r="C8165" s="5" t="str">
        <f>IFERROR(__xludf.DUMMYFUNCTION("GOOGLETRANSLATE(B8165,""en"",""zh-CN"")"),"然后她到达一辆废弃汽车的前面。")</f>
        <v>然后她到达一辆废弃汽车的前面。</v>
      </c>
    </row>
    <row r="8166">
      <c r="A8166" s="4" t="s">
        <v>10272</v>
      </c>
      <c r="B8166" s="6" t="s">
        <v>10273</v>
      </c>
      <c r="C8166" s="5" t="str">
        <f>IFERROR(__xludf.DUMMYFUNCTION("GOOGLETRANSLATE(B8166,""en"",""zh-CN"")"),"看到一个男人骑在跑步机上，然后是几张跑步机和一个男人拍照的图像。")</f>
        <v>看到一个男人骑在跑步机上，然后是几张跑步机和一个男人拍照的图像。</v>
      </c>
    </row>
    <row r="8167">
      <c r="A8167" s="4" t="s">
        <v>10272</v>
      </c>
      <c r="B8167" s="6" t="s">
        <v>10274</v>
      </c>
      <c r="C8167" s="5" t="str">
        <f>IFERROR(__xludf.DUMMYFUNCTION("GOOGLETRANSLATE(B8167,""en"",""zh-CN"")"),"一个人撤消机器，然后骑在机器上，并导致更多的人拍摄机器和骑行的人的照片。")</f>
        <v>一个人撤消机器，然后骑在机器上，并导致更多的人拍摄机器和骑行的人的照片。</v>
      </c>
    </row>
    <row r="8168">
      <c r="A8168" s="4" t="s">
        <v>10275</v>
      </c>
      <c r="B8168" s="6" t="s">
        <v>10276</v>
      </c>
      <c r="C8168" s="5" t="str">
        <f>IFERROR(__xludf.DUMMYFUNCTION("GOOGLETRANSLATE(B8168,""en"",""zh-CN"")"),"两个人的手臂坐在桌子旁，他们被放置在手臂上。")</f>
        <v>两个人的手臂坐在桌子旁，他们被放置在手臂上。</v>
      </c>
    </row>
    <row r="8169">
      <c r="A8169" s="4" t="s">
        <v>10275</v>
      </c>
      <c r="B8169" s="4" t="s">
        <v>10277</v>
      </c>
      <c r="C8169" s="5" t="str">
        <f>IFERROR(__xludf.DUMMYFUNCTION("GOOGLETRANSLATE(B8169,""en"",""zh-CN"")"),"一件蓝色衬衫正站在握着球员双手的中心。")</f>
        <v>一件蓝色衬衫正站在握着球员双手的中心。</v>
      </c>
    </row>
    <row r="8170">
      <c r="A8170" s="4" t="s">
        <v>10275</v>
      </c>
      <c r="B8170" s="4" t="s">
        <v>10278</v>
      </c>
      <c r="C8170" s="5" t="str">
        <f>IFERROR(__xludf.DUMMYFUNCTION("GOOGLETRANSLATE(B8170,""en"",""zh-CN"")"),"另一个男人将熊推下来后，那个熊的男人摔断了手臂。")</f>
        <v>另一个男人将熊推下来后，那个熊的男人摔断了手臂。</v>
      </c>
    </row>
    <row r="8171">
      <c r="A8171" s="4" t="s">
        <v>10279</v>
      </c>
      <c r="B8171" s="4" t="s">
        <v>10280</v>
      </c>
      <c r="C8171" s="5" t="str">
        <f>IFERROR(__xludf.DUMMYFUNCTION("GOOGLETRANSLATE(B8171,""en"",""zh-CN"")"),"游客骑骆驼，而人们用绳子拉骆驼。")</f>
        <v>游客骑骆驼，而人们用绳子拉骆驼。</v>
      </c>
    </row>
    <row r="8172">
      <c r="A8172" s="4" t="s">
        <v>10279</v>
      </c>
      <c r="B8172" s="4" t="s">
        <v>10281</v>
      </c>
      <c r="C8172" s="5" t="str">
        <f>IFERROR(__xludf.DUMMYFUNCTION("GOOGLETRANSLATE(B8172,""en"",""zh-CN"")"),"男人帮助一对夫妇卸下骆驼并喂养它们。")</f>
        <v>男人帮助一对夫妇卸下骆驼并喂养它们。</v>
      </c>
    </row>
    <row r="8173">
      <c r="A8173" s="4" t="s">
        <v>10282</v>
      </c>
      <c r="B8173" s="4" t="s">
        <v>10283</v>
      </c>
      <c r="C8173" s="5" t="str">
        <f>IFERROR(__xludf.DUMMYFUNCTION("GOOGLETRANSLATE(B8173,""en"",""zh-CN"")"),"两个男人开始在舞台上跳舞。")</f>
        <v>两个男人开始在舞台上跳舞。</v>
      </c>
    </row>
    <row r="8174">
      <c r="A8174" s="4" t="s">
        <v>10282</v>
      </c>
      <c r="B8174" s="4" t="s">
        <v>10284</v>
      </c>
      <c r="C8174" s="5" t="str">
        <f>IFERROR(__xludf.DUMMYFUNCTION("GOOGLETRANSLATE(B8174,""en"",""zh-CN"")"),"他们把手放在脸旁边。")</f>
        <v>他们把手放在脸旁边。</v>
      </c>
    </row>
    <row r="8175">
      <c r="A8175" s="4" t="s">
        <v>10282</v>
      </c>
      <c r="B8175" s="4" t="s">
        <v>10285</v>
      </c>
      <c r="C8175" s="5" t="str">
        <f>IFERROR(__xludf.DUMMYFUNCTION("GOOGLETRANSLATE(B8175,""en"",""zh-CN"")"),"屏幕上显示了一张女人的专辑。")</f>
        <v>屏幕上显示了一张女人的专辑。</v>
      </c>
    </row>
    <row r="8176">
      <c r="A8176" s="4" t="s">
        <v>10286</v>
      </c>
      <c r="B8176" s="4" t="s">
        <v>10287</v>
      </c>
      <c r="C8176" s="5" t="str">
        <f>IFERROR(__xludf.DUMMYFUNCTION("GOOGLETRANSLATE(B8176,""en"",""zh-CN"")"),"一个人弯下腰，捡起很大的重量。")</f>
        <v>一个人弯下腰，捡起很大的重量。</v>
      </c>
    </row>
    <row r="8177">
      <c r="A8177" s="4" t="s">
        <v>10286</v>
      </c>
      <c r="B8177" s="4" t="s">
        <v>10288</v>
      </c>
      <c r="C8177" s="5" t="str">
        <f>IFERROR(__xludf.DUMMYFUNCTION("GOOGLETRANSLATE(B8177,""en"",""zh-CN"")"),"他把它抬起头。")</f>
        <v>他把它抬起头。</v>
      </c>
    </row>
    <row r="8178">
      <c r="A8178" s="4" t="s">
        <v>10286</v>
      </c>
      <c r="B8178" s="4" t="s">
        <v>10289</v>
      </c>
      <c r="C8178" s="5" t="str">
        <f>IFERROR(__xludf.DUMMYFUNCTION("GOOGLETRANSLATE(B8178,""en"",""zh-CN"")"),"然后，他将其放在地上。")</f>
        <v>然后，他将其放在地上。</v>
      </c>
    </row>
    <row r="8179">
      <c r="A8179" s="4" t="s">
        <v>10290</v>
      </c>
      <c r="B8179" s="4" t="s">
        <v>10291</v>
      </c>
      <c r="C8179" s="5" t="str">
        <f>IFERROR(__xludf.DUMMYFUNCTION("GOOGLETRANSLATE(B8179,""en"",""zh-CN"")"),"一个男人和一个女人在舞台中间的桌子上摔跤，女人赢了。")</f>
        <v>一个男人和一个女人在舞台中间的桌子上摔跤，女人赢了。</v>
      </c>
    </row>
    <row r="8180">
      <c r="A8180" s="4" t="s">
        <v>10290</v>
      </c>
      <c r="B8180" s="4" t="s">
        <v>10292</v>
      </c>
      <c r="C8180" s="5" t="str">
        <f>IFERROR(__xludf.DUMMYFUNCTION("GOOGLETRANSLATE(B8180,""en"",""zh-CN"")"),"人们在舞台上看着比赛。")</f>
        <v>人们在舞台上看着比赛。</v>
      </c>
    </row>
    <row r="8181">
      <c r="A8181" s="4" t="s">
        <v>10293</v>
      </c>
      <c r="B8181" s="4" t="s">
        <v>10294</v>
      </c>
      <c r="C8181" s="5" t="str">
        <f>IFERROR(__xludf.DUMMYFUNCTION("GOOGLETRANSLATE(B8181,""en"",""zh-CN"")"),"Howcast徽标是视频的开幕场景。")</f>
        <v>Howcast徽标是视频的开幕场景。</v>
      </c>
    </row>
    <row r="8182">
      <c r="A8182" s="4" t="s">
        <v>10293</v>
      </c>
      <c r="B8182" s="4" t="s">
        <v>10295</v>
      </c>
      <c r="C8182" s="5" t="str">
        <f>IFERROR(__xludf.DUMMYFUNCTION("GOOGLETRANSLATE(B8182,""en"",""zh-CN"")"),"一个女人正在展示她的作品的绘画。")</f>
        <v>一个女人正在展示她的作品的绘画。</v>
      </c>
    </row>
    <row r="8183">
      <c r="A8183" s="4" t="s">
        <v>10293</v>
      </c>
      <c r="B8183" s="4" t="s">
        <v>10296</v>
      </c>
      <c r="C8183" s="5" t="str">
        <f>IFERROR(__xludf.DUMMYFUNCTION("GOOGLETRANSLATE(B8183,""en"",""zh-CN"")"),"显示了教学幻灯片。")</f>
        <v>显示了教学幻灯片。</v>
      </c>
    </row>
    <row r="8184">
      <c r="A8184" s="4" t="s">
        <v>10293</v>
      </c>
      <c r="B8184" s="4" t="s">
        <v>10297</v>
      </c>
      <c r="C8184" s="5" t="str">
        <f>IFERROR(__xludf.DUMMYFUNCTION("GOOGLETRANSLATE(B8184,""en"",""zh-CN"")"),"女人正在解释所用的材料。")</f>
        <v>女人正在解释所用的材料。</v>
      </c>
    </row>
    <row r="8185">
      <c r="A8185" s="4" t="s">
        <v>10293</v>
      </c>
      <c r="B8185" s="4" t="s">
        <v>10298</v>
      </c>
      <c r="C8185" s="5" t="str">
        <f>IFERROR(__xludf.DUMMYFUNCTION("GOOGLETRANSLATE(B8185,""en"",""zh-CN"")"),"然后，她描述了她使用的刷子。")</f>
        <v>然后，她描述了她使用的刷子。</v>
      </c>
    </row>
    <row r="8186">
      <c r="A8186" s="4" t="s">
        <v>10293</v>
      </c>
      <c r="B8186" s="4" t="s">
        <v>10299</v>
      </c>
      <c r="C8186" s="5" t="str">
        <f>IFERROR(__xludf.DUMMYFUNCTION("GOOGLETRANSLATE(B8186,""en"",""zh-CN"")"),"她展示了油漆托盘和各种颜色的油漆。")</f>
        <v>她展示了油漆托盘和各种颜色的油漆。</v>
      </c>
    </row>
    <row r="8187">
      <c r="A8187" s="4" t="s">
        <v>10293</v>
      </c>
      <c r="B8187" s="4" t="s">
        <v>10300</v>
      </c>
      <c r="C8187" s="5" t="str">
        <f>IFERROR(__xludf.DUMMYFUNCTION("GOOGLETRANSLATE(B8187,""en"",""zh-CN"")"),"她解释了油漆瓶。")</f>
        <v>她解释了油漆瓶。</v>
      </c>
    </row>
    <row r="8188">
      <c r="A8188" s="4" t="s">
        <v>10293</v>
      </c>
      <c r="B8188" s="4" t="s">
        <v>10301</v>
      </c>
      <c r="C8188" s="5" t="str">
        <f>IFERROR(__xludf.DUMMYFUNCTION("GOOGLETRANSLATE(B8188,""en"",""zh-CN"")"),"然后，她指示如何用液体和纸巾清洁刷子。")</f>
        <v>然后，她指示如何用液体和纸巾清洁刷子。</v>
      </c>
    </row>
    <row r="8189">
      <c r="A8189" s="4" t="s">
        <v>10293</v>
      </c>
      <c r="B8189" s="4" t="s">
        <v>10302</v>
      </c>
      <c r="C8189" s="5" t="str">
        <f>IFERROR(__xludf.DUMMYFUNCTION("GOOGLETRANSLATE(B8189,""en"",""zh-CN"")"),"视频以其开始的相同徽标结束。")</f>
        <v>视频以其开始的相同徽标结束。</v>
      </c>
    </row>
    <row r="8190">
      <c r="A8190" s="4" t="s">
        <v>10303</v>
      </c>
      <c r="B8190" s="4" t="s">
        <v>10304</v>
      </c>
      <c r="C8190" s="5" t="str">
        <f>IFERROR(__xludf.DUMMYFUNCTION("GOOGLETRANSLATE(B8190,""en"",""zh-CN"")"),"一群田野曲棍球服装的女孩走到一条线上的绿色田野上。")</f>
        <v>一群田野曲棍球服装的女孩走到一条线上的绿色田野上。</v>
      </c>
    </row>
    <row r="8191">
      <c r="A8191" s="4" t="s">
        <v>10303</v>
      </c>
      <c r="B8191" s="4" t="s">
        <v>10305</v>
      </c>
      <c r="C8191" s="5" t="str">
        <f>IFERROR(__xludf.DUMMYFUNCTION("GOOGLETRANSLATE(B8191,""en"",""zh-CN"")"),"然后，在一名男教练面前看到女孩与他们交谈，并指着场上的景点。")</f>
        <v>然后，在一名男教练面前看到女孩与他们交谈，并指着场上的景点。</v>
      </c>
    </row>
    <row r="8192">
      <c r="A8192" s="4" t="s">
        <v>10303</v>
      </c>
      <c r="B8192" s="6" t="s">
        <v>10306</v>
      </c>
      <c r="C8192" s="5" t="str">
        <f>IFERROR(__xludf.DUMMYFUNCTION("GOOGLETRANSLATE(B8192,""en"",""zh-CN"")"),"显示了几名女孩在野外接受采访，并且显示了练习曲棍球的女孩的视频。")</f>
        <v>显示了几名女孩在野外接受采访，并且显示了练习曲棍球的女孩的视频。</v>
      </c>
    </row>
    <row r="8193">
      <c r="A8193" s="4" t="s">
        <v>10303</v>
      </c>
      <c r="B8193" s="6" t="s">
        <v>10307</v>
      </c>
      <c r="C8193" s="5" t="str">
        <f>IFERROR(__xludf.DUMMYFUNCTION("GOOGLETRANSLATE(B8193,""en"",""zh-CN"")"),"然后，在一个大型的绿色田野上展示了女孩的曲棍球，并在教练的采访中散布着曲棍球。")</f>
        <v>然后，在一个大型的绿色田野上展示了女孩的曲棍球，并在教练的采访中散布着曲棍球。</v>
      </c>
    </row>
    <row r="8194">
      <c r="A8194" s="4" t="s">
        <v>10308</v>
      </c>
      <c r="B8194" s="4" t="s">
        <v>10309</v>
      </c>
      <c r="C8194" s="5" t="str">
        <f>IFERROR(__xludf.DUMMYFUNCTION("GOOGLETRANSLATE(B8194,""en"",""zh-CN"")"),"男人站着与相机说话，上面贴着一件大金属件。")</f>
        <v>男人站着与相机说话，上面贴着一件大金属件。</v>
      </c>
    </row>
    <row r="8195">
      <c r="A8195" s="4" t="s">
        <v>10308</v>
      </c>
      <c r="B8195" s="4" t="s">
        <v>10310</v>
      </c>
      <c r="C8195" s="5" t="str">
        <f>IFERROR(__xludf.DUMMYFUNCTION("GOOGLETRANSLATE(B8195,""en"",""zh-CN"")"),"房间里的te正在玩口琴。")</f>
        <v>房间里的te正在玩口琴。</v>
      </c>
    </row>
    <row r="8196">
      <c r="A8196" s="4" t="s">
        <v>10308</v>
      </c>
      <c r="B8196" s="4" t="s">
        <v>10311</v>
      </c>
      <c r="C8196" s="5" t="str">
        <f>IFERROR(__xludf.DUMMYFUNCTION("GOOGLETRANSLATE(B8196,""en"",""zh-CN"")"),"该男子停止玩耍，并在一个小的白色房间里与镜头交谈。")</f>
        <v>该男子停止玩耍，并在一个小的白色房间里与镜头交谈。</v>
      </c>
    </row>
    <row r="8197">
      <c r="A8197" s="4" t="s">
        <v>10312</v>
      </c>
      <c r="B8197" s="4" t="s">
        <v>10313</v>
      </c>
      <c r="C8197" s="5" t="str">
        <f>IFERROR(__xludf.DUMMYFUNCTION("GOOGLETRANSLATE(B8197,""en"",""zh-CN"")"),"一个白色的宝马3系在一个车库中，由两个穿着安全夹克的男人清洗。")</f>
        <v>一个白色的宝马3系在一个车库中，由两个穿着安全夹克的男人清洗。</v>
      </c>
    </row>
    <row r="8198">
      <c r="A8198" s="4" t="s">
        <v>10312</v>
      </c>
      <c r="B8198" s="6" t="s">
        <v>10314</v>
      </c>
      <c r="C8198" s="5" t="str">
        <f>IFERROR(__xludf.DUMMYFUNCTION("GOOGLETRANSLATE(B8198,""en"",""zh-CN"")"),"清洁前部后，男子向后移动，喷洒车辆，然后返回边缘，然后回到后备箱以获取所有斑点。")</f>
        <v>清洁前部后，男子向后移动，喷洒车辆，然后返回边缘，然后回到后备箱以获取所有斑点。</v>
      </c>
    </row>
    <row r="8199">
      <c r="A8199" s="4" t="s">
        <v>10315</v>
      </c>
      <c r="B8199" s="6" t="s">
        <v>10316</v>
      </c>
      <c r="C8199" s="5" t="str">
        <f>IFERROR(__xludf.DUMMYFUNCTION("GOOGLETRANSLATE(B8199,""en"",""zh-CN"")"),"有两个女孩戴着闪闪发光的蓝色背心，黑色裙子在健身房里用棍子进行协调的舞蹈。")</f>
        <v>有两个女孩戴着闪闪发光的蓝色背心，黑色裙子在健身房里用棍子进行协调的舞蹈。</v>
      </c>
    </row>
    <row r="8200">
      <c r="A8200" s="4" t="s">
        <v>10315</v>
      </c>
      <c r="B8200" s="6" t="s">
        <v>10317</v>
      </c>
      <c r="C8200" s="5" t="str">
        <f>IFERROR(__xludf.DUMMYFUNCTION("GOOGLETRANSLATE(B8200,""en"",""zh-CN"")"),"他们首先要面对镜头，然后通过举起棍子在空中来闯入舞步。")</f>
        <v>他们首先要面对镜头，然后通过举起棍子在空中来闯入舞步。</v>
      </c>
    </row>
    <row r="8201">
      <c r="A8201" s="4" t="s">
        <v>10315</v>
      </c>
      <c r="B8201" s="4" t="s">
        <v>10318</v>
      </c>
      <c r="C8201" s="5" t="str">
        <f>IFERROR(__xludf.DUMMYFUNCTION("GOOGLETRANSLATE(B8201,""en"",""zh-CN"")"),"然后，他们将棍棒扑向空中并抓住它，转身面对相机。")</f>
        <v>然后，他们将棍棒扑向空中并抓住它，转身面对相机。</v>
      </c>
    </row>
    <row r="8202">
      <c r="A8202" s="4" t="s">
        <v>10315</v>
      </c>
      <c r="B8202" s="4" t="s">
        <v>10319</v>
      </c>
      <c r="C8202" s="5" t="str">
        <f>IFERROR(__xludf.DUMMYFUNCTION("GOOGLETRANSLATE(B8202,""en"",""zh-CN"")"),"他们通过圈子并同时旋转身体，继续在协调中跳舞。")</f>
        <v>他们通过圈子并同时旋转身体，继续在协调中跳舞。</v>
      </c>
    </row>
    <row r="8203">
      <c r="A8203" s="4" t="s">
        <v>10315</v>
      </c>
      <c r="B8203" s="4" t="s">
        <v>10320</v>
      </c>
      <c r="C8203" s="5" t="str">
        <f>IFERROR(__xludf.DUMMYFUNCTION("GOOGLETRANSLATE(B8203,""en"",""zh-CN"")"),"然后，他们将前翻转一起进行，并继续以圆形运动旋转身体。")</f>
        <v>然后，他们将前翻转一起进行，并继续以圆形运动旋转身体。</v>
      </c>
    </row>
    <row r="8204">
      <c r="A8204" s="4" t="s">
        <v>10315</v>
      </c>
      <c r="B8204" s="4" t="s">
        <v>10321</v>
      </c>
      <c r="C8204" s="5" t="str">
        <f>IFERROR(__xludf.DUMMYFUNCTION("GOOGLETRANSLATE(B8204,""en"",""zh-CN"")"),"其中一位舞者进行了前翻转，而另一个舞者将棍棒扔在空中并抓住它。")</f>
        <v>其中一位舞者进行了前翻转，而另一个舞者将棍棒扔在空中并抓住它。</v>
      </c>
    </row>
    <row r="8205">
      <c r="A8205" s="4" t="s">
        <v>10315</v>
      </c>
      <c r="B8205" s="6" t="s">
        <v>10322</v>
      </c>
      <c r="C8205" s="5" t="str">
        <f>IFERROR(__xludf.DUMMYFUNCTION("GOOGLETRANSLATE(B8205,""en"",""zh-CN"")"),"当他们挥舞棍子并在协调自己时，他们继续跳舞。")</f>
        <v>当他们挥舞棍子并在协调自己时，他们继续跳舞。</v>
      </c>
    </row>
    <row r="8206">
      <c r="A8206" s="4" t="s">
        <v>10315</v>
      </c>
      <c r="B8206" s="4" t="s">
        <v>10323</v>
      </c>
      <c r="C8206" s="5" t="str">
        <f>IFERROR(__xludf.DUMMYFUNCTION("GOOGLETRANSLATE(B8206,""en"",""zh-CN"")"),"完成舞蹈后，他们站在一起并挥手向相机挥手。")</f>
        <v>完成舞蹈后，他们站在一起并挥手向相机挥手。</v>
      </c>
    </row>
    <row r="8207">
      <c r="A8207" s="4" t="s">
        <v>10324</v>
      </c>
      <c r="B8207" s="6" t="s">
        <v>10325</v>
      </c>
      <c r="C8207" s="5" t="str">
        <f>IFERROR(__xludf.DUMMYFUNCTION("GOOGLETRANSLATE(B8207,""en"",""zh-CN"")"),"一个有短发的女人戴着耳机，眼镜显示两个夹子，然后她剪了头发的两面，展示了她的蓝色和白色隐形眼镜容器，并移开了眼镜。")</f>
        <v>一个有短发的女人戴着耳机，眼镜显示两个夹子，然后她剪了头发的两面，展示了她的蓝色和白色隐形眼镜容器，并移开了眼镜。</v>
      </c>
    </row>
    <row r="8208">
      <c r="A8208" s="4" t="s">
        <v>10324</v>
      </c>
      <c r="B8208" s="6" t="s">
        <v>10326</v>
      </c>
      <c r="C8208" s="5" t="str">
        <f>IFERROR(__xludf.DUMMYFUNCTION("GOOGLETRANSLATE(B8208,""en"",""zh-CN"")"),"她伸出手，然后露出一个巩膜镜，并将其放在右眼瞳孔上，靠近相机以露出眼睛，然后通过捏住眼睛从她的眼睛上移开隐形眼镜。")</f>
        <v>她伸出手，然后露出一个巩膜镜，并将其放在右眼瞳孔上，靠近相机以露出眼睛，然后通过捏住眼睛从她的眼睛上移开隐形眼镜。</v>
      </c>
    </row>
    <row r="8209">
      <c r="A8209" s="4" t="s">
        <v>10327</v>
      </c>
      <c r="B8209" s="4" t="s">
        <v>10328</v>
      </c>
      <c r="C8209" s="5" t="str">
        <f>IFERROR(__xludf.DUMMYFUNCTION("GOOGLETRANSLATE(B8209,""en"",""zh-CN"")"),"当人们在Thier Steppers上上下走动时，一个男人在一个体育课上显示。")</f>
        <v>当人们在Thier Steppers上上下走动时，一个男人在一个体育课上显示。</v>
      </c>
    </row>
    <row r="8210">
      <c r="A8210" s="4" t="s">
        <v>10327</v>
      </c>
      <c r="B8210" s="4" t="s">
        <v>10329</v>
      </c>
      <c r="C8210" s="5" t="str">
        <f>IFERROR(__xludf.DUMMYFUNCTION("GOOGLETRANSLATE(B8210,""en"",""zh-CN"")"),"这个人非常热情地跳来跳去，试图保持动力的发展。")</f>
        <v>这个人非常热情地跳来跳去，试图保持动力的发展。</v>
      </c>
    </row>
    <row r="8211">
      <c r="A8211" s="4" t="s">
        <v>10327</v>
      </c>
      <c r="B8211" s="4" t="s">
        <v>10330</v>
      </c>
      <c r="C8211" s="5" t="str">
        <f>IFERROR(__xludf.DUMMYFUNCTION("GOOGLETRANSLATE(B8211,""en"",""zh-CN"")"),"他非常喜欢班级，他们彼此同步跳舞。")</f>
        <v>他非常喜欢班级，他们彼此同步跳舞。</v>
      </c>
    </row>
    <row r="8212">
      <c r="A8212" s="4" t="s">
        <v>10327</v>
      </c>
      <c r="B8212" s="4" t="s">
        <v>10331</v>
      </c>
      <c r="C8212" s="5" t="str">
        <f>IFERROR(__xludf.DUMMYFUNCTION("GOOGLETRANSLATE(B8212,""en"",""zh-CN"")"),"他们通过鼓掌和庆祝自己的辛勤工作来结束日常工作。")</f>
        <v>他们通过鼓掌和庆祝自己的辛勤工作来结束日常工作。</v>
      </c>
    </row>
    <row r="8213">
      <c r="A8213" s="4" t="s">
        <v>10332</v>
      </c>
      <c r="B8213" s="4" t="s">
        <v>10333</v>
      </c>
      <c r="C8213" s="5" t="str">
        <f>IFERROR(__xludf.DUMMYFUNCTION("GOOGLETRANSLATE(B8213,""en"",""zh-CN"")"),"看到一个保龄球巷的特写，一个人站在前面。")</f>
        <v>看到一个保龄球巷的特写，一个人站在前面。</v>
      </c>
    </row>
    <row r="8214">
      <c r="A8214" s="4" t="s">
        <v>10332</v>
      </c>
      <c r="B8214" s="4" t="s">
        <v>10334</v>
      </c>
      <c r="C8214" s="5" t="str">
        <f>IFERROR(__xludf.DUMMYFUNCTION("GOOGLETRANSLATE(B8214,""en"",""zh-CN"")"),"该男子将一个球扔下车道，击中了几根销钉。")</f>
        <v>该男子将一个球扔下车道，击中了几根销钉。</v>
      </c>
    </row>
    <row r="8215">
      <c r="A8215" s="4" t="s">
        <v>10332</v>
      </c>
      <c r="B8215" s="4" t="s">
        <v>10335</v>
      </c>
      <c r="C8215" s="5" t="str">
        <f>IFERROR(__xludf.DUMMYFUNCTION("GOOGLETRANSLATE(B8215,""en"",""zh-CN"")"),"他终于走回车道。")</f>
        <v>他终于走回车道。</v>
      </c>
    </row>
    <row r="8216">
      <c r="A8216" s="4" t="s">
        <v>10336</v>
      </c>
      <c r="B8216" s="4" t="s">
        <v>10337</v>
      </c>
      <c r="C8216" s="5" t="str">
        <f>IFERROR(__xludf.DUMMYFUNCTION("GOOGLETRANSLATE(B8216,""en"",""zh-CN"")"),"穿着绿色衬衫的男人正在客厅中间组装自行车。")</f>
        <v>穿着绿色衬衫的男人正在客厅中间组装自行车。</v>
      </c>
    </row>
    <row r="8217">
      <c r="A8217" s="4" t="s">
        <v>10336</v>
      </c>
      <c r="B8217" s="4" t="s">
        <v>10338</v>
      </c>
      <c r="C8217" s="5" t="str">
        <f>IFERROR(__xludf.DUMMYFUNCTION("GOOGLETRANSLATE(B8217,""en"",""zh-CN"")"),"另一个穿着蓝色毛衣的男人正在帮助另一个男人组装自行车。")</f>
        <v>另一个穿着蓝色毛衣的男人正在帮助另一个男人组装自行车。</v>
      </c>
    </row>
    <row r="8218">
      <c r="A8218" s="4" t="s">
        <v>10336</v>
      </c>
      <c r="B8218" s="4" t="s">
        <v>10339</v>
      </c>
      <c r="C8218" s="5" t="str">
        <f>IFERROR(__xludf.DUMMYFUNCTION("GOOGLETRANSLATE(B8218,""en"",""zh-CN"")"),"男子正在客厅里组装三辆自行车。")</f>
        <v>男子正在客厅里组装三辆自行车。</v>
      </c>
    </row>
    <row r="8219">
      <c r="A8219" s="4" t="s">
        <v>10340</v>
      </c>
      <c r="B8219" s="4" t="s">
        <v>10341</v>
      </c>
      <c r="C8219" s="5" t="str">
        <f>IFERROR(__xludf.DUMMYFUNCTION("GOOGLETRANSLATE(B8219,""en"",""zh-CN"")"),"看到一个男人站起来，双臂站起来，走进一组不均匀的酒吧之间。")</f>
        <v>看到一个男人站起来，双臂站起来，走进一组不均匀的酒吧之间。</v>
      </c>
    </row>
    <row r="8220">
      <c r="A8220" s="4" t="s">
        <v>10340</v>
      </c>
      <c r="B8220" s="4" t="s">
        <v>10342</v>
      </c>
      <c r="C8220" s="5" t="str">
        <f>IFERROR(__xludf.DUMMYFUNCTION("GOOGLETRANSLATE(B8220,""en"",""zh-CN"")"),"然后，该男子希望在酒吧上站起来，开始旋转自己。")</f>
        <v>然后，该男子希望在酒吧上站起来，开始旋转自己。</v>
      </c>
    </row>
    <row r="8221">
      <c r="A8221" s="4" t="s">
        <v>10340</v>
      </c>
      <c r="B8221" s="4" t="s">
        <v>10343</v>
      </c>
      <c r="C8221" s="5" t="str">
        <f>IFERROR(__xludf.DUMMYFUNCTION("GOOGLETRANSLATE(B8221,""en"",""zh-CN"")"),"他继续在酒吧上旋转，并在侧面跳下来结束。")</f>
        <v>他继续在酒吧上旋转，并在侧面跳下来结束。</v>
      </c>
    </row>
    <row r="8222">
      <c r="A8222" s="4" t="s">
        <v>10344</v>
      </c>
      <c r="B8222" s="4" t="s">
        <v>10345</v>
      </c>
      <c r="C8222" s="5" t="str">
        <f>IFERROR(__xludf.DUMMYFUNCTION("GOOGLETRANSLATE(B8222,""en"",""zh-CN"")"),"球员们在冰法庭上玩冰壶。")</f>
        <v>球员们在冰法庭上玩冰壶。</v>
      </c>
    </row>
    <row r="8223">
      <c r="A8223" s="4" t="s">
        <v>10344</v>
      </c>
      <c r="B8223" s="6" t="s">
        <v>10346</v>
      </c>
      <c r="C8223" s="5" t="str">
        <f>IFERROR(__xludf.DUMMYFUNCTION("GOOGLETRANSLATE(B8223,""en"",""zh-CN"")"),"玩家推了石头，两个人刷了石头的前部，直到到达目标。")</f>
        <v>玩家推了石头，两个人刷了石头的前部，直到到达目标。</v>
      </c>
    </row>
    <row r="8224">
      <c r="A8224" s="4" t="s">
        <v>10344</v>
      </c>
      <c r="B8224" s="6" t="s">
        <v>10347</v>
      </c>
      <c r="C8224" s="5" t="str">
        <f>IFERROR(__xludf.DUMMYFUNCTION("GOOGLETRANSLATE(B8224,""en"",""zh-CN"")"),"一个亚洲女孩推了石头，另一个女孩正在刷石头，直到撞到其他石头为止。")</f>
        <v>一个亚洲女孩推了石头，另一个女孩正在刷石头，直到撞到其他石头为止。</v>
      </c>
    </row>
    <row r="8225">
      <c r="A8225" s="4" t="s">
        <v>10348</v>
      </c>
      <c r="B8225" s="4" t="s">
        <v>10349</v>
      </c>
      <c r="C8225" s="5" t="str">
        <f>IFERROR(__xludf.DUMMYFUNCTION("GOOGLETRANSLATE(B8225,""en"",""zh-CN"")"),"一个男人被显示在一条车道上扔保龄球。")</f>
        <v>一个男人被显示在一条车道上扔保龄球。</v>
      </c>
    </row>
    <row r="8226">
      <c r="A8226" s="4" t="s">
        <v>10348</v>
      </c>
      <c r="B8226" s="4" t="s">
        <v>10350</v>
      </c>
      <c r="C8226" s="5" t="str">
        <f>IFERROR(__xludf.DUMMYFUNCTION("GOOGLETRANSLATE(B8226,""en"",""zh-CN"")"),"然后，它与一堆球的一堆掷球朝向销钉。")</f>
        <v>然后，它与一堆球的一堆掷球朝向销钉。</v>
      </c>
    </row>
    <row r="8227">
      <c r="A8227" s="4" t="s">
        <v>10348</v>
      </c>
      <c r="B8227" s="4" t="s">
        <v>10351</v>
      </c>
      <c r="C8227" s="5" t="str">
        <f>IFERROR(__xludf.DUMMYFUNCTION("GOOGLETRANSLATE(B8227,""en"",""zh-CN"")"),"一个女人采访专业投球手，并在手腕上放了一个装置。")</f>
        <v>一个女人采访专业投球手，并在手腕上放了一个装置。</v>
      </c>
    </row>
    <row r="8228">
      <c r="A8228" s="4" t="s">
        <v>10348</v>
      </c>
      <c r="B8228" s="4" t="s">
        <v>10352</v>
      </c>
      <c r="C8228" s="5" t="str">
        <f>IFERROR(__xludf.DUMMYFUNCTION("GOOGLETRANSLATE(B8228,""en"",""zh-CN"")"),"然后，他被抓住球，慢速运动。")</f>
        <v>然后，他被抓住球，慢速运动。</v>
      </c>
    </row>
    <row r="8229">
      <c r="A8229" s="4" t="s">
        <v>10348</v>
      </c>
      <c r="B8229" s="4" t="s">
        <v>10353</v>
      </c>
      <c r="C8229" s="5" t="str">
        <f>IFERROR(__xludf.DUMMYFUNCTION("GOOGLETRANSLATE(B8229,""en"",""zh-CN"")"),"这是从不同角度显示的几次。")</f>
        <v>这是从不同角度显示的几次。</v>
      </c>
    </row>
    <row r="8230">
      <c r="A8230" s="4" t="s">
        <v>10348</v>
      </c>
      <c r="B8230" s="6" t="s">
        <v>10354</v>
      </c>
      <c r="C8230" s="5" t="str">
        <f>IFERROR(__xludf.DUMMYFUNCTION("GOOGLETRANSLATE(B8230,""en"",""zh-CN"")"),"经过一系列的动作拍摄后，视频随后移至一个直接说话到相机中的男人，演出的徽标在结束时出现。")</f>
        <v>经过一系列的动作拍摄后，视频随后移至一个直接说话到相机中的男人，演出的徽标在结束时出现。</v>
      </c>
    </row>
    <row r="8231">
      <c r="A8231" s="4" t="s">
        <v>10355</v>
      </c>
      <c r="B8231" s="4" t="s">
        <v>10356</v>
      </c>
      <c r="C8231" s="5" t="str">
        <f>IFERROR(__xludf.DUMMYFUNCTION("GOOGLETRANSLATE(B8231,""en"",""zh-CN"")"),"一匹马的男人穿过牛仔竞技场。")</f>
        <v>一匹马的男人穿过牛仔竞技场。</v>
      </c>
    </row>
    <row r="8232">
      <c r="A8232" s="4" t="s">
        <v>10355</v>
      </c>
      <c r="B8232" s="4" t="s">
        <v>10357</v>
      </c>
      <c r="C8232" s="5" t="str">
        <f>IFERROR(__xludf.DUMMYFUNCTION("GOOGLETRANSLATE(B8232,""en"",""zh-CN"")"),"他卸下，绳子并绑住小牛。")</f>
        <v>他卸下，绳子并绑住小牛。</v>
      </c>
    </row>
    <row r="8233">
      <c r="A8233" s="4" t="s">
        <v>10355</v>
      </c>
      <c r="B8233" s="4" t="s">
        <v>10358</v>
      </c>
      <c r="C8233" s="5" t="str">
        <f>IFERROR(__xludf.DUMMYFUNCTION("GOOGLETRANSLATE(B8233,""en"",""zh-CN"")"),"完成后，他回到他的马回去。")</f>
        <v>完成后，他回到他的马回去。</v>
      </c>
    </row>
    <row r="8234">
      <c r="A8234" s="4" t="s">
        <v>10359</v>
      </c>
      <c r="B8234" s="4" t="s">
        <v>10360</v>
      </c>
      <c r="C8234" s="5" t="str">
        <f>IFERROR(__xludf.DUMMYFUNCTION("GOOGLETRANSLATE(B8234,""en"",""zh-CN"")"),"可以看到纹身艺术家的特写是沿着人的腿绘画。")</f>
        <v>可以看到纹身艺术家的特写是沿着人的腿绘画。</v>
      </c>
    </row>
    <row r="8235">
      <c r="A8235" s="4" t="s">
        <v>10359</v>
      </c>
      <c r="B8235" s="6" t="s">
        <v>10361</v>
      </c>
      <c r="C8235" s="5" t="str">
        <f>IFERROR(__xludf.DUMMYFUNCTION("GOOGLETRANSLATE(B8235,""en"",""zh-CN"")"),"艺术家继续在镜头前偶尔抬头抬起头来。")</f>
        <v>艺术家继续在镜头前偶尔抬头抬起头来。</v>
      </c>
    </row>
    <row r="8236">
      <c r="A8236" s="4" t="s">
        <v>10362</v>
      </c>
      <c r="B8236" s="4" t="s">
        <v>10363</v>
      </c>
      <c r="C8236" s="5" t="str">
        <f>IFERROR(__xludf.DUMMYFUNCTION("GOOGLETRANSLATE(B8236,""en"",""zh-CN"")"),"看到一个小孩走到潜水板的尽头，看着相机。")</f>
        <v>看到一个小孩走到潜水板的尽头，看着相机。</v>
      </c>
    </row>
    <row r="8237">
      <c r="A8237" s="4" t="s">
        <v>10362</v>
      </c>
      <c r="B8237" s="4" t="s">
        <v>10364</v>
      </c>
      <c r="C8237" s="5" t="str">
        <f>IFERROR(__xludf.DUMMYFUNCTION("GOOGLETRANSLATE(B8237,""en"",""zh-CN"")"),"然后，男孩跳入水中，摄像机抓住他从水下搬进来。")</f>
        <v>然后，男孩跳入水中，摄像机抓住他从水下搬进来。</v>
      </c>
    </row>
    <row r="8238">
      <c r="A8238" s="4" t="s">
        <v>10365</v>
      </c>
      <c r="B8238" s="4" t="s">
        <v>10366</v>
      </c>
      <c r="C8238" s="5" t="str">
        <f>IFERROR(__xludf.DUMMYFUNCTION("GOOGLETRANSLATE(B8238,""en"",""zh-CN"")"),"女人正站在舞台的中间扮演长笛。")</f>
        <v>女人正站在舞台的中间扮演长笛。</v>
      </c>
    </row>
    <row r="8239">
      <c r="A8239" s="4" t="s">
        <v>10365</v>
      </c>
      <c r="B8239" s="4" t="s">
        <v>10367</v>
      </c>
      <c r="C8239" s="5" t="str">
        <f>IFERROR(__xludf.DUMMYFUNCTION("GOOGLETRANSLATE(B8239,""en"",""zh-CN"")"),"妇女正站在那个妇女身后，长笛站立麦克风。")</f>
        <v>妇女正站在那个妇女身后，长笛站立麦克风。</v>
      </c>
    </row>
    <row r="8240">
      <c r="A8240" s="4" t="s">
        <v>10365</v>
      </c>
      <c r="B8240" s="4" t="s">
        <v>10368</v>
      </c>
      <c r="C8240" s="5" t="str">
        <f>IFERROR(__xludf.DUMMYFUNCTION("GOOGLETRANSLATE(B8240,""en"",""zh-CN"")"),"男人站在弹奏不同乐器的女人后面。")</f>
        <v>男人站在弹奏不同乐器的女人后面。</v>
      </c>
    </row>
    <row r="8241">
      <c r="A8241" s="4" t="s">
        <v>10369</v>
      </c>
      <c r="B8241" s="6" t="s">
        <v>10370</v>
      </c>
      <c r="C8241" s="5" t="str">
        <f>IFERROR(__xludf.DUMMYFUNCTION("GOOGLETRANSLATE(B8241,""en"",""zh-CN"")"),"有一个穿着粉红色衬衫的小女孩，黑色紧身裤和粉红色的鞋子在操场上玩苏格兰威士忌。")</f>
        <v>有一个穿着粉红色衬衫的小女孩，黑色紧身裤和粉红色的鞋子在操场上玩苏格兰威士忌。</v>
      </c>
    </row>
    <row r="8242">
      <c r="A8242" s="4" t="s">
        <v>10369</v>
      </c>
      <c r="B8242" s="4" t="s">
        <v>10371</v>
      </c>
      <c r="C8242" s="5" t="str">
        <f>IFERROR(__xludf.DUMMYFUNCTION("GOOGLETRANSLATE(B8242,""en"",""zh-CN"")"),"她玩得开心时，她跳上了五颜六色的广场。")</f>
        <v>她玩得开心时，她跳上了五颜六色的广场。</v>
      </c>
    </row>
    <row r="8243">
      <c r="A8243" s="4" t="s">
        <v>10369</v>
      </c>
      <c r="B8243" s="4" t="s">
        <v>10372</v>
      </c>
      <c r="C8243" s="5" t="str">
        <f>IFERROR(__xludf.DUMMYFUNCTION("GOOGLETRANSLATE(B8243,""en"",""zh-CN"")"),"然后，她绕着一个小型喷泉，旁边是苏格兰啤酒花广场。")</f>
        <v>然后，她绕着一个小型喷泉，旁边是苏格兰啤酒花广场。</v>
      </c>
    </row>
    <row r="8244">
      <c r="A8244" s="4" t="s">
        <v>10369</v>
      </c>
      <c r="B8244" s="4" t="s">
        <v>10373</v>
      </c>
      <c r="C8244" s="5" t="str">
        <f>IFERROR(__xludf.DUMMYFUNCTION("GOOGLETRANSLATE(B8244,""en"",""zh-CN"")"),"她喜欢在操场上跑来跑去。")</f>
        <v>她喜欢在操场上跑来跑去。</v>
      </c>
    </row>
    <row r="8245">
      <c r="A8245" s="4" t="s">
        <v>10374</v>
      </c>
      <c r="B8245" s="4" t="s">
        <v>10375</v>
      </c>
      <c r="C8245" s="5" t="str">
        <f>IFERROR(__xludf.DUMMYFUNCTION("GOOGLETRANSLATE(B8245,""en"",""zh-CN"")"),"一个男人坐在黑色杰克桌子旁。")</f>
        <v>一个男人坐在黑色杰克桌子旁。</v>
      </c>
    </row>
    <row r="8246">
      <c r="A8246" s="4" t="s">
        <v>10374</v>
      </c>
      <c r="B8246" s="4" t="s">
        <v>10376</v>
      </c>
      <c r="C8246" s="5" t="str">
        <f>IFERROR(__xludf.DUMMYFUNCTION("GOOGLETRANSLATE(B8246,""en"",""zh-CN"")"),"他正在谈论游戏并展示卡片和筹码。")</f>
        <v>他正在谈论游戏并展示卡片和筹码。</v>
      </c>
    </row>
    <row r="8247">
      <c r="A8247" s="4" t="s">
        <v>10374</v>
      </c>
      <c r="B8247" s="4" t="s">
        <v>10377</v>
      </c>
      <c r="C8247" s="5" t="str">
        <f>IFERROR(__xludf.DUMMYFUNCTION("GOOGLETRANSLATE(B8247,""en"",""zh-CN"")"),"他展示了如何处理每只手，以及如何将筹码分配给获奖者。")</f>
        <v>他展示了如何处理每只手，以及如何将筹码分配给获奖者。</v>
      </c>
    </row>
    <row r="8248">
      <c r="A8248" s="4" t="s">
        <v>10378</v>
      </c>
      <c r="B8248" s="4" t="s">
        <v>10379</v>
      </c>
      <c r="C8248" s="5" t="str">
        <f>IFERROR(__xludf.DUMMYFUNCTION("GOOGLETRANSLATE(B8248,""en"",""zh-CN"")"),"一名男性体操运动员跳到酒吧上，开始进行体操例行。")</f>
        <v>一名男性体操运动员跳到酒吧上，开始进行体操例行。</v>
      </c>
    </row>
    <row r="8249">
      <c r="A8249" s="4" t="s">
        <v>10378</v>
      </c>
      <c r="B8249" s="4" t="s">
        <v>10380</v>
      </c>
      <c r="C8249" s="5" t="str">
        <f>IFERROR(__xludf.DUMMYFUNCTION("GOOGLETRANSLATE(B8249,""en"",""zh-CN"")"),"当评委们看着和批评时，他一遍又一遍地摇摆。")</f>
        <v>当评委们看着和批评时，他一遍又一遍地摇摆。</v>
      </c>
    </row>
    <row r="8250">
      <c r="A8250" s="4" t="s">
        <v>10378</v>
      </c>
      <c r="B8250" s="4" t="s">
        <v>10381</v>
      </c>
      <c r="C8250" s="5" t="str">
        <f>IFERROR(__xludf.DUMMYFUNCTION("GOOGLETRANSLATE(B8250,""en"",""zh-CN"")"),"该男子最终跳下来，视频逐渐消失。")</f>
        <v>该男子最终跳下来，视频逐渐消失。</v>
      </c>
    </row>
    <row r="8251">
      <c r="A8251" s="4" t="s">
        <v>10382</v>
      </c>
      <c r="B8251" s="4" t="s">
        <v>10383</v>
      </c>
      <c r="C8251" s="5" t="str">
        <f>IFERROR(__xludf.DUMMYFUNCTION("GOOGLETRANSLATE(B8251,""en"",""zh-CN"")"),"看到一个戴着拳击手套的男人在空旷的房间里打了一个袋子。")</f>
        <v>看到一个戴着拳击手套的男人在空旷的房间里打了一个袋子。</v>
      </c>
    </row>
    <row r="8252">
      <c r="A8252" s="4" t="s">
        <v>10382</v>
      </c>
      <c r="B8252" s="6" t="s">
        <v>10384</v>
      </c>
      <c r="C8252" s="5" t="str">
        <f>IFERROR(__xludf.DUMMYFUNCTION("GOOGLETRANSLATE(B8252,""en"",""zh-CN"")"),"他不断地一遍又一遍地打包，而两次拳打呼吸。")</f>
        <v>他不断地一遍又一遍地打包，而两次拳打呼吸。</v>
      </c>
    </row>
    <row r="8253">
      <c r="A8253" s="4" t="s">
        <v>10385</v>
      </c>
      <c r="B8253" s="4" t="s">
        <v>10386</v>
      </c>
      <c r="C8253" s="5" t="str">
        <f>IFERROR(__xludf.DUMMYFUNCTION("GOOGLETRANSLATE(B8253,""en"",""zh-CN"")"),"两对夫妇在法庭上扮演羽毛球。")</f>
        <v>两对夫妇在法庭上扮演羽毛球。</v>
      </c>
    </row>
    <row r="8254">
      <c r="A8254" s="4" t="s">
        <v>10385</v>
      </c>
      <c r="B8254" s="4" t="s">
        <v>10387</v>
      </c>
      <c r="C8254" s="5" t="str">
        <f>IFERROR(__xludf.DUMMYFUNCTION("GOOGLETRANSLATE(B8254,""en"",""zh-CN"")"),"一名男子进入法院并坐在坐下，离开了法院。")</f>
        <v>一名男子进入法院并坐在坐下，离开了法院。</v>
      </c>
    </row>
    <row r="8255">
      <c r="A8255" s="4" t="s">
        <v>10388</v>
      </c>
      <c r="B8255" s="4" t="s">
        <v>10389</v>
      </c>
      <c r="C8255" s="5" t="str">
        <f>IFERROR(__xludf.DUMMYFUNCTION("GOOGLETRANSLATE(B8255,""en"",""zh-CN"")"),"有一个女人长长的黑发看着镜子，刷她的头发。")</f>
        <v>有一个女人长长的黑发看着镜子，刷她的头发。</v>
      </c>
    </row>
    <row r="8256">
      <c r="A8256" s="4" t="s">
        <v>10388</v>
      </c>
      <c r="B8256" s="4" t="s">
        <v>10390</v>
      </c>
      <c r="C8256" s="5" t="str">
        <f>IFERROR(__xludf.DUMMYFUNCTION("GOOGLETRANSLATE(B8256,""en"",""zh-CN"")"),"还有另一个有着金色头发的女人，使脸上看起来很生气和恶心。")</f>
        <v>还有另一个有着金色头发的女人，使脸上看起来很生气和恶心。</v>
      </c>
    </row>
    <row r="8257">
      <c r="A8257" s="4" t="s">
        <v>10391</v>
      </c>
      <c r="B8257" s="4" t="s">
        <v>10392</v>
      </c>
      <c r="C8257" s="5" t="str">
        <f>IFERROR(__xludf.DUMMYFUNCTION("GOOGLETRANSLATE(B8257,""en"",""zh-CN"")"),"酒保开始与相机说话，然后将冰倒入玻璃杯中。")</f>
        <v>酒保开始与相机说话，然后将冰倒入玻璃杯中。</v>
      </c>
    </row>
    <row r="8258">
      <c r="A8258" s="4" t="s">
        <v>10391</v>
      </c>
      <c r="B8258" s="4" t="s">
        <v>10393</v>
      </c>
      <c r="C8258" s="5" t="str">
        <f>IFERROR(__xludf.DUMMYFUNCTION("GOOGLETRANSLATE(B8258,""en"",""zh-CN"")"),"她认为指示将朗姆酒和柠檬汁混合到玻璃杯中，并将一盎司的朗姆酒混合在一起。")</f>
        <v>她认为指示将朗姆酒和柠檬汁混合到玻璃杯中，并将一盎司的朗姆酒混合在一起。</v>
      </c>
    </row>
    <row r="8259">
      <c r="A8259" s="4" t="s">
        <v>10391</v>
      </c>
      <c r="B8259" s="4" t="s">
        <v>10394</v>
      </c>
      <c r="C8259" s="5" t="str">
        <f>IFERROR(__xludf.DUMMYFUNCTION("GOOGLETRANSLATE(B8259,""en"",""zh-CN"")"),"最后，她将榴弹和一些甜酸味与苏打水混合在一起。")</f>
        <v>最后，她将榴弹和一些甜酸味与苏打水混合在一起。</v>
      </c>
    </row>
    <row r="8260">
      <c r="A8260" s="4" t="s">
        <v>10391</v>
      </c>
      <c r="B8260" s="4" t="s">
        <v>10395</v>
      </c>
      <c r="C8260" s="5" t="str">
        <f>IFERROR(__xludf.DUMMYFUNCTION("GOOGLETRANSLATE(B8260,""en"",""zh-CN"")"),"最终，她将所有组件混合在一起，并创造出优质的酒精饮料。")</f>
        <v>最终，她将所有组件混合在一起，并创造出优质的酒精饮料。</v>
      </c>
    </row>
    <row r="8261">
      <c r="A8261" s="4" t="s">
        <v>10396</v>
      </c>
      <c r="B8261" s="6" t="s">
        <v>10397</v>
      </c>
      <c r="C8261" s="5" t="str">
        <f>IFERROR(__xludf.DUMMYFUNCTION("GOOGLETRANSLATE(B8261,""en"",""zh-CN"")"),"一个年轻的女孩站在4位坐在桌子上的法官面前的舞台上，他们正在和她说话。")</f>
        <v>一个年轻的女孩站在4位坐在桌子上的法官面前的舞台上，他们正在和她说话。</v>
      </c>
    </row>
    <row r="8262">
      <c r="A8262" s="4" t="s">
        <v>10396</v>
      </c>
      <c r="B8262" s="6" t="s">
        <v>10398</v>
      </c>
      <c r="C8262" s="5" t="str">
        <f>IFERROR(__xludf.DUMMYFUNCTION("GOOGLETRANSLATE(B8262,""en"",""zh-CN"")"),"然后，女孩开始她的表演，她正在跳舞芭蕾舞和唱歌，当他们向评委和听众泛滥时，他们似乎对她的表演感到满意。")</f>
        <v>然后，女孩开始她的表演，她正在跳舞芭蕾舞和唱歌，当他们向评委和听众泛滥时，他们似乎对她的表演感到满意。</v>
      </c>
    </row>
    <row r="8263">
      <c r="A8263" s="4" t="s">
        <v>10396</v>
      </c>
      <c r="B8263" s="6" t="s">
        <v>10399</v>
      </c>
      <c r="C8263" s="5" t="str">
        <f>IFERROR(__xludf.DUMMYFUNCTION("GOOGLETRANSLATE(B8263,""en"",""zh-CN"")"),"当女孩完成表演后，她从听众和一些法官那里得到鼓掌。")</f>
        <v>当女孩完成表演后，她从听众和一些法官那里得到鼓掌。</v>
      </c>
    </row>
    <row r="8264">
      <c r="A8264" s="4" t="s">
        <v>10396</v>
      </c>
      <c r="B8264" s="6" t="s">
        <v>10400</v>
      </c>
      <c r="C8264" s="5" t="str">
        <f>IFERROR(__xludf.DUMMYFUNCTION("GOOGLETRANSLATE(B8264,""en"",""zh-CN"")"),"法官随后轮流与她表达自己的认可，对此我感到非常高兴。")</f>
        <v>法官随后轮流与她表达自己的认可，对此我感到非常高兴。</v>
      </c>
    </row>
    <row r="8265">
      <c r="A8265" s="4" t="s">
        <v>10396</v>
      </c>
      <c r="B8265" s="6" t="s">
        <v>10401</v>
      </c>
      <c r="C8265" s="5" t="str">
        <f>IFERROR(__xludf.DUMMYFUNCTION("GOOGLETRANSLATE(B8265,""en"",""zh-CN"")"),"然后，女孩从舞台上逃跑，在窗帘后面，她给了一个可能是父亲，一个吻和拥抱的男人。")</f>
        <v>然后，女孩从舞台上逃跑，在窗帘后面，她给了一个可能是父亲，一个吻和拥抱的男人。</v>
      </c>
    </row>
    <row r="8266">
      <c r="A8266" s="4" t="s">
        <v>10402</v>
      </c>
      <c r="B8266" s="6" t="s">
        <v>10403</v>
      </c>
      <c r="C8266" s="5" t="str">
        <f>IFERROR(__xludf.DUMMYFUNCTION("GOOGLETRANSLATE(B8266,""en"",""zh-CN"")"),"看到一群妇女在沙质区域周围走来走去，开始互相打球。")</f>
        <v>看到一群妇女在沙质区域周围走来走去，开始互相打球。</v>
      </c>
    </row>
    <row r="8267">
      <c r="A8267" s="4" t="s">
        <v>10402</v>
      </c>
      <c r="B8267" s="6" t="s">
        <v>10404</v>
      </c>
      <c r="C8267" s="5" t="str">
        <f>IFERROR(__xludf.DUMMYFUNCTION("GOOGLETRANSLATE(B8267,""en"",""zh-CN"")"),"女孩们继续参加比赛，而其他人则在场边看，最后慢慢走。")</f>
        <v>女孩们继续参加比赛，而其他人则在场边看，最后慢慢走。</v>
      </c>
    </row>
    <row r="8268">
      <c r="A8268" s="4" t="s">
        <v>10405</v>
      </c>
      <c r="B8268" s="4" t="s">
        <v>10406</v>
      </c>
      <c r="C8268" s="5" t="str">
        <f>IFERROR(__xludf.DUMMYFUNCTION("GOOGLETRANSLATE(B8268,""en"",""zh-CN"")"),"一个女孩做一个平衡光束的例行活动并跳来跳去。")</f>
        <v>一个女孩做一个平衡光束的例行活动并跳来跳去。</v>
      </c>
    </row>
    <row r="8269">
      <c r="A8269" s="4" t="s">
        <v>10405</v>
      </c>
      <c r="B8269" s="4" t="s">
        <v>10407</v>
      </c>
      <c r="C8269" s="5" t="str">
        <f>IFERROR(__xludf.DUMMYFUNCTION("GOOGLETRANSLATE(B8269,""en"",""zh-CN"")"),"伸展后，女人进行了四次翻转。")</f>
        <v>伸展后，女人进行了四次翻转。</v>
      </c>
    </row>
    <row r="8270">
      <c r="A8270" s="4" t="s">
        <v>10405</v>
      </c>
      <c r="B8270" s="4" t="s">
        <v>10408</v>
      </c>
      <c r="C8270" s="5" t="str">
        <f>IFERROR(__xludf.DUMMYFUNCTION("GOOGLETRANSLATE(B8270,""en"",""zh-CN"")"),"女人卸下并完成例程。")</f>
        <v>女人卸下并完成例程。</v>
      </c>
    </row>
    <row r="8271">
      <c r="A8271" s="4" t="s">
        <v>10409</v>
      </c>
      <c r="B8271" s="4" t="s">
        <v>10410</v>
      </c>
      <c r="C8271" s="5" t="str">
        <f>IFERROR(__xludf.DUMMYFUNCTION("GOOGLETRANSLATE(B8271,""en"",""zh-CN"")"),"在汽车经过时，男孩们在外面的一条河上走在街上。")</f>
        <v>在汽车经过时，男孩们在外面的一条河上走在街上。</v>
      </c>
    </row>
    <row r="8272">
      <c r="A8272" s="4" t="s">
        <v>10409</v>
      </c>
      <c r="B8272" s="4" t="s">
        <v>10411</v>
      </c>
      <c r="C8272" s="5" t="str">
        <f>IFERROR(__xludf.DUMMYFUNCTION("GOOGLETRANSLATE(B8272,""en"",""zh-CN"")"),"有很多人在水上进行许多不同的活动。")</f>
        <v>有很多人在水上进行许多不同的活动。</v>
      </c>
    </row>
    <row r="8273">
      <c r="A8273" s="4" t="s">
        <v>10409</v>
      </c>
      <c r="B8273" s="4" t="s">
        <v>10412</v>
      </c>
      <c r="C8273" s="5" t="str">
        <f>IFERROR(__xludf.DUMMYFUNCTION("GOOGLETRANSLATE(B8273,""en"",""zh-CN"")"),"一些男孩确实从桥上跳下来，另一些男孩正在船后骑。")</f>
        <v>一些男孩确实从桥上跳下来，另一些男孩正在船后骑。</v>
      </c>
    </row>
    <row r="8274">
      <c r="A8274" s="4" t="s">
        <v>10409</v>
      </c>
      <c r="B8274" s="4" t="s">
        <v>10413</v>
      </c>
      <c r="C8274" s="5" t="str">
        <f>IFERROR(__xludf.DUMMYFUNCTION("GOOGLETRANSLATE(B8274,""en"",""zh-CN"")"),"这是一个不错的夏日，可以在水中享受阳光下的乐趣。")</f>
        <v>这是一个不错的夏日，可以在水中享受阳光下的乐趣。</v>
      </c>
    </row>
    <row r="8275">
      <c r="A8275" s="4" t="s">
        <v>10414</v>
      </c>
      <c r="B8275" s="6" t="s">
        <v>10415</v>
      </c>
      <c r="C8275" s="5" t="str">
        <f>IFERROR(__xludf.DUMMYFUNCTION("GOOGLETRANSLATE(B8275,""en"",""zh-CN"")"),"一个人向您展示了如何在您的手中和手指之间握住一个小尖锐的末端棍子，以用作武器。")</f>
        <v>一个人向您展示了如何在您的手中和手指之间握住一个小尖锐的末端棍子，以用作武器。</v>
      </c>
    </row>
    <row r="8276">
      <c r="A8276" s="4" t="s">
        <v>10414</v>
      </c>
      <c r="B8276" s="6" t="s">
        <v>10416</v>
      </c>
      <c r="C8276" s="5" t="str">
        <f>IFERROR(__xludf.DUMMYFUNCTION("GOOGLETRANSLATE(B8276,""en"",""zh-CN"")"),"该男子向您展示了如何将尖锐的末端棍子扔进墙壁上，并从不同的距离将其粘住。")</f>
        <v>该男子向您展示了如何将尖锐的末端棍子扔进墙壁上，并从不同的距离将其粘住。</v>
      </c>
    </row>
    <row r="8277">
      <c r="A8277" s="4" t="s">
        <v>10417</v>
      </c>
      <c r="B8277" s="6" t="s">
        <v>10418</v>
      </c>
      <c r="C8277" s="5" t="str">
        <f>IFERROR(__xludf.DUMMYFUNCTION("GOOGLETRANSLATE(B8277,""en"",""zh-CN"")"),"看到两个男人站在一起，一个人在相机上说话，另一个躺在地板上。")</f>
        <v>看到两个男人站在一起，一个人在相机上说话，另一个躺在地板上。</v>
      </c>
    </row>
    <row r="8278">
      <c r="A8278" s="4" t="s">
        <v>10417</v>
      </c>
      <c r="B8278" s="6" t="s">
        <v>10419</v>
      </c>
      <c r="C8278" s="5" t="str">
        <f>IFERROR(__xludf.DUMMYFUNCTION("GOOGLETRANSLATE(B8278,""en"",""zh-CN"")"),"那个男人跪在他身后，指着他的身体，而那个男人躺在门上移动胳膊和腿以表现出适当的锻炼。")</f>
        <v>那个男人跪在他身后，指着他的身体，而那个男人躺在门上移动胳膊和腿以表现出适当的锻炼。</v>
      </c>
    </row>
    <row r="8279">
      <c r="A8279" s="4" t="s">
        <v>10420</v>
      </c>
      <c r="B8279" s="4" t="s">
        <v>10421</v>
      </c>
      <c r="C8279" s="5" t="str">
        <f>IFERROR(__xludf.DUMMYFUNCTION("GOOGLETRANSLATE(B8279,""en"",""zh-CN"")"),"显示了轨道的特写，后面是一个女人慢慢走开。")</f>
        <v>显示了轨道的特写，后面是一个女人慢慢走开。</v>
      </c>
    </row>
    <row r="8280">
      <c r="A8280" s="4" t="s">
        <v>10420</v>
      </c>
      <c r="B8280" s="4" t="s">
        <v>10422</v>
      </c>
      <c r="C8280" s="5" t="str">
        <f>IFERROR(__xludf.DUMMYFUNCTION("GOOGLETRANSLATE(B8280,""en"",""zh-CN"")"),"然后显示了她在各个地方表现跳远的几张照片。")</f>
        <v>然后显示了她在各个地方表现跳远的几张照片。</v>
      </c>
    </row>
    <row r="8281">
      <c r="A8281" s="4" t="s">
        <v>10420</v>
      </c>
      <c r="B8281" s="4" t="s">
        <v>10423</v>
      </c>
      <c r="C8281" s="5" t="str">
        <f>IFERROR(__xludf.DUMMYFUNCTION("GOOGLETRANSLATE(B8281,""en"",""zh-CN"")"),"她继续以慢动作跳跃，最后着陆到最后一个坑。")</f>
        <v>她继续以慢动作跳跃，最后着陆到最后一个坑。</v>
      </c>
    </row>
    <row r="8282">
      <c r="A8282" s="4" t="s">
        <v>10424</v>
      </c>
      <c r="B8282" s="6" t="s">
        <v>10425</v>
      </c>
      <c r="C8282" s="5" t="str">
        <f>IFERROR(__xludf.DUMMYFUNCTION("GOOGLETRANSLATE(B8282,""en"",""zh-CN"")"),"有一位穿着绿色的女士打磨柜台，给购买雪管的人提供门票。")</f>
        <v>有一位穿着绿色的女士打磨柜台，给购买雪管的人提供门票。</v>
      </c>
    </row>
    <row r="8283">
      <c r="A8283" s="4" t="s">
        <v>10424</v>
      </c>
      <c r="B8283" s="4" t="s">
        <v>10426</v>
      </c>
      <c r="C8283" s="5" t="str">
        <f>IFERROR(__xludf.DUMMYFUNCTION("GOOGLETRANSLATE(B8283,""en"",""zh-CN"")"),"几个人在雪管下雪帽坡。")</f>
        <v>几个人在雪管下雪帽坡。</v>
      </c>
    </row>
    <row r="8284">
      <c r="A8284" s="4" t="s">
        <v>10424</v>
      </c>
      <c r="B8284" s="4" t="s">
        <v>10427</v>
      </c>
      <c r="C8284" s="5" t="str">
        <f>IFERROR(__xludf.DUMMYFUNCTION("GOOGLETRANSLATE(B8284,""en"",""zh-CN"")"),"人们穿着冬季装备和护目镜在雪管上下坡。")</f>
        <v>人们穿着冬季装备和护目镜在雪管上下坡。</v>
      </c>
    </row>
    <row r="8285">
      <c r="A8285" s="4" t="s">
        <v>10424</v>
      </c>
      <c r="B8285" s="4" t="s">
        <v>10428</v>
      </c>
      <c r="C8285" s="5" t="str">
        <f>IFERROR(__xludf.DUMMYFUNCTION("GOOGLETRANSLATE(B8285,""en"",""zh-CN"")"),"其中一些是三分之一的雪管。")</f>
        <v>其中一些是三分之一的雪管。</v>
      </c>
    </row>
    <row r="8286">
      <c r="A8286" s="4" t="s">
        <v>10424</v>
      </c>
      <c r="B8286" s="4" t="s">
        <v>10429</v>
      </c>
      <c r="C8286" s="5" t="str">
        <f>IFERROR(__xludf.DUMMYFUNCTION("GOOGLETRANSLATE(B8286,""en"",""zh-CN"")"),"他们很高兴自己迅速地走下坡。")</f>
        <v>他们很高兴自己迅速地走下坡。</v>
      </c>
    </row>
    <row r="8287">
      <c r="A8287" s="4" t="s">
        <v>10430</v>
      </c>
      <c r="B8287" s="4" t="s">
        <v>10431</v>
      </c>
      <c r="C8287" s="5" t="str">
        <f>IFERROR(__xludf.DUMMYFUNCTION("GOOGLETRANSLATE(B8287,""en"",""zh-CN"")"),"一名运动员爬上鞍马，进行跳跃和翻转。")</f>
        <v>一名运动员爬上鞍马，进行跳跃和翻转。</v>
      </c>
    </row>
    <row r="8288">
      <c r="A8288" s="4" t="s">
        <v>10430</v>
      </c>
      <c r="B8288" s="4" t="s">
        <v>10432</v>
      </c>
      <c r="C8288" s="5" t="str">
        <f>IFERROR(__xludf.DUMMYFUNCTION("GOOGLETRANSLATE(B8288,""en"",""zh-CN"")"),"运动员向后翻转，然后继续她的例行工作。")</f>
        <v>运动员向后翻转，然后继续她的例行工作。</v>
      </c>
    </row>
    <row r="8289">
      <c r="A8289" s="4" t="s">
        <v>10430</v>
      </c>
      <c r="B8289" s="6" t="s">
        <v>10433</v>
      </c>
      <c r="C8289" s="5" t="str">
        <f>IFERROR(__xludf.DUMMYFUNCTION("GOOGLETRANSLATE(B8289,""en"",""zh-CN"")"),"运动员站在鞍马上的边界上，奔跑跳跃，然后翻转并跌倒在地板上。")</f>
        <v>运动员站在鞍马上的边界上，奔跑跳跃，然后翻转并跌倒在地板上。</v>
      </c>
    </row>
    <row r="8290">
      <c r="A8290" s="4" t="s">
        <v>10434</v>
      </c>
      <c r="B8290" s="6" t="s">
        <v>10435</v>
      </c>
      <c r="C8290" s="5" t="str">
        <f>IFERROR(__xludf.DUMMYFUNCTION("GOOGLETRANSLATE(B8290,""en"",""zh-CN"")"),"看到两个男人和一个女人走到舞台上，而一群人则在镜子里看到一群人。")</f>
        <v>看到两个男人和一个女人走到舞台上，而一群人则在镜子里看到一群人。</v>
      </c>
    </row>
    <row r="8291">
      <c r="A8291" s="4" t="s">
        <v>10434</v>
      </c>
      <c r="B8291" s="4" t="s">
        <v>10436</v>
      </c>
      <c r="C8291" s="5" t="str">
        <f>IFERROR(__xludf.DUMMYFUNCTION("GOOGLETRANSLATE(B8291,""en"",""zh-CN"")"),"然后，这三个人表演了舞蹈例程，而观众中的人们从后面跟随。")</f>
        <v>然后，这三个人表演了舞蹈例程，而观众中的人们从后面跟随。</v>
      </c>
    </row>
    <row r="8292">
      <c r="A8292" s="4" t="s">
        <v>10434</v>
      </c>
      <c r="B8292" s="4" t="s">
        <v>10437</v>
      </c>
      <c r="C8292" s="5" t="str">
        <f>IFERROR(__xludf.DUMMYFUNCTION("GOOGLETRANSLATE(B8292,""en"",""zh-CN"")"),"该男子在人群中抽水，继续跳舞，而其他人则跟随镜子。")</f>
        <v>该男子在人群中抽水，继续跳舞，而其他人则跟随镜子。</v>
      </c>
    </row>
    <row r="8293">
      <c r="A8293" s="4" t="s">
        <v>10438</v>
      </c>
      <c r="B8293" s="4" t="s">
        <v>10439</v>
      </c>
      <c r="C8293" s="5" t="str">
        <f>IFERROR(__xludf.DUMMYFUNCTION("GOOGLETRANSLATE(B8293,""en"",""zh-CN"")"),"老人在秋天耙开着家外。")</f>
        <v>老人在秋天耙开着家外。</v>
      </c>
    </row>
    <row r="8294">
      <c r="A8294" s="4" t="s">
        <v>10438</v>
      </c>
      <c r="B8294" s="4" t="s">
        <v>10440</v>
      </c>
      <c r="C8294" s="5" t="str">
        <f>IFERROR(__xludf.DUMMYFUNCTION("GOOGLETRANSLATE(B8294,""en"",""zh-CN"")"),"人正在叙述动作。")</f>
        <v>人正在叙述动作。</v>
      </c>
    </row>
    <row r="8295">
      <c r="A8295" s="4" t="s">
        <v>10438</v>
      </c>
      <c r="B8295" s="4" t="s">
        <v>10441</v>
      </c>
      <c r="C8295" s="5" t="str">
        <f>IFERROR(__xludf.DUMMYFUNCTION("GOOGLETRANSLATE(B8295,""en"",""zh-CN"")"),"房子旁边有一辆自行车。")</f>
        <v>房子旁边有一辆自行车。</v>
      </c>
    </row>
    <row r="8296">
      <c r="A8296" s="4" t="s">
        <v>10442</v>
      </c>
      <c r="B8296" s="4" t="s">
        <v>10443</v>
      </c>
      <c r="C8296" s="5" t="str">
        <f>IFERROR(__xludf.DUMMYFUNCTION("GOOGLETRANSLATE(B8296,""en"",""zh-CN"")"),"一位女教练和欢呼导演与镜头交谈。")</f>
        <v>一位女教练和欢呼导演与镜头交谈。</v>
      </c>
    </row>
    <row r="8297">
      <c r="A8297" s="4" t="s">
        <v>10442</v>
      </c>
      <c r="B8297" s="4" t="s">
        <v>10444</v>
      </c>
      <c r="C8297" s="5" t="str">
        <f>IFERROR(__xludf.DUMMYFUNCTION("GOOGLETRANSLATE(B8297,""en"",""zh-CN"")"),"然后，她通过背弹发现了一个小女孩。")</f>
        <v>然后，她通过背弹发现了一个小女孩。</v>
      </c>
    </row>
    <row r="8298">
      <c r="A8298" s="4" t="s">
        <v>10442</v>
      </c>
      <c r="B8298" s="4" t="s">
        <v>10445</v>
      </c>
      <c r="C8298" s="5" t="str">
        <f>IFERROR(__xludf.DUMMYFUNCTION("GOOGLETRANSLATE(B8298,""en"",""zh-CN"")"),"她帮助她完成了几项不同的任务，并解释了这些过程。")</f>
        <v>她帮助她完成了几项不同的任务，并解释了这些过程。</v>
      </c>
    </row>
    <row r="8299">
      <c r="A8299" s="4" t="s">
        <v>10446</v>
      </c>
      <c r="B8299" s="4" t="s">
        <v>10447</v>
      </c>
      <c r="C8299" s="5" t="str">
        <f>IFERROR(__xludf.DUMMYFUNCTION("GOOGLETRANSLATE(B8299,""en"",""zh-CN"")"),"看到一大批人站在海滩上，望向远处。")</f>
        <v>看到一大批人站在海滩上，望向远处。</v>
      </c>
    </row>
    <row r="8300">
      <c r="A8300" s="4" t="s">
        <v>10446</v>
      </c>
      <c r="B8300" s="4" t="s">
        <v>10448</v>
      </c>
      <c r="C8300" s="5" t="str">
        <f>IFERROR(__xludf.DUMMYFUNCTION("GOOGLETRANSLATE(B8300,""en"",""zh-CN"")"),"显示了几张镜头，有人骑着冲浪板和其他人在侧面观看。")</f>
        <v>显示了几张镜头，有人骑着冲浪板和其他人在侧面观看。</v>
      </c>
    </row>
    <row r="8301">
      <c r="A8301" s="4" t="s">
        <v>10446</v>
      </c>
      <c r="B8301" s="4" t="s">
        <v>10449</v>
      </c>
      <c r="C8301" s="5" t="str">
        <f>IFERROR(__xludf.DUMMYFUNCTION("GOOGLETRANSLATE(B8301,""en"",""zh-CN"")"),"看到更多的人在各种镜头中骑着海浪。")</f>
        <v>看到更多的人在各种镜头中骑着海浪。</v>
      </c>
    </row>
    <row r="8302">
      <c r="A8302" s="4" t="s">
        <v>10450</v>
      </c>
      <c r="B8302" s="4" t="s">
        <v>10451</v>
      </c>
      <c r="C8302" s="5" t="str">
        <f>IFERROR(__xludf.DUMMYFUNCTION("GOOGLETRANSLATE(B8302,""en"",""zh-CN"")"),"一辆大型越野卡车沿着一条水旁边的一条泥土行驶，停下来。")</f>
        <v>一辆大型越野卡车沿着一条水旁边的一条泥土行驶，停下来。</v>
      </c>
    </row>
    <row r="8303">
      <c r="A8303" s="4" t="s">
        <v>10450</v>
      </c>
      <c r="B8303" s="6" t="s">
        <v>10452</v>
      </c>
      <c r="C8303" s="5" t="str">
        <f>IFERROR(__xludf.DUMMYFUNCTION("GOOGLETRANSLATE(B8303,""en"",""zh-CN"")"),"许多观众接近车辆，而驾驶员从车辆上爬出来，并试图从卡车后部卸下轮胎。")</f>
        <v>许多观众接近车辆，而驾驶员从车辆上爬出来，并试图从卡车后部卸下轮胎。</v>
      </c>
    </row>
    <row r="8304">
      <c r="A8304" s="4" t="s">
        <v>10450</v>
      </c>
      <c r="B8304" s="6" t="s">
        <v>10453</v>
      </c>
      <c r="C8304" s="5" t="str">
        <f>IFERROR(__xludf.DUMMYFUNCTION("GOOGLETRANSLATE(B8304,""en"",""zh-CN"")"),"工人和一些助手用备用轮胎接近车辆，有些人开始抬起卡车的后部，试图更换后乘客侧轮胎。")</f>
        <v>工人和一些助手用备用轮胎接近车辆，有些人开始抬起卡车的后部，试图更换后乘客侧轮胎。</v>
      </c>
    </row>
    <row r="8305">
      <c r="A8305" s="4" t="s">
        <v>10450</v>
      </c>
      <c r="B8305" s="6" t="s">
        <v>10454</v>
      </c>
      <c r="C8305" s="5" t="str">
        <f>IFERROR(__xludf.DUMMYFUNCTION("GOOGLETRANSLATE(B8305,""en"",""zh-CN"")"),"当轮胎更换时，驾驶员爬回卡车，陈述器拍摄了车辆的照片。")</f>
        <v>当轮胎更换时，驾驶员爬回卡车，陈述器拍摄了车辆的照片。</v>
      </c>
    </row>
    <row r="8306">
      <c r="A8306" s="4" t="s">
        <v>10450</v>
      </c>
      <c r="B8306" s="4" t="s">
        <v>10455</v>
      </c>
      <c r="C8306" s="5" t="str">
        <f>IFERROR(__xludf.DUMMYFUNCTION("GOOGLETRANSLATE(B8306,""en"",""zh-CN"")"),"其他观众来到驾驶员方与驾驶员交谈。")</f>
        <v>其他观众来到驾驶员方与驾驶员交谈。</v>
      </c>
    </row>
    <row r="8307">
      <c r="A8307" s="4" t="s">
        <v>10450</v>
      </c>
      <c r="B8307" s="4" t="s">
        <v>10456</v>
      </c>
      <c r="C8307" s="5" t="str">
        <f>IFERROR(__xludf.DUMMYFUNCTION("GOOGLETRANSLATE(B8307,""en"",""zh-CN"")"),"轮胎被更换，卡车驶下。")</f>
        <v>轮胎被更换，卡车驶下。</v>
      </c>
    </row>
    <row r="8308">
      <c r="A8308" s="4" t="s">
        <v>10450</v>
      </c>
      <c r="B8308" s="4" t="s">
        <v>10457</v>
      </c>
      <c r="C8308" s="5" t="str">
        <f>IFERROR(__xludf.DUMMYFUNCTION("GOOGLETRANSLATE(B8308,""en"",""zh-CN"")"),"显示了更换的轮胎的详细观察。")</f>
        <v>显示了更换的轮胎的详细观察。</v>
      </c>
    </row>
    <row r="8309">
      <c r="A8309" s="4" t="s">
        <v>10458</v>
      </c>
      <c r="B8309" s="4" t="s">
        <v>10459</v>
      </c>
      <c r="C8309" s="5" t="str">
        <f>IFERROR(__xludf.DUMMYFUNCTION("GOOGLETRANSLATE(B8309,""en"",""zh-CN"")"),"有三个承包商改建一栋被拆除进行翻新的房屋。")</f>
        <v>有三个承包商改建一栋被拆除进行翻新的房屋。</v>
      </c>
    </row>
    <row r="8310">
      <c r="A8310" s="4" t="s">
        <v>10458</v>
      </c>
      <c r="B8310" s="4" t="s">
        <v>10460</v>
      </c>
      <c r="C8310" s="5" t="str">
        <f>IFERROR(__xludf.DUMMYFUNCTION("GOOGLETRANSLATE(B8310,""en"",""zh-CN"")"),"承包商之一正在巩固砖墙。")</f>
        <v>承包商之一正在巩固砖墙。</v>
      </c>
    </row>
    <row r="8311">
      <c r="A8311" s="4" t="s">
        <v>10458</v>
      </c>
      <c r="B8311" s="4" t="s">
        <v>10461</v>
      </c>
      <c r="C8311" s="5" t="str">
        <f>IFERROR(__xludf.DUMMYFUNCTION("GOOGLETRANSLATE(B8311,""en"",""zh-CN"")"),"另一个承包商正在打破客厅的现有墙。")</f>
        <v>另一个承包商正在打破客厅的现有墙。</v>
      </c>
    </row>
    <row r="8312">
      <c r="A8312" s="4" t="s">
        <v>10458</v>
      </c>
      <c r="B8312" s="4" t="s">
        <v>10462</v>
      </c>
      <c r="C8312" s="5" t="str">
        <f>IFERROR(__xludf.DUMMYFUNCTION("GOOGLETRANSLATE(B8312,""en"",""zh-CN"")"),"整个房子都在翻新，家具和盒子里放着灰尘。")</f>
        <v>整个房子都在翻新，家具和盒子里放着灰尘。</v>
      </c>
    </row>
    <row r="8313">
      <c r="A8313" s="4" t="s">
        <v>10463</v>
      </c>
      <c r="B8313" s="4" t="s">
        <v>10464</v>
      </c>
      <c r="C8313" s="5" t="str">
        <f>IFERROR(__xludf.DUMMYFUNCTION("GOOGLETRANSLATE(B8313,""en"",""zh-CN"")"),"孩子坐在红色的房间里和镜头说话。")</f>
        <v>孩子坐在红色的房间里和镜头说话。</v>
      </c>
    </row>
    <row r="8314">
      <c r="A8314" s="4" t="s">
        <v>10463</v>
      </c>
      <c r="B8314" s="4" t="s">
        <v>10465</v>
      </c>
      <c r="C8314" s="5" t="str">
        <f>IFERROR(__xludf.DUMMYFUNCTION("GOOGLETRANSLATE(B8314,""en"",""zh-CN"")"),"这个孩子抓住吉他，开始弹并唱歌。")</f>
        <v>这个孩子抓住吉他，开始弹并唱歌。</v>
      </c>
    </row>
    <row r="8315">
      <c r="A8315" s="4" t="s">
        <v>10463</v>
      </c>
      <c r="B8315" s="4" t="s">
        <v>10466</v>
      </c>
      <c r="C8315" s="5" t="str">
        <f>IFERROR(__xludf.DUMMYFUNCTION("GOOGLETRANSLATE(B8315,""en"",""zh-CN"")"),"孩子正在弹吉他，并在一个小房间里与镜头交谈。")</f>
        <v>孩子正在弹吉他，并在一个小房间里与镜头交谈。</v>
      </c>
    </row>
    <row r="8316">
      <c r="A8316" s="4" t="s">
        <v>10467</v>
      </c>
      <c r="B8316" s="4" t="s">
        <v>10468</v>
      </c>
      <c r="C8316" s="5" t="str">
        <f>IFERROR(__xludf.DUMMYFUNCTION("GOOGLETRANSLATE(B8316,""en"",""zh-CN"")"),"在收到理发的几张图像中显示了一个小女孩。")</f>
        <v>在收到理发的几张图像中显示了一个小女孩。</v>
      </c>
    </row>
    <row r="8317">
      <c r="A8317" s="4" t="s">
        <v>10467</v>
      </c>
      <c r="B8317" s="6" t="s">
        <v>10469</v>
      </c>
      <c r="C8317" s="5" t="str">
        <f>IFERROR(__xludf.DUMMYFUNCTION("GOOGLETRANSLATE(B8317,""en"",""zh-CN"")"),"然后，她以视频形式显示出她的长发，以马尾辫的风格切断，该尾巴旨在捐赠给一个名为“爱情锁”的小组。")</f>
        <v>然后，她以视频形式显示出她的长发，以马尾辫的风格切断，该尾巴旨在捐赠给一个名为“爱情锁”的小组。</v>
      </c>
    </row>
    <row r="8318">
      <c r="A8318" s="4" t="s">
        <v>10467</v>
      </c>
      <c r="B8318" s="4" t="s">
        <v>10470</v>
      </c>
      <c r="C8318" s="5" t="str">
        <f>IFERROR(__xludf.DUMMYFUNCTION("GOOGLETRANSLATE(B8318,""en"",""zh-CN"")"),"这个女孩在各种照片中显示，拿着她要捐赠的头发。")</f>
        <v>这个女孩在各种照片中显示，拿着她要捐赠的头发。</v>
      </c>
    </row>
    <row r="8319">
      <c r="A8319" s="4" t="s">
        <v>10471</v>
      </c>
      <c r="B8319" s="4" t="s">
        <v>1251</v>
      </c>
      <c r="C8319" s="5" t="str">
        <f>IFERROR(__xludf.DUMMYFUNCTION("GOOGLETRANSLATE(B8319,""en"",""zh-CN"")"),"显示了剪辑的信用。")</f>
        <v>显示了剪辑的信用。</v>
      </c>
    </row>
    <row r="8320">
      <c r="A8320" s="4" t="s">
        <v>10471</v>
      </c>
      <c r="B8320" s="4" t="s">
        <v>10472</v>
      </c>
      <c r="C8320" s="5" t="str">
        <f>IFERROR(__xludf.DUMMYFUNCTION("GOOGLETRANSLATE(B8320,""en"",""zh-CN"")"),"伙计们把球扔在田野上。")</f>
        <v>伙计们把球扔在田野上。</v>
      </c>
    </row>
    <row r="8321">
      <c r="A8321" s="4" t="s">
        <v>10471</v>
      </c>
      <c r="B8321" s="4" t="s">
        <v>10473</v>
      </c>
      <c r="C8321" s="5" t="str">
        <f>IFERROR(__xludf.DUMMYFUNCTION("GOOGLETRANSLATE(B8321,""en"",""zh-CN"")"),"一个家伙举着几个球和谈话。")</f>
        <v>一个家伙举着几个球和谈话。</v>
      </c>
    </row>
    <row r="8322">
      <c r="A8322" s="4" t="s">
        <v>10471</v>
      </c>
      <c r="B8322" s="4" t="s">
        <v>10474</v>
      </c>
      <c r="C8322" s="5" t="str">
        <f>IFERROR(__xludf.DUMMYFUNCTION("GOOGLETRANSLATE(B8322,""en"",""zh-CN"")"),"一个拿着扁平蝙蝠的男人在田野里散步，然后每只手拿着一个球。")</f>
        <v>一个拿着扁平蝙蝠的男人在田野里散步，然后每只手拿着一个球。</v>
      </c>
    </row>
    <row r="8323">
      <c r="A8323" s="4" t="s">
        <v>10471</v>
      </c>
      <c r="B8323" s="4" t="s">
        <v>10475</v>
      </c>
      <c r="C8323" s="5" t="str">
        <f>IFERROR(__xludf.DUMMYFUNCTION("GOOGLETRANSLATE(B8323,""en"",""zh-CN"")"),"两个男人和一个男人坐着一只扁平的蝙蝠。")</f>
        <v>两个男人和一个男人坐着一只扁平的蝙蝠。</v>
      </c>
    </row>
    <row r="8324">
      <c r="A8324" s="4" t="s">
        <v>10471</v>
      </c>
      <c r="B8324" s="4" t="s">
        <v>10476</v>
      </c>
      <c r="C8324" s="5" t="str">
        <f>IFERROR(__xludf.DUMMYFUNCTION("GOOGLETRANSLATE(B8324,""en"",""zh-CN"")"),"伙计们用扁平的蝙蝠击中球。")</f>
        <v>伙计们用扁平的蝙蝠击中球。</v>
      </c>
    </row>
    <row r="8325">
      <c r="A8325" s="4" t="s">
        <v>10471</v>
      </c>
      <c r="B8325" s="4" t="s">
        <v>573</v>
      </c>
      <c r="C8325" s="5" t="str">
        <f>IFERROR(__xludf.DUMMYFUNCTION("GOOGLETRANSLATE(B8325,""en"",""zh-CN"")"),"显示了视频的积分。")</f>
        <v>显示了视频的积分。</v>
      </c>
    </row>
    <row r="8326">
      <c r="A8326" s="4" t="s">
        <v>10477</v>
      </c>
      <c r="B8326" s="6" t="s">
        <v>10478</v>
      </c>
      <c r="C8326" s="5" t="str">
        <f>IFERROR(__xludf.DUMMYFUNCTION("GOOGLETRANSLATE(B8326,""en"",""zh-CN"")"),"看到一个男人在桌子后面的相机上说话，上面放着各种成分和眼镜。")</f>
        <v>看到一个男人在桌子后面的相机上说话，上面放着各种成分和眼镜。</v>
      </c>
    </row>
    <row r="8327">
      <c r="A8327" s="4" t="s">
        <v>10477</v>
      </c>
      <c r="B8327" s="4" t="s">
        <v>10479</v>
      </c>
      <c r="C8327" s="5" t="str">
        <f>IFERROR(__xludf.DUMMYFUNCTION("GOOGLETRANSLATE(B8327,""en"",""zh-CN"")"),"该男子将成分混合到玻璃杯中，并将石灰榨汁到玻璃杯中。")</f>
        <v>该男子将成分混合到玻璃杯中，并将石灰榨汁到玻璃杯中。</v>
      </c>
    </row>
    <row r="8328">
      <c r="A8328" s="4" t="s">
        <v>10477</v>
      </c>
      <c r="B8328" s="6" t="s">
        <v>10480</v>
      </c>
      <c r="C8328" s="5" t="str">
        <f>IFERROR(__xludf.DUMMYFUNCTION("GOOGLETRANSLATE(B8328,""en"",""zh-CN"")"),"然后，他将成分推到周围，然后将液体倒入玻璃杯中，形成酒精饮料。")</f>
        <v>然后，他将成分推到周围，然后将液体倒入玻璃杯中，形成酒精饮料。</v>
      </c>
    </row>
    <row r="8329">
      <c r="A8329" s="4" t="s">
        <v>10477</v>
      </c>
      <c r="B8329" s="4" t="s">
        <v>10481</v>
      </c>
      <c r="C8329" s="5" t="str">
        <f>IFERROR(__xludf.DUMMYFUNCTION("GOOGLETRANSLATE(B8329,""en"",""zh-CN"")"),"在布置成分清单时，他展示了玻璃杯，然后离开框架。")</f>
        <v>在布置成分清单时，他展示了玻璃杯，然后离开框架。</v>
      </c>
    </row>
    <row r="8330">
      <c r="A8330" s="4" t="s">
        <v>10482</v>
      </c>
      <c r="B8330" s="4" t="s">
        <v>10483</v>
      </c>
      <c r="C8330" s="5" t="str">
        <f>IFERROR(__xludf.DUMMYFUNCTION("GOOGLETRANSLATE(B8330,""en"",""zh-CN"")"),"一个男人戴着一种装置，将他的小儿子抬在树林里时的背上。")</f>
        <v>一个男人戴着一种装置，将他的小儿子抬在树林里时的背上。</v>
      </c>
    </row>
    <row r="8331">
      <c r="A8331" s="4" t="s">
        <v>10482</v>
      </c>
      <c r="B8331" s="4" t="s">
        <v>10484</v>
      </c>
      <c r="C8331" s="5" t="str">
        <f>IFERROR(__xludf.DUMMYFUNCTION("GOOGLETRANSLATE(B8331,""en"",""zh-CN"")"),"我们看到男孩在房子的室内门廊里玩耍。")</f>
        <v>我们看到男孩在房子的室内门廊里玩耍。</v>
      </c>
    </row>
    <row r="8332">
      <c r="A8332" s="4" t="s">
        <v>10482</v>
      </c>
      <c r="B8332" s="4" t="s">
        <v>10485</v>
      </c>
      <c r="C8332" s="5" t="str">
        <f>IFERROR(__xludf.DUMMYFUNCTION("GOOGLETRANSLATE(B8332,""en"",""zh-CN"")"),"这个男孩跑进院子里，他的父亲戴上头盔，并帮助他滑板。")</f>
        <v>这个男孩跑进院子里，他的父亲戴上头盔，并帮助他滑板。</v>
      </c>
    </row>
    <row r="8333">
      <c r="A8333" s="4" t="s">
        <v>10482</v>
      </c>
      <c r="B8333" s="4" t="s">
        <v>10486</v>
      </c>
      <c r="C8333" s="5" t="str">
        <f>IFERROR(__xludf.DUMMYFUNCTION("GOOGLETRANSLATE(B8333,""en"",""zh-CN"")"),"爸爸滑板并抱着男孩。")</f>
        <v>爸爸滑板并抱着男孩。</v>
      </c>
    </row>
    <row r="8334">
      <c r="A8334" s="4" t="s">
        <v>10482</v>
      </c>
      <c r="B8334" s="6" t="s">
        <v>10487</v>
      </c>
      <c r="C8334" s="5" t="str">
        <f>IFERROR(__xludf.DUMMYFUNCTION("GOOGLETRANSLATE(B8334,""en"",""zh-CN"")"),"然后，我们看到结尾屏幕，然后切换到坐在岩石上的男孩，他的父亲五岁，然后我们回到封闭式屏幕。")</f>
        <v>然后，我们看到结尾屏幕，然后切换到坐在岩石上的男孩，他的父亲五岁，然后我们回到封闭式屏幕。</v>
      </c>
    </row>
    <row r="8335">
      <c r="A8335" s="4" t="s">
        <v>10488</v>
      </c>
      <c r="B8335" s="4" t="s">
        <v>10489</v>
      </c>
      <c r="C8335" s="5" t="str">
        <f>IFERROR(__xludf.DUMMYFUNCTION("GOOGLETRANSLATE(B8335,""en"",""zh-CN"")"),"一名运动员走进田野。")</f>
        <v>一名运动员走进田野。</v>
      </c>
    </row>
    <row r="8336">
      <c r="A8336" s="4" t="s">
        <v>10488</v>
      </c>
      <c r="B8336" s="4" t="s">
        <v>10490</v>
      </c>
      <c r="C8336" s="5" t="str">
        <f>IFERROR(__xludf.DUMMYFUNCTION("GOOGLETRANSLATE(B8336,""en"",""zh-CN"")"),"他绕平台旋转。")</f>
        <v>他绕平台旋转。</v>
      </c>
    </row>
    <row r="8337">
      <c r="A8337" s="4" t="s">
        <v>10488</v>
      </c>
      <c r="B8337" s="4" t="s">
        <v>10491</v>
      </c>
      <c r="C8337" s="5" t="str">
        <f>IFERROR(__xludf.DUMMYFUNCTION("GOOGLETRANSLATE(B8337,""en"",""zh-CN"")"),"他把球扔了很大的距离，然后走开了。")</f>
        <v>他把球扔了很大的距离，然后走开了。</v>
      </c>
    </row>
    <row r="8338">
      <c r="A8338" s="4" t="s">
        <v>10492</v>
      </c>
      <c r="B8338" s="4" t="s">
        <v>10493</v>
      </c>
      <c r="C8338" s="5" t="str">
        <f>IFERROR(__xludf.DUMMYFUNCTION("GOOGLETRANSLATE(B8338,""en"",""zh-CN"")"),"有一个十几岁的男孩穿着黑色的无檐小便帽滑板在城市街道上。")</f>
        <v>有一个十几岁的男孩穿着黑色的无檐小便帽滑板在城市街道上。</v>
      </c>
    </row>
    <row r="8339">
      <c r="A8339" s="4" t="s">
        <v>10492</v>
      </c>
      <c r="B8339" s="4" t="s">
        <v>10494</v>
      </c>
      <c r="C8339" s="5" t="str">
        <f>IFERROR(__xludf.DUMMYFUNCTION("GOOGLETRANSLATE(B8339,""en"",""zh-CN"")"),"他穿着白色衬衫的滑板在跳过小水泥墙时穿着白色衬衫。")</f>
        <v>他穿着白色衬衫的滑板在跳过小水泥墙时穿着白色衬衫。</v>
      </c>
    </row>
    <row r="8340">
      <c r="A8340" s="4" t="s">
        <v>10492</v>
      </c>
      <c r="B8340" s="4" t="s">
        <v>10495</v>
      </c>
      <c r="C8340" s="5" t="str">
        <f>IFERROR(__xludf.DUMMYFUNCTION("GOOGLETRANSLATE(B8340,""en"",""zh-CN"")"),"然后，他在滑板时跳过另一堵墙。")</f>
        <v>然后，他在滑板时跳过另一堵墙。</v>
      </c>
    </row>
    <row r="8341">
      <c r="A8341" s="4" t="s">
        <v>10492</v>
      </c>
      <c r="B8341" s="6" t="s">
        <v>10496</v>
      </c>
      <c r="C8341" s="5" t="str">
        <f>IFERROR(__xludf.DUMMYFUNCTION("GOOGLETRANSLATE(B8341,""en"",""zh-CN"")"),"然后穿着绿色衬衫，他滑过一所学校，直接进入篮球场，然后跳过金属栏杆。")</f>
        <v>然后穿着绿色衬衫，他滑过一所学校，直接进入篮球场，然后跳过金属栏杆。</v>
      </c>
    </row>
    <row r="8342">
      <c r="A8342" s="4" t="s">
        <v>10492</v>
      </c>
      <c r="B8342" s="4" t="s">
        <v>10497</v>
      </c>
      <c r="C8342" s="5" t="str">
        <f>IFERROR(__xludf.DUMMYFUNCTION("GOOGLETRANSLATE(B8342,""en"",""zh-CN"")"),"然后又穿着白衬衫，试图跳到滑板上的金属手轨道上。")</f>
        <v>然后又穿着白衬衫，试图跳到滑板上的金属手轨道上。</v>
      </c>
    </row>
    <row r="8343">
      <c r="A8343" s="4" t="s">
        <v>10498</v>
      </c>
      <c r="B8343" s="4" t="s">
        <v>10499</v>
      </c>
      <c r="C8343" s="5" t="str">
        <f>IFERROR(__xludf.DUMMYFUNCTION("GOOGLETRANSLATE(B8343,""en"",""zh-CN"")"),"一个人正在从咖啡杯中喝酒，然后远离相机。")</f>
        <v>一个人正在从咖啡杯中喝酒，然后远离相机。</v>
      </c>
    </row>
    <row r="8344">
      <c r="A8344" s="4" t="s">
        <v>10498</v>
      </c>
      <c r="B8344" s="4" t="s">
        <v>10500</v>
      </c>
      <c r="C8344" s="5" t="str">
        <f>IFERROR(__xludf.DUMMYFUNCTION("GOOGLETRANSLATE(B8344,""en"",""zh-CN"")"),"他的眼睛在最后一秒钟扑向镜头，他微笑着。")</f>
        <v>他的眼睛在最后一秒钟扑向镜头，他微笑着。</v>
      </c>
    </row>
    <row r="8345">
      <c r="A8345" s="4" t="s">
        <v>10501</v>
      </c>
      <c r="B8345" s="6" t="s">
        <v>10502</v>
      </c>
      <c r="C8345" s="5" t="str">
        <f>IFERROR(__xludf.DUMMYFUNCTION("GOOGLETRANSLATE(B8345,""en"",""zh-CN"")"),"一个女人坐在沙发上的客厅里，与镜头说话，解释她要做什么。")</f>
        <v>一个女人坐在沙发上的客厅里，与镜头说话，解释她要做什么。</v>
      </c>
    </row>
    <row r="8346">
      <c r="A8346" s="4" t="s">
        <v>10501</v>
      </c>
      <c r="B8346" s="6" t="s">
        <v>10503</v>
      </c>
      <c r="C8346" s="5" t="str">
        <f>IFERROR(__xludf.DUMMYFUNCTION("GOOGLETRANSLATE(B8346,""en"",""zh-CN"")"),"摄像头倒下，女士开始展示她编织的物体的重要方面。")</f>
        <v>摄像头倒下，女士开始展示她编织的物体的重要方面。</v>
      </c>
    </row>
    <row r="8347">
      <c r="A8347" s="4" t="s">
        <v>10501</v>
      </c>
      <c r="B8347" s="4" t="s">
        <v>10504</v>
      </c>
      <c r="C8347" s="5" t="str">
        <f>IFERROR(__xludf.DUMMYFUNCTION("GOOGLETRANSLATE(B8347,""en"",""zh-CN"")"),"完成后，她抓住了针头，将线放入其中并完成编织。")</f>
        <v>完成后，她抓住了针头，将线放入其中并完成编织。</v>
      </c>
    </row>
    <row r="8348">
      <c r="A8348" s="4" t="s">
        <v>10505</v>
      </c>
      <c r="B8348" s="4" t="s">
        <v>10506</v>
      </c>
      <c r="C8348" s="5" t="str">
        <f>IFERROR(__xludf.DUMMYFUNCTION("GOOGLETRANSLATE(B8348,""en"",""zh-CN"")"),"首先，一个男孩在吃薄的华夫饼。")</f>
        <v>首先，一个男孩在吃薄的华夫饼。</v>
      </c>
    </row>
    <row r="8349">
      <c r="A8349" s="4" t="s">
        <v>10505</v>
      </c>
      <c r="B8349" s="4" t="s">
        <v>10507</v>
      </c>
      <c r="C8349" s="5" t="str">
        <f>IFERROR(__xludf.DUMMYFUNCTION("GOOGLETRANSLATE(B8349,""en"",""zh-CN"")"),"然后，一位老年女士从一个小玻璃杯上饮用水。")</f>
        <v>然后，一位老年女士从一个小玻璃杯上饮用水。</v>
      </c>
    </row>
    <row r="8350">
      <c r="A8350" s="4" t="s">
        <v>10505</v>
      </c>
      <c r="B8350" s="6" t="s">
        <v>10508</v>
      </c>
      <c r="C8350" s="5" t="str">
        <f>IFERROR(__xludf.DUMMYFUNCTION("GOOGLETRANSLATE(B8350,""en"",""zh-CN"")"),"接下来，有一个小男孩将他的手浸入冻糕，然后从另一个男孩那里抓住汤匙，然后吃冻糕。")</f>
        <v>接下来，有一个小男孩将他的手浸入冻糕，然后从另一个男孩那里抓住汤匙，然后吃冻糕。</v>
      </c>
    </row>
    <row r="8351">
      <c r="A8351" s="4" t="s">
        <v>10505</v>
      </c>
      <c r="B8351" s="4" t="s">
        <v>10509</v>
      </c>
      <c r="C8351" s="5" t="str">
        <f>IFERROR(__xludf.DUMMYFUNCTION("GOOGLETRANSLATE(B8351,""en"",""zh-CN"")"),"最终，一个男孩从里面有华夫饼的玻璃杯中吃了一勺奶昔。")</f>
        <v>最终，一个男孩从里面有华夫饼的玻璃杯中吃了一勺奶昔。</v>
      </c>
    </row>
    <row r="8352">
      <c r="A8352" s="4" t="s">
        <v>10510</v>
      </c>
      <c r="B8352" s="4" t="s">
        <v>10511</v>
      </c>
      <c r="C8352" s="5" t="str">
        <f>IFERROR(__xludf.DUMMYFUNCTION("GOOGLETRANSLATE(B8352,""en"",""zh-CN"")"),"妇女混合各种含酒精的饮料供食用。")</f>
        <v>妇女混合各种含酒精的饮料供食用。</v>
      </c>
    </row>
    <row r="8353">
      <c r="A8353" s="4" t="s">
        <v>10510</v>
      </c>
      <c r="B8353" s="4" t="s">
        <v>10512</v>
      </c>
      <c r="C8353" s="5" t="str">
        <f>IFERROR(__xludf.DUMMYFUNCTION("GOOGLETRANSLATE(B8353,""en"",""zh-CN"")"),"显示了一个美丽的威士忌酸的步骤。")</f>
        <v>显示了一个美丽的威士忌酸的步骤。</v>
      </c>
    </row>
    <row r="8354">
      <c r="A8354" s="4" t="s">
        <v>10513</v>
      </c>
      <c r="B8354" s="4" t="s">
        <v>10514</v>
      </c>
      <c r="C8354" s="5" t="str">
        <f>IFERROR(__xludf.DUMMYFUNCTION("GOOGLETRANSLATE(B8354,""en"",""zh-CN"")"),"一个男人的手在设备前站在柜台前。")</f>
        <v>一个男人的手在设备前站在柜台前。</v>
      </c>
    </row>
    <row r="8355">
      <c r="A8355" s="4" t="s">
        <v>10513</v>
      </c>
      <c r="B8355" s="4" t="s">
        <v>10515</v>
      </c>
      <c r="C8355" s="5" t="str">
        <f>IFERROR(__xludf.DUMMYFUNCTION("GOOGLETRANSLATE(B8355,""en"",""zh-CN"")"),"他用表面来回摩擦刀片，从而锐化它。")</f>
        <v>他用表面来回摩擦刀片，从而锐化它。</v>
      </c>
    </row>
    <row r="8356">
      <c r="A8356" s="4" t="s">
        <v>10513</v>
      </c>
      <c r="B8356" s="4" t="s">
        <v>10516</v>
      </c>
      <c r="C8356" s="5" t="str">
        <f>IFERROR(__xludf.DUMMYFUNCTION("GOOGLETRANSLATE(B8356,""en"",""zh-CN"")"),"完成后，他在将刀放回后检查刀片。")</f>
        <v>完成后，他在将刀放回后检查刀片。</v>
      </c>
    </row>
    <row r="8357">
      <c r="A8357" s="4" t="s">
        <v>10517</v>
      </c>
      <c r="B8357" s="4" t="s">
        <v>10518</v>
      </c>
      <c r="C8357" s="5" t="str">
        <f>IFERROR(__xludf.DUMMYFUNCTION("GOOGLETRANSLATE(B8357,""en"",""zh-CN"")"),"看到一小群人握住一条绳子并打拔河。")</f>
        <v>看到一小群人握住一条绳子并打拔河。</v>
      </c>
    </row>
    <row r="8358">
      <c r="A8358" s="4" t="s">
        <v>10517</v>
      </c>
      <c r="B8358" s="4" t="s">
        <v>10519</v>
      </c>
      <c r="C8358" s="5" t="str">
        <f>IFERROR(__xludf.DUMMYFUNCTION("GOOGLETRANSLATE(B8358,""en"",""zh-CN"")"),"相机在另一支球队与小组一起比赛的同时看着另一支球队。")</f>
        <v>相机在另一支球队与小组一起比赛的同时看着另一支球队。</v>
      </c>
    </row>
    <row r="8359">
      <c r="A8359" s="4" t="s">
        <v>10517</v>
      </c>
      <c r="B8359" s="4" t="s">
        <v>10520</v>
      </c>
      <c r="C8359" s="5" t="str">
        <f>IFERROR(__xludf.DUMMYFUNCTION("GOOGLETRANSLATE(B8359,""en"",""zh-CN"")"),"人们继续对着相机微笑，继续比赛，第四和结尾。")</f>
        <v>人们继续对着相机微笑，继续比赛，第四和结尾。</v>
      </c>
    </row>
    <row r="8360">
      <c r="A8360" s="4" t="s">
        <v>10521</v>
      </c>
      <c r="B8360" s="4" t="s">
        <v>10522</v>
      </c>
      <c r="C8360" s="5" t="str">
        <f>IFERROR(__xludf.DUMMYFUNCTION("GOOGLETRANSLATE(B8360,""en"",""zh-CN"")"),"当他或她操纵一群人时，摄像机跟随一个小孩滑雪。")</f>
        <v>当他或她操纵一群人时，摄像机跟随一个小孩滑雪。</v>
      </c>
    </row>
    <row r="8361">
      <c r="A8361" s="4" t="s">
        <v>10521</v>
      </c>
      <c r="B8361" s="4" t="s">
        <v>10523</v>
      </c>
      <c r="C8361" s="5" t="str">
        <f>IFERROR(__xludf.DUMMYFUNCTION("GOOGLETRANSLATE(B8361,""en"",""zh-CN"")"),"儿童滑雪板与其他人沿着小径的各个地点沿着斜坡往下走。")</f>
        <v>儿童滑雪板与其他人沿着小径的各个地点沿着斜坡往下走。</v>
      </c>
    </row>
    <row r="8362">
      <c r="A8362" s="4" t="s">
        <v>10521</v>
      </c>
      <c r="B8362" s="4" t="s">
        <v>10524</v>
      </c>
      <c r="C8362" s="5" t="str">
        <f>IFERROR(__xludf.DUMMYFUNCTION("GOOGLETRANSLATE(B8362,""en"",""zh-CN"")"),"当摄影师接近时，孩子停下来。")</f>
        <v>当摄影师接近时，孩子停下来。</v>
      </c>
    </row>
    <row r="8363">
      <c r="A8363" s="4" t="s">
        <v>10525</v>
      </c>
      <c r="B8363" s="4" t="s">
        <v>10526</v>
      </c>
      <c r="C8363" s="5" t="str">
        <f>IFERROR(__xludf.DUMMYFUNCTION("GOOGLETRANSLATE(B8363,""en"",""zh-CN"")"),"女人穿着精美的衣服打扮。")</f>
        <v>女人穿着精美的衣服打扮。</v>
      </c>
    </row>
    <row r="8364">
      <c r="A8364" s="4" t="s">
        <v>10525</v>
      </c>
      <c r="B8364" s="4" t="s">
        <v>10527</v>
      </c>
      <c r="C8364" s="5" t="str">
        <f>IFERROR(__xludf.DUMMYFUNCTION("GOOGLETRANSLATE(B8364,""en"",""zh-CN"")"),"一个女人把东西放在另一个女人的身体上。")</f>
        <v>一个女人把东西放在另一个女人的身体上。</v>
      </c>
    </row>
    <row r="8365">
      <c r="A8365" s="4" t="s">
        <v>10525</v>
      </c>
      <c r="B8365" s="4" t="s">
        <v>2018</v>
      </c>
      <c r="C8365" s="5" t="str">
        <f>IFERROR(__xludf.DUMMYFUNCTION("GOOGLETRANSLATE(B8365,""en"",""zh-CN"")"),"屏幕上出现单词。")</f>
        <v>屏幕上出现单词。</v>
      </c>
    </row>
    <row r="8366">
      <c r="A8366" s="4" t="s">
        <v>10528</v>
      </c>
      <c r="B8366" s="4" t="s">
        <v>10529</v>
      </c>
      <c r="C8366" s="5" t="str">
        <f>IFERROR(__xludf.DUMMYFUNCTION("GOOGLETRANSLATE(B8366,""en"",""zh-CN"")"),"一个男人和一个女人站在外面，他用防晒霜喷洒她。")</f>
        <v>一个男人和一个女人站在外面，他用防晒霜喷洒她。</v>
      </c>
    </row>
    <row r="8367">
      <c r="A8367" s="4" t="s">
        <v>10528</v>
      </c>
      <c r="B8367" s="4" t="s">
        <v>10530</v>
      </c>
      <c r="C8367" s="5" t="str">
        <f>IFERROR(__xludf.DUMMYFUNCTION("GOOGLETRANSLATE(B8367,""en"",""zh-CN"")"),"他们俩都在笑，玩得开心。")</f>
        <v>他们俩都在笑，玩得开心。</v>
      </c>
    </row>
    <row r="8368">
      <c r="A8368" s="4" t="s">
        <v>10528</v>
      </c>
      <c r="B8368" s="4" t="s">
        <v>10531</v>
      </c>
      <c r="C8368" s="5" t="str">
        <f>IFERROR(__xludf.DUMMYFUNCTION("GOOGLETRANSLATE(B8368,""en"",""zh-CN"")"),"她转过身来，以便他彼此嬉戏调情时，他可以彻底回去。")</f>
        <v>她转过身来，以便他彼此嬉戏调情时，他可以彻底回去。</v>
      </c>
    </row>
    <row r="8369">
      <c r="A8369" s="4" t="s">
        <v>10528</v>
      </c>
      <c r="B8369" s="4" t="s">
        <v>10532</v>
      </c>
      <c r="C8369" s="5" t="str">
        <f>IFERROR(__xludf.DUMMYFUNCTION("GOOGLETRANSLATE(B8369,""en"",""zh-CN"")"),"他开始向她喷洒她，她给了他指示他错过了涂抹的地方。")</f>
        <v>他开始向她喷洒她，她给了他指示他错过了涂抹的地方。</v>
      </c>
    </row>
    <row r="8370">
      <c r="A8370" s="4" t="s">
        <v>10528</v>
      </c>
      <c r="B8370" s="4" t="s">
        <v>10533</v>
      </c>
      <c r="C8370" s="5" t="str">
        <f>IFERROR(__xludf.DUMMYFUNCTION("GOOGLETRANSLATE(B8370,""en"",""zh-CN"")"),"然后，她转过身来供他抓住她的手臂，脸部以及他错过的任何其他领域。")</f>
        <v>然后，她转过身来供他抓住她的手臂，脸部以及他错过的任何其他领域。</v>
      </c>
    </row>
    <row r="8371">
      <c r="A8371" s="4" t="s">
        <v>10534</v>
      </c>
      <c r="B8371" s="6" t="s">
        <v>10535</v>
      </c>
      <c r="C8371" s="5" t="str">
        <f>IFERROR(__xludf.DUMMYFUNCTION("GOOGLETRANSLATE(B8371,""en"",""zh-CN"")"),"在海滩上的家庭日，父亲和儿子走来走去，然后他们开始在沙滩上玩耍。")</f>
        <v>在海滩上的家庭日，父亲和儿子走来走去，然后他们开始在沙滩上玩耍。</v>
      </c>
    </row>
    <row r="8372">
      <c r="A8372" s="4" t="s">
        <v>10534</v>
      </c>
      <c r="B8372" s="4" t="s">
        <v>10536</v>
      </c>
      <c r="C8372" s="5" t="str">
        <f>IFERROR(__xludf.DUMMYFUNCTION("GOOGLETRANSLATE(B8372,""en"",""zh-CN"")"),"他们在桶里有一个沙子，试图建造沙堡。")</f>
        <v>他们在桶里有一个沙子，试图建造沙堡。</v>
      </c>
    </row>
    <row r="8373">
      <c r="A8373" s="4" t="s">
        <v>10534</v>
      </c>
      <c r="B8373" s="4" t="s">
        <v>10537</v>
      </c>
      <c r="C8373" s="5" t="str">
        <f>IFERROR(__xludf.DUMMYFUNCTION("GOOGLETRANSLATE(B8373,""en"",""zh-CN"")"),"当他们将水桶拿起时，沙子根本不是很稳定。")</f>
        <v>当他们将水桶拿起时，沙子根本不是很稳定。</v>
      </c>
    </row>
    <row r="8374">
      <c r="A8374" s="4" t="s">
        <v>10534</v>
      </c>
      <c r="B8374" s="4" t="s">
        <v>10538</v>
      </c>
      <c r="C8374" s="5" t="str">
        <f>IFERROR(__xludf.DUMMYFUNCTION("GOOGLETRANSLATE(B8374,""en"",""zh-CN"")"),"小男孩去踢下了他们创造的所有城堡零件。")</f>
        <v>小男孩去踢下了他们创造的所有城堡零件。</v>
      </c>
    </row>
    <row r="8375">
      <c r="A8375" s="4" t="s">
        <v>10539</v>
      </c>
      <c r="B8375" s="6" t="s">
        <v>10540</v>
      </c>
      <c r="C8375" s="5" t="str">
        <f>IFERROR(__xludf.DUMMYFUNCTION("GOOGLETRANSLATE(B8375,""en"",""zh-CN"")"),"看到一个人在演奏萨克斯管，并从演奏乐器的人的各个地方过渡。")</f>
        <v>看到一个人在演奏萨克斯管，并从演奏乐器的人的各个地方过渡。</v>
      </c>
    </row>
    <row r="8376">
      <c r="A8376" s="4" t="s">
        <v>10539</v>
      </c>
      <c r="B8376" s="4" t="s">
        <v>10541</v>
      </c>
      <c r="C8376" s="5" t="str">
        <f>IFERROR(__xludf.DUMMYFUNCTION("GOOGLETRANSLATE(B8376,""en"",""zh-CN"")"),"然后，这个男人与自己并肩见面，并在房间里玩更多的镜头。")</f>
        <v>然后，这个男人与自己并肩见面，并在房间里玩更多的镜头。</v>
      </c>
    </row>
    <row r="8377">
      <c r="A8377" s="4" t="s">
        <v>10542</v>
      </c>
      <c r="B8377" s="4" t="s">
        <v>10543</v>
      </c>
      <c r="C8377" s="5" t="str">
        <f>IFERROR(__xludf.DUMMYFUNCTION("GOOGLETRANSLATE(B8377,""en"",""zh-CN"")"),"一个男人挂在岩壁上，与相机交谈。")</f>
        <v>一个男人挂在岩壁上，与相机交谈。</v>
      </c>
    </row>
    <row r="8378">
      <c r="A8378" s="4" t="s">
        <v>10542</v>
      </c>
      <c r="B8378" s="4" t="s">
        <v>10544</v>
      </c>
      <c r="C8378" s="5" t="str">
        <f>IFERROR(__xludf.DUMMYFUNCTION("GOOGLETRANSLATE(B8378,""en"",""zh-CN"")"),"该男子向后摇摆，第四，以及攀岩时如何保持平衡。")</f>
        <v>该男子向后摇摆，第四，以及攀岩时如何保持平衡。</v>
      </c>
    </row>
    <row r="8379">
      <c r="A8379" s="4" t="s">
        <v>10542</v>
      </c>
      <c r="B8379" s="4" t="s">
        <v>10545</v>
      </c>
      <c r="C8379" s="5" t="str">
        <f>IFERROR(__xludf.DUMMYFUNCTION("GOOGLETRANSLATE(B8379,""en"",""zh-CN"")"),"他开始爬上墙壁，谈论保持双臂。")</f>
        <v>他开始爬上墙壁，谈论保持双臂。</v>
      </c>
    </row>
    <row r="8380">
      <c r="A8380" s="4" t="s">
        <v>10542</v>
      </c>
      <c r="B8380" s="4" t="s">
        <v>10546</v>
      </c>
      <c r="C8380" s="5" t="str">
        <f>IFERROR(__xludf.DUMMYFUNCTION("GOOGLETRANSLATE(B8380,""en"",""zh-CN"")"),"他继续爬上墙壁，将脚放在哪里以及如何推动。")</f>
        <v>他继续爬上墙壁，将脚放在哪里以及如何推动。</v>
      </c>
    </row>
    <row r="8381">
      <c r="A8381" s="4" t="s">
        <v>10542</v>
      </c>
      <c r="B8381" s="4" t="s">
        <v>10547</v>
      </c>
      <c r="C8381" s="5" t="str">
        <f>IFERROR(__xludf.DUMMYFUNCTION("GOOGLETRANSLATE(B8381,""en"",""zh-CN"")"),"他终于将其撞到岩壁的顶部，面对相机。")</f>
        <v>他终于将其撞到岩壁的顶部，面对相机。</v>
      </c>
    </row>
    <row r="8382">
      <c r="A8382" s="4" t="s">
        <v>10548</v>
      </c>
      <c r="B8382" s="4" t="s">
        <v>10549</v>
      </c>
      <c r="C8382" s="5" t="str">
        <f>IFERROR(__xludf.DUMMYFUNCTION("GOOGLETRANSLATE(B8382,""en"",""zh-CN"")"),"提供了有关如何制作完美法式修指甲的教程。")</f>
        <v>提供了有关如何制作完美法式修指甲的教程。</v>
      </c>
    </row>
    <row r="8383">
      <c r="A8383" s="4" t="s">
        <v>10548</v>
      </c>
      <c r="B8383" s="4" t="s">
        <v>10550</v>
      </c>
      <c r="C8383" s="5" t="str">
        <f>IFERROR(__xludf.DUMMYFUNCTION("GOOGLETRANSLATE(B8383,""en"",""zh-CN"")"),"最后显示了广告。")</f>
        <v>最后显示了广告。</v>
      </c>
    </row>
    <row r="8384">
      <c r="A8384" s="4" t="s">
        <v>10551</v>
      </c>
      <c r="B8384" s="6" t="s">
        <v>10552</v>
      </c>
      <c r="C8384" s="5" t="str">
        <f>IFERROR(__xludf.DUMMYFUNCTION("GOOGLETRANSLATE(B8384,""en"",""zh-CN"")"),"一名穿着代表该公司的黑色衬衫的女人站在花园里，并演示如何使用玻璃纸将植物包裹起来作为礼物。")</f>
        <v>一名穿着代表该公司的黑色衬衫的女人站在花园里，并演示如何使用玻璃纸将植物包裹起来作为礼物。</v>
      </c>
    </row>
    <row r="8385">
      <c r="A8385" s="4" t="s">
        <v>10551</v>
      </c>
      <c r="B8385" s="4" t="s">
        <v>10553</v>
      </c>
      <c r="C8385" s="5" t="str">
        <f>IFERROR(__xludf.DUMMYFUNCTION("GOOGLETRANSLATE(B8385,""en"",""zh-CN"")"),"她切了一块玻璃纸的矩形，将锅放在中央。")</f>
        <v>她切了一块玻璃纸的矩形，将锅放在中央。</v>
      </c>
    </row>
    <row r="8386">
      <c r="A8386" s="4" t="s">
        <v>10551</v>
      </c>
      <c r="B8386" s="4" t="s">
        <v>10554</v>
      </c>
      <c r="C8386" s="5" t="str">
        <f>IFERROR(__xludf.DUMMYFUNCTION("GOOGLETRANSLATE(B8386,""en"",""zh-CN"")"),"然后，她将玻璃纸的边缘带到植物的顶部。")</f>
        <v>然后，她将玻璃纸的边缘带到植物的顶部。</v>
      </c>
    </row>
    <row r="8387">
      <c r="A8387" s="4" t="s">
        <v>10551</v>
      </c>
      <c r="B8387" s="6" t="s">
        <v>10555</v>
      </c>
      <c r="C8387" s="5" t="str">
        <f>IFERROR(__xludf.DUMMYFUNCTION("GOOGLETRANSLATE(B8387,""en"",""zh-CN"")"),"她拿起一块丝带，将扫卷积的玻璃纸绑在一起，使其看起来像弓上的弓。")</f>
        <v>她拿起一块丝带，将扫卷积的玻璃纸绑在一起，使其看起来像弓上的弓。</v>
      </c>
    </row>
    <row r="8388">
      <c r="A8388" s="4" t="s">
        <v>10556</v>
      </c>
      <c r="B8388" s="4" t="s">
        <v>10557</v>
      </c>
      <c r="C8388" s="5" t="str">
        <f>IFERROR(__xludf.DUMMYFUNCTION("GOOGLETRANSLATE(B8388,""en"",""zh-CN"")"),"男孩出去火车，在街上散步，拿着冲浪板。")</f>
        <v>男孩出去火车，在街上散步，拿着冲浪板。</v>
      </c>
    </row>
    <row r="8389">
      <c r="A8389" s="4" t="s">
        <v>10556</v>
      </c>
      <c r="B8389" s="4" t="s">
        <v>10558</v>
      </c>
      <c r="C8389" s="5" t="str">
        <f>IFERROR(__xludf.DUMMYFUNCTION("GOOGLETRANSLATE(B8389,""en"",""zh-CN"")"),"他们，男孩们在一个城市中波涛汹涌的河中冲浪。")</f>
        <v>他们，男孩们在一个城市中波涛汹涌的河中冲浪。</v>
      </c>
    </row>
    <row r="8390">
      <c r="A8390" s="4" t="s">
        <v>10556</v>
      </c>
      <c r="B8390" s="4" t="s">
        <v>10559</v>
      </c>
      <c r="C8390" s="5" t="str">
        <f>IFERROR(__xludf.DUMMYFUNCTION("GOOGLETRANSLATE(B8390,""en"",""zh-CN"")"),"一个男孩把冲浪板放在河上，跳上冲浪，然后摔倒，还有其他男孩冲浪。")</f>
        <v>一个男孩把冲浪板放在河上，跳上冲浪，然后摔倒，还有其他男孩冲浪。</v>
      </c>
    </row>
    <row r="8391">
      <c r="A8391" s="4" t="s">
        <v>10556</v>
      </c>
      <c r="B8391" s="4" t="s">
        <v>10560</v>
      </c>
      <c r="C8391" s="5" t="str">
        <f>IFERROR(__xludf.DUMMYFUNCTION("GOOGLETRANSLATE(B8391,""en"",""zh-CN"")"),"之后，男孩们在火车里。")</f>
        <v>之后，男孩们在火车里。</v>
      </c>
    </row>
    <row r="8392">
      <c r="A8392" s="4" t="s">
        <v>10561</v>
      </c>
      <c r="B8392" s="4" t="s">
        <v>10562</v>
      </c>
      <c r="C8392" s="5" t="str">
        <f>IFERROR(__xludf.DUMMYFUNCTION("GOOGLETRANSLATE(B8392,""en"",""zh-CN"")"),"在一些帐篷和自行车旁边的一个开阔地面上有一个邦火。")</f>
        <v>在一些帐篷和自行车旁边的一个开阔地面上有一个邦火。</v>
      </c>
    </row>
    <row r="8393">
      <c r="A8393" s="4" t="s">
        <v>10561</v>
      </c>
      <c r="B8393" s="4" t="s">
        <v>10563</v>
      </c>
      <c r="C8393" s="5" t="str">
        <f>IFERROR(__xludf.DUMMYFUNCTION("GOOGLETRANSLATE(B8393,""en"",""zh-CN"")"),"有一个穿着骑自行车的西装的人来到一堆木棍上。")</f>
        <v>有一个穿着骑自行车的西装的人来到一堆木棍上。</v>
      </c>
    </row>
    <row r="8394">
      <c r="A8394" s="4" t="s">
        <v>10561</v>
      </c>
      <c r="B8394" s="4" t="s">
        <v>10564</v>
      </c>
      <c r="C8394" s="5" t="str">
        <f>IFERROR(__xludf.DUMMYFUNCTION("GOOGLETRANSLATE(B8394,""en"",""zh-CN"")"),"大火开始通过树枝和木棍蔓延，爆炸成大火。")</f>
        <v>大火开始通过树枝和木棍蔓延，爆炸成大火。</v>
      </c>
    </row>
    <row r="8395">
      <c r="A8395" s="4" t="s">
        <v>10565</v>
      </c>
      <c r="B8395" s="4" t="s">
        <v>10566</v>
      </c>
      <c r="C8395" s="5" t="str">
        <f>IFERROR(__xludf.DUMMYFUNCTION("GOOGLETRANSLATE(B8395,""en"",""zh-CN"")"),"一位名叫琳达（Linda）的女士，绘画的创造者正在演示如何进行丙烯酸绘画。")</f>
        <v>一位名叫琳达（Linda）的女士，绘画的创造者正在演示如何进行丙烯酸绘画。</v>
      </c>
    </row>
    <row r="8396">
      <c r="A8396" s="4" t="s">
        <v>10565</v>
      </c>
      <c r="B8396" s="4" t="s">
        <v>10567</v>
      </c>
      <c r="C8396" s="5" t="str">
        <f>IFERROR(__xludf.DUMMYFUNCTION("GOOGLETRANSLATE(B8396,""en"",""zh-CN"")"),"她从一英寸的平坦刷子和黄色和白色的丙烯酸涂料开始。")</f>
        <v>她从一英寸的平坦刷子和黄色和白色的丙烯酸涂料开始。</v>
      </c>
    </row>
    <row r="8397">
      <c r="A8397" s="4" t="s">
        <v>10565</v>
      </c>
      <c r="B8397" s="4" t="s">
        <v>10568</v>
      </c>
      <c r="C8397" s="5" t="str">
        <f>IFERROR(__xludf.DUMMYFUNCTION("GOOGLETRANSLATE(B8397,""en"",""zh-CN"")"),"她用黄色在画布上制作X图案。")</f>
        <v>她用黄色在画布上制作X图案。</v>
      </c>
    </row>
    <row r="8398">
      <c r="A8398" s="4" t="s">
        <v>10565</v>
      </c>
      <c r="B8398" s="4" t="s">
        <v>10569</v>
      </c>
      <c r="C8398" s="5" t="str">
        <f>IFERROR(__xludf.DUMMYFUNCTION("GOOGLETRANSLATE(B8398,""en"",""zh-CN"")"),"她在画布的顶部继续保持相同的模式。")</f>
        <v>她在画布的顶部继续保持相同的模式。</v>
      </c>
    </row>
    <row r="8399">
      <c r="A8399" s="4" t="s">
        <v>10565</v>
      </c>
      <c r="B8399" s="4" t="s">
        <v>10570</v>
      </c>
      <c r="C8399" s="5" t="str">
        <f>IFERROR(__xludf.DUMMYFUNCTION("GOOGLETRANSLATE(B8399,""en"",""zh-CN"")"),"然后，她用橙色在画布上拉直线。")</f>
        <v>然后，她用橙色在画布上拉直线。</v>
      </c>
    </row>
    <row r="8400">
      <c r="A8400" s="4" t="s">
        <v>10565</v>
      </c>
      <c r="B8400" s="4" t="s">
        <v>10571</v>
      </c>
      <c r="C8400" s="5" t="str">
        <f>IFERROR(__xludf.DUMMYFUNCTION("GOOGLETRANSLATE(B8400,""en"",""zh-CN"")"),"然后，她拿起衬里刷，对绘画进行一些精细的细节，例如树的树枝。")</f>
        <v>然后，她拿起衬里刷，对绘画进行一些精细的细节，例如树的树枝。</v>
      </c>
    </row>
    <row r="8401">
      <c r="A8401" s="4" t="s">
        <v>10565</v>
      </c>
      <c r="B8401" s="6" t="s">
        <v>10572</v>
      </c>
      <c r="C8401" s="5" t="str">
        <f>IFERROR(__xludf.DUMMYFUNCTION("GOOGLETRANSLATE(B8401,""en"",""zh-CN"")"),"她拿起一个平淡的刷子，展示了一种用多余的油漆来展示花瓣的刺耳技术。")</f>
        <v>她拿起一个平淡的刷子，展示了一种用多余的油漆来展示花瓣的刺耳技术。</v>
      </c>
    </row>
    <row r="8402">
      <c r="A8402" s="4" t="s">
        <v>10565</v>
      </c>
      <c r="B8402" s="4" t="s">
        <v>10573</v>
      </c>
      <c r="C8402" s="5" t="str">
        <f>IFERROR(__xludf.DUMMYFUNCTION("GOOGLETRANSLATE(B8402,""en"",""zh-CN"")"),"她用抽象绘画技术结束了视频。")</f>
        <v>她用抽象绘画技术结束了视频。</v>
      </c>
    </row>
    <row r="8403">
      <c r="A8403" s="4" t="s">
        <v>10574</v>
      </c>
      <c r="B8403" s="6" t="s">
        <v>10575</v>
      </c>
      <c r="C8403" s="5" t="str">
        <f>IFERROR(__xludf.DUMMYFUNCTION("GOOGLETRANSLATE(B8403,""en"",""zh-CN"")"),"我们看到一个在游泳池里的男人在玩游戏，而白人的一个男人站在边线挥舞着手臂。")</f>
        <v>我们看到一个在游泳池里的男人在玩游戏，而白人的一个男人站在边线挥舞着手臂。</v>
      </c>
    </row>
    <row r="8404">
      <c r="A8404" s="4" t="s">
        <v>10574</v>
      </c>
      <c r="B8404" s="4" t="s">
        <v>10576</v>
      </c>
      <c r="C8404" s="5" t="str">
        <f>IFERROR(__xludf.DUMMYFUNCTION("GOOGLETRANSLATE(B8404,""en"",""zh-CN"")"),"球被扔了，守门员在网前跳下来阻止球。")</f>
        <v>球被扔了，守门员在网前跳下来阻止球。</v>
      </c>
    </row>
    <row r="8405">
      <c r="A8405" s="4" t="s">
        <v>10574</v>
      </c>
      <c r="B8405" s="4" t="s">
        <v>10577</v>
      </c>
      <c r="C8405" s="5" t="str">
        <f>IFERROR(__xludf.DUMMYFUNCTION("GOOGLETRANSLATE(B8405,""en"",""zh-CN"")"),"守门员然后在水下深处浸入。")</f>
        <v>守门员然后在水下深处浸入。</v>
      </c>
    </row>
    <row r="8406">
      <c r="A8406" s="4" t="s">
        <v>10578</v>
      </c>
      <c r="B8406" s="6" t="s">
        <v>10579</v>
      </c>
      <c r="C8406" s="5" t="str">
        <f>IFERROR(__xludf.DUMMYFUNCTION("GOOGLETRANSLATE(B8406,""en"",""zh-CN"")"),"一个亚洲女性，穿着米色夹克和印花上衣的黑发，正在镜头前说话。")</f>
        <v>一个亚洲女性，穿着米色夹克和印花上衣的黑发，正在镜头前说话。</v>
      </c>
    </row>
    <row r="8407">
      <c r="A8407" s="4" t="s">
        <v>10578</v>
      </c>
      <c r="B8407" s="6" t="s">
        <v>10580</v>
      </c>
      <c r="C8407" s="5" t="str">
        <f>IFERROR(__xludf.DUMMYFUNCTION("GOOGLETRANSLATE(B8407,""en"",""zh-CN"")"),"四个黑色和白色风筝，上面有蓝色和黄色的钻石印花，从地面飞行，绿色的章鱼，龙和其他风筝的形状在天空中飞行，而男人则穿着红色的风筝。")</f>
        <v>四个黑色和白色风筝，上面有蓝色和黄色的钻石印花，从地面飞行，绿色的章鱼，龙和其他风筝的形状在天空中飞行，而男人则穿着红色的风筝。</v>
      </c>
    </row>
    <row r="8408">
      <c r="A8408" s="4" t="s">
        <v>10581</v>
      </c>
      <c r="B8408" s="4" t="s">
        <v>10582</v>
      </c>
      <c r="C8408" s="5" t="str">
        <f>IFERROR(__xludf.DUMMYFUNCTION("GOOGLETRANSLATE(B8408,""en"",""zh-CN"")"),"一名年轻女子坐下来坐下，与摄影机说话白色，拿着衬衫。")</f>
        <v>一名年轻女子坐下来坐下，与摄影机说话白色，拿着衬衫。</v>
      </c>
    </row>
    <row r="8409">
      <c r="A8409" s="4" t="s">
        <v>10581</v>
      </c>
      <c r="B8409" s="4" t="s">
        <v>10583</v>
      </c>
      <c r="C8409" s="5" t="str">
        <f>IFERROR(__xludf.DUMMYFUNCTION("GOOGLETRANSLATE(B8409,""en"",""zh-CN"")"),"她将衬衫绑在手臂上，将其浸入水中，并用手擦洗。")</f>
        <v>她将衬衫绑在手臂上，将其浸入水中，并用手擦洗。</v>
      </c>
    </row>
    <row r="8410">
      <c r="A8410" s="4" t="s">
        <v>10584</v>
      </c>
      <c r="B8410" s="4" t="s">
        <v>10585</v>
      </c>
      <c r="C8410" s="5" t="str">
        <f>IFERROR(__xludf.DUMMYFUNCTION("GOOGLETRANSLATE(B8410,""en"",""zh-CN"")"),"一个男人坐在椅子上，拿着萨克斯管。")</f>
        <v>一个男人坐在椅子上，拿着萨克斯管。</v>
      </c>
    </row>
    <row r="8411">
      <c r="A8411" s="4" t="s">
        <v>10584</v>
      </c>
      <c r="B8411" s="4" t="s">
        <v>10586</v>
      </c>
      <c r="C8411" s="5" t="str">
        <f>IFERROR(__xludf.DUMMYFUNCTION("GOOGLETRANSLATE(B8411,""en"",""zh-CN"")"),"他的演奏时站着，手指上下移动。")</f>
        <v>他的演奏时站着，手指上下移动。</v>
      </c>
    </row>
    <row r="8412">
      <c r="A8412" s="4" t="s">
        <v>10584</v>
      </c>
      <c r="B8412" s="4" t="s">
        <v>10587</v>
      </c>
      <c r="C8412" s="5" t="str">
        <f>IFERROR(__xludf.DUMMYFUNCTION("GOOGLETRANSLATE(B8412,""en"",""zh-CN"")"),"屏幕切成黑色和白色文字。")</f>
        <v>屏幕切成黑色和白色文字。</v>
      </c>
    </row>
    <row r="8413">
      <c r="A8413" s="4" t="s">
        <v>10588</v>
      </c>
      <c r="B8413" s="4" t="s">
        <v>10589</v>
      </c>
      <c r="C8413" s="5" t="str">
        <f>IFERROR(__xludf.DUMMYFUNCTION("GOOGLETRANSLATE(B8413,""en"",""zh-CN"")"),"播放器的统计信息在屏幕上显示。")</f>
        <v>播放器的统计信息在屏幕上显示。</v>
      </c>
    </row>
    <row r="8414">
      <c r="A8414" s="4" t="s">
        <v>10588</v>
      </c>
      <c r="B8414" s="4" t="s">
        <v>10590</v>
      </c>
      <c r="C8414" s="5" t="str">
        <f>IFERROR(__xludf.DUMMYFUNCTION("GOOGLETRANSLATE(B8414,""en"",""zh-CN"")"),"几个室内足球比赛的蒙太奇表现出来。")</f>
        <v>几个室内足球比赛的蒙太奇表现出来。</v>
      </c>
    </row>
    <row r="8415">
      <c r="A8415" s="4" t="s">
        <v>10588</v>
      </c>
      <c r="B8415" s="4" t="s">
        <v>10591</v>
      </c>
      <c r="C8415" s="5" t="str">
        <f>IFERROR(__xludf.DUMMYFUNCTION("GOOGLETRANSLATE(B8415,""en"",""zh-CN"")"),"播放器的统计数据再次显示。")</f>
        <v>播放器的统计数据再次显示。</v>
      </c>
    </row>
    <row r="8416">
      <c r="A8416" s="4" t="s">
        <v>10592</v>
      </c>
      <c r="B8416" s="4" t="s">
        <v>10593</v>
      </c>
      <c r="C8416" s="5" t="str">
        <f>IFERROR(__xludf.DUMMYFUNCTION("GOOGLETRANSLATE(B8416,""en"",""zh-CN"")"),"我们在沥青上看到数字插槽。")</f>
        <v>我们在沥青上看到数字插槽。</v>
      </c>
    </row>
    <row r="8417">
      <c r="A8417" s="4" t="s">
        <v>10592</v>
      </c>
      <c r="B8417" s="4" t="s">
        <v>10594</v>
      </c>
      <c r="C8417" s="5" t="str">
        <f>IFERROR(__xludf.DUMMYFUNCTION("GOOGLETRANSLATE(B8417,""en"",""zh-CN"")"),"然后，我们看到孩子们骑着BMX自行车剪裁了其他事物的场景。")</f>
        <v>然后，我们看到孩子们骑着BMX自行车剪裁了其他事物的场景。</v>
      </c>
    </row>
    <row r="8418">
      <c r="A8418" s="4" t="s">
        <v>10592</v>
      </c>
      <c r="B8418" s="4" t="s">
        <v>10595</v>
      </c>
      <c r="C8418" s="5" t="str">
        <f>IFERROR(__xludf.DUMMYFUNCTION("GOOGLETRANSLATE(B8418,""en"",""zh-CN"")"),"我们看到孩子们在和镜头说话。")</f>
        <v>我们看到孩子们在和镜头说话。</v>
      </c>
    </row>
    <row r="8419">
      <c r="A8419" s="4" t="s">
        <v>10592</v>
      </c>
      <c r="B8419" s="4" t="s">
        <v>10596</v>
      </c>
      <c r="C8419" s="5" t="str">
        <f>IFERROR(__xludf.DUMMYFUNCTION("GOOGLETRANSLATE(B8419,""en"",""zh-CN"")"),"我们看到一个大门打开，孩子们开始骑行。")</f>
        <v>我们看到一个大门打开，孩子们开始骑行。</v>
      </c>
    </row>
    <row r="8420">
      <c r="A8420" s="4" t="s">
        <v>10592</v>
      </c>
      <c r="B8420" s="4" t="s">
        <v>10597</v>
      </c>
      <c r="C8420" s="5" t="str">
        <f>IFERROR(__xludf.DUMMYFUNCTION("GOOGLETRANSLATE(B8420,""en"",""zh-CN"")"),"我们看到教练和孩子们站在一起。")</f>
        <v>我们看到教练和孩子们站在一起。</v>
      </c>
    </row>
    <row r="8421">
      <c r="A8421" s="4" t="s">
        <v>10592</v>
      </c>
      <c r="B8421" s="4" t="s">
        <v>10598</v>
      </c>
      <c r="C8421" s="5" t="str">
        <f>IFERROR(__xludf.DUMMYFUNCTION("GOOGLETRANSLATE(B8421,""en"",""zh-CN"")"),"我们看到另一位教练和孩子站在一起。")</f>
        <v>我们看到另一位教练和孩子站在一起。</v>
      </c>
    </row>
    <row r="8422">
      <c r="A8422" s="4" t="s">
        <v>10592</v>
      </c>
      <c r="B8422" s="4" t="s">
        <v>10599</v>
      </c>
      <c r="C8422" s="5" t="str">
        <f>IFERROR(__xludf.DUMMYFUNCTION("GOOGLETRANSLATE(B8422,""en"",""zh-CN"")"),"我们看到孩子们通过了终点线。")</f>
        <v>我们看到孩子们通过了终点线。</v>
      </c>
    </row>
    <row r="8423">
      <c r="A8423" s="4" t="s">
        <v>10592</v>
      </c>
      <c r="B8423" s="4" t="s">
        <v>10600</v>
      </c>
      <c r="C8423" s="5" t="str">
        <f>IFERROR(__xludf.DUMMYFUNCTION("GOOGLETRANSLATE(B8423,""en"",""zh-CN"")"),"我们看到屏幕上的标志，孩子坐在他们的自行车上。")</f>
        <v>我们看到屏幕上的标志，孩子坐在他们的自行车上。</v>
      </c>
    </row>
    <row r="8424">
      <c r="A8424" s="4" t="s">
        <v>10592</v>
      </c>
      <c r="B8424" s="4" t="s">
        <v>10601</v>
      </c>
      <c r="C8424" s="5" t="str">
        <f>IFERROR(__xludf.DUMMYFUNCTION("GOOGLETRANSLATE(B8424,""en"",""zh-CN"")"),"然后，我们看到关闭的屏幕。")</f>
        <v>然后，我们看到关闭的屏幕。</v>
      </c>
    </row>
    <row r="8425">
      <c r="A8425" s="4" t="s">
        <v>10602</v>
      </c>
      <c r="B8425" s="4" t="s">
        <v>10603</v>
      </c>
      <c r="C8425" s="5" t="str">
        <f>IFERROR(__xludf.DUMMYFUNCTION("GOOGLETRANSLATE(B8425,""en"",""zh-CN"")"),"一个戴着帽子的男人站在外面。")</f>
        <v>一个戴着帽子的男人站在外面。</v>
      </c>
    </row>
    <row r="8426">
      <c r="A8426" s="4" t="s">
        <v>10602</v>
      </c>
      <c r="B8426" s="4" t="s">
        <v>10604</v>
      </c>
      <c r="C8426" s="5" t="str">
        <f>IFERROR(__xludf.DUMMYFUNCTION("GOOGLETRANSLATE(B8426,""en"",""zh-CN"")"),"他从地面上拿起电锯。")</f>
        <v>他从地面上拿起电锯。</v>
      </c>
    </row>
    <row r="8427">
      <c r="A8427" s="4" t="s">
        <v>10602</v>
      </c>
      <c r="B8427" s="4" t="s">
        <v>10605</v>
      </c>
      <c r="C8427" s="5" t="str">
        <f>IFERROR(__xludf.DUMMYFUNCTION("GOOGLETRANSLATE(B8427,""en"",""zh-CN"")"),"他开始砍下他旁边的灌木丛。")</f>
        <v>他开始砍下他旁边的灌木丛。</v>
      </c>
    </row>
    <row r="8428">
      <c r="A8428" s="4" t="s">
        <v>10606</v>
      </c>
      <c r="B8428" s="6" t="s">
        <v>10607</v>
      </c>
      <c r="C8428" s="5" t="str">
        <f>IFERROR(__xludf.DUMMYFUNCTION("GOOGLETRANSLATE(B8428,""en"",""zh-CN"")"),"有一群孩子站在桌子旁，主要的重点是一个男孩，他正在蓝色托盘上切东西。")</f>
        <v>有一群孩子站在桌子旁，主要的重点是一个男孩，他正在蓝色托盘上切东西。</v>
      </c>
    </row>
    <row r="8429">
      <c r="A8429" s="4" t="s">
        <v>10606</v>
      </c>
      <c r="B8429" s="4" t="s">
        <v>10608</v>
      </c>
      <c r="C8429" s="5" t="str">
        <f>IFERROR(__xludf.DUMMYFUNCTION("GOOGLETRANSLATE(B8429,""en"",""zh-CN"")"),"男孩从托盘上走开，成年人开始切割。")</f>
        <v>男孩从托盘上走开，成年人开始切割。</v>
      </c>
    </row>
    <row r="8430">
      <c r="A8430" s="4" t="s">
        <v>10606</v>
      </c>
      <c r="B8430" s="6" t="s">
        <v>10609</v>
      </c>
      <c r="C8430" s="5" t="str">
        <f>IFERROR(__xludf.DUMMYFUNCTION("GOOGLETRANSLATE(B8430,""en"",""zh-CN"")"),"成年人停止切割，另一个男孩开始非常缓慢地切割物体，成年人打断了孩子，展示了如何切割，孩子走开了。")</f>
        <v>成年人停止切割，另一个男孩开始非常缓慢地切割物体，成年人打断了孩子，展示了如何切割，孩子走开了。</v>
      </c>
    </row>
    <row r="8431">
      <c r="A8431" s="4" t="s">
        <v>10610</v>
      </c>
      <c r="B8431" s="4" t="s">
        <v>10611</v>
      </c>
      <c r="C8431" s="5" t="str">
        <f>IFERROR(__xludf.DUMMYFUNCTION("GOOGLETRANSLATE(B8431,""en"",""zh-CN"")"),"看到两个人在相机上说话，然后是布置了几种饮料。")</f>
        <v>看到两个人在相机上说话，然后是布置了几种饮料。</v>
      </c>
    </row>
    <row r="8432">
      <c r="A8432" s="4" t="s">
        <v>10610</v>
      </c>
      <c r="B8432" s="4" t="s">
        <v>10612</v>
      </c>
      <c r="C8432" s="5" t="str">
        <f>IFERROR(__xludf.DUMMYFUNCTION("GOOGLETRANSLATE(B8432,""en"",""zh-CN"")"),"然后，人们开始将食材互相混合，并互相交谈。")</f>
        <v>然后，人们开始将食材互相混合，并互相交谈。</v>
      </c>
    </row>
    <row r="8433">
      <c r="A8433" s="4" t="s">
        <v>10610</v>
      </c>
      <c r="B8433" s="4" t="s">
        <v>10613</v>
      </c>
      <c r="C8433" s="5" t="str">
        <f>IFERROR(__xludf.DUMMYFUNCTION("GOOGLETRANSLATE(B8433,""en"",""zh-CN"")"),"人们继续将饮料互相混合，并将它们展示给相机。")</f>
        <v>人们继续将饮料互相混合，并将它们展示给相机。</v>
      </c>
    </row>
    <row r="8434">
      <c r="A8434" s="4" t="s">
        <v>10614</v>
      </c>
      <c r="B8434" s="4" t="s">
        <v>10615</v>
      </c>
      <c r="C8434" s="5" t="str">
        <f>IFERROR(__xludf.DUMMYFUNCTION("GOOGLETRANSLATE(B8434,""en"",""zh-CN"")"),"一匹马有一个男人在等待时间开始。")</f>
        <v>一匹马有一个男人在等待时间开始。</v>
      </c>
    </row>
    <row r="8435">
      <c r="A8435" s="4" t="s">
        <v>10614</v>
      </c>
      <c r="B8435" s="4" t="s">
        <v>10616</v>
      </c>
      <c r="C8435" s="5" t="str">
        <f>IFERROR(__xludf.DUMMYFUNCTION("GOOGLETRANSLATE(B8435,""en"",""zh-CN"")"),"大门打开后，一头母牛开始奔跑，马上的那个男人用流苏追逐它。")</f>
        <v>大门打开后，一头母牛开始奔跑，马上的那个男人用流苏追逐它。</v>
      </c>
    </row>
    <row r="8436">
      <c r="A8436" s="4" t="s">
        <v>10614</v>
      </c>
      <c r="B8436" s="6" t="s">
        <v>10617</v>
      </c>
      <c r="C8436" s="5" t="str">
        <f>IFERROR(__xludf.DUMMYFUNCTION("GOOGLETRANSLATE(B8436,""en"",""zh-CN"")"),"他几次将流苏摇摆，然后扔掉牛，然后将他绑住。")</f>
        <v>他几次将流苏摇摆，然后扔掉牛，然后将他绑住。</v>
      </c>
    </row>
    <row r="8437">
      <c r="A8437" s="4" t="s">
        <v>10614</v>
      </c>
      <c r="B8437" s="6" t="s">
        <v>10618</v>
      </c>
      <c r="C8437" s="5" t="str">
        <f>IFERROR(__xludf.DUMMYFUNCTION("GOOGLETRANSLATE(B8437,""en"",""zh-CN"")"),"看着那个男人这样做的看来，有一个观众，另一匹马在另一匹马上等待着。")</f>
        <v>看着那个男人这样做的看来，有一个观众，另一匹马在另一匹马上等待着。</v>
      </c>
    </row>
    <row r="8438">
      <c r="A8438" s="4" t="s">
        <v>10619</v>
      </c>
      <c r="B8438" s="4" t="s">
        <v>10620</v>
      </c>
      <c r="C8438" s="5" t="str">
        <f>IFERROR(__xludf.DUMMYFUNCTION("GOOGLETRANSLATE(B8438,""en"",""zh-CN"")"),"一群人聚集了看排球比赛。")</f>
        <v>一群人聚集了看排球比赛。</v>
      </c>
    </row>
    <row r="8439">
      <c r="A8439" s="4" t="s">
        <v>10619</v>
      </c>
      <c r="B8439" s="4" t="s">
        <v>10621</v>
      </c>
      <c r="C8439" s="5" t="str">
        <f>IFERROR(__xludf.DUMMYFUNCTION("GOOGLETRANSLATE(B8439,""en"",""zh-CN"")"),"排球运动员击球。")</f>
        <v>排球运动员击球。</v>
      </c>
    </row>
    <row r="8440">
      <c r="A8440" s="4" t="s">
        <v>10619</v>
      </c>
      <c r="B8440" s="4" t="s">
        <v>10622</v>
      </c>
      <c r="C8440" s="5" t="str">
        <f>IFERROR(__xludf.DUMMYFUNCTION("GOOGLETRANSLATE(B8440,""en"",""zh-CN"")"),"球员的队友也击球。")</f>
        <v>球员的队友也击球。</v>
      </c>
    </row>
    <row r="8441">
      <c r="A8441" s="4" t="s">
        <v>10619</v>
      </c>
      <c r="B8441" s="4" t="s">
        <v>10623</v>
      </c>
      <c r="C8441" s="5" t="str">
        <f>IFERROR(__xludf.DUMMYFUNCTION("GOOGLETRANSLATE(B8441,""en"",""zh-CN"")"),"球员再击中三次。")</f>
        <v>球员再击中三次。</v>
      </c>
    </row>
    <row r="8442">
      <c r="A8442" s="4" t="s">
        <v>10619</v>
      </c>
      <c r="B8442" s="4" t="s">
        <v>10624</v>
      </c>
      <c r="C8442" s="5" t="str">
        <f>IFERROR(__xludf.DUMMYFUNCTION("GOOGLETRANSLATE(B8442,""en"",""zh-CN"")"),"球员队友击球。")</f>
        <v>球员队友击球。</v>
      </c>
    </row>
    <row r="8443">
      <c r="A8443" s="4" t="s">
        <v>10619</v>
      </c>
      <c r="B8443" s="4" t="s">
        <v>10625</v>
      </c>
      <c r="C8443" s="5" t="str">
        <f>IFERROR(__xludf.DUMMYFUNCTION("GOOGLETRANSLATE(B8443,""en"",""zh-CN"")"),"另一个球员在网上击球。")</f>
        <v>另一个球员在网上击球。</v>
      </c>
    </row>
    <row r="8444">
      <c r="A8444" s="4" t="s">
        <v>10619</v>
      </c>
      <c r="B8444" s="4" t="s">
        <v>10626</v>
      </c>
      <c r="C8444" s="5" t="str">
        <f>IFERROR(__xludf.DUMMYFUNCTION("GOOGLETRANSLATE(B8444,""en"",""zh-CN"")"),"球返回，其中一名球员击中了球。")</f>
        <v>球返回，其中一名球员击中了球。</v>
      </c>
    </row>
    <row r="8445">
      <c r="A8445" s="4" t="s">
        <v>10619</v>
      </c>
      <c r="B8445" s="4" t="s">
        <v>10627</v>
      </c>
      <c r="C8445" s="5" t="str">
        <f>IFERROR(__xludf.DUMMYFUNCTION("GOOGLETRANSLATE(B8445,""en"",""zh-CN"")"),"球员队友跳水打球。")</f>
        <v>球员队友跳水打球。</v>
      </c>
    </row>
    <row r="8446">
      <c r="A8446" s="4" t="s">
        <v>10619</v>
      </c>
      <c r="B8446" s="4" t="s">
        <v>10628</v>
      </c>
      <c r="C8446" s="5" t="str">
        <f>IFERROR(__xludf.DUMMYFUNCTION("GOOGLETRANSLATE(B8446,""en"",""zh-CN"")"),"另一个球员将球击中了另一支球队。")</f>
        <v>另一个球员将球击中了另一支球队。</v>
      </c>
    </row>
    <row r="8447">
      <c r="A8447" s="4" t="s">
        <v>10619</v>
      </c>
      <c r="B8447" s="4" t="s">
        <v>10629</v>
      </c>
      <c r="C8447" s="5" t="str">
        <f>IFERROR(__xludf.DUMMYFUNCTION("GOOGLETRANSLATE(B8447,""en"",""zh-CN"")"),"球返回，其中一名球员击中了球的界限。")</f>
        <v>球返回，其中一名球员击中了球的界限。</v>
      </c>
    </row>
    <row r="8448">
      <c r="A8448" s="4" t="s">
        <v>10630</v>
      </c>
      <c r="B8448" s="4" t="s">
        <v>10631</v>
      </c>
      <c r="C8448" s="5" t="str">
        <f>IFERROR(__xludf.DUMMYFUNCTION("GOOGLETRANSLATE(B8448,""en"",""zh-CN"")"),"一个女孩确实翻过垫子。")</f>
        <v>一个女孩确实翻过垫子。</v>
      </c>
    </row>
    <row r="8449">
      <c r="A8449" s="4" t="s">
        <v>10630</v>
      </c>
      <c r="B8449" s="4" t="s">
        <v>10632</v>
      </c>
      <c r="C8449" s="5" t="str">
        <f>IFERROR(__xludf.DUMMYFUNCTION("GOOGLETRANSLATE(B8449,""en"",""zh-CN"")"),"垫子是黑色和红色。")</f>
        <v>垫子是黑色和红色。</v>
      </c>
    </row>
    <row r="8450">
      <c r="A8450" s="4" t="s">
        <v>10630</v>
      </c>
      <c r="B8450" s="4" t="s">
        <v>10633</v>
      </c>
      <c r="C8450" s="5" t="str">
        <f>IFERROR(__xludf.DUMMYFUNCTION("GOOGLETRANSLATE(B8450,""en"",""zh-CN"")"),"几个女孩看着她并拍打。")</f>
        <v>几个女孩看着她并拍打。</v>
      </c>
    </row>
    <row r="8451">
      <c r="A8451" s="4" t="s">
        <v>10630</v>
      </c>
      <c r="B8451" s="4" t="s">
        <v>10634</v>
      </c>
      <c r="C8451" s="5" t="str">
        <f>IFERROR(__xludf.DUMMYFUNCTION("GOOGLETRANSLATE(B8451,""en"",""zh-CN"")"),"然后她做了一些反弹。")</f>
        <v>然后她做了一些反弹。</v>
      </c>
    </row>
    <row r="8452">
      <c r="A8452" s="4" t="s">
        <v>10635</v>
      </c>
      <c r="B8452" s="4" t="s">
        <v>10636</v>
      </c>
      <c r="C8452" s="5" t="str">
        <f>IFERROR(__xludf.DUMMYFUNCTION("GOOGLETRANSLATE(B8452,""en"",""zh-CN"")"),"一个女人在街上玩小提琴，而各种各样的人则在这里和她身后走来走去。")</f>
        <v>一个女人在街上玩小提琴，而各种各样的人则在这里和她身后走来走去。</v>
      </c>
    </row>
    <row r="8453">
      <c r="A8453" s="4" t="s">
        <v>10635</v>
      </c>
      <c r="B8453" s="6" t="s">
        <v>10637</v>
      </c>
      <c r="C8453" s="5" t="str">
        <f>IFERROR(__xludf.DUMMYFUNCTION("GOOGLETRANSLATE(B8453,""en"",""zh-CN"")"),"她在演奏时微笑着镜头，继续播放这首歌，而几个人弯腰向她倾斜并在她周围走来走去。")</f>
        <v>她在演奏时微笑着镜头，继续播放这首歌，而几个人弯腰向她倾斜并在她周围走来走去。</v>
      </c>
    </row>
    <row r="8454">
      <c r="A8454" s="4" t="s">
        <v>10638</v>
      </c>
      <c r="B8454" s="4" t="s">
        <v>10639</v>
      </c>
      <c r="C8454" s="5" t="str">
        <f>IFERROR(__xludf.DUMMYFUNCTION("GOOGLETRANSLATE(B8454,""en"",""zh-CN"")"),"看到一小群人站在绳子上的田野上。")</f>
        <v>看到一小群人站在绳子上的田野上。</v>
      </c>
    </row>
    <row r="8455">
      <c r="A8455" s="4" t="s">
        <v>10638</v>
      </c>
      <c r="B8455" s="4" t="s">
        <v>10640</v>
      </c>
      <c r="C8455" s="5" t="str">
        <f>IFERROR(__xludf.DUMMYFUNCTION("GOOGLETRANSLATE(B8455,""en"",""zh-CN"")"),"当小组开始将绳索拉到一侧时，一个人站在前面。")</f>
        <v>当小组开始将绳索拉到一侧时，一个人站在前面。</v>
      </c>
    </row>
    <row r="8456">
      <c r="A8456" s="4" t="s">
        <v>10638</v>
      </c>
      <c r="B8456" s="4" t="s">
        <v>10641</v>
      </c>
      <c r="C8456" s="5" t="str">
        <f>IFERROR(__xludf.DUMMYFUNCTION("GOOGLETRANSLATE(B8456,""en"",""zh-CN"")"),"人们继续拉动，直到一个人倒下。")</f>
        <v>人们继续拉动，直到一个人倒下。</v>
      </c>
    </row>
    <row r="8457">
      <c r="A8457" s="4" t="s">
        <v>10642</v>
      </c>
      <c r="B8457" s="4" t="s">
        <v>10643</v>
      </c>
      <c r="C8457" s="5" t="str">
        <f>IFERROR(__xludf.DUMMYFUNCTION("GOOGLETRANSLATE(B8457,""en"",""zh-CN"")"),"一个人滑雪在山丘上覆盖着雪中的人滑雪。")</f>
        <v>一个人滑雪在山丘上覆盖着雪中的人滑雪。</v>
      </c>
    </row>
    <row r="8458">
      <c r="A8458" s="4" t="s">
        <v>10642</v>
      </c>
      <c r="B8458" s="4" t="s">
        <v>10644</v>
      </c>
      <c r="C8458" s="5" t="str">
        <f>IFERROR(__xludf.DUMMYFUNCTION("GOOGLETRANSLATE(B8458,""en"",""zh-CN"")"),"然后，该人到达有四个人的平坦区域。")</f>
        <v>然后，该人到达有四个人的平坦区域。</v>
      </c>
    </row>
    <row r="8459">
      <c r="A8459" s="4" t="s">
        <v>10645</v>
      </c>
      <c r="B8459" s="4" t="s">
        <v>10646</v>
      </c>
      <c r="C8459" s="5" t="str">
        <f>IFERROR(__xludf.DUMMYFUNCTION("GOOGLETRANSLATE(B8459,""en"",""zh-CN"")"),"一个人站在一个拿着大乐器的房间里。")</f>
        <v>一个人站在一个拿着大乐器的房间里。</v>
      </c>
    </row>
    <row r="8460">
      <c r="A8460" s="4" t="s">
        <v>10645</v>
      </c>
      <c r="B8460" s="4" t="s">
        <v>10647</v>
      </c>
      <c r="C8460" s="5" t="str">
        <f>IFERROR(__xludf.DUMMYFUNCTION("GOOGLETRANSLATE(B8460,""en"",""zh-CN"")"),"他开始在麦克风后面演奏乐器。")</f>
        <v>他开始在麦克风后面演奏乐器。</v>
      </c>
    </row>
    <row r="8461">
      <c r="A8461" s="4" t="s">
        <v>10645</v>
      </c>
      <c r="B8461" s="4" t="s">
        <v>10648</v>
      </c>
      <c r="C8461" s="5" t="str">
        <f>IFERROR(__xludf.DUMMYFUNCTION("GOOGLETRANSLATE(B8461,""en"",""zh-CN"")"),"穿着绿色衬衫的男人正在用麦克风说话。")</f>
        <v>穿着绿色衬衫的男人正在用麦克风说话。</v>
      </c>
    </row>
    <row r="8462">
      <c r="A8462" s="4" t="s">
        <v>10649</v>
      </c>
      <c r="B8462" s="4" t="s">
        <v>10650</v>
      </c>
      <c r="C8462" s="5" t="str">
        <f>IFERROR(__xludf.DUMMYFUNCTION("GOOGLETRANSLATE(B8462,""en"",""zh-CN"")"),"看来这是一种正在写的阿拉伯语。")</f>
        <v>看来这是一种正在写的阿拉伯语。</v>
      </c>
    </row>
    <row r="8463">
      <c r="A8463" s="4" t="s">
        <v>10649</v>
      </c>
      <c r="B8463" s="4" t="s">
        <v>10651</v>
      </c>
      <c r="C8463" s="5" t="str">
        <f>IFERROR(__xludf.DUMMYFUNCTION("GOOGLETRANSLATE(B8463,""en"",""zh-CN"")"),"然后在一个场地上，有男人在玩游戏。")</f>
        <v>然后在一个场地上，有男人在玩游戏。</v>
      </c>
    </row>
    <row r="8464">
      <c r="A8464" s="4" t="s">
        <v>10649</v>
      </c>
      <c r="B8464" s="4" t="s">
        <v>10652</v>
      </c>
      <c r="C8464" s="5" t="str">
        <f>IFERROR(__xludf.DUMMYFUNCTION("GOOGLETRANSLATE(B8464,""en"",""zh-CN"")"),"一些教练正在戴着帽子四处走动，以使阳光从眼睛中脱颖而出。")</f>
        <v>一些教练正在戴着帽子四处走动，以使阳光从眼睛中脱颖而出。</v>
      </c>
    </row>
    <row r="8465">
      <c r="A8465" s="4" t="s">
        <v>10649</v>
      </c>
      <c r="B8465" s="4" t="s">
        <v>10653</v>
      </c>
      <c r="C8465" s="5" t="str">
        <f>IFERROR(__xludf.DUMMYFUNCTION("GOOGLETRANSLATE(B8465,""en"",""zh-CN"")"),"游戏看起来非常激烈，一个人将所有的力量都投入了他的投掷之一。")</f>
        <v>游戏看起来非常激烈，一个人将所有的力量都投入了他的投掷之一。</v>
      </c>
    </row>
    <row r="8466">
      <c r="A8466" s="4" t="s">
        <v>10654</v>
      </c>
      <c r="B8466" s="6" t="s">
        <v>10655</v>
      </c>
      <c r="C8466" s="5" t="str">
        <f>IFERROR(__xludf.DUMMYFUNCTION("GOOGLETRANSLATE(B8466,""en"",""zh-CN"")"),"场景开始焦点显示建筑物的外部，底部有一些文字，上面说这是一所磨碎的学校。")</f>
        <v>场景开始焦点显示建筑物的外部，底部有一些文字，上面说这是一所磨碎的学校。</v>
      </c>
    </row>
    <row r="8467">
      <c r="A8467" s="4" t="s">
        <v>10654</v>
      </c>
      <c r="B8467" s="6" t="s">
        <v>10656</v>
      </c>
      <c r="C8467" s="5" t="str">
        <f>IFERROR(__xludf.DUMMYFUNCTION("GOOGLETRANSLATE(B8467,""en"",""zh-CN"")"),"一个男人正在做一些文书工作，而其他一些男人则站在投影仪屏幕旁边的背景中。")</f>
        <v>一个男人正在做一些文书工作，而其他一些男人则站在投影仪屏幕旁边的背景中。</v>
      </c>
    </row>
    <row r="8468">
      <c r="A8468" s="4" t="s">
        <v>10654</v>
      </c>
      <c r="B8468" s="4" t="s">
        <v>10657</v>
      </c>
      <c r="C8468" s="5" t="str">
        <f>IFERROR(__xludf.DUMMYFUNCTION("GOOGLETRANSLATE(B8468,""en"",""zh-CN"")"),"健身房内的大量孩子正在练习闯入。")</f>
        <v>健身房内的大量孩子正在练习闯入。</v>
      </c>
    </row>
    <row r="8469">
      <c r="A8469" s="4" t="s">
        <v>10654</v>
      </c>
      <c r="B8469" s="4" t="s">
        <v>10658</v>
      </c>
      <c r="C8469" s="5" t="str">
        <f>IFERROR(__xludf.DUMMYFUNCTION("GOOGLETRANSLATE(B8469,""en"",""zh-CN"")"),"孩子们在教室里看着那个男人之前的演讲。")</f>
        <v>孩子们在教室里看着那个男人之前的演讲。</v>
      </c>
    </row>
    <row r="8470">
      <c r="A8470" s="4" t="s">
        <v>10654</v>
      </c>
      <c r="B8470" s="4" t="s">
        <v>10659</v>
      </c>
      <c r="C8470" s="5" t="str">
        <f>IFERROR(__xludf.DUMMYFUNCTION("GOOGLETRANSLATE(B8470,""en"",""zh-CN"")"),"在健身房里，再次看到孩子们在练习磨损动作。")</f>
        <v>在健身房里，再次看到孩子们在练习磨损动作。</v>
      </c>
    </row>
    <row r="8471">
      <c r="A8471" s="4" t="s">
        <v>10654</v>
      </c>
      <c r="B8471" s="6" t="s">
        <v>10660</v>
      </c>
      <c r="C8471" s="5" t="str">
        <f>IFERROR(__xludf.DUMMYFUNCTION("GOOGLETRANSLATE(B8471,""en"",""zh-CN"")"),"屏幕变黑，屏幕上显示了一个图形，显示了公司的徽标和YouTube频道信息。")</f>
        <v>屏幕变黑，屏幕上显示了一个图形，显示了公司的徽标和YouTube频道信息。</v>
      </c>
    </row>
    <row r="8472">
      <c r="A8472" s="4" t="s">
        <v>10661</v>
      </c>
      <c r="B8472" s="4" t="s">
        <v>10662</v>
      </c>
      <c r="C8472" s="5" t="str">
        <f>IFERROR(__xludf.DUMMYFUNCTION("GOOGLETRANSLATE(B8472,""en"",""zh-CN"")"),"一匹马的男孩从大门释放。")</f>
        <v>一匹马的男孩从大门释放。</v>
      </c>
    </row>
    <row r="8473">
      <c r="A8473" s="4" t="s">
        <v>10661</v>
      </c>
      <c r="B8473" s="4" t="s">
        <v>10663</v>
      </c>
      <c r="C8473" s="5" t="str">
        <f>IFERROR(__xludf.DUMMYFUNCTION("GOOGLETRANSLATE(B8473,""en"",""zh-CN"")"),"他扎着小牛，将其拖到地上。")</f>
        <v>他扎着小牛，将其拖到地上。</v>
      </c>
    </row>
    <row r="8474">
      <c r="A8474" s="4" t="s">
        <v>10661</v>
      </c>
      <c r="B8474" s="4" t="s">
        <v>10664</v>
      </c>
      <c r="C8474" s="5" t="str">
        <f>IFERROR(__xludf.DUMMYFUNCTION("GOOGLETRANSLATE(B8474,""en"",""zh-CN"")"),"他卸下，用绳子将小腿绑起来，然后再骑马。")</f>
        <v>他卸下，用绳子将小腿绑起来，然后再骑马。</v>
      </c>
    </row>
    <row r="8475">
      <c r="A8475" s="4" t="s">
        <v>10665</v>
      </c>
      <c r="B8475" s="4" t="s">
        <v>10666</v>
      </c>
      <c r="C8475" s="5" t="str">
        <f>IFERROR(__xludf.DUMMYFUNCTION("GOOGLETRANSLATE(B8475,""en"",""zh-CN"")"),"简介导致一个小孩骑着泥土路径骑着泥土。")</f>
        <v>简介导致一个小孩骑着泥土路径骑着泥土。</v>
      </c>
    </row>
    <row r="8476">
      <c r="A8476" s="4" t="s">
        <v>10665</v>
      </c>
      <c r="B8476" s="6" t="s">
        <v>10667</v>
      </c>
      <c r="C8476" s="5" t="str">
        <f>IFERROR(__xludf.DUMMYFUNCTION("GOOGLETRANSLATE(B8476,""en"",""zh-CN"")"),"显示了这个男孩长大的几枪，后面是骑着越野自行车的男孩的更多镜头。")</f>
        <v>显示了这个男孩长大的几枪，后面是骑着越野自行车的男孩的更多镜头。</v>
      </c>
    </row>
    <row r="8477">
      <c r="A8477" s="4" t="s">
        <v>10668</v>
      </c>
      <c r="B8477" s="4" t="s">
        <v>10669</v>
      </c>
      <c r="C8477" s="5" t="str">
        <f>IFERROR(__xludf.DUMMYFUNCTION("GOOGLETRANSLATE(B8477,""en"",""zh-CN"")"),"我们看到一群人在看活动。")</f>
        <v>我们看到一群人在看活动。</v>
      </c>
    </row>
    <row r="8478">
      <c r="A8478" s="4" t="s">
        <v>10668</v>
      </c>
      <c r="B8478" s="4" t="s">
        <v>10670</v>
      </c>
      <c r="C8478" s="5" t="str">
        <f>IFERROR(__xludf.DUMMYFUNCTION("GOOGLETRANSLATE(B8478,""en"",""zh-CN"")"),"男人用金属手柄提琴。")</f>
        <v>男人用金属手柄提琴。</v>
      </c>
    </row>
    <row r="8479">
      <c r="A8479" s="4" t="s">
        <v>10668</v>
      </c>
      <c r="B8479" s="4" t="s">
        <v>10671</v>
      </c>
      <c r="C8479" s="5" t="str">
        <f>IFERROR(__xludf.DUMMYFUNCTION("GOOGLETRANSLATE(B8479,""en"",""zh-CN"")"),"他们牵手为比赛做准备，法官触摸了他们的手。")</f>
        <v>他们牵手为比赛做准备，法官触摸了他们的手。</v>
      </c>
    </row>
    <row r="8480">
      <c r="A8480" s="4" t="s">
        <v>10668</v>
      </c>
      <c r="B8480" s="4" t="s">
        <v>10672</v>
      </c>
      <c r="C8480" s="5" t="str">
        <f>IFERROR(__xludf.DUMMYFUNCTION("GOOGLETRANSLATE(B8480,""en"",""zh-CN"")"),"这些人开始了他们的手臂摔跤比赛，正确的人赢了。")</f>
        <v>这些人开始了他们的手臂摔跤比赛，正确的人赢了。</v>
      </c>
    </row>
    <row r="8481">
      <c r="A8481" s="4" t="s">
        <v>10668</v>
      </c>
      <c r="B8481" s="4" t="s">
        <v>10673</v>
      </c>
      <c r="C8481" s="5" t="str">
        <f>IFERROR(__xludf.DUMMYFUNCTION("GOOGLETRANSLATE(B8481,""en"",""zh-CN"")"),"伙计们握手并拥抱。")</f>
        <v>伙计们握手并拥抱。</v>
      </c>
    </row>
    <row r="8482">
      <c r="A8482" s="4" t="s">
        <v>10668</v>
      </c>
      <c r="B8482" s="4" t="s">
        <v>10674</v>
      </c>
      <c r="C8482" s="5" t="str">
        <f>IFERROR(__xludf.DUMMYFUNCTION("GOOGLETRANSLATE(B8482,""en"",""zh-CN"")"),"我们看到其中一名参赛者的镜头。")</f>
        <v>我们看到其中一名参赛者的镜头。</v>
      </c>
    </row>
    <row r="8483">
      <c r="A8483" s="4" t="s">
        <v>10675</v>
      </c>
      <c r="B8483" s="4" t="s">
        <v>10676</v>
      </c>
      <c r="C8483" s="5" t="str">
        <f>IFERROR(__xludf.DUMMYFUNCTION("GOOGLETRANSLATE(B8483,""en"",""zh-CN"")"),"两名男子在室内球场上打球球。")</f>
        <v>两名男子在室内球场上打球球。</v>
      </c>
    </row>
    <row r="8484">
      <c r="A8484" s="4" t="s">
        <v>10675</v>
      </c>
      <c r="B8484" s="4" t="s">
        <v>10677</v>
      </c>
      <c r="C8484" s="5" t="str">
        <f>IFERROR(__xludf.DUMMYFUNCTION("GOOGLETRANSLATE(B8484,""en"",""zh-CN"")"),"两个男人，一个是黑色的，另一个是红色衬衫，互相打球球。")</f>
        <v>两个男人，一个是黑色的，另一个是红色衬衫，互相打球球。</v>
      </c>
    </row>
    <row r="8485">
      <c r="A8485" s="4" t="s">
        <v>10675</v>
      </c>
      <c r="B8485" s="4" t="s">
        <v>10678</v>
      </c>
      <c r="C8485" s="5" t="str">
        <f>IFERROR(__xludf.DUMMYFUNCTION("GOOGLETRANSLATE(B8485,""en"",""zh-CN"")"),"黑色的男人开始了第一份发球，红色衬衫的男人返回了他的发球。")</f>
        <v>黑色的男人开始了第一份发球，红色衬衫的男人返回了他的发球。</v>
      </c>
    </row>
    <row r="8486">
      <c r="A8486" s="4" t="s">
        <v>10675</v>
      </c>
      <c r="B8486" s="4" t="s">
        <v>10679</v>
      </c>
      <c r="C8486" s="5" t="str">
        <f>IFERROR(__xludf.DUMMYFUNCTION("GOOGLETRANSLATE(B8486,""en"",""zh-CN"")"),"他们继续打球拍球。")</f>
        <v>他们继续打球拍球。</v>
      </c>
    </row>
    <row r="8487">
      <c r="A8487" s="4" t="s">
        <v>10675</v>
      </c>
      <c r="B8487" s="6" t="s">
        <v>10680</v>
      </c>
      <c r="C8487" s="5" t="str">
        <f>IFERROR(__xludf.DUMMYFUNCTION("GOOGLETRANSLATE(B8487,""en"",""zh-CN"")"),"然后，同一名球员在不同场合穿着黑色，另一个穿着黄色衬衫打球拍球。")</f>
        <v>然后，同一名球员在不同场合穿着黑色，另一个穿着黄色衬衫打球拍球。</v>
      </c>
    </row>
    <row r="8488">
      <c r="A8488" s="4" t="s">
        <v>10675</v>
      </c>
      <c r="B8488" s="4" t="s">
        <v>10681</v>
      </c>
      <c r="C8488" s="5" t="str">
        <f>IFERROR(__xludf.DUMMYFUNCTION("GOOGLETRANSLATE(B8488,""en"",""zh-CN"")"),"他们继续将球投入并撞到墙上。")</f>
        <v>他们继续将球投入并撞到墙上。</v>
      </c>
    </row>
    <row r="8489">
      <c r="A8489" s="4" t="s">
        <v>10675</v>
      </c>
      <c r="B8489" s="4" t="s">
        <v>10682</v>
      </c>
      <c r="C8489" s="5" t="str">
        <f>IFERROR(__xludf.DUMMYFUNCTION("GOOGLETRANSLATE(B8489,""en"",""zh-CN"")"),"他们在比赛中打了几轮。")</f>
        <v>他们在比赛中打了几轮。</v>
      </c>
    </row>
    <row r="8490">
      <c r="A8490" s="4" t="s">
        <v>10675</v>
      </c>
      <c r="B8490" s="4" t="s">
        <v>10683</v>
      </c>
      <c r="C8490" s="5" t="str">
        <f>IFERROR(__xludf.DUMMYFUNCTION("GOOGLETRANSLATE(B8490,""en"",""zh-CN"")"),"他们又穿着红色和黑色衬衫弹球球球。")</f>
        <v>他们又穿着红色和黑色衬衫弹球球球。</v>
      </c>
    </row>
    <row r="8491">
      <c r="A8491" s="4" t="s">
        <v>10675</v>
      </c>
      <c r="B8491" s="4" t="s">
        <v>10684</v>
      </c>
      <c r="C8491" s="5" t="str">
        <f>IFERROR(__xludf.DUMMYFUNCTION("GOOGLETRANSLATE(B8491,""en"",""zh-CN"")"),"他们奔跑击中，当对手继续打球时，球命中了球。")</f>
        <v>他们奔跑击中，当对手继续打球时，球命中了球。</v>
      </c>
    </row>
    <row r="8492">
      <c r="A8492" s="4" t="s">
        <v>10685</v>
      </c>
      <c r="B8492" s="4" t="s">
        <v>10686</v>
      </c>
      <c r="C8492" s="5" t="str">
        <f>IFERROR(__xludf.DUMMYFUNCTION("GOOGLETRANSLATE(B8492,""en"",""zh-CN"")"),"一个女孩提供有关如何用圆形刷子梳理头发的提示。")</f>
        <v>一个女孩提供有关如何用圆形刷子梳理头发的提示。</v>
      </c>
    </row>
    <row r="8493">
      <c r="A8493" s="4" t="s">
        <v>10685</v>
      </c>
      <c r="B8493" s="4" t="s">
        <v>10687</v>
      </c>
      <c r="C8493" s="5" t="str">
        <f>IFERROR(__xludf.DUMMYFUNCTION("GOOGLETRANSLATE(B8493,""en"",""zh-CN"")"),"她把头发抚摸在她面前，遮住了脸。")</f>
        <v>她把头发抚摸在她面前，遮住了脸。</v>
      </c>
    </row>
    <row r="8494">
      <c r="A8494" s="4" t="s">
        <v>10685</v>
      </c>
      <c r="B8494" s="4" t="s">
        <v>10688</v>
      </c>
      <c r="C8494" s="5" t="str">
        <f>IFERROR(__xludf.DUMMYFUNCTION("GOOGLETRANSLATE(B8494,""en"",""zh-CN"")"),"她翻转头发，然后完成她需要做的事情。")</f>
        <v>她翻转头发，然后完成她需要做的事情。</v>
      </c>
    </row>
    <row r="8495">
      <c r="A8495" s="4" t="s">
        <v>10689</v>
      </c>
      <c r="B8495" s="4" t="s">
        <v>10690</v>
      </c>
      <c r="C8495" s="5" t="str">
        <f>IFERROR(__xludf.DUMMYFUNCTION("GOOGLETRANSLATE(B8495,""en"",""zh-CN"")"),"我们看到一个男人给一位女士一朵玫瑰。")</f>
        <v>我们看到一个男人给一位女士一朵玫瑰。</v>
      </c>
    </row>
    <row r="8496">
      <c r="A8496" s="4" t="s">
        <v>10689</v>
      </c>
      <c r="B8496" s="4" t="s">
        <v>10691</v>
      </c>
      <c r="C8496" s="5" t="str">
        <f>IFERROR(__xludf.DUMMYFUNCTION("GOOGLETRANSLATE(B8496,""en"",""zh-CN"")"),"然后，男人和女人在人群面前表演舞。")</f>
        <v>然后，男人和女人在人群面前表演舞。</v>
      </c>
    </row>
    <row r="8497">
      <c r="A8497" s="4" t="s">
        <v>10689</v>
      </c>
      <c r="B8497" s="4" t="s">
        <v>10692</v>
      </c>
      <c r="C8497" s="5" t="str">
        <f>IFERROR(__xludf.DUMMYFUNCTION("GOOGLETRANSLATE(B8497,""en"",""zh-CN"")"),"35那个男人旋转着那个女士，让她的衣服跳动，看着她的胸部。")</f>
        <v>35那个男人旋转着那个女士，让她的衣服跳动，看着她的胸部。</v>
      </c>
    </row>
    <row r="8498">
      <c r="A8498" s="4" t="s">
        <v>10689</v>
      </c>
      <c r="B8498" s="4" t="s">
        <v>10693</v>
      </c>
      <c r="C8498" s="5" t="str">
        <f>IFERROR(__xludf.DUMMYFUNCTION("GOOGLETRANSLATE(B8498,""en"",""zh-CN"")"),"舞蹈一次又一次地重复。")</f>
        <v>舞蹈一次又一次地重复。</v>
      </c>
    </row>
    <row r="8499">
      <c r="A8499" s="4" t="s">
        <v>10689</v>
      </c>
      <c r="B8499" s="6" t="s">
        <v>10694</v>
      </c>
      <c r="C8499" s="5" t="str">
        <f>IFERROR(__xludf.DUMMYFUNCTION("GOOGLETRANSLATE(B8499,""en"",""zh-CN"")"),"男人弯腰看着她的胸部两次，几乎把手放在她的脖子上。")</f>
        <v>男人弯腰看着她的胸部两次，几乎把手放在她的脖子上。</v>
      </c>
    </row>
    <row r="8500">
      <c r="A8500" s="4" t="s">
        <v>10695</v>
      </c>
      <c r="B8500" s="4" t="s">
        <v>10696</v>
      </c>
      <c r="C8500" s="5" t="str">
        <f>IFERROR(__xludf.DUMMYFUNCTION("GOOGLETRANSLATE(B8500,""en"",""zh-CN"")"),"一个黑人以一种充满爱心的方式爱抚他的胡须和脸。")</f>
        <v>一个黑人以一种充满爱心的方式爱抚他的胡须和脸。</v>
      </c>
    </row>
    <row r="8501">
      <c r="A8501" s="4" t="s">
        <v>10695</v>
      </c>
      <c r="B8501" s="4" t="s">
        <v>10697</v>
      </c>
      <c r="C8501" s="5" t="str">
        <f>IFERROR(__xludf.DUMMYFUNCTION("GOOGLETRANSLATE(B8501,""en"",""zh-CN"")"),"黑人使用剪裁器修剪器修剪胡须和脸。")</f>
        <v>黑人使用剪裁器修剪器修剪胡须和脸。</v>
      </c>
    </row>
    <row r="8502">
      <c r="A8502" s="4" t="s">
        <v>10695</v>
      </c>
      <c r="B8502" s="4" t="s">
        <v>10698</v>
      </c>
      <c r="C8502" s="5" t="str">
        <f>IFERROR(__xludf.DUMMYFUNCTION("GOOGLETRANSLATE(B8502,""en"",""zh-CN"")"),"黑人在快船上附有橙色附件，并继续修剪胡须。")</f>
        <v>黑人在快船上附有橙色附件，并继续修剪胡须。</v>
      </c>
    </row>
    <row r="8503">
      <c r="A8503" s="4" t="s">
        <v>10695</v>
      </c>
      <c r="B8503" s="6" t="s">
        <v>10699</v>
      </c>
      <c r="C8503" s="5" t="str">
        <f>IFERROR(__xludf.DUMMYFUNCTION("GOOGLETRANSLATE(B8503,""en"",""zh-CN"")"),"黑人洗脸和胡须，展示了一系列配饰，并将其应用于他的脸和胡须。")</f>
        <v>黑人洗脸和胡须，展示了一系列配饰，并将其应用于他的脸和胡须。</v>
      </c>
    </row>
    <row r="8504">
      <c r="A8504" s="4" t="s">
        <v>10700</v>
      </c>
      <c r="B8504" s="6" t="s">
        <v>10701</v>
      </c>
      <c r="C8504" s="5" t="str">
        <f>IFERROR(__xludf.DUMMYFUNCTION("GOOGLETRANSLATE(B8504,""en"",""zh-CN"")"),"看到一大批人在一个节日周围徘徊，并扮演钩针编织的人。")</f>
        <v>看到一大批人在一个节日周围徘徊，并扮演钩针编织的人。</v>
      </c>
    </row>
    <row r="8505">
      <c r="A8505" s="4" t="s">
        <v>10700</v>
      </c>
      <c r="B8505" s="4" t="s">
        <v>10702</v>
      </c>
      <c r="C8505" s="5" t="str">
        <f>IFERROR(__xludf.DUMMYFUNCTION("GOOGLETRANSLATE(B8505,""en"",""zh-CN"")"),"当其他几个人在场外和批评中观看其他人时，人们看到更多的人在玩游戏。")</f>
        <v>当其他几个人在场外和批评中观看其他人时，人们看到更多的人在玩游戏。</v>
      </c>
    </row>
    <row r="8506">
      <c r="A8506" s="4" t="s">
        <v>10703</v>
      </c>
      <c r="B8506" s="4" t="s">
        <v>10704</v>
      </c>
      <c r="C8506" s="5" t="str">
        <f>IFERROR(__xludf.DUMMYFUNCTION("GOOGLETRANSLATE(B8506,""en"",""zh-CN"")"),"一个穿着蓝色衬衫的人坐在地板焊接上。")</f>
        <v>一个穿着蓝色衬衫的人坐在地板焊接上。</v>
      </c>
    </row>
    <row r="8507">
      <c r="A8507" s="4" t="s">
        <v>10703</v>
      </c>
      <c r="B8507" s="4" t="s">
        <v>10705</v>
      </c>
      <c r="C8507" s="5" t="str">
        <f>IFERROR(__xludf.DUMMYFUNCTION("GOOGLETRANSLATE(B8507,""en"",""zh-CN"")"),"他穿着防护装备遮住脸部和眼睛。")</f>
        <v>他穿着防护装备遮住脸部和眼睛。</v>
      </c>
    </row>
    <row r="8508">
      <c r="A8508" s="4" t="s">
        <v>10703</v>
      </c>
      <c r="B8508" s="4" t="s">
        <v>10706</v>
      </c>
      <c r="C8508" s="5" t="str">
        <f>IFERROR(__xludf.DUMMYFUNCTION("GOOGLETRANSLATE(B8508,""en"",""zh-CN"")"),"他的保护手套的颜色为棕色。")</f>
        <v>他的保护手套的颜色为棕色。</v>
      </c>
    </row>
    <row r="8509">
      <c r="A8509" s="4" t="s">
        <v>10703</v>
      </c>
      <c r="B8509" s="4" t="s">
        <v>10707</v>
      </c>
      <c r="C8509" s="5" t="str">
        <f>IFERROR(__xludf.DUMMYFUNCTION("GOOGLETRANSLATE(B8509,""en"",""zh-CN"")"),"他继续使用针对杆的焊接工具焊接长的金属棒。")</f>
        <v>他继续使用针对杆的焊接工具焊接长的金属棒。</v>
      </c>
    </row>
    <row r="8510">
      <c r="A8510" s="4" t="s">
        <v>10708</v>
      </c>
      <c r="B8510" s="4" t="s">
        <v>10709</v>
      </c>
      <c r="C8510" s="5" t="str">
        <f>IFERROR(__xludf.DUMMYFUNCTION("GOOGLETRANSLATE(B8510,""en"",""zh-CN"")"),"看到一大块机械坐在房间里。")</f>
        <v>看到一大块机械坐在房间里。</v>
      </c>
    </row>
    <row r="8511">
      <c r="A8511" s="4" t="s">
        <v>10708</v>
      </c>
      <c r="B8511" s="4" t="s">
        <v>10710</v>
      </c>
      <c r="C8511" s="5" t="str">
        <f>IFERROR(__xludf.DUMMYFUNCTION("GOOGLETRANSLATE(B8511,""en"",""zh-CN"")"),"然后，机器人臂移入框架，试图将事情推动。")</f>
        <v>然后，机器人臂移入框架，试图将事情推动。</v>
      </c>
    </row>
    <row r="8512">
      <c r="A8512" s="4" t="s">
        <v>10708</v>
      </c>
      <c r="B8512" s="4" t="s">
        <v>10711</v>
      </c>
      <c r="C8512" s="5" t="str">
        <f>IFERROR(__xludf.DUMMYFUNCTION("GOOGLETRANSLATE(B8512,""en"",""zh-CN"")"),"机器人失败并拉回手臂。")</f>
        <v>机器人失败并拉回手臂。</v>
      </c>
    </row>
    <row r="8513">
      <c r="A8513" s="4" t="s">
        <v>10712</v>
      </c>
      <c r="B8513" s="4" t="s">
        <v>1664</v>
      </c>
      <c r="C8513" s="5" t="str">
        <f>IFERROR(__xludf.DUMMYFUNCTION("GOOGLETRANSLATE(B8513,""en"",""zh-CN"")"),"一个男人和一个女人在新闻广播的环境中与镜头交谈。")</f>
        <v>一个男人和一个女人在新闻广播的环境中与镜头交谈。</v>
      </c>
    </row>
    <row r="8514">
      <c r="A8514" s="4" t="s">
        <v>10712</v>
      </c>
      <c r="B8514" s="4" t="s">
        <v>10713</v>
      </c>
      <c r="C8514" s="5" t="str">
        <f>IFERROR(__xludf.DUMMYFUNCTION("GOOGLETRANSLATE(B8514,""en"",""zh-CN"")"),"现场过渡到各种体操训练。")</f>
        <v>现场过渡到各种体操训练。</v>
      </c>
    </row>
    <row r="8515">
      <c r="A8515" s="4" t="s">
        <v>10712</v>
      </c>
      <c r="B8515" s="4" t="s">
        <v>10714</v>
      </c>
      <c r="C8515" s="5" t="str">
        <f>IFERROR(__xludf.DUMMYFUNCTION("GOOGLETRANSLATE(B8515,""en"",""zh-CN"")"),"依次在摄像机上接受了两名女性。")</f>
        <v>依次在摄像机上接受了两名女性。</v>
      </c>
    </row>
    <row r="8516">
      <c r="A8516" s="4" t="s">
        <v>10712</v>
      </c>
      <c r="B8516" s="4" t="s">
        <v>10715</v>
      </c>
      <c r="C8516" s="5" t="str">
        <f>IFERROR(__xludf.DUMMYFUNCTION("GOOGLETRANSLATE(B8516,""en"",""zh-CN"")"),"场景过渡到更多的体操练习段。")</f>
        <v>场景过渡到更多的体操练习段。</v>
      </c>
    </row>
    <row r="8517">
      <c r="A8517" s="4" t="s">
        <v>10716</v>
      </c>
      <c r="B8517" s="4" t="s">
        <v>10717</v>
      </c>
      <c r="C8517" s="5" t="str">
        <f>IFERROR(__xludf.DUMMYFUNCTION("GOOGLETRANSLATE(B8517,""en"",""zh-CN"")"),"一对车把从自行车脱离，并放在桌子上。")</f>
        <v>一对车把从自行车脱离，并放在桌子上。</v>
      </c>
    </row>
    <row r="8518">
      <c r="A8518" s="4" t="s">
        <v>10716</v>
      </c>
      <c r="B8518" s="6" t="s">
        <v>10718</v>
      </c>
      <c r="C8518" s="5" t="str">
        <f>IFERROR(__xludf.DUMMYFUNCTION("GOOGLETRANSLATE(B8518,""en"",""zh-CN"")"),"然后，该男子拿起车把，将它们粘在自行车上，用钥匙拧紧它们。")</f>
        <v>然后，该男子拿起车把，将它们粘在自行车上，用钥匙拧紧它们。</v>
      </c>
    </row>
    <row r="8519">
      <c r="A8519" s="4" t="s">
        <v>10719</v>
      </c>
      <c r="B8519" s="6" t="s">
        <v>10720</v>
      </c>
      <c r="C8519" s="5" t="str">
        <f>IFERROR(__xludf.DUMMYFUNCTION("GOOGLETRANSLATE(B8519,""en"",""zh-CN"")"),"看到一个人打交道，以及赌场桌子和扑克芯片的几张照片。")</f>
        <v>看到一个人打交道，以及赌场桌子和扑克芯片的几张照片。</v>
      </c>
    </row>
    <row r="8520">
      <c r="A8520" s="4" t="s">
        <v>10719</v>
      </c>
      <c r="B8520" s="6" t="s">
        <v>10721</v>
      </c>
      <c r="C8520" s="5" t="str">
        <f>IFERROR(__xludf.DUMMYFUNCTION("GOOGLETRANSLATE(B8520,""en"",""zh-CN"")"),"乐队正在演奏，看到一个人在抽烟，还有人调酒和互相说话。")</f>
        <v>乐队正在演奏，看到一个人在抽烟，还有人调酒和互相说话。</v>
      </c>
    </row>
    <row r="8521">
      <c r="A8521" s="4" t="s">
        <v>10719</v>
      </c>
      <c r="B8521" s="4" t="s">
        <v>10722</v>
      </c>
      <c r="C8521" s="5" t="str">
        <f>IFERROR(__xludf.DUMMYFUNCTION("GOOGLETRANSLATE(B8521,""en"",""zh-CN"")"),"最后，看到更多的人享受赌场并四处走动。")</f>
        <v>最后，看到更多的人享受赌场并四处走动。</v>
      </c>
    </row>
    <row r="8522">
      <c r="A8522" s="4" t="s">
        <v>10723</v>
      </c>
      <c r="B8522" s="6" t="s">
        <v>10724</v>
      </c>
      <c r="C8522" s="5" t="str">
        <f>IFERROR(__xludf.DUMMYFUNCTION("GOOGLETRANSLATE(B8522,""en"",""zh-CN"")"),"看到一个戴着拳击手套的蒙住眼睛的男人撞到了一个打孔袋，许多人看着他的侧面。")</f>
        <v>看到一个戴着拳击手套的蒙住眼睛的男人撞到了一个打孔袋，许多人看着他的侧面。</v>
      </c>
    </row>
    <row r="8523">
      <c r="A8523" s="4" t="s">
        <v>10723</v>
      </c>
      <c r="B8523" s="4" t="s">
        <v>10725</v>
      </c>
      <c r="C8523" s="5" t="str">
        <f>IFERROR(__xludf.DUMMYFUNCTION("GOOGLETRANSLATE(B8523,""en"",""zh-CN"")"),"当屋顶上的一个人将袋子拉高时，他继续打孔。")</f>
        <v>当屋顶上的一个人将袋子拉高时，他继续打孔。</v>
      </c>
    </row>
    <row r="8524">
      <c r="A8524" s="4" t="s">
        <v>10726</v>
      </c>
      <c r="B8524" s="4" t="s">
        <v>10727</v>
      </c>
      <c r="C8524" s="5" t="str">
        <f>IFERROR(__xludf.DUMMYFUNCTION("GOOGLETRANSLATE(B8524,""en"",""zh-CN"")"),"看到一辆卡车停在房屋前，上面有几张镜头。")</f>
        <v>看到一辆卡车停在房屋前，上面有几张镜头。</v>
      </c>
    </row>
    <row r="8525">
      <c r="A8525" s="4" t="s">
        <v>10726</v>
      </c>
      <c r="B8525" s="6" t="s">
        <v>10728</v>
      </c>
      <c r="C8525" s="5" t="str">
        <f>IFERROR(__xludf.DUMMYFUNCTION("GOOGLETRANSLATE(B8525,""en"",""zh-CN"")"),"然后看到一个男人站在屋顶上，沿着顶部扎在屋顶上，再次站在房子前的浇水前。")</f>
        <v>然后看到一个男人站在屋顶上，沿着顶部扎在屋顶上，再次站在房子前的浇水前。</v>
      </c>
    </row>
    <row r="8526">
      <c r="A8526" s="4" t="s">
        <v>10726</v>
      </c>
      <c r="B8526" s="4" t="s">
        <v>10729</v>
      </c>
      <c r="C8526" s="5" t="str">
        <f>IFERROR(__xludf.DUMMYFUNCTION("GOOGLETRANSLATE(B8526,""en"",""zh-CN"")"),"相机显示卡车再次停在前面，是屋顶的最终产品。")</f>
        <v>相机显示卡车再次停在前面，是屋顶的最终产品。</v>
      </c>
    </row>
    <row r="8527">
      <c r="A8527" s="4" t="s">
        <v>10730</v>
      </c>
      <c r="B8527" s="4" t="s">
        <v>10731</v>
      </c>
      <c r="C8527" s="5" t="str">
        <f>IFERROR(__xludf.DUMMYFUNCTION("GOOGLETRANSLATE(B8527,""en"",""zh-CN"")"),"一个穿着紫色连衣裙的女人坐在相机上说话。")</f>
        <v>一个穿着紫色连衣裙的女人坐在相机上说话。</v>
      </c>
    </row>
    <row r="8528">
      <c r="A8528" s="4" t="s">
        <v>10730</v>
      </c>
      <c r="B8528" s="6" t="s">
        <v>10732</v>
      </c>
      <c r="C8528" s="5" t="str">
        <f>IFERROR(__xludf.DUMMYFUNCTION("GOOGLETRANSLATE(B8528,""en"",""zh-CN"")"),"她被显示在她的脸上按摩奶油，然后用水冲洗掉，用毛巾轻拍干燥。")</f>
        <v>她被显示在她的脸上按摩奶油，然后用水冲洗掉，用毛巾轻拍干燥。</v>
      </c>
    </row>
    <row r="8529">
      <c r="A8529" s="4" t="s">
        <v>10730</v>
      </c>
      <c r="B8529" s="4" t="s">
        <v>10733</v>
      </c>
      <c r="C8529" s="5" t="str">
        <f>IFERROR(__xludf.DUMMYFUNCTION("GOOGLETRANSLATE(B8529,""en"",""zh-CN"")"),"然后，她再次与相机说话。")</f>
        <v>然后，她再次与相机说话。</v>
      </c>
    </row>
    <row r="8530">
      <c r="A8530" s="4" t="s">
        <v>10734</v>
      </c>
      <c r="B8530" s="4" t="s">
        <v>10735</v>
      </c>
      <c r="C8530" s="5" t="str">
        <f>IFERROR(__xludf.DUMMYFUNCTION("GOOGLETRANSLATE(B8530,""en"",""zh-CN"")"),"三个女孩坐在海滩上，用沙子和水堆一堆。")</f>
        <v>三个女孩坐在海滩上，用沙子和水堆一堆。</v>
      </c>
    </row>
    <row r="8531">
      <c r="A8531" s="4" t="s">
        <v>10734</v>
      </c>
      <c r="B8531" s="4" t="s">
        <v>10736</v>
      </c>
      <c r="C8531" s="5" t="str">
        <f>IFERROR(__xludf.DUMMYFUNCTION("GOOGLETRANSLATE(B8531,""en"",""zh-CN"")"),"他们使用碗形成模具。")</f>
        <v>他们使用碗形成模具。</v>
      </c>
    </row>
    <row r="8532">
      <c r="A8532" s="4" t="s">
        <v>10737</v>
      </c>
      <c r="B8532" s="4" t="s">
        <v>10738</v>
      </c>
      <c r="C8532" s="5" t="str">
        <f>IFERROR(__xludf.DUMMYFUNCTION("GOOGLETRANSLATE(B8532,""en"",""zh-CN"")"),"一个小男孩在屋子里穿着他的衬衫和尿布。")</f>
        <v>一个小男孩在屋子里穿着他的衬衫和尿布。</v>
      </c>
    </row>
    <row r="8533">
      <c r="A8533" s="4" t="s">
        <v>10737</v>
      </c>
      <c r="B8533" s="4" t="s">
        <v>10739</v>
      </c>
      <c r="C8533" s="5" t="str">
        <f>IFERROR(__xludf.DUMMYFUNCTION("GOOGLETRANSLATE(B8533,""en"",""zh-CN"")"),"他有一个小曲棍球棒，他正在使用它来向后滚动。")</f>
        <v>他有一个小曲棍球棒，他正在使用它来向后滚动。</v>
      </c>
    </row>
    <row r="8534">
      <c r="A8534" s="4" t="s">
        <v>10737</v>
      </c>
      <c r="B8534" s="4" t="s">
        <v>10740</v>
      </c>
      <c r="C8534" s="5" t="str">
        <f>IFERROR(__xludf.DUMMYFUNCTION("GOOGLETRANSLATE(B8534,""en"",""zh-CN"")"),"球一直朝他走来，他一直在挥舞着击中球。")</f>
        <v>球一直朝他走来，他一直在挥舞着击中球。</v>
      </c>
    </row>
    <row r="8535">
      <c r="A8535" s="4" t="s">
        <v>10737</v>
      </c>
      <c r="B8535" s="4" t="s">
        <v>10741</v>
      </c>
      <c r="C8535" s="5" t="str">
        <f>IFERROR(__xludf.DUMMYFUNCTION("GOOGLETRANSLATE(B8535,""en"",""zh-CN"")"),"他玩得很开心，独自一人在里面玩耍。")</f>
        <v>他玩得很开心，独自一人在里面玩耍。</v>
      </c>
    </row>
    <row r="8536">
      <c r="A8536" s="4" t="s">
        <v>10742</v>
      </c>
      <c r="B8536" s="4" t="s">
        <v>10743</v>
      </c>
      <c r="C8536" s="5" t="str">
        <f>IFERROR(__xludf.DUMMYFUNCTION("GOOGLETRANSLATE(B8536,""en"",""zh-CN"")"),"该男子从他的房子里走出去，在下雪的一天打开他的车门。")</f>
        <v>该男子从他的房子里走出去，在下雪的一天打开他的车门。</v>
      </c>
    </row>
    <row r="8537">
      <c r="A8537" s="4" t="s">
        <v>10742</v>
      </c>
      <c r="B8537" s="4" t="s">
        <v>10744</v>
      </c>
      <c r="C8537" s="5" t="str">
        <f>IFERROR(__xludf.DUMMYFUNCTION("GOOGLETRANSLATE(B8537,""en"",""zh-CN"")"),"该名男子抬起汽车的挡风玻璃。")</f>
        <v>该名男子抬起汽车的挡风玻璃。</v>
      </c>
    </row>
    <row r="8538">
      <c r="A8538" s="4" t="s">
        <v>10742</v>
      </c>
      <c r="B8538" s="4" t="s">
        <v>10745</v>
      </c>
      <c r="C8538" s="5" t="str">
        <f>IFERROR(__xludf.DUMMYFUNCTION("GOOGLETRANSLATE(B8538,""en"",""zh-CN"")"),"该男子用房子的扫帚从车上扫了下雪。")</f>
        <v>该男子用房子的扫帚从车上扫了下雪。</v>
      </c>
    </row>
    <row r="8539">
      <c r="A8539" s="4" t="s">
        <v>10742</v>
      </c>
      <c r="B8539" s="4" t="s">
        <v>10746</v>
      </c>
      <c r="C8539" s="5" t="str">
        <f>IFERROR(__xludf.DUMMYFUNCTION("GOOGLETRANSLATE(B8539,""en"",""zh-CN"")"),"狗与主人一起玩。")</f>
        <v>狗与主人一起玩。</v>
      </c>
    </row>
    <row r="8540">
      <c r="A8540" s="4" t="s">
        <v>10742</v>
      </c>
      <c r="B8540" s="4" t="s">
        <v>10747</v>
      </c>
      <c r="C8540" s="5" t="str">
        <f>IFERROR(__xludf.DUMMYFUNCTION("GOOGLETRANSLATE(B8540,""en"",""zh-CN"")"),"该男子驶上他的车，将其靠在房屋中，进入停车位。")</f>
        <v>该男子驶上他的车，将其靠在房屋中，进入停车位。</v>
      </c>
    </row>
    <row r="8541">
      <c r="A8541" s="4" t="s">
        <v>10748</v>
      </c>
      <c r="B8541" s="4" t="s">
        <v>10749</v>
      </c>
      <c r="C8541" s="5" t="str">
        <f>IFERROR(__xludf.DUMMYFUNCTION("GOOGLETRANSLATE(B8541,""en"",""zh-CN"")"),"一个女人站在搅拌机前岛上的厨房里，各种成分。")</f>
        <v>一个女人站在搅拌机前岛上的厨房里，各种成分。</v>
      </c>
    </row>
    <row r="8542">
      <c r="A8542" s="4" t="s">
        <v>10748</v>
      </c>
      <c r="B8542" s="4" t="s">
        <v>10750</v>
      </c>
      <c r="C8542" s="5" t="str">
        <f>IFERROR(__xludf.DUMMYFUNCTION("GOOGLETRANSLATE(B8542,""en"",""zh-CN"")"),"她将苹果和糖与冰块放入搅拌机中，然后将它们混合在一起。")</f>
        <v>她将苹果和糖与冰块放入搅拌机中，然后将它们混合在一起。</v>
      </c>
    </row>
    <row r="8543">
      <c r="A8543" s="4" t="s">
        <v>10748</v>
      </c>
      <c r="B8543" s="4" t="s">
        <v>10751</v>
      </c>
      <c r="C8543" s="5" t="str">
        <f>IFERROR(__xludf.DUMMYFUNCTION("GOOGLETRANSLATE(B8543,""en"",""zh-CN"")"),"然后，她继续讲话时将混合物倒入两个眼镜中。")</f>
        <v>然后，她继续讲话时将混合物倒入两个眼镜中。</v>
      </c>
    </row>
    <row r="8544">
      <c r="A8544" s="4" t="s">
        <v>10752</v>
      </c>
      <c r="B8544" s="6" t="s">
        <v>10753</v>
      </c>
      <c r="C8544" s="5" t="str">
        <f>IFERROR(__xludf.DUMMYFUNCTION("GOOGLETRANSLATE(B8544,""en"",""zh-CN"")"),"一个男人有一种用来修剪猫爪的工具，他弄乱了一点，然后起床寻找猫。")</f>
        <v>一个男人有一种用来修剪猫爪的工具，他弄乱了一点，然后起床寻找猫。</v>
      </c>
    </row>
    <row r="8545">
      <c r="A8545" s="4" t="s">
        <v>10752</v>
      </c>
      <c r="B8545" s="4" t="s">
        <v>10754</v>
      </c>
      <c r="C8545" s="5" t="str">
        <f>IFERROR(__xludf.DUMMYFUNCTION("GOOGLETRANSLATE(B8545,""en"",""zh-CN"")"),"他有点宠物，以免使它变得如此可疑和害怕。")</f>
        <v>他有点宠物，以免使它变得如此可疑和害怕。</v>
      </c>
    </row>
    <row r="8546">
      <c r="A8546" s="4" t="s">
        <v>10752</v>
      </c>
      <c r="B8546" s="6" t="s">
        <v>10755</v>
      </c>
      <c r="C8546" s="5" t="str">
        <f>IFERROR(__xludf.DUMMYFUNCTION("GOOGLETRANSLATE(B8546,""en"",""zh-CN"")"),"他的姿势很好，开始对她的爪子感觉，一个人开始夹住它们。")</f>
        <v>他的姿势很好，开始对她的爪子感觉，一个人开始夹住它们。</v>
      </c>
    </row>
    <row r="8547">
      <c r="A8547" s="4" t="s">
        <v>10752</v>
      </c>
      <c r="B8547" s="6" t="s">
        <v>10756</v>
      </c>
      <c r="C8547" s="5" t="str">
        <f>IFERROR(__xludf.DUMMYFUNCTION("GOOGLETRANSLATE(B8547,""en"",""zh-CN"")"),"然后，他将另一只手臂移动，然后将她送给她一些，显示了她的爪子和勒索指甲之间的区别。")</f>
        <v>然后，他将另一只手臂移动，然后将她送给她一些，显示了她的爪子和勒索指甲之间的区别。</v>
      </c>
    </row>
    <row r="8548">
      <c r="A8548" s="4" t="s">
        <v>10757</v>
      </c>
      <c r="B8548" s="6" t="s">
        <v>10758</v>
      </c>
      <c r="C8548" s="5" t="str">
        <f>IFERROR(__xludf.DUMMYFUNCTION("GOOGLETRANSLATE(B8548,""en"",""zh-CN"")"),"有些人站在冷冻的水中，正在看着一个有钓鱼线的小孔，他们看着它上下摇摆。")</f>
        <v>有些人站在冷冻的水中，正在看着一个有钓鱼线的小孔，他们看着它上下摇摆。</v>
      </c>
    </row>
    <row r="8549">
      <c r="A8549" s="4" t="s">
        <v>10757</v>
      </c>
      <c r="B8549" s="6" t="s">
        <v>10759</v>
      </c>
      <c r="C8549" s="5" t="str">
        <f>IFERROR(__xludf.DUMMYFUNCTION("GOOGLETRANSLATE(B8549,""en"",""zh-CN"")"),"站立的人将杆子拉高，抬高冰上，跪在冰上的人将鱼从冰水中拉出，将其放在冰上。")</f>
        <v>站立的人将杆子拉高，抬高冰上，跪在冰上的人将鱼从冰水中拉出，将其放在冰上。</v>
      </c>
    </row>
    <row r="8550">
      <c r="A8550" s="4" t="s">
        <v>10757</v>
      </c>
      <c r="B8550" s="6" t="s">
        <v>10760</v>
      </c>
      <c r="C8550" s="5" t="str">
        <f>IFERROR(__xludf.DUMMYFUNCTION("GOOGLETRANSLATE(B8550,""en"",""zh-CN"")"),"另一个男人为鱼的照片拍照，跪着的人解开了它，站立的人捡起它，用ill握住它，并与之摆姿势。")</f>
        <v>另一个男人为鱼的照片拍照，跪着的人解开了它，站立的人捡起它，用ill握住它，并与之摆姿势。</v>
      </c>
    </row>
    <row r="8551">
      <c r="A8551" s="4" t="s">
        <v>10761</v>
      </c>
      <c r="B8551" s="4" t="s">
        <v>10762</v>
      </c>
      <c r="C8551" s="5" t="str">
        <f>IFERROR(__xludf.DUMMYFUNCTION("GOOGLETRANSLATE(B8551,""en"",""zh-CN"")"),"人们在海滩上跳舞。")</f>
        <v>人们在海滩上跳舞。</v>
      </c>
    </row>
    <row r="8552">
      <c r="A8552" s="4" t="s">
        <v>10761</v>
      </c>
      <c r="B8552" s="4" t="s">
        <v>10763</v>
      </c>
      <c r="C8552" s="5" t="str">
        <f>IFERROR(__xludf.DUMMYFUNCTION("GOOGLETRANSLATE(B8552,""en"",""zh-CN"")"),"一个女人躺在红毛巾上。")</f>
        <v>一个女人躺在红毛巾上。</v>
      </c>
    </row>
    <row r="8553">
      <c r="A8553" s="4" t="s">
        <v>10761</v>
      </c>
      <c r="B8553" s="4" t="s">
        <v>10764</v>
      </c>
      <c r="C8553" s="5" t="str">
        <f>IFERROR(__xludf.DUMMYFUNCTION("GOOGLETRANSLATE(B8553,""en"",""zh-CN"")"),"一个人躺在绿色毛巾上。")</f>
        <v>一个人躺在绿色毛巾上。</v>
      </c>
    </row>
    <row r="8554">
      <c r="A8554" s="4" t="s">
        <v>10761</v>
      </c>
      <c r="B8554" s="4" t="s">
        <v>10765</v>
      </c>
      <c r="C8554" s="5" t="str">
        <f>IFERROR(__xludf.DUMMYFUNCTION("GOOGLETRANSLATE(B8554,""en"",""zh-CN"")"),"两只狗在海滩上旁边。")</f>
        <v>两只狗在海滩上旁边。</v>
      </c>
    </row>
    <row r="8555">
      <c r="A8555" s="4" t="s">
        <v>10766</v>
      </c>
      <c r="B8555" s="4" t="s">
        <v>10767</v>
      </c>
      <c r="C8555" s="5" t="str">
        <f>IFERROR(__xludf.DUMMYFUNCTION("GOOGLETRANSLATE(B8555,""en"",""zh-CN"")"),"一艘帆船穿过海洋中的粗糙海水。")</f>
        <v>一艘帆船穿过海洋中的粗糙海水。</v>
      </c>
    </row>
    <row r="8556">
      <c r="A8556" s="4" t="s">
        <v>10766</v>
      </c>
      <c r="B8556" s="4" t="s">
        <v>10768</v>
      </c>
      <c r="C8556" s="5" t="str">
        <f>IFERROR(__xludf.DUMMYFUNCTION("GOOGLETRANSLATE(B8556,""en"",""zh-CN"")"),"看到船长在船后的方向盘上配备了方向盘。")</f>
        <v>看到船长在船后的方向盘上配备了方向盘。</v>
      </c>
    </row>
    <row r="8557">
      <c r="A8557" s="4" t="s">
        <v>10766</v>
      </c>
      <c r="B8557" s="4" t="s">
        <v>10769</v>
      </c>
      <c r="C8557" s="5" t="str">
        <f>IFERROR(__xludf.DUMMYFUNCTION("GOOGLETRANSLATE(B8557,""en"",""zh-CN"")"),"在全景中可以看到船的桅杆。")</f>
        <v>在全景中可以看到船的桅杆。</v>
      </c>
    </row>
    <row r="8558">
      <c r="A8558" s="4" t="s">
        <v>10770</v>
      </c>
      <c r="B8558" s="4" t="s">
        <v>10771</v>
      </c>
      <c r="C8558" s="5" t="str">
        <f>IFERROR(__xludf.DUMMYFUNCTION("GOOGLETRANSLATE(B8558,""en"",""zh-CN"")"),"男孩正在打开盒子。")</f>
        <v>男孩正在打开盒子。</v>
      </c>
    </row>
    <row r="8559">
      <c r="A8559" s="4" t="s">
        <v>10770</v>
      </c>
      <c r="B8559" s="4" t="s">
        <v>10772</v>
      </c>
      <c r="C8559" s="5" t="str">
        <f>IFERROR(__xludf.DUMMYFUNCTION("GOOGLETRANSLATE(B8559,""en"",""zh-CN"")"),"然后，他卸下自行车。")</f>
        <v>然后，他卸下自行车。</v>
      </c>
    </row>
    <row r="8560">
      <c r="A8560" s="4" t="s">
        <v>10770</v>
      </c>
      <c r="B8560" s="4" t="s">
        <v>10773</v>
      </c>
      <c r="C8560" s="5" t="str">
        <f>IFERROR(__xludf.DUMMYFUNCTION("GOOGLETRANSLATE(B8560,""en"",""zh-CN"")"),"他正在删除包装。")</f>
        <v>他正在删除包装。</v>
      </c>
    </row>
    <row r="8561">
      <c r="A8561" s="4" t="s">
        <v>10770</v>
      </c>
      <c r="B8561" s="4" t="s">
        <v>10774</v>
      </c>
      <c r="C8561" s="5" t="str">
        <f>IFERROR(__xludf.DUMMYFUNCTION("GOOGLETRANSLATE(B8561,""en"",""zh-CN"")"),"他正在组装自行车。")</f>
        <v>他正在组装自行车。</v>
      </c>
    </row>
    <row r="8562">
      <c r="A8562" s="4" t="s">
        <v>10770</v>
      </c>
      <c r="B8562" s="4" t="s">
        <v>10775</v>
      </c>
      <c r="C8562" s="5" t="str">
        <f>IFERROR(__xludf.DUMMYFUNCTION("GOOGLETRANSLATE(B8562,""en"",""zh-CN"")"),"我们看到自行车的图像。")</f>
        <v>我们看到自行车的图像。</v>
      </c>
    </row>
    <row r="8563">
      <c r="A8563" s="4" t="s">
        <v>10770</v>
      </c>
      <c r="B8563" s="4" t="s">
        <v>10776</v>
      </c>
      <c r="C8563" s="5" t="str">
        <f>IFERROR(__xludf.DUMMYFUNCTION("GOOGLETRANSLATE(B8563,""en"",""zh-CN"")"),"订阅页面显示。")</f>
        <v>订阅页面显示。</v>
      </c>
    </row>
    <row r="8564">
      <c r="A8564" s="4" t="s">
        <v>10777</v>
      </c>
      <c r="B8564" s="4" t="s">
        <v>10778</v>
      </c>
      <c r="C8564" s="5" t="str">
        <f>IFERROR(__xludf.DUMMYFUNCTION("GOOGLETRANSLATE(B8564,""en"",""zh-CN"")"),"女性举重运动员正在准备举起杠铃。")</f>
        <v>女性举重运动员正在准备举起杠铃。</v>
      </c>
    </row>
    <row r="8565">
      <c r="A8565" s="4" t="s">
        <v>10777</v>
      </c>
      <c r="B8565" s="4" t="s">
        <v>10779</v>
      </c>
      <c r="C8565" s="5" t="str">
        <f>IFERROR(__xludf.DUMMYFUNCTION("GOOGLETRANSLATE(B8565,""en"",""zh-CN"")"),"她膝盖抬起，将酒吧抬到胸前。")</f>
        <v>她膝盖抬起，将酒吧抬到胸前。</v>
      </c>
    </row>
    <row r="8566">
      <c r="A8566" s="4" t="s">
        <v>10777</v>
      </c>
      <c r="B8566" s="4" t="s">
        <v>10780</v>
      </c>
      <c r="C8566" s="5" t="str">
        <f>IFERROR(__xludf.DUMMYFUNCTION("GOOGLETRANSLATE(B8566,""en"",""zh-CN"")"),"然后，她站起来，将其抬起头，然后将杠铃放回地面。")</f>
        <v>然后，她站起来，将其抬起头，然后将杠铃放回地面。</v>
      </c>
    </row>
    <row r="8567">
      <c r="A8567" s="4" t="s">
        <v>10781</v>
      </c>
      <c r="B8567" s="4" t="s">
        <v>10782</v>
      </c>
      <c r="C8567" s="5" t="str">
        <f>IFERROR(__xludf.DUMMYFUNCTION("GOOGLETRANSLATE(B8567,""en"",""zh-CN"")"),"该男子在潜水之前站在水上。")</f>
        <v>该男子在潜水之前站在水上。</v>
      </c>
    </row>
    <row r="8568">
      <c r="A8568" s="4" t="s">
        <v>10781</v>
      </c>
      <c r="B8568" s="4" t="s">
        <v>10783</v>
      </c>
      <c r="C8568" s="5" t="str">
        <f>IFERROR(__xludf.DUMMYFUNCTION("GOOGLETRANSLATE(B8568,""en"",""zh-CN"")"),"他和其他一些人一起在水下，沙滩上有贝壳和岩石。")</f>
        <v>他和其他一些人一起在水下，沙滩上有贝壳和岩石。</v>
      </c>
    </row>
    <row r="8569">
      <c r="A8569" s="4" t="s">
        <v>10781</v>
      </c>
      <c r="B8569" s="4" t="s">
        <v>10784</v>
      </c>
      <c r="C8569" s="5" t="str">
        <f>IFERROR(__xludf.DUMMYFUNCTION("GOOGLETRANSLATE(B8569,""en"",""zh-CN"")"),"还有木木原木，小龙虾在周围爬行。")</f>
        <v>还有木木原木，小龙虾在周围爬行。</v>
      </c>
    </row>
    <row r="8570">
      <c r="A8570" s="4" t="s">
        <v>10785</v>
      </c>
      <c r="B8570" s="4" t="s">
        <v>10786</v>
      </c>
      <c r="C8570" s="5" t="str">
        <f>IFERROR(__xludf.DUMMYFUNCTION("GOOGLETRANSLATE(B8570,""en"",""zh-CN"")"),"当男人对镜头说话时，一群人在室内溜冰场上玩冰球。")</f>
        <v>当男人对镜头说话时，一群人在室内溜冰场上玩冰球。</v>
      </c>
    </row>
    <row r="8571">
      <c r="A8571" s="4" t="s">
        <v>10785</v>
      </c>
      <c r="B8571" s="4" t="s">
        <v>10787</v>
      </c>
      <c r="C8571" s="5" t="str">
        <f>IFERROR(__xludf.DUMMYFUNCTION("GOOGLETRANSLATE(B8571,""en"",""zh-CN"")"),"当一个女人与镜头交谈时，两个女人扫荡在冰球上。")</f>
        <v>当一个女人与镜头交谈时，两个女人扫荡在冰球上。</v>
      </c>
    </row>
    <row r="8572">
      <c r="A8572" s="4" t="s">
        <v>10788</v>
      </c>
      <c r="B8572" s="4" t="s">
        <v>10789</v>
      </c>
      <c r="C8572" s="5" t="str">
        <f>IFERROR(__xludf.DUMMYFUNCTION("GOOGLETRANSLATE(B8572,""en"",""zh-CN"")"),"看到一个男人戴着麦克风在相机上说话，然后开始擦拭窗户。")</f>
        <v>看到一个男人戴着麦克风在相机上说话，然后开始擦拭窗户。</v>
      </c>
    </row>
    <row r="8573">
      <c r="A8573" s="4" t="s">
        <v>10788</v>
      </c>
      <c r="B8573" s="6" t="s">
        <v>10790</v>
      </c>
      <c r="C8573" s="5" t="str">
        <f>IFERROR(__xludf.DUMMYFUNCTION("GOOGLETRANSLATE(B8573,""en"",""zh-CN"")"),"他使用几种工具和物体清洁玻璃，并在看着相机时继续擦拭。")</f>
        <v>他使用几种工具和物体清洁玻璃，并在看着相机时继续擦拭。</v>
      </c>
    </row>
    <row r="8574">
      <c r="A8574" s="4" t="s">
        <v>10791</v>
      </c>
      <c r="B8574" s="4" t="s">
        <v>10792</v>
      </c>
      <c r="C8574" s="5" t="str">
        <f>IFERROR(__xludf.DUMMYFUNCTION("GOOGLETRANSLATE(B8574,""en"",""zh-CN"")"),"一个女人坐在椅子上。")</f>
        <v>一个女人坐在椅子上。</v>
      </c>
    </row>
    <row r="8575">
      <c r="A8575" s="4" t="s">
        <v>10791</v>
      </c>
      <c r="B8575" s="4" t="s">
        <v>10793</v>
      </c>
      <c r="C8575" s="5" t="str">
        <f>IFERROR(__xludf.DUMMYFUNCTION("GOOGLETRANSLATE(B8575,""en"",""zh-CN"")"),"另一个女人把她的鼻子放在鼻子上。")</f>
        <v>另一个女人把她的鼻子放在鼻子上。</v>
      </c>
    </row>
    <row r="8576">
      <c r="A8576" s="4" t="s">
        <v>10791</v>
      </c>
      <c r="B8576" s="4" t="s">
        <v>10794</v>
      </c>
      <c r="C8576" s="5" t="str">
        <f>IFERROR(__xludf.DUMMYFUNCTION("GOOGLETRANSLATE(B8576,""en"",""zh-CN"")"),"然后，她用针刺穿它。")</f>
        <v>然后，她用针刺穿它。</v>
      </c>
    </row>
    <row r="8577">
      <c r="A8577" s="4" t="s">
        <v>10791</v>
      </c>
      <c r="B8577" s="4" t="s">
        <v>10795</v>
      </c>
      <c r="C8577" s="5" t="str">
        <f>IFERROR(__xludf.DUMMYFUNCTION("GOOGLETRANSLATE(B8577,""en"",""zh-CN"")"),"接下来，她在上面放了一件珠宝。")</f>
        <v>接下来，她在上面放了一件珠宝。</v>
      </c>
    </row>
    <row r="8578">
      <c r="A8578" s="4" t="s">
        <v>10796</v>
      </c>
      <c r="B8578" s="4" t="s">
        <v>10797</v>
      </c>
      <c r="C8578" s="5" t="str">
        <f>IFERROR(__xludf.DUMMYFUNCTION("GOOGLETRANSLATE(B8578,""en"",""zh-CN"")"),"显示一个女孩在镜头和跳舞上说话，然后看到小提琴。")</f>
        <v>显示一个女孩在镜头和跳舞上说话，然后看到小提琴。</v>
      </c>
    </row>
    <row r="8579">
      <c r="A8579" s="4" t="s">
        <v>10796</v>
      </c>
      <c r="B8579" s="6" t="s">
        <v>10798</v>
      </c>
      <c r="C8579" s="5" t="str">
        <f>IFERROR(__xludf.DUMMYFUNCTION("GOOGLETRANSLATE(B8579,""en"",""zh-CN"")"),"她在同时跳舞的同时演奏乐器，并以与镜头说话结尾。")</f>
        <v>她在同时跳舞的同时演奏乐器，并以与镜头说话结尾。</v>
      </c>
    </row>
    <row r="8580">
      <c r="A8580" s="4" t="s">
        <v>10799</v>
      </c>
      <c r="B8580" s="4" t="s">
        <v>10800</v>
      </c>
      <c r="C8580" s="5" t="str">
        <f>IFERROR(__xludf.DUMMYFUNCTION("GOOGLETRANSLATE(B8580,""en"",""zh-CN"")"),"多名男子被加载到起重机繁荣桶上。")</f>
        <v>多名男子被加载到起重机繁荣桶上。</v>
      </c>
    </row>
    <row r="8581">
      <c r="A8581" s="4" t="s">
        <v>10799</v>
      </c>
      <c r="B8581" s="4" t="s">
        <v>10801</v>
      </c>
      <c r="C8581" s="5" t="str">
        <f>IFERROR(__xludf.DUMMYFUNCTION("GOOGLETRANSLATE(B8581,""en"",""zh-CN"")"),"当三名男子安全地登上时，起重机开始缓慢地向空中抬起它们。")</f>
        <v>当三名男子安全地登上时，起重机开始缓慢地向空中抬起它们。</v>
      </c>
    </row>
    <row r="8582">
      <c r="A8582" s="4" t="s">
        <v>10799</v>
      </c>
      <c r="B8582" s="6" t="s">
        <v>10802</v>
      </c>
      <c r="C8582" s="5" t="str">
        <f>IFERROR(__xludf.DUMMYFUNCTION("GOOGLETRANSLATE(B8582,""en"",""zh-CN"")"),"一旦到达起重机的顶部，视图就可以切换，可以看到它们环顾景观。")</f>
        <v>一旦到达起重机的顶部，视图就可以切换，可以看到它们环顾景观。</v>
      </c>
    </row>
    <row r="8583">
      <c r="A8583" s="4" t="s">
        <v>10799</v>
      </c>
      <c r="B8583" s="4" t="s">
        <v>10803</v>
      </c>
      <c r="C8583" s="5" t="str">
        <f>IFERROR(__xludf.DUMMYFUNCTION("GOOGLETRANSLATE(B8583,""en"",""zh-CN"")"),"准备蹦极跳的人紧张地看着繁荣的边缘。")</f>
        <v>准备蹦极跳的人紧张地看着繁荣的边缘。</v>
      </c>
    </row>
    <row r="8584">
      <c r="A8584" s="4" t="s">
        <v>10799</v>
      </c>
      <c r="B8584" s="4" t="s">
        <v>10804</v>
      </c>
      <c r="C8584" s="5" t="str">
        <f>IFERROR(__xludf.DUMMYFUNCTION("GOOGLETRANSLATE(B8584,""en"",""zh-CN"")"),"一个人一次跳出繁荣，悬挂在一小片水上。")</f>
        <v>一个人一次跳出繁荣，悬挂在一小片水上。</v>
      </c>
    </row>
    <row r="8585">
      <c r="A8585" s="4" t="s">
        <v>10799</v>
      </c>
      <c r="B8585" s="4" t="s">
        <v>10805</v>
      </c>
      <c r="C8585" s="5" t="str">
        <f>IFERROR(__xludf.DUMMYFUNCTION("GOOGLETRANSLATE(B8585,""en"",""zh-CN"")"),"那里的成就证书结束了视频。")</f>
        <v>那里的成就证书结束了视频。</v>
      </c>
    </row>
    <row r="8586">
      <c r="A8586" s="4" t="s">
        <v>10806</v>
      </c>
      <c r="B8586" s="4" t="s">
        <v>10807</v>
      </c>
      <c r="C8586" s="5" t="str">
        <f>IFERROR(__xludf.DUMMYFUNCTION("GOOGLETRANSLATE(B8586,""en"",""zh-CN"")"),"屏幕上出现了“洪水中的铅河”一词。")</f>
        <v>屏幕上出现了“洪水中的铅河”一词。</v>
      </c>
    </row>
    <row r="8587">
      <c r="A8587" s="4" t="s">
        <v>10806</v>
      </c>
      <c r="B8587" s="6" t="s">
        <v>10808</v>
      </c>
      <c r="C8587" s="5" t="str">
        <f>IFERROR(__xludf.DUMMYFUNCTION("GOOGLETRANSLATE(B8587,""en"",""zh-CN"")"),"第一人称视频显示了木筏上到处都是岩石悬崖之间的河流和极端粗糙的河流。")</f>
        <v>第一人称视频显示了木筏上到处都是岩石悬崖之间的河流和极端粗糙的河流。</v>
      </c>
    </row>
    <row r="8588">
      <c r="A8588" s="4" t="s">
        <v>10806</v>
      </c>
      <c r="B8588" s="4" t="s">
        <v>10809</v>
      </c>
      <c r="C8588" s="5" t="str">
        <f>IFERROR(__xludf.DUMMYFUNCTION("GOOGLETRANSLATE(B8588,""en"",""zh-CN"")"),"屏幕上出现了“非常感谢River Guide J-Rod”一词。")</f>
        <v>屏幕上出现了“非常感谢River Guide J-Rod”一词。</v>
      </c>
    </row>
    <row r="8589">
      <c r="A8589" s="4" t="s">
        <v>10810</v>
      </c>
      <c r="B8589" s="6" t="s">
        <v>10811</v>
      </c>
      <c r="C8589" s="5" t="str">
        <f>IFERROR(__xludf.DUMMYFUNCTION("GOOGLETRANSLATE(B8589,""en"",""zh-CN"")"),"一个人竞争在计时台后面解决立方体难题，而女人会记笔记并观看该人。")</f>
        <v>一个人竞争在计时台后面解决立方体难题，而女人会记笔记并观看该人。</v>
      </c>
    </row>
    <row r="8590">
      <c r="A8590" s="4" t="s">
        <v>10810</v>
      </c>
      <c r="B8590" s="4" t="s">
        <v>10812</v>
      </c>
      <c r="C8590" s="5" t="str">
        <f>IFERROR(__xludf.DUMMYFUNCTION("GOOGLETRANSLATE(B8590,""en"",""zh-CN"")"),"该人解决了难题，然后站着，举起手臂走路。")</f>
        <v>该人解决了难题，然后站着，举起手臂走路。</v>
      </c>
    </row>
    <row r="8591">
      <c r="A8591" s="4" t="s">
        <v>10810</v>
      </c>
      <c r="B8591" s="4" t="s">
        <v>10813</v>
      </c>
      <c r="C8591" s="5" t="str">
        <f>IFERROR(__xludf.DUMMYFUNCTION("GOOGLETRANSLATE(B8591,""en"",""zh-CN"")"),"这个人与房间里的人握手。")</f>
        <v>这个人与房间里的人握手。</v>
      </c>
    </row>
    <row r="8592">
      <c r="A8592" s="4" t="s">
        <v>10810</v>
      </c>
      <c r="B8592" s="4" t="s">
        <v>10814</v>
      </c>
      <c r="C8592" s="5" t="str">
        <f>IFERROR(__xludf.DUMMYFUNCTION("GOOGLETRANSLATE(B8592,""en"",""zh-CN"")"),"突然，这个人跑来打击并摆姿势拍照。")</f>
        <v>突然，这个人跑来打击并摆姿势拍照。</v>
      </c>
    </row>
    <row r="8593">
      <c r="A8593" s="4" t="s">
        <v>10815</v>
      </c>
      <c r="B8593" s="4" t="s">
        <v>10816</v>
      </c>
      <c r="C8593" s="5" t="str">
        <f>IFERROR(__xludf.DUMMYFUNCTION("GOOGLETRANSLATE(B8593,""en"",""zh-CN"")"),"一个装有园艺锅的男孩正在院子里浇灌她的灌木丛。")</f>
        <v>一个装有园艺锅的男孩正在院子里浇灌她的灌木丛。</v>
      </c>
    </row>
    <row r="8594">
      <c r="A8594" s="4" t="s">
        <v>10815</v>
      </c>
      <c r="B8594" s="4" t="s">
        <v>10817</v>
      </c>
      <c r="C8594" s="5" t="str">
        <f>IFERROR(__xludf.DUMMYFUNCTION("GOOGLETRANSLATE(B8594,""en"",""zh-CN"")"),"他和另一个男孩聚在一起，另一个男孩在讲话时开始玩槌球。")</f>
        <v>他和另一个男孩聚在一起，另一个男孩在讲话时开始玩槌球。</v>
      </c>
    </row>
    <row r="8595">
      <c r="A8595" s="4" t="s">
        <v>10815</v>
      </c>
      <c r="B8595" s="4" t="s">
        <v>10818</v>
      </c>
      <c r="C8595" s="5" t="str">
        <f>IFERROR(__xludf.DUMMYFUNCTION("GOOGLETRANSLATE(B8595,""en"",""zh-CN"")"),"另一个高个子男孩来了，加入他们并谈论游戏。")</f>
        <v>另一个高个子男孩来了，加入他们并谈论游戏。</v>
      </c>
    </row>
    <row r="8596">
      <c r="A8596" s="4" t="s">
        <v>10815</v>
      </c>
      <c r="B8596" s="4" t="s">
        <v>10819</v>
      </c>
      <c r="C8596" s="5" t="str">
        <f>IFERROR(__xludf.DUMMYFUNCTION("GOOGLETRANSLATE(B8596,""en"",""zh-CN"")"),"然后，他们开始击中球，以通过障碍。")</f>
        <v>然后，他们开始击中球，以通过障碍。</v>
      </c>
    </row>
    <row r="8597">
      <c r="A8597" s="4" t="s">
        <v>10820</v>
      </c>
      <c r="B8597" s="4" t="s">
        <v>10821</v>
      </c>
      <c r="C8597" s="5" t="str">
        <f>IFERROR(__xludf.DUMMYFUNCTION("GOOGLETRANSLATE(B8597,""en"",""zh-CN"")"),"三个人跳绳和做技巧。")</f>
        <v>三个人跳绳和做技巧。</v>
      </c>
    </row>
    <row r="8598">
      <c r="A8598" s="4" t="s">
        <v>10820</v>
      </c>
      <c r="B8598" s="4" t="s">
        <v>10822</v>
      </c>
      <c r="C8598" s="5" t="str">
        <f>IFERROR(__xludf.DUMMYFUNCTION("GOOGLETRANSLATE(B8598,""en"",""zh-CN"")"),"其他人坐在后台站在桌子旁，观看或拍摄跳绳。")</f>
        <v>其他人坐在后台站在桌子旁，观看或拍摄跳绳。</v>
      </c>
    </row>
    <row r="8599">
      <c r="A8599" s="4" t="s">
        <v>10820</v>
      </c>
      <c r="B8599" s="4" t="s">
        <v>10823</v>
      </c>
      <c r="C8599" s="5" t="str">
        <f>IFERROR(__xludf.DUMMYFUNCTION("GOOGLETRANSLATE(B8599,""en"",""zh-CN"")"),"现在有四个不同的人跳绳和做技巧。")</f>
        <v>现在有四个不同的人跳绳和做技巧。</v>
      </c>
    </row>
    <row r="8600">
      <c r="A8600" s="4" t="s">
        <v>10820</v>
      </c>
      <c r="B8600" s="4" t="s">
        <v>10824</v>
      </c>
      <c r="C8600" s="5" t="str">
        <f>IFERROR(__xludf.DUMMYFUNCTION("GOOGLETRANSLATE(B8600,""en"",""zh-CN"")"),"另一组三人炫耀他们的跳绳技能。")</f>
        <v>另一组三人炫耀他们的跳绳技能。</v>
      </c>
    </row>
    <row r="8601">
      <c r="A8601" s="4" t="s">
        <v>10820</v>
      </c>
      <c r="B8601" s="4" t="s">
        <v>10825</v>
      </c>
      <c r="C8601" s="5" t="str">
        <f>IFERROR(__xludf.DUMMYFUNCTION("GOOGLETRANSLATE(B8601,""en"",""zh-CN"")"),"另一组红色短裤跳绳。")</f>
        <v>另一组红色短裤跳绳。</v>
      </c>
    </row>
    <row r="8602">
      <c r="A8602" s="4" t="s">
        <v>10820</v>
      </c>
      <c r="B8602" s="4" t="s">
        <v>10826</v>
      </c>
      <c r="C8602" s="5" t="str">
        <f>IFERROR(__xludf.DUMMYFUNCTION("GOOGLETRANSLATE(B8602,""en"",""zh-CN"")"),"背景中的人们四处走动。")</f>
        <v>背景中的人们四处走动。</v>
      </c>
    </row>
    <row r="8603">
      <c r="A8603" s="4" t="s">
        <v>10820</v>
      </c>
      <c r="B8603" s="4" t="s">
        <v>10827</v>
      </c>
      <c r="C8603" s="5" t="str">
        <f>IFERROR(__xludf.DUMMYFUNCTION("GOOGLETRANSLATE(B8603,""en"",""zh-CN"")"),"一组四个女孩跳绳。")</f>
        <v>一组四个女孩跳绳。</v>
      </c>
    </row>
    <row r="8604">
      <c r="A8604" s="4" t="s">
        <v>10820</v>
      </c>
      <c r="B8604" s="4" t="s">
        <v>10828</v>
      </c>
      <c r="C8604" s="5" t="str">
        <f>IFERROR(__xludf.DUMMYFUNCTION("GOOGLETRANSLATE(B8604,""en"",""zh-CN"")"),"第一组人与第四人一起跳绳。")</f>
        <v>第一组人与第四人一起跳绳。</v>
      </c>
    </row>
    <row r="8605">
      <c r="A8605" s="4" t="s">
        <v>10820</v>
      </c>
      <c r="B8605" s="4" t="s">
        <v>10829</v>
      </c>
      <c r="C8605" s="5" t="str">
        <f>IFERROR(__xludf.DUMMYFUNCTION("GOOGLETRANSLATE(B8605,""en"",""zh-CN"")"),"一组红色和黑色跳绳的四个组。")</f>
        <v>一组红色和黑色跳绳的四个组。</v>
      </c>
    </row>
    <row r="8606">
      <c r="A8606" s="4" t="s">
        <v>10820</v>
      </c>
      <c r="B8606" s="4" t="s">
        <v>10830</v>
      </c>
      <c r="C8606" s="5" t="str">
        <f>IFERROR(__xludf.DUMMYFUNCTION("GOOGLETRANSLATE(B8606,""en"",""zh-CN"")"),"一支不同的跳绳团队在后台观看。")</f>
        <v>一支不同的跳绳团队在后台观看。</v>
      </c>
    </row>
    <row r="8607">
      <c r="A8607" s="4" t="s">
        <v>10820</v>
      </c>
      <c r="B8607" s="4" t="s">
        <v>10831</v>
      </c>
      <c r="C8607" s="5" t="str">
        <f>IFERROR(__xludf.DUMMYFUNCTION("GOOGLETRANSLATE(B8607,""en"",""zh-CN"")"),"一支由黑色和黄色跳绳的四个团队。")</f>
        <v>一支由黑色和黄色跳绳的四个团队。</v>
      </c>
    </row>
    <row r="8608">
      <c r="A8608" s="4" t="s">
        <v>10832</v>
      </c>
      <c r="B8608" s="4" t="s">
        <v>10833</v>
      </c>
      <c r="C8608" s="5" t="str">
        <f>IFERROR(__xludf.DUMMYFUNCTION("GOOGLETRANSLATE(B8608,""en"",""zh-CN"")"),"一匹马的牛仔向田野跑，追逐一头牛。")</f>
        <v>一匹马的牛仔向田野跑，追逐一头牛。</v>
      </c>
    </row>
    <row r="8609">
      <c r="A8609" s="4" t="s">
        <v>10832</v>
      </c>
      <c r="B8609" s="6" t="s">
        <v>10834</v>
      </c>
      <c r="C8609" s="5" t="str">
        <f>IFERROR(__xludf.DUMMYFUNCTION("GOOGLETRANSLATE(B8609,""en"",""zh-CN"")"),"牛仔从马上下车追赶牛，当他抓住牛时，他把牛绑了起来。")</f>
        <v>牛仔从马上下车追赶牛，当他抓住牛时，他把牛绑了起来。</v>
      </c>
    </row>
    <row r="8610">
      <c r="A8610" s="4" t="s">
        <v>10835</v>
      </c>
      <c r="B8610" s="6" t="s">
        <v>10836</v>
      </c>
      <c r="C8610" s="5" t="str">
        <f>IFERROR(__xludf.DUMMYFUNCTION("GOOGLETRANSLATE(B8610,""en"",""zh-CN"")"),"一个男人站在车道前，双腿分开，然后另一个男人在双腿之间滚动保龄球，他这样做了，但他不小心将拳头撞到了男人的私人部位，他们俩都开始笑。")</f>
        <v>一个男人站在车道前，双腿分开，然后另一个男人在双腿之间滚动保龄球，他这样做了，但他不小心将拳头撞到了男人的私人部位，他们俩都开始笑。</v>
      </c>
    </row>
    <row r="8611">
      <c r="A8611" s="4" t="s">
        <v>10835</v>
      </c>
      <c r="B8611" s="4" t="s">
        <v>10837</v>
      </c>
      <c r="C8611" s="5" t="str">
        <f>IFERROR(__xludf.DUMMYFUNCTION("GOOGLETRANSLATE(B8611,""en"",""zh-CN"")"),"出现蓝屏，并在屏幕上出现文字，并说“保龄球失败了FailCorporation”。")</f>
        <v>出现蓝屏，并在屏幕上出现文字，并说“保龄球失败了FailCorporation”。</v>
      </c>
    </row>
    <row r="8612">
      <c r="A8612" s="4" t="s">
        <v>10835</v>
      </c>
      <c r="B8612" s="6" t="s">
        <v>10838</v>
      </c>
      <c r="C8612" s="5" t="str">
        <f>IFERROR(__xludf.DUMMYFUNCTION("GOOGLETRANSLATE(B8612,""en"",""zh-CN"")"),"各种不同的人的各种剪辑在试图滚球，笑甚至不小心将球扔进天花板比赛时。")</f>
        <v>各种不同的人的各种剪辑在试图滚球，笑甚至不小心将球扔进天花板比赛时。</v>
      </c>
    </row>
    <row r="8613">
      <c r="A8613" s="4" t="s">
        <v>10835</v>
      </c>
      <c r="B8613" s="6" t="s">
        <v>10839</v>
      </c>
      <c r="C8613" s="5" t="str">
        <f>IFERROR(__xludf.DUMMYFUNCTION("GOOGLETRANSLATE(B8613,""en"",""zh-CN"")"),"出现一个蓝屏，带有徽标，并显示“ FailCorporation订阅下一个视频”的文字出现。")</f>
        <v>出现一个蓝屏，带有徽标，并显示“ FailCorporation订阅下一个视频”的文字出现。</v>
      </c>
    </row>
    <row r="8614">
      <c r="A8614" s="4" t="s">
        <v>10840</v>
      </c>
      <c r="B8614" s="4" t="s">
        <v>10841</v>
      </c>
      <c r="C8614" s="5" t="str">
        <f>IFERROR(__xludf.DUMMYFUNCTION("GOOGLETRANSLATE(B8614,""en"",""zh-CN"")"),"一个女人正在用肥皂和厨房水槽洗碗。")</f>
        <v>一个女人正在用肥皂和厨房水槽洗碗。</v>
      </c>
    </row>
    <row r="8615">
      <c r="A8615" s="4" t="s">
        <v>10840</v>
      </c>
      <c r="B8615" s="4" t="s">
        <v>10842</v>
      </c>
      <c r="C8615" s="5" t="str">
        <f>IFERROR(__xludf.DUMMYFUNCTION("GOOGLETRANSLATE(B8615,""en"",""zh-CN"")"),"她将浸泡在液体肥皂中的磨砂膏在碗上擦洗以彻底清洁。")</f>
        <v>她将浸泡在液体肥皂中的磨砂膏在碗上擦洗以彻底清洁。</v>
      </c>
    </row>
    <row r="8616">
      <c r="A8616" s="4" t="s">
        <v>10840</v>
      </c>
      <c r="B8616" s="4" t="s">
        <v>10843</v>
      </c>
      <c r="C8616" s="5" t="str">
        <f>IFERROR(__xludf.DUMMYFUNCTION("GOOGLETRANSLATE(B8616,""en"",""zh-CN"")"),"当她洗涤时，她将盘子和碗彼此放在水槽中。")</f>
        <v>当她洗涤时，她将盘子和碗彼此放在水槽中。</v>
      </c>
    </row>
    <row r="8617">
      <c r="A8617" s="4" t="s">
        <v>10844</v>
      </c>
      <c r="B8617" s="4" t="s">
        <v>10845</v>
      </c>
      <c r="C8617" s="5" t="str">
        <f>IFERROR(__xludf.DUMMYFUNCTION("GOOGLETRANSLATE(B8617,""en"",""zh-CN"")"),"一个人在一个田野里骑四轮车。")</f>
        <v>一个人在一个田野里骑四轮车。</v>
      </c>
    </row>
    <row r="8618">
      <c r="A8618" s="4" t="s">
        <v>10844</v>
      </c>
      <c r="B8618" s="4" t="s">
        <v>10846</v>
      </c>
      <c r="C8618" s="5" t="str">
        <f>IFERROR(__xludf.DUMMYFUNCTION("GOOGLETRANSLATE(B8618,""en"",""zh-CN"")"),"该男子站在四轮车上，撞到他的断灯来检查目标。")</f>
        <v>该男子站在四轮车上，撞到他的断灯来检查目标。</v>
      </c>
    </row>
    <row r="8619">
      <c r="A8619" s="4" t="s">
        <v>10844</v>
      </c>
      <c r="B8619" s="4" t="s">
        <v>10847</v>
      </c>
      <c r="C8619" s="5" t="str">
        <f>IFERROR(__xludf.DUMMYFUNCTION("GOOGLETRANSLATE(B8619,""en"",""zh-CN"")"),"一个握着弓箭的男人正在说话，并在他握着的弓上展示特征。")</f>
        <v>一个握着弓箭的男人正在说话，并在他握着的弓上展示特征。</v>
      </c>
    </row>
    <row r="8620">
      <c r="A8620" s="4" t="s">
        <v>10844</v>
      </c>
      <c r="B8620" s="4" t="s">
        <v>10848</v>
      </c>
      <c r="C8620" s="5" t="str">
        <f>IFERROR(__xludf.DUMMYFUNCTION("GOOGLETRANSLATE(B8620,""en"",""zh-CN"")"),"网站在屏幕上滚动滚动，而该男子向目标发射弓箭。")</f>
        <v>网站在屏幕上滚动滚动，而该男子向目标发射弓箭。</v>
      </c>
    </row>
    <row r="8621">
      <c r="A8621" s="4" t="s">
        <v>10844</v>
      </c>
      <c r="B8621" s="4" t="s">
        <v>10849</v>
      </c>
      <c r="C8621" s="5" t="str">
        <f>IFERROR(__xludf.DUMMYFUNCTION("GOOGLETRANSLATE(B8621,""en"",""zh-CN"")"),"然后，相机放大目标。")</f>
        <v>然后，相机放大目标。</v>
      </c>
    </row>
    <row r="8622">
      <c r="A8622" s="4" t="s">
        <v>10844</v>
      </c>
      <c r="B8622" s="4" t="s">
        <v>10850</v>
      </c>
      <c r="C8622" s="5" t="str">
        <f>IFERROR(__xludf.DUMMYFUNCTION("GOOGLETRANSLATE(B8622,""en"",""zh-CN"")"),"该网站再次在屏幕上滚动，该男子再发射三个箭头。")</f>
        <v>该网站再次在屏幕上滚动，该男子再发射三个箭头。</v>
      </c>
    </row>
    <row r="8623">
      <c r="A8623" s="4" t="s">
        <v>10844</v>
      </c>
      <c r="B8623" s="4" t="s">
        <v>10851</v>
      </c>
      <c r="C8623" s="5" t="str">
        <f>IFERROR(__xludf.DUMMYFUNCTION("GOOGLETRANSLATE(B8623,""en"",""zh-CN"")"),"屏幕变为灰色，男人表明弓的品牌是弓箭技术。")</f>
        <v>屏幕变为灰色，男人表明弓的品牌是弓箭技术。</v>
      </c>
    </row>
    <row r="8624">
      <c r="A8624" s="4" t="s">
        <v>10852</v>
      </c>
      <c r="B8624" s="4" t="s">
        <v>10853</v>
      </c>
      <c r="C8624" s="5" t="str">
        <f>IFERROR(__xludf.DUMMYFUNCTION("GOOGLETRANSLATE(B8624,""en"",""zh-CN"")"),"女人在录音室里在拿着彩弹枪并射击墙的新闻中谈论。")</f>
        <v>女人在录音室里在拿着彩弹枪并射击墙的新闻中谈论。</v>
      </c>
    </row>
    <row r="8625">
      <c r="A8625" s="4" t="s">
        <v>10852</v>
      </c>
      <c r="B8625" s="4" t="s">
        <v>10854</v>
      </c>
      <c r="C8625" s="5" t="str">
        <f>IFERROR(__xludf.DUMMYFUNCTION("GOOGLETRANSLATE(B8625,""en"",""zh-CN"")"),"一个男人和一个女人在田野里进行投篮，玩小疼痛球。")</f>
        <v>一个男人和一个女人在田野里进行投篮，玩小疼痛球。</v>
      </c>
    </row>
    <row r="8626">
      <c r="A8626" s="4" t="s">
        <v>10852</v>
      </c>
      <c r="B8626" s="6" t="s">
        <v>10855</v>
      </c>
      <c r="C8626" s="5" t="str">
        <f>IFERROR(__xludf.DUMMYFUNCTION("GOOGLETRANSLATE(B8626,""en"",""zh-CN"")"),"他们为枪支充电，并在绿色的后院彩弹射击，练习镜头和戴口罩。")</f>
        <v>他们为枪支充电，并在绿色的后院彩弹射击，练习镜头和戴口罩。</v>
      </c>
    </row>
    <row r="8627">
      <c r="A8627" s="4" t="s">
        <v>10856</v>
      </c>
      <c r="B8627" s="4" t="s">
        <v>10857</v>
      </c>
      <c r="C8627" s="5" t="str">
        <f>IFERROR(__xludf.DUMMYFUNCTION("GOOGLETRANSLATE(B8627,""en"",""zh-CN"")"),"一个女人在舞台上表演带有箍的舞蹈例程。")</f>
        <v>一个女人在舞台上表演带有箍的舞蹈例程。</v>
      </c>
    </row>
    <row r="8628">
      <c r="A8628" s="4" t="s">
        <v>10856</v>
      </c>
      <c r="B8628" s="4" t="s">
        <v>10858</v>
      </c>
      <c r="C8628" s="5" t="str">
        <f>IFERROR(__xludf.DUMMYFUNCTION("GOOGLETRANSLATE(B8628,""en"",""zh-CN"")"),"该名女子用两个篮球表演例程。")</f>
        <v>该名女子用两个篮球表演例程。</v>
      </c>
    </row>
    <row r="8629">
      <c r="A8629" s="4" t="s">
        <v>10856</v>
      </c>
      <c r="B8629" s="4" t="s">
        <v>10859</v>
      </c>
      <c r="C8629" s="5" t="str">
        <f>IFERROR(__xludf.DUMMYFUNCTION("GOOGLETRANSLATE(B8629,""en"",""zh-CN"")"),"女人回到一个箍上表演。")</f>
        <v>女人回到一个箍上表演。</v>
      </c>
    </row>
    <row r="8630">
      <c r="A8630" s="4" t="s">
        <v>10860</v>
      </c>
      <c r="B8630" s="6" t="s">
        <v>10861</v>
      </c>
      <c r="C8630" s="5" t="str">
        <f>IFERROR(__xludf.DUMMYFUNCTION("GOOGLETRANSLATE(B8630,""en"",""zh-CN"")"),"上面有一个黑屏，上面有红色和白色字母，上面写着“对初学者纠正交付问题的纠正示例”。")</f>
        <v>上面有一个黑屏，上面有红色和白色字母，上面写着“对初学者纠正交付问题的纠正示例”。</v>
      </c>
    </row>
    <row r="8631">
      <c r="A8631" s="4" t="s">
        <v>10860</v>
      </c>
      <c r="B8631" s="6" t="s">
        <v>10862</v>
      </c>
      <c r="C8631" s="5" t="str">
        <f>IFERROR(__xludf.DUMMYFUNCTION("GOOGLETRANSLATE(B8631,""en"",""zh-CN"")"),"一位年轻的女士现在站在一个混凝土圈子上，她开始挥舞着红色的铁饼，然后摆动她的身体然后扔掉。")</f>
        <v>一位年轻的女士现在站在一个混凝土圈子上，她开始挥舞着红色的铁饼，然后摆动她的身体然后扔掉。</v>
      </c>
    </row>
    <row r="8632">
      <c r="A8632" s="4" t="s">
        <v>10860</v>
      </c>
      <c r="B8632" s="6" t="s">
        <v>10863</v>
      </c>
      <c r="C8632" s="5" t="str">
        <f>IFERROR(__xludf.DUMMYFUNCTION("GOOGLETRANSLATE(B8632,""en"",""zh-CN"")"),"黑屏上出现了白色字母，上面写着“我们选择一个问题的几个故障”，该视频继续显示该问题，屏幕上出现单词以解释它们。")</f>
        <v>黑屏上出现了白色字母，上面写着“我们选择一个问题的几个故障”，该视频继续显示该问题，屏幕上出现单词以解释它们。</v>
      </c>
    </row>
    <row r="8633">
      <c r="A8633" s="4" t="s">
        <v>10860</v>
      </c>
      <c r="B8633" s="6" t="s">
        <v>10864</v>
      </c>
      <c r="C8633" s="5" t="str">
        <f>IFERROR(__xludf.DUMMYFUNCTION("GOOGLETRANSLATE(B8633,""en"",""zh-CN"")"),"同一位小姐现在站在另一个区域，拿着一条手巾，因为她在屏幕上练习秋千和文字提供了技巧。")</f>
        <v>同一位小姐现在站在另一个区域，拿着一条手巾，因为她在屏幕上练习秋千和文字提供了技巧。</v>
      </c>
    </row>
    <row r="8634">
      <c r="A8634" s="4" t="s">
        <v>10860</v>
      </c>
      <c r="B8634" s="4" t="s">
        <v>10865</v>
      </c>
      <c r="C8634" s="5" t="str">
        <f>IFERROR(__xludf.DUMMYFUNCTION("GOOGLETRANSLATE(B8634,""en"",""zh-CN"")"),"这个女孩回到了混凝土圆圈上摆动她的碟片，然后她扔了碟片。")</f>
        <v>这个女孩回到了混凝土圆圈上摆动她的碟片，然后她扔了碟片。</v>
      </c>
    </row>
    <row r="8635">
      <c r="A8635" s="4" t="s">
        <v>10860</v>
      </c>
      <c r="B8635" s="6" t="s">
        <v>10866</v>
      </c>
      <c r="C8635" s="5" t="str">
        <f>IFERROR(__xludf.DUMMYFUNCTION("GOOGLETRANSLATE(B8635,""en"",""zh-CN"")"),"黑屏再次出现红色和白色单词，上面写着“同一想法上的其他类似练习：专注于实施轨迹的低点。")</f>
        <v>黑屏再次出现红色和白色单词，上面写着“同一想法上的其他类似练习：专注于实施轨迹的低点。</v>
      </c>
    </row>
    <row r="8636">
      <c r="A8636" s="4" t="s">
        <v>10860</v>
      </c>
      <c r="B8636" s="4" t="s">
        <v>10867</v>
      </c>
      <c r="C8636" s="5" t="str">
        <f>IFERROR(__xludf.DUMMYFUNCTION("GOOGLETRANSLATE(B8636,""en"",""zh-CN"")"),"一个男孩现在站在混凝土圈子上，他正在用衬衫练习秋千。")</f>
        <v>一个男孩现在站在混凝土圈子上，他正在用衬衫练习秋千。</v>
      </c>
    </row>
    <row r="8637">
      <c r="A8637" s="4" t="s">
        <v>10860</v>
      </c>
      <c r="B8637" s="4" t="s">
        <v>10868</v>
      </c>
      <c r="C8637" s="5" t="str">
        <f>IFERROR(__xludf.DUMMYFUNCTION("GOOGLETRANSLATE(B8637,""en"",""zh-CN"")"),"一个男人现在在室内，他正在与高尔夫俱乐部一起练习秋千。")</f>
        <v>一个男人现在在室内，他正在与高尔夫俱乐部一起练习秋千。</v>
      </c>
    </row>
    <row r="8638">
      <c r="A8638" s="4" t="s">
        <v>10860</v>
      </c>
      <c r="B8638" s="6" t="s">
        <v>10869</v>
      </c>
      <c r="C8638" s="5" t="str">
        <f>IFERROR(__xludf.DUMMYFUNCTION("GOOGLETRANSLATE(B8638,""en"",""zh-CN"")"),"Outro屏幕主要是白色，上面有黑色设计以及公司和一个人的名字。")</f>
        <v>Outro屏幕主要是白色，上面有黑色设计以及公司和一个人的名字。</v>
      </c>
    </row>
    <row r="8639">
      <c r="A8639" s="4" t="s">
        <v>10870</v>
      </c>
      <c r="B8639" s="4" t="s">
        <v>10871</v>
      </c>
      <c r="C8639" s="5" t="str">
        <f>IFERROR(__xludf.DUMMYFUNCTION("GOOGLETRANSLATE(B8639,""en"",""zh-CN"")"),"一个人开始解决rubix多维数据集。")</f>
        <v>一个人开始解决rubix多维数据集。</v>
      </c>
    </row>
    <row r="8640">
      <c r="A8640" s="4" t="s">
        <v>10870</v>
      </c>
      <c r="B8640" s="4" t="s">
        <v>10872</v>
      </c>
      <c r="C8640" s="5" t="str">
        <f>IFERROR(__xludf.DUMMYFUNCTION("GOOGLETRANSLATE(B8640,""en"",""zh-CN"")"),"他们开始向各个方向转动它。")</f>
        <v>他们开始向各个方向转动它。</v>
      </c>
    </row>
    <row r="8641">
      <c r="A8641" s="4" t="s">
        <v>10870</v>
      </c>
      <c r="B8641" s="4" t="s">
        <v>10873</v>
      </c>
      <c r="C8641" s="5" t="str">
        <f>IFERROR(__xludf.DUMMYFUNCTION("GOOGLETRANSLATE(B8641,""en"",""zh-CN"")"),"他们解决了Rubix Cube。")</f>
        <v>他们解决了Rubix Cube。</v>
      </c>
    </row>
    <row r="8642">
      <c r="A8642" s="4" t="s">
        <v>10874</v>
      </c>
      <c r="B8642" s="4" t="s">
        <v>10875</v>
      </c>
      <c r="C8642" s="5" t="str">
        <f>IFERROR(__xludf.DUMMYFUNCTION("GOOGLETRANSLATE(B8642,""en"",""zh-CN"")"),"一群人在室外游泳池里打水排球。")</f>
        <v>一群人在室外游泳池里打水排球。</v>
      </c>
    </row>
    <row r="8643">
      <c r="A8643" s="4" t="s">
        <v>10874</v>
      </c>
      <c r="B8643" s="4" t="s">
        <v>10876</v>
      </c>
      <c r="C8643" s="5" t="str">
        <f>IFERROR(__xludf.DUMMYFUNCTION("GOOGLETRANSLATE(B8643,""en"",""zh-CN"")"),"人们开始在水中与排球比赛。")</f>
        <v>人们开始在水中与排球比赛。</v>
      </c>
    </row>
    <row r="8644">
      <c r="A8644" s="4" t="s">
        <v>10874</v>
      </c>
      <c r="B8644" s="6" t="s">
        <v>10877</v>
      </c>
      <c r="C8644" s="5" t="str">
        <f>IFERROR(__xludf.DUMMYFUNCTION("GOOGLETRANSLATE(B8644,""en"",""zh-CN"")"),"摄像机改变角度，并抓住人们与人之间的网络从后面玩耍的人。")</f>
        <v>摄像机改变角度，并抓住人们与人之间的网络从后面玩耍的人。</v>
      </c>
    </row>
    <row r="8645">
      <c r="A8645" s="4" t="s">
        <v>10878</v>
      </c>
      <c r="B8645" s="4" t="s">
        <v>10879</v>
      </c>
      <c r="C8645" s="5" t="str">
        <f>IFERROR(__xludf.DUMMYFUNCTION("GOOGLETRANSLATE(B8645,""en"",""zh-CN"")"),"看到一个人跪在冰洞旁边，然后卷入鱼。")</f>
        <v>看到一个人跪在冰洞旁边，然后卷入鱼。</v>
      </c>
    </row>
    <row r="8646">
      <c r="A8646" s="4" t="s">
        <v>10878</v>
      </c>
      <c r="B8646" s="4" t="s">
        <v>10880</v>
      </c>
      <c r="C8646" s="5" t="str">
        <f>IFERROR(__xludf.DUMMYFUNCTION("GOOGLETRANSLATE(B8646,""en"",""zh-CN"")"),"当相机放大孔时，该人继续卷入杆上。")</f>
        <v>当相机放大孔时，该人继续卷入杆上。</v>
      </c>
    </row>
    <row r="8647">
      <c r="A8647" s="4" t="s">
        <v>10878</v>
      </c>
      <c r="B8647" s="4" t="s">
        <v>10881</v>
      </c>
      <c r="C8647" s="5" t="str">
        <f>IFERROR(__xludf.DUMMYFUNCTION("GOOGLETRANSLATE(B8647,""en"",""zh-CN"")"),"最后，该人抓住鱼并将其呈现给相机。")</f>
        <v>最后，该人抓住鱼并将其呈现给相机。</v>
      </c>
    </row>
    <row r="8648">
      <c r="A8648" s="4" t="s">
        <v>10882</v>
      </c>
      <c r="B8648" s="4" t="s">
        <v>10883</v>
      </c>
      <c r="C8648" s="5" t="str">
        <f>IFERROR(__xludf.DUMMYFUNCTION("GOOGLETRANSLATE(B8648,""en"",""zh-CN"")"),"看到椅子的近距离，接着是一个女人走进框架。")</f>
        <v>看到椅子的近距离，接着是一个女人走进框架。</v>
      </c>
    </row>
    <row r="8649">
      <c r="A8649" s="4" t="s">
        <v>10882</v>
      </c>
      <c r="B8649" s="4" t="s">
        <v>10884</v>
      </c>
      <c r="C8649" s="5" t="str">
        <f>IFERROR(__xludf.DUMMYFUNCTION("GOOGLETRANSLATE(B8649,""en"",""zh-CN"")"),"女人坐在椅子上，开始穿一双鞋子。")</f>
        <v>女人坐在椅子上，开始穿一双鞋子。</v>
      </c>
    </row>
    <row r="8650">
      <c r="A8650" s="4" t="s">
        <v>10882</v>
      </c>
      <c r="B8650" s="4" t="s">
        <v>10885</v>
      </c>
      <c r="C8650" s="5" t="str">
        <f>IFERROR(__xludf.DUMMYFUNCTION("GOOGLETRANSLATE(B8650,""en"",""zh-CN"")"),"她戴上两个，站起来移动脚。")</f>
        <v>她戴上两个，站起来移动脚。</v>
      </c>
    </row>
    <row r="8651">
      <c r="A8651" s="4" t="s">
        <v>10886</v>
      </c>
      <c r="B8651" s="6" t="s">
        <v>10887</v>
      </c>
      <c r="C8651" s="5" t="str">
        <f>IFERROR(__xludf.DUMMYFUNCTION("GOOGLETRANSLATE(B8651,""en"",""zh-CN"")"),"看到一个男人站在一场霍普奇（Hopscotch）的比赛之前，开始走下路，而其他人则跟随。")</f>
        <v>看到一个男人站在一场霍普奇（Hopscotch）的比赛之前，开始走下路，而其他人则跟随。</v>
      </c>
    </row>
    <row r="8652">
      <c r="A8652" s="4" t="s">
        <v>10886</v>
      </c>
      <c r="B8652" s="6" t="s">
        <v>10888</v>
      </c>
      <c r="C8652" s="5" t="str">
        <f>IFERROR(__xludf.DUMMYFUNCTION("GOOGLETRANSLATE(B8652,""en"",""zh-CN"")"),"当男人跳下路并捕捉其他几个做同样的事情时，相机继续跟随该男子。")</f>
        <v>当男人跳下路并捕捉其他几个做同样的事情时，相机继续跟随该男子。</v>
      </c>
    </row>
    <row r="8653">
      <c r="A8653" s="4" t="s">
        <v>10889</v>
      </c>
      <c r="B8653" s="4" t="s">
        <v>10890</v>
      </c>
      <c r="C8653" s="5" t="str">
        <f>IFERROR(__xludf.DUMMYFUNCTION("GOOGLETRANSLATE(B8653,""en"",""zh-CN"")"),"一个人在床上翻身，看着他们的手机。")</f>
        <v>一个人在床上翻身，看着他们的手机。</v>
      </c>
    </row>
    <row r="8654">
      <c r="A8654" s="4" t="s">
        <v>10889</v>
      </c>
      <c r="B8654" s="4" t="s">
        <v>10891</v>
      </c>
      <c r="C8654" s="5" t="str">
        <f>IFERROR(__xludf.DUMMYFUNCTION("GOOGLETRANSLATE(B8654,""en"",""zh-CN"")"),"他们坐在床上擦脸。")</f>
        <v>他们坐在床上擦脸。</v>
      </c>
    </row>
    <row r="8655">
      <c r="A8655" s="4" t="s">
        <v>10889</v>
      </c>
      <c r="B8655" s="4" t="s">
        <v>10892</v>
      </c>
      <c r="C8655" s="5" t="str">
        <f>IFERROR(__xludf.DUMMYFUNCTION("GOOGLETRANSLATE(B8655,""en"",""zh-CN"")"),"他们洗手。")</f>
        <v>他们洗手。</v>
      </c>
    </row>
    <row r="8656">
      <c r="A8656" s="4" t="s">
        <v>10889</v>
      </c>
      <c r="B8656" s="4" t="s">
        <v>10893</v>
      </c>
      <c r="C8656" s="5" t="str">
        <f>IFERROR(__xludf.DUMMYFUNCTION("GOOGLETRANSLATE(B8656,""en"",""zh-CN"")"),"他们开始滚动并做技巧。")</f>
        <v>他们开始滚动并做技巧。</v>
      </c>
    </row>
    <row r="8657">
      <c r="A8657" s="4" t="s">
        <v>10894</v>
      </c>
      <c r="B8657" s="4" t="s">
        <v>10895</v>
      </c>
      <c r="C8657" s="5" t="str">
        <f>IFERROR(__xludf.DUMMYFUNCTION("GOOGLETRANSLATE(B8657,""en"",""zh-CN"")"),"我们看到一名女子体操运动员在平衡梁上表演。")</f>
        <v>我们看到一名女子体操运动员在平衡梁上表演。</v>
      </c>
    </row>
    <row r="8658">
      <c r="A8658" s="4" t="s">
        <v>10894</v>
      </c>
      <c r="B8658" s="4" t="s">
        <v>10896</v>
      </c>
      <c r="C8658" s="5" t="str">
        <f>IFERROR(__xludf.DUMMYFUNCTION("GOOGLETRANSLATE(B8658,""en"",""zh-CN"")"),"这个女孩准备翻转并掉在酒吧上并伤害自己。")</f>
        <v>这个女孩准备翻转并掉在酒吧上并伤害自己。</v>
      </c>
    </row>
    <row r="8659">
      <c r="A8659" s="4" t="s">
        <v>10894</v>
      </c>
      <c r="B8659" s="4" t="s">
        <v>10897</v>
      </c>
      <c r="C8659" s="5" t="str">
        <f>IFERROR(__xludf.DUMMYFUNCTION("GOOGLETRANSLATE(B8659,""en"",""zh-CN"")"),"女孩站着哭，一位女士来帮助她。")</f>
        <v>女孩站着哭，一位女士来帮助她。</v>
      </c>
    </row>
    <row r="8660">
      <c r="A8660" s="4" t="s">
        <v>10898</v>
      </c>
      <c r="B8660" s="4" t="s">
        <v>10899</v>
      </c>
      <c r="C8660" s="5" t="str">
        <f>IFERROR(__xludf.DUMMYFUNCTION("GOOGLETRANSLATE(B8660,""en"",""zh-CN"")"),"化妆显示在桌子上。")</f>
        <v>化妆显示在桌子上。</v>
      </c>
    </row>
    <row r="8661">
      <c r="A8661" s="4" t="s">
        <v>10898</v>
      </c>
      <c r="B8661" s="4" t="s">
        <v>10900</v>
      </c>
      <c r="C8661" s="5" t="str">
        <f>IFERROR(__xludf.DUMMYFUNCTION("GOOGLETRANSLATE(B8661,""en"",""zh-CN"")"),"一个女人坐在她的床上，将化妆涂在她的脸上。")</f>
        <v>一个女人坐在她的床上，将化妆涂在她的脸上。</v>
      </c>
    </row>
    <row r="8662">
      <c r="A8662" s="4" t="s">
        <v>10898</v>
      </c>
      <c r="B8662" s="4" t="s">
        <v>10901</v>
      </c>
      <c r="C8662" s="5" t="str">
        <f>IFERROR(__xludf.DUMMYFUNCTION("GOOGLETRANSLATE(B8662,""en"",""zh-CN"")"),"她用大刷子将粉末涂在脸上。")</f>
        <v>她用大刷子将粉末涂在脸上。</v>
      </c>
    </row>
    <row r="8663">
      <c r="A8663" s="4" t="s">
        <v>10898</v>
      </c>
      <c r="B8663" s="4" t="s">
        <v>1972</v>
      </c>
      <c r="C8663" s="5" t="str">
        <f>IFERROR(__xludf.DUMMYFUNCTION("GOOGLETRANSLATE(B8663,""en"",""zh-CN"")"),"她把睫毛膏放在睫毛上。")</f>
        <v>她把睫毛膏放在睫毛上。</v>
      </c>
    </row>
    <row r="8664">
      <c r="A8664" s="4" t="s">
        <v>10898</v>
      </c>
      <c r="B8664" s="4" t="s">
        <v>1971</v>
      </c>
      <c r="C8664" s="5" t="str">
        <f>IFERROR(__xludf.DUMMYFUNCTION("GOOGLETRANSLATE(B8664,""en"",""zh-CN"")"),"她把口红放在嘴唇上。")</f>
        <v>她把口红放在嘴唇上。</v>
      </c>
    </row>
    <row r="8665">
      <c r="A8665" s="4" t="s">
        <v>10898</v>
      </c>
      <c r="B8665" s="4" t="s">
        <v>10902</v>
      </c>
      <c r="C8665" s="5" t="str">
        <f>IFERROR(__xludf.DUMMYFUNCTION("GOOGLETRANSLATE(B8665,""en"",""zh-CN"")"),"她戴上背包，走出门。")</f>
        <v>她戴上背包，走出门。</v>
      </c>
    </row>
    <row r="8666">
      <c r="A8666" s="4" t="s">
        <v>10903</v>
      </c>
      <c r="B8666" s="6" t="s">
        <v>10904</v>
      </c>
      <c r="C8666" s="5" t="str">
        <f>IFERROR(__xludf.DUMMYFUNCTION("GOOGLETRANSLATE(B8666,""en"",""zh-CN"")"),"一个人和朋友接近一座大山，并爬上绿色的绳索，直到他到达顶部。")</f>
        <v>一个人和朋友接近一座大山，并爬上绿色的绳索，直到他到达顶部。</v>
      </c>
    </row>
    <row r="8667">
      <c r="A8667" s="4" t="s">
        <v>10903</v>
      </c>
      <c r="B8667" s="6" t="s">
        <v>10905</v>
      </c>
      <c r="C8667" s="5" t="str">
        <f>IFERROR(__xludf.DUMMYFUNCTION("GOOGLETRANSLATE(B8667,""en"",""zh-CN"")"),"一群年轻人接近山的底部，并放下他们微笑并准备爬山的东西。")</f>
        <v>一群年轻人接近山的底部，并放下他们微笑并准备爬山的东西。</v>
      </c>
    </row>
    <row r="8668">
      <c r="A8668" s="4" t="s">
        <v>10903</v>
      </c>
      <c r="B8668" s="6" t="s">
        <v>10906</v>
      </c>
      <c r="C8668" s="5" t="str">
        <f>IFERROR(__xludf.DUMMYFUNCTION("GOOGLETRANSLATE(B8668,""en"",""zh-CN"")"),"一块长绿色的绳子显示在一块大岩石上，然后，一个戴着眼镜的男人开始使用山上的金属钩子和他的脚爬上山来爬山。")</f>
        <v>一块长绿色的绳子显示在一块大岩石上，然后，一个戴着眼镜的男人开始使用山上的金属钩子和他的脚爬上山来爬山。</v>
      </c>
    </row>
    <row r="8669">
      <c r="A8669" s="4" t="s">
        <v>10903</v>
      </c>
      <c r="B8669" s="4" t="s">
        <v>10907</v>
      </c>
      <c r="C8669" s="5" t="str">
        <f>IFERROR(__xludf.DUMMYFUNCTION("GOOGLETRANSLATE(B8669,""en"",""zh-CN"")"),"该男子微笑着，当他到达山顶时，镜头大拇指。")</f>
        <v>该男子微笑着，当他到达山顶时，镜头大拇指。</v>
      </c>
    </row>
    <row r="8670">
      <c r="A8670" s="4" t="s">
        <v>10908</v>
      </c>
      <c r="B8670" s="4" t="s">
        <v>10909</v>
      </c>
      <c r="C8670" s="5" t="str">
        <f>IFERROR(__xludf.DUMMYFUNCTION("GOOGLETRANSLATE(B8670,""en"",""zh-CN"")"),"一个男人和女人走到船的码头上。")</f>
        <v>一个男人和女人走到船的码头上。</v>
      </c>
    </row>
    <row r="8671">
      <c r="A8671" s="4" t="s">
        <v>10908</v>
      </c>
      <c r="B8671" s="4" t="s">
        <v>10910</v>
      </c>
      <c r="C8671" s="5" t="str">
        <f>IFERROR(__xludf.DUMMYFUNCTION("GOOGLETRANSLATE(B8671,""en"",""zh-CN"")"),"他们正在玩一场大型游戏。")</f>
        <v>他们正在玩一场大型游戏。</v>
      </c>
    </row>
    <row r="8672">
      <c r="A8672" s="4" t="s">
        <v>10908</v>
      </c>
      <c r="B8672" s="4" t="s">
        <v>10911</v>
      </c>
      <c r="C8672" s="5" t="str">
        <f>IFERROR(__xludf.DUMMYFUNCTION("GOOGLETRANSLATE(B8672,""en"",""zh-CN"")"),"女人推了冰球，然后滑入相机。")</f>
        <v>女人推了冰球，然后滑入相机。</v>
      </c>
    </row>
    <row r="8673">
      <c r="A8673" s="4" t="s">
        <v>10908</v>
      </c>
      <c r="B8673" s="4" t="s">
        <v>10912</v>
      </c>
      <c r="C8673" s="5" t="str">
        <f>IFERROR(__xludf.DUMMYFUNCTION("GOOGLETRANSLATE(B8673,""en"",""zh-CN"")"),"场景以慢动作重复。")</f>
        <v>场景以慢动作重复。</v>
      </c>
    </row>
    <row r="8674">
      <c r="A8674" s="4" t="s">
        <v>10913</v>
      </c>
      <c r="B8674" s="4" t="s">
        <v>10914</v>
      </c>
      <c r="C8674" s="5" t="str">
        <f>IFERROR(__xludf.DUMMYFUNCTION("GOOGLETRANSLATE(B8674,""en"",""zh-CN"")"),"一件白衬衫的男人站在平行条旁边。")</f>
        <v>一件白衬衫的男人站在平行条旁边。</v>
      </c>
    </row>
    <row r="8675">
      <c r="A8675" s="4" t="s">
        <v>10913</v>
      </c>
      <c r="B8675" s="4" t="s">
        <v>10915</v>
      </c>
      <c r="C8675" s="5" t="str">
        <f>IFERROR(__xludf.DUMMYFUNCTION("GOOGLETRANSLATE(B8675,""en"",""zh-CN"")"),"一个男孩跳到平行条上，开始来回摆动。")</f>
        <v>一个男孩跳到平行条上，开始来回摆动。</v>
      </c>
    </row>
    <row r="8676">
      <c r="A8676" s="4" t="s">
        <v>10913</v>
      </c>
      <c r="B8676" s="4" t="s">
        <v>10916</v>
      </c>
      <c r="C8676" s="5" t="str">
        <f>IFERROR(__xludf.DUMMYFUNCTION("GOOGLETRANSLATE(B8676,""en"",""zh-CN"")"),"这个男孩开始在平行条上做例行。")</f>
        <v>这个男孩开始在平行条上做例行。</v>
      </c>
    </row>
    <row r="8677">
      <c r="A8677" s="4" t="s">
        <v>10917</v>
      </c>
      <c r="B8677" s="4" t="s">
        <v>10918</v>
      </c>
      <c r="C8677" s="5" t="str">
        <f>IFERROR(__xludf.DUMMYFUNCTION("GOOGLETRANSLATE(B8677,""en"",""zh-CN"")"),"看到一个人在窗户上使用湿抹布，然后将清洁剂移动到玻璃杯周围。")</f>
        <v>看到一个人在窗户上使用湿抹布，然后将清洁剂移动到玻璃杯周围。</v>
      </c>
    </row>
    <row r="8678">
      <c r="A8678" s="4" t="s">
        <v>10917</v>
      </c>
      <c r="B8678" s="6" t="s">
        <v>10919</v>
      </c>
      <c r="C8678" s="5" t="str">
        <f>IFERROR(__xludf.DUMMYFUNCTION("GOOGLETRANSLATE(B8678,""en"",""zh-CN"")"),"他不断将物体浸入清洁剂中，并在玻璃周围清洁，同时使用碎布靠在后面。")</f>
        <v>他不断将物体浸入清洁剂中，并在玻璃周围清洁，同时使用碎布靠在后面。</v>
      </c>
    </row>
    <row r="8679">
      <c r="A8679" s="4" t="s">
        <v>10920</v>
      </c>
      <c r="B8679" s="4" t="s">
        <v>10921</v>
      </c>
      <c r="C8679" s="5" t="str">
        <f>IFERROR(__xludf.DUMMYFUNCTION("GOOGLETRANSLATE(B8679,""en"",""zh-CN"")"),"一个拿着皮划艇的男人和镜头谈话。")</f>
        <v>一个拿着皮划艇的男人和镜头谈话。</v>
      </c>
    </row>
    <row r="8680">
      <c r="A8680" s="4" t="s">
        <v>10920</v>
      </c>
      <c r="B8680" s="4" t="s">
        <v>10922</v>
      </c>
      <c r="C8680" s="5" t="str">
        <f>IFERROR(__xludf.DUMMYFUNCTION("GOOGLETRANSLATE(B8680,""en"",""zh-CN"")"),"他在下游的皮划艇上划船。")</f>
        <v>他在下游的皮划艇上划船。</v>
      </c>
    </row>
    <row r="8681">
      <c r="A8681" s="4" t="s">
        <v>10920</v>
      </c>
      <c r="B8681" s="4" t="s">
        <v>10923</v>
      </c>
      <c r="C8681" s="5" t="str">
        <f>IFERROR(__xludf.DUMMYFUNCTION("GOOGLETRANSLATE(B8681,""en"",""zh-CN"")"),"另一个划船者通过他并翻转。")</f>
        <v>另一个划船者通过他并翻转。</v>
      </c>
    </row>
    <row r="8682">
      <c r="A8682" s="4" t="s">
        <v>10920</v>
      </c>
      <c r="B8682" s="4" t="s">
        <v>10924</v>
      </c>
      <c r="C8682" s="5" t="str">
        <f>IFERROR(__xludf.DUMMYFUNCTION("GOOGLETRANSLATE(B8682,""en"",""zh-CN"")"),"他再次与镜头说话。")</f>
        <v>他再次与镜头说话。</v>
      </c>
    </row>
    <row r="8683">
      <c r="A8683" s="4" t="s">
        <v>10920</v>
      </c>
      <c r="B8683" s="4" t="s">
        <v>10925</v>
      </c>
      <c r="C8683" s="5" t="str">
        <f>IFERROR(__xludf.DUMMYFUNCTION("GOOGLETRANSLATE(B8683,""en"",""zh-CN"")"),"我们看到停车场离相机。")</f>
        <v>我们看到停车场离相机。</v>
      </c>
    </row>
    <row r="8684">
      <c r="A8684" s="4" t="s">
        <v>10920</v>
      </c>
      <c r="B8684" s="4" t="s">
        <v>10926</v>
      </c>
      <c r="C8684" s="5" t="str">
        <f>IFERROR(__xludf.DUMMYFUNCTION("GOOGLETRANSLATE(B8684,""en"",""zh-CN"")"),"回到水经过瀑布。")</f>
        <v>回到水经过瀑布。</v>
      </c>
    </row>
    <row r="8685">
      <c r="A8685" s="4" t="s">
        <v>10920</v>
      </c>
      <c r="B8685" s="4" t="s">
        <v>10927</v>
      </c>
      <c r="C8685" s="5" t="str">
        <f>IFERROR(__xludf.DUMMYFUNCTION("GOOGLETRANSLATE(B8685,""en"",""zh-CN"")"),"再次交谈到相机。")</f>
        <v>再次交谈到相机。</v>
      </c>
    </row>
    <row r="8686">
      <c r="A8686" s="4" t="s">
        <v>10920</v>
      </c>
      <c r="B8686" s="4" t="s">
        <v>10928</v>
      </c>
      <c r="C8686" s="5" t="str">
        <f>IFERROR(__xludf.DUMMYFUNCTION("GOOGLETRANSLATE(B8686,""en"",""zh-CN"")"),"他的皮划艇的观点镜头。")</f>
        <v>他的皮划艇的观点镜头。</v>
      </c>
    </row>
    <row r="8687">
      <c r="A8687" s="4" t="s">
        <v>10920</v>
      </c>
      <c r="B8687" s="4" t="s">
        <v>10929</v>
      </c>
      <c r="C8687" s="5" t="str">
        <f>IFERROR(__xludf.DUMMYFUNCTION("GOOGLETRANSLATE(B8687,""en"",""zh-CN"")"),"当他非常生气地与镜头说话时说话。")</f>
        <v>当他非常生气地与镜头说话时说话。</v>
      </c>
    </row>
    <row r="8688">
      <c r="A8688" s="4" t="s">
        <v>10920</v>
      </c>
      <c r="B8688" s="4" t="s">
        <v>10930</v>
      </c>
      <c r="C8688" s="5" t="str">
        <f>IFERROR(__xludf.DUMMYFUNCTION("GOOGLETRANSLATE(B8688,""en"",""zh-CN"")"),"另一个划船者的船上的观点。")</f>
        <v>另一个划船者的船上的观点。</v>
      </c>
    </row>
    <row r="8689">
      <c r="A8689" s="4" t="s">
        <v>10920</v>
      </c>
      <c r="B8689" s="6" t="s">
        <v>10931</v>
      </c>
      <c r="C8689" s="5" t="str">
        <f>IFERROR(__xludf.DUMMYFUNCTION("GOOGLETRANSLATE(B8689,""en"",""zh-CN"")"),"说话的头散布着水的镜头，说明了他在说话的头部镜头中谈到的技术。")</f>
        <v>说话的头散布着水的镜头，说明了他在说话的头部镜头中谈到的技术。</v>
      </c>
    </row>
    <row r="8690">
      <c r="A8690" s="4" t="s">
        <v>10932</v>
      </c>
      <c r="B8690" s="6" t="s">
        <v>10933</v>
      </c>
      <c r="C8690" s="5" t="str">
        <f>IFERROR(__xludf.DUMMYFUNCTION("GOOGLETRANSLATE(B8690,""en"",""zh-CN"")"),"看到两个人互相讲话，并导致一个站在边缘并跳跃的人。")</f>
        <v>看到两个人互相讲话，并导致一个站在边缘并跳跃的人。</v>
      </c>
    </row>
    <row r="8691">
      <c r="A8691" s="4" t="s">
        <v>10932</v>
      </c>
      <c r="B8691" s="6" t="s">
        <v>10934</v>
      </c>
      <c r="C8691" s="5" t="str">
        <f>IFERROR(__xludf.DUMMYFUNCTION("GOOGLETRANSLATE(B8691,""en"",""zh-CN"")"),"当他跳下侧面并再次向上返回时，该男子的跳跃从不同的相机显示了几次。")</f>
        <v>当他跳下侧面并再次向上返回时，该男子的跳跃从不同的相机显示了几次。</v>
      </c>
    </row>
    <row r="8692">
      <c r="A8692" s="4" t="s">
        <v>10935</v>
      </c>
      <c r="B8692" s="4" t="s">
        <v>10936</v>
      </c>
      <c r="C8692" s="5" t="str">
        <f>IFERROR(__xludf.DUMMYFUNCTION("GOOGLETRANSLATE(B8692,""en"",""zh-CN"")"),"一群人正在海滩上建造沙堡。")</f>
        <v>一群人正在海滩上建造沙堡。</v>
      </c>
    </row>
    <row r="8693">
      <c r="A8693" s="4" t="s">
        <v>10935</v>
      </c>
      <c r="B8693" s="4" t="s">
        <v>10937</v>
      </c>
      <c r="C8693" s="5" t="str">
        <f>IFERROR(__xludf.DUMMYFUNCTION("GOOGLETRANSLATE(B8693,""en"",""zh-CN"")"),"一个女孩向相机挥手。")</f>
        <v>一个女孩向相机挥手。</v>
      </c>
    </row>
    <row r="8694">
      <c r="A8694" s="4" t="s">
        <v>10935</v>
      </c>
      <c r="B8694" s="4" t="s">
        <v>10938</v>
      </c>
      <c r="C8694" s="5" t="str">
        <f>IFERROR(__xludf.DUMMYFUNCTION("GOOGLETRANSLATE(B8694,""en"",""zh-CN"")"),"看到一个男人在沙滩上挖。")</f>
        <v>看到一个男人在沙滩上挖。</v>
      </c>
    </row>
    <row r="8695">
      <c r="A8695" s="4" t="s">
        <v>10935</v>
      </c>
      <c r="B8695" s="4" t="s">
        <v>10939</v>
      </c>
      <c r="C8695" s="5" t="str">
        <f>IFERROR(__xludf.DUMMYFUNCTION("GOOGLETRANSLATE(B8695,""en"",""zh-CN"")"),"看到一个女孩在海滩袋中看着。")</f>
        <v>看到一个女孩在海滩袋中看着。</v>
      </c>
    </row>
    <row r="8696">
      <c r="A8696" s="4" t="s">
        <v>10935</v>
      </c>
      <c r="B8696" s="4" t="s">
        <v>10940</v>
      </c>
      <c r="C8696" s="5" t="str">
        <f>IFERROR(__xludf.DUMMYFUNCTION("GOOGLETRANSLATE(B8696,""en"",""zh-CN"")"),"这个女孩找到了她想要的。")</f>
        <v>这个女孩找到了她想要的。</v>
      </c>
    </row>
    <row r="8697">
      <c r="A8697" s="4" t="s">
        <v>10941</v>
      </c>
      <c r="B8697" s="4" t="s">
        <v>10942</v>
      </c>
      <c r="C8697" s="5" t="str">
        <f>IFERROR(__xludf.DUMMYFUNCTION("GOOGLETRANSLATE(B8697,""en"",""zh-CN"")"),"我们看到两个屋顶图像并排。")</f>
        <v>我们看到两个屋顶图像并排。</v>
      </c>
    </row>
    <row r="8698">
      <c r="A8698" s="4" t="s">
        <v>10941</v>
      </c>
      <c r="B8698" s="4" t="s">
        <v>10943</v>
      </c>
      <c r="C8698" s="5" t="str">
        <f>IFERROR(__xludf.DUMMYFUNCTION("GOOGLETRANSLATE(B8698,""en"",""zh-CN"")"),"然后，我们看到一个屋顶的图像。")</f>
        <v>然后，我们看到一个屋顶的图像。</v>
      </c>
    </row>
    <row r="8699">
      <c r="A8699" s="4" t="s">
        <v>10941</v>
      </c>
      <c r="B8699" s="4" t="s">
        <v>10944</v>
      </c>
      <c r="C8699" s="5" t="str">
        <f>IFERROR(__xludf.DUMMYFUNCTION("GOOGLETRANSLATE(B8699,""en"",""zh-CN"")"),"我们看到屋顶靠近，看到苔藓在上面生长。")</f>
        <v>我们看到屋顶靠近，看到苔藓在上面生长。</v>
      </c>
    </row>
    <row r="8700">
      <c r="A8700" s="4" t="s">
        <v>10941</v>
      </c>
      <c r="B8700" s="4" t="s">
        <v>10945</v>
      </c>
      <c r="C8700" s="5" t="str">
        <f>IFERROR(__xludf.DUMMYFUNCTION("GOOGLETRANSLATE(B8700,""en"",""zh-CN"")"),"我们看到安装时的绝缘材料和屋顶。")</f>
        <v>我们看到安装时的绝缘材料和屋顶。</v>
      </c>
    </row>
    <row r="8701">
      <c r="A8701" s="4" t="s">
        <v>10941</v>
      </c>
      <c r="B8701" s="4" t="s">
        <v>10946</v>
      </c>
      <c r="C8701" s="5" t="str">
        <f>IFERROR(__xludf.DUMMYFUNCTION("GOOGLETRANSLATE(B8701,""en"",""zh-CN"")"),"一个人将屋顶拧到位。")</f>
        <v>一个人将屋顶拧到位。</v>
      </c>
    </row>
    <row r="8702">
      <c r="A8702" s="4" t="s">
        <v>10941</v>
      </c>
      <c r="B8702" s="4" t="s">
        <v>10947</v>
      </c>
      <c r="C8702" s="5" t="str">
        <f>IFERROR(__xludf.DUMMYFUNCTION("GOOGLETRANSLATE(B8702,""en"",""zh-CN"")"),"我们看到完成的新屋顶。")</f>
        <v>我们看到完成的新屋顶。</v>
      </c>
    </row>
    <row r="8703">
      <c r="A8703" s="4" t="s">
        <v>10941</v>
      </c>
      <c r="B8703" s="4" t="s">
        <v>10948</v>
      </c>
      <c r="C8703" s="5" t="str">
        <f>IFERROR(__xludf.DUMMYFUNCTION("GOOGLETRANSLATE(B8703,""en"",""zh-CN"")"),"我们看到结束屏幕积分。")</f>
        <v>我们看到结束屏幕积分。</v>
      </c>
    </row>
    <row r="8704">
      <c r="A8704" s="4" t="s">
        <v>10949</v>
      </c>
      <c r="B8704" s="6" t="s">
        <v>10950</v>
      </c>
      <c r="C8704" s="5" t="str">
        <f>IFERROR(__xludf.DUMMYFUNCTION("GOOGLETRANSLATE(B8704,""en"",""zh-CN"")"),"一个人站在游泳池上方的蹦床上的手上，然后男孩在空中翻转并跳入水中。")</f>
        <v>一个人站在游泳池上方的蹦床上的手上，然后男孩在空中翻转并跳入水中。</v>
      </c>
    </row>
    <row r="8705">
      <c r="A8705" s="4" t="s">
        <v>10949</v>
      </c>
      <c r="B8705" s="6" t="s">
        <v>10951</v>
      </c>
      <c r="C8705" s="5" t="str">
        <f>IFERROR(__xludf.DUMMYFUNCTION("GOOGLETRANSLATE(B8705,""en"",""zh-CN"")"),"之后，男孩站在蹦床上，背面朝向游泳池，然后跳，翻转并潜入水中。")</f>
        <v>之后，男孩站在蹦床上，背面朝向游泳池，然后跳，翻转并潜入水中。</v>
      </c>
    </row>
    <row r="8706">
      <c r="A8706" s="4" t="s">
        <v>10949</v>
      </c>
      <c r="B8706" s="6" t="s">
        <v>10952</v>
      </c>
      <c r="C8706" s="5" t="str">
        <f>IFERROR(__xludf.DUMMYFUNCTION("GOOGLETRANSLATE(B8706,""en"",""zh-CN"")"),"现在，男孩站在蹦床上，面对游泳池，然后跳，翻转并潜入水中，然后做同样的事情，但这次是背面朝向游泳池。")</f>
        <v>现在，男孩站在蹦床上，面对游泳池，然后跳，翻转并潜入水中，然后做同样的事情，但这次是背面朝向游泳池。</v>
      </c>
    </row>
    <row r="8707">
      <c r="A8707" s="4" t="s">
        <v>10949</v>
      </c>
      <c r="B8707" s="6" t="s">
        <v>10953</v>
      </c>
      <c r="C8707" s="5" t="str">
        <f>IFERROR(__xludf.DUMMYFUNCTION("GOOGLETRANSLATE(B8707,""en"",""zh-CN"")"),"最后，男孩进入蹦床奔跑并在空中翻转，然后他站在蹦床上，翻转并结束在水中潜水。")</f>
        <v>最后，男孩进入蹦床奔跑并在空中翻转，然后他站在蹦床上，翻转并结束在水中潜水。</v>
      </c>
    </row>
    <row r="8708">
      <c r="A8708" s="4" t="s">
        <v>10954</v>
      </c>
      <c r="B8708" s="6" t="s">
        <v>10955</v>
      </c>
      <c r="C8708" s="5" t="str">
        <f>IFERROR(__xludf.DUMMYFUNCTION("GOOGLETRANSLATE(B8708,""en"",""zh-CN"")"),"看到一个男人在相机上说话，同时又进入了各种说话和吸烟的图片。")</f>
        <v>看到一个男人在相机上说话，同时又进入了各种说话和吸烟的图片。</v>
      </c>
    </row>
    <row r="8709">
      <c r="A8709" s="4" t="s">
        <v>10954</v>
      </c>
      <c r="B8709" s="6" t="s">
        <v>10956</v>
      </c>
      <c r="C8709" s="5" t="str">
        <f>IFERROR(__xludf.DUMMYFUNCTION("GOOGLETRANSLATE(B8709,""en"",""zh-CN"")"),"该男子继续讲话时，间歇性地展示了吸烟和香烟的图片。")</f>
        <v>该男子继续讲话时，间歇性地展示了吸烟和香烟的图片。</v>
      </c>
    </row>
    <row r="8710">
      <c r="A8710" s="4" t="s">
        <v>10957</v>
      </c>
      <c r="B8710" s="4" t="s">
        <v>10958</v>
      </c>
      <c r="C8710" s="5" t="str">
        <f>IFERROR(__xludf.DUMMYFUNCTION("GOOGLETRANSLATE(B8710,""en"",""zh-CN"")"),"一个男人站在他的冰上骑车上。")</f>
        <v>一个男人站在他的冰上骑车上。</v>
      </c>
    </row>
    <row r="8711">
      <c r="A8711" s="4" t="s">
        <v>10957</v>
      </c>
      <c r="B8711" s="4" t="s">
        <v>10959</v>
      </c>
      <c r="C8711" s="5" t="str">
        <f>IFERROR(__xludf.DUMMYFUNCTION("GOOGLETRANSLATE(B8711,""en"",""zh-CN"")"),"他把整张纸耙到了地面上，看着它破碎了。")</f>
        <v>他把整张纸耙到了地面上，看着它破碎了。</v>
      </c>
    </row>
    <row r="8712">
      <c r="A8712" s="4" t="s">
        <v>10960</v>
      </c>
      <c r="B8712" s="6" t="s">
        <v>10961</v>
      </c>
      <c r="C8712" s="5" t="str">
        <f>IFERROR(__xludf.DUMMYFUNCTION("GOOGLETRANSLATE(B8712,""en"",""zh-CN"")"),"一名体操运动员在职业体育赛事中与看众在看台上进行平衡梁体操例程。")</f>
        <v>一名体操运动员在职业体育赛事中与看众在看台上进行平衡梁体操例程。</v>
      </c>
    </row>
    <row r="8713">
      <c r="A8713" s="4" t="s">
        <v>10960</v>
      </c>
      <c r="B8713" s="6" t="s">
        <v>10962</v>
      </c>
      <c r="C8713" s="5" t="str">
        <f>IFERROR(__xludf.DUMMYFUNCTION("GOOGLETRANSLATE(B8713,""en"",""zh-CN"")"),"一个女孩站在体操运动服装的平衡梁前，跳到梁上，在那里她开始在平衡梁上执行体操例程。")</f>
        <v>一个女孩站在体操运动服装的平衡梁前，跳到梁上，在那里她开始在平衡梁上执行体操例程。</v>
      </c>
    </row>
    <row r="8714">
      <c r="A8714" s="4" t="s">
        <v>10960</v>
      </c>
      <c r="B8714" s="6" t="s">
        <v>10963</v>
      </c>
      <c r="C8714" s="5" t="str">
        <f>IFERROR(__xludf.DUMMYFUNCTION("GOOGLETRANSLATE(B8714,""en"",""zh-CN"")"),"女孩站在横梁上，在梁上进行背面翻转，然后降落在横梁上的最后一个后背翻转，她落在垫子上，然后在看众前面露出看众的区域。")</f>
        <v>女孩站在横梁上，在梁上进行背面翻转，然后降落在横梁上的最后一个后背翻转，她落在垫子上，然后在看众前面露出看众的区域。</v>
      </c>
    </row>
    <row r="8715">
      <c r="A8715" s="4" t="s">
        <v>10964</v>
      </c>
      <c r="B8715" s="4" t="s">
        <v>10965</v>
      </c>
      <c r="C8715" s="5" t="str">
        <f>IFERROR(__xludf.DUMMYFUNCTION("GOOGLETRANSLATE(B8715,""en"",""zh-CN"")"),"一个女人在篮球体育馆的法庭上表现出色。")</f>
        <v>一个女人在篮球体育馆的法庭上表现出色。</v>
      </c>
    </row>
    <row r="8716">
      <c r="A8716" s="4" t="s">
        <v>10964</v>
      </c>
      <c r="B8716" s="4" t="s">
        <v>10966</v>
      </c>
      <c r="C8716" s="5" t="str">
        <f>IFERROR(__xludf.DUMMYFUNCTION("GOOGLETRANSLATE(B8716,""en"",""zh-CN"")"),"她是一名专业，翻转并把警棍扔向空中。")</f>
        <v>她是一名专业，翻转并把警棍扔向空中。</v>
      </c>
    </row>
    <row r="8717">
      <c r="A8717" s="4" t="s">
        <v>10964</v>
      </c>
      <c r="B8717" s="4" t="s">
        <v>10967</v>
      </c>
      <c r="C8717" s="5" t="str">
        <f>IFERROR(__xludf.DUMMYFUNCTION("GOOGLETRANSLATE(B8717,""en"",""zh-CN"")"),"人群看着她翻转，扔和转弯。")</f>
        <v>人群看着她翻转，扔和转弯。</v>
      </c>
    </row>
    <row r="8718">
      <c r="A8718" s="4" t="s">
        <v>10968</v>
      </c>
      <c r="B8718" s="6" t="s">
        <v>10969</v>
      </c>
      <c r="C8718" s="5" t="str">
        <f>IFERROR(__xludf.DUMMYFUNCTION("GOOGLETRANSLATE(B8718,""en"",""zh-CN"")"),"多个短剪辑播放了不同的曲棍球动作，并且动作的名称随之出现在屏幕上。")</f>
        <v>多个短剪辑播放了不同的曲棍球动作，并且动作的名称随之出现在屏幕上。</v>
      </c>
    </row>
    <row r="8719">
      <c r="A8719" s="4" t="s">
        <v>10968</v>
      </c>
      <c r="B8719" s="6" t="s">
        <v>10970</v>
      </c>
      <c r="C8719" s="5" t="str">
        <f>IFERROR(__xludf.DUMMYFUNCTION("GOOGLETRANSLATE(B8719,""en"",""zh-CN"")"),"当剪辑在介绍屏幕中完成时，出现云，曲棍球地面为背景，NHL徽标和“曲棍球技能”一词。")</f>
        <v>当剪辑在介绍屏幕中完成时，出现云，曲棍球地面为背景，NHL徽标和“曲棍球技能”一词。</v>
      </c>
    </row>
    <row r="8720">
      <c r="A8720" s="4" t="s">
        <v>10968</v>
      </c>
      <c r="B8720" s="6" t="s">
        <v>10971</v>
      </c>
      <c r="C8720" s="5" t="str">
        <f>IFERROR(__xludf.DUMMYFUNCTION("GOOGLETRANSLATE(B8720,""en"",""zh-CN"")"),"一群穿着所有曲棍球装备的人站在地上或跪在地上，看着一个人的头上没有头盔的人说话，屏幕上的单词说他的名字叫“凯文·周刊”。")</f>
        <v>一群穿着所有曲棍球装备的人站在地上或跪在地上，看着一个人的头上没有头盔的人说话，屏幕上的单词说他的名字叫“凯文·周刊”。</v>
      </c>
    </row>
    <row r="8721">
      <c r="A8721" s="4" t="s">
        <v>10968</v>
      </c>
      <c r="B8721" s="6" t="s">
        <v>10972</v>
      </c>
      <c r="C8721" s="5" t="str">
        <f>IFERROR(__xludf.DUMMYFUNCTION("GOOGLETRANSLATE(B8721,""en"",""zh-CN"")"),"该男子开始展示进球附近的多个不同的举动，当其他人看着他时，他继续在所有示威活动中进行交谈。")</f>
        <v>该男子开始展示进球附近的多个不同的举动，当其他人看着他时，他继续在所有示威活动中进行交谈。</v>
      </c>
    </row>
    <row r="8722">
      <c r="A8722" s="4" t="s">
        <v>10968</v>
      </c>
      <c r="B8722" s="6" t="s">
        <v>10973</v>
      </c>
      <c r="C8722" s="5" t="str">
        <f>IFERROR(__xludf.DUMMYFUNCTION("GOOGLETRANSLATE(B8722,""en"",""zh-CN"")"),"当男人说话并展示小组中的其他人时，他们每个人都会做自己的事。")</f>
        <v>当男人说话并展示小组中的其他人时，他们每个人都会做自己的事。</v>
      </c>
    </row>
    <row r="8723">
      <c r="A8723" s="4" t="s">
        <v>10968</v>
      </c>
      <c r="B8723" s="6" t="s">
        <v>10974</v>
      </c>
      <c r="C8723" s="5" t="str">
        <f>IFERROR(__xludf.DUMMYFUNCTION("GOOGLETRANSLATE(B8723,""en"",""zh-CN"")"),"屏幕出现在顶部的云层背景，底部出现曲棍球溜冰场，中间的徽标和“曲棍球技能”一词。")</f>
        <v>屏幕出现在顶部的云层背景，底部出现曲棍球溜冰场，中间的徽标和“曲棍球技能”一词。</v>
      </c>
    </row>
    <row r="8724">
      <c r="A8724" s="4" t="s">
        <v>10975</v>
      </c>
      <c r="B8724" s="4" t="s">
        <v>10976</v>
      </c>
      <c r="C8724" s="5" t="str">
        <f>IFERROR(__xludf.DUMMYFUNCTION("GOOGLETRANSLATE(B8724,""en"",""zh-CN"")"),"看到一个女人炫耀一杯蜂蜜。")</f>
        <v>看到一个女人炫耀一杯蜂蜜。</v>
      </c>
    </row>
    <row r="8725">
      <c r="A8725" s="4" t="s">
        <v>10975</v>
      </c>
      <c r="B8725" s="4" t="s">
        <v>10977</v>
      </c>
      <c r="C8725" s="5" t="str">
        <f>IFERROR(__xludf.DUMMYFUNCTION("GOOGLETRANSLATE(B8725,""en"",""zh-CN"")"),"她炫耀一瓶蜂蜜以及一碗水和毛巾。")</f>
        <v>她炫耀一瓶蜂蜜以及一碗水和毛巾。</v>
      </c>
    </row>
    <row r="8726">
      <c r="A8726" s="4" t="s">
        <v>10975</v>
      </c>
      <c r="B8726" s="4" t="s">
        <v>10978</v>
      </c>
      <c r="C8726" s="5" t="str">
        <f>IFERROR(__xludf.DUMMYFUNCTION("GOOGLETRANSLATE(B8726,""en"",""zh-CN"")"),"她展示了她的头发向后拉。")</f>
        <v>她展示了她的头发向后拉。</v>
      </c>
    </row>
    <row r="8727">
      <c r="A8727" s="4" t="s">
        <v>10975</v>
      </c>
      <c r="B8727" s="4" t="s">
        <v>10979</v>
      </c>
      <c r="C8727" s="5" t="str">
        <f>IFERROR(__xludf.DUMMYFUNCTION("GOOGLETRANSLATE(B8727,""en"",""zh-CN"")"),"她打开一瓶蜂蜜，然后将其散布在脸上。")</f>
        <v>她打开一瓶蜂蜜，然后将其散布在脸上。</v>
      </c>
    </row>
    <row r="8728">
      <c r="A8728" s="4" t="s">
        <v>10975</v>
      </c>
      <c r="B8728" s="4" t="s">
        <v>10980</v>
      </c>
      <c r="C8728" s="5" t="str">
        <f>IFERROR(__xludf.DUMMYFUNCTION("GOOGLETRANSLATE(B8728,""en"",""zh-CN"")"),"她举起一只猫。")</f>
        <v>她举起一只猫。</v>
      </c>
    </row>
    <row r="8729">
      <c r="A8729" s="4" t="s">
        <v>10975</v>
      </c>
      <c r="B8729" s="4" t="s">
        <v>10981</v>
      </c>
      <c r="C8729" s="5" t="str">
        <f>IFERROR(__xludf.DUMMYFUNCTION("GOOGLETRANSLATE(B8729,""en"",""zh-CN"")"),"她回到起泡脸，等待期待。")</f>
        <v>她回到起泡脸，等待期待。</v>
      </c>
    </row>
    <row r="8730">
      <c r="A8730" s="4" t="s">
        <v>10975</v>
      </c>
      <c r="B8730" s="4" t="s">
        <v>10982</v>
      </c>
      <c r="C8730" s="5" t="str">
        <f>IFERROR(__xludf.DUMMYFUNCTION("GOOGLETRANSLATE(B8730,""en"",""zh-CN"")"),"在她等待的时候，她弹奏一些乐器和猫。")</f>
        <v>在她等待的时候，她弹奏一些乐器和猫。</v>
      </c>
    </row>
    <row r="8731">
      <c r="A8731" s="4" t="s">
        <v>10975</v>
      </c>
      <c r="B8731" s="4" t="s">
        <v>10983</v>
      </c>
      <c r="C8731" s="5" t="str">
        <f>IFERROR(__xludf.DUMMYFUNCTION("GOOGLETRANSLATE(B8731,""en"",""zh-CN"")"),"最终，她用水冲洗脸，用毛巾干燥脸。")</f>
        <v>最终，她用水冲洗脸，用毛巾干燥脸。</v>
      </c>
    </row>
    <row r="8732">
      <c r="A8732" s="4" t="s">
        <v>10975</v>
      </c>
      <c r="B8732" s="4" t="s">
        <v>10984</v>
      </c>
      <c r="C8732" s="5" t="str">
        <f>IFERROR(__xludf.DUMMYFUNCTION("GOOGLETRANSLATE(B8732,""en"",""zh-CN"")"),"她自豪地炫耀自己的蜂蜜。")</f>
        <v>她自豪地炫耀自己的蜂蜜。</v>
      </c>
    </row>
    <row r="8733">
      <c r="A8733" s="4" t="s">
        <v>10985</v>
      </c>
      <c r="B8733" s="4" t="s">
        <v>10986</v>
      </c>
      <c r="C8733" s="5" t="str">
        <f>IFERROR(__xludf.DUMMYFUNCTION("GOOGLETRANSLATE(B8733,""en"",""zh-CN"")"),"一名体操运动员正站在酒吧附近，双手在空中。")</f>
        <v>一名体操运动员正站在酒吧附近，双手在空中。</v>
      </c>
    </row>
    <row r="8734">
      <c r="A8734" s="4" t="s">
        <v>10985</v>
      </c>
      <c r="B8734" s="4" t="s">
        <v>10987</v>
      </c>
      <c r="C8734" s="5" t="str">
        <f>IFERROR(__xludf.DUMMYFUNCTION("GOOGLETRANSLATE(B8734,""en"",""zh-CN"")"),"女孩上酒吧表演。")</f>
        <v>女孩上酒吧表演。</v>
      </c>
    </row>
    <row r="8735">
      <c r="A8735" s="4" t="s">
        <v>10985</v>
      </c>
      <c r="B8735" s="4" t="s">
        <v>10988</v>
      </c>
      <c r="C8735" s="5" t="str">
        <f>IFERROR(__xludf.DUMMYFUNCTION("GOOGLETRANSLATE(B8735,""en"",""zh-CN"")"),"女孩在酒吧翻转。")</f>
        <v>女孩在酒吧翻转。</v>
      </c>
    </row>
    <row r="8736">
      <c r="A8736" s="4" t="s">
        <v>10985</v>
      </c>
      <c r="B8736" s="4" t="s">
        <v>10989</v>
      </c>
      <c r="C8736" s="5" t="str">
        <f>IFERROR(__xludf.DUMMYFUNCTION("GOOGLETRANSLATE(B8736,""en"",""zh-CN"")"),"这个女孩进行2次翻转，几乎掉下了酒吧。")</f>
        <v>这个女孩进行2次翻转，几乎掉下了酒吧。</v>
      </c>
    </row>
    <row r="8737">
      <c r="A8737" s="4" t="s">
        <v>10985</v>
      </c>
      <c r="B8737" s="4" t="s">
        <v>10990</v>
      </c>
      <c r="C8737" s="5" t="str">
        <f>IFERROR(__xludf.DUMMYFUNCTION("GOOGLETRANSLATE(B8737,""en"",""zh-CN"")"),"女孩做2个完美的翻转。")</f>
        <v>女孩做2个完美的翻转。</v>
      </c>
    </row>
    <row r="8738">
      <c r="A8738" s="4" t="s">
        <v>10985</v>
      </c>
      <c r="B8738" s="4" t="s">
        <v>10991</v>
      </c>
      <c r="C8738" s="5" t="str">
        <f>IFERROR(__xludf.DUMMYFUNCTION("GOOGLETRANSLATE(B8738,""en"",""zh-CN"")"),"女孩翻转，然后奔跑，翻转和下马。")</f>
        <v>女孩翻转，然后奔跑，翻转和下马。</v>
      </c>
    </row>
    <row r="8739">
      <c r="A8739" s="4" t="s">
        <v>10985</v>
      </c>
      <c r="B8739" s="4" t="s">
        <v>10992</v>
      </c>
      <c r="C8739" s="5" t="str">
        <f>IFERROR(__xludf.DUMMYFUNCTION("GOOGLETRANSLATE(B8739,""en"",""zh-CN"")"),"当她走开时，云拍了拍。")</f>
        <v>当她走开时，云拍了拍。</v>
      </c>
    </row>
    <row r="8740">
      <c r="A8740" s="4" t="s">
        <v>10993</v>
      </c>
      <c r="B8740" s="4" t="s">
        <v>10994</v>
      </c>
      <c r="C8740" s="5" t="str">
        <f>IFERROR(__xludf.DUMMYFUNCTION("GOOGLETRANSLATE(B8740,""en"",""zh-CN"")"),"一个金发女郎躺在桌子上，纹身艺术家正在骨盆上贴上设计。")</f>
        <v>一个金发女郎躺在桌子上，纹身艺术家正在骨盆上贴上设计。</v>
      </c>
    </row>
    <row r="8741">
      <c r="A8741" s="4" t="s">
        <v>10993</v>
      </c>
      <c r="B8741" s="4" t="s">
        <v>10995</v>
      </c>
      <c r="C8741" s="5" t="str">
        <f>IFERROR(__xludf.DUMMYFUNCTION("GOOGLETRANSLATE(B8741,""en"",""zh-CN"")"),"她在工作时痛苦地畏缩。")</f>
        <v>她在工作时痛苦地畏缩。</v>
      </c>
    </row>
    <row r="8742">
      <c r="A8742" s="4" t="s">
        <v>10993</v>
      </c>
      <c r="B8742" s="4" t="s">
        <v>10996</v>
      </c>
      <c r="C8742" s="5" t="str">
        <f>IFERROR(__xludf.DUMMYFUNCTION("GOOGLETRANSLATE(B8742,""en"",""zh-CN"")"),"我们看到她继续进行腹部的临时关闭。")</f>
        <v>我们看到她继续进行腹部的临时关闭。</v>
      </c>
    </row>
    <row r="8743">
      <c r="A8743" s="4" t="s">
        <v>10997</v>
      </c>
      <c r="B8743" s="4" t="s">
        <v>10998</v>
      </c>
      <c r="C8743" s="5" t="str">
        <f>IFERROR(__xludf.DUMMYFUNCTION("GOOGLETRANSLATE(B8743,""en"",""zh-CN"")"),"屏幕上显示了文字，然后是一个跪在泥土中的男人。")</f>
        <v>屏幕上显示了文字，然后是一个跪在泥土中的男人。</v>
      </c>
    </row>
    <row r="8744">
      <c r="A8744" s="4" t="s">
        <v>10997</v>
      </c>
      <c r="B8744" s="4" t="s">
        <v>10999</v>
      </c>
      <c r="C8744" s="5" t="str">
        <f>IFERROR(__xludf.DUMMYFUNCTION("GOOGLETRANSLATE(B8744,""en"",""zh-CN"")"),"该男子用火炬在他面前的机器上点燃火花。")</f>
        <v>该男子用火炬在他面前的机器上点燃火花。</v>
      </c>
    </row>
    <row r="8745">
      <c r="A8745" s="4" t="s">
        <v>10997</v>
      </c>
      <c r="B8745" s="4" t="s">
        <v>11000</v>
      </c>
      <c r="C8745" s="5" t="str">
        <f>IFERROR(__xludf.DUMMYFUNCTION("GOOGLETRANSLATE(B8745,""en"",""zh-CN"")"),"他停下来回头看相机。")</f>
        <v>他停下来回头看相机。</v>
      </c>
    </row>
    <row r="8746">
      <c r="A8746" s="4" t="s">
        <v>11001</v>
      </c>
      <c r="B8746" s="4" t="s">
        <v>11002</v>
      </c>
      <c r="C8746" s="5" t="str">
        <f>IFERROR(__xludf.DUMMYFUNCTION("GOOGLETRANSLATE(B8746,""en"",""zh-CN"")"),"一块飞镖板在墙上显示。")</f>
        <v>一块飞镖板在墙上显示。</v>
      </c>
    </row>
    <row r="8747">
      <c r="A8747" s="4" t="s">
        <v>11001</v>
      </c>
      <c r="B8747" s="4" t="s">
        <v>11003</v>
      </c>
      <c r="C8747" s="5" t="str">
        <f>IFERROR(__xludf.DUMMYFUNCTION("GOOGLETRANSLATE(B8747,""en"",""zh-CN"")"),"一个男人慢动作地举起手臂，将飞镖接一个地向董事会扔。")</f>
        <v>一个男人慢动作地举起手臂，将飞镖接一个地向董事会扔。</v>
      </c>
    </row>
    <row r="8748">
      <c r="A8748" s="4" t="s">
        <v>11001</v>
      </c>
      <c r="B8748" s="4" t="s">
        <v>11004</v>
      </c>
      <c r="C8748" s="5" t="str">
        <f>IFERROR(__xludf.DUMMYFUNCTION("GOOGLETRANSLATE(B8748,""en"",""zh-CN"")"),"他走到董事会上并伸手去拿。")</f>
        <v>他走到董事会上并伸手去拿。</v>
      </c>
    </row>
    <row r="8749">
      <c r="A8749" s="4" t="s">
        <v>11005</v>
      </c>
      <c r="B8749" s="4" t="s">
        <v>11006</v>
      </c>
      <c r="C8749" s="5" t="str">
        <f>IFERROR(__xludf.DUMMYFUNCTION("GOOGLETRANSLATE(B8749,""en"",""zh-CN"")"),"显示了一辆红色汽车，并带有独特的洗车。")</f>
        <v>显示了一辆红色汽车，并带有独特的洗车。</v>
      </c>
    </row>
    <row r="8750">
      <c r="A8750" s="4" t="s">
        <v>11005</v>
      </c>
      <c r="B8750" s="4" t="s">
        <v>11007</v>
      </c>
      <c r="C8750" s="5" t="str">
        <f>IFERROR(__xludf.DUMMYFUNCTION("GOOGLETRANSLATE(B8750,""en"",""zh-CN"")"),"男子在车库内显示，用海绵肥皂肥皂肥皂。")</f>
        <v>男子在车库内显示，用海绵肥皂肥皂肥皂。</v>
      </c>
    </row>
    <row r="8751">
      <c r="A8751" s="4" t="s">
        <v>11005</v>
      </c>
      <c r="B8751" s="4" t="s">
        <v>11008</v>
      </c>
      <c r="C8751" s="5" t="str">
        <f>IFERROR(__xludf.DUMMYFUNCTION("GOOGLETRANSLATE(B8751,""en"",""zh-CN"")"),"然后看到它们使用喷雾器清洁轮胎并将残留物从车辆上喷洒。")</f>
        <v>然后看到它们使用喷雾器清洁轮胎并将残留物从车辆上喷洒。</v>
      </c>
    </row>
    <row r="8752">
      <c r="A8752" s="4" t="s">
        <v>11005</v>
      </c>
      <c r="B8752" s="4" t="s">
        <v>11009</v>
      </c>
      <c r="C8752" s="5" t="str">
        <f>IFERROR(__xludf.DUMMYFUNCTION("GOOGLETRANSLATE(B8752,""en"",""zh-CN"")"),"他们使用抹布擦拭干净并详细说明汽车的内部。")</f>
        <v>他们使用抹布擦拭干净并详细说明汽车的内部。</v>
      </c>
    </row>
    <row r="8753">
      <c r="A8753" s="4" t="s">
        <v>11010</v>
      </c>
      <c r="B8753" s="4" t="s">
        <v>11011</v>
      </c>
      <c r="C8753" s="5" t="str">
        <f>IFERROR(__xludf.DUMMYFUNCTION("GOOGLETRANSLATE(B8753,""en"",""zh-CN"")"),"Pinta划船团队共同努力，使其沿着白水融化。")</f>
        <v>Pinta划船团队共同努力，使其沿着白水融化。</v>
      </c>
    </row>
    <row r="8754">
      <c r="A8754" s="4" t="s">
        <v>11010</v>
      </c>
      <c r="B8754" s="4" t="s">
        <v>11012</v>
      </c>
      <c r="C8754" s="5" t="str">
        <f>IFERROR(__xludf.DUMMYFUNCTION("GOOGLETRANSLATE(B8754,""en"",""zh-CN"")"),"他们在瀑布下有清爽的蘸酱以冷静下来。")</f>
        <v>他们在瀑布下有清爽的蘸酱以冷静下来。</v>
      </c>
    </row>
    <row r="8755">
      <c r="A8755" s="4" t="s">
        <v>11010</v>
      </c>
      <c r="B8755" s="4" t="s">
        <v>11013</v>
      </c>
      <c r="C8755" s="5" t="str">
        <f>IFERROR(__xludf.DUMMYFUNCTION("GOOGLETRANSLATE(B8755,""en"",""zh-CN"")"),"他们与其他r子一起摆姿势。")</f>
        <v>他们与其他r子一起摆姿势。</v>
      </c>
    </row>
    <row r="8756">
      <c r="A8756" s="4" t="s">
        <v>11010</v>
      </c>
      <c r="B8756" s="4" t="s">
        <v>11014</v>
      </c>
      <c r="C8756" s="5" t="str">
        <f>IFERROR(__xludf.DUMMYFUNCTION("GOOGLETRANSLATE(B8756,""en"",""zh-CN"")"),"水下掉落可能是一项可怕的事业。")</f>
        <v>水下掉落可能是一项可怕的事业。</v>
      </c>
    </row>
    <row r="8757">
      <c r="A8757" s="4" t="s">
        <v>11010</v>
      </c>
      <c r="B8757" s="4" t="s">
        <v>11015</v>
      </c>
      <c r="C8757" s="5" t="str">
        <f>IFERROR(__xludf.DUMMYFUNCTION("GOOGLETRANSLATE(B8757,""en"",""zh-CN"")"),"总而言之，这是一个有趣而轻松的时间。")</f>
        <v>总而言之，这是一个有趣而轻松的时间。</v>
      </c>
    </row>
    <row r="8758">
      <c r="A8758" s="4" t="s">
        <v>11016</v>
      </c>
      <c r="B8758" s="4" t="s">
        <v>11017</v>
      </c>
      <c r="C8758" s="5" t="str">
        <f>IFERROR(__xludf.DUMMYFUNCTION("GOOGLETRANSLATE(B8758,""en"",""zh-CN"")"),"两个男人拿着盒子走在街上，然后组装一张足球桌。")</f>
        <v>两个男人拿着盒子走在街上，然后组装一张足球桌。</v>
      </c>
    </row>
    <row r="8759">
      <c r="A8759" s="4" t="s">
        <v>11016</v>
      </c>
      <c r="B8759" s="4" t="s">
        <v>11018</v>
      </c>
      <c r="C8759" s="5" t="str">
        <f>IFERROR(__xludf.DUMMYFUNCTION("GOOGLETRANSLATE(B8759,""en"",""zh-CN"")"),"人们在街上踢足球桌。")</f>
        <v>人们在街上踢足球桌。</v>
      </c>
    </row>
    <row r="8760">
      <c r="A8760" s="4" t="s">
        <v>11016</v>
      </c>
      <c r="B8760" s="4" t="s">
        <v>11019</v>
      </c>
      <c r="C8760" s="5" t="str">
        <f>IFERROR(__xludf.DUMMYFUNCTION("GOOGLETRANSLATE(B8760,""en"",""zh-CN"")"),"之后，这些人携带桌子，进入火车，继续比赛。")</f>
        <v>之后，这些人携带桌子，进入火车，继续比赛。</v>
      </c>
    </row>
    <row r="8761">
      <c r="A8761" s="4" t="s">
        <v>11016</v>
      </c>
      <c r="B8761" s="4" t="s">
        <v>11020</v>
      </c>
      <c r="C8761" s="5" t="str">
        <f>IFERROR(__xludf.DUMMYFUNCTION("GOOGLETRANSLATE(B8761,""en"",""zh-CN"")"),"在该男子将足球桌带到公园和其他人踢和绘画的地方之后。")</f>
        <v>在该男子将足球桌带到公园和其他人踢和绘画的地方之后。</v>
      </c>
    </row>
    <row r="8762">
      <c r="A8762" s="4" t="s">
        <v>11021</v>
      </c>
      <c r="B8762" s="6" t="s">
        <v>11022</v>
      </c>
      <c r="C8762" s="5" t="str">
        <f>IFERROR(__xludf.DUMMYFUNCTION("GOOGLETRANSLATE(B8762,""en"",""zh-CN"")"),"看到一名妇女穿上夹克，然后她切断了背心的一部分并握住铁。")</f>
        <v>看到一名妇女穿上夹克，然后她切断了背心的一部分并握住铁。</v>
      </c>
    </row>
    <row r="8763">
      <c r="A8763" s="4" t="s">
        <v>11021</v>
      </c>
      <c r="B8763" s="4" t="s">
        <v>11023</v>
      </c>
      <c r="C8763" s="5" t="str">
        <f>IFERROR(__xludf.DUMMYFUNCTION("GOOGLETRANSLATE(B8763,""en"",""zh-CN"")"),"然后，她通过穿上背心来屈服衬衫并结束。")</f>
        <v>然后，她通过穿上背心来屈服衬衫并结束。</v>
      </c>
    </row>
    <row r="8764">
      <c r="A8764" s="4" t="s">
        <v>11024</v>
      </c>
      <c r="B8764" s="4" t="s">
        <v>11025</v>
      </c>
      <c r="C8764" s="5" t="str">
        <f>IFERROR(__xludf.DUMMYFUNCTION("GOOGLETRANSLATE(B8764,""en"",""zh-CN"")"),"一个穿着黑色燕尾服的男人正在与相机说话。")</f>
        <v>一个穿着黑色燕尾服的男人正在与相机说话。</v>
      </c>
    </row>
    <row r="8765">
      <c r="A8765" s="4" t="s">
        <v>11024</v>
      </c>
      <c r="B8765" s="4" t="s">
        <v>11026</v>
      </c>
      <c r="C8765" s="5" t="str">
        <f>IFERROR(__xludf.DUMMYFUNCTION("GOOGLETRANSLATE(B8765,""en"",""zh-CN"")"),"一个人在后台走路。")</f>
        <v>一个人在后台走路。</v>
      </c>
    </row>
    <row r="8766">
      <c r="A8766" s="4" t="s">
        <v>11024</v>
      </c>
      <c r="B8766" s="4" t="s">
        <v>11027</v>
      </c>
      <c r="C8766" s="5" t="str">
        <f>IFERROR(__xludf.DUMMYFUNCTION("GOOGLETRANSLATE(B8766,""en"",""zh-CN"")"),"一群人在后台走路。")</f>
        <v>一群人在后台走路。</v>
      </c>
    </row>
    <row r="8767">
      <c r="A8767" s="4" t="s">
        <v>11024</v>
      </c>
      <c r="B8767" s="4" t="s">
        <v>11028</v>
      </c>
      <c r="C8767" s="5" t="str">
        <f>IFERROR(__xludf.DUMMYFUNCTION("GOOGLETRANSLATE(B8767,""en"",""zh-CN"")"),"我们看到正在玩扑克游戏。")</f>
        <v>我们看到正在玩扑克游戏。</v>
      </c>
    </row>
    <row r="8768">
      <c r="A8768" s="4" t="s">
        <v>11024</v>
      </c>
      <c r="B8768" s="4" t="s">
        <v>11029</v>
      </c>
      <c r="C8768" s="5" t="str">
        <f>IFERROR(__xludf.DUMMYFUNCTION("GOOGLETRANSLATE(B8768,""en"",""zh-CN"")"),"一个奇怪的人出现在镜头前。")</f>
        <v>一个奇怪的人出现在镜头前。</v>
      </c>
    </row>
    <row r="8769">
      <c r="A8769" s="4" t="s">
        <v>11024</v>
      </c>
      <c r="B8769" s="4" t="s">
        <v>11030</v>
      </c>
      <c r="C8769" s="5" t="str">
        <f>IFERROR(__xludf.DUMMYFUNCTION("GOOGLETRANSLATE(B8769,""en"",""zh-CN"")"),"我们看到第一个男人，然后被打交道，然后淡入黑屏。")</f>
        <v>我们看到第一个男人，然后被打交道，然后淡入黑屏。</v>
      </c>
    </row>
    <row r="8770">
      <c r="A8770" s="4" t="s">
        <v>11031</v>
      </c>
      <c r="B8770" s="6" t="s">
        <v>11032</v>
      </c>
      <c r="C8770" s="5" t="str">
        <f>IFERROR(__xludf.DUMMYFUNCTION("GOOGLETRANSLATE(B8770,""en"",""zh-CN"")"),"许多人坐在一个大田地的露台上，人们正在大型体育场的入口处行走。")</f>
        <v>许多人坐在一个大田地的露台上，人们正在大型体育场的入口处行走。</v>
      </c>
    </row>
    <row r="8771">
      <c r="A8771" s="4" t="s">
        <v>11031</v>
      </c>
      <c r="B8771" s="4" t="s">
        <v>11033</v>
      </c>
      <c r="C8771" s="5" t="str">
        <f>IFERROR(__xludf.DUMMYFUNCTION("GOOGLETRANSLATE(B8771,""en"",""zh-CN"")"),"男人站在一个沙质的地方走路。")</f>
        <v>男人站在一个沙质的地方走路。</v>
      </c>
    </row>
    <row r="8772">
      <c r="A8772" s="4" t="s">
        <v>11031</v>
      </c>
      <c r="B8772" s="4" t="s">
        <v>11034</v>
      </c>
      <c r="C8772" s="5" t="str">
        <f>IFERROR(__xludf.DUMMYFUNCTION("GOOGLETRANSLATE(B8772,""en"",""zh-CN"")"),"男人正在和站在沙滩上的相机交谈。")</f>
        <v>男人正在和站在沙滩上的相机交谈。</v>
      </c>
    </row>
    <row r="8773">
      <c r="A8773" s="4" t="s">
        <v>11031</v>
      </c>
      <c r="B8773" s="4" t="s">
        <v>11035</v>
      </c>
      <c r="C8773" s="5" t="str">
        <f>IFERROR(__xludf.DUMMYFUNCTION("GOOGLETRANSLATE(B8773,""en"",""zh-CN"")"),"男子站在摩托车上，为越野摩托车比赛做好准备。")</f>
        <v>男子站在摩托车上，为越野摩托车比赛做好准备。</v>
      </c>
    </row>
    <row r="8774">
      <c r="A8774" s="4" t="s">
        <v>11031</v>
      </c>
      <c r="B8774" s="4" t="s">
        <v>11036</v>
      </c>
      <c r="C8774" s="5" t="str">
        <f>IFERROR(__xludf.DUMMYFUNCTION("GOOGLETRANSLATE(B8774,""en"",""zh-CN"")"),"男人正在和镜头说话，站在讲台上。")</f>
        <v>男人正在和镜头说话，站在讲台上。</v>
      </c>
    </row>
    <row r="8775">
      <c r="A8775" s="4" t="s">
        <v>11037</v>
      </c>
      <c r="B8775" s="4" t="s">
        <v>11038</v>
      </c>
      <c r="C8775" s="5" t="str">
        <f>IFERROR(__xludf.DUMMYFUNCTION("GOOGLETRANSLATE(B8775,""en"",""zh-CN"")"),"一群人在一个昏暗的健身房里。")</f>
        <v>一群人在一个昏暗的健身房里。</v>
      </c>
    </row>
    <row r="8776">
      <c r="A8776" s="4" t="s">
        <v>11037</v>
      </c>
      <c r="B8776" s="4" t="s">
        <v>11039</v>
      </c>
      <c r="C8776" s="5" t="str">
        <f>IFERROR(__xludf.DUMMYFUNCTION("GOOGLETRANSLATE(B8776,""en"",""zh-CN"")"),"他们在被带领的同时骑着卧式自行车。")</f>
        <v>他们在被带领的同时骑着卧式自行车。</v>
      </c>
    </row>
    <row r="8777">
      <c r="A8777" s="4" t="s">
        <v>11037</v>
      </c>
      <c r="B8777" s="4" t="s">
        <v>11040</v>
      </c>
      <c r="C8777" s="5" t="str">
        <f>IFERROR(__xludf.DUMMYFUNCTION("GOOGLETRANSLATE(B8777,""en"",""zh-CN"")"),"他们迅速拍手和踏板。")</f>
        <v>他们迅速拍手和踏板。</v>
      </c>
    </row>
    <row r="8778">
      <c r="A8778" s="4" t="s">
        <v>11041</v>
      </c>
      <c r="B8778" s="4" t="s">
        <v>11042</v>
      </c>
      <c r="C8778" s="5" t="str">
        <f>IFERROR(__xludf.DUMMYFUNCTION("GOOGLETRANSLATE(B8778,""en"",""zh-CN"")"),"看到一个小孩拿着棍子，用棍子撞到皮纳塔。")</f>
        <v>看到一个小孩拿着棍子，用棍子撞到皮纳塔。</v>
      </c>
    </row>
    <row r="8779">
      <c r="A8779" s="4" t="s">
        <v>11041</v>
      </c>
      <c r="B8779" s="4" t="s">
        <v>11043</v>
      </c>
      <c r="C8779" s="5" t="str">
        <f>IFERROR(__xludf.DUMMYFUNCTION("GOOGLETRANSLATE(B8779,""en"",""zh-CN"")"),"老年女性将人力资源带回去，将手伸向另一个孩子。")</f>
        <v>老年女性将人力资源带回去，将手伸向另一个孩子。</v>
      </c>
    </row>
    <row r="8780">
      <c r="A8780" s="4" t="s">
        <v>11044</v>
      </c>
      <c r="B8780" s="4" t="s">
        <v>11045</v>
      </c>
      <c r="C8780" s="5" t="str">
        <f>IFERROR(__xludf.DUMMYFUNCTION("GOOGLETRANSLATE(B8780,""en"",""zh-CN"")"),"一个女人站着说话，拿着蓝色的拖把。")</f>
        <v>一个女人站着说话，拿着蓝色的拖把。</v>
      </c>
    </row>
    <row r="8781">
      <c r="A8781" s="4" t="s">
        <v>11044</v>
      </c>
      <c r="B8781" s="4" t="s">
        <v>11046</v>
      </c>
      <c r="C8781" s="5" t="str">
        <f>IFERROR(__xludf.DUMMYFUNCTION("GOOGLETRANSLATE(B8781,""en"",""zh-CN"")"),"她正在显示拖把的底部。")</f>
        <v>她正在显示拖把的底部。</v>
      </c>
    </row>
    <row r="8782">
      <c r="A8782" s="4" t="s">
        <v>11044</v>
      </c>
      <c r="B8782" s="4" t="s">
        <v>11047</v>
      </c>
      <c r="C8782" s="5" t="str">
        <f>IFERROR(__xludf.DUMMYFUNCTION("GOOGLETRANSLATE(B8782,""en"",""zh-CN"")"),"一瓶醋显示在酒精和肥皂旁边的桌子上。")</f>
        <v>一瓶醋显示在酒精和肥皂旁边的桌子上。</v>
      </c>
    </row>
    <row r="8783">
      <c r="A8783" s="4" t="s">
        <v>11044</v>
      </c>
      <c r="B8783" s="4" t="s">
        <v>11048</v>
      </c>
      <c r="C8783" s="5" t="str">
        <f>IFERROR(__xludf.DUMMYFUNCTION("GOOGLETRANSLATE(B8783,""en"",""zh-CN"")"),"她开始在硬木地板上擦擦。")</f>
        <v>她开始在硬木地板上擦擦。</v>
      </c>
    </row>
    <row r="8784">
      <c r="A8784" s="4" t="s">
        <v>11044</v>
      </c>
      <c r="B8784" s="4" t="s">
        <v>11049</v>
      </c>
      <c r="C8784" s="5" t="str">
        <f>IFERROR(__xludf.DUMMYFUNCTION("GOOGLETRANSLATE(B8784,""en"",""zh-CN"")"),"一只狗躺在床上。")</f>
        <v>一只狗躺在床上。</v>
      </c>
    </row>
    <row r="8785">
      <c r="A8785" s="4" t="s">
        <v>11050</v>
      </c>
      <c r="B8785" s="4" t="s">
        <v>11051</v>
      </c>
      <c r="C8785" s="5" t="str">
        <f>IFERROR(__xludf.DUMMYFUNCTION("GOOGLETRANSLATE(B8785,""en"",""zh-CN"")"),"一个穿着蓝色衬衫的男人接孩子。")</f>
        <v>一个穿着蓝色衬衫的男人接孩子。</v>
      </c>
    </row>
    <row r="8786">
      <c r="A8786" s="4" t="s">
        <v>11050</v>
      </c>
      <c r="B8786" s="4" t="s">
        <v>11052</v>
      </c>
      <c r="C8786" s="5" t="str">
        <f>IFERROR(__xludf.DUMMYFUNCTION("GOOGLETRANSLATE(B8786,""en"",""zh-CN"")"),"他抬起他坐在肩膀上。")</f>
        <v>他抬起他坐在肩膀上。</v>
      </c>
    </row>
    <row r="8787">
      <c r="A8787" s="4" t="s">
        <v>11050</v>
      </c>
      <c r="B8787" s="4" t="s">
        <v>11053</v>
      </c>
      <c r="C8787" s="5" t="str">
        <f>IFERROR(__xludf.DUMMYFUNCTION("GOOGLETRANSLATE(B8787,""en"",""zh-CN"")"),"他把孩子扔到床上。")</f>
        <v>他把孩子扔到床上。</v>
      </c>
    </row>
    <row r="8788">
      <c r="A8788" s="4" t="s">
        <v>11054</v>
      </c>
      <c r="B8788" s="4" t="s">
        <v>11055</v>
      </c>
      <c r="C8788" s="5" t="str">
        <f>IFERROR(__xludf.DUMMYFUNCTION("GOOGLETRANSLATE(B8788,""en"",""zh-CN"")"),"该男子跳到两个白色的杆子上，站在他的手臂上。")</f>
        <v>该男子跳到两个白色的杆子上，站在他的手臂上。</v>
      </c>
    </row>
    <row r="8789">
      <c r="A8789" s="4" t="s">
        <v>11054</v>
      </c>
      <c r="B8789" s="4" t="s">
        <v>11056</v>
      </c>
      <c r="C8789" s="5" t="str">
        <f>IFERROR(__xludf.DUMMYFUNCTION("GOOGLETRANSLATE(B8789,""en"",""zh-CN"")"),"球场外的红色衬衫的那个人正在看着运动员在杆子上摇摆时。")</f>
        <v>球场外的红色衬衫的那个人正在看着运动员在杆子上摇摆时。</v>
      </c>
    </row>
    <row r="8790">
      <c r="A8790" s="4" t="s">
        <v>11054</v>
      </c>
      <c r="B8790" s="4" t="s">
        <v>11057</v>
      </c>
      <c r="C8790" s="5" t="str">
        <f>IFERROR(__xludf.DUMMYFUNCTION("GOOGLETRANSLATE(B8790,""en"",""zh-CN"")"),"运动员摇摆，然后跳下杆子，摇摆，空气降落在垫子上。")</f>
        <v>运动员摇摆，然后跳下杆子，摇摆，空气降落在垫子上。</v>
      </c>
    </row>
    <row r="8791">
      <c r="A8791" s="4" t="s">
        <v>11058</v>
      </c>
      <c r="B8791" s="4" t="s">
        <v>11059</v>
      </c>
      <c r="C8791" s="5" t="str">
        <f>IFERROR(__xludf.DUMMYFUNCTION("GOOGLETRANSLATE(B8791,""en"",""zh-CN"")"),"一支球队在场上，试图从对手那里获得球。")</f>
        <v>一支球队在场上，试图从对手那里获得球。</v>
      </c>
    </row>
    <row r="8792">
      <c r="A8792" s="4" t="s">
        <v>11058</v>
      </c>
      <c r="B8792" s="4" t="s">
        <v>11060</v>
      </c>
      <c r="C8792" s="5" t="str">
        <f>IFERROR(__xludf.DUMMYFUNCTION("GOOGLETRANSLATE(B8792,""en"",""zh-CN"")"),"他们正在玩曲棍球游戏。")</f>
        <v>他们正在玩曲棍球游戏。</v>
      </c>
    </row>
    <row r="8793">
      <c r="A8793" s="4" t="s">
        <v>11058</v>
      </c>
      <c r="B8793" s="4" t="s">
        <v>11061</v>
      </c>
      <c r="C8793" s="5" t="str">
        <f>IFERROR(__xludf.DUMMYFUNCTION("GOOGLETRANSLATE(B8793,""en"",""zh-CN"")"),"他们为球而战，试图将球带入目标。")</f>
        <v>他们为球而战，试图将球带入目标。</v>
      </c>
    </row>
    <row r="8794">
      <c r="A8794" s="4" t="s">
        <v>11062</v>
      </c>
      <c r="B8794" s="4" t="s">
        <v>11063</v>
      </c>
      <c r="C8794" s="5" t="str">
        <f>IFERROR(__xludf.DUMMYFUNCTION("GOOGLETRANSLATE(B8794,""en"",""zh-CN"")"),"一个女人在街上骑自行车，然后显示其他人。")</f>
        <v>一个女人在街上骑自行车，然后显示其他人。</v>
      </c>
    </row>
    <row r="8795">
      <c r="A8795" s="4" t="s">
        <v>11062</v>
      </c>
      <c r="B8795" s="4" t="s">
        <v>11064</v>
      </c>
      <c r="C8795" s="5" t="str">
        <f>IFERROR(__xludf.DUMMYFUNCTION("GOOGLETRANSLATE(B8795,""en"",""zh-CN"")"),"人们在两次乘坐自行车上在城市道路上骑自行车的相机对话。")</f>
        <v>人们在两次乘坐自行车上在城市道路上骑自行车的相机对话。</v>
      </c>
    </row>
    <row r="8796">
      <c r="A8796" s="4" t="s">
        <v>11062</v>
      </c>
      <c r="B8796" s="4" t="s">
        <v>11065</v>
      </c>
      <c r="C8796" s="5" t="str">
        <f>IFERROR(__xludf.DUMMYFUNCTION("GOOGLETRANSLATE(B8796,""en"",""zh-CN"")"),"这辆自行车被称为椭圆形，使他们能够在骑车时站立和踏板。")</f>
        <v>这辆自行车被称为椭圆形，使他们能够在骑车时站立和踏板。</v>
      </c>
    </row>
    <row r="8797">
      <c r="A8797" s="4" t="s">
        <v>11066</v>
      </c>
      <c r="B8797" s="6" t="s">
        <v>11067</v>
      </c>
      <c r="C8797" s="5" t="str">
        <f>IFERROR(__xludf.DUMMYFUNCTION("GOOGLETRANSLATE(B8797,""en"",""zh-CN"")"),"看到一个人在拿着单板滑雪的同时向相机说话，并带着骑着白雪皑皑的山丘骑着他。")</f>
        <v>看到一个人在拿着单板滑雪的同时向相机说话，并带着骑着白雪皑皑的山丘骑着他。</v>
      </c>
    </row>
    <row r="8798">
      <c r="A8798" s="4" t="s">
        <v>11066</v>
      </c>
      <c r="B8798" s="6" t="s">
        <v>11068</v>
      </c>
      <c r="C8798" s="5" t="str">
        <f>IFERROR(__xludf.DUMMYFUNCTION("GOOGLETRANSLATE(B8798,""en"",""zh-CN"")"),"该男子继续骑着滑雪板从山上骑，最后他停在底部。")</f>
        <v>该男子继续骑着滑雪板从山上骑，最后他停在底部。</v>
      </c>
    </row>
    <row r="8799">
      <c r="A8799" s="4" t="s">
        <v>11069</v>
      </c>
      <c r="B8799" s="4" t="s">
        <v>11070</v>
      </c>
      <c r="C8799" s="5" t="str">
        <f>IFERROR(__xludf.DUMMYFUNCTION("GOOGLETRANSLATE(B8799,""en"",""zh-CN"")"),"看到一个男人在舞台上与另一个男人说话。")</f>
        <v>看到一个男人在舞台上与另一个男人说话。</v>
      </c>
    </row>
    <row r="8800">
      <c r="A8800" s="4" t="s">
        <v>11069</v>
      </c>
      <c r="B8800" s="4" t="s">
        <v>11071</v>
      </c>
      <c r="C8800" s="5" t="str">
        <f>IFERROR(__xludf.DUMMYFUNCTION("GOOGLETRANSLATE(B8800,""en"",""zh-CN"")"),"然后，一个人导致在舞台上演奏口琴，而其他人则在旁边看。")</f>
        <v>然后，一个人导致在舞台上演奏口琴，而其他人则在旁边看。</v>
      </c>
    </row>
    <row r="8801">
      <c r="A8801" s="4" t="s">
        <v>11069</v>
      </c>
      <c r="B8801" s="4" t="s">
        <v>11072</v>
      </c>
      <c r="C8801" s="5" t="str">
        <f>IFERROR(__xludf.DUMMYFUNCTION("GOOGLETRANSLATE(B8801,""en"",""zh-CN"")"),"该男子继续演奏，而其他人则走进和走出框架以及比赛。")</f>
        <v>该男子继续演奏，而其他人则走进和走出框架以及比赛。</v>
      </c>
    </row>
    <row r="8802">
      <c r="A8802" s="4" t="s">
        <v>11073</v>
      </c>
      <c r="B8802" s="4" t="s">
        <v>11074</v>
      </c>
      <c r="C8802" s="5" t="str">
        <f>IFERROR(__xludf.DUMMYFUNCTION("GOOGLETRANSLATE(B8802,""en"",""zh-CN"")"),"一个年长的男人站在秋千后面，同时将一个小女孩推回第四。")</f>
        <v>一个年长的男人站在秋千后面，同时将一个小女孩推回第四。</v>
      </c>
    </row>
    <row r="8803">
      <c r="A8803" s="4" t="s">
        <v>11073</v>
      </c>
      <c r="B8803" s="6" t="s">
        <v>11075</v>
      </c>
      <c r="C8803" s="5" t="str">
        <f>IFERROR(__xludf.DUMMYFUNCTION("GOOGLETRANSLATE(B8803,""en"",""zh-CN"")"),"他抓住并握住女孩，并给她几次推动，而女孩则将她的头向后微笑。")</f>
        <v>他抓住并握住女孩，并给她几次推动，而女孩则将她的头向后微笑。</v>
      </c>
    </row>
    <row r="8804">
      <c r="A8804" s="4" t="s">
        <v>11076</v>
      </c>
      <c r="B8804" s="6" t="s">
        <v>11077</v>
      </c>
      <c r="C8804" s="5" t="str">
        <f>IFERROR(__xludf.DUMMYFUNCTION("GOOGLETRANSLATE(B8804,""en"",""zh-CN"")"),"看到一个年轻的女孩在外面的室外化妆，而其他人则在侧面观看并进行化妆。")</f>
        <v>看到一个年轻的女孩在外面的室外化妆，而其他人则在侧面观看并进行化妆。</v>
      </c>
    </row>
    <row r="8805">
      <c r="A8805" s="4" t="s">
        <v>11076</v>
      </c>
      <c r="B8805" s="6" t="s">
        <v>11078</v>
      </c>
      <c r="C8805" s="5" t="str">
        <f>IFERROR(__xludf.DUMMYFUNCTION("GOOGLETRANSLATE(B8805,""en"",""zh-CN"")"),"当摄像机向后平移和两者之间的第四个时，女孩们继续尝试化妆。")</f>
        <v>当摄像机向后平移和两者之间的第四个时，女孩们继续尝试化妆。</v>
      </c>
    </row>
    <row r="8806">
      <c r="A8806" s="4" t="s">
        <v>11079</v>
      </c>
      <c r="B8806" s="6" t="s">
        <v>11080</v>
      </c>
      <c r="C8806" s="5" t="str">
        <f>IFERROR(__xludf.DUMMYFUNCTION("GOOGLETRANSLATE(B8806,""en"",""zh-CN"")"),"一家商业展示了各种各样的焊接设备，并演示了如何使用设备焊接。")</f>
        <v>一家商业展示了各种各样的焊接设备，并演示了如何使用设备焊接。</v>
      </c>
    </row>
    <row r="8807">
      <c r="A8807" s="4" t="s">
        <v>11079</v>
      </c>
      <c r="B8807" s="4" t="s">
        <v>11081</v>
      </c>
      <c r="C8807" s="5" t="str">
        <f>IFERROR(__xludf.DUMMYFUNCTION("GOOGLETRANSLATE(B8807,""en"",""zh-CN"")"),"在白色背景上显示焊接头盔，夹具，焊接套件和手套。")</f>
        <v>在白色背景上显示焊接头盔，夹具，焊接套件和手套。</v>
      </c>
    </row>
    <row r="8808">
      <c r="A8808" s="4" t="s">
        <v>11079</v>
      </c>
      <c r="B8808" s="6" t="s">
        <v>11082</v>
      </c>
      <c r="C8808" s="5" t="str">
        <f>IFERROR(__xludf.DUMMYFUNCTION("GOOGLETRANSLATE(B8808,""en"",""zh-CN"")"),"当发生焊接时，一个人开始使用焊接工具在产生火火花的汽车内部焊接。")</f>
        <v>当发生焊接时，一个人开始使用焊接工具在产生火火花的汽车内部焊接。</v>
      </c>
    </row>
    <row r="8809">
      <c r="A8809" s="4" t="s">
        <v>11079</v>
      </c>
      <c r="B8809" s="4" t="s">
        <v>11083</v>
      </c>
      <c r="C8809" s="5" t="str">
        <f>IFERROR(__xludf.DUMMYFUNCTION("GOOGLETRANSLATE(B8809,""en"",""zh-CN"")"),"在屏幕上展示营销模板之前，显示了焊接区域的特写。")</f>
        <v>在屏幕上展示营销模板之前，显示了焊接区域的特写。</v>
      </c>
    </row>
    <row r="8810">
      <c r="A8810" s="4" t="s">
        <v>11084</v>
      </c>
      <c r="B8810" s="4" t="s">
        <v>11085</v>
      </c>
      <c r="C8810" s="5" t="str">
        <f>IFERROR(__xludf.DUMMYFUNCTION("GOOGLETRANSLATE(B8810,""en"",""zh-CN"")"),"看到一个人赤着拳站在厨房里，拿着拖把。")</f>
        <v>看到一个人赤着拳站在厨房里，拿着拖把。</v>
      </c>
    </row>
    <row r="8811">
      <c r="A8811" s="4" t="s">
        <v>11084</v>
      </c>
      <c r="B8811" s="4" t="s">
        <v>11086</v>
      </c>
      <c r="C8811" s="5" t="str">
        <f>IFERROR(__xludf.DUMMYFUNCTION("GOOGLETRANSLATE(B8811,""en"",""zh-CN"")"),"那个男人拿着拖把时回头笑着笑着。")</f>
        <v>那个男人拿着拖把时回头笑着笑着。</v>
      </c>
    </row>
    <row r="8812">
      <c r="A8812" s="4" t="s">
        <v>11084</v>
      </c>
      <c r="B8812" s="4" t="s">
        <v>11087</v>
      </c>
      <c r="C8812" s="5" t="str">
        <f>IFERROR(__xludf.DUMMYFUNCTION("GOOGLETRANSLATE(B8812,""en"",""zh-CN"")"),"在推动拖把的同时，他继续大笑和跳舞。")</f>
        <v>在推动拖把的同时，他继续大笑和跳舞。</v>
      </c>
    </row>
    <row r="8813">
      <c r="A8813" s="4" t="s">
        <v>11088</v>
      </c>
      <c r="B8813" s="4" t="s">
        <v>11089</v>
      </c>
      <c r="C8813" s="5" t="str">
        <f>IFERROR(__xludf.DUMMYFUNCTION("GOOGLETRANSLATE(B8813,""en"",""zh-CN"")"),"一艘带有两个男人的小型帆船正在将滑水者拉在其后面。")</f>
        <v>一艘带有两个男人的小型帆船正在将滑水者拉在其后面。</v>
      </c>
    </row>
    <row r="8814">
      <c r="A8814" s="4" t="s">
        <v>11088</v>
      </c>
      <c r="B8814" s="4" t="s">
        <v>11090</v>
      </c>
      <c r="C8814" s="5" t="str">
        <f>IFERROR(__xludf.DUMMYFUNCTION("GOOGLETRANSLATE(B8814,""en"",""zh-CN"")"),"风冲浪者过去了。")</f>
        <v>风冲浪者过去了。</v>
      </c>
    </row>
    <row r="8815">
      <c r="A8815" s="4" t="s">
        <v>11088</v>
      </c>
      <c r="B8815" s="4" t="s">
        <v>11091</v>
      </c>
      <c r="C8815" s="5" t="str">
        <f>IFERROR(__xludf.DUMMYFUNCTION("GOOGLETRANSLATE(B8815,""en"",""zh-CN"")"),"帆船上的一个人向后倾斜，在船上拉动帆。")</f>
        <v>帆船上的一个人向后倾斜，在船上拉动帆。</v>
      </c>
    </row>
    <row r="8816">
      <c r="A8816" s="4" t="s">
        <v>11088</v>
      </c>
      <c r="B8816" s="4" t="s">
        <v>11092</v>
      </c>
      <c r="C8816" s="5" t="str">
        <f>IFERROR(__xludf.DUMMYFUNCTION("GOOGLETRANSLATE(B8816,""en"",""zh-CN"")"),"另一位风冲浪者通过。")</f>
        <v>另一位风冲浪者通过。</v>
      </c>
    </row>
    <row r="8817">
      <c r="A8817" s="4" t="s">
        <v>11093</v>
      </c>
      <c r="B8817" s="4" t="s">
        <v>11094</v>
      </c>
      <c r="C8817" s="5" t="str">
        <f>IFERROR(__xludf.DUMMYFUNCTION("GOOGLETRANSLATE(B8817,""en"",""zh-CN"")"),"风筝在天上飞。")</f>
        <v>风筝在天上飞。</v>
      </c>
    </row>
    <row r="8818">
      <c r="A8818" s="4" t="s">
        <v>11093</v>
      </c>
      <c r="B8818" s="4" t="s">
        <v>11095</v>
      </c>
      <c r="C8818" s="5" t="str">
        <f>IFERROR(__xludf.DUMMYFUNCTION("GOOGLETRANSLATE(B8818,""en"",""zh-CN"")"),"一个小女孩拿着风筝的绳子。")</f>
        <v>一个小女孩拿着风筝的绳子。</v>
      </c>
    </row>
    <row r="8819">
      <c r="A8819" s="4" t="s">
        <v>11093</v>
      </c>
      <c r="B8819" s="4" t="s">
        <v>11096</v>
      </c>
      <c r="C8819" s="5" t="str">
        <f>IFERROR(__xludf.DUMMYFUNCTION("GOOGLETRANSLATE(B8819,""en"",""zh-CN"")"),"她在看着风筝时向后走，与某人交谈。")</f>
        <v>她在看着风筝时向后走，与某人交谈。</v>
      </c>
    </row>
    <row r="8820">
      <c r="A8820" s="4" t="s">
        <v>11097</v>
      </c>
      <c r="B8820" s="4" t="s">
        <v>11098</v>
      </c>
      <c r="C8820" s="5" t="str">
        <f>IFERROR(__xludf.DUMMYFUNCTION("GOOGLETRANSLATE(B8820,""en"",""zh-CN"")"),"一个男人在一个舞厅里，沿着墙壁，木地板有镜子，他独自跳舞。")</f>
        <v>一个男人在一个舞厅里，沿着墙壁，木地板有镜子，他独自跳舞。</v>
      </c>
    </row>
    <row r="8821">
      <c r="A8821" s="4" t="s">
        <v>11097</v>
      </c>
      <c r="B8821" s="4" t="s">
        <v>11099</v>
      </c>
      <c r="C8821" s="5" t="str">
        <f>IFERROR(__xludf.DUMMYFUNCTION("GOOGLETRANSLATE(B8821,""en"",""zh-CN"")"),"有一个女人站在角落里，一直在记录他。")</f>
        <v>有一个女人站在角落里，一直在记录他。</v>
      </c>
    </row>
    <row r="8822">
      <c r="A8822" s="4" t="s">
        <v>11097</v>
      </c>
      <c r="B8822" s="6" t="s">
        <v>11100</v>
      </c>
      <c r="C8822" s="5" t="str">
        <f>IFERROR(__xludf.DUMMYFUNCTION("GOOGLETRANSLATE(B8822,""en"",""zh-CN"")"),"当他跳舞时他更多地移到房间的另一侧时，越来越多的人看着他。")</f>
        <v>当他跳舞时他更多地移到房间的另一侧时，越来越多的人看着他。</v>
      </c>
    </row>
    <row r="8823">
      <c r="A8823" s="4" t="s">
        <v>11097</v>
      </c>
      <c r="B8823" s="4" t="s">
        <v>11101</v>
      </c>
      <c r="C8823" s="5" t="str">
        <f>IFERROR(__xludf.DUMMYFUNCTION("GOOGLETRANSLATE(B8823,""en"",""zh-CN"")"),"那个男人他最后一次跳舞，微笑，走了几步，然后鞠躬。")</f>
        <v>那个男人他最后一次跳舞，微笑，走了几步，然后鞠躬。</v>
      </c>
    </row>
    <row r="8824">
      <c r="A8824" s="4" t="s">
        <v>11102</v>
      </c>
      <c r="B8824" s="4" t="s">
        <v>11103</v>
      </c>
      <c r="C8824" s="5" t="str">
        <f>IFERROR(__xludf.DUMMYFUNCTION("GOOGLETRANSLATE(B8824,""en"",""zh-CN"")"),"天空显示出与他的朋友一起在相机上说话的人。")</f>
        <v>天空显示出与他的朋友一起在相机上说话的人。</v>
      </c>
    </row>
    <row r="8825">
      <c r="A8825" s="4" t="s">
        <v>11102</v>
      </c>
      <c r="B8825" s="4" t="s">
        <v>11104</v>
      </c>
      <c r="C8825" s="5" t="str">
        <f>IFERROR(__xludf.DUMMYFUNCTION("GOOGLETRANSLATE(B8825,""en"",""zh-CN"")"),"然后看到几个人坐在骑着河边的试管中。")</f>
        <v>然后看到几个人坐在骑着河边的试管中。</v>
      </c>
    </row>
    <row r="8826">
      <c r="A8826" s="4" t="s">
        <v>11102</v>
      </c>
      <c r="B8826" s="6" t="s">
        <v>11105</v>
      </c>
      <c r="C8826" s="5" t="str">
        <f>IFERROR(__xludf.DUMMYFUNCTION("GOOGLETRANSLATE(B8826,""en"",""zh-CN"")"),"当男人仍然在相机上说话时，人们继续通过隧道和小路沿着河道骑行。")</f>
        <v>当男人仍然在相机上说话时，人们继续通过隧道和小路沿着河道骑行。</v>
      </c>
    </row>
    <row r="8827">
      <c r="A8827" s="4" t="s">
        <v>11106</v>
      </c>
      <c r="B8827" s="4" t="s">
        <v>11107</v>
      </c>
      <c r="C8827" s="5" t="str">
        <f>IFERROR(__xludf.DUMMYFUNCTION("GOOGLETRANSLATE(B8827,""en"",""zh-CN"")"),"一名运动员用棍子奔跑，然后他射击标枪，然后在体育场走开。")</f>
        <v>一名运动员用棍子奔跑，然后他射击标枪，然后在体育场走开。</v>
      </c>
    </row>
    <row r="8828">
      <c r="A8828" s="4" t="s">
        <v>11106</v>
      </c>
      <c r="B8828" s="6" t="s">
        <v>11108</v>
      </c>
      <c r="C8828" s="5" t="str">
        <f>IFERROR(__xludf.DUMMYFUNCTION("GOOGLETRANSLATE(B8828,""en"",""zh-CN"")"),"然后，一个男人拿着标枪并奔跑扔标枪，然后另一位运动员也会射击标枪。")</f>
        <v>然后，一个男人拿着标枪并奔跑扔标枪，然后另一位运动员也会射击标枪。</v>
      </c>
    </row>
    <row r="8829">
      <c r="A8829" s="4" t="s">
        <v>11109</v>
      </c>
      <c r="B8829" s="4" t="s">
        <v>11110</v>
      </c>
      <c r="C8829" s="5" t="str">
        <f>IFERROR(__xludf.DUMMYFUNCTION("GOOGLETRANSLATE(B8829,""en"",""zh-CN"")"),"一个男人坐在楼梯上说话。")</f>
        <v>一个男人坐在楼梯上说话。</v>
      </c>
    </row>
    <row r="8830">
      <c r="A8830" s="4" t="s">
        <v>11109</v>
      </c>
      <c r="B8830" s="4" t="s">
        <v>11111</v>
      </c>
      <c r="C8830" s="5" t="str">
        <f>IFERROR(__xludf.DUMMYFUNCTION("GOOGLETRANSLATE(B8830,""en"",""zh-CN"")"),"他站在水槽上。")</f>
        <v>他站在水槽上。</v>
      </c>
    </row>
    <row r="8831">
      <c r="A8831" s="4" t="s">
        <v>11109</v>
      </c>
      <c r="B8831" s="4" t="s">
        <v>11112</v>
      </c>
      <c r="C8831" s="5" t="str">
        <f>IFERROR(__xludf.DUMMYFUNCTION("GOOGLETRANSLATE(B8831,""en"",""zh-CN"")"),"他用清洁剂喷洒水槽。")</f>
        <v>他用清洁剂喷洒水槽。</v>
      </c>
    </row>
    <row r="8832">
      <c r="A8832" s="4" t="s">
        <v>11109</v>
      </c>
      <c r="B8832" s="4" t="s">
        <v>11113</v>
      </c>
      <c r="C8832" s="5" t="str">
        <f>IFERROR(__xludf.DUMMYFUNCTION("GOOGLETRANSLATE(B8832,""en"",""zh-CN"")"),"他拿起海绵，擦洗水槽的内部。")</f>
        <v>他拿起海绵，擦洗水槽的内部。</v>
      </c>
    </row>
    <row r="8833">
      <c r="A8833" s="4" t="s">
        <v>11109</v>
      </c>
      <c r="B8833" s="4" t="s">
        <v>11114</v>
      </c>
      <c r="C8833" s="5" t="str">
        <f>IFERROR(__xludf.DUMMYFUNCTION("GOOGLETRANSLATE(B8833,""en"",""zh-CN"")"),"他打开水，将软管喷在水槽周围。")</f>
        <v>他打开水，将软管喷在水槽周围。</v>
      </c>
    </row>
    <row r="8834">
      <c r="A8834" s="4" t="s">
        <v>11109</v>
      </c>
      <c r="B8834" s="4" t="s">
        <v>11115</v>
      </c>
      <c r="C8834" s="5" t="str">
        <f>IFERROR(__xludf.DUMMYFUNCTION("GOOGLETRANSLATE(B8834,""en"",""zh-CN"")"),"他用毛巾将水槽擦掉。")</f>
        <v>他用毛巾将水槽擦掉。</v>
      </c>
    </row>
    <row r="8835">
      <c r="A8835" s="4" t="s">
        <v>11109</v>
      </c>
      <c r="B8835" s="4" t="s">
        <v>11116</v>
      </c>
      <c r="C8835" s="5" t="str">
        <f>IFERROR(__xludf.DUMMYFUNCTION("GOOGLETRANSLATE(B8835,""en"",""zh-CN"")"),"该男子再次坐在楼梯上。")</f>
        <v>该男子再次坐在楼梯上。</v>
      </c>
    </row>
    <row r="8836">
      <c r="A8836" s="4" t="s">
        <v>11117</v>
      </c>
      <c r="B8836" s="4" t="s">
        <v>11118</v>
      </c>
      <c r="C8836" s="5" t="str">
        <f>IFERROR(__xludf.DUMMYFUNCTION("GOOGLETRANSLATE(B8836,""en"",""zh-CN"")"),"我们看到开放屏幕的地图和静止图像。")</f>
        <v>我们看到开放屏幕的地图和静止图像。</v>
      </c>
    </row>
    <row r="8837">
      <c r="A8837" s="4" t="s">
        <v>11117</v>
      </c>
      <c r="B8837" s="4" t="s">
        <v>11119</v>
      </c>
      <c r="C8837" s="5" t="str">
        <f>IFERROR(__xludf.DUMMYFUNCTION("GOOGLETRANSLATE(B8837,""en"",""zh-CN"")"),"男人在里面的屋顶面板上锤击屋顶瓷砖。")</f>
        <v>男人在里面的屋顶面板上锤击屋顶瓷砖。</v>
      </c>
    </row>
    <row r="8838">
      <c r="A8838" s="4" t="s">
        <v>11117</v>
      </c>
      <c r="B8838" s="4" t="s">
        <v>6208</v>
      </c>
      <c r="C8838" s="5" t="str">
        <f>IFERROR(__xludf.DUMMYFUNCTION("GOOGLETRANSLATE(B8838,""en"",""zh-CN"")"),"我们看到标题屏幕。")</f>
        <v>我们看到标题屏幕。</v>
      </c>
    </row>
    <row r="8839">
      <c r="A8839" s="4" t="s">
        <v>11117</v>
      </c>
      <c r="B8839" s="4" t="s">
        <v>11120</v>
      </c>
      <c r="C8839" s="5" t="str">
        <f>IFERROR(__xludf.DUMMYFUNCTION("GOOGLETRANSLATE(B8839,""en"",""zh-CN"")"),"我们看到一个人将钩子敲入树林。")</f>
        <v>我们看到一个人将钩子敲入树林。</v>
      </c>
    </row>
    <row r="8840">
      <c r="A8840" s="4" t="s">
        <v>11117</v>
      </c>
      <c r="B8840" s="4" t="s">
        <v>11121</v>
      </c>
      <c r="C8840" s="5" t="str">
        <f>IFERROR(__xludf.DUMMYFUNCTION("GOOGLETRANSLATE(B8840,""en"",""zh-CN"")"),"我们再次看到标题屏幕。")</f>
        <v>我们再次看到标题屏幕。</v>
      </c>
    </row>
    <row r="8841">
      <c r="A8841" s="4" t="s">
        <v>11117</v>
      </c>
      <c r="B8841" s="4" t="s">
        <v>11122</v>
      </c>
      <c r="C8841" s="5" t="str">
        <f>IFERROR(__xludf.DUMMYFUNCTION("GOOGLETRANSLATE(B8841,""en"",""zh-CN"")"),"我们看到这些人在屋顶上工作。")</f>
        <v>我们看到这些人在屋顶上工作。</v>
      </c>
    </row>
    <row r="8842">
      <c r="A8842" s="4" t="s">
        <v>11117</v>
      </c>
      <c r="B8842" s="4" t="s">
        <v>11123</v>
      </c>
      <c r="C8842" s="5" t="str">
        <f>IFERROR(__xludf.DUMMYFUNCTION("GOOGLETRANSLATE(B8842,""en"",""zh-CN"")"),"我们看到两个屏幕，男人并排工作。")</f>
        <v>我们看到两个屏幕，男人并排工作。</v>
      </c>
    </row>
    <row r="8843">
      <c r="A8843" s="4" t="s">
        <v>11117</v>
      </c>
      <c r="B8843" s="4" t="s">
        <v>11124</v>
      </c>
      <c r="C8843" s="5" t="str">
        <f>IFERROR(__xludf.DUMMYFUNCTION("GOOGLETRANSLATE(B8843,""en"",""zh-CN"")"),"我们看到结尾标题屏幕。")</f>
        <v>我们看到结尾标题屏幕。</v>
      </c>
    </row>
    <row r="8844">
      <c r="A8844" s="4" t="s">
        <v>11125</v>
      </c>
      <c r="B8844" s="4" t="s">
        <v>11126</v>
      </c>
      <c r="C8844" s="5" t="str">
        <f>IFERROR(__xludf.DUMMYFUNCTION("GOOGLETRANSLATE(B8844,""en"",""zh-CN"")"),"看到一大批人在班上锻炼，一个男人将他们带到前面。")</f>
        <v>看到一大批人在班上锻炼，一个男人将他们带到前面。</v>
      </c>
    </row>
    <row r="8845">
      <c r="A8845" s="4" t="s">
        <v>11125</v>
      </c>
      <c r="B8845" s="4" t="s">
        <v>11127</v>
      </c>
      <c r="C8845" s="5" t="str">
        <f>IFERROR(__xludf.DUMMYFUNCTION("GOOGLETRANSLATE(B8845,""en"",""zh-CN"")"),"该小组继续在酒吧上一起移动，并在屏幕上以文字结束。")</f>
        <v>该小组继续在酒吧上一起移动，并在屏幕上以文字结束。</v>
      </c>
    </row>
    <row r="8846">
      <c r="A8846" s="4" t="s">
        <v>11128</v>
      </c>
      <c r="B8846" s="4" t="s">
        <v>11129</v>
      </c>
      <c r="C8846" s="5" t="str">
        <f>IFERROR(__xludf.DUMMYFUNCTION("GOOGLETRANSLATE(B8846,""en"",""zh-CN"")"),"一个男人在汽车经销商内说话。")</f>
        <v>一个男人在汽车经销商内说话。</v>
      </c>
    </row>
    <row r="8847">
      <c r="A8847" s="4" t="s">
        <v>11128</v>
      </c>
      <c r="B8847" s="4" t="s">
        <v>11130</v>
      </c>
      <c r="C8847" s="5" t="str">
        <f>IFERROR(__xludf.DUMMYFUNCTION("GOOGLETRANSLATE(B8847,""en"",""zh-CN"")"),"之后，一辆汽车离开洗车。")</f>
        <v>之后，一辆汽车离开洗车。</v>
      </c>
    </row>
    <row r="8848">
      <c r="A8848" s="4" t="s">
        <v>11128</v>
      </c>
      <c r="B8848" s="4" t="s">
        <v>11131</v>
      </c>
      <c r="C8848" s="5" t="str">
        <f>IFERROR(__xludf.DUMMYFUNCTION("GOOGLETRANSLATE(B8848,""en"",""zh-CN"")"),"一群人手工清洁汽车。")</f>
        <v>一群人手工清洁汽车。</v>
      </c>
    </row>
    <row r="8849">
      <c r="A8849" s="4" t="s">
        <v>11132</v>
      </c>
      <c r="B8849" s="4" t="s">
        <v>11133</v>
      </c>
      <c r="C8849" s="5" t="str">
        <f>IFERROR(__xludf.DUMMYFUNCTION("GOOGLETRANSLATE(B8849,""en"",""zh-CN"")"),"一个人在车间中焊接钢梁的一部分。")</f>
        <v>一个人在车间中焊接钢梁的一部分。</v>
      </c>
    </row>
    <row r="8850">
      <c r="A8850" s="4" t="s">
        <v>11132</v>
      </c>
      <c r="B8850" s="4" t="s">
        <v>11134</v>
      </c>
      <c r="C8850" s="5" t="str">
        <f>IFERROR(__xludf.DUMMYFUNCTION("GOOGLETRANSLATE(B8850,""en"",""zh-CN"")"),"使用钳子调节焊接枪的尖端。")</f>
        <v>使用钳子调节焊接枪的尖端。</v>
      </c>
    </row>
    <row r="8851">
      <c r="A8851" s="4" t="s">
        <v>11132</v>
      </c>
      <c r="B8851" s="4" t="s">
        <v>11135</v>
      </c>
      <c r="C8851" s="5" t="str">
        <f>IFERROR(__xludf.DUMMYFUNCTION("GOOGLETRANSLATE(B8851,""en"",""zh-CN"")"),"该人在制作焊缝之间标记并测量板金属片。")</f>
        <v>该人在制作焊缝之间标记并测量板金属片。</v>
      </c>
    </row>
    <row r="8852">
      <c r="A8852" s="4" t="s">
        <v>11132</v>
      </c>
      <c r="B8852" s="4" t="s">
        <v>11136</v>
      </c>
      <c r="C8852" s="5" t="str">
        <f>IFERROR(__xludf.DUMMYFUNCTION("GOOGLETRANSLATE(B8852,""en"",""zh-CN"")"),"该男子展示了在板金属上制作焊接的角度。")</f>
        <v>该男子展示了在板金属上制作焊接的角度。</v>
      </c>
    </row>
    <row r="8853">
      <c r="A8853" s="4" t="s">
        <v>11137</v>
      </c>
      <c r="B8853" s="4" t="s">
        <v>11138</v>
      </c>
      <c r="C8853" s="5" t="str">
        <f>IFERROR(__xludf.DUMMYFUNCTION("GOOGLETRANSLATE(B8853,""en"",""zh-CN"")"),"显示了多个穿着骑自行车装备的人的伸缩景观。")</f>
        <v>显示了多个穿着骑自行车装备的人的伸缩景观。</v>
      </c>
    </row>
    <row r="8854">
      <c r="A8854" s="4" t="s">
        <v>11137</v>
      </c>
      <c r="B8854" s="4" t="s">
        <v>11139</v>
      </c>
      <c r="C8854" s="5" t="str">
        <f>IFERROR(__xludf.DUMMYFUNCTION("GOOGLETRANSLATE(B8854,""en"",""zh-CN"")"),"人群散开，手里拿着枪四处走动。")</f>
        <v>人群散开，手里拿着枪四处走动。</v>
      </c>
    </row>
    <row r="8855">
      <c r="A8855" s="4" t="s">
        <v>11137</v>
      </c>
      <c r="B8855" s="4" t="s">
        <v>11140</v>
      </c>
      <c r="C8855" s="5" t="str">
        <f>IFERROR(__xludf.DUMMYFUNCTION("GOOGLETRANSLATE(B8855,""en"",""zh-CN"")"),"他们针对各种物体。")</f>
        <v>他们针对各种物体。</v>
      </c>
    </row>
    <row r="8856">
      <c r="A8856" s="4" t="s">
        <v>11137</v>
      </c>
      <c r="B8856" s="4" t="s">
        <v>11141</v>
      </c>
      <c r="C8856" s="5" t="str">
        <f>IFERROR(__xludf.DUMMYFUNCTION("GOOGLETRANSLATE(B8856,""en"",""zh-CN"")"),"这些人躲在墙后，在他们经营的情况下互相射击。")</f>
        <v>这些人躲在墙后，在他们经营的情况下互相射击。</v>
      </c>
    </row>
    <row r="8857">
      <c r="A8857" s="4" t="s">
        <v>11142</v>
      </c>
      <c r="B8857" s="4" t="s">
        <v>11143</v>
      </c>
      <c r="C8857" s="5" t="str">
        <f>IFERROR(__xludf.DUMMYFUNCTION("GOOGLETRANSLATE(B8857,""en"",""zh-CN"")"),"看到一大批人与一个男人一起在舞蹈室徘徊。")</f>
        <v>看到一大批人与一个男人一起在舞蹈室徘徊。</v>
      </c>
    </row>
    <row r="8858">
      <c r="A8858" s="4" t="s">
        <v>11142</v>
      </c>
      <c r="B8858" s="4" t="s">
        <v>11144</v>
      </c>
      <c r="C8858" s="5" t="str">
        <f>IFERROR(__xludf.DUMMYFUNCTION("GOOGLETRANSLATE(B8858,""en"",""zh-CN"")"),"然后，该男子开始在一群人面前带领舞蹈课。")</f>
        <v>然后，该男子开始在一群人面前带领舞蹈课。</v>
      </c>
    </row>
    <row r="8859">
      <c r="A8859" s="4" t="s">
        <v>11142</v>
      </c>
      <c r="B8859" s="4" t="s">
        <v>11145</v>
      </c>
      <c r="C8859" s="5" t="str">
        <f>IFERROR(__xludf.DUMMYFUNCTION("GOOGLETRANSLATE(B8859,""en"",""zh-CN"")"),"人们继续跟随男人跳舞，四处移动胳膊和腿。")</f>
        <v>人们继续跟随男人跳舞，四处移动胳膊和腿。</v>
      </c>
    </row>
    <row r="8860">
      <c r="A8860" s="4" t="s">
        <v>11146</v>
      </c>
      <c r="B8860" s="4" t="s">
        <v>11147</v>
      </c>
      <c r="C8860" s="5" t="str">
        <f>IFERROR(__xludf.DUMMYFUNCTION("GOOGLETRANSLATE(B8860,""en"",""zh-CN"")"),"两名男子为击剑比赛做准备。")</f>
        <v>两名男子为击剑比赛做准备。</v>
      </c>
    </row>
    <row r="8861">
      <c r="A8861" s="4" t="s">
        <v>11146</v>
      </c>
      <c r="B8861" s="4" t="s">
        <v>11148</v>
      </c>
      <c r="C8861" s="5" t="str">
        <f>IFERROR(__xludf.DUMMYFUNCTION("GOOGLETRANSLATE(B8861,""en"",""zh-CN"")"),"该视频显示了人们在各种比赛中互相围起来的几个亮点。")</f>
        <v>该视频显示了人们在各种比赛中互相围起来的几个亮点。</v>
      </c>
    </row>
    <row r="8862">
      <c r="A8862" s="4" t="s">
        <v>11146</v>
      </c>
      <c r="B8862" s="4" t="s">
        <v>11149</v>
      </c>
      <c r="C8862" s="5" t="str">
        <f>IFERROR(__xludf.DUMMYFUNCTION("GOOGLETRANSLATE(B8862,""en"",""zh-CN"")"),"有些人很快就赢得了比赛。")</f>
        <v>有些人很快就赢得了比赛。</v>
      </c>
    </row>
    <row r="8863">
      <c r="A8863" s="4" t="s">
        <v>11146</v>
      </c>
      <c r="B8863" s="4" t="s">
        <v>11150</v>
      </c>
      <c r="C8863" s="5" t="str">
        <f>IFERROR(__xludf.DUMMYFUNCTION("GOOGLETRANSLATE(B8863,""en"",""zh-CN"")"),"两个男人不断回去，彼此第四。")</f>
        <v>两个男人不断回去，彼此第四。</v>
      </c>
    </row>
    <row r="8864">
      <c r="A8864" s="4" t="s">
        <v>11146</v>
      </c>
      <c r="B8864" s="4" t="s">
        <v>11151</v>
      </c>
      <c r="C8864" s="5" t="str">
        <f>IFERROR(__xludf.DUMMYFUNCTION("GOOGLETRANSLATE(B8864,""en"",""zh-CN"")"),"该男子一遍又一遍地获胜。")</f>
        <v>该男子一遍又一遍地获胜。</v>
      </c>
    </row>
    <row r="8865">
      <c r="A8865" s="4" t="s">
        <v>11146</v>
      </c>
      <c r="B8865" s="4" t="s">
        <v>11152</v>
      </c>
      <c r="C8865" s="5" t="str">
        <f>IFERROR(__xludf.DUMMYFUNCTION("GOOGLETRANSLATE(B8865,""en"",""zh-CN"")"),"他被证明是因为即将与另一场比赛的比赛练习。")</f>
        <v>他被证明是因为即将与另一场比赛的比赛练习。</v>
      </c>
    </row>
    <row r="8866">
      <c r="A8866" s="4" t="s">
        <v>11146</v>
      </c>
      <c r="B8866" s="4" t="s">
        <v>11153</v>
      </c>
      <c r="C8866" s="5" t="str">
        <f>IFERROR(__xludf.DUMMYFUNCTION("GOOGLETRANSLATE(B8866,""en"",""zh-CN"")"),"他似乎一遍又一遍。")</f>
        <v>他似乎一遍又一遍。</v>
      </c>
    </row>
    <row r="8867">
      <c r="A8867" s="4" t="s">
        <v>11154</v>
      </c>
      <c r="B8867" s="4" t="s">
        <v>11155</v>
      </c>
      <c r="C8867" s="5" t="str">
        <f>IFERROR(__xludf.DUMMYFUNCTION("GOOGLETRANSLATE(B8867,""en"",""zh-CN"")"),"人们站在坐在椅子上的美发沙龙里。")</f>
        <v>人们站在坐在椅子上的美发沙龙里。</v>
      </c>
    </row>
    <row r="8868">
      <c r="A8868" s="4" t="s">
        <v>11154</v>
      </c>
      <c r="B8868" s="4" t="s">
        <v>11156</v>
      </c>
      <c r="C8868" s="5" t="str">
        <f>IFERROR(__xludf.DUMMYFUNCTION("GOOGLETRANSLATE(B8868,""en"",""zh-CN"")"),"女人正站在Anoter的后面，将头发梳理并与镜头交谈。")</f>
        <v>女人正站在Anoter的后面，将头发梳理并与镜头交谈。</v>
      </c>
    </row>
    <row r="8869">
      <c r="A8869" s="4" t="s">
        <v>11154</v>
      </c>
      <c r="B8869" s="4" t="s">
        <v>11157</v>
      </c>
      <c r="C8869" s="5" t="str">
        <f>IFERROR(__xludf.DUMMYFUNCTION("GOOGLETRANSLATE(B8869,""en"",""zh-CN"")"),"女人坐在椅子上，而她身后的女人正在干燥头发。")</f>
        <v>女人坐在椅子上，而她身后的女人正在干燥头发。</v>
      </c>
    </row>
    <row r="8870">
      <c r="A8870" s="4" t="s">
        <v>11158</v>
      </c>
      <c r="B8870" s="6" t="s">
        <v>11159</v>
      </c>
      <c r="C8870" s="5" t="str">
        <f>IFERROR(__xludf.DUMMYFUNCTION("GOOGLETRANSLATE(B8870,""en"",""zh-CN"")"),"铅在一个男人的手指上和向下移动的同时，在房屋前弹吉他。")</f>
        <v>铅在一个男人的手指上和向下移动的同时，在房屋前弹吉他。</v>
      </c>
    </row>
    <row r="8871">
      <c r="A8871" s="4" t="s">
        <v>11158</v>
      </c>
      <c r="B8871" s="4" t="s">
        <v>11160</v>
      </c>
      <c r="C8871" s="5" t="str">
        <f>IFERROR(__xludf.DUMMYFUNCTION("GOOGLETRANSLATE(B8871,""en"",""zh-CN"")"),"该男子继续演奏，视频导致他的头顶上方的文字。")</f>
        <v>该男子继续演奏，视频导致他的头顶上方的文字。</v>
      </c>
    </row>
    <row r="8872">
      <c r="A8872" s="4" t="s">
        <v>11161</v>
      </c>
      <c r="B8872" s="6" t="s">
        <v>11162</v>
      </c>
      <c r="C8872" s="5" t="str">
        <f>IFERROR(__xludf.DUMMYFUNCTION("GOOGLETRANSLATE(B8872,""en"",""zh-CN"")"),"一位穿着黄色和黑色衬衫的男性球员正在携带一个小孩子，他在接受白衬衫并拿着麦克风的记者采访时穿着同一件衬衫。")</f>
        <v>一位穿着黄色和黑色衬衫的男性球员正在携带一个小孩子，他在接受白衬衫并拿着麦克风的记者采访时穿着同一件衬衫。</v>
      </c>
    </row>
    <row r="8873">
      <c r="A8873" s="4" t="s">
        <v>11161</v>
      </c>
      <c r="B8873" s="4" t="s">
        <v>11163</v>
      </c>
      <c r="C8873" s="5" t="str">
        <f>IFERROR(__xludf.DUMMYFUNCTION("GOOGLETRANSLATE(B8873,""en"",""zh-CN"")"),"不同统一色彩的不同团队正在桌上踢足球。")</f>
        <v>不同统一色彩的不同团队正在桌上踢足球。</v>
      </c>
    </row>
    <row r="8874">
      <c r="A8874" s="4" t="s">
        <v>11164</v>
      </c>
      <c r="B8874" s="4" t="s">
        <v>11165</v>
      </c>
      <c r="C8874" s="5" t="str">
        <f>IFERROR(__xludf.DUMMYFUNCTION("GOOGLETRANSLATE(B8874,""en"",""zh-CN"")"),"显示了一座白雪皑皑的山脉的各种镜头，以及一个骑着山上的人。")</f>
        <v>显示了一座白雪皑皑的山脉的各种镜头，以及一个骑着山上的人。</v>
      </c>
    </row>
    <row r="8875">
      <c r="A8875" s="4" t="s">
        <v>11164</v>
      </c>
      <c r="B8875" s="4" t="s">
        <v>11166</v>
      </c>
      <c r="C8875" s="5" t="str">
        <f>IFERROR(__xludf.DUMMYFUNCTION("GOOGLETRANSLATE(B8875,""en"",""zh-CN"")"),"这个人看着他周围的其他人，看到骑着山。")</f>
        <v>这个人看着他周围的其他人，看到骑着山。</v>
      </c>
    </row>
    <row r="8876">
      <c r="A8876" s="4" t="s">
        <v>11164</v>
      </c>
      <c r="B8876" s="4" t="s">
        <v>11167</v>
      </c>
      <c r="C8876" s="5" t="str">
        <f>IFERROR(__xludf.DUMMYFUNCTION("GOOGLETRANSLATE(B8876,""en"",""zh-CN"")"),"该人骑着侧面的​​人骑了几次。")</f>
        <v>该人骑着侧面的​​人骑了几次。</v>
      </c>
    </row>
    <row r="8877">
      <c r="A8877" s="4" t="s">
        <v>11168</v>
      </c>
      <c r="B8877" s="4" t="s">
        <v>11169</v>
      </c>
      <c r="C8877" s="5" t="str">
        <f>IFERROR(__xludf.DUMMYFUNCTION("GOOGLETRANSLATE(B8877,""en"",""zh-CN"")"),"一名女性俄罗斯体操运动员在一个大型竞技场前的垫子上，有几个人看着她。")</f>
        <v>一名女性俄罗斯体操运动员在一个大型竞技场前的垫子上，有几个人看着她。</v>
      </c>
    </row>
    <row r="8878">
      <c r="A8878" s="4" t="s">
        <v>11168</v>
      </c>
      <c r="B8878" s="6" t="s">
        <v>11170</v>
      </c>
      <c r="C8878" s="5" t="str">
        <f>IFERROR(__xludf.DUMMYFUNCTION("GOOGLETRANSLATE(B8878,""en"",""zh-CN"")"),"然后，女孩开始做一系列的手推车，最终跳到平衡梁上以进行例行。")</f>
        <v>然后，女孩开始做一系列的手推车，最终跳到平衡梁上以进行例行。</v>
      </c>
    </row>
    <row r="8879">
      <c r="A8879" s="4" t="s">
        <v>11168</v>
      </c>
      <c r="B8879" s="4" t="s">
        <v>11171</v>
      </c>
      <c r="C8879" s="5" t="str">
        <f>IFERROR(__xludf.DUMMYFUNCTION("GOOGLETRANSLATE(B8879,""en"",""zh-CN"")"),"完成后，女孩结束了几个技巧，然后走到一边。")</f>
        <v>完成后，女孩结束了几个技巧，然后走到一边。</v>
      </c>
    </row>
    <row r="8880">
      <c r="A8880" s="4" t="s">
        <v>11168</v>
      </c>
      <c r="B8880" s="6" t="s">
        <v>11172</v>
      </c>
      <c r="C8880" s="5" t="str">
        <f>IFERROR(__xludf.DUMMYFUNCTION("GOOGLETRANSLATE(B8880,""en"",""zh-CN"")"),"人们开始为她加油打气，并显示了她的重播，屏幕底部显示了她的分数约28。")</f>
        <v>人们开始为她加油打气，并显示了她的重播，屏幕底部显示了她的分数约28。</v>
      </c>
    </row>
    <row r="8881">
      <c r="A8881" s="4" t="s">
        <v>11173</v>
      </c>
      <c r="B8881" s="4" t="s">
        <v>11174</v>
      </c>
      <c r="C8881" s="5" t="str">
        <f>IFERROR(__xludf.DUMMYFUNCTION("GOOGLETRANSLATE(B8881,""en"",""zh-CN"")"),"穿着棒球制服的女孩站在一场啤酒花游戏的尽头。")</f>
        <v>穿着棒球制服的女孩站在一场啤酒花游戏的尽头。</v>
      </c>
    </row>
    <row r="8882">
      <c r="A8882" s="4" t="s">
        <v>11173</v>
      </c>
      <c r="B8882" s="4" t="s">
        <v>11175</v>
      </c>
      <c r="C8882" s="5" t="str">
        <f>IFERROR(__xludf.DUMMYFUNCTION("GOOGLETRANSLATE(B8882,""en"",""zh-CN"")"),"一个穿着红色衬衫的女孩正在玩跳雪花。")</f>
        <v>一个穿着红色衬衫的女孩正在玩跳雪花。</v>
      </c>
    </row>
    <row r="8883">
      <c r="A8883" s="4" t="s">
        <v>11173</v>
      </c>
      <c r="B8883" s="4" t="s">
        <v>11176</v>
      </c>
      <c r="C8883" s="5" t="str">
        <f>IFERROR(__xludf.DUMMYFUNCTION("GOOGLETRANSLATE(B8883,""en"",""zh-CN"")"),"球员正在打跳球。")</f>
        <v>球员正在打跳球。</v>
      </c>
    </row>
    <row r="8884">
      <c r="A8884" s="4" t="s">
        <v>11173</v>
      </c>
      <c r="B8884" s="4" t="s">
        <v>11177</v>
      </c>
      <c r="C8884" s="5" t="str">
        <f>IFERROR(__xludf.DUMMYFUNCTION("GOOGLETRANSLATE(B8884,""en"",""zh-CN"")"),"女孩们互相笑。")</f>
        <v>女孩们互相笑。</v>
      </c>
    </row>
    <row r="8885">
      <c r="A8885" s="4" t="s">
        <v>11178</v>
      </c>
      <c r="B8885" s="4" t="s">
        <v>11179</v>
      </c>
      <c r="C8885" s="5" t="str">
        <f>IFERROR(__xludf.DUMMYFUNCTION("GOOGLETRANSLATE(B8885,""en"",""zh-CN"")"),"看到三个女孩拿着一条绳子，一根走开，两人在拔河比赛。")</f>
        <v>看到三个女孩拿着一条绳子，一根走开，两人在拔河比赛。</v>
      </c>
    </row>
    <row r="8886">
      <c r="A8886" s="4" t="s">
        <v>11178</v>
      </c>
      <c r="B8886" s="6" t="s">
        <v>11180</v>
      </c>
      <c r="C8886" s="5" t="str">
        <f>IFERROR(__xludf.DUMMYFUNCTION("GOOGLETRANSLATE(B8886,""en"",""zh-CN"")"),"两名女孩切换场所，最后两个互相竞争，击败了战争，第四名。")</f>
        <v>两名女孩切换场所，最后两个互相竞争，击败了战争，第四名。</v>
      </c>
    </row>
    <row r="8887">
      <c r="A8887" s="4" t="s">
        <v>11181</v>
      </c>
      <c r="B8887" s="4" t="s">
        <v>11182</v>
      </c>
      <c r="C8887" s="5" t="str">
        <f>IFERROR(__xludf.DUMMYFUNCTION("GOOGLETRANSLATE(B8887,""en"",""zh-CN"")"),"看到一个女孩沿着一条漫长的道路铺路，几个人在她周围走来走去。")</f>
        <v>看到一个女孩沿着一条漫长的道路铺路，几个人在她周围走来走去。</v>
      </c>
    </row>
    <row r="8888">
      <c r="A8888" s="4" t="s">
        <v>11181</v>
      </c>
      <c r="B8888" s="6" t="s">
        <v>11183</v>
      </c>
      <c r="C8888" s="5" t="str">
        <f>IFERROR(__xludf.DUMMYFUNCTION("GOOGLETRANSLATE(B8888,""en"",""zh-CN"")"),"相机放大了她的脸，向该地区的所有人展示了摄影师的脚。")</f>
        <v>相机放大了她的脸，向该地区的所有人展示了摄影师的脚。</v>
      </c>
    </row>
    <row r="8889">
      <c r="A8889" s="4" t="s">
        <v>11184</v>
      </c>
      <c r="B8889" s="4" t="s">
        <v>11185</v>
      </c>
      <c r="C8889" s="5" t="str">
        <f>IFERROR(__xludf.DUMMYFUNCTION("GOOGLETRANSLATE(B8889,""en"",""zh-CN"")"),"这个男人穿着红色背心，黑色短裤和鞋子。")</f>
        <v>这个男人穿着红色背心，黑色短裤和鞋子。</v>
      </c>
    </row>
    <row r="8890">
      <c r="A8890" s="4" t="s">
        <v>11184</v>
      </c>
      <c r="B8890" s="4" t="s">
        <v>11186</v>
      </c>
      <c r="C8890" s="5" t="str">
        <f>IFERROR(__xludf.DUMMYFUNCTION("GOOGLETRANSLATE(B8890,""en"",""zh-CN"")"),"他在赛道上奔跑，并进行三级跳跃，使他几乎取得了最后。")</f>
        <v>他在赛道上奔跑，并进行三级跳跃，使他几乎取得了最后。</v>
      </c>
    </row>
    <row r="8891">
      <c r="A8891" s="4" t="s">
        <v>11187</v>
      </c>
      <c r="B8891" s="4" t="s">
        <v>11188</v>
      </c>
      <c r="C8891" s="5" t="str">
        <f>IFERROR(__xludf.DUMMYFUNCTION("GOOGLETRANSLATE(B8891,""en"",""zh-CN"")"),"一台相机在城市周围竖起，并进入赌场中的几个人玩。")</f>
        <v>一台相机在城市周围竖起，并进入赌场中的几个人玩。</v>
      </c>
    </row>
    <row r="8892">
      <c r="A8892" s="4" t="s">
        <v>11187</v>
      </c>
      <c r="B8892" s="4" t="s">
        <v>11189</v>
      </c>
      <c r="C8892" s="5" t="str">
        <f>IFERROR(__xludf.DUMMYFUNCTION("GOOGLETRANSLATE(B8892,""en"",""zh-CN"")"),"看到一个男人对摄像机说话，并接受了新闻的采访。")</f>
        <v>看到一个男人对摄像机说话，并接受了新闻的采访。</v>
      </c>
    </row>
    <row r="8893">
      <c r="A8893" s="4" t="s">
        <v>11187</v>
      </c>
      <c r="B8893" s="4" t="s">
        <v>11190</v>
      </c>
      <c r="C8893" s="5" t="str">
        <f>IFERROR(__xludf.DUMMYFUNCTION("GOOGLETRANSLATE(B8893,""en"",""zh-CN"")"),"在炫耀赌场片段时，人们看到更多的人受到采访。")</f>
        <v>在炫耀赌场片段时，人们看到更多的人受到采访。</v>
      </c>
    </row>
    <row r="8894">
      <c r="A8894" s="4" t="s">
        <v>11191</v>
      </c>
      <c r="B8894" s="4" t="s">
        <v>11192</v>
      </c>
      <c r="C8894" s="5" t="str">
        <f>IFERROR(__xludf.DUMMYFUNCTION("GOOGLETRANSLATE(B8894,""en"",""zh-CN"")"),"摄像头放大水槽时，可以看到水槽的特写，上面有更干净的顶部。")</f>
        <v>摄像头放大水槽时，可以看到水槽的特写，上面有更干净的顶部。</v>
      </c>
    </row>
    <row r="8895">
      <c r="A8895" s="4" t="s">
        <v>11191</v>
      </c>
      <c r="B8895" s="4" t="s">
        <v>11193</v>
      </c>
      <c r="C8895" s="5" t="str">
        <f>IFERROR(__xludf.DUMMYFUNCTION("GOOGLETRANSLATE(B8895,""en"",""zh-CN"")"),"然后看到一个女人用抹布在水槽上摩擦，最后露出水槽。")</f>
        <v>然后看到一个女人用抹布在水槽上摩擦，最后露出水槽。</v>
      </c>
    </row>
    <row r="8896">
      <c r="A8896" s="4" t="s">
        <v>11194</v>
      </c>
      <c r="B8896" s="4" t="s">
        <v>11195</v>
      </c>
      <c r="C8896" s="5" t="str">
        <f>IFERROR(__xludf.DUMMYFUNCTION("GOOGLETRANSLATE(B8896,""en"",""zh-CN"")"),"看到一个人在整个院子里推着割草机。")</f>
        <v>看到一个人在整个院子里推着割草机。</v>
      </c>
    </row>
    <row r="8897">
      <c r="A8897" s="4" t="s">
        <v>11194</v>
      </c>
      <c r="B8897" s="4" t="s">
        <v>11196</v>
      </c>
      <c r="C8897" s="5" t="str">
        <f>IFERROR(__xludf.DUMMYFUNCTION("GOOGLETRANSLATE(B8897,""en"",""zh-CN"")"),"该人将割草机推到草的边缘以及整个草的其余部分。")</f>
        <v>该人将割草机推到草的边缘以及整个草的其余部分。</v>
      </c>
    </row>
    <row r="8898">
      <c r="A8898" s="4" t="s">
        <v>11194</v>
      </c>
      <c r="B8898" s="4" t="s">
        <v>11197</v>
      </c>
      <c r="C8898" s="5" t="str">
        <f>IFERROR(__xludf.DUMMYFUNCTION("GOOGLETRANSLATE(B8898,""en"",""zh-CN"")"),"然后，该名男子抓住了一个杂草瓦克，并沿着边缘切断杂草。")</f>
        <v>然后，该名男子抓住了一个杂草瓦克，并沿着边缘切断杂草。</v>
      </c>
    </row>
    <row r="8899">
      <c r="A8899" s="4" t="s">
        <v>11198</v>
      </c>
      <c r="B8899" s="6" t="s">
        <v>11199</v>
      </c>
      <c r="C8899" s="5" t="str">
        <f>IFERROR(__xludf.DUMMYFUNCTION("GOOGLETRANSLATE(B8899,""en"",""zh-CN"")"),"看到一个男人尽可能快地移动一张鹅卵石桌子，而另一个男人则在侧面看。")</f>
        <v>看到一个男人尽可能快地移动一张鹅卵石桌子，而另一个男人则在侧面看。</v>
      </c>
    </row>
    <row r="8900">
      <c r="A8900" s="4" t="s">
        <v>11198</v>
      </c>
      <c r="B8900" s="4" t="s">
        <v>11200</v>
      </c>
      <c r="C8900" s="5" t="str">
        <f>IFERROR(__xludf.DUMMYFUNCTION("GOOGLETRANSLATE(B8900,""en"",""zh-CN"")"),"然后，男人互相比赛，而人们继续迅速移动杆子。")</f>
        <v>然后，男人互相比赛，而人们继续迅速移动杆子。</v>
      </c>
    </row>
    <row r="8901">
      <c r="A8901" s="4" t="s">
        <v>11201</v>
      </c>
      <c r="B8901" s="4" t="s">
        <v>11202</v>
      </c>
      <c r="C8901" s="5" t="str">
        <f>IFERROR(__xludf.DUMMYFUNCTION("GOOGLETRANSLATE(B8901,""en"",""zh-CN"")"),"看到一大批舞者站在舞台上并开始执行例程。")</f>
        <v>看到一大批舞者站在舞台上并开始执行例程。</v>
      </c>
    </row>
    <row r="8902">
      <c r="A8902" s="4" t="s">
        <v>11201</v>
      </c>
      <c r="B8902" s="4" t="s">
        <v>11203</v>
      </c>
      <c r="C8902" s="5" t="str">
        <f>IFERROR(__xludf.DUMMYFUNCTION("GOOGLETRANSLATE(B8902,""en"",""zh-CN"")"),"女孩们继续彼此跳舞，结束姿势。")</f>
        <v>女孩们继续彼此跳舞，结束姿势。</v>
      </c>
    </row>
    <row r="8903">
      <c r="A8903" s="4" t="s">
        <v>11204</v>
      </c>
      <c r="B8903" s="4" t="s">
        <v>11205</v>
      </c>
      <c r="C8903" s="5" t="str">
        <f>IFERROR(__xludf.DUMMYFUNCTION("GOOGLETRANSLATE(B8903,""en"",""zh-CN"")"),"一个男人坐在他的腿上坐着一名手风琴。")</f>
        <v>一个男人坐在他的腿上坐着一名手风琴。</v>
      </c>
    </row>
    <row r="8904">
      <c r="A8904" s="4" t="s">
        <v>11204</v>
      </c>
      <c r="B8904" s="4" t="s">
        <v>11206</v>
      </c>
      <c r="C8904" s="5" t="str">
        <f>IFERROR(__xludf.DUMMYFUNCTION("GOOGLETRANSLATE(B8904,""en"",""zh-CN"")"),"当他用另一只手弹奏键盘时，他将其拉进出。")</f>
        <v>当他用另一只手弹奏键盘时，他将其拉进出。</v>
      </c>
    </row>
    <row r="8905">
      <c r="A8905" s="4" t="s">
        <v>11204</v>
      </c>
      <c r="B8905" s="4" t="s">
        <v>11207</v>
      </c>
      <c r="C8905" s="5" t="str">
        <f>IFERROR(__xludf.DUMMYFUNCTION("GOOGLETRANSLATE(B8905,""en"",""zh-CN"")"),"在继续演奏时，他与两个不同的手风琴表明。")</f>
        <v>在继续演奏时，他与两个不同的手风琴表明。</v>
      </c>
    </row>
    <row r="8906">
      <c r="A8906" s="4" t="s">
        <v>11208</v>
      </c>
      <c r="B8906" s="4" t="s">
        <v>11209</v>
      </c>
      <c r="C8906" s="5" t="str">
        <f>IFERROR(__xludf.DUMMYFUNCTION("GOOGLETRANSLATE(B8906,""en"",""zh-CN"")"),"摔跤手在戒指的中间等待他的对手。")</f>
        <v>摔跤手在戒指的中间等待他的对手。</v>
      </c>
    </row>
    <row r="8907">
      <c r="A8907" s="4" t="s">
        <v>11208</v>
      </c>
      <c r="B8907" s="6" t="s">
        <v>11210</v>
      </c>
      <c r="C8907" s="5" t="str">
        <f>IFERROR(__xludf.DUMMYFUNCTION("GOOGLETRANSLATE(B8907,""en"",""zh-CN"")"),"一旦他进来，他们就抓住了一条绳子，开始与它进行拔河战争，互相拉。")</f>
        <v>一旦他进来，他们就抓住了一条绳子，开始与它进行拔河战争，互相拉。</v>
      </c>
    </row>
    <row r="8908">
      <c r="A8908" s="4" t="s">
        <v>11208</v>
      </c>
      <c r="B8908" s="4" t="s">
        <v>11211</v>
      </c>
      <c r="C8908" s="5" t="str">
        <f>IFERROR(__xludf.DUMMYFUNCTION("GOOGLETRANSLATE(B8908,""en"",""zh-CN"")"),"当红头摔跤手使对方跌倒时，他们努力击败对方。")</f>
        <v>当红头摔跤手使对方跌倒时，他们努力击败对方。</v>
      </c>
    </row>
    <row r="8909">
      <c r="A8909" s="4" t="s">
        <v>11208</v>
      </c>
      <c r="B8909" s="4" t="s">
        <v>11212</v>
      </c>
      <c r="C8909" s="5" t="str">
        <f>IFERROR(__xludf.DUMMYFUNCTION("GOOGLETRANSLATE(B8909,""en"",""zh-CN"")"),"他glo脚，上下跳跃，将手撞在胸前。")</f>
        <v>他glo脚，上下跳跃，将手撞在胸前。</v>
      </c>
    </row>
    <row r="8910">
      <c r="A8910" s="4" t="s">
        <v>11213</v>
      </c>
      <c r="B8910" s="4" t="s">
        <v>11214</v>
      </c>
      <c r="C8910" s="5" t="str">
        <f>IFERROR(__xludf.DUMMYFUNCTION("GOOGLETRANSLATE(B8910,""en"",""zh-CN"")"),"一个男人蹲在舞蹈室里。")</f>
        <v>一个男人蹲在舞蹈室里。</v>
      </c>
    </row>
    <row r="8911">
      <c r="A8911" s="4" t="s">
        <v>11213</v>
      </c>
      <c r="B8911" s="4" t="s">
        <v>11215</v>
      </c>
      <c r="C8911" s="5" t="str">
        <f>IFERROR(__xludf.DUMMYFUNCTION("GOOGLETRANSLATE(B8911,""en"",""zh-CN"")"),"他把自己抬到手上。")</f>
        <v>他把自己抬到手上。</v>
      </c>
    </row>
    <row r="8912">
      <c r="A8912" s="4" t="s">
        <v>11213</v>
      </c>
      <c r="B8912" s="4" t="s">
        <v>11216</v>
      </c>
      <c r="C8912" s="5" t="str">
        <f>IFERROR(__xludf.DUMMYFUNCTION("GOOGLETRANSLATE(B8912,""en"",""zh-CN"")"),"他将脚抬起空中。")</f>
        <v>他将脚抬起空中。</v>
      </c>
    </row>
    <row r="8913">
      <c r="A8913" s="4" t="s">
        <v>11213</v>
      </c>
      <c r="B8913" s="4" t="s">
        <v>11217</v>
      </c>
      <c r="C8913" s="5" t="str">
        <f>IFERROR(__xludf.DUMMYFUNCTION("GOOGLETRANSLATE(B8913,""en"",""zh-CN"")"),"然后，他躺在地上。")</f>
        <v>然后，他躺在地上。</v>
      </c>
    </row>
    <row r="8914">
      <c r="A8914" s="4" t="s">
        <v>11218</v>
      </c>
      <c r="B8914" s="6" t="s">
        <v>11219</v>
      </c>
      <c r="C8914" s="5" t="str">
        <f>IFERROR(__xludf.DUMMYFUNCTION("GOOGLETRANSLATE(B8914,""en"",""zh-CN"")"),"一个金发碧眼的女人正在和狗一起玩耍，她正在亲吻它们，并给他们洗个澡，女人拿着剪刀，正在剪狗的头发。")</f>
        <v>一个金发碧眼的女人正在和狗一起玩耍，她正在亲吻它们，并给他们洗个澡，女人拿着剪刀，正在剪狗的头发。</v>
      </c>
    </row>
    <row r="8915">
      <c r="A8915" s="4" t="s">
        <v>11218</v>
      </c>
      <c r="B8915" s="4" t="s">
        <v>11220</v>
      </c>
      <c r="C8915" s="5" t="str">
        <f>IFERROR(__xludf.DUMMYFUNCTION("GOOGLETRANSLATE(B8915,""en"",""zh-CN"")"),"金发碧眼的女人在桌子上有一只美丽的白狗，一个兽医办公室。")</f>
        <v>金发碧眼的女人在桌子上有一只美丽的白狗，一个兽医办公室。</v>
      </c>
    </row>
    <row r="8916">
      <c r="A8916" s="4" t="s">
        <v>11218</v>
      </c>
      <c r="B8916" s="4" t="s">
        <v>11221</v>
      </c>
      <c r="C8916" s="5" t="str">
        <f>IFERROR(__xludf.DUMMYFUNCTION("GOOGLETRANSLATE(B8916,""en"",""zh-CN"")"),"女人和黑狗在一起，正在造型狗的头发。")</f>
        <v>女人和黑狗在一起，正在造型狗的头发。</v>
      </c>
    </row>
    <row r="8917">
      <c r="A8917" s="4" t="s">
        <v>11218</v>
      </c>
      <c r="B8917" s="4" t="s">
        <v>11222</v>
      </c>
      <c r="C8917" s="5" t="str">
        <f>IFERROR(__xludf.DUMMYFUNCTION("GOOGLETRANSLATE(B8917,""en"",""zh-CN"")"),"女人展示自己的文凭和奖项，并用白色的水坑梳理头发。")</f>
        <v>女人展示自己的文凭和奖项，并用白色的水坑梳理头发。</v>
      </c>
    </row>
    <row r="8918">
      <c r="A8918" s="4" t="s">
        <v>11218</v>
      </c>
      <c r="B8918" s="4" t="s">
        <v>11223</v>
      </c>
      <c r="C8918" s="5" t="str">
        <f>IFERROR(__xludf.DUMMYFUNCTION("GOOGLETRANSLATE(B8918,""en"",""zh-CN"")"),"女人梳理黑狗的头发，然后玩。")</f>
        <v>女人梳理黑狗的头发，然后玩。</v>
      </c>
    </row>
    <row r="8919">
      <c r="A8919" s="4" t="s">
        <v>11218</v>
      </c>
      <c r="B8919" s="4" t="s">
        <v>11224</v>
      </c>
      <c r="C8919" s="5" t="str">
        <f>IFERROR(__xludf.DUMMYFUNCTION("GOOGLETRANSLATE(B8919,""en"",""zh-CN"")"),"女人拿着白狗爪子剪指甲。")</f>
        <v>女人拿着白狗爪子剪指甲。</v>
      </c>
    </row>
    <row r="8920">
      <c r="A8920" s="4" t="s">
        <v>11218</v>
      </c>
      <c r="B8920" s="4" t="s">
        <v>11225</v>
      </c>
      <c r="C8920" s="5" t="str">
        <f>IFERROR(__xludf.DUMMYFUNCTION("GOOGLETRANSLATE(B8920,""en"",""zh-CN"")"),"女人和黑狗一起给他洗个澡，造型头发。")</f>
        <v>女人和黑狗一起给他洗个澡，造型头发。</v>
      </c>
    </row>
    <row r="8921">
      <c r="A8921" s="4" t="s">
        <v>11218</v>
      </c>
      <c r="B8921" s="4" t="s">
        <v>11226</v>
      </c>
      <c r="C8921" s="5" t="str">
        <f>IFERROR(__xludf.DUMMYFUNCTION("GOOGLETRANSLATE(B8921,""en"",""zh-CN"")"),"女人在底部说话时，一个金发女人正在梳理白色的水坑。")</f>
        <v>女人在底部说话时，一个金发女人正在梳理白色的水坑。</v>
      </c>
    </row>
    <row r="8922">
      <c r="A8922" s="4" t="s">
        <v>11218</v>
      </c>
      <c r="B8922" s="6" t="s">
        <v>11227</v>
      </c>
      <c r="C8922" s="5" t="str">
        <f>IFERROR(__xludf.DUMMYFUNCTION("GOOGLETRANSLATE(B8922,""en"",""zh-CN"")"),"金发碧眼的女人拿着白色的水坑，正在与摄像机交谈，将网络压制给狗沙龙白色显示狗的梳子和淋浴。")</f>
        <v>金发碧眼的女人拿着白色的水坑，正在与摄像机交谈，将网络压制给狗沙龙白色显示狗的梳子和淋浴。</v>
      </c>
    </row>
    <row r="8923">
      <c r="A8923" s="4" t="s">
        <v>11228</v>
      </c>
      <c r="B8923" s="6" t="s">
        <v>11229</v>
      </c>
      <c r="C8923" s="5" t="str">
        <f>IFERROR(__xludf.DUMMYFUNCTION("GOOGLETRANSLATE(B8923,""en"",""zh-CN"")"),"看到一名运动员站着准备握着杆子，开始沿着横梁上的大轨道奔跑。")</f>
        <v>看到一名运动员站着准备握着杆子，开始沿着横梁上的大轨道奔跑。</v>
      </c>
    </row>
    <row r="8924">
      <c r="A8924" s="4" t="s">
        <v>11228</v>
      </c>
      <c r="B8924" s="6" t="s">
        <v>11230</v>
      </c>
      <c r="C8924" s="5" t="str">
        <f>IFERROR(__xludf.DUMMYFUNCTION("GOOGLETRANSLATE(B8924,""en"",""zh-CN"")"),"那个女人然后跳过光束，将手臂伸到空中以庆祝并在田野里奔跑。")</f>
        <v>那个女人然后跳过光束，将手臂伸到空中以庆祝并在田野里奔跑。</v>
      </c>
    </row>
    <row r="8925">
      <c r="A8925" s="4" t="s">
        <v>11228</v>
      </c>
      <c r="B8925" s="6" t="s">
        <v>11231</v>
      </c>
      <c r="C8925" s="5" t="str">
        <f>IFERROR(__xludf.DUMMYFUNCTION("GOOGLETRANSLATE(B8925,""en"",""zh-CN"")"),"这个女人的确在庆祝活动的同时翻转了垫子，并以她的跳跃再次显示出来，她坐在他的分数前面。")</f>
        <v>这个女人的确在庆祝活动的同时翻转了垫子，并以她的跳跃再次显示出来，她坐在他的分数前面。</v>
      </c>
    </row>
    <row r="8926">
      <c r="A8926" s="4" t="s">
        <v>11232</v>
      </c>
      <c r="B8926" s="4" t="s">
        <v>11233</v>
      </c>
      <c r="C8926" s="5" t="str">
        <f>IFERROR(__xludf.DUMMYFUNCTION("GOOGLETRANSLATE(B8926,""en"",""zh-CN"")"),"看到一个年轻女子站在马旁边，与一小群人说话。")</f>
        <v>看到一个年轻女子站在马旁边，与一小群人说话。</v>
      </c>
    </row>
    <row r="8927">
      <c r="A8927" s="4" t="s">
        <v>11232</v>
      </c>
      <c r="B8927" s="4" t="s">
        <v>11234</v>
      </c>
      <c r="C8927" s="5" t="str">
        <f>IFERROR(__xludf.DUMMYFUNCTION("GOOGLETRANSLATE(B8927,""en"",""zh-CN"")"),"她将马匹稍微推了一点，并在仍在与小组交谈的同时开始刷尾巴。")</f>
        <v>她将马匹稍微推了一点，并在仍在与小组交谈的同时开始刷尾巴。</v>
      </c>
    </row>
    <row r="8928">
      <c r="A8928" s="4" t="s">
        <v>11232</v>
      </c>
      <c r="B8928" s="4" t="s">
        <v>11235</v>
      </c>
      <c r="C8928" s="5" t="str">
        <f>IFERROR(__xludf.DUMMYFUNCTION("GOOGLETRANSLATE(B8928,""en"",""zh-CN"")"),"她在与小组交谈并走开时停止刷牙。")</f>
        <v>她在与小组交谈并走开时停止刷牙。</v>
      </c>
    </row>
    <row r="8929">
      <c r="A8929" s="4" t="s">
        <v>11236</v>
      </c>
      <c r="B8929" s="4" t="s">
        <v>11237</v>
      </c>
      <c r="C8929" s="5" t="str">
        <f>IFERROR(__xludf.DUMMYFUNCTION("GOOGLETRANSLATE(B8929,""en"",""zh-CN"")"),"一个略带圆形的男人在拿着一罐饮料时站在厨房里。")</f>
        <v>一个略带圆形的男人在拿着一罐饮料时站在厨房里。</v>
      </c>
    </row>
    <row r="8930">
      <c r="A8930" s="4" t="s">
        <v>11236</v>
      </c>
      <c r="B8930" s="4" t="s">
        <v>11238</v>
      </c>
      <c r="C8930" s="5" t="str">
        <f>IFERROR(__xludf.DUMMYFUNCTION("GOOGLETRANSLATE(B8930,""en"",""zh-CN"")"),"这个男人在笑着和镜头谈论他手中的罐子。")</f>
        <v>这个男人在笑着和镜头谈论他手中的罐子。</v>
      </c>
    </row>
    <row r="8931">
      <c r="A8931" s="4" t="s">
        <v>11236</v>
      </c>
      <c r="B8931" s="4" t="s">
        <v>11239</v>
      </c>
      <c r="C8931" s="5" t="str">
        <f>IFERROR(__xludf.DUMMYFUNCTION("GOOGLETRANSLATE(B8931,""en"",""zh-CN"")"),"他将饮料倒入玻璃杯中，然后与男性朋友一起喝酒。")</f>
        <v>他将饮料倒入玻璃杯中，然后与男性朋友一起喝酒。</v>
      </c>
    </row>
    <row r="8932">
      <c r="A8932" s="4" t="s">
        <v>11236</v>
      </c>
      <c r="B8932" s="4" t="s">
        <v>11240</v>
      </c>
      <c r="C8932" s="5" t="str">
        <f>IFERROR(__xludf.DUMMYFUNCTION("GOOGLETRANSLATE(B8932,""en"",""zh-CN"")"),"两个人说话时喝着眼镜的内容。")</f>
        <v>两个人说话时喝着眼镜的内容。</v>
      </c>
    </row>
    <row r="8933">
      <c r="A8933" s="4" t="s">
        <v>11241</v>
      </c>
      <c r="B8933" s="6" t="s">
        <v>11242</v>
      </c>
      <c r="C8933" s="5" t="str">
        <f>IFERROR(__xludf.DUMMYFUNCTION("GOOGLETRANSLATE(B8933,""en"",""zh-CN"")"),"看到一个女人在镜头上说话，将双手放在熨烫桌上的一条裤子上。")</f>
        <v>看到一个女人在镜头上说话，将双手放在熨烫桌上的一条裤子上。</v>
      </c>
    </row>
    <row r="8934">
      <c r="A8934" s="4" t="s">
        <v>11241</v>
      </c>
      <c r="B8934" s="4" t="s">
        <v>11243</v>
      </c>
      <c r="C8934" s="5" t="str">
        <f>IFERROR(__xludf.DUMMYFUNCTION("GOOGLETRANSLATE(B8934,""en"",""zh-CN"")"),"她开始熨烫裤子，结束时，展示了她在中间的折痕。")</f>
        <v>她开始熨烫裤子，结束时，展示了她在中间的折痕。</v>
      </c>
    </row>
    <row r="8935">
      <c r="A8935" s="4" t="s">
        <v>11244</v>
      </c>
      <c r="B8935" s="4" t="s">
        <v>11245</v>
      </c>
      <c r="C8935" s="5" t="str">
        <f>IFERROR(__xludf.DUMMYFUNCTION("GOOGLETRANSLATE(B8935,""en"",""zh-CN"")"),"有一个男人站在厨房里，用钢厨房水槽洗手。")</f>
        <v>有一个男人站在厨房里，用钢厨房水槽洗手。</v>
      </c>
    </row>
    <row r="8936">
      <c r="A8936" s="4" t="s">
        <v>11244</v>
      </c>
      <c r="B8936" s="4" t="s">
        <v>11246</v>
      </c>
      <c r="C8936" s="5" t="str">
        <f>IFERROR(__xludf.DUMMYFUNCTION("GOOGLETRANSLATE(B8936,""en"",""zh-CN"")"),"他从水槽柜台上拿出一根泵。")</f>
        <v>他从水槽柜台上拿出一根泵。</v>
      </c>
    </row>
    <row r="8937">
      <c r="A8937" s="4" t="s">
        <v>11244</v>
      </c>
      <c r="B8937" s="4" t="s">
        <v>11247</v>
      </c>
      <c r="C8937" s="5" t="str">
        <f>IFERROR(__xludf.DUMMYFUNCTION("GOOGLETRANSLATE(B8937,""en"",""zh-CN"")"),"然后，他打开水，洗手。")</f>
        <v>然后，他打开水，洗手。</v>
      </c>
    </row>
    <row r="8938">
      <c r="A8938" s="4" t="s">
        <v>11244</v>
      </c>
      <c r="B8938" s="4" t="s">
        <v>11248</v>
      </c>
      <c r="C8938" s="5" t="str">
        <f>IFERROR(__xludf.DUMMYFUNCTION("GOOGLETRANSLATE(B8938,""en"",""zh-CN"")"),"洗完后，他使用了一条白色的手巾，该毛巾位于柜台上的水槽旁边。")</f>
        <v>洗完后，他使用了一条白色的手巾，该毛巾位于柜台上的水槽旁边。</v>
      </c>
    </row>
    <row r="8939">
      <c r="A8939" s="4" t="s">
        <v>11249</v>
      </c>
      <c r="B8939" s="4" t="s">
        <v>11250</v>
      </c>
      <c r="C8939" s="5" t="str">
        <f>IFERROR(__xludf.DUMMYFUNCTION("GOOGLETRANSLATE(B8939,""en"",""zh-CN"")"),"一个男人在房间内使用水烟。")</f>
        <v>一个男人在房间内使用水烟。</v>
      </c>
    </row>
    <row r="8940">
      <c r="A8940" s="4" t="s">
        <v>11249</v>
      </c>
      <c r="B8940" s="4" t="s">
        <v>11251</v>
      </c>
      <c r="C8940" s="5" t="str">
        <f>IFERROR(__xludf.DUMMYFUNCTION("GOOGLETRANSLATE(B8940,""en"",""zh-CN"")"),"他转身吹了一块烟。")</f>
        <v>他转身吹了一块烟。</v>
      </c>
    </row>
    <row r="8941">
      <c r="A8941" s="4" t="s">
        <v>11249</v>
      </c>
      <c r="B8941" s="4" t="s">
        <v>11252</v>
      </c>
      <c r="C8941" s="5" t="str">
        <f>IFERROR(__xludf.DUMMYFUNCTION("GOOGLETRANSLATE(B8941,""en"",""zh-CN"")"),"另一个男人也拿着水烟，也受到打击。")</f>
        <v>另一个男人也拿着水烟，也受到打击。</v>
      </c>
    </row>
    <row r="8942">
      <c r="A8942" s="4" t="s">
        <v>11253</v>
      </c>
      <c r="B8942" s="6" t="s">
        <v>11254</v>
      </c>
      <c r="C8942" s="5" t="str">
        <f>IFERROR(__xludf.DUMMYFUNCTION("GOOGLETRANSLATE(B8942,""en"",""zh-CN"")"),"一个女孩展示了几个高级舞蹈，并且在整个城市的许多不同地点进行了体操运动。")</f>
        <v>一个女孩展示了几个高级舞蹈，并且在整个城市的许多不同地点进行了体操运动。</v>
      </c>
    </row>
    <row r="8943">
      <c r="A8943" s="4" t="s">
        <v>11253</v>
      </c>
      <c r="B8943" s="6" t="s">
        <v>11255</v>
      </c>
      <c r="C8943" s="5" t="str">
        <f>IFERROR(__xludf.DUMMYFUNCTION("GOOGLETRANSLATE(B8943,""en"",""zh-CN"")"),"一个女孩站在草地上的田野上，铺好人行道，并进行了几次体操翻转和啦啦队的动作。")</f>
        <v>一个女孩站在草地上的田野上，铺好人行道，并进行了几次体操翻转和啦啦队的动作。</v>
      </c>
    </row>
    <row r="8944">
      <c r="A8944" s="4" t="s">
        <v>11253</v>
      </c>
      <c r="B8944" s="4" t="s">
        <v>11256</v>
      </c>
      <c r="C8944" s="5" t="str">
        <f>IFERROR(__xludf.DUMMYFUNCTION("GOOGLETRANSLATE(B8944,""en"",""zh-CN"")"),"然后，女孩回到草地上，做了几次高级的后空。")</f>
        <v>然后，女孩回到草地上，做了几次高级的后空。</v>
      </c>
    </row>
    <row r="8945">
      <c r="A8945" s="4" t="s">
        <v>11253</v>
      </c>
      <c r="B8945" s="6" t="s">
        <v>11257</v>
      </c>
      <c r="C8945" s="5" t="str">
        <f>IFERROR(__xludf.DUMMYFUNCTION("GOOGLETRANSLATE(B8945,""en"",""zh-CN"")"),"女孩前进到木制人行道，表演舞蹈动作，并在另一个位置进行倒立。")</f>
        <v>女孩前进到木制人行道，表演舞蹈动作，并在另一个位置进行倒立。</v>
      </c>
    </row>
    <row r="8946">
      <c r="A8946" s="4" t="s">
        <v>11253</v>
      </c>
      <c r="B8946" s="4" t="s">
        <v>11258</v>
      </c>
      <c r="C8946" s="5" t="str">
        <f>IFERROR(__xludf.DUMMYFUNCTION("GOOGLETRANSLATE(B8946,""en"",""zh-CN"")"),"视频终于以隧道和人行道上的女孩表演舞蹈动作结束。")</f>
        <v>视频终于以隧道和人行道上的女孩表演舞蹈动作结束。</v>
      </c>
    </row>
    <row r="8947">
      <c r="A8947" s="4" t="s">
        <v>11259</v>
      </c>
      <c r="B8947" s="4" t="s">
        <v>11260</v>
      </c>
      <c r="C8947" s="5" t="str">
        <f>IFERROR(__xludf.DUMMYFUNCTION("GOOGLETRANSLATE(B8947,""en"",""zh-CN"")"),"一个男人用剪刀剪胡须。")</f>
        <v>一个男人用剪刀剪胡须。</v>
      </c>
    </row>
    <row r="8948">
      <c r="A8948" s="4" t="s">
        <v>11259</v>
      </c>
      <c r="B8948" s="4" t="s">
        <v>11261</v>
      </c>
      <c r="C8948" s="5" t="str">
        <f>IFERROR(__xludf.DUMMYFUNCTION("GOOGLETRANSLATE(B8948,""en"",""zh-CN"")"),"他用剃须刀剃掉胡须。")</f>
        <v>他用剃须刀剃掉胡须。</v>
      </c>
    </row>
    <row r="8949">
      <c r="A8949" s="4" t="s">
        <v>11259</v>
      </c>
      <c r="B8949" s="4" t="s">
        <v>11262</v>
      </c>
      <c r="C8949" s="5" t="str">
        <f>IFERROR(__xludf.DUMMYFUNCTION("GOOGLETRANSLATE(B8949,""en"",""zh-CN"")"),"他在水槽里收集头发。")</f>
        <v>他在水槽里收集头发。</v>
      </c>
    </row>
    <row r="8950">
      <c r="A8950" s="4" t="s">
        <v>11259</v>
      </c>
      <c r="B8950" s="4" t="s">
        <v>11263</v>
      </c>
      <c r="C8950" s="5" t="str">
        <f>IFERROR(__xludf.DUMMYFUNCTION("GOOGLETRANSLATE(B8950,""en"",""zh-CN"")"),"他将剃须膏放在脸上，并用剃刀完成剃须。")</f>
        <v>他将剃须膏放在脸上，并用剃刀完成剃须。</v>
      </c>
    </row>
    <row r="8951">
      <c r="A8951" s="4" t="s">
        <v>11259</v>
      </c>
      <c r="B8951" s="4" t="s">
        <v>11264</v>
      </c>
      <c r="C8951" s="5" t="str">
        <f>IFERROR(__xludf.DUMMYFUNCTION("GOOGLETRANSLATE(B8951,""en"",""zh-CN"")"),"他用毛巾擦脸。")</f>
        <v>他用毛巾擦脸。</v>
      </c>
    </row>
    <row r="8952">
      <c r="A8952" s="4" t="s">
        <v>11259</v>
      </c>
      <c r="B8952" s="4" t="s">
        <v>11265</v>
      </c>
      <c r="C8952" s="5" t="str">
        <f>IFERROR(__xludf.DUMMYFUNCTION("GOOGLETRANSLATE(B8952,""en"",""zh-CN"")"),"他微笑着竖起大拇指。")</f>
        <v>他微笑着竖起大拇指。</v>
      </c>
    </row>
    <row r="8953">
      <c r="A8953" s="4" t="s">
        <v>11266</v>
      </c>
      <c r="B8953" s="6" t="s">
        <v>11267</v>
      </c>
      <c r="C8953" s="5" t="str">
        <f>IFERROR(__xludf.DUMMYFUNCTION("GOOGLETRANSLATE(B8953,""en"",""zh-CN"")"),"一名男子在一场马拉松比赛中，在城市环境中奔跑两条街道，因为边线欢呼和拍手的围观者。")</f>
        <v>一名男子在一场马拉松比赛中，在城市环境中奔跑两条街道，因为边线欢呼和拍手的围观者。</v>
      </c>
    </row>
    <row r="8954">
      <c r="A8954" s="4" t="s">
        <v>11266</v>
      </c>
      <c r="B8954" s="6" t="s">
        <v>11268</v>
      </c>
      <c r="C8954" s="5" t="str">
        <f>IFERROR(__xludf.DUMMYFUNCTION("GOOGLETRANSLATE(B8954,""en"",""zh-CN"")"),"一个穿着黑色短裤钉在胸前的黑色短裤的男人正在马拉松比赛中的一条城市街道上奔跑。")</f>
        <v>一个穿着黑色短裤钉在胸前的黑色短裤的男人正在马拉松比赛中的一条城市街道上奔跑。</v>
      </c>
    </row>
    <row r="8955">
      <c r="A8955" s="4" t="s">
        <v>11266</v>
      </c>
      <c r="B8955" s="4" t="s">
        <v>11269</v>
      </c>
      <c r="C8955" s="5" t="str">
        <f>IFERROR(__xludf.DUMMYFUNCTION("GOOGLETRANSLATE(B8955,""en"",""zh-CN"")"),"场边的人们正在为男人鼓掌，并在继续奔跑时微笑着。")</f>
        <v>场边的人们正在为男人鼓掌，并在继续奔跑时微笑着。</v>
      </c>
    </row>
    <row r="8956">
      <c r="A8956" s="4" t="s">
        <v>11266</v>
      </c>
      <c r="B8956" s="6" t="s">
        <v>11270</v>
      </c>
      <c r="C8956" s="5" t="str">
        <f>IFERROR(__xludf.DUMMYFUNCTION("GOOGLETRANSLATE(B8956,""en"",""zh-CN"")"),"该男子沿着另一街跑来跑去，在骑自行车的人后面跑了很短的时间，当摩托车手从他的人行道附近从他身后抬起来，那里的金属屏障的长度延伸。")</f>
        <v>该男子沿着另一街跑来跑去，在骑自行车的人后面跑了很短的时间，当摩托车手从他的人行道附近从他身后抬起来，那里的金属屏障的长度延伸。</v>
      </c>
    </row>
    <row r="8957">
      <c r="A8957" s="4" t="s">
        <v>11271</v>
      </c>
      <c r="B8957" s="6" t="s">
        <v>11272</v>
      </c>
      <c r="C8957" s="5" t="str">
        <f>IFERROR(__xludf.DUMMYFUNCTION("GOOGLETRANSLATE(B8957,""en"",""zh-CN"")"),"林赛·斯特林（Lindsay Stirling）是小提琴家，正在观众面前的舞台上与其他一些参与者进行现场表演。")</f>
        <v>林赛·斯特林（Lindsay Stirling）是小提琴家，正在观众面前的舞台上与其他一些参与者进行现场表演。</v>
      </c>
    </row>
    <row r="8958">
      <c r="A8958" s="4" t="s">
        <v>11271</v>
      </c>
      <c r="B8958" s="4" t="s">
        <v>11273</v>
      </c>
      <c r="C8958" s="5" t="str">
        <f>IFERROR(__xludf.DUMMYFUNCTION("GOOGLETRANSLATE(B8958,""en"",""zh-CN"")"),"她首先要打小提琴，而其他表演者则以精心编排的方式跳舞。")</f>
        <v>她首先要打小提琴，而其他表演者则以精心编排的方式跳舞。</v>
      </c>
    </row>
    <row r="8959">
      <c r="A8959" s="4" t="s">
        <v>11271</v>
      </c>
      <c r="B8959" s="4" t="s">
        <v>11274</v>
      </c>
      <c r="C8959" s="5" t="str">
        <f>IFERROR(__xludf.DUMMYFUNCTION("GOOGLETRANSLATE(B8959,""en"",""zh-CN"")"),"小提琴手与其他五名舞者一起演奏乐器时跳舞。")</f>
        <v>小提琴手与其他五名舞者一起演奏乐器时跳舞。</v>
      </c>
    </row>
    <row r="8960">
      <c r="A8960" s="4" t="s">
        <v>11271</v>
      </c>
      <c r="B8960" s="4" t="s">
        <v>11275</v>
      </c>
      <c r="C8960" s="5" t="str">
        <f>IFERROR(__xludf.DUMMYFUNCTION("GOOGLETRANSLATE(B8960,""en"",""zh-CN"")"),"他们以现代而嘻哈的舞蹈风格跳舞。")</f>
        <v>他们以现代而嘻哈的舞蹈风格跳舞。</v>
      </c>
    </row>
    <row r="8961">
      <c r="A8961" s="4" t="s">
        <v>11271</v>
      </c>
      <c r="B8961" s="4" t="s">
        <v>11276</v>
      </c>
      <c r="C8961" s="5" t="str">
        <f>IFERROR(__xludf.DUMMYFUNCTION("GOOGLETRANSLATE(B8961,""en"",""zh-CN"")"),"然后，只有两名舞者与小提琴手一起在舞台上舞台，并以莎莎风格跳舞。")</f>
        <v>然后，只有两名舞者与小提琴手一起在舞台上舞台，并以莎莎风格跳舞。</v>
      </c>
    </row>
    <row r="8962">
      <c r="A8962" s="4" t="s">
        <v>11271</v>
      </c>
      <c r="B8962" s="6" t="s">
        <v>11277</v>
      </c>
      <c r="C8962" s="5" t="str">
        <f>IFERROR(__xludf.DUMMYFUNCTION("GOOGLETRANSLATE(B8962,""en"",""zh-CN"")"),"他们离开舞台后，一位男舞者在膝盖上旋转时进行了一些现代的舞蹈风格。")</f>
        <v>他们离开舞台后，一位男舞者在膝盖上旋转时进行了一些现代的舞蹈风格。</v>
      </c>
    </row>
    <row r="8963">
      <c r="A8963" s="4" t="s">
        <v>11271</v>
      </c>
      <c r="B8963" s="6" t="s">
        <v>11278</v>
      </c>
      <c r="C8963" s="5" t="str">
        <f>IFERROR(__xludf.DUMMYFUNCTION("GOOGLETRANSLATE(B8963,""en"",""zh-CN"")"),"然后，整个舞蹈团队都登上舞台，并继续以协调的步骤跳舞，而小提琴手与他们一起演奏和舞蹈。")</f>
        <v>然后，整个舞蹈团队都登上舞台，并继续以协调的步骤跳舞，而小提琴手与他们一起演奏和舞蹈。</v>
      </c>
    </row>
    <row r="8964">
      <c r="A8964" s="4" t="s">
        <v>11271</v>
      </c>
      <c r="B8964" s="6" t="s">
        <v>11279</v>
      </c>
      <c r="C8964" s="5" t="str">
        <f>IFERROR(__xludf.DUMMYFUNCTION("GOOGLETRANSLATE(B8964,""en"",""zh-CN"")"),"然后，他们继续跳舞和演奏乐器时，只有小提琴手表演就离开了舞台。")</f>
        <v>然后，他们继续跳舞和演奏乐器时，只有小提琴手表演就离开了舞台。</v>
      </c>
    </row>
    <row r="8965">
      <c r="A8965" s="4" t="s">
        <v>11280</v>
      </c>
      <c r="B8965" s="4" t="s">
        <v>11281</v>
      </c>
      <c r="C8965" s="5" t="str">
        <f>IFERROR(__xludf.DUMMYFUNCTION("GOOGLETRANSLATE(B8965,""en"",""zh-CN"")"),"举重运动员为他的第一次升降机做准备。")</f>
        <v>举重运动员为他的第一次升降机做准备。</v>
      </c>
    </row>
    <row r="8966">
      <c r="A8966" s="4" t="s">
        <v>11280</v>
      </c>
      <c r="B8966" s="4" t="s">
        <v>11282</v>
      </c>
      <c r="C8966" s="5" t="str">
        <f>IFERROR(__xludf.DUMMYFUNCTION("GOOGLETRANSLATE(B8966,""en"",""zh-CN"")"),"朋友在看电影和一部电影。")</f>
        <v>朋友在看电影和一部电影。</v>
      </c>
    </row>
    <row r="8967">
      <c r="A8967" s="4" t="s">
        <v>11280</v>
      </c>
      <c r="B8967" s="4" t="s">
        <v>11283</v>
      </c>
      <c r="C8967" s="5" t="str">
        <f>IFERROR(__xludf.DUMMYFUNCTION("GOOGLETRANSLATE(B8967,""en"",""zh-CN"")"),"他蹲下，抬起酒吧。")</f>
        <v>他蹲下，抬起酒吧。</v>
      </c>
    </row>
    <row r="8968">
      <c r="A8968" s="4" t="s">
        <v>11280</v>
      </c>
      <c r="B8968" s="4" t="s">
        <v>11284</v>
      </c>
      <c r="C8968" s="5" t="str">
        <f>IFERROR(__xludf.DUMMYFUNCTION("GOOGLETRANSLATE(B8968,""en"",""zh-CN"")"),"他握住了片刻，然后丢下它。")</f>
        <v>他握住了片刻，然后丢下它。</v>
      </c>
    </row>
    <row r="8969">
      <c r="A8969" s="4" t="s">
        <v>11280</v>
      </c>
      <c r="B8969" s="4" t="s">
        <v>11285</v>
      </c>
      <c r="C8969" s="5" t="str">
        <f>IFERROR(__xludf.DUMMYFUNCTION("GOOGLETRANSLATE(B8969,""en"",""zh-CN"")"),"他重新开始，完成第二次升降机。")</f>
        <v>他重新开始，完成第二次升降机。</v>
      </c>
    </row>
    <row r="8970">
      <c r="A8970" s="4" t="s">
        <v>11286</v>
      </c>
      <c r="B8970" s="6" t="s">
        <v>11287</v>
      </c>
      <c r="C8970" s="5" t="str">
        <f>IFERROR(__xludf.DUMMYFUNCTION("GOOGLETRANSLATE(B8970,""en"",""zh-CN"")"),"当一个男人奔向一个有足球的女人时，一群人站在一个田野上。")</f>
        <v>当一个男人奔向一个有足球的女人时，一群人站在一个田野上。</v>
      </c>
    </row>
    <row r="8971">
      <c r="A8971" s="4" t="s">
        <v>11286</v>
      </c>
      <c r="B8971" s="4" t="s">
        <v>11288</v>
      </c>
      <c r="C8971" s="5" t="str">
        <f>IFERROR(__xludf.DUMMYFUNCTION("GOOGLETRANSLATE(B8971,""en"",""zh-CN"")"),"一个女孩在另一个男人抓住球并将球扔给另一个女孩的同时。")</f>
        <v>一个女孩在另一个男人抓住球并将球扔给另一个女孩的同时。</v>
      </c>
    </row>
    <row r="8972">
      <c r="A8972" s="4" t="s">
        <v>11289</v>
      </c>
      <c r="B8972" s="4" t="s">
        <v>11290</v>
      </c>
      <c r="C8972" s="5" t="str">
        <f>IFERROR(__xludf.DUMMYFUNCTION("GOOGLETRANSLATE(B8972,""en"",""zh-CN"")"),"一个女人在她的腿上抱着一只猫。")</f>
        <v>一个女人在她的腿上抱着一只猫。</v>
      </c>
    </row>
    <row r="8973">
      <c r="A8973" s="4" t="s">
        <v>11289</v>
      </c>
      <c r="B8973" s="4" t="s">
        <v>11291</v>
      </c>
      <c r="C8973" s="5" t="str">
        <f>IFERROR(__xludf.DUMMYFUNCTION("GOOGLETRANSLATE(B8973,""en"",""zh-CN"")"),"猫在手里拿着一对修剪器拍打。")</f>
        <v>猫在手里拿着一对修剪器拍打。</v>
      </c>
    </row>
    <row r="8974">
      <c r="A8974" s="4" t="s">
        <v>11289</v>
      </c>
      <c r="B8974" s="4" t="s">
        <v>11292</v>
      </c>
      <c r="C8974" s="5" t="str">
        <f>IFERROR(__xludf.DUMMYFUNCTION("GOOGLETRANSLATE(B8974,""en"",""zh-CN"")"),"她使用修剪器一次剪指甲。")</f>
        <v>她使用修剪器一次剪指甲。</v>
      </c>
    </row>
    <row r="8975">
      <c r="A8975" s="4" t="s">
        <v>11293</v>
      </c>
      <c r="B8975" s="4" t="s">
        <v>11294</v>
      </c>
      <c r="C8975" s="5" t="str">
        <f>IFERROR(__xludf.DUMMYFUNCTION("GOOGLETRANSLATE(B8975,""en"",""zh-CN"")"),"一个人走到真空吸尘器上，拿起魔杖。")</f>
        <v>一个人走到真空吸尘器上，拿起魔杖。</v>
      </c>
    </row>
    <row r="8976">
      <c r="A8976" s="4" t="s">
        <v>11293</v>
      </c>
      <c r="B8976" s="4" t="s">
        <v>11295</v>
      </c>
      <c r="C8976" s="5" t="str">
        <f>IFERROR(__xludf.DUMMYFUNCTION("GOOGLETRANSLATE(B8976,""en"",""zh-CN"")"),"该人在房屋的走廊上吸尘了地毯。")</f>
        <v>该人在房屋的走廊上吸尘了地毯。</v>
      </c>
    </row>
    <row r="8977">
      <c r="A8977" s="4" t="s">
        <v>11293</v>
      </c>
      <c r="B8977" s="4" t="s">
        <v>11296</v>
      </c>
      <c r="C8977" s="5" t="str">
        <f>IFERROR(__xludf.DUMMYFUNCTION("GOOGLETRANSLATE(B8977,""en"",""zh-CN"")"),"该人关闭真空，然后用更大的地毯代替附件。")</f>
        <v>该人关闭真空，然后用更大的地毯代替附件。</v>
      </c>
    </row>
    <row r="8978">
      <c r="A8978" s="4" t="s">
        <v>11293</v>
      </c>
      <c r="B8978" s="4" t="s">
        <v>11297</v>
      </c>
      <c r="C8978" s="5" t="str">
        <f>IFERROR(__xludf.DUMMYFUNCTION("GOOGLETRANSLATE(B8978,""en"",""zh-CN"")"),"该人在真空吸尘器上调整旋钮。")</f>
        <v>该人在真空吸尘器上调整旋钮。</v>
      </c>
    </row>
    <row r="8979">
      <c r="A8979" s="4" t="s">
        <v>11298</v>
      </c>
      <c r="B8979" s="4" t="s">
        <v>11299</v>
      </c>
      <c r="C8979" s="5" t="str">
        <f>IFERROR(__xludf.DUMMYFUNCTION("GOOGLETRANSLATE(B8979,""en"",""zh-CN"")"),"一个男人跪在一个房间里的一个膝盖上，与相机交谈。")</f>
        <v>一个男人跪在一个房间里的一个膝盖上，与相机交谈。</v>
      </c>
    </row>
    <row r="8980">
      <c r="A8980" s="4" t="s">
        <v>11298</v>
      </c>
      <c r="B8980" s="4" t="s">
        <v>11300</v>
      </c>
      <c r="C8980" s="5" t="str">
        <f>IFERROR(__xludf.DUMMYFUNCTION("GOOGLETRANSLATE(B8980,""en"",""zh-CN"")"),"该男子抬起右臂，用左手伸到地面。")</f>
        <v>该男子抬起右臂，用左手伸到地面。</v>
      </c>
    </row>
    <row r="8981">
      <c r="A8981" s="4" t="s">
        <v>11298</v>
      </c>
      <c r="B8981" s="4" t="s">
        <v>11301</v>
      </c>
      <c r="C8981" s="5" t="str">
        <f>IFERROR(__xludf.DUMMYFUNCTION("GOOGLETRANSLATE(B8981,""en"",""zh-CN"")"),"男人切换并做对方。")</f>
        <v>男人切换并做对方。</v>
      </c>
    </row>
    <row r="8982">
      <c r="A8982" s="4" t="s">
        <v>11302</v>
      </c>
      <c r="B8982" s="4" t="s">
        <v>11303</v>
      </c>
      <c r="C8982" s="5" t="str">
        <f>IFERROR(__xludf.DUMMYFUNCTION("GOOGLETRANSLATE(B8982,""en"",""zh-CN"")"),"看到一个大院子被雪覆盖，一个人走进框架。")</f>
        <v>看到一个大院子被雪覆盖，一个人走进框架。</v>
      </c>
    </row>
    <row r="8983">
      <c r="A8983" s="4" t="s">
        <v>11302</v>
      </c>
      <c r="B8983" s="4" t="s">
        <v>11304</v>
      </c>
      <c r="C8983" s="5" t="str">
        <f>IFERROR(__xludf.DUMMYFUNCTION("GOOGLETRANSLATE(B8983,""en"",""zh-CN"")"),"看到该男子拿着铲子，开始将其推到该地区。")</f>
        <v>看到该男子拿着铲子，开始将其推到该地区。</v>
      </c>
    </row>
    <row r="8984">
      <c r="A8984" s="4" t="s">
        <v>11302</v>
      </c>
      <c r="B8984" s="4" t="s">
        <v>11305</v>
      </c>
      <c r="C8984" s="5" t="str">
        <f>IFERROR(__xludf.DUMMYFUNCTION("GOOGLETRANSLATE(B8984,""en"",""zh-CN"")"),"该男子清除了所有的雪，最后露出了一条路。")</f>
        <v>该男子清除了所有的雪，最后露出了一条路。</v>
      </c>
    </row>
    <row r="8985">
      <c r="A8985" s="4" t="s">
        <v>11306</v>
      </c>
      <c r="B8985" s="4" t="s">
        <v>11307</v>
      </c>
      <c r="C8985" s="5" t="str">
        <f>IFERROR(__xludf.DUMMYFUNCTION("GOOGLETRANSLATE(B8985,""en"",""zh-CN"")"),"一个男人在房子前的一棵树上割草。")</f>
        <v>一个男人在房子前的一棵树上割草。</v>
      </c>
    </row>
    <row r="8986">
      <c r="A8986" s="4" t="s">
        <v>11306</v>
      </c>
      <c r="B8986" s="4" t="s">
        <v>11308</v>
      </c>
      <c r="C8986" s="5" t="str">
        <f>IFERROR(__xludf.DUMMYFUNCTION("GOOGLETRANSLATE(B8986,""en"",""zh-CN"")"),"他来回走动，避开岩石。")</f>
        <v>他来回走动，避开岩石。</v>
      </c>
    </row>
    <row r="8987">
      <c r="A8987" s="4" t="s">
        <v>11306</v>
      </c>
      <c r="B8987" s="4" t="s">
        <v>11309</v>
      </c>
      <c r="C8987" s="5" t="str">
        <f>IFERROR(__xludf.DUMMYFUNCTION("GOOGLETRANSLATE(B8987,""en"",""zh-CN"")"),"他在车道上转身再次返回。")</f>
        <v>他在车道上转身再次返回。</v>
      </c>
    </row>
    <row r="8988">
      <c r="A8988" s="4" t="s">
        <v>11310</v>
      </c>
      <c r="B8988" s="4" t="s">
        <v>11311</v>
      </c>
      <c r="C8988" s="5" t="str">
        <f>IFERROR(__xludf.DUMMYFUNCTION("GOOGLETRANSLATE(B8988,""en"",""zh-CN"")"),"穿着小提琴的衣服穿着的女人向观众讲话。")</f>
        <v>穿着小提琴的衣服穿着的女人向观众讲话。</v>
      </c>
    </row>
    <row r="8989">
      <c r="A8989" s="4" t="s">
        <v>11310</v>
      </c>
      <c r="B8989" s="4" t="s">
        <v>11312</v>
      </c>
      <c r="C8989" s="5" t="str">
        <f>IFERROR(__xludf.DUMMYFUNCTION("GOOGLETRANSLATE(B8989,""en"",""zh-CN"")"),"女人像其他音乐家一样扮演小提琴。")</f>
        <v>女人像其他音乐家一样扮演小提琴。</v>
      </c>
    </row>
    <row r="8990">
      <c r="A8990" s="4" t="s">
        <v>11310</v>
      </c>
      <c r="B8990" s="4" t="s">
        <v>11313</v>
      </c>
      <c r="C8990" s="5" t="str">
        <f>IFERROR(__xludf.DUMMYFUNCTION("GOOGLETRANSLATE(B8990,""en"",""zh-CN"")"),"女人结束了她的比赛，每个人都鼓掌。")</f>
        <v>女人结束了她的比赛，每个人都鼓掌。</v>
      </c>
    </row>
    <row r="8991">
      <c r="A8991" s="4" t="s">
        <v>11314</v>
      </c>
      <c r="B8991" s="4" t="s">
        <v>11315</v>
      </c>
      <c r="C8991" s="5" t="str">
        <f>IFERROR(__xludf.DUMMYFUNCTION("GOOGLETRANSLATE(B8991,""en"",""zh-CN"")"),"一个男人在头上握住链锯。")</f>
        <v>一个男人在头上握住链锯。</v>
      </c>
    </row>
    <row r="8992">
      <c r="A8992" s="4" t="s">
        <v>11314</v>
      </c>
      <c r="B8992" s="4" t="s">
        <v>11316</v>
      </c>
      <c r="C8992" s="5" t="str">
        <f>IFERROR(__xludf.DUMMYFUNCTION("GOOGLETRANSLATE(B8992,""en"",""zh-CN"")"),"他开始剪裁树篱的顶部。")</f>
        <v>他开始剪裁树篱的顶部。</v>
      </c>
    </row>
    <row r="8993">
      <c r="A8993" s="4" t="s">
        <v>11314</v>
      </c>
      <c r="B8993" s="4" t="s">
        <v>11317</v>
      </c>
      <c r="C8993" s="5" t="str">
        <f>IFERROR(__xludf.DUMMYFUNCTION("GOOGLETRANSLATE(B8993,""en"",""zh-CN"")"),"人们在他身后的人行道上行走。")</f>
        <v>人们在他身后的人行道上行走。</v>
      </c>
    </row>
    <row r="8994">
      <c r="A8994" s="4" t="s">
        <v>11318</v>
      </c>
      <c r="B8994" s="4" t="s">
        <v>11319</v>
      </c>
      <c r="C8994" s="5" t="str">
        <f>IFERROR(__xludf.DUMMYFUNCTION("GOOGLETRANSLATE(B8994,""en"",""zh-CN"")"),"一个拿着滑雪板的橙色外套的男人正在雪地上走到山上。")</f>
        <v>一个拿着滑雪板的橙色外套的男人正在雪地上走到山上。</v>
      </c>
    </row>
    <row r="8995">
      <c r="A8995" s="4" t="s">
        <v>11318</v>
      </c>
      <c r="B8995" s="4" t="s">
        <v>11320</v>
      </c>
      <c r="C8995" s="5" t="str">
        <f>IFERROR(__xludf.DUMMYFUNCTION("GOOGLETRANSLATE(B8995,""en"",""zh-CN"")"),"拿着相机的人将滑雪板放下并握住杆子。")</f>
        <v>拿着相机的人将滑雪板放下并握住杆子。</v>
      </c>
    </row>
    <row r="8996">
      <c r="A8996" s="4" t="s">
        <v>11318</v>
      </c>
      <c r="B8996" s="4" t="s">
        <v>11321</v>
      </c>
      <c r="C8996" s="5" t="str">
        <f>IFERROR(__xludf.DUMMYFUNCTION("GOOGLETRANSLATE(B8996,""en"",""zh-CN"")"),"那个穿着橙色外套滑雪的人沿着山上。")</f>
        <v>那个穿着橙色外套滑雪的人沿着山上。</v>
      </c>
    </row>
    <row r="8997">
      <c r="A8997" s="4" t="s">
        <v>11318</v>
      </c>
      <c r="B8997" s="4" t="s">
        <v>11322</v>
      </c>
      <c r="C8997" s="5" t="str">
        <f>IFERROR(__xludf.DUMMYFUNCTION("GOOGLETRANSLATE(B8997,""en"",""zh-CN"")"),"拿着相机的那个人随之而来。")</f>
        <v>拿着相机的那个人随之而来。</v>
      </c>
    </row>
    <row r="8998">
      <c r="A8998" s="4" t="s">
        <v>11318</v>
      </c>
      <c r="B8998" s="4" t="s">
        <v>11323</v>
      </c>
      <c r="C8998" s="5" t="str">
        <f>IFERROR(__xludf.DUMMYFUNCTION("GOOGLETRANSLATE(B8998,""en"",""zh-CN"")"),"他们滑下白雪皑皑的山丘。")</f>
        <v>他们滑下白雪皑皑的山丘。</v>
      </c>
    </row>
    <row r="8999">
      <c r="A8999" s="4" t="s">
        <v>11318</v>
      </c>
      <c r="B8999" s="4" t="s">
        <v>11324</v>
      </c>
      <c r="C8999" s="5" t="str">
        <f>IFERROR(__xludf.DUMMYFUNCTION("GOOGLETRANSLATE(B8999,""en"",""zh-CN"")"),"穿着橙色夹克的那个人在他面前滑雪。")</f>
        <v>穿着橙色夹克的那个人在他面前滑雪。</v>
      </c>
    </row>
    <row r="9000">
      <c r="A9000" s="4" t="s">
        <v>11318</v>
      </c>
      <c r="B9000" s="4" t="s">
        <v>11325</v>
      </c>
      <c r="C9000" s="5" t="str">
        <f>IFERROR(__xludf.DUMMYFUNCTION("GOOGLETRANSLATE(B9000,""en"",""zh-CN"")"),"他们俩都停下来与山顶的一位女士交谈。")</f>
        <v>他们俩都停下来与山顶的一位女士交谈。</v>
      </c>
    </row>
    <row r="9001">
      <c r="A9001" s="4" t="s">
        <v>11318</v>
      </c>
      <c r="B9001" s="4" t="s">
        <v>11326</v>
      </c>
      <c r="C9001" s="5" t="str">
        <f>IFERROR(__xludf.DUMMYFUNCTION("GOOGLETRANSLATE(B9001,""en"",""zh-CN"")"),"他脱下手套，将手机拉出。")</f>
        <v>他脱下手套，将手机拉出。</v>
      </c>
    </row>
    <row r="9002">
      <c r="A9002" s="4" t="s">
        <v>11318</v>
      </c>
      <c r="B9002" s="4" t="s">
        <v>11327</v>
      </c>
      <c r="C9002" s="5" t="str">
        <f>IFERROR(__xludf.DUMMYFUNCTION("GOOGLETRANSLATE(B9002,""en"",""zh-CN"")"),"一个穿着蓝色外套的男人走向他们，与他们交谈。")</f>
        <v>一个穿着蓝色外套的男人走向他们，与他们交谈。</v>
      </c>
    </row>
    <row r="9003">
      <c r="A9003" s="4" t="s">
        <v>11328</v>
      </c>
      <c r="B9003" s="4" t="s">
        <v>11329</v>
      </c>
      <c r="C9003" s="5" t="str">
        <f>IFERROR(__xludf.DUMMYFUNCTION("GOOGLETRANSLATE(B9003,""en"",""zh-CN"")"),"看到一小群孩子在海滩上和两个成年人一起玩，将沙子推入一堆。")</f>
        <v>看到一小群孩子在海滩上和两个成年人一起玩，将沙子推入一堆。</v>
      </c>
    </row>
    <row r="9004">
      <c r="A9004" s="4" t="s">
        <v>11328</v>
      </c>
      <c r="B9004" s="6" t="s">
        <v>11330</v>
      </c>
      <c r="C9004" s="5" t="str">
        <f>IFERROR(__xludf.DUMMYFUNCTION("GOOGLETRANSLATE(B9004,""en"",""zh-CN"")"),"当相机周围的其他人在该地区游泳时，孩子们继续抓住水。")</f>
        <v>当相机周围的其他人在该地区游泳时，孩子们继续抓住水。</v>
      </c>
    </row>
    <row r="9005">
      <c r="A9005" s="4" t="s">
        <v>11331</v>
      </c>
      <c r="B9005" s="4" t="s">
        <v>11332</v>
      </c>
      <c r="C9005" s="5" t="str">
        <f>IFERROR(__xludf.DUMMYFUNCTION("GOOGLETRANSLATE(B9005,""en"",""zh-CN"")"),"一个女人坐在相机前。")</f>
        <v>一个女人坐在相机前。</v>
      </c>
    </row>
    <row r="9006">
      <c r="A9006" s="4" t="s">
        <v>11331</v>
      </c>
      <c r="B9006" s="4" t="s">
        <v>11333</v>
      </c>
      <c r="C9006" s="5" t="str">
        <f>IFERROR(__xludf.DUMMYFUNCTION("GOOGLETRANSLATE(B9006,""en"",""zh-CN"")"),"她的头发在螺旋形的卷发器中。")</f>
        <v>她的头发在螺旋形的卷发器中。</v>
      </c>
    </row>
    <row r="9007">
      <c r="A9007" s="4" t="s">
        <v>11331</v>
      </c>
      <c r="B9007" s="4" t="s">
        <v>11334</v>
      </c>
      <c r="C9007" s="5" t="str">
        <f>IFERROR(__xludf.DUMMYFUNCTION("GOOGLETRANSLATE(B9007,""en"",""zh-CN"")"),"她演示了如何删除它们，显示了最终结果。")</f>
        <v>她演示了如何删除它们，显示了最终结果。</v>
      </c>
    </row>
    <row r="9008">
      <c r="A9008" s="4" t="s">
        <v>11335</v>
      </c>
      <c r="B9008" s="4" t="s">
        <v>11336</v>
      </c>
      <c r="C9008" s="5" t="str">
        <f>IFERROR(__xludf.DUMMYFUNCTION("GOOGLETRANSLATE(B9008,""en"",""zh-CN"")"),"视频讲师斯蒂芬妮（Stephanie）正在谈论一个头发教程。")</f>
        <v>视频讲师斯蒂芬妮（Stephanie）正在谈论一个头发教程。</v>
      </c>
    </row>
    <row r="9009">
      <c r="A9009" s="4" t="s">
        <v>11335</v>
      </c>
      <c r="B9009" s="4" t="s">
        <v>11337</v>
      </c>
      <c r="C9009" s="5" t="str">
        <f>IFERROR(__xludf.DUMMYFUNCTION("GOOGLETRANSLATE(B9009,""en"",""zh-CN"")"),"她正在演示如何对男人剪长发。")</f>
        <v>她正在演示如何对男人剪长发。</v>
      </c>
    </row>
    <row r="9010">
      <c r="A9010" s="4" t="s">
        <v>11335</v>
      </c>
      <c r="B9010" s="4" t="s">
        <v>11338</v>
      </c>
      <c r="C9010" s="5" t="str">
        <f>IFERROR(__xludf.DUMMYFUNCTION("GOOGLETRANSLATE(B9010,""en"",""zh-CN"")"),"当她梳头时，她的模特坐在她旁边的椅子上。")</f>
        <v>当她梳头时，她的模特坐在她旁边的椅子上。</v>
      </c>
    </row>
    <row r="9011">
      <c r="A9011" s="4" t="s">
        <v>11335</v>
      </c>
      <c r="B9011" s="6" t="s">
        <v>11339</v>
      </c>
      <c r="C9011" s="5" t="str">
        <f>IFERROR(__xludf.DUMMYFUNCTION("GOOGLETRANSLATE(B9011,""en"",""zh-CN"")"),"她展示了头发是如何分开的，并在切割头发之前使用剪刀剪了头发，切开了模型的头发的尖端。")</f>
        <v>她展示了头发是如何分开的，并在切割头发之前使用剪刀剪了头发，切开了模型的头发的尖端。</v>
      </c>
    </row>
    <row r="9012">
      <c r="A9012" s="4" t="s">
        <v>11335</v>
      </c>
      <c r="B9012" s="4" t="s">
        <v>11340</v>
      </c>
      <c r="C9012" s="5" t="str">
        <f>IFERROR(__xludf.DUMMYFUNCTION("GOOGLETRANSLATE(B9012,""en"",""zh-CN"")"),"她继续对模型的头发进行手术。")</f>
        <v>她继续对模型的头发进行手术。</v>
      </c>
    </row>
    <row r="9013">
      <c r="A9013" s="4" t="s">
        <v>11335</v>
      </c>
      <c r="B9013" s="4" t="s">
        <v>11341</v>
      </c>
      <c r="C9013" s="5" t="str">
        <f>IFERROR(__xludf.DUMMYFUNCTION("GOOGLETRANSLATE(B9013,""en"",""zh-CN"")"),"然后，她解释了如何将头发吹干以使模型上的成品外观。")</f>
        <v>然后，她解释了如何将头发吹干以使模型上的成品外观。</v>
      </c>
    </row>
    <row r="9014">
      <c r="A9014" s="4" t="s">
        <v>11335</v>
      </c>
      <c r="B9014" s="4" t="s">
        <v>11342</v>
      </c>
      <c r="C9014" s="5" t="str">
        <f>IFERROR(__xludf.DUMMYFUNCTION("GOOGLETRANSLATE(B9014,""en"",""zh-CN"")"),"她终于提供了有关她网站的信息。")</f>
        <v>她终于提供了有关她网站的信息。</v>
      </c>
    </row>
    <row r="9015">
      <c r="A9015" s="4" t="s">
        <v>11343</v>
      </c>
      <c r="B9015" s="4" t="s">
        <v>11344</v>
      </c>
      <c r="C9015" s="5" t="str">
        <f>IFERROR(__xludf.DUMMYFUNCTION("GOOGLETRANSLATE(B9015,""en"",""zh-CN"")"),"一个男人进行磁盘投掷。")</f>
        <v>一个男人进行磁盘投掷。</v>
      </c>
    </row>
    <row r="9016">
      <c r="A9016" s="4" t="s">
        <v>11343</v>
      </c>
      <c r="B9016" s="4" t="s">
        <v>11345</v>
      </c>
      <c r="C9016" s="5" t="str">
        <f>IFERROR(__xludf.DUMMYFUNCTION("GOOGLETRANSLATE(B9016,""en"",""zh-CN"")"),"他四处旋转并扔磁盘。")</f>
        <v>他四处旋转并扔磁盘。</v>
      </c>
    </row>
    <row r="9017">
      <c r="A9017" s="4" t="s">
        <v>11346</v>
      </c>
      <c r="B9017" s="6" t="s">
        <v>11347</v>
      </c>
      <c r="C9017" s="5" t="str">
        <f>IFERROR(__xludf.DUMMYFUNCTION("GOOGLETRANSLATE(B9017,""en"",""zh-CN"")"),"一个男人坐在椅子上，拿着口琴的同时说话，偶尔坐在绿色布背面的前面玩。")</f>
        <v>一个男人坐在椅子上，拿着口琴的同时说话，偶尔坐在绿色布背面的前面玩。</v>
      </c>
    </row>
    <row r="9018">
      <c r="A9018" s="4" t="s">
        <v>11346</v>
      </c>
      <c r="B9018" s="6" t="s">
        <v>11348</v>
      </c>
      <c r="C9018" s="5" t="str">
        <f>IFERROR(__xludf.DUMMYFUNCTION("GOOGLETRANSLATE(B9018,""en"",""zh-CN"")"),"一个秃头的男人坐在木椅上，在握住，指向并偶尔在手中玩口琴的时候与镜头交谈。")</f>
        <v>一个秃头的男人坐在木椅上，在握住，指向并偶尔在手中玩口琴的时候与镜头交谈。</v>
      </c>
    </row>
    <row r="9019">
      <c r="A9019" s="4" t="s">
        <v>11346</v>
      </c>
      <c r="B9019" s="6" t="s">
        <v>11349</v>
      </c>
      <c r="C9019" s="5" t="str">
        <f>IFERROR(__xludf.DUMMYFUNCTION("GOOGLETRANSLATE(B9019,""en"",""zh-CN"")"),"摄像机在说话时放大了该男子的更严格的镜头，然后该男子直接将口琴拉到他的脸上，并短暂播放口琴，然后将口琴拉开并看着相机。")</f>
        <v>摄像机在说话时放大了该男子的更严格的镜头，然后该男子直接将口琴拉到他的脸上，并短暂播放口琴，然后将口琴拉开并看着相机。</v>
      </c>
    </row>
    <row r="9020">
      <c r="A9020" s="4" t="s">
        <v>11350</v>
      </c>
      <c r="B9020" s="4" t="s">
        <v>11351</v>
      </c>
      <c r="C9020" s="5" t="str">
        <f>IFERROR(__xludf.DUMMYFUNCTION("GOOGLETRANSLATE(B9020,""en"",""zh-CN"")"),"芝麻街服装的一名男子骑着卧式自行车。")</f>
        <v>芝麻街服装的一名男子骑着卧式自行车。</v>
      </c>
    </row>
    <row r="9021">
      <c r="A9021" s="4" t="s">
        <v>11350</v>
      </c>
      <c r="B9021" s="4" t="s">
        <v>11352</v>
      </c>
      <c r="C9021" s="5" t="str">
        <f>IFERROR(__xludf.DUMMYFUNCTION("GOOGLETRANSLATE(B9021,""en"",""zh-CN"")"),"一个穿着厄尼的男人很快加入了伯特。")</f>
        <v>一个穿着厄尼的男人很快加入了伯特。</v>
      </c>
    </row>
    <row r="9022">
      <c r="A9022" s="4" t="s">
        <v>11350</v>
      </c>
      <c r="B9022" s="4" t="s">
        <v>11353</v>
      </c>
      <c r="C9022" s="5" t="str">
        <f>IFERROR(__xludf.DUMMYFUNCTION("GOOGLETRANSLATE(B9022,""en"",""zh-CN"")"),"他们一起骑自行车，好像在比赛中。")</f>
        <v>他们一起骑自行车，好像在比赛中。</v>
      </c>
    </row>
    <row r="9023">
      <c r="A9023" s="4" t="s">
        <v>11350</v>
      </c>
      <c r="B9023" s="4" t="s">
        <v>11354</v>
      </c>
      <c r="C9023" s="5" t="str">
        <f>IFERROR(__xludf.DUMMYFUNCTION("GOOGLETRANSLATE(B9023,""en"",""zh-CN"")"),"他们都起身走开。")</f>
        <v>他们都起身走开。</v>
      </c>
    </row>
    <row r="9024">
      <c r="A9024" s="4" t="s">
        <v>11355</v>
      </c>
      <c r="B9024" s="4" t="s">
        <v>11356</v>
      </c>
      <c r="C9024" s="5" t="str">
        <f>IFERROR(__xludf.DUMMYFUNCTION("GOOGLETRANSLATE(B9024,""en"",""zh-CN"")"),"看到一个人沿着水面坐在水面上，显示了一个桨的近距离。")</f>
        <v>看到一个人沿着水面坐在水面上，显示了一个桨的近距离。</v>
      </c>
    </row>
    <row r="9025">
      <c r="A9025" s="4" t="s">
        <v>11355</v>
      </c>
      <c r="B9025" s="4" t="s">
        <v>11357</v>
      </c>
      <c r="C9025" s="5" t="str">
        <f>IFERROR(__xludf.DUMMYFUNCTION("GOOGLETRANSLATE(B9025,""en"",""zh-CN"")"),"摄像机朝着另一组坐在他们对面的独木舟中的人锅。")</f>
        <v>摄像机朝着另一组坐在他们对面的独木舟中的人锅。</v>
      </c>
    </row>
    <row r="9026">
      <c r="A9026" s="4" t="s">
        <v>11355</v>
      </c>
      <c r="B9026" s="4" t="s">
        <v>11358</v>
      </c>
      <c r="C9026" s="5" t="str">
        <f>IFERROR(__xludf.DUMMYFUNCTION("GOOGLETRANSLATE(B9026,""en"",""zh-CN"")"),"看到更多的人坐在水中以及沿着水的船上。")</f>
        <v>看到更多的人坐在水中以及沿着水的船上。</v>
      </c>
    </row>
    <row r="9027">
      <c r="A9027" s="4" t="s">
        <v>11359</v>
      </c>
      <c r="B9027" s="4" t="s">
        <v>11360</v>
      </c>
      <c r="C9027" s="5" t="str">
        <f>IFERROR(__xludf.DUMMYFUNCTION("GOOGLETRANSLATE(B9027,""en"",""zh-CN"")"),"一群足球运动员正在等待足球返回该领域。")</f>
        <v>一群足球运动员正在等待足球返回该领域。</v>
      </c>
    </row>
    <row r="9028">
      <c r="A9028" s="4" t="s">
        <v>11359</v>
      </c>
      <c r="B9028" s="4" t="s">
        <v>11361</v>
      </c>
      <c r="C9028" s="5" t="str">
        <f>IFERROR(__xludf.DUMMYFUNCTION("GOOGLETRANSLATE(B9028,""en"",""zh-CN"")"),"一名足球运动员将球踢入场。")</f>
        <v>一名足球运动员将球踢入场。</v>
      </c>
    </row>
    <row r="9029">
      <c r="A9029" s="4" t="s">
        <v>11359</v>
      </c>
      <c r="B9029" s="4" t="s">
        <v>11362</v>
      </c>
      <c r="C9029" s="5" t="str">
        <f>IFERROR(__xludf.DUMMYFUNCTION("GOOGLETRANSLATE(B9029,""en"",""zh-CN"")"),"另一位足球运动员抓住了球，并将其传递给另一个足球运动员。")</f>
        <v>另一位足球运动员抓住了球，并将其传递给另一个足球运动员。</v>
      </c>
    </row>
    <row r="9030">
      <c r="A9030" s="4" t="s">
        <v>11359</v>
      </c>
      <c r="B9030" s="4" t="s">
        <v>11363</v>
      </c>
      <c r="C9030" s="5" t="str">
        <f>IFERROR(__xludf.DUMMYFUNCTION("GOOGLETRANSLATE(B9030,""en"",""zh-CN"")"),"足球运动员将其踢向守门员。")</f>
        <v>足球运动员将其踢向守门员。</v>
      </c>
    </row>
    <row r="9031">
      <c r="A9031" s="4" t="s">
        <v>11359</v>
      </c>
      <c r="B9031" s="4" t="s">
        <v>11364</v>
      </c>
      <c r="C9031" s="5" t="str">
        <f>IFERROR(__xludf.DUMMYFUNCTION("GOOGLETRANSLATE(B9031,""en"",""zh-CN"")"),"守门员将其踢到附近的足球运动员。")</f>
        <v>守门员将其踢到附近的足球运动员。</v>
      </c>
    </row>
    <row r="9032">
      <c r="A9032" s="4" t="s">
        <v>11359</v>
      </c>
      <c r="B9032" s="4" t="s">
        <v>11365</v>
      </c>
      <c r="C9032" s="5" t="str">
        <f>IFERROR(__xludf.DUMMYFUNCTION("GOOGLETRANSLATE(B9032,""en"",""zh-CN"")"),"足球运动员将其踢到另一个足球运动员。")</f>
        <v>足球运动员将其踢到另一个足球运动员。</v>
      </c>
    </row>
    <row r="9033">
      <c r="A9033" s="4" t="s">
        <v>11366</v>
      </c>
      <c r="B9033" s="4" t="s">
        <v>11367</v>
      </c>
      <c r="C9033" s="5" t="str">
        <f>IFERROR(__xludf.DUMMYFUNCTION("GOOGLETRANSLATE(B9033,""en"",""zh-CN"")"),"有两个人在陡峭的岩石悬崖的侧面搭档。")</f>
        <v>有两个人在陡峭的岩石悬崖的侧面搭档。</v>
      </c>
    </row>
    <row r="9034">
      <c r="A9034" s="4" t="s">
        <v>11366</v>
      </c>
      <c r="B9034" s="6" t="s">
        <v>11368</v>
      </c>
      <c r="C9034" s="5" t="str">
        <f>IFERROR(__xludf.DUMMYFUNCTION("GOOGLETRANSLATE(B9034,""en"",""zh-CN"")"),"其中一名男子爬上一半，然后放开并将自己释放回地面。")</f>
        <v>其中一名男子爬上一半，然后放开并将自己释放回地面。</v>
      </c>
    </row>
    <row r="9035">
      <c r="A9035" s="4" t="s">
        <v>11369</v>
      </c>
      <c r="B9035" s="4" t="s">
        <v>11370</v>
      </c>
      <c r="C9035" s="5" t="str">
        <f>IFERROR(__xludf.DUMMYFUNCTION("GOOGLETRANSLATE(B9035,""en"",""zh-CN"")"),"一个人将割草机推到草坪上。")</f>
        <v>一个人将割草机推到草坪上。</v>
      </c>
    </row>
    <row r="9036">
      <c r="A9036" s="4" t="s">
        <v>11369</v>
      </c>
      <c r="B9036" s="4" t="s">
        <v>11371</v>
      </c>
      <c r="C9036" s="5" t="str">
        <f>IFERROR(__xludf.DUMMYFUNCTION("GOOGLETRANSLATE(B9036,""en"",""zh-CN"")"),"两个孩子帮助他推动它。")</f>
        <v>两个孩子帮助他推动它。</v>
      </c>
    </row>
    <row r="9037">
      <c r="A9037" s="4" t="s">
        <v>11369</v>
      </c>
      <c r="B9037" s="4" t="s">
        <v>11372</v>
      </c>
      <c r="C9037" s="5" t="str">
        <f>IFERROR(__xludf.DUMMYFUNCTION("GOOGLETRANSLATE(B9037,""en"",""zh-CN"")"),"他们在草坪上进行了几次通行证。")</f>
        <v>他们在草坪上进行了几次通行证。</v>
      </c>
    </row>
    <row r="9038">
      <c r="A9038" s="4" t="s">
        <v>11369</v>
      </c>
      <c r="B9038" s="4" t="s">
        <v>11373</v>
      </c>
      <c r="C9038" s="5" t="str">
        <f>IFERROR(__xludf.DUMMYFUNCTION("GOOGLETRANSLATE(B9038,""en"",""zh-CN"")"),"几辆汽车开车去。")</f>
        <v>几辆汽车开车去。</v>
      </c>
    </row>
    <row r="9039">
      <c r="A9039" s="4" t="s">
        <v>11374</v>
      </c>
      <c r="B9039" s="4" t="s">
        <v>11375</v>
      </c>
      <c r="C9039" s="5" t="str">
        <f>IFERROR(__xludf.DUMMYFUNCTION("GOOGLETRANSLATE(B9039,""en"",""zh-CN"")"),"携带草坪鼓风机的男子正在吹着人行道上的尘埃在街上行走。")</f>
        <v>携带草坪鼓风机的男子正在吹着人行道上的尘埃在街上行走。</v>
      </c>
    </row>
    <row r="9040">
      <c r="A9040" s="4" t="s">
        <v>11374</v>
      </c>
      <c r="B9040" s="4" t="s">
        <v>11376</v>
      </c>
      <c r="C9040" s="5" t="str">
        <f>IFERROR(__xludf.DUMMYFUNCTION("GOOGLETRANSLATE(B9040,""en"",""zh-CN"")"),"人正在从干燥的人行道上清洁人行道上的人行道。")</f>
        <v>人正在从干燥的人行道上清洁人行道上的人行道。</v>
      </c>
    </row>
    <row r="9041">
      <c r="A9041" s="4" t="s">
        <v>11374</v>
      </c>
      <c r="B9041" s="4" t="s">
        <v>11377</v>
      </c>
      <c r="C9041" s="5" t="str">
        <f>IFERROR(__xludf.DUMMYFUNCTION("GOOGLETRANSLATE(B9041,""en"",""zh-CN"")"),"男人在人行道上行走，看着那个载有鼓风机的人。")</f>
        <v>男人在人行道上行走，看着那个载有鼓风机的人。</v>
      </c>
    </row>
    <row r="9042">
      <c r="A9042" s="4" t="s">
        <v>11378</v>
      </c>
      <c r="B9042" s="6" t="s">
        <v>11379</v>
      </c>
      <c r="C9042" s="5" t="str">
        <f>IFERROR(__xludf.DUMMYFUNCTION("GOOGLETRANSLATE(B9042,""en"",""zh-CN"")"),"一个穿着红色衬衫的男人说话并演示了如何将飞镖扔向飞镖板，而另外三个穿着红色衬衫的人看着他身后。")</f>
        <v>一个穿着红色衬衫的男人说话并演示了如何将飞镖扔向飞镖板，而另外三个穿着红色衬衫的人看着他身后。</v>
      </c>
    </row>
    <row r="9043">
      <c r="A9043" s="4" t="s">
        <v>11378</v>
      </c>
      <c r="B9043" s="6" t="s">
        <v>11380</v>
      </c>
      <c r="C9043" s="5" t="str">
        <f>IFERROR(__xludf.DUMMYFUNCTION("GOOGLETRANSLATE(B9043,""en"",""zh-CN"")"),"一个穿着红色衬衫的男人面对相机，并开始握住飞镖，而三名男子在他身后看着。")</f>
        <v>一个穿着红色衬衫的男人面对相机，并开始握住飞镖，而三名男子在他身后看着。</v>
      </c>
    </row>
    <row r="9044">
      <c r="A9044" s="4" t="s">
        <v>11378</v>
      </c>
      <c r="B9044" s="6" t="s">
        <v>11381</v>
      </c>
      <c r="C9044" s="5" t="str">
        <f>IFERROR(__xludf.DUMMYFUNCTION("GOOGLETRANSLATE(B9044,""en"",""zh-CN"")"),"该男子转身远离相机，站在轮廓视图上，面对墙上的飞镖板，他开始用手里的飞镖瞄准飞镖板。")</f>
        <v>该男子转身远离相机，站在轮廓视图上，面对墙上的飞镖板，他开始用手里的飞镖瞄准飞镖板。</v>
      </c>
    </row>
    <row r="9045">
      <c r="A9045" s="4" t="s">
        <v>11378</v>
      </c>
      <c r="B9045" s="6" t="s">
        <v>11382</v>
      </c>
      <c r="C9045" s="5" t="str">
        <f>IFERROR(__xludf.DUMMYFUNCTION("GOOGLETRANSLATE(B9045,""en"",""zh-CN"")"),"然后，该男子将三个飞镖投向了飞镖板，其中两个粘在板上，该男子去董事会取回飞镖，用拳头和微笑挥手。")</f>
        <v>然后，该男子将三个飞镖投向了飞镖板，其中两个粘在板上，该男子去董事会取回飞镖，用拳头和微笑挥手。</v>
      </c>
    </row>
    <row r="9046">
      <c r="A9046" s="4" t="s">
        <v>11383</v>
      </c>
      <c r="B9046" s="6" t="s">
        <v>11384</v>
      </c>
      <c r="C9046" s="5" t="str">
        <f>IFERROR(__xludf.DUMMYFUNCTION("GOOGLETRANSLATE(B9046,""en"",""zh-CN"")"),"一只手将液体倒入马提尼酒玻璃中，屏幕左侧出现了白色单词，他们说“女孩混合饮料点com”和“ keylime pie and Lee com”。")</f>
        <v>一只手将液体倒入马提尼酒玻璃中，屏幕左侧出现了白色单词，他们说“女孩混合饮料点com”和“ keylime pie and Lee com”。</v>
      </c>
    </row>
    <row r="9047">
      <c r="A9047" s="4" t="s">
        <v>11383</v>
      </c>
      <c r="B9047" s="6" t="s">
        <v>11385</v>
      </c>
      <c r="C9047" s="5" t="str">
        <f>IFERROR(__xludf.DUMMYFUNCTION("GOOGLETRANSLATE(B9047,""en"",""zh-CN"")"),"一个金发女郎出现在酒吧里，该网站随机出现在那个女人在马提尼酒杯中喝酒时抓住杯子，酒精和冰。")</f>
        <v>一个金发女郎出现在酒吧里，该网站随机出现在那个女人在马提尼酒杯中喝酒时抓住杯子，酒精和冰。</v>
      </c>
    </row>
    <row r="9048">
      <c r="A9048" s="4" t="s">
        <v>11383</v>
      </c>
      <c r="B9048" s="4" t="s">
        <v>11386</v>
      </c>
      <c r="C9048" s="5" t="str">
        <f>IFERROR(__xludf.DUMMYFUNCTION("GOOGLETRANSLATE(B9048,""en"",""zh-CN"")"),"女人用冰和水充满马提尼酒玻璃。")</f>
        <v>女人用冰和水充满马提尼酒玻璃。</v>
      </c>
    </row>
    <row r="9049">
      <c r="A9049" s="4" t="s">
        <v>11383</v>
      </c>
      <c r="B9049" s="6" t="s">
        <v>11387</v>
      </c>
      <c r="C9049" s="5" t="str">
        <f>IFERROR(__xludf.DUMMYFUNCTION("GOOGLETRANSLATE(B9049,""en"",""zh-CN"")"),"然后，该名女子移到一个大的银色振动缸上，开始将酒精和其他液体放入其中，用一个小的透明杯子覆盖，并开始摇动物品。")</f>
        <v>然后，该名女子移到一个大的银色振动缸上，开始将酒精和其他液体放入其中，用一个小的透明杯子覆盖，并开始摇动物品。</v>
      </c>
    </row>
    <row r="9050">
      <c r="A9050" s="4" t="s">
        <v>11383</v>
      </c>
      <c r="B9050" s="6" t="s">
        <v>11388</v>
      </c>
      <c r="C9050" s="5" t="str">
        <f>IFERROR(__xludf.DUMMYFUNCTION("GOOGLETRANSLATE(B9050,""en"",""zh-CN"")"),"当她摇动液体时，她将冰和水从马提尼杯中倒空，然后用振动筛中的液体装满液体，将石灰放在边缘，将马提尼玻璃向前推，然后微笑。")</f>
        <v>当她摇动液体时，她将冰和水从马提尼杯中倒空，然后用振动筛中的液体装满液体，将石灰放在边缘，将马提尼玻璃向前推，然后微笑。</v>
      </c>
    </row>
    <row r="9051">
      <c r="A9051" s="4" t="s">
        <v>11383</v>
      </c>
      <c r="B9051" s="4" t="s">
        <v>11389</v>
      </c>
      <c r="C9051" s="5" t="str">
        <f>IFERROR(__xludf.DUMMYFUNCTION("GOOGLETRANSLATE(B9051,""en"",""zh-CN"")"),"最后一个屏幕带有红色背景，中间显示的网站。")</f>
        <v>最后一个屏幕带有红色背景，中间显示的网站。</v>
      </c>
    </row>
    <row r="9052">
      <c r="A9052" s="4" t="s">
        <v>11390</v>
      </c>
      <c r="B9052" s="4" t="s">
        <v>11391</v>
      </c>
      <c r="C9052" s="5" t="str">
        <f>IFERROR(__xludf.DUMMYFUNCTION("GOOGLETRANSLATE(B9052,""en"",""zh-CN"")"),"显示了一堆岩石两侧的点燃。")</f>
        <v>显示了一堆岩石两侧的点燃。</v>
      </c>
    </row>
    <row r="9053">
      <c r="A9053" s="4" t="s">
        <v>11390</v>
      </c>
      <c r="B9053" s="4" t="s">
        <v>11392</v>
      </c>
      <c r="C9053" s="5" t="str">
        <f>IFERROR(__xludf.DUMMYFUNCTION("GOOGLETRANSLATE(B9053,""en"",""zh-CN"")"),"点燃点燃了火炬。")</f>
        <v>点燃点燃了火炬。</v>
      </c>
    </row>
    <row r="9054">
      <c r="A9054" s="4" t="s">
        <v>11390</v>
      </c>
      <c r="B9054" s="4" t="s">
        <v>11393</v>
      </c>
      <c r="C9054" s="5" t="str">
        <f>IFERROR(__xludf.DUMMYFUNCTION("GOOGLETRANSLATE(B9054,""en"",""zh-CN"")"),"大火开始了，我们看着它开始燃烧。")</f>
        <v>大火开始了，我们看着它开始燃烧。</v>
      </c>
    </row>
    <row r="9055">
      <c r="A9055" s="4" t="s">
        <v>11394</v>
      </c>
      <c r="B9055" s="4" t="s">
        <v>11395</v>
      </c>
      <c r="C9055" s="5" t="str">
        <f>IFERROR(__xludf.DUMMYFUNCTION("GOOGLETRANSLATE(B9055,""en"",""zh-CN"")"),"当人们间歇性地练习篮球训练时，看到一个男人在相机上说话。")</f>
        <v>当人们间歇性地练习篮球训练时，看到一个男人在相机上说话。</v>
      </c>
    </row>
    <row r="9056">
      <c r="A9056" s="4" t="s">
        <v>11394</v>
      </c>
      <c r="B9056" s="4" t="s">
        <v>11396</v>
      </c>
      <c r="C9056" s="5" t="str">
        <f>IFERROR(__xludf.DUMMYFUNCTION("GOOGLETRANSLATE(B9056,""en"",""zh-CN"")"),"该男子围起来缠绕一根绳子，并继续让他在球场上上篮。")</f>
        <v>该男子围起来缠绕一根绳子，并继续让他在球场上上篮。</v>
      </c>
    </row>
    <row r="9057">
      <c r="A9057" s="4" t="s">
        <v>11394</v>
      </c>
      <c r="B9057" s="4" t="s">
        <v>11397</v>
      </c>
      <c r="C9057" s="5" t="str">
        <f>IFERROR(__xludf.DUMMYFUNCTION("GOOGLETRANSLATE(B9057,""en"",""zh-CN"")"),"当男人对镜头说话时，显示了更多的剪辑。")</f>
        <v>当男人对镜头说话时，显示了更多的剪辑。</v>
      </c>
    </row>
    <row r="9058">
      <c r="A9058" s="4" t="s">
        <v>11398</v>
      </c>
      <c r="B9058" s="4" t="s">
        <v>11399</v>
      </c>
      <c r="C9058" s="5" t="str">
        <f>IFERROR(__xludf.DUMMYFUNCTION("GOOGLETRANSLATE(B9058,""en"",""zh-CN"")"),"表演期间，一个女孩扮演一个饰物的黄铜长笛。")</f>
        <v>表演期间，一个女孩扮演一个饰物的黄铜长笛。</v>
      </c>
    </row>
    <row r="9059">
      <c r="A9059" s="4" t="s">
        <v>11398</v>
      </c>
      <c r="B9059" s="4" t="s">
        <v>11400</v>
      </c>
      <c r="C9059" s="5" t="str">
        <f>IFERROR(__xludf.DUMMYFUNCTION("GOOGLETRANSLATE(B9059,""en"",""zh-CN"")"),"女孩完成表演并降低了乐器。")</f>
        <v>女孩完成表演并降低了乐器。</v>
      </c>
    </row>
    <row r="9060">
      <c r="A9060" s="4" t="s">
        <v>11401</v>
      </c>
      <c r="B9060" s="4" t="s">
        <v>11402</v>
      </c>
      <c r="C9060" s="5" t="str">
        <f>IFERROR(__xludf.DUMMYFUNCTION("GOOGLETRANSLATE(B9060,""en"",""zh-CN"")"),"两支男孩在草地上玩游戏。")</f>
        <v>两支男孩在草地上玩游戏。</v>
      </c>
    </row>
    <row r="9061">
      <c r="A9061" s="4" t="s">
        <v>11401</v>
      </c>
      <c r="B9061" s="4" t="s">
        <v>11403</v>
      </c>
      <c r="C9061" s="5" t="str">
        <f>IFERROR(__xludf.DUMMYFUNCTION("GOOGLETRANSLATE(B9061,""en"",""zh-CN"")"),"他们几乎没有球网，用来接球并投掷球。")</f>
        <v>他们几乎没有球网，用来接球并投掷球。</v>
      </c>
    </row>
    <row r="9062">
      <c r="A9062" s="4" t="s">
        <v>11401</v>
      </c>
      <c r="B9062" s="4" t="s">
        <v>11404</v>
      </c>
      <c r="C9062" s="5" t="str">
        <f>IFERROR(__xludf.DUMMYFUNCTION("GOOGLETRANSLATE(B9062,""en"",""zh-CN"")"),"来自红队的一个男孩将球扔到另一侧。")</f>
        <v>来自红队的一个男孩将球扔到另一侧。</v>
      </c>
    </row>
    <row r="9063">
      <c r="A9063" s="4" t="s">
        <v>11401</v>
      </c>
      <c r="B9063" s="4" t="s">
        <v>11405</v>
      </c>
      <c r="C9063" s="5" t="str">
        <f>IFERROR(__xludf.DUMMYFUNCTION("GOOGLETRANSLATE(B9063,""en"",""zh-CN"")"),"然后，一个孩子在黑色制服中跑回并扔球。")</f>
        <v>然后，一个孩子在黑色制服中跑回并扔球。</v>
      </c>
    </row>
    <row r="9064">
      <c r="A9064" s="4" t="s">
        <v>11406</v>
      </c>
      <c r="B9064" s="4" t="s">
        <v>11407</v>
      </c>
      <c r="C9064" s="5" t="str">
        <f>IFERROR(__xludf.DUMMYFUNCTION("GOOGLETRANSLATE(B9064,""en"",""zh-CN"")"),"两个人使用不同的技巧玩蓬彭。")</f>
        <v>两个人使用不同的技巧玩蓬彭。</v>
      </c>
    </row>
    <row r="9065">
      <c r="A9065" s="4" t="s">
        <v>11406</v>
      </c>
      <c r="B9065" s="4" t="s">
        <v>11408</v>
      </c>
      <c r="C9065" s="5" t="str">
        <f>IFERROR(__xludf.DUMMYFUNCTION("GOOGLETRANSLATE(B9065,""en"",""zh-CN"")"),"一个人炫耀一个相机盒，而乒乓球玩家则使用它。")</f>
        <v>一个人炫耀一个相机盒，而乒乓球玩家则使用它。</v>
      </c>
    </row>
    <row r="9066">
      <c r="A9066" s="4" t="s">
        <v>11406</v>
      </c>
      <c r="B9066" s="4" t="s">
        <v>11409</v>
      </c>
      <c r="C9066" s="5" t="str">
        <f>IFERROR(__xludf.DUMMYFUNCTION("GOOGLETRANSLATE(B9066,""en"",""zh-CN"")"),"盒子的胸围打开，因此玩家使用摄像头来扮演。")</f>
        <v>盒子的胸围打开，因此玩家使用摄像头来扮演。</v>
      </c>
    </row>
    <row r="9067">
      <c r="A9067" s="4" t="s">
        <v>11406</v>
      </c>
      <c r="B9067" s="4" t="s">
        <v>11410</v>
      </c>
      <c r="C9067" s="5" t="str">
        <f>IFERROR(__xludf.DUMMYFUNCTION("GOOGLETRANSLATE(B9067,""en"",""zh-CN"")"),"他使用电池向后敲打，然后使用其他工具。")</f>
        <v>他使用电池向后敲打，然后使用其他工具。</v>
      </c>
    </row>
    <row r="9068">
      <c r="A9068" s="4" t="s">
        <v>11406</v>
      </c>
      <c r="B9068" s="4" t="s">
        <v>11411</v>
      </c>
      <c r="C9068" s="5" t="str">
        <f>IFERROR(__xludf.DUMMYFUNCTION("GOOGLETRANSLATE(B9068,""en"",""zh-CN"")"),"各种奇怪的对象用于玩游戏。")</f>
        <v>各种奇怪的对象用于玩游戏。</v>
      </c>
    </row>
    <row r="9069">
      <c r="A9069" s="4" t="s">
        <v>11406</v>
      </c>
      <c r="B9069" s="4" t="s">
        <v>11412</v>
      </c>
      <c r="C9069" s="5" t="str">
        <f>IFERROR(__xludf.DUMMYFUNCTION("GOOGLETRANSLATE(B9069,""en"",""zh-CN"")"),"该男子用球打破一个鸡蛋。")</f>
        <v>该男子用球打破一个鸡蛋。</v>
      </c>
    </row>
    <row r="9070">
      <c r="A9070" s="4" t="s">
        <v>11406</v>
      </c>
      <c r="B9070" s="4" t="s">
        <v>11413</v>
      </c>
      <c r="C9070" s="5" t="str">
        <f>IFERROR(__xludf.DUMMYFUNCTION("GOOGLETRANSLATE(B9070,""en"",""zh-CN"")"),"使用更多奇怪的物品，包括蝙蝠，手表和糖果吧。")</f>
        <v>使用更多奇怪的物品，包括蝙蝠，手表和糖果吧。</v>
      </c>
    </row>
    <row r="9071">
      <c r="A9071" s="4" t="s">
        <v>11406</v>
      </c>
      <c r="B9071" s="4" t="s">
        <v>11414</v>
      </c>
      <c r="C9071" s="5" t="str">
        <f>IFERROR(__xludf.DUMMYFUNCTION("GOOGLETRANSLATE(B9071,""en"",""zh-CN"")"),"该男子被拍摄，将视频上传到YouTube。")</f>
        <v>该男子被拍摄，将视频上传到YouTube。</v>
      </c>
    </row>
    <row r="9072">
      <c r="A9072" s="4" t="s">
        <v>11415</v>
      </c>
      <c r="B9072" s="6" t="s">
        <v>11416</v>
      </c>
      <c r="C9072" s="5" t="str">
        <f>IFERROR(__xludf.DUMMYFUNCTION("GOOGLETRANSLATE(B9072,""en"",""zh-CN"")"),"一个女人试图给孩子吃冰淇淋，但孩子拒绝吃冰淇淋，然后女人在勺子里吃冰淇淋。")</f>
        <v>一个女人试图给孩子吃冰淇淋，但孩子拒绝吃冰淇淋，然后女人在勺子里吃冰淇淋。</v>
      </c>
    </row>
    <row r="9073">
      <c r="A9073" s="4" t="s">
        <v>11415</v>
      </c>
      <c r="B9073" s="4" t="s">
        <v>11417</v>
      </c>
      <c r="C9073" s="5" t="str">
        <f>IFERROR(__xludf.DUMMYFUNCTION("GOOGLETRANSLATE(B9073,""en"",""zh-CN"")"),"之后，女人将冰淇淋送给孩子，然后女人清洁了孩子的嘴。")</f>
        <v>之后，女人将冰淇淋送给孩子，然后女人清洁了孩子的嘴。</v>
      </c>
    </row>
    <row r="9074">
      <c r="A9074" s="4" t="s">
        <v>11415</v>
      </c>
      <c r="B9074" s="4" t="s">
        <v>11418</v>
      </c>
      <c r="C9074" s="5" t="str">
        <f>IFERROR(__xludf.DUMMYFUNCTION("GOOGLETRANSLATE(B9074,""en"",""zh-CN"")"),"一个老妇喂男孩冰淇淋。")</f>
        <v>一个老妇喂男孩冰淇淋。</v>
      </c>
    </row>
    <row r="9075">
      <c r="A9075" s="4" t="s">
        <v>11419</v>
      </c>
      <c r="B9075" s="4" t="s">
        <v>11420</v>
      </c>
      <c r="C9075" s="5" t="str">
        <f>IFERROR(__xludf.DUMMYFUNCTION("GOOGLETRANSLATE(B9075,""en"",""zh-CN"")"),"一支游行乐队正在田野上演奏。")</f>
        <v>一支游行乐队正在田野上演奏。</v>
      </c>
    </row>
    <row r="9076">
      <c r="A9076" s="4" t="s">
        <v>11419</v>
      </c>
      <c r="B9076" s="4" t="s">
        <v>11421</v>
      </c>
      <c r="C9076" s="5" t="str">
        <f>IFERROR(__xludf.DUMMYFUNCTION("GOOGLETRANSLATE(B9076,""en"",""zh-CN"")"),"穿着风衣的男人正在用麦克风说话。")</f>
        <v>穿着风衣的男人正在用麦克风说话。</v>
      </c>
    </row>
    <row r="9077">
      <c r="A9077" s="4" t="s">
        <v>11419</v>
      </c>
      <c r="B9077" s="4" t="s">
        <v>11422</v>
      </c>
      <c r="C9077" s="5" t="str">
        <f>IFERROR(__xludf.DUMMYFUNCTION("GOOGLETRANSLATE(B9077,""en"",""zh-CN"")"),"一支球队在草地上玩曲棍球。")</f>
        <v>一支球队在草地上玩曲棍球。</v>
      </c>
    </row>
    <row r="9078">
      <c r="A9078" s="4" t="s">
        <v>11423</v>
      </c>
      <c r="B9078" s="4" t="s">
        <v>11424</v>
      </c>
      <c r="C9078" s="5" t="str">
        <f>IFERROR(__xludf.DUMMYFUNCTION("GOOGLETRANSLATE(B9078,""en"",""zh-CN"")"),"看到一个男人在各个夹子上与摄像机说话，并射击弓箭。")</f>
        <v>看到一个男人在各个夹子上与摄像机说话，并射击弓箭。</v>
      </c>
    </row>
    <row r="9079">
      <c r="A9079" s="4" t="s">
        <v>11423</v>
      </c>
      <c r="B9079" s="6" t="s">
        <v>11425</v>
      </c>
      <c r="C9079" s="5" t="str">
        <f>IFERROR(__xludf.DUMMYFUNCTION("GOOGLETRANSLATE(B9079,""en"",""zh-CN"")"),"该男子几次演示了如何在不同位置正确射出弓箭的同时回头与相机说话。")</f>
        <v>该男子几次演示了如何在不同位置正确射出弓箭的同时回头与相机说话。</v>
      </c>
    </row>
    <row r="9080">
      <c r="A9080" s="4" t="s">
        <v>11426</v>
      </c>
      <c r="B9080" s="6" t="s">
        <v>11427</v>
      </c>
      <c r="C9080" s="5" t="str">
        <f>IFERROR(__xludf.DUMMYFUNCTION("GOOGLETRANSLATE(B9080,""en"",""zh-CN"")"),"两支足球队在露天的观众面前踢足球比赛，蓝色和白色制服的球队成为一系列目标。")</f>
        <v>两支足球队在露天的观众面前踢足球比赛，蓝色和白色制服的球队成为一系列目标。</v>
      </c>
    </row>
    <row r="9081">
      <c r="A9081" s="4" t="s">
        <v>11426</v>
      </c>
      <c r="B9081" s="6" t="s">
        <v>11428</v>
      </c>
      <c r="C9081" s="5" t="str">
        <f>IFERROR(__xludf.DUMMYFUNCTION("GOOGLETRANSLATE(B9081,""en"",""zh-CN"")"),"穿着黄色和蓝色制服的球队在对阵黑白团队的比赛中赢得了进球，并通过拥抱和微笑而做出反应。")</f>
        <v>穿着黄色和蓝色制服的球队在对阵黑白团队的比赛中赢得了进球，并通过拥抱和微笑而做出反应。</v>
      </c>
    </row>
    <row r="9082">
      <c r="A9082" s="4" t="s">
        <v>11426</v>
      </c>
      <c r="B9082" s="6" t="s">
        <v>11429</v>
      </c>
      <c r="C9082" s="5" t="str">
        <f>IFERROR(__xludf.DUMMYFUNCTION("GOOGLETRANSLATE(B9082,""en"",""zh-CN"")"),"黄色和蓝色的团队继续进行一系列进球，有时在最后一踢之后滑动，每次制定目标并穿着黄色衬衫时，观众会为他们站立。")</f>
        <v>黄色和蓝色的团队继续进行一系列进球，有时在最后一踢之后滑动，每次制定目标并穿着黄色衬衫时，观众会为他们站立。</v>
      </c>
    </row>
    <row r="9083">
      <c r="A9083" s="4" t="s">
        <v>11426</v>
      </c>
      <c r="B9083" s="6" t="s">
        <v>11430</v>
      </c>
      <c r="C9083" s="5" t="str">
        <f>IFERROR(__xludf.DUMMYFUNCTION("GOOGLETRANSLATE(B9083,""en"",""zh-CN"")"),"随着黄色和蓝色团队继续实现更多目标，显示了数字记分牌。")</f>
        <v>随着黄色和蓝色团队继续实现更多目标，显示了数字记分牌。</v>
      </c>
    </row>
    <row r="9084">
      <c r="A9084" s="4" t="s">
        <v>11431</v>
      </c>
      <c r="B9084" s="6" t="s">
        <v>11432</v>
      </c>
      <c r="C9084" s="5" t="str">
        <f>IFERROR(__xludf.DUMMYFUNCTION("GOOGLETRANSLATE(B9084,""en"",""zh-CN"")"),"在进行曲棍球比赛的情况下，显示了溜冰场，第一个远射进球随后是重播。")</f>
        <v>在进行曲棍球比赛的情况下，显示了溜冰场，第一个远射进球随后是重播。</v>
      </c>
    </row>
    <row r="9085">
      <c r="A9085" s="4" t="s">
        <v>11431</v>
      </c>
      <c r="B9085" s="4" t="s">
        <v>11433</v>
      </c>
      <c r="C9085" s="5" t="str">
        <f>IFERROR(__xludf.DUMMYFUNCTION("GOOGLETRANSLATE(B9085,""en"",""zh-CN"")"),"另一支球队的目标是两次。")</f>
        <v>另一支球队的目标是两次。</v>
      </c>
    </row>
    <row r="9086">
      <c r="A9086" s="4" t="s">
        <v>11431</v>
      </c>
      <c r="B9086" s="4" t="s">
        <v>11434</v>
      </c>
      <c r="C9086" s="5" t="str">
        <f>IFERROR(__xludf.DUMMYFUNCTION("GOOGLETRANSLATE(B9086,""en"",""zh-CN"")"),"两支球队的激烈战斗以橙色团队球员的得分结束。")</f>
        <v>两支球队的激烈战斗以橙色团队球员的得分结束。</v>
      </c>
    </row>
    <row r="9087">
      <c r="A9087" s="4" t="s">
        <v>11431</v>
      </c>
      <c r="B9087" s="4" t="s">
        <v>11435</v>
      </c>
      <c r="C9087" s="5" t="str">
        <f>IFERROR(__xludf.DUMMYFUNCTION("GOOGLETRANSLATE(B9087,""en"",""zh-CN"")"),"另外两支球队从左到右进行了长时间的得分。")</f>
        <v>另外两支球队从左到右进行了长时间的得分。</v>
      </c>
    </row>
    <row r="9088">
      <c r="A9088" s="4" t="s">
        <v>11431</v>
      </c>
      <c r="B9088" s="4" t="s">
        <v>11436</v>
      </c>
      <c r="C9088" s="5" t="str">
        <f>IFERROR(__xludf.DUMMYFUNCTION("GOOGLETRANSLATE(B9088,""en"",""zh-CN"")"),"一名球员落在溜冰场上后，白人队得分。")</f>
        <v>一名球员落在溜冰场上后，白人队得分。</v>
      </c>
    </row>
    <row r="9089">
      <c r="A9089" s="4" t="s">
        <v>11431</v>
      </c>
      <c r="B9089" s="4" t="s">
        <v>11437</v>
      </c>
      <c r="C9089" s="5" t="str">
        <f>IFERROR(__xludf.DUMMYFUNCTION("GOOGLETRANSLATE(B9089,""en"",""zh-CN"")"),"另外几场比赛和第二名球员在进球前跌落。")</f>
        <v>另外几场比赛和第二名球员在进球前跌落。</v>
      </c>
    </row>
    <row r="9090">
      <c r="A9090" s="4" t="s">
        <v>11431</v>
      </c>
      <c r="B9090" s="4" t="s">
        <v>11438</v>
      </c>
      <c r="C9090" s="5" t="str">
        <f>IFERROR(__xludf.DUMMYFUNCTION("GOOGLETRANSLATE(B9090,""en"",""zh-CN"")"),"可以看到更高的鸟瞰图。")</f>
        <v>可以看到更高的鸟瞰图。</v>
      </c>
    </row>
    <row r="9091">
      <c r="A9091" s="4" t="s">
        <v>11439</v>
      </c>
      <c r="B9091" s="4" t="s">
        <v>11440</v>
      </c>
      <c r="C9091" s="5" t="str">
        <f>IFERROR(__xludf.DUMMYFUNCTION("GOOGLETRANSLATE(B9091,""en"",""zh-CN"")"),"一位女士坐着时使用shisha管。")</f>
        <v>一位女士坐着时使用shisha管。</v>
      </c>
    </row>
    <row r="9092">
      <c r="A9092" s="4" t="s">
        <v>11439</v>
      </c>
      <c r="B9092" s="4" t="s">
        <v>11441</v>
      </c>
      <c r="C9092" s="5" t="str">
        <f>IFERROR(__xludf.DUMMYFUNCTION("GOOGLETRANSLATE(B9092,""en"",""zh-CN"")"),"女士将烟雾吹成一半的肥皂瓶。")</f>
        <v>女士将烟雾吹成一半的肥皂瓶。</v>
      </c>
    </row>
    <row r="9093">
      <c r="A9093" s="4" t="s">
        <v>11439</v>
      </c>
      <c r="B9093" s="4" t="s">
        <v>11442</v>
      </c>
      <c r="C9093" s="5" t="str">
        <f>IFERROR(__xludf.DUMMYFUNCTION("GOOGLETRANSLATE(B9093,""en"",""zh-CN"")"),"泡沫弹出释放烟雾。")</f>
        <v>泡沫弹出释放烟雾。</v>
      </c>
    </row>
    <row r="9094">
      <c r="A9094" s="4" t="s">
        <v>11439</v>
      </c>
      <c r="B9094" s="4" t="s">
        <v>11443</v>
      </c>
      <c r="C9094" s="5" t="str">
        <f>IFERROR(__xludf.DUMMYFUNCTION("GOOGLETRANSLATE(B9094,""en"",""zh-CN"")"),"气泡漂浮着，烟雾仍然封闭，掉到了地板上。")</f>
        <v>气泡漂浮着，烟雾仍然封闭，掉到了地板上。</v>
      </c>
    </row>
    <row r="9095">
      <c r="A9095" s="4" t="s">
        <v>11444</v>
      </c>
      <c r="B9095" s="6" t="s">
        <v>11445</v>
      </c>
      <c r="C9095" s="5" t="str">
        <f>IFERROR(__xludf.DUMMYFUNCTION("GOOGLETRANSLATE(B9095,""en"",""zh-CN"")"),"摄像头到处都是啤酒乒乓球桌，以及人们说话和说话麦克风。")</f>
        <v>摄像头到处都是啤酒乒乓球桌，以及人们说话和说话麦克风。</v>
      </c>
    </row>
    <row r="9096">
      <c r="A9096" s="4" t="s">
        <v>11444</v>
      </c>
      <c r="B9096" s="4" t="s">
        <v>11446</v>
      </c>
      <c r="C9096" s="5" t="str">
        <f>IFERROR(__xludf.DUMMYFUNCTION("GOOGLETRANSLATE(B9096,""en"",""zh-CN"")"),"越来越多的人加紧打啤酒，而一个人则冲进麦克风，而其他人则做出反应。")</f>
        <v>越来越多的人加紧打啤酒，而一个人则冲进麦克风，而其他人则做出反应。</v>
      </c>
    </row>
    <row r="9097">
      <c r="A9097" s="4" t="s">
        <v>11444</v>
      </c>
      <c r="B9097" s="4" t="s">
        <v>11447</v>
      </c>
      <c r="C9097" s="5" t="str">
        <f>IFERROR(__xludf.DUMMYFUNCTION("GOOGLETRANSLATE(B9097,""en"",""zh-CN"")"),"显示了一些人玩游戏并互相欢呼的照片。")</f>
        <v>显示了一些人玩游戏并互相欢呼的照片。</v>
      </c>
    </row>
    <row r="9098">
      <c r="A9098" s="4" t="s">
        <v>11448</v>
      </c>
      <c r="B9098" s="6" t="s">
        <v>11449</v>
      </c>
      <c r="C9098" s="5" t="str">
        <f>IFERROR(__xludf.DUMMYFUNCTION("GOOGLETRANSLATE(B9098,""en"",""zh-CN"")"),"一群站在彼此旁边的男人都通过长长的吸管弯曲了啤酒。")</f>
        <v>一群站在彼此旁边的男人都通过长长的吸管弯曲了啤酒。</v>
      </c>
    </row>
    <row r="9099">
      <c r="A9099" s="4" t="s">
        <v>11448</v>
      </c>
      <c r="B9099" s="4" t="s">
        <v>11450</v>
      </c>
      <c r="C9099" s="5" t="str">
        <f>IFERROR(__xludf.DUMMYFUNCTION("GOOGLETRANSLATE(B9099,""en"",""zh-CN"")"),"他们面前有些人看着他们，并指向他们。")</f>
        <v>他们面前有些人看着他们，并指向他们。</v>
      </c>
    </row>
    <row r="9100">
      <c r="A9100" s="4" t="s">
        <v>11448</v>
      </c>
      <c r="B9100" s="4" t="s">
        <v>11451</v>
      </c>
      <c r="C9100" s="5" t="str">
        <f>IFERROR(__xludf.DUMMYFUNCTION("GOOGLETRANSLATE(B9100,""en"",""zh-CN"")"),"他们使他们成为一场比赛，他们正在竞赛，看看谁可以先完成。")</f>
        <v>他们使他们成为一场比赛，他们正在竞赛，看看谁可以先完成。</v>
      </c>
    </row>
    <row r="9101">
      <c r="A9101" s="4" t="s">
        <v>11448</v>
      </c>
      <c r="B9101" s="4" t="s">
        <v>11452</v>
      </c>
      <c r="C9101" s="5" t="str">
        <f>IFERROR(__xludf.DUMMYFUNCTION("GOOGLETRANSLATE(B9101,""en"",""zh-CN"")"),"他们都在同一时间停止，观看的人们仍然非常吵闹。")</f>
        <v>他们都在同一时间停止，观看的人们仍然非常吵闹。</v>
      </c>
    </row>
    <row r="9102">
      <c r="A9102" s="4" t="s">
        <v>11453</v>
      </c>
      <c r="B9102" s="4" t="s">
        <v>11454</v>
      </c>
      <c r="C9102" s="5" t="str">
        <f>IFERROR(__xludf.DUMMYFUNCTION("GOOGLETRANSLATE(B9102,""en"",""zh-CN"")"),"一个八岁的女孩在舞台上玩口琴。")</f>
        <v>一个八岁的女孩在舞台上玩口琴。</v>
      </c>
    </row>
    <row r="9103">
      <c r="A9103" s="4" t="s">
        <v>11453</v>
      </c>
      <c r="B9103" s="6" t="s">
        <v>11455</v>
      </c>
      <c r="C9103" s="5" t="str">
        <f>IFERROR(__xludf.DUMMYFUNCTION("GOOGLETRANSLATE(B9103,""en"",""zh-CN"")"),"随着女孩开始越来越努力，摄像机放大了女孩，呼吸越来越深。")</f>
        <v>随着女孩开始越来越努力，摄像机放大了女孩，呼吸越来越深。</v>
      </c>
    </row>
    <row r="9104">
      <c r="A9104" s="4" t="s">
        <v>11453</v>
      </c>
      <c r="B9104" s="6" t="s">
        <v>11456</v>
      </c>
      <c r="C9104" s="5" t="str">
        <f>IFERROR(__xludf.DUMMYFUNCTION("GOOGLETRANSLATE(B9104,""en"",""zh-CN"")"),"女孩停止玩耍，真的很快向左看，然后在看着相机拍手时微笑着微笑。")</f>
        <v>女孩停止玩耍，真的很快向左看，然后在看着相机拍手时微笑着微笑。</v>
      </c>
    </row>
    <row r="9105">
      <c r="A9105" s="4" t="s">
        <v>11457</v>
      </c>
      <c r="B9105" s="6" t="s">
        <v>11458</v>
      </c>
      <c r="C9105" s="5" t="str">
        <f>IFERROR(__xludf.DUMMYFUNCTION("GOOGLETRANSLATE(B9105,""en"",""zh-CN"")"),"军队排队，他们分为四组，他们开始通过用油漆枪进行射击来进行战争练习，他们藏在石墙和空置的汽车中。")</f>
        <v>军队排队，他们分为四组，他们开始通过用油漆枪进行射击来进行战争练习，他们藏在石墙和空置的汽车中。</v>
      </c>
    </row>
    <row r="9106">
      <c r="A9106" s="4" t="s">
        <v>11457</v>
      </c>
      <c r="B9106" s="4" t="s">
        <v>11459</v>
      </c>
      <c r="C9106" s="5" t="str">
        <f>IFERROR(__xludf.DUMMYFUNCTION("GOOGLETRANSLATE(B9106,""en"",""zh-CN"")"),"陆军将他们的油漆枪抓住在桌子上，并装满油漆球。")</f>
        <v>陆军将他们的油漆枪抓住在桌子上，并装满油漆球。</v>
      </c>
    </row>
    <row r="9107">
      <c r="A9107" s="4" t="s">
        <v>11460</v>
      </c>
      <c r="B9107" s="4" t="s">
        <v>11461</v>
      </c>
      <c r="C9107" s="5" t="str">
        <f>IFERROR(__xludf.DUMMYFUNCTION("GOOGLETRANSLATE(B9107,""en"",""zh-CN"")"),"一个女孩穿着粉红色和黑色的衣服，在躺在蓝色瑜伽垫上的房间里说话。")</f>
        <v>一个女孩穿着粉红色和黑色的衣服，在躺在蓝色瑜伽垫上的房间里说话。</v>
      </c>
    </row>
    <row r="9108">
      <c r="A9108" s="4" t="s">
        <v>11460</v>
      </c>
      <c r="B9108" s="4" t="s">
        <v>11462</v>
      </c>
      <c r="C9108" s="5" t="str">
        <f>IFERROR(__xludf.DUMMYFUNCTION("GOOGLETRANSLATE(B9108,""en"",""zh-CN"")"),"那位女士然后躺在她的背上，将她的手放在胸前。")</f>
        <v>那位女士然后躺在她的背上，将她的手放在胸前。</v>
      </c>
    </row>
    <row r="9109">
      <c r="A9109" s="4" t="s">
        <v>11460</v>
      </c>
      <c r="B9109" s="6" t="s">
        <v>11463</v>
      </c>
      <c r="C9109" s="5" t="str">
        <f>IFERROR(__xludf.DUMMYFUNCTION("GOOGLETRANSLATE(B9109,""en"",""zh-CN"")"),"在她开始之前，她谈论自己的胃以及如何以正确的方式将您的手放在脖子上。")</f>
        <v>在她开始之前，她谈论自己的胃以及如何以正确的方式将您的手放在脖子上。</v>
      </c>
    </row>
    <row r="9110">
      <c r="A9110" s="4" t="s">
        <v>11460</v>
      </c>
      <c r="B9110" s="6" t="s">
        <v>11464</v>
      </c>
      <c r="C9110" s="5" t="str">
        <f>IFERROR(__xludf.DUMMYFUNCTION("GOOGLETRANSLATE(B9110,""en"",""zh-CN"")"),"最后，她做了大约四个仰卧起坐，并表明您的头应该抬起，并且在她完成仰卧起能之前。")</f>
        <v>最后，她做了大约四个仰卧起坐，并表明您的头应该抬起，并且在她完成仰卧起能之前。</v>
      </c>
    </row>
    <row r="9111">
      <c r="A9111" s="4" t="s">
        <v>11465</v>
      </c>
      <c r="B9111" s="4" t="s">
        <v>11466</v>
      </c>
      <c r="C9111" s="5" t="str">
        <f>IFERROR(__xludf.DUMMYFUNCTION("GOOGLETRANSLATE(B9111,""en"",""zh-CN"")"),"一个女人在有氧运动机中锻炼身体，在健身房里拉动手柄。")</f>
        <v>一个女人在有氧运动机中锻炼身体，在健身房里拉动手柄。</v>
      </c>
    </row>
    <row r="9112">
      <c r="A9112" s="4" t="s">
        <v>11465</v>
      </c>
      <c r="B9112" s="4" t="s">
        <v>11467</v>
      </c>
      <c r="C9112" s="5" t="str">
        <f>IFERROR(__xludf.DUMMYFUNCTION("GOOGLETRANSLATE(B9112,""en"",""zh-CN"")"),"一个人进入健身房。")</f>
        <v>一个人进入健身房。</v>
      </c>
    </row>
    <row r="9113">
      <c r="A9113" s="4" t="s">
        <v>11468</v>
      </c>
      <c r="B9113" s="6" t="s">
        <v>11469</v>
      </c>
      <c r="C9113" s="5" t="str">
        <f>IFERROR(__xludf.DUMMYFUNCTION("GOOGLETRANSLATE(B9113,""en"",""zh-CN"")"),"男性和女性舞蹈二人组在宴会厅地板的中间，被准备跳舞的人包围。但是，音乐没有开始，并且会延迟。")</f>
        <v>男性和女性舞蹈二人组在宴会厅地板的中间，被准备跳舞的人包围。但是，音乐没有开始，并且会延迟。</v>
      </c>
    </row>
    <row r="9114">
      <c r="A9114" s="4" t="s">
        <v>11468</v>
      </c>
      <c r="B9114" s="4" t="s">
        <v>11470</v>
      </c>
      <c r="C9114" s="5" t="str">
        <f>IFERROR(__xludf.DUMMYFUNCTION("GOOGLETRANSLATE(B9114,""en"",""zh-CN"")"),"然后，他们开始跳舞，将脚穿过瓷砖，互相旋转。")</f>
        <v>然后，他们开始跳舞，将脚穿过瓷砖，互相旋转。</v>
      </c>
    </row>
    <row r="9115">
      <c r="A9115" s="4" t="s">
        <v>11468</v>
      </c>
      <c r="B9115" s="4" t="s">
        <v>11471</v>
      </c>
      <c r="C9115" s="5" t="str">
        <f>IFERROR(__xludf.DUMMYFUNCTION("GOOGLETRANSLATE(B9115,""en"",""zh-CN"")"),"然后，两者都进行了分裂，完成例程，然后与人群交往。")</f>
        <v>然后，两者都进行了分裂，完成例程，然后与人群交往。</v>
      </c>
    </row>
    <row r="9116">
      <c r="A9116" s="4" t="s">
        <v>11472</v>
      </c>
      <c r="B9116" s="4" t="s">
        <v>11473</v>
      </c>
      <c r="C9116" s="5" t="str">
        <f>IFERROR(__xludf.DUMMYFUNCTION("GOOGLETRANSLATE(B9116,""en"",""zh-CN"")"),"看到一个人站在桌子前，拿着一条蜡和其他物体。")</f>
        <v>看到一个人站在桌子前，拿着一条蜡和其他物体。</v>
      </c>
    </row>
    <row r="9117">
      <c r="A9117" s="4" t="s">
        <v>11472</v>
      </c>
      <c r="B9117" s="4" t="s">
        <v>11474</v>
      </c>
      <c r="C9117" s="5" t="str">
        <f>IFERROR(__xludf.DUMMYFUNCTION("GOOGLETRANSLATE(B9117,""en"",""zh-CN"")"),"他将蜡推入砂光机，然后开始在滑雪板上使用它。")</f>
        <v>他将蜡推入砂光机，然后开始在滑雪板上使用它。</v>
      </c>
    </row>
    <row r="9118">
      <c r="A9118" s="4" t="s">
        <v>11472</v>
      </c>
      <c r="B9118" s="4" t="s">
        <v>11475</v>
      </c>
      <c r="C9118" s="5" t="str">
        <f>IFERROR(__xludf.DUMMYFUNCTION("GOOGLETRANSLATE(B9118,""en"",""zh-CN"")"),"他在整个板上移动砂光机，然后将其涂在相机上。")</f>
        <v>他在整个板上移动砂光机，然后将其涂在相机上。</v>
      </c>
    </row>
    <row r="9119">
      <c r="A9119" s="4" t="s">
        <v>11476</v>
      </c>
      <c r="B9119" s="4" t="s">
        <v>11477</v>
      </c>
      <c r="C9119" s="5" t="str">
        <f>IFERROR(__xludf.DUMMYFUNCTION("GOOGLETRANSLATE(B9119,""en"",""zh-CN"")"),"我们看到一个男人扔了一块冰壶石。")</f>
        <v>我们看到一个男人扔了一块冰壶石。</v>
      </c>
    </row>
    <row r="9120">
      <c r="A9120" s="4" t="s">
        <v>11476</v>
      </c>
      <c r="B9120" s="4" t="s">
        <v>11478</v>
      </c>
      <c r="C9120" s="5" t="str">
        <f>IFERROR(__xludf.DUMMYFUNCTION("GOOGLETRANSLATE(B9120,""en"",""zh-CN"")"),"我们看到一个男人，2个女孩，然后一个年长的男人接受了采访。")</f>
        <v>我们看到一个男人，2个女孩，然后一个年长的男人接受了采访。</v>
      </c>
    </row>
    <row r="9121">
      <c r="A9121" s="4" t="s">
        <v>11476</v>
      </c>
      <c r="B9121" s="4" t="s">
        <v>11479</v>
      </c>
      <c r="C9121" s="5" t="str">
        <f>IFERROR(__xludf.DUMMYFUNCTION("GOOGLETRANSLATE(B9121,""en"",""zh-CN"")"),"我们看到一个男人扔石头。")</f>
        <v>我们看到一个男人扔石头。</v>
      </c>
    </row>
    <row r="9122">
      <c r="A9122" s="4" t="s">
        <v>11476</v>
      </c>
      <c r="B9122" s="4" t="s">
        <v>11480</v>
      </c>
      <c r="C9122" s="5" t="str">
        <f>IFERROR(__xludf.DUMMYFUNCTION("GOOGLETRANSLATE(B9122,""en"",""zh-CN"")"),"我们看到年长的男人接受了采访。")</f>
        <v>我们看到年长的男人接受了采访。</v>
      </c>
    </row>
    <row r="9123">
      <c r="A9123" s="4" t="s">
        <v>11476</v>
      </c>
      <c r="B9123" s="4" t="s">
        <v>11481</v>
      </c>
      <c r="C9123" s="5" t="str">
        <f>IFERROR(__xludf.DUMMYFUNCTION("GOOGLETRANSLATE(B9123,""en"",""zh-CN"")"),"我们看到两个男孩在溜冰场聊天。")</f>
        <v>我们看到两个男孩在溜冰场聊天。</v>
      </c>
    </row>
    <row r="9124">
      <c r="A9124" s="4" t="s">
        <v>11476</v>
      </c>
      <c r="B9124" s="4" t="s">
        <v>11482</v>
      </c>
      <c r="C9124" s="5" t="str">
        <f>IFERROR(__xludf.DUMMYFUNCTION("GOOGLETRANSLATE(B9124,""en"",""zh-CN"")"),"我们看到一个年轻人接受了更长的头发，然后是两个女孩。")</f>
        <v>我们看到一个年轻人接受了更长的头发，然后是两个女孩。</v>
      </c>
    </row>
    <row r="9125">
      <c r="A9125" s="4" t="s">
        <v>11476</v>
      </c>
      <c r="B9125" s="4" t="s">
        <v>11483</v>
      </c>
      <c r="C9125" s="5" t="str">
        <f>IFERROR(__xludf.DUMMYFUNCTION("GOOGLETRANSLATE(B9125,""en"",""zh-CN"")"),"我们看到男孩卷曲，然后接受采访，并接受了一个女孩的采访。")</f>
        <v>我们看到男孩卷曲，然后接受采访，并接受了一个女孩的采访。</v>
      </c>
    </row>
    <row r="9126">
      <c r="A9126" s="4" t="s">
        <v>11476</v>
      </c>
      <c r="B9126" s="4" t="s">
        <v>11484</v>
      </c>
      <c r="C9126" s="5" t="str">
        <f>IFERROR(__xludf.DUMMYFUNCTION("GOOGLETRANSLATE(B9126,""en"",""zh-CN"")"),"我们看到人们curling着，一个女孩说话，一群女孩在走开之前说话。")</f>
        <v>我们看到人们curling着，一个女孩说话，一群女孩在走开之前说话。</v>
      </c>
    </row>
    <row r="9127">
      <c r="A9127" s="4" t="s">
        <v>11485</v>
      </c>
      <c r="B9127" s="6" t="s">
        <v>11486</v>
      </c>
      <c r="C9127" s="5" t="str">
        <f>IFERROR(__xludf.DUMMYFUNCTION("GOOGLETRANSLATE(B9127,""en"",""zh-CN"")"),"几张镜头显示了各种雪地寄宿生，将铁轨磨碎到雪中，其中一个跌倒并伤害了自己。")</f>
        <v>几张镜头显示了各种雪地寄宿生，将铁轨磨碎到雪中，其中一个跌倒并伤害了自己。</v>
      </c>
    </row>
    <row r="9128">
      <c r="A9128" s="4" t="s">
        <v>11485</v>
      </c>
      <c r="B9128" s="6" t="s">
        <v>11487</v>
      </c>
      <c r="C9128" s="5" t="str">
        <f>IFERROR(__xludf.DUMMYFUNCTION("GOOGLETRANSLATE(B9128,""en"",""zh-CN"")"),"最终显示了更多人消灭的人，以及人们在圈子中互相交谈。")</f>
        <v>最终显示了更多人消灭的人，以及人们在圈子中互相交谈。</v>
      </c>
    </row>
    <row r="9129">
      <c r="A9129" s="4" t="s">
        <v>11488</v>
      </c>
      <c r="B9129" s="4" t="s">
        <v>11489</v>
      </c>
      <c r="C9129" s="5" t="str">
        <f>IFERROR(__xludf.DUMMYFUNCTION("GOOGLETRANSLATE(B9129,""en"",""zh-CN"")"),"一大批人看到一根绳子彼此拉开。")</f>
        <v>一大批人看到一根绳子彼此拉开。</v>
      </c>
    </row>
    <row r="9130">
      <c r="A9130" s="4" t="s">
        <v>11488</v>
      </c>
      <c r="B9130" s="4" t="s">
        <v>11490</v>
      </c>
      <c r="C9130" s="5" t="str">
        <f>IFERROR(__xludf.DUMMYFUNCTION("GOOGLETRANSLATE(B9130,""en"",""zh-CN"")"),"展示了更多人参加拔河战争的游戏。")</f>
        <v>展示了更多人参加拔河战争的游戏。</v>
      </c>
    </row>
    <row r="9131">
      <c r="A9131" s="4" t="s">
        <v>11488</v>
      </c>
      <c r="B9131" s="4" t="s">
        <v>11491</v>
      </c>
      <c r="C9131" s="5" t="str">
        <f>IFERROR(__xludf.DUMMYFUNCTION("GOOGLETRANSLATE(B9131,""en"",""zh-CN"")"),"人们在侧面看着男人继续互相比赛。")</f>
        <v>人们在侧面看着男人继续互相比赛。</v>
      </c>
    </row>
    <row r="9132">
      <c r="A9132" s="4" t="s">
        <v>11492</v>
      </c>
      <c r="B9132" s="4" t="s">
        <v>11493</v>
      </c>
      <c r="C9132" s="5" t="str">
        <f>IFERROR(__xludf.DUMMYFUNCTION("GOOGLETRANSLATE(B9132,""en"",""zh-CN"")"),"看到一名体操运动员站在一大群人面前的空中准备就绪。")</f>
        <v>看到一名体操运动员站在一大群人面前的空中准备就绪。</v>
      </c>
    </row>
    <row r="9133">
      <c r="A9133" s="4" t="s">
        <v>11492</v>
      </c>
      <c r="B9133" s="4" t="s">
        <v>11494</v>
      </c>
      <c r="C9133" s="5" t="str">
        <f>IFERROR(__xludf.DUMMYFUNCTION("GOOGLETRANSLATE(B9133,""en"",""zh-CN"")"),"然后，女孩跳到光束上，开始执行体操技巧。")</f>
        <v>然后，女孩跳到光束上，开始执行体操技巧。</v>
      </c>
    </row>
    <row r="9134">
      <c r="A9134" s="4" t="s">
        <v>11492</v>
      </c>
      <c r="B9134" s="4" t="s">
        <v>11495</v>
      </c>
      <c r="C9134" s="5" t="str">
        <f>IFERROR(__xludf.DUMMYFUNCTION("GOOGLETRANSLATE(B9134,""en"",""zh-CN"")"),"这个女孩继续翻转，旋转着，她跳到一边。")</f>
        <v>这个女孩继续翻转，旋转着，她跳到一边。</v>
      </c>
    </row>
    <row r="9135">
      <c r="A9135" s="4" t="s">
        <v>11496</v>
      </c>
      <c r="B9135" s="4" t="s">
        <v>11497</v>
      </c>
      <c r="C9135" s="5" t="str">
        <f>IFERROR(__xludf.DUMMYFUNCTION("GOOGLETRANSLATE(B9135,""en"",""zh-CN"")"),"一个年轻人多次奔跑并跳到垫子上。")</f>
        <v>一个年轻人多次奔跑并跳到垫子上。</v>
      </c>
    </row>
    <row r="9136">
      <c r="A9136" s="4" t="s">
        <v>11496</v>
      </c>
      <c r="B9136" s="4" t="s">
        <v>11498</v>
      </c>
      <c r="C9136" s="5" t="str">
        <f>IFERROR(__xludf.DUMMYFUNCTION("GOOGLETRANSLATE(B9136,""en"",""zh-CN"")"),"人们在背景中奔跑并在轨道上漫步。")</f>
        <v>人们在背景中奔跑并在轨道上漫步。</v>
      </c>
    </row>
    <row r="9137">
      <c r="A9137" s="4" t="s">
        <v>11496</v>
      </c>
      <c r="B9137" s="6" t="s">
        <v>11499</v>
      </c>
      <c r="C9137" s="5" t="str">
        <f>IFERROR(__xludf.DUMMYFUNCTION("GOOGLETRANSLATE(B9137,""en"",""zh-CN"")"),"然后，同一个年轻人使用跳板降落在垫子上几次跳过酒吧。")</f>
        <v>然后，同一个年轻人使用跳板降落在垫子上几次跳过酒吧。</v>
      </c>
    </row>
    <row r="9138">
      <c r="A9138" s="4" t="s">
        <v>11496</v>
      </c>
      <c r="B9138" s="4" t="s">
        <v>11500</v>
      </c>
      <c r="C9138" s="5" t="str">
        <f>IFERROR(__xludf.DUMMYFUNCTION("GOOGLETRANSLATE(B9138,""en"",""zh-CN"")"),"人们在赛道附近的一栋野外房屋中漫步。")</f>
        <v>人们在赛道附近的一栋野外房屋中漫步。</v>
      </c>
    </row>
    <row r="9139">
      <c r="A9139" s="4" t="s">
        <v>11501</v>
      </c>
      <c r="B9139" s="4" t="s">
        <v>11502</v>
      </c>
      <c r="C9139" s="5" t="str">
        <f>IFERROR(__xludf.DUMMYFUNCTION("GOOGLETRANSLATE(B9139,""en"",""zh-CN"")"),"几个孩子在一个集市上驾驶碰碰车。")</f>
        <v>几个孩子在一个集市上驾驶碰碰车。</v>
      </c>
    </row>
    <row r="9140">
      <c r="A9140" s="4" t="s">
        <v>11501</v>
      </c>
      <c r="B9140" s="4" t="s">
        <v>11503</v>
      </c>
      <c r="C9140" s="5" t="str">
        <f>IFERROR(__xludf.DUMMYFUNCTION("GOOGLETRANSLATE(B9140,""en"",""zh-CN"")"),"一个年轻的女孩卡住了，一个男人走过去帮助她。")</f>
        <v>一个年轻的女孩卡住了，一个男人走过去帮助她。</v>
      </c>
    </row>
    <row r="9141">
      <c r="A9141" s="4" t="s">
        <v>11501</v>
      </c>
      <c r="B9141" s="4" t="s">
        <v>11504</v>
      </c>
      <c r="C9141" s="5" t="str">
        <f>IFERROR(__xludf.DUMMYFUNCTION("GOOGLETRANSLATE(B9141,""en"",""zh-CN"")"),"小组的时间用完了，所有的孩子都站起来并退出了碰碰车区。")</f>
        <v>小组的时间用完了，所有的孩子都站起来并退出了碰碰车区。</v>
      </c>
    </row>
    <row r="9142">
      <c r="A9142" s="4" t="s">
        <v>11501</v>
      </c>
      <c r="B9142" s="4" t="s">
        <v>11505</v>
      </c>
      <c r="C9142" s="5" t="str">
        <f>IFERROR(__xludf.DUMMYFUNCTION("GOOGLETRANSLATE(B9142,""en"",""zh-CN"")"),"孩子们都走下楼梯，回到公平区。")</f>
        <v>孩子们都走下楼梯，回到公平区。</v>
      </c>
    </row>
    <row r="9143">
      <c r="A9143" s="4" t="s">
        <v>11501</v>
      </c>
      <c r="B9143" s="4" t="s">
        <v>11506</v>
      </c>
      <c r="C9143" s="5" t="str">
        <f>IFERROR(__xludf.DUMMYFUNCTION("GOOGLETRANSLATE(B9143,""en"",""zh-CN"")"),"在博览会上，有很多年龄段的人在做不同的事情。")</f>
        <v>在博览会上，有很多年龄段的人在做不同的事情。</v>
      </c>
    </row>
    <row r="9144">
      <c r="A9144" s="4" t="s">
        <v>11507</v>
      </c>
      <c r="B9144" s="4" t="s">
        <v>11508</v>
      </c>
      <c r="C9144" s="5" t="str">
        <f>IFERROR(__xludf.DUMMYFUNCTION("GOOGLETRANSLATE(B9144,""en"",""zh-CN"")"),"拍摄目标显示在草地上。")</f>
        <v>拍摄目标显示在草地上。</v>
      </c>
    </row>
    <row r="9145">
      <c r="A9145" s="4" t="s">
        <v>11507</v>
      </c>
      <c r="B9145" s="4" t="s">
        <v>11509</v>
      </c>
      <c r="C9145" s="5" t="str">
        <f>IFERROR(__xludf.DUMMYFUNCTION("GOOGLETRANSLATE(B9145,""en"",""zh-CN"")"),"一个人使用弓箭击中目标。")</f>
        <v>一个人使用弓箭击中目标。</v>
      </c>
    </row>
    <row r="9146">
      <c r="A9146" s="4" t="s">
        <v>11507</v>
      </c>
      <c r="B9146" s="4" t="s">
        <v>1599</v>
      </c>
      <c r="C9146" s="5" t="str">
        <f>IFERROR(__xludf.DUMMYFUNCTION("GOOGLETRANSLATE(B9146,""en"",""zh-CN"")"),"单词显示在屏幕上。")</f>
        <v>单词显示在屏幕上。</v>
      </c>
    </row>
    <row r="9147">
      <c r="A9147" s="4" t="s">
        <v>11507</v>
      </c>
      <c r="B9147" s="4" t="s">
        <v>11510</v>
      </c>
      <c r="C9147" s="5" t="str">
        <f>IFERROR(__xludf.DUMMYFUNCTION("GOOGLETRANSLATE(B9147,""en"",""zh-CN"")"),"一个男人在一堆棍子后面射出弓箭。")</f>
        <v>一个男人在一堆棍子后面射出弓箭。</v>
      </c>
    </row>
    <row r="9148">
      <c r="A9148" s="4" t="s">
        <v>11511</v>
      </c>
      <c r="B9148" s="4" t="s">
        <v>11512</v>
      </c>
      <c r="C9148" s="5" t="str">
        <f>IFERROR(__xludf.DUMMYFUNCTION("GOOGLETRANSLATE(B9148,""en"",""zh-CN"")"),"看到一个小孩站在一组鼓后面，然后开始打鼓。")</f>
        <v>看到一个小孩站在一组鼓后面，然后开始打鼓。</v>
      </c>
    </row>
    <row r="9149">
      <c r="A9149" s="4" t="s">
        <v>11511</v>
      </c>
      <c r="B9149" s="6" t="s">
        <v>11513</v>
      </c>
      <c r="C9149" s="5" t="str">
        <f>IFERROR(__xludf.DUMMYFUNCTION("GOOGLETRANSLATE(B9149,""en"",""zh-CN"")"),"男孩们继续在鼓上演奏，并以他亲吻他的手指并给出和平标志结束。")</f>
        <v>男孩们继续在鼓上演奏，并以他亲吻他的手指并给出和平标志结束。</v>
      </c>
    </row>
    <row r="9150">
      <c r="A9150" s="4" t="s">
        <v>11514</v>
      </c>
      <c r="B9150" s="4" t="s">
        <v>11515</v>
      </c>
      <c r="C9150" s="5" t="str">
        <f>IFERROR(__xludf.DUMMYFUNCTION("GOOGLETRANSLATE(B9150,""en"",""zh-CN"")"),"一位穿着蓝色T恤的年轻人穿过小型舞蹈室。")</f>
        <v>一位穿着蓝色T恤的年轻人穿过小型舞蹈室。</v>
      </c>
    </row>
    <row r="9151">
      <c r="A9151" s="4" t="s">
        <v>11514</v>
      </c>
      <c r="B9151" s="4" t="s">
        <v>11516</v>
      </c>
      <c r="C9151" s="5" t="str">
        <f>IFERROR(__xludf.DUMMYFUNCTION("GOOGLETRANSLATE(B9151,""en"",""zh-CN"")"),"这位年轻人将立体声放在椅子上。")</f>
        <v>这位年轻人将立体声放在椅子上。</v>
      </c>
    </row>
    <row r="9152">
      <c r="A9152" s="4" t="s">
        <v>11514</v>
      </c>
      <c r="B9152" s="4" t="s">
        <v>11517</v>
      </c>
      <c r="C9152" s="5" t="str">
        <f>IFERROR(__xludf.DUMMYFUNCTION("GOOGLETRANSLATE(B9152,""en"",""zh-CN"")"),"这个男人的年轻人热身，做一个手倒立。")</f>
        <v>这个男人的年轻人热身，做一个手倒立。</v>
      </c>
    </row>
    <row r="9153">
      <c r="A9153" s="4" t="s">
        <v>11514</v>
      </c>
      <c r="B9153" s="4" t="s">
        <v>11518</v>
      </c>
      <c r="C9153" s="5" t="str">
        <f>IFERROR(__xludf.DUMMYFUNCTION("GOOGLETRANSLATE(B9153,""en"",""zh-CN"")"),"该男子做一个舞蹈的舞蹈例程，做手持脚架和旋转。")</f>
        <v>该男子做一个舞蹈的舞蹈例程，做手持脚架和旋转。</v>
      </c>
    </row>
    <row r="9154">
      <c r="A9154" s="4" t="s">
        <v>11514</v>
      </c>
      <c r="B9154" s="4" t="s">
        <v>11519</v>
      </c>
      <c r="C9154" s="5" t="str">
        <f>IFERROR(__xludf.DUMMYFUNCTION("GOOGLETRANSLATE(B9154,""en"",""zh-CN"")"),"最终学分显示了用草书写的名称。")</f>
        <v>最终学分显示了用草书写的名称。</v>
      </c>
    </row>
    <row r="9155">
      <c r="A9155" s="4" t="s">
        <v>11520</v>
      </c>
      <c r="B9155" s="6" t="s">
        <v>11521</v>
      </c>
      <c r="C9155" s="5" t="str">
        <f>IFERROR(__xludf.DUMMYFUNCTION("GOOGLETRANSLATE(B9155,""en"",""zh-CN"")"),"一个车库里有人站在一个长长的木桌旁，上面有很多红色的独奏杯。")</f>
        <v>一个车库里有人站在一个长长的木桌旁，上面有很多红色的独奏杯。</v>
      </c>
    </row>
    <row r="9156">
      <c r="A9156" s="4" t="s">
        <v>11520</v>
      </c>
      <c r="B9156" s="4" t="s">
        <v>11522</v>
      </c>
      <c r="C9156" s="5" t="str">
        <f>IFERROR(__xludf.DUMMYFUNCTION("GOOGLETRANSLATE(B9156,""en"",""zh-CN"")"),"他们都开始扔乒乓球，以使他们降落在红色的独奏杯中。")</f>
        <v>他们都开始扔乒乓球，以使他们降落在红色的独奏杯中。</v>
      </c>
    </row>
    <row r="9157">
      <c r="A9157" s="4" t="s">
        <v>11520</v>
      </c>
      <c r="B9157" s="4" t="s">
        <v>11523</v>
      </c>
      <c r="C9157" s="5" t="str">
        <f>IFERROR(__xludf.DUMMYFUNCTION("GOOGLETRANSLATE(B9157,""en"",""zh-CN"")"),"突然，其中一个向后掉进桌子，桌子掉下来。")</f>
        <v>突然，其中一个向后掉进桌子，桌子掉下来。</v>
      </c>
    </row>
    <row r="9158">
      <c r="A9158" s="4" t="s">
        <v>11520</v>
      </c>
      <c r="B9158" s="6" t="s">
        <v>11524</v>
      </c>
      <c r="C9158" s="5" t="str">
        <f>IFERROR(__xludf.DUMMYFUNCTION("GOOGLETRANSLATE(B9158,""en"",""zh-CN"")"),"所有的男人开始笑，把桌子拉下来，只有一个人去帮助这个人。")</f>
        <v>所有的男人开始笑，把桌子拉下来，只有一个人去帮助这个人。</v>
      </c>
    </row>
    <row r="9159">
      <c r="A9159" s="4" t="s">
        <v>11525</v>
      </c>
      <c r="B9159" s="6" t="s">
        <v>11526</v>
      </c>
      <c r="C9159" s="5" t="str">
        <f>IFERROR(__xludf.DUMMYFUNCTION("GOOGLETRANSLATE(B9159,""en"",""zh-CN"")"),"看到一个男人在相机上采访另一个男人，并导致几组人在玩洗牌板。")</f>
        <v>看到一个男人在相机上采访另一个男人，并导致几组人在玩洗牌板。</v>
      </c>
    </row>
    <row r="9160">
      <c r="A9160" s="4" t="s">
        <v>11525</v>
      </c>
      <c r="B9160" s="6" t="s">
        <v>11527</v>
      </c>
      <c r="C9160" s="5" t="str">
        <f>IFERROR(__xludf.DUMMYFUNCTION("GOOGLETRANSLATE(B9160,""en"",""zh-CN"")"),"摄像头倒回到正在接受采访的男人身上，结束于主人对相机的最后一句话。")</f>
        <v>摄像头倒回到正在接受采访的男人身上，结束于主人对相机的最后一句话。</v>
      </c>
    </row>
    <row r="9161">
      <c r="A9161" s="4" t="s">
        <v>11528</v>
      </c>
      <c r="B9161" s="4" t="s">
        <v>11529</v>
      </c>
      <c r="C9161" s="5" t="str">
        <f>IFERROR(__xludf.DUMMYFUNCTION("GOOGLETRANSLATE(B9161,""en"",""zh-CN"")"),"两名妇女在建筑物外面的户外活动，正在固定地面玩跳雪花。")</f>
        <v>两名妇女在建筑物外面的户外活动，正在固定地面玩跳雪花。</v>
      </c>
    </row>
    <row r="9162">
      <c r="A9162" s="4" t="s">
        <v>11528</v>
      </c>
      <c r="B9162" s="4" t="s">
        <v>11530</v>
      </c>
      <c r="C9162" s="5" t="str">
        <f>IFERROR(__xludf.DUMMYFUNCTION("GOOGLETRANSLATE(B9162,""en"",""zh-CN"")"),"屏幕上有白色文字。")</f>
        <v>屏幕上有白色文字。</v>
      </c>
    </row>
    <row r="9163">
      <c r="A9163" s="4" t="s">
        <v>11528</v>
      </c>
      <c r="B9163" s="6" t="s">
        <v>11531</v>
      </c>
      <c r="C9163" s="5" t="str">
        <f>IFERROR(__xludf.DUMMYFUNCTION("GOOGLETRANSLATE(B9163,""en"",""zh-CN"")"),"这位短裤的年轻女子跳上正方形，一个穿着衣服的年长女人也跳在正方形上。")</f>
        <v>这位短裤的年轻女子跳上正方形，一个穿着衣服的年长女人也跳在正方形上。</v>
      </c>
    </row>
    <row r="9164">
      <c r="A9164" s="4" t="s">
        <v>11528</v>
      </c>
      <c r="B9164" s="4" t="s">
        <v>11532</v>
      </c>
      <c r="C9164" s="5" t="str">
        <f>IFERROR(__xludf.DUMMYFUNCTION("GOOGLETRANSLATE(B9164,""en"",""zh-CN"")"),"年轻女孩跌倒了。")</f>
        <v>年轻女孩跌倒了。</v>
      </c>
    </row>
    <row r="9165">
      <c r="A9165" s="4" t="s">
        <v>11528</v>
      </c>
      <c r="B9165" s="4" t="s">
        <v>11533</v>
      </c>
      <c r="C9165" s="5" t="str">
        <f>IFERROR(__xludf.DUMMYFUNCTION("GOOGLETRANSLATE(B9165,""en"",""zh-CN"")"),"老妇人走路并庆祝举起她的手臂。")</f>
        <v>老妇人走路并庆祝举起她的手臂。</v>
      </c>
    </row>
    <row r="9166">
      <c r="A9166" s="4" t="s">
        <v>11528</v>
      </c>
      <c r="B9166" s="4" t="s">
        <v>11534</v>
      </c>
      <c r="C9166" s="5" t="str">
        <f>IFERROR(__xludf.DUMMYFUNCTION("GOOGLETRANSLATE(B9166,""en"",""zh-CN"")"),"两人看着相机，竖起大拇指。")</f>
        <v>两人看着相机，竖起大拇指。</v>
      </c>
    </row>
    <row r="9167">
      <c r="A9167" s="4" t="s">
        <v>11535</v>
      </c>
      <c r="B9167" s="6" t="s">
        <v>11536</v>
      </c>
      <c r="C9167" s="5" t="str">
        <f>IFERROR(__xludf.DUMMYFUNCTION("GOOGLETRANSLATE(B9167,""en"",""zh-CN"")"),"看到了地铁的近距离，并导致一个女人在镜头说话并切割一块面包。")</f>
        <v>看到了地铁的近距离，并导致一个女人在镜头说话并切割一块面包。</v>
      </c>
    </row>
    <row r="9168">
      <c r="A9168" s="4" t="s">
        <v>11535</v>
      </c>
      <c r="B9168" s="4" t="s">
        <v>11537</v>
      </c>
      <c r="C9168" s="5" t="str">
        <f>IFERROR(__xludf.DUMMYFUNCTION("GOOGLETRANSLATE(B9168,""en"",""zh-CN"")"),"然后，该名女子将各种成分放在面包上，并将其包裹起来。")</f>
        <v>然后，该名女子将各种成分放在面包上，并将其包裹起来。</v>
      </c>
    </row>
    <row r="9169">
      <c r="A9169" s="4" t="s">
        <v>11535</v>
      </c>
      <c r="B9169" s="6" t="s">
        <v>11538</v>
      </c>
      <c r="C9169" s="5" t="str">
        <f>IFERROR(__xludf.DUMMYFUNCTION("GOOGLETRANSLATE(B9169,""en"",""zh-CN"")"),"然后在三明治的尽头显示了几张照片，所有人都准备好了，人们享受三明治。")</f>
        <v>然后在三明治的尽头显示了几张照片，所有人都准备好了，人们享受三明治。</v>
      </c>
    </row>
    <row r="9170">
      <c r="A9170" s="4" t="s">
        <v>11539</v>
      </c>
      <c r="B9170" s="4" t="s">
        <v>11540</v>
      </c>
      <c r="C9170" s="5" t="str">
        <f>IFERROR(__xludf.DUMMYFUNCTION("GOOGLETRANSLATE(B9170,""en"",""zh-CN"")"),"一个男人站在健身房里。")</f>
        <v>一个男人站在健身房里。</v>
      </c>
    </row>
    <row r="9171">
      <c r="A9171" s="4" t="s">
        <v>11539</v>
      </c>
      <c r="B9171" s="4" t="s">
        <v>11541</v>
      </c>
      <c r="C9171" s="5" t="str">
        <f>IFERROR(__xludf.DUMMYFUNCTION("GOOGLETRANSLATE(B9171,""en"",""zh-CN"")"),"他跳下锻炼步进，从前，背对背到侧面。")</f>
        <v>他跳下锻炼步进，从前，背对背到侧面。</v>
      </c>
    </row>
    <row r="9172">
      <c r="A9172" s="4" t="s">
        <v>11539</v>
      </c>
      <c r="B9172" s="4" t="s">
        <v>11542</v>
      </c>
      <c r="C9172" s="5" t="str">
        <f>IFERROR(__xludf.DUMMYFUNCTION("GOOGLETRANSLATE(B9172,""en"",""zh-CN"")"),"当他爬下和关闭时，他旋转。")</f>
        <v>当他爬下和关闭时，他旋转。</v>
      </c>
    </row>
    <row r="9173">
      <c r="A9173" s="4" t="s">
        <v>11543</v>
      </c>
      <c r="B9173" s="6" t="s">
        <v>11544</v>
      </c>
      <c r="C9173" s="5" t="str">
        <f>IFERROR(__xludf.DUMMYFUNCTION("GOOGLETRANSLATE(B9173,""en"",""zh-CN"")"),"两名相扑摔跤手在一组中显示，有数百人在后面看照片。")</f>
        <v>两名相扑摔跤手在一组中显示，有数百人在后面看照片。</v>
      </c>
    </row>
    <row r="9174">
      <c r="A9174" s="4" t="s">
        <v>11543</v>
      </c>
      <c r="B9174" s="6" t="s">
        <v>11545</v>
      </c>
      <c r="C9174" s="5" t="str">
        <f>IFERROR(__xludf.DUMMYFUNCTION("GOOGLETRANSLATE(B9174,""en"",""zh-CN"")"),"该视频继续显示几名不同的运动员在戒指上战斗，并在几秒钟内将另一个运动员拉下来。")</f>
        <v>该视频继续显示几名不同的运动员在戒指上战斗，并在几秒钟内将另一个运动员拉下来。</v>
      </c>
    </row>
    <row r="9175">
      <c r="A9175" s="4" t="s">
        <v>11546</v>
      </c>
      <c r="B9175" s="6" t="s">
        <v>11547</v>
      </c>
      <c r="C9175" s="5" t="str">
        <f>IFERROR(__xludf.DUMMYFUNCTION("GOOGLETRANSLATE(B9175,""en"",""zh-CN"")"),"看到两个人在相机上说话，并导致那个男人剥下一根梨并伸出侧面。")</f>
        <v>看到两个人在相机上说话，并导致那个男人剥下一根梨并伸出侧面。</v>
      </c>
    </row>
    <row r="9176">
      <c r="A9176" s="4" t="s">
        <v>11546</v>
      </c>
      <c r="B9176" s="4" t="s">
        <v>11548</v>
      </c>
      <c r="C9176" s="5" t="str">
        <f>IFERROR(__xludf.DUMMYFUNCTION("GOOGLETRANSLATE(B9176,""en"",""zh-CN"")"),"然后，该男子将水果切成薄片，并将其放在盘子上，同时仍与相机说话。")</f>
        <v>然后，该男子将水果切成薄片，并将其放在盘子上，同时仍与相机说话。</v>
      </c>
    </row>
    <row r="9177">
      <c r="A9177" s="4" t="s">
        <v>11549</v>
      </c>
      <c r="B9177" s="6" t="s">
        <v>11550</v>
      </c>
      <c r="C9177" s="5" t="str">
        <f>IFERROR(__xludf.DUMMYFUNCTION("GOOGLETRANSLATE(B9177,""en"",""zh-CN"")"),"一群男朋友在浴室里聊天，并敢于努力刮起他的腿。")</f>
        <v>一群男朋友在浴室里聊天，并敢于努力刮起他的腿。</v>
      </c>
    </row>
    <row r="9178">
      <c r="A9178" s="4" t="s">
        <v>11549</v>
      </c>
      <c r="B9178" s="6" t="s">
        <v>11551</v>
      </c>
      <c r="C9178" s="5" t="str">
        <f>IFERROR(__xludf.DUMMYFUNCTION("GOOGLETRANSLATE(B9178,""en"",""zh-CN"")"),"摄像头倒在男孩的腿上，显示他的一个朋友用电动剃刀从腿上剃掉头发。")</f>
        <v>摄像头倒在男孩的腿上，显示他的一个朋友用电动剃刀从腿上剃掉头发。</v>
      </c>
    </row>
    <row r="9179">
      <c r="A9179" s="4" t="s">
        <v>11552</v>
      </c>
      <c r="B9179" s="4" t="s">
        <v>11553</v>
      </c>
      <c r="C9179" s="5" t="str">
        <f>IFERROR(__xludf.DUMMYFUNCTION("GOOGLETRANSLATE(B9179,""en"",""zh-CN"")"),"一个人将魔方放在文件夹上。")</f>
        <v>一个人将魔方放在文件夹上。</v>
      </c>
    </row>
    <row r="9180">
      <c r="A9180" s="4" t="s">
        <v>11552</v>
      </c>
      <c r="B9180" s="4" t="s">
        <v>11554</v>
      </c>
      <c r="C9180" s="5" t="str">
        <f>IFERROR(__xludf.DUMMYFUNCTION("GOOGLETRANSLATE(B9180,""en"",""zh-CN"")"),"然后在11秒内解决难题。")</f>
        <v>然后在11秒内解决难题。</v>
      </c>
    </row>
    <row r="9181">
      <c r="A9181" s="4" t="s">
        <v>11555</v>
      </c>
      <c r="B9181" s="4" t="s">
        <v>11556</v>
      </c>
      <c r="C9181" s="5" t="str">
        <f>IFERROR(__xludf.DUMMYFUNCTION("GOOGLETRANSLATE(B9181,""en"",""zh-CN"")"),"一家人在下雪后我想离开的客厅里。")</f>
        <v>一家人在下雪后我想离开的客厅里。</v>
      </c>
    </row>
    <row r="9182">
      <c r="A9182" s="4" t="s">
        <v>11555</v>
      </c>
      <c r="B9182" s="4" t="s">
        <v>11557</v>
      </c>
      <c r="C9182" s="5" t="str">
        <f>IFERROR(__xludf.DUMMYFUNCTION("GOOGLETRANSLATE(B9182,""en"",""zh-CN"")"),"一个人打开门，试图跳过那条路的雪。")</f>
        <v>一个人打开门，试图跳过那条路的雪。</v>
      </c>
    </row>
    <row r="9183">
      <c r="A9183" s="4" t="s">
        <v>11555</v>
      </c>
      <c r="B9183" s="4" t="s">
        <v>11558</v>
      </c>
      <c r="C9183" s="5" t="str">
        <f>IFERROR(__xludf.DUMMYFUNCTION("GOOGLETRANSLATE(B9183,""en"",""zh-CN"")"),"他被困在雪中，他的家人试图帮助他离开。")</f>
        <v>他被困在雪中，他的家人试图帮助他离开。</v>
      </c>
    </row>
    <row r="9184">
      <c r="A9184" s="4" t="s">
        <v>11555</v>
      </c>
      <c r="B9184" s="4" t="s">
        <v>11559</v>
      </c>
      <c r="C9184" s="5" t="str">
        <f>IFERROR(__xludf.DUMMYFUNCTION("GOOGLETRANSLATE(B9184,""en"",""zh-CN"")"),"一旦他出来，他就把他们扔了一把铲子，将雪铲在地板上。")</f>
        <v>一旦他出来，他就把他们扔了一把铲子，将雪铲在地板上。</v>
      </c>
    </row>
    <row r="9185">
      <c r="A9185" s="4" t="s">
        <v>11555</v>
      </c>
      <c r="B9185" s="4" t="s">
        <v>11560</v>
      </c>
      <c r="C9185" s="5" t="str">
        <f>IFERROR(__xludf.DUMMYFUNCTION("GOOGLETRANSLATE(B9185,""en"",""zh-CN"")"),"视频以屏幕上显示的积分结束。")</f>
        <v>视频以屏幕上显示的积分结束。</v>
      </c>
    </row>
    <row r="9186">
      <c r="A9186" s="4" t="s">
        <v>11561</v>
      </c>
      <c r="B9186" s="4" t="s">
        <v>11562</v>
      </c>
      <c r="C9186" s="5" t="str">
        <f>IFERROR(__xludf.DUMMYFUNCTION("GOOGLETRANSLATE(B9186,""en"",""zh-CN"")"),"人们在河上漂浮在河上。")</f>
        <v>人们在河上漂浮在河上。</v>
      </c>
    </row>
    <row r="9187">
      <c r="A9187" s="4" t="s">
        <v>11561</v>
      </c>
      <c r="B9187" s="4" t="s">
        <v>11563</v>
      </c>
      <c r="C9187" s="5" t="str">
        <f>IFERROR(__xludf.DUMMYFUNCTION("GOOGLETRANSLATE(B9187,""en"",""zh-CN"")"),"然后，我们看到人们在建筑物上拿着筏子。")</f>
        <v>然后，我们看到人们在建筑物上拿着筏子。</v>
      </c>
    </row>
    <row r="9188">
      <c r="A9188" s="4" t="s">
        <v>11561</v>
      </c>
      <c r="B9188" s="4" t="s">
        <v>11564</v>
      </c>
      <c r="C9188" s="5" t="str">
        <f>IFERROR(__xludf.DUMMYFUNCTION("GOOGLETRANSLATE(B9188,""en"",""zh-CN"")"),"一个人在船上漂浮在木筏上的人。")</f>
        <v>一个人在船上漂浮在木筏上的人。</v>
      </c>
    </row>
    <row r="9189">
      <c r="A9189" s="4" t="s">
        <v>11561</v>
      </c>
      <c r="B9189" s="4" t="s">
        <v>11565</v>
      </c>
      <c r="C9189" s="5" t="str">
        <f>IFERROR(__xludf.DUMMYFUNCTION("GOOGLETRANSLATE(B9189,""en"",""zh-CN"")"),"一辆公共汽车坐在漂流设施的前面，当其他男人带着筏子行走时，男人堆放了木筏。")</f>
        <v>一辆公共汽车坐在漂流设施的前面，当其他男人带着筏子行走时，男人堆放了木筏。</v>
      </c>
    </row>
    <row r="9190">
      <c r="A9190" s="4" t="s">
        <v>11561</v>
      </c>
      <c r="B9190" s="4" t="s">
        <v>11566</v>
      </c>
      <c r="C9190" s="5" t="str">
        <f>IFERROR(__xludf.DUMMYFUNCTION("GOOGLETRANSLATE(B9190,""en"",""zh-CN"")"),"一个男人和一个女人用单独的筏子漂浮在河里。")</f>
        <v>一个男人和一个女人用单独的筏子漂浮在河里。</v>
      </c>
    </row>
    <row r="9191">
      <c r="A9191" s="4" t="s">
        <v>11567</v>
      </c>
      <c r="B9191" s="4" t="s">
        <v>11568</v>
      </c>
      <c r="C9191" s="5" t="str">
        <f>IFERROR(__xludf.DUMMYFUNCTION("GOOGLETRANSLATE(B9191,""en"",""zh-CN"")"),"我们看到一位女士和两个男人站在湖中。")</f>
        <v>我们看到一位女士和两个男人站在湖中。</v>
      </c>
    </row>
    <row r="9192">
      <c r="A9192" s="4" t="s">
        <v>11567</v>
      </c>
      <c r="B9192" s="4" t="s">
        <v>11569</v>
      </c>
      <c r="C9192" s="5" t="str">
        <f>IFERROR(__xludf.DUMMYFUNCTION("GOOGLETRANSLATE(B9192,""en"",""zh-CN"")"),"那位女士然后摩托艇。")</f>
        <v>那位女士然后摩托艇。</v>
      </c>
    </row>
    <row r="9193">
      <c r="A9193" s="4" t="s">
        <v>11567</v>
      </c>
      <c r="B9193" s="4" t="s">
        <v>11570</v>
      </c>
      <c r="C9193" s="5" t="str">
        <f>IFERROR(__xludf.DUMMYFUNCTION("GOOGLETRANSLATE(B9193,""en"",""zh-CN"")"),"我们看到左鲍勃船上的人的头进出了射击。")</f>
        <v>我们看到左鲍勃船上的人的头进出了射击。</v>
      </c>
    </row>
    <row r="9194">
      <c r="A9194" s="4" t="s">
        <v>11567</v>
      </c>
      <c r="B9194" s="4" t="s">
        <v>11571</v>
      </c>
      <c r="C9194" s="5" t="str">
        <f>IFERROR(__xludf.DUMMYFUNCTION("GOOGLETRANSLATE(B9194,""en"",""zh-CN"")"),"船转身，我们不再看到背景的土地。")</f>
        <v>船转身，我们不再看到背景的土地。</v>
      </c>
    </row>
    <row r="9195">
      <c r="A9195" s="4" t="s">
        <v>11567</v>
      </c>
      <c r="B9195" s="4" t="s">
        <v>11572</v>
      </c>
      <c r="C9195" s="5" t="str">
        <f>IFERROR(__xludf.DUMMYFUNCTION("GOOGLETRANSLATE(B9195,""en"",""zh-CN"")"),"那位女士从滑雪上摔下来。")</f>
        <v>那位女士从滑雪上摔下来。</v>
      </c>
    </row>
    <row r="9196">
      <c r="A9196" s="4" t="s">
        <v>11567</v>
      </c>
      <c r="B9196" s="4" t="s">
        <v>11573</v>
      </c>
      <c r="C9196" s="5" t="str">
        <f>IFERROR(__xludf.DUMMYFUNCTION("GOOGLETRANSLATE(B9196,""en"",""zh-CN"")"),"一个男人走过来帮助湖中的那位女士。")</f>
        <v>一个男人走过来帮助湖中的那位女士。</v>
      </c>
    </row>
    <row r="9197">
      <c r="A9197" s="4" t="s">
        <v>11574</v>
      </c>
      <c r="B9197" s="4" t="s">
        <v>11575</v>
      </c>
      <c r="C9197" s="5" t="str">
        <f>IFERROR(__xludf.DUMMYFUNCTION("GOOGLETRANSLATE(B9197,""en"",""zh-CN"")"),"在博览会上，使用了保险杠汽车。")</f>
        <v>在博览会上，使用了保险杠汽车。</v>
      </c>
    </row>
    <row r="9198">
      <c r="A9198" s="4" t="s">
        <v>11574</v>
      </c>
      <c r="B9198" s="4" t="s">
        <v>11576</v>
      </c>
      <c r="C9198" s="5" t="str">
        <f>IFERROR(__xludf.DUMMYFUNCTION("GOOGLETRANSLATE(B9198,""en"",""zh-CN"")"),"一群不同的人互相碰到。")</f>
        <v>一群不同的人互相碰到。</v>
      </c>
    </row>
    <row r="9199">
      <c r="A9199" s="4" t="s">
        <v>11574</v>
      </c>
      <c r="B9199" s="4" t="s">
        <v>11577</v>
      </c>
      <c r="C9199" s="5" t="str">
        <f>IFERROR(__xludf.DUMMYFUNCTION("GOOGLETRANSLATE(B9199,""en"",""zh-CN"")"),"他们只是在击中并被其他骑手加热时毫无目的地绕着圈子行驶。")</f>
        <v>他们只是在击中并被其他骑手加热时毫无目的地绕着圈子行驶。</v>
      </c>
    </row>
    <row r="9200">
      <c r="A9200" s="4" t="s">
        <v>11574</v>
      </c>
      <c r="B9200" s="4" t="s">
        <v>11578</v>
      </c>
      <c r="C9200" s="5" t="str">
        <f>IFERROR(__xludf.DUMMYFUNCTION("GOOGLETRANSLATE(B9200,""en"",""zh-CN"")"),"在您无聊并且博览会在城里时，这是无辜的乐趣。")</f>
        <v>在您无聊并且博览会在城里时，这是无辜的乐趣。</v>
      </c>
    </row>
    <row r="9201">
      <c r="A9201" s="4" t="s">
        <v>11579</v>
      </c>
      <c r="B9201" s="4" t="s">
        <v>11580</v>
      </c>
      <c r="C9201" s="5" t="str">
        <f>IFERROR(__xludf.DUMMYFUNCTION("GOOGLETRANSLATE(B9201,""en"",""zh-CN"")"),"一个男人和女人玩岩石剪刀。")</f>
        <v>一个男人和女人玩岩石剪刀。</v>
      </c>
    </row>
    <row r="9202">
      <c r="A9202" s="4" t="s">
        <v>11579</v>
      </c>
      <c r="B9202" s="4" t="s">
        <v>11581</v>
      </c>
      <c r="C9202" s="5" t="str">
        <f>IFERROR(__xludf.DUMMYFUNCTION("GOOGLETRANSLATE(B9202,""en"",""zh-CN"")"),"女人赢得了笑容。")</f>
        <v>女人赢得了笑容。</v>
      </c>
    </row>
    <row r="9203">
      <c r="A9203" s="4" t="s">
        <v>11579</v>
      </c>
      <c r="B9203" s="4" t="s">
        <v>11582</v>
      </c>
      <c r="C9203" s="5" t="str">
        <f>IFERROR(__xludf.DUMMYFUNCTION("GOOGLETRANSLATE(B9203,""en"",""zh-CN"")"),"那个女人盲目折叠。")</f>
        <v>那个女人盲目折叠。</v>
      </c>
    </row>
    <row r="9204">
      <c r="A9204" s="4" t="s">
        <v>11579</v>
      </c>
      <c r="B9204" s="4" t="s">
        <v>11583</v>
      </c>
      <c r="C9204" s="5" t="str">
        <f>IFERROR(__xludf.DUMMYFUNCTION("GOOGLETRANSLATE(B9204,""en"",""zh-CN"")"),"女人给男人一个拥抱。")</f>
        <v>女人给男人一个拥抱。</v>
      </c>
    </row>
    <row r="9205">
      <c r="A9205" s="4" t="s">
        <v>11584</v>
      </c>
      <c r="B9205" s="6" t="s">
        <v>11585</v>
      </c>
      <c r="C9205" s="5" t="str">
        <f>IFERROR(__xludf.DUMMYFUNCTION("GOOGLETRANSLATE(B9205,""en"",""zh-CN"")"),"看到一个年轻的女孩在与镜头交谈，并通往她的浏览互联网，然后在院子里倾斜。")</f>
        <v>看到一个年轻的女孩在与镜头交谈，并通往她的浏览互联网，然后在院子里倾斜。</v>
      </c>
    </row>
    <row r="9206">
      <c r="A9206" s="4" t="s">
        <v>11584</v>
      </c>
      <c r="B9206" s="6" t="s">
        <v>11586</v>
      </c>
      <c r="C9206" s="5" t="str">
        <f>IFERROR(__xludf.DUMMYFUNCTION("GOOGLETRANSLATE(B9206,""en"",""zh-CN"")"),"然后看到这个女孩坐在叶子里，过渡到与母亲在厨房里交谈。")</f>
        <v>然后看到这个女孩坐在叶子里，过渡到与母亲在厨房里交谈。</v>
      </c>
    </row>
    <row r="9207">
      <c r="A9207" s="4" t="s">
        <v>11584</v>
      </c>
      <c r="B9207" s="4" t="s">
        <v>11587</v>
      </c>
      <c r="C9207" s="5" t="str">
        <f>IFERROR(__xludf.DUMMYFUNCTION("GOOGLETRANSLATE(B9207,""en"",""zh-CN"")"),"她向她展示了一次与摄像机交谈，并以各种孩子的照片结尾。")</f>
        <v>她向她展示了一次与摄像机交谈，并以各种孩子的照片结尾。</v>
      </c>
    </row>
    <row r="9208">
      <c r="A9208" s="4" t="s">
        <v>11588</v>
      </c>
      <c r="B9208" s="4" t="s">
        <v>11589</v>
      </c>
      <c r="C9208" s="5" t="str">
        <f>IFERROR(__xludf.DUMMYFUNCTION("GOOGLETRANSLATE(B9208,""en"",""zh-CN"")"),"一个大型竞技场容纳许多人。")</f>
        <v>一个大型竞技场容纳许多人。</v>
      </c>
    </row>
    <row r="9209">
      <c r="A9209" s="4" t="s">
        <v>11588</v>
      </c>
      <c r="B9209" s="4" t="s">
        <v>11590</v>
      </c>
      <c r="C9209" s="5" t="str">
        <f>IFERROR(__xludf.DUMMYFUNCTION("GOOGLETRANSLATE(B9209,""en"",""zh-CN"")"),"杆子在竞技场设置。")</f>
        <v>杆子在竞技场设置。</v>
      </c>
    </row>
    <row r="9210">
      <c r="A9210" s="4" t="s">
        <v>11588</v>
      </c>
      <c r="B9210" s="4" t="s">
        <v>11591</v>
      </c>
      <c r="C9210" s="5" t="str">
        <f>IFERROR(__xludf.DUMMYFUNCTION("GOOGLETRANSLATE(B9210,""en"",""zh-CN"")"),"体操运动员在两极表演。")</f>
        <v>体操运动员在两极表演。</v>
      </c>
    </row>
    <row r="9211">
      <c r="A9211" s="4" t="s">
        <v>11588</v>
      </c>
      <c r="B9211" s="4" t="s">
        <v>11592</v>
      </c>
      <c r="C9211" s="5" t="str">
        <f>IFERROR(__xludf.DUMMYFUNCTION("GOOGLETRANSLATE(B9211,""en"",""zh-CN"")"),"他们对他们有很多技巧。")</f>
        <v>他们对他们有很多技巧。</v>
      </c>
    </row>
    <row r="9212">
      <c r="A9212" s="4" t="s">
        <v>11593</v>
      </c>
      <c r="B9212" s="4" t="s">
        <v>11594</v>
      </c>
      <c r="C9212" s="5" t="str">
        <f>IFERROR(__xludf.DUMMYFUNCTION("GOOGLETRANSLATE(B9212,""en"",""zh-CN"")"),"一个人正在刷滑底。")</f>
        <v>一个人正在刷滑底。</v>
      </c>
    </row>
    <row r="9213">
      <c r="A9213" s="4" t="s">
        <v>11593</v>
      </c>
      <c r="B9213" s="4" t="s">
        <v>11595</v>
      </c>
      <c r="C9213" s="5" t="str">
        <f>IFERROR(__xludf.DUMMYFUNCTION("GOOGLETRANSLATE(B9213,""en"",""zh-CN"")"),"他将蜡融化到滑雪的底部，然后牢牢地牢牢。")</f>
        <v>他将蜡融化到滑雪的底部，然后牢牢地牢牢。</v>
      </c>
    </row>
    <row r="9214">
      <c r="A9214" s="4" t="s">
        <v>11593</v>
      </c>
      <c r="B9214" s="4" t="s">
        <v>11596</v>
      </c>
      <c r="C9214" s="5" t="str">
        <f>IFERROR(__xludf.DUMMYFUNCTION("GOOGLETRANSLATE(B9214,""en"",""zh-CN"")"),"然后，他用工具将蜡刮掉。")</f>
        <v>然后，他用工具将蜡刮掉。</v>
      </c>
    </row>
    <row r="9215">
      <c r="A9215" s="4" t="s">
        <v>11593</v>
      </c>
      <c r="B9215" s="4" t="s">
        <v>11597</v>
      </c>
      <c r="C9215" s="5" t="str">
        <f>IFERROR(__xludf.DUMMYFUNCTION("GOOGLETRANSLATE(B9215,""en"",""zh-CN"")"),"他用刷子刷滑雪。")</f>
        <v>他用刷子刷滑雪。</v>
      </c>
    </row>
    <row r="9216">
      <c r="A9216" s="4" t="s">
        <v>11598</v>
      </c>
      <c r="B9216" s="6" t="s">
        <v>11599</v>
      </c>
      <c r="C9216" s="5" t="str">
        <f>IFERROR(__xludf.DUMMYFUNCTION("GOOGLETRANSLATE(B9216,""en"",""zh-CN"")"),"一名运动员在杆子前的热身，而背景中的其他几个人则围绕着轨道。")</f>
        <v>一名运动员在杆子前的热身，而背景中的其他几个人则围绕着轨道。</v>
      </c>
    </row>
    <row r="9217">
      <c r="A9217" s="4" t="s">
        <v>11598</v>
      </c>
      <c r="B9217" s="4" t="s">
        <v>11600</v>
      </c>
      <c r="C9217" s="5" t="str">
        <f>IFERROR(__xludf.DUMMYFUNCTION("GOOGLETRANSLATE(B9217,""en"",""zh-CN"")"),"该男子最终为自己的跳跃做准备，跳过杆子。")</f>
        <v>该男子最终为自己的跳跃做准备，跳过杆子。</v>
      </c>
    </row>
    <row r="9218">
      <c r="A9218" s="4" t="s">
        <v>11598</v>
      </c>
      <c r="B9218" s="4" t="s">
        <v>11601</v>
      </c>
      <c r="C9218" s="5" t="str">
        <f>IFERROR(__xludf.DUMMYFUNCTION("GOOGLETRANSLATE(B9218,""en"",""zh-CN"")"),"他挥舞着胳膊庆祝，周围的其他人为他鼓掌。")</f>
        <v>他挥舞着胳膊庆祝，周围的其他人为他鼓掌。</v>
      </c>
    </row>
    <row r="9219">
      <c r="A9219" s="4" t="s">
        <v>11602</v>
      </c>
      <c r="B9219" s="4" t="s">
        <v>11603</v>
      </c>
      <c r="C9219" s="5" t="str">
        <f>IFERROR(__xludf.DUMMYFUNCTION("GOOGLETRANSLATE(B9219,""en"",""zh-CN"")"),"一位女士站在锅里，展示了墙壁的区域。")</f>
        <v>一位女士站在锅里，展示了墙壁的区域。</v>
      </c>
    </row>
    <row r="9220">
      <c r="A9220" s="4" t="s">
        <v>11602</v>
      </c>
      <c r="B9220" s="4" t="s">
        <v>11604</v>
      </c>
      <c r="C9220" s="5" t="str">
        <f>IFERROR(__xludf.DUMMYFUNCTION("GOOGLETRANSLATE(B9220,""en"",""zh-CN"")"),"用锅中的溶液用湿毛巾清洁墙壁。")</f>
        <v>用锅中的溶液用湿毛巾清洁墙壁。</v>
      </c>
    </row>
    <row r="9221">
      <c r="A9221" s="4" t="s">
        <v>11602</v>
      </c>
      <c r="B9221" s="4" t="s">
        <v>11605</v>
      </c>
      <c r="C9221" s="5" t="str">
        <f>IFERROR(__xludf.DUMMYFUNCTION("GOOGLETRANSLATE(B9221,""en"",""zh-CN"")"),"夫人指向墙壁变色的区域。")</f>
        <v>夫人指向墙壁变色的区域。</v>
      </c>
    </row>
    <row r="9222">
      <c r="A9222" s="4" t="s">
        <v>11606</v>
      </c>
      <c r="B9222" s="4" t="s">
        <v>11607</v>
      </c>
      <c r="C9222" s="5" t="str">
        <f>IFERROR(__xludf.DUMMYFUNCTION("GOOGLETRANSLATE(B9222,""en"",""zh-CN"")"),"显示了一张专辑封面的图像，该专辑封面会导致一个年轻人慢慢演奏口琴。")</f>
        <v>显示了一张专辑封面的图像，该专辑封面会导致一个年轻人慢慢演奏口琴。</v>
      </c>
    </row>
    <row r="9223">
      <c r="A9223" s="4" t="s">
        <v>11606</v>
      </c>
      <c r="B9223" s="6" t="s">
        <v>11608</v>
      </c>
      <c r="C9223" s="5" t="str">
        <f>IFERROR(__xludf.DUMMYFUNCTION("GOOGLETRANSLATE(B9223,""en"",""zh-CN"")"),"该男子向后摇摆，第四名乐队和他自己演奏之间的歌曲和介绍。")</f>
        <v>该男子向后摇摆，第四名乐队和他自己演奏之间的歌曲和介绍。</v>
      </c>
    </row>
    <row r="9224">
      <c r="A9224" s="4" t="s">
        <v>11609</v>
      </c>
      <c r="B9224" s="4" t="s">
        <v>11610</v>
      </c>
      <c r="C9224" s="5" t="str">
        <f>IFERROR(__xludf.DUMMYFUNCTION("GOOGLETRANSLATE(B9224,""en"",""zh-CN"")"),"人站在柜台前，展示了如何锐化刀。")</f>
        <v>人站在柜台前，展示了如何锐化刀。</v>
      </c>
    </row>
    <row r="9225">
      <c r="A9225" s="4" t="s">
        <v>11609</v>
      </c>
      <c r="B9225" s="4" t="s">
        <v>11611</v>
      </c>
      <c r="C9225" s="5" t="str">
        <f>IFERROR(__xludf.DUMMYFUNCTION("GOOGLETRANSLATE(B9225,""en"",""zh-CN"")"),"在背景中，男人在后台烹饪。")</f>
        <v>在背景中，男人在后台烹饪。</v>
      </c>
    </row>
    <row r="9226">
      <c r="A9226" s="4" t="s">
        <v>11609</v>
      </c>
      <c r="B9226" s="4" t="s">
        <v>11612</v>
      </c>
      <c r="C9226" s="5" t="str">
        <f>IFERROR(__xludf.DUMMYFUNCTION("GOOGLETRANSLATE(B9226,""en"",""zh-CN"")"),"人正在解释和检查刀的区域。")</f>
        <v>人正在解释和检查刀的区域。</v>
      </c>
    </row>
    <row r="9227">
      <c r="A9227" s="4" t="s">
        <v>11613</v>
      </c>
      <c r="B9227" s="4" t="s">
        <v>11614</v>
      </c>
      <c r="C9227" s="5" t="str">
        <f>IFERROR(__xludf.DUMMYFUNCTION("GOOGLETRANSLATE(B9227,""en"",""zh-CN"")"),"三名摔跤手在戒指上，人群专心地观看。")</f>
        <v>三名摔跤手在戒指上，人群专心地观看。</v>
      </c>
    </row>
    <row r="9228">
      <c r="A9228" s="4" t="s">
        <v>11613</v>
      </c>
      <c r="B9228" s="4" t="s">
        <v>11615</v>
      </c>
      <c r="C9228" s="5" t="str">
        <f>IFERROR(__xludf.DUMMYFUNCTION("GOOGLETRANSLATE(B9228,""en"",""zh-CN"")"),"一名摔跤手，命名为安吉利斯东部，退缩并爬上梯子。")</f>
        <v>一名摔跤手，命名为安吉利斯东部，退缩并爬上梯子。</v>
      </c>
    </row>
    <row r="9229">
      <c r="A9229" s="4" t="s">
        <v>11613</v>
      </c>
      <c r="B9229" s="4" t="s">
        <v>11616</v>
      </c>
      <c r="C9229" s="5" t="str">
        <f>IFERROR(__xludf.DUMMYFUNCTION("GOOGLETRANSLATE(B9229,""en"",""zh-CN"")"),"另一个摔跤手Tandumisgreat站起来，开始攀登梯子的另一侧。")</f>
        <v>另一个摔跤手Tandumisgreat站起来，开始攀登梯子的另一侧。</v>
      </c>
    </row>
    <row r="9230">
      <c r="A9230" s="4" t="s">
        <v>11613</v>
      </c>
      <c r="B9230" s="4" t="s">
        <v>11617</v>
      </c>
      <c r="C9230" s="5" t="str">
        <f>IFERROR(__xludf.DUMMYFUNCTION("GOOGLETRANSLATE(B9230,""en"",""zh-CN"")"),"他们开始在梯子上互相撞到。")</f>
        <v>他们开始在梯子上互相撞到。</v>
      </c>
    </row>
    <row r="9231">
      <c r="A9231" s="4" t="s">
        <v>11613</v>
      </c>
      <c r="B9231" s="6" t="s">
        <v>11618</v>
      </c>
      <c r="C9231" s="5" t="str">
        <f>IFERROR(__xludf.DUMMYFUNCTION("GOOGLETRANSLATE(B9231,""en"",""zh-CN"")"),"Tandumisgreat在安吉利斯（Angemes）东部的后面爬上，他们俩都从梯子上掉下来，撞倒了安吉利斯（Angeles）。")</f>
        <v>Tandumisgreat在安吉利斯（Angemes）东部的后面爬上，他们俩都从梯子上掉下来，撞倒了安吉利斯（Angeles）。</v>
      </c>
    </row>
    <row r="9232">
      <c r="A9232" s="4" t="s">
        <v>11613</v>
      </c>
      <c r="B9232" s="4" t="s">
        <v>11619</v>
      </c>
      <c r="C9232" s="5" t="str">
        <f>IFERROR(__xludf.DUMMYFUNCTION("GOOGLETRANSLATE(B9232,""en"",""zh-CN"")"),"Tandumisgreat再次攀登梯子的顶部，并握住悬挂的货币银行。")</f>
        <v>Tandumisgreat再次攀登梯子的顶部，并握住悬挂的货币银行。</v>
      </c>
    </row>
    <row r="9233">
      <c r="A9233" s="4" t="s">
        <v>11620</v>
      </c>
      <c r="B9233" s="6" t="s">
        <v>11621</v>
      </c>
      <c r="C9233" s="5" t="str">
        <f>IFERROR(__xludf.DUMMYFUNCTION("GOOGLETRANSLATE(B9233,""en"",""zh-CN"")"),"在远处庆祝大量人群和骑摩托车周围的人们都显示了各种镜头。")</f>
        <v>在远处庆祝大量人群和骑摩托车周围的人们都显示了各种镜头。</v>
      </c>
    </row>
    <row r="9234">
      <c r="A9234" s="4" t="s">
        <v>11620</v>
      </c>
      <c r="B9234" s="4" t="s">
        <v>11622</v>
      </c>
      <c r="C9234" s="5" t="str">
        <f>IFERROR(__xludf.DUMMYFUNCTION("GOOGLETRANSLATE(B9234,""en"",""zh-CN"")"),"当摄像机捕捉动作时，人们继续慢动作。")</f>
        <v>当摄像机捕捉动作时，人们继续慢动作。</v>
      </c>
    </row>
    <row r="9235">
      <c r="A9235" s="4" t="s">
        <v>11623</v>
      </c>
      <c r="B9235" s="6" t="s">
        <v>11624</v>
      </c>
      <c r="C9235" s="5" t="str">
        <f>IFERROR(__xludf.DUMMYFUNCTION("GOOGLETRANSLATE(B9235,""en"",""zh-CN"")"),"用各种手和龙虾显示了动画动画，并演示了如何播放岩石剪刀。")</f>
        <v>用各种手和龙虾显示了动画动画，并演示了如何播放岩石剪刀。</v>
      </c>
    </row>
    <row r="9236">
      <c r="A9236" s="4" t="s">
        <v>11623</v>
      </c>
      <c r="B9236" s="4" t="s">
        <v>11625</v>
      </c>
      <c r="C9236" s="5" t="str">
        <f>IFERROR(__xludf.DUMMYFUNCTION("GOOGLETRANSLATE(B9236,""en"",""zh-CN"")"),"显示了更多文字以及手和动物，并显示了如何玩游戏的步骤。")</f>
        <v>显示了更多文字以及手和动物，并显示了如何玩游戏的步骤。</v>
      </c>
    </row>
    <row r="9237">
      <c r="A9237" s="4" t="s">
        <v>11626</v>
      </c>
      <c r="B9237" s="4" t="s">
        <v>11627</v>
      </c>
      <c r="C9237" s="5" t="str">
        <f>IFERROR(__xludf.DUMMYFUNCTION("GOOGLETRANSLATE(B9237,""en"",""zh-CN"")"),"我们看到一个动画开放序列。")</f>
        <v>我们看到一个动画开放序列。</v>
      </c>
    </row>
    <row r="9238">
      <c r="A9238" s="4" t="s">
        <v>11626</v>
      </c>
      <c r="B9238" s="4" t="s">
        <v>11628</v>
      </c>
      <c r="C9238" s="5" t="str">
        <f>IFERROR(__xludf.DUMMYFUNCTION("GOOGLETRANSLATE(B9238,""en"",""zh-CN"")"),"我们看到男人在滑雪坡上骑滑雪板。")</f>
        <v>我们看到男人在滑雪坡上骑滑雪板。</v>
      </c>
    </row>
    <row r="9239">
      <c r="A9239" s="4" t="s">
        <v>11626</v>
      </c>
      <c r="B9239" s="4" t="s">
        <v>11629</v>
      </c>
      <c r="C9239" s="5" t="str">
        <f>IFERROR(__xludf.DUMMYFUNCTION("GOOGLETRANSLATE(B9239,""en"",""zh-CN"")"),"我们看到一个男人骑在滑雪板的后部。")</f>
        <v>我们看到一个男人骑在滑雪板的后部。</v>
      </c>
    </row>
    <row r="9240">
      <c r="A9240" s="4" t="s">
        <v>11626</v>
      </c>
      <c r="B9240" s="4" t="s">
        <v>11630</v>
      </c>
      <c r="C9240" s="5" t="str">
        <f>IFERROR(__xludf.DUMMYFUNCTION("GOOGLETRANSLATE(B9240,""en"",""zh-CN"")"),"我们看到一个穿着明亮的粉红色外套的人。")</f>
        <v>我们看到一个穿着明亮的粉红色外套的人。</v>
      </c>
    </row>
    <row r="9241">
      <c r="A9241" s="4" t="s">
        <v>11626</v>
      </c>
      <c r="B9241" s="4" t="s">
        <v>11631</v>
      </c>
      <c r="C9241" s="5" t="str">
        <f>IFERROR(__xludf.DUMMYFUNCTION("GOOGLETRANSLATE(B9241,""en"",""zh-CN"")"),"一个男人用裸露的手臂滑雪。")</f>
        <v>一个男人用裸露的手臂滑雪。</v>
      </c>
    </row>
    <row r="9242">
      <c r="A9242" s="4" t="s">
        <v>11626</v>
      </c>
      <c r="B9242" s="4" t="s">
        <v>11632</v>
      </c>
      <c r="C9242" s="5" t="str">
        <f>IFERROR(__xludf.DUMMYFUNCTION("GOOGLETRANSLATE(B9242,""en"",""zh-CN"")"),"另一个没有外套的男人是滑雪。")</f>
        <v>另一个没有外套的男人是滑雪。</v>
      </c>
    </row>
    <row r="9243">
      <c r="A9243" s="4" t="s">
        <v>11626</v>
      </c>
      <c r="B9243" s="4" t="s">
        <v>11633</v>
      </c>
      <c r="C9243" s="5" t="str">
        <f>IFERROR(__xludf.DUMMYFUNCTION("GOOGLETRANSLATE(B9243,""en"",""zh-CN"")"),"我们看到结尾序列。")</f>
        <v>我们看到结尾序列。</v>
      </c>
    </row>
    <row r="9244">
      <c r="A9244" s="4" t="s">
        <v>11634</v>
      </c>
      <c r="B9244" s="4" t="s">
        <v>11635</v>
      </c>
      <c r="C9244" s="5" t="str">
        <f>IFERROR(__xludf.DUMMYFUNCTION("GOOGLETRANSLATE(B9244,""en"",""zh-CN"")"),"人们正在将球扔进塑料杯中。")</f>
        <v>人们正在将球扔进塑料杯中。</v>
      </c>
    </row>
    <row r="9245">
      <c r="A9245" s="4" t="s">
        <v>11634</v>
      </c>
      <c r="B9245" s="4" t="s">
        <v>11636</v>
      </c>
      <c r="C9245" s="5" t="str">
        <f>IFERROR(__xludf.DUMMYFUNCTION("GOOGLETRANSLATE(B9245,""en"",""zh-CN"")"),"一只手敲打红色塑料杯，并将液体浪费在里面。")</f>
        <v>一只手敲打红色塑料杯，并将液体浪费在里面。</v>
      </c>
    </row>
    <row r="9246">
      <c r="A9246" s="4" t="s">
        <v>11634</v>
      </c>
      <c r="B9246" s="4" t="s">
        <v>11637</v>
      </c>
      <c r="C9246" s="5" t="str">
        <f>IFERROR(__xludf.DUMMYFUNCTION("GOOGLETRANSLATE(B9246,""en"",""zh-CN"")"),"一个男性伸手去拿桌子下面的球。")</f>
        <v>一个男性伸手去拿桌子下面的球。</v>
      </c>
    </row>
    <row r="9247">
      <c r="A9247" s="4" t="s">
        <v>11634</v>
      </c>
      <c r="B9247" s="4" t="s">
        <v>11638</v>
      </c>
      <c r="C9247" s="5" t="str">
        <f>IFERROR(__xludf.DUMMYFUNCTION("GOOGLETRANSLATE(B9247,""en"",""zh-CN"")"),"塑料杯内有白色悬架。")</f>
        <v>塑料杯内有白色悬架。</v>
      </c>
    </row>
    <row r="9248">
      <c r="A9248" s="4" t="s">
        <v>11634</v>
      </c>
      <c r="B9248" s="4" t="s">
        <v>11639</v>
      </c>
      <c r="C9248" s="5" t="str">
        <f>IFERROR(__xludf.DUMMYFUNCTION("GOOGLETRANSLATE(B9248,""en"",""zh-CN"")"),"一个人焊接并雕刻了木板。")</f>
        <v>一个人焊接并雕刻了木板。</v>
      </c>
    </row>
    <row r="9249">
      <c r="A9249" s="4" t="s">
        <v>11634</v>
      </c>
      <c r="B9249" s="4" t="s">
        <v>11640</v>
      </c>
      <c r="C9249" s="5" t="str">
        <f>IFERROR(__xludf.DUMMYFUNCTION("GOOGLETRANSLATE(B9249,""en"",""zh-CN"")"),"一个男人在手势和欢呼时携带一位女士。")</f>
        <v>一个男人在手势和欢呼时携带一位女士。</v>
      </c>
    </row>
    <row r="9250">
      <c r="A9250" s="4" t="s">
        <v>11641</v>
      </c>
      <c r="B9250" s="4" t="s">
        <v>11642</v>
      </c>
      <c r="C9250" s="5" t="str">
        <f>IFERROR(__xludf.DUMMYFUNCTION("GOOGLETRANSLATE(B9250,""en"",""zh-CN"")"),"柜台上有啤酒罐。")</f>
        <v>柜台上有啤酒罐。</v>
      </c>
    </row>
    <row r="9251">
      <c r="A9251" s="4" t="s">
        <v>11641</v>
      </c>
      <c r="B9251" s="4" t="s">
        <v>11643</v>
      </c>
      <c r="C9251" s="5" t="str">
        <f>IFERROR(__xludf.DUMMYFUNCTION("GOOGLETRANSLATE(B9251,""en"",""zh-CN"")"),"一个男人在浴室里，用厕所。")</f>
        <v>一个男人在浴室里，用厕所。</v>
      </c>
    </row>
    <row r="9252">
      <c r="A9252" s="4" t="s">
        <v>11641</v>
      </c>
      <c r="B9252" s="4" t="s">
        <v>11644</v>
      </c>
      <c r="C9252" s="5" t="str">
        <f>IFERROR(__xludf.DUMMYFUNCTION("GOOGLETRANSLATE(B9252,""en"",""zh-CN"")"),"他冲洗，然后微笑并与镜头说话。")</f>
        <v>他冲洗，然后微笑并与镜头说话。</v>
      </c>
    </row>
    <row r="9253">
      <c r="A9253" s="4" t="s">
        <v>11645</v>
      </c>
      <c r="B9253" s="6" t="s">
        <v>11646</v>
      </c>
      <c r="C9253" s="5" t="str">
        <f>IFERROR(__xludf.DUMMYFUNCTION("GOOGLETRANSLATE(B9253,""en"",""zh-CN"")"),"滑雪者准备滑雪时，他的红色和黑色滑雪板在他的面前延伸到他的面前。")</f>
        <v>滑雪者准备滑雪时，他的红色和黑色滑雪板在他的面前延伸到他的面前。</v>
      </c>
    </row>
    <row r="9254">
      <c r="A9254" s="4" t="s">
        <v>11645</v>
      </c>
      <c r="B9254" s="4" t="s">
        <v>11647</v>
      </c>
      <c r="C9254" s="5" t="str">
        <f>IFERROR(__xludf.DUMMYFUNCTION("GOOGLETRANSLATE(B9254,""en"",""zh-CN"")"),"船直立地放下他的滑雪板在他面前，将他从码头上伸出水中。")</f>
        <v>船直立地放下他的滑雪板在他面前，将他从码头上伸出水中。</v>
      </c>
    </row>
    <row r="9255">
      <c r="A9255" s="4" t="s">
        <v>11645</v>
      </c>
      <c r="B9255" s="4" t="s">
        <v>11648</v>
      </c>
      <c r="C9255" s="5" t="str">
        <f>IFERROR(__xludf.DUMMYFUNCTION("GOOGLETRANSLATE(B9255,""en"",""zh-CN"")"),"随着船的速度，滑雪者升起，握住绳索，向左和向右转向。")</f>
        <v>随着船的速度，滑雪者升起，握住绳索，向左和向右转向。</v>
      </c>
    </row>
    <row r="9256">
      <c r="A9256" s="4" t="s">
        <v>11645</v>
      </c>
      <c r="B9256" s="4" t="s">
        <v>11649</v>
      </c>
      <c r="C9256" s="5" t="str">
        <f>IFERROR(__xludf.DUMMYFUNCTION("GOOGLETRANSLATE(B9256,""en"",""zh-CN"")"),"当他切入水和船的醒来时，他似乎只是错过了浮标。")</f>
        <v>当他切入水和船的醒来时，他似乎只是错过了浮标。</v>
      </c>
    </row>
    <row r="9257">
      <c r="A9257" s="4" t="s">
        <v>11645</v>
      </c>
      <c r="B9257" s="6" t="s">
        <v>11650</v>
      </c>
      <c r="C9257" s="5" t="str">
        <f>IFERROR(__xludf.DUMMYFUNCTION("GOOGLETRANSLATE(B9257,""en"",""zh-CN"")"),"这艘船转向土地，大型建筑物涌现，慢慢地将他带回了码头。")</f>
        <v>这艘船转向土地，大型建筑物涌现，慢慢地将他带回了码头。</v>
      </c>
    </row>
    <row r="9258">
      <c r="A9258" s="4" t="s">
        <v>11651</v>
      </c>
      <c r="B9258" s="6" t="s">
        <v>11652</v>
      </c>
      <c r="C9258" s="5" t="str">
        <f>IFERROR(__xludf.DUMMYFUNCTION("GOOGLETRANSLATE(B9258,""en"",""zh-CN"")"),"看到一小群孩子彼此玩手游戏，最后用瓶子撞到了失败者的头部。")</f>
        <v>看到一小群孩子彼此玩手游戏，最后用瓶子撞到了失败者的头部。</v>
      </c>
    </row>
    <row r="9259">
      <c r="A9259" s="4" t="s">
        <v>11651</v>
      </c>
      <c r="B9259" s="6" t="s">
        <v>11653</v>
      </c>
      <c r="C9259" s="5" t="str">
        <f>IFERROR(__xludf.DUMMYFUNCTION("GOOGLETRANSLATE(B9259,""en"",""zh-CN"")"),"孩子们继续互相玩手游戏，并用瓶子殴打另一个。")</f>
        <v>孩子们继续互相玩手游戏，并用瓶子殴打另一个。</v>
      </c>
    </row>
    <row r="9260">
      <c r="A9260" s="4" t="s">
        <v>11654</v>
      </c>
      <c r="B9260" s="4" t="s">
        <v>11655</v>
      </c>
      <c r="C9260" s="5" t="str">
        <f>IFERROR(__xludf.DUMMYFUNCTION("GOOGLETRANSLATE(B9260,""en"",""zh-CN"")"),"一个男人在田野上表演跳高后拍手。")</f>
        <v>一个男人在田野上表演跳高后拍手。</v>
      </c>
    </row>
    <row r="9261">
      <c r="A9261" s="4" t="s">
        <v>11654</v>
      </c>
      <c r="B9261" s="4" t="s">
        <v>11656</v>
      </c>
      <c r="C9261" s="5" t="str">
        <f>IFERROR(__xludf.DUMMYFUNCTION("GOOGLETRANSLATE(B9261,""en"",""zh-CN"")"),"向我们显示了几次慢动作的即时重播。")</f>
        <v>向我们显示了几次慢动作的即时重播。</v>
      </c>
    </row>
    <row r="9262">
      <c r="A9262" s="4" t="s">
        <v>11654</v>
      </c>
      <c r="B9262" s="4" t="s">
        <v>11657</v>
      </c>
      <c r="C9262" s="5" t="str">
        <f>IFERROR(__xludf.DUMMYFUNCTION("GOOGLETRANSLATE(B9262,""en"",""zh-CN"")"),"他走进田野，与竞争对手握手。")</f>
        <v>他走进田野，与竞争对手握手。</v>
      </c>
    </row>
    <row r="9263">
      <c r="A9263" s="4" t="s">
        <v>11658</v>
      </c>
      <c r="B9263" s="6" t="s">
        <v>11659</v>
      </c>
      <c r="C9263" s="5" t="str">
        <f>IFERROR(__xludf.DUMMYFUNCTION("GOOGLETRANSLATE(B9263,""en"",""zh-CN"")"),"在一个岛屿周围的水和景观中显示了几枪，人们在船上骑行和移动。")</f>
        <v>在一个岛屿周围的水和景观中显示了几枪，人们在船上骑行和移动。</v>
      </c>
    </row>
    <row r="9264">
      <c r="A9264" s="4" t="s">
        <v>11658</v>
      </c>
      <c r="B9264" s="6" t="s">
        <v>11660</v>
      </c>
      <c r="C9264" s="5" t="str">
        <f>IFERROR(__xludf.DUMMYFUNCTION("GOOGLETRANSLATE(B9264,""en"",""zh-CN"")"),"展示了更多的人口潜水的人，以及在海洋中游泳的鱼。")</f>
        <v>展示了更多的人口潜水的人，以及在海洋中游泳的鱼。</v>
      </c>
    </row>
    <row r="9265">
      <c r="A9265" s="4" t="s">
        <v>11658</v>
      </c>
      <c r="B9265" s="6" t="s">
        <v>11661</v>
      </c>
      <c r="C9265" s="5" t="str">
        <f>IFERROR(__xludf.DUMMYFUNCTION("GOOGLETRANSLATE(B9265,""en"",""zh-CN"")"),"最后，相机显示了几张船，人们沿着较小的船搬走。")</f>
        <v>最后，相机显示了几张船，人们沿着较小的船搬走。</v>
      </c>
    </row>
    <row r="9266">
      <c r="A9266" s="4" t="s">
        <v>11662</v>
      </c>
      <c r="B9266" s="6" t="s">
        <v>11663</v>
      </c>
      <c r="C9266" s="5" t="str">
        <f>IFERROR(__xludf.DUMMYFUNCTION("GOOGLETRANSLATE(B9266,""en"",""zh-CN"")"),"看到一群孩子在健身房以及对镜头讲话的女人中练习各种欢呼。")</f>
        <v>看到一群孩子在健身房以及对镜头讲话的女人中练习各种欢呼。</v>
      </c>
    </row>
    <row r="9267">
      <c r="A9267" s="4" t="s">
        <v>11662</v>
      </c>
      <c r="B9267" s="4" t="s">
        <v>11664</v>
      </c>
      <c r="C9267" s="5" t="str">
        <f>IFERROR(__xludf.DUMMYFUNCTION("GOOGLETRANSLATE(B9267,""en"",""zh-CN"")"),"显示了女孩的服装以及他们展示动作的几张照片。")</f>
        <v>显示了女孩的服装以及他们展示动作的几张照片。</v>
      </c>
    </row>
    <row r="9268">
      <c r="A9268" s="4" t="s">
        <v>11665</v>
      </c>
      <c r="B9268" s="4" t="s">
        <v>11666</v>
      </c>
      <c r="C9268" s="5" t="str">
        <f>IFERROR(__xludf.DUMMYFUNCTION("GOOGLETRANSLATE(B9268,""en"",""zh-CN"")"),"这个女人正在走路，跳跃和翻转平衡梁。")</f>
        <v>这个女人正在走路，跳跃和翻转平衡梁。</v>
      </c>
    </row>
    <row r="9269">
      <c r="A9269" s="4" t="s">
        <v>11665</v>
      </c>
      <c r="B9269" s="4" t="s">
        <v>11667</v>
      </c>
      <c r="C9269" s="5" t="str">
        <f>IFERROR(__xludf.DUMMYFUNCTION("GOOGLETRANSLATE(B9269,""en"",""zh-CN"")"),"完成后，她走出舞台，去找父亲。")</f>
        <v>完成后，她走出舞台，去找父亲。</v>
      </c>
    </row>
    <row r="9270">
      <c r="A9270" s="4" t="s">
        <v>11668</v>
      </c>
      <c r="B9270" s="4" t="s">
        <v>11669</v>
      </c>
      <c r="C9270" s="5" t="str">
        <f>IFERROR(__xludf.DUMMYFUNCTION("GOOGLETRANSLATE(B9270,""en"",""zh-CN"")"),"后院显示出一个坐在电割草机上的男人开始割草。")</f>
        <v>后院显示出一个坐在电割草机上的男人开始割草。</v>
      </c>
    </row>
    <row r="9271">
      <c r="A9271" s="4" t="s">
        <v>11668</v>
      </c>
      <c r="B9271" s="4" t="s">
        <v>11670</v>
      </c>
      <c r="C9271" s="5" t="str">
        <f>IFERROR(__xludf.DUMMYFUNCTION("GOOGLETRANSLATE(B9271,""en"",""zh-CN"")"),"他把它驶向另一侧，但随后开始撞到树上。")</f>
        <v>他把它驶向另一侧，但随后开始撞到树上。</v>
      </c>
    </row>
    <row r="9272">
      <c r="A9272" s="4" t="s">
        <v>11668</v>
      </c>
      <c r="B9272" s="4" t="s">
        <v>11671</v>
      </c>
      <c r="C9272" s="5" t="str">
        <f>IFERROR(__xludf.DUMMYFUNCTION("GOOGLETRANSLATE(B9272,""en"",""zh-CN"")"),"之后，他备份，再次撞到树上并在它周围切下。")</f>
        <v>之后，他备份，再次撞到树上并在它周围切下。</v>
      </c>
    </row>
    <row r="9273">
      <c r="A9273" s="4" t="s">
        <v>11672</v>
      </c>
      <c r="B9273" s="4" t="s">
        <v>11673</v>
      </c>
      <c r="C9273" s="5" t="str">
        <f>IFERROR(__xludf.DUMMYFUNCTION("GOOGLETRANSLATE(B9273,""en"",""zh-CN"")"),"一头公牛从牛仔竞技比赛的大门里出来，戒指中的人跳了起来，然后从他的背上跳下来。")</f>
        <v>一头公牛从牛仔竞技比赛的大门里出来，戒指中的人跳了起来，然后从他的背上跳下来。</v>
      </c>
    </row>
    <row r="9274">
      <c r="A9274" s="4" t="s">
        <v>11672</v>
      </c>
      <c r="B9274" s="4" t="s">
        <v>11674</v>
      </c>
      <c r="C9274" s="5" t="str">
        <f>IFERROR(__xludf.DUMMYFUNCTION("GOOGLETRANSLATE(B9274,""en"",""zh-CN"")"),"该男子拿起他倒下的帽子。")</f>
        <v>该男子拿起他倒下的帽子。</v>
      </c>
    </row>
    <row r="9275">
      <c r="A9275" s="4" t="s">
        <v>11672</v>
      </c>
      <c r="B9275" s="4" t="s">
        <v>11675</v>
      </c>
      <c r="C9275" s="5" t="str">
        <f>IFERROR(__xludf.DUMMYFUNCTION("GOOGLETRANSLATE(B9275,""en"",""zh-CN"")"),"该男子四处躲避冲锋。")</f>
        <v>该男子四处躲避冲锋。</v>
      </c>
    </row>
    <row r="9276">
      <c r="A9276" s="4" t="s">
        <v>11672</v>
      </c>
      <c r="B9276" s="4" t="s">
        <v>11676</v>
      </c>
      <c r="C9276" s="5" t="str">
        <f>IFERROR(__xludf.DUMMYFUNCTION("GOOGLETRANSLATE(B9276,""en"",""zh-CN"")"),"那个男人把帽子放在戒指上。")</f>
        <v>那个男人把帽子放在戒指上。</v>
      </c>
    </row>
    <row r="9277">
      <c r="A9277" s="4" t="s">
        <v>11672</v>
      </c>
      <c r="B9277" s="4" t="s">
        <v>11677</v>
      </c>
      <c r="C9277" s="5" t="str">
        <f>IFERROR(__xludf.DUMMYFUNCTION("GOOGLETRANSLATE(B9277,""en"",""zh-CN"")"),"该男子跳到墙上以避开公牛。")</f>
        <v>该男子跳到墙上以避开公牛。</v>
      </c>
    </row>
    <row r="9278">
      <c r="A9278" s="4" t="s">
        <v>11672</v>
      </c>
      <c r="B9278" s="4" t="s">
        <v>11678</v>
      </c>
      <c r="C9278" s="5" t="str">
        <f>IFERROR(__xludf.DUMMYFUNCTION("GOOGLETRANSLATE(B9278,""en"",""zh-CN"")"),"另一个人打开大门，呼吁公牛进入销钉。")</f>
        <v>另一个人打开大门，呼吁公牛进入销钉。</v>
      </c>
    </row>
    <row r="9279">
      <c r="A9279" s="4" t="s">
        <v>11679</v>
      </c>
      <c r="B9279" s="4" t="s">
        <v>11680</v>
      </c>
      <c r="C9279" s="5" t="str">
        <f>IFERROR(__xludf.DUMMYFUNCTION("GOOGLETRANSLATE(B9279,""en"",""zh-CN"")"),"我们看到人们在篮球场上做舞蹈。")</f>
        <v>我们看到人们在篮球场上做舞蹈。</v>
      </c>
    </row>
    <row r="9280">
      <c r="A9280" s="4" t="s">
        <v>11679</v>
      </c>
      <c r="B9280" s="4" t="s">
        <v>11681</v>
      </c>
      <c r="C9280" s="5" t="str">
        <f>IFERROR(__xludf.DUMMYFUNCTION("GOOGLETRANSLATE(B9280,""en"",""zh-CN"")"),"人们挥舞着空中。")</f>
        <v>人们挥舞着空中。</v>
      </c>
    </row>
    <row r="9281">
      <c r="A9281" s="4" t="s">
        <v>11679</v>
      </c>
      <c r="B9281" s="4" t="s">
        <v>11682</v>
      </c>
      <c r="C9281" s="5" t="str">
        <f>IFERROR(__xludf.DUMMYFUNCTION("GOOGLETRANSLATE(B9281,""en"",""zh-CN"")"),"摄像机锅留下来向他人展示。")</f>
        <v>摄像机锅留下来向他人展示。</v>
      </c>
    </row>
    <row r="9282">
      <c r="A9282" s="4" t="s">
        <v>11679</v>
      </c>
      <c r="B9282" s="4" t="s">
        <v>11683</v>
      </c>
      <c r="C9282" s="5" t="str">
        <f>IFERROR(__xludf.DUMMYFUNCTION("GOOGLETRANSLATE(B9282,""en"",""zh-CN"")"),"摄像机朝右锅，我们看到其他人。")</f>
        <v>摄像机朝右锅，我们看到其他人。</v>
      </c>
    </row>
    <row r="9283">
      <c r="A9283" s="4" t="s">
        <v>11679</v>
      </c>
      <c r="B9283" s="4" t="s">
        <v>11684</v>
      </c>
      <c r="C9283" s="5" t="str">
        <f>IFERROR(__xludf.DUMMYFUNCTION("GOOGLETRANSLATE(B9283,""en"",""zh-CN"")"),"小伙子站着不动，挥舞着空中。")</f>
        <v>小伙子站着不动，挥舞着空中。</v>
      </c>
    </row>
    <row r="9284">
      <c r="A9284" s="4" t="s">
        <v>11679</v>
      </c>
      <c r="B9284" s="4" t="s">
        <v>11685</v>
      </c>
      <c r="C9284" s="5" t="str">
        <f>IFERROR(__xludf.DUMMYFUNCTION("GOOGLETRANSLATE(B9284,""en"",""zh-CN"")"),"摄像机向下倒在地面上。")</f>
        <v>摄像机向下倒在地面上。</v>
      </c>
    </row>
    <row r="9285">
      <c r="A9285" s="4" t="s">
        <v>11686</v>
      </c>
      <c r="B9285" s="4" t="s">
        <v>11687</v>
      </c>
      <c r="C9285" s="5" t="str">
        <f>IFERROR(__xludf.DUMMYFUNCTION("GOOGLETRANSLATE(B9285,""en"",""zh-CN"")"),"有人在海滩上奔向这样的沙堡比赛。")</f>
        <v>有人在海滩上奔向这样的沙堡比赛。</v>
      </c>
    </row>
    <row r="9286">
      <c r="A9286" s="4" t="s">
        <v>11686</v>
      </c>
      <c r="B9286" s="4" t="s">
        <v>11688</v>
      </c>
      <c r="C9286" s="5" t="str">
        <f>IFERROR(__xludf.DUMMYFUNCTION("GOOGLETRANSLATE(B9286,""en"",""zh-CN"")"),"一只狗跳到一些沙滩上，对此感到非常高兴。")</f>
        <v>一只狗跳到一些沙滩上，对此感到非常高兴。</v>
      </c>
    </row>
    <row r="9287">
      <c r="A9287" s="4" t="s">
        <v>11686</v>
      </c>
      <c r="B9287" s="6" t="s">
        <v>11689</v>
      </c>
      <c r="C9287" s="5" t="str">
        <f>IFERROR(__xludf.DUMMYFUNCTION("GOOGLETRANSLATE(B9287,""en"",""zh-CN"")"),"有很多很棒的东西是用沙子制成的，看起来需要花费大量时间和精力。")</f>
        <v>有很多很棒的东西是用沙子制成的，看起来需要花费大量时间和精力。</v>
      </c>
    </row>
    <row r="9288">
      <c r="A9288" s="4" t="s">
        <v>11686</v>
      </c>
      <c r="B9288" s="4" t="s">
        <v>11690</v>
      </c>
      <c r="C9288" s="5" t="str">
        <f>IFERROR(__xludf.DUMMYFUNCTION("GOOGLETRANSLATE(B9288,""en"",""zh-CN"")"),"有人四处走动，看着他们所有。")</f>
        <v>有人四处走动，看着他们所有。</v>
      </c>
    </row>
    <row r="9289">
      <c r="A9289" s="4" t="s">
        <v>11691</v>
      </c>
      <c r="B9289" s="4" t="s">
        <v>11692</v>
      </c>
      <c r="C9289" s="5" t="str">
        <f>IFERROR(__xludf.DUMMYFUNCTION("GOOGLETRANSLATE(B9289,""en"",""zh-CN"")"),"显示了一支高中曲棍球队的几张照片。")</f>
        <v>显示了一支高中曲棍球队的几张照片。</v>
      </c>
    </row>
    <row r="9290">
      <c r="A9290" s="4" t="s">
        <v>11691</v>
      </c>
      <c r="B9290" s="4" t="s">
        <v>11693</v>
      </c>
      <c r="C9290" s="5" t="str">
        <f>IFERROR(__xludf.DUMMYFUNCTION("GOOGLETRANSLATE(B9290,""en"",""zh-CN"")"),"两支年轻女孩正在曲棍球。")</f>
        <v>两支年轻女孩正在曲棍球。</v>
      </c>
    </row>
    <row r="9291">
      <c r="A9291" s="4" t="s">
        <v>11691</v>
      </c>
      <c r="B9291" s="4" t="s">
        <v>11694</v>
      </c>
      <c r="C9291" s="5" t="str">
        <f>IFERROR(__xludf.DUMMYFUNCTION("GOOGLETRANSLATE(B9291,""en"",""zh-CN"")"),"守门员在扑救的同时显示出落在地面上。")</f>
        <v>守门员在扑救的同时显示出落在地面上。</v>
      </c>
    </row>
    <row r="9292">
      <c r="A9292" s="4" t="s">
        <v>11691</v>
      </c>
      <c r="B9292" s="4" t="s">
        <v>11695</v>
      </c>
      <c r="C9292" s="5" t="str">
        <f>IFERROR(__xludf.DUMMYFUNCTION("GOOGLETRANSLATE(B9292,""en"",""zh-CN"")"),"守门员再保存另一个滑动。")</f>
        <v>守门员再保存另一个滑动。</v>
      </c>
    </row>
    <row r="9293">
      <c r="A9293" s="4" t="s">
        <v>11691</v>
      </c>
      <c r="B9293" s="4" t="s">
        <v>11696</v>
      </c>
      <c r="C9293" s="5" t="str">
        <f>IFERROR(__xludf.DUMMYFUNCTION("GOOGLETRANSLATE(B9293,""en"",""zh-CN"")"),"守门员将球从网中踢开。")</f>
        <v>守门员将球从网中踢开。</v>
      </c>
    </row>
    <row r="9294">
      <c r="A9294" s="4" t="s">
        <v>11691</v>
      </c>
      <c r="B9294" s="4" t="s">
        <v>11697</v>
      </c>
      <c r="C9294" s="5" t="str">
        <f>IFERROR(__xludf.DUMMYFUNCTION("GOOGLETRANSLATE(B9294,""en"",""zh-CN"")"),"比赛结束了，女孩们给了高击球。")</f>
        <v>比赛结束了，女孩们给了高击球。</v>
      </c>
    </row>
    <row r="9295">
      <c r="A9295" s="4" t="s">
        <v>11698</v>
      </c>
      <c r="B9295" s="4" t="s">
        <v>11699</v>
      </c>
      <c r="C9295" s="5" t="str">
        <f>IFERROR(__xludf.DUMMYFUNCTION("GOOGLETRANSLATE(B9295,""en"",""zh-CN"")"),"一个男人和割草机站在他的前草坪上。")</f>
        <v>一个男人和割草机站在他的前草坪上。</v>
      </c>
    </row>
    <row r="9296">
      <c r="A9296" s="4" t="s">
        <v>11698</v>
      </c>
      <c r="B9296" s="4" t="s">
        <v>11700</v>
      </c>
      <c r="C9296" s="5" t="str">
        <f>IFERROR(__xludf.DUMMYFUNCTION("GOOGLETRANSLATE(B9296,""en"",""zh-CN"")"),"他谈论了一段时间的不同长度，然后弯腰到割草机上。")</f>
        <v>他谈论了一段时间的不同长度，然后弯腰到割草机上。</v>
      </c>
    </row>
    <row r="9297">
      <c r="A9297" s="4" t="s">
        <v>11698</v>
      </c>
      <c r="B9297" s="6" t="s">
        <v>11701</v>
      </c>
      <c r="C9297" s="5" t="str">
        <f>IFERROR(__xludf.DUMMYFUNCTION("GOOGLETRANSLATE(B9297,""en"",""zh-CN"")"),"他使用尺子显示更详细的信息，然后将割草机移到人行道上，以交谈更多。")</f>
        <v>他使用尺子显示更详细的信息，然后将割草机移到人行道上，以交谈更多。</v>
      </c>
    </row>
    <row r="9298">
      <c r="A9298" s="4" t="s">
        <v>11698</v>
      </c>
      <c r="B9298" s="4" t="s">
        <v>11702</v>
      </c>
      <c r="C9298" s="5" t="str">
        <f>IFERROR(__xludf.DUMMYFUNCTION("GOOGLETRANSLATE(B9298,""en"",""zh-CN"")"),"他开始割草终于上下草坪上下。")</f>
        <v>他开始割草终于上下草坪上下。</v>
      </c>
    </row>
    <row r="9299">
      <c r="A9299" s="4" t="s">
        <v>11703</v>
      </c>
      <c r="B9299" s="6" t="s">
        <v>11704</v>
      </c>
      <c r="C9299" s="5" t="str">
        <f>IFERROR(__xludf.DUMMYFUNCTION("GOOGLETRANSLATE(B9299,""en"",""zh-CN"")"),"当一个人将冰球推到木板上时，两名妇女站在洗牌板桌后面。")</f>
        <v>当一个人将冰球推到木板上时，两名妇女站在洗牌板桌后面。</v>
      </c>
    </row>
    <row r="9300">
      <c r="A9300" s="4" t="s">
        <v>11703</v>
      </c>
      <c r="B9300" s="4" t="s">
        <v>11705</v>
      </c>
      <c r="C9300" s="5" t="str">
        <f>IFERROR(__xludf.DUMMYFUNCTION("GOOGLETRANSLATE(B9300,""en"",""zh-CN"")"),"另一个女人准备推动她的推动，并将其发送给另一侧的男人。")</f>
        <v>另一个女人准备推动她的推动，并将其发送给另一侧的男人。</v>
      </c>
    </row>
    <row r="9301">
      <c r="A9301" s="4" t="s">
        <v>11703</v>
      </c>
      <c r="B9301" s="4" t="s">
        <v>11706</v>
      </c>
      <c r="C9301" s="5" t="str">
        <f>IFERROR(__xludf.DUMMYFUNCTION("GOOGLETRANSLATE(B9301,""en"",""zh-CN"")"),"当相机跟随他们的动作时，他们再推了几次冰球。")</f>
        <v>当相机跟随他们的动作时，他们再推了几次冰球。</v>
      </c>
    </row>
    <row r="9302">
      <c r="A9302" s="4" t="s">
        <v>11707</v>
      </c>
      <c r="B9302" s="6" t="s">
        <v>11708</v>
      </c>
      <c r="C9302" s="5" t="str">
        <f>IFERROR(__xludf.DUMMYFUNCTION("GOOGLETRANSLATE(B9302,""en"",""zh-CN"")"),"一个戴着白色面具和头部床单的人从相机上走回去，抓住了南瓜。")</f>
        <v>一个戴着白色面具和头部床单的人从相机上走回去，抓住了南瓜。</v>
      </c>
    </row>
    <row r="9303">
      <c r="A9303" s="4" t="s">
        <v>11707</v>
      </c>
      <c r="B9303" s="4" t="s">
        <v>11709</v>
      </c>
      <c r="C9303" s="5" t="str">
        <f>IFERROR(__xludf.DUMMYFUNCTION("GOOGLETRANSLATE(B9303,""en"",""zh-CN"")"),"然后，最小的人开始雕刻南瓜并取出南瓜所看到的。")</f>
        <v>然后，最小的人开始雕刻南瓜并取出南瓜所看到的。</v>
      </c>
    </row>
    <row r="9304">
      <c r="A9304" s="4" t="s">
        <v>11707</v>
      </c>
      <c r="B9304" s="4" t="s">
        <v>11710</v>
      </c>
      <c r="C9304" s="5" t="str">
        <f>IFERROR(__xludf.DUMMYFUNCTION("GOOGLETRANSLATE(B9304,""en"",""zh-CN"")"),"当他们全部清洗并取出并放在烤箱中时，当男人喝了一口酒时。")</f>
        <v>当他们全部清洗并取出并放在烤箱中时，当男人喝了一口酒时。</v>
      </c>
    </row>
    <row r="9305">
      <c r="A9305" s="4" t="s">
        <v>11711</v>
      </c>
      <c r="B9305" s="4" t="s">
        <v>11712</v>
      </c>
      <c r="C9305" s="5" t="str">
        <f>IFERROR(__xludf.DUMMYFUNCTION("GOOGLETRANSLATE(B9305,""en"",""zh-CN"")"),"这是骑马的纪录片。")</f>
        <v>这是骑马的纪录片。</v>
      </c>
    </row>
    <row r="9306">
      <c r="A9306" s="4" t="s">
        <v>11711</v>
      </c>
      <c r="B9306" s="4" t="s">
        <v>11713</v>
      </c>
      <c r="C9306" s="5" t="str">
        <f>IFERROR(__xludf.DUMMYFUNCTION("GOOGLETRANSLATE(B9306,""en"",""zh-CN"")"),"他们解释了力量，刺激，乐趣，恩典，飞行，朋友，自由和对骑马的热爱。")</f>
        <v>他们解释了力量，刺激，乐趣，恩典，飞行，朋友，自由和对骑马的热爱。</v>
      </c>
    </row>
    <row r="9307">
      <c r="A9307" s="4" t="s">
        <v>11711</v>
      </c>
      <c r="B9307" s="6" t="s">
        <v>11714</v>
      </c>
      <c r="C9307" s="5" t="str">
        <f>IFERROR(__xludf.DUMMYFUNCTION("GOOGLETRANSLATE(B9307,""en"",""zh-CN"")"),"然后，他们显示了训练马的困难，骑马的危险以及竞争的不利之处。")</f>
        <v>然后，他们显示了训练马的困难，骑马的危险以及竞争的不利之处。</v>
      </c>
    </row>
    <row r="9308">
      <c r="A9308" s="4" t="s">
        <v>11711</v>
      </c>
      <c r="B9308" s="4" t="s">
        <v>11715</v>
      </c>
      <c r="C9308" s="5" t="str">
        <f>IFERROR(__xludf.DUMMYFUNCTION("GOOGLETRANSLATE(B9308,""en"",""zh-CN"")"),"然后他们展示了竞争性骑行的亮点。")</f>
        <v>然后他们展示了竞争性骑行的亮点。</v>
      </c>
    </row>
    <row r="9309">
      <c r="A9309" s="4" t="s">
        <v>11716</v>
      </c>
      <c r="B9309" s="4" t="s">
        <v>11717</v>
      </c>
      <c r="C9309" s="5" t="str">
        <f>IFERROR(__xludf.DUMMYFUNCTION("GOOGLETRANSLATE(B9309,""en"",""zh-CN"")"),"看到一个小孩站在一套猴子酒吧之前。")</f>
        <v>看到一个小孩站在一套猴子酒吧之前。</v>
      </c>
    </row>
    <row r="9310">
      <c r="A9310" s="4" t="s">
        <v>11716</v>
      </c>
      <c r="B9310" s="4" t="s">
        <v>11718</v>
      </c>
      <c r="C9310" s="5" t="str">
        <f>IFERROR(__xludf.DUMMYFUNCTION("GOOGLETRANSLATE(B9310,""en"",""zh-CN"")"),"然后，男孩将自己推向猴子酒吧。")</f>
        <v>然后，男孩将自己推向猴子酒吧。</v>
      </c>
    </row>
    <row r="9311">
      <c r="A9311" s="4" t="s">
        <v>11716</v>
      </c>
      <c r="B9311" s="4" t="s">
        <v>11719</v>
      </c>
      <c r="C9311" s="5" t="str">
        <f>IFERROR(__xludf.DUMMYFUNCTION("GOOGLETRANSLATE(B9311,""en"",""zh-CN"")"),"他最终跳下来，开始越过一座桥。")</f>
        <v>他最终跳下来，开始越过一座桥。</v>
      </c>
    </row>
    <row r="9312">
      <c r="A9312" s="4" t="s">
        <v>11720</v>
      </c>
      <c r="B9312" s="4" t="s">
        <v>11721</v>
      </c>
      <c r="C9312" s="5" t="str">
        <f>IFERROR(__xludf.DUMMYFUNCTION("GOOGLETRANSLATE(B9312,""en"",""zh-CN"")"),"看到一名年轻女子在抓住曲棍球棒的同时，在相机上说话。")</f>
        <v>看到一名年轻女子在抓住曲棍球棒的同时，在相机上说话。</v>
      </c>
    </row>
    <row r="9313">
      <c r="A9313" s="4" t="s">
        <v>11720</v>
      </c>
      <c r="B9313" s="4" t="s">
        <v>11722</v>
      </c>
      <c r="C9313" s="5" t="str">
        <f>IFERROR(__xludf.DUMMYFUNCTION("GOOGLETRANSLATE(B9313,""en"",""zh-CN"")"),"然后，当相机跟随时，女孩在院子里击中球。")</f>
        <v>然后，当相机跟随时，女孩在院子里击中球。</v>
      </c>
    </row>
    <row r="9314">
      <c r="A9314" s="4" t="s">
        <v>11720</v>
      </c>
      <c r="B9314" s="4" t="s">
        <v>11723</v>
      </c>
      <c r="C9314" s="5" t="str">
        <f>IFERROR(__xludf.DUMMYFUNCTION("GOOGLETRANSLATE(B9314,""en"",""zh-CN"")"),"她继续撞球，停下来看看相机。")</f>
        <v>她继续撞球，停下来看看相机。</v>
      </c>
    </row>
    <row r="9315">
      <c r="A9315" s="4" t="s">
        <v>11724</v>
      </c>
      <c r="B9315" s="4" t="s">
        <v>11725</v>
      </c>
      <c r="C9315" s="5" t="str">
        <f>IFERROR(__xludf.DUMMYFUNCTION("GOOGLETRANSLATE(B9315,""en"",""zh-CN"")"),"皮纳塔（Pinata）从树上悬挂，一个女人带着一个棍子上的女孩。")</f>
        <v>皮纳塔（Pinata）从树上悬挂，一个女人带着一个棍子上的女孩。</v>
      </c>
    </row>
    <row r="9316">
      <c r="A9316" s="4" t="s">
        <v>11724</v>
      </c>
      <c r="B9316" s="4" t="s">
        <v>11726</v>
      </c>
      <c r="C9316" s="5" t="str">
        <f>IFERROR(__xludf.DUMMYFUNCTION("GOOGLETRANSLATE(B9316,""en"",""zh-CN"")"),"她帮助她打了几次。")</f>
        <v>她帮助她打了几次。</v>
      </c>
    </row>
    <row r="9317">
      <c r="A9317" s="4" t="s">
        <v>11727</v>
      </c>
      <c r="B9317" s="4" t="s">
        <v>11728</v>
      </c>
      <c r="C9317" s="5" t="str">
        <f>IFERROR(__xludf.DUMMYFUNCTION("GOOGLETRANSLATE(B9317,""en"",""zh-CN"")"),"出现了一个介绍屏幕，其中包括徽标和“专家村庄礼物”一词。")</f>
        <v>出现了一个介绍屏幕，其中包括徽标和“专家村庄礼物”一词。</v>
      </c>
    </row>
    <row r="9318">
      <c r="A9318" s="4" t="s">
        <v>11727</v>
      </c>
      <c r="B9318" s="4" t="s">
        <v>11729</v>
      </c>
      <c r="C9318" s="5" t="str">
        <f>IFERROR(__xludf.DUMMYFUNCTION("GOOGLETRANSLATE(B9318,""en"",""zh-CN"")"),"一个女人现在坐着单簧管坐着聊天。")</f>
        <v>一个女人现在坐着单簧管坐着聊天。</v>
      </c>
    </row>
    <row r="9319">
      <c r="A9319" s="4" t="s">
        <v>11727</v>
      </c>
      <c r="B9319" s="4" t="s">
        <v>11730</v>
      </c>
      <c r="C9319" s="5" t="str">
        <f>IFERROR(__xludf.DUMMYFUNCTION("GOOGLETRANSLATE(B9319,""en"",""zh-CN"")"),"然后，该名女子将单簧管放在她的嘴上，开始玩几秒钟。")</f>
        <v>然后，该名女子将单簧管放在她的嘴上，开始玩几秒钟。</v>
      </c>
    </row>
    <row r="9320">
      <c r="A9320" s="4" t="s">
        <v>11727</v>
      </c>
      <c r="B9320" s="6" t="s">
        <v>11731</v>
      </c>
      <c r="C9320" s="5" t="str">
        <f>IFERROR(__xludf.DUMMYFUNCTION("GOOGLETRANSLATE(B9320,""en"",""zh-CN"")"),"女人停止玩耍，恢复说话，并使用大量的手动搬运，然后恢复播放。")</f>
        <v>女人停止玩耍，恢复说话，并使用大量的手动搬运，然后恢复播放。</v>
      </c>
    </row>
    <row r="9321">
      <c r="A9321" s="4" t="s">
        <v>11727</v>
      </c>
      <c r="B9321" s="6" t="s">
        <v>11732</v>
      </c>
      <c r="C9321" s="5" t="str">
        <f>IFERROR(__xludf.DUMMYFUNCTION("GOOGLETRANSLATE(B9321,""en"",""zh-CN"")"),"这个女人再次停止玩耍，开始经常用手说话，并将其握在脸前等。")</f>
        <v>这个女人再次停止玩耍，开始经常用手说话，并将其握在脸前等。</v>
      </c>
    </row>
    <row r="9322">
      <c r="A9322" s="4" t="s">
        <v>11727</v>
      </c>
      <c r="B9322" s="6" t="s">
        <v>11733</v>
      </c>
      <c r="C9322" s="5" t="str">
        <f>IFERROR(__xludf.DUMMYFUNCTION("GOOGLETRANSLATE(B9322,""en"",""zh-CN"")"),"该名女子再次开始播放，直到出现白屏的连续性，并包括一个徽标和信息：版权，权利和网站。")</f>
        <v>该名女子再次开始播放，直到出现白屏的连续性，并包括一个徽标和信息：版权，权利和网站。</v>
      </c>
    </row>
    <row r="9323">
      <c r="A9323" s="4" t="s">
        <v>11734</v>
      </c>
      <c r="B9323" s="4" t="s">
        <v>11735</v>
      </c>
      <c r="C9323" s="5" t="str">
        <f>IFERROR(__xludf.DUMMYFUNCTION("GOOGLETRANSLATE(B9323,""en"",""zh-CN"")"),"一组六人坐在一条小船上，等待哨子吹来。")</f>
        <v>一组六人坐在一条小船上，等待哨子吹来。</v>
      </c>
    </row>
    <row r="9324">
      <c r="A9324" s="4" t="s">
        <v>11734</v>
      </c>
      <c r="B9324" s="4" t="s">
        <v>11736</v>
      </c>
      <c r="C9324" s="5" t="str">
        <f>IFERROR(__xludf.DUMMYFUNCTION("GOOGLETRANSLATE(B9324,""en"",""zh-CN"")"),"一旦吹来，他们就开始尽快划桨，一起工作得很好。")</f>
        <v>一旦吹来，他们就开始尽快划桨，一起工作得很好。</v>
      </c>
    </row>
    <row r="9325">
      <c r="A9325" s="4" t="s">
        <v>11734</v>
      </c>
      <c r="B9325" s="6" t="s">
        <v>11737</v>
      </c>
      <c r="C9325" s="5" t="str">
        <f>IFERROR(__xludf.DUMMYFUNCTION("GOOGLETRANSLATE(B9325,""en"",""zh-CN"")"),"他们几乎撞到了一块岩石的墙壁，但能够及时不及时地继续前进。")</f>
        <v>他们几乎撞到了一块岩石的墙壁，但能够及时不及时地继续前进。</v>
      </c>
    </row>
    <row r="9326">
      <c r="A9326" s="4" t="s">
        <v>11734</v>
      </c>
      <c r="B9326" s="6" t="s">
        <v>11738</v>
      </c>
      <c r="C9326" s="5" t="str">
        <f>IFERROR(__xludf.DUMMYFUNCTION("GOOGLETRANSLATE(B9326,""en"",""zh-CN"")"),"波浪，捡起，然后他们确实撞到了另一堵岩石，他们转身回去。")</f>
        <v>波浪，捡起，然后他们确实撞到了另一堵岩石，他们转身回去。</v>
      </c>
    </row>
    <row r="9327">
      <c r="A9327" s="4" t="s">
        <v>11739</v>
      </c>
      <c r="B9327" s="4" t="s">
        <v>11740</v>
      </c>
      <c r="C9327" s="5" t="str">
        <f>IFERROR(__xludf.DUMMYFUNCTION("GOOGLETRANSLATE(B9327,""en"",""zh-CN"")"),"一个穿着灰色长袖的人在终极吉尼斯世界纪录的阶段进行谈话。")</f>
        <v>一个穿着灰色长袖的人在终极吉尼斯世界纪录的阶段进行谈话。</v>
      </c>
    </row>
    <row r="9328">
      <c r="A9328" s="4" t="s">
        <v>11739</v>
      </c>
      <c r="B9328" s="4" t="s">
        <v>11741</v>
      </c>
      <c r="C9328" s="5" t="str">
        <f>IFERROR(__xludf.DUMMYFUNCTION("GOOGLETRANSLATE(B9328,""en"",""zh-CN"")"),"一名年轻的乒乓球运动员站在桌子前，她身后有观众。")</f>
        <v>一名年轻的乒乓球运动员站在桌子前，她身后有观众。</v>
      </c>
    </row>
    <row r="9329">
      <c r="A9329" s="4" t="s">
        <v>11739</v>
      </c>
      <c r="B9329" s="4" t="s">
        <v>11742</v>
      </c>
      <c r="C9329" s="5" t="str">
        <f>IFERROR(__xludf.DUMMYFUNCTION("GOOGLETRANSLATE(B9329,""en"",""zh-CN"")"),"两名球员打乒乓球，继续打一分钟并创下173次命中率。")</f>
        <v>两名球员打乒乓球，继续打一分钟并创下173次命中率。</v>
      </c>
    </row>
    <row r="9330">
      <c r="A9330" s="4" t="s">
        <v>11739</v>
      </c>
      <c r="B9330" s="6" t="s">
        <v>11743</v>
      </c>
      <c r="C9330" s="5" t="str">
        <f>IFERROR(__xludf.DUMMYFUNCTION("GOOGLETRANSLATE(B9330,""en"",""zh-CN"")"),"该剧进行了审查，这位年轻球员被介绍为AI Fukuhara，并记录了大多数乒乓球击球的记录。")</f>
        <v>该剧进行了审查，这位年轻球员被介绍为AI Fukuhara，并记录了大多数乒乓球击球的记录。</v>
      </c>
    </row>
    <row r="9331">
      <c r="A9331" s="4" t="s">
        <v>11739</v>
      </c>
      <c r="B9331" s="4" t="s">
        <v>11744</v>
      </c>
      <c r="C9331" s="5" t="str">
        <f>IFERROR(__xludf.DUMMYFUNCTION("GOOGLETRANSLATE(B9331,""en"",""zh-CN"")"),"舞台上的那个人在舞台上行走时再次交谈。")</f>
        <v>舞台上的那个人在舞台上行走时再次交谈。</v>
      </c>
    </row>
    <row r="9332">
      <c r="A9332" s="4" t="s">
        <v>11745</v>
      </c>
      <c r="B9332" s="4" t="s">
        <v>11746</v>
      </c>
      <c r="C9332" s="5" t="str">
        <f>IFERROR(__xludf.DUMMYFUNCTION("GOOGLETRANSLATE(B9332,""en"",""zh-CN"")"),"一名妇女握住水中的风冲浪板。")</f>
        <v>一名妇女握住水中的风冲浪板。</v>
      </c>
    </row>
    <row r="9333">
      <c r="A9333" s="4" t="s">
        <v>11745</v>
      </c>
      <c r="B9333" s="4" t="s">
        <v>11747</v>
      </c>
      <c r="C9333" s="5" t="str">
        <f>IFERROR(__xludf.DUMMYFUNCTION("GOOGLETRANSLATE(B9333,""en"",""zh-CN"")"),"她踏上板子，开始冲浪。")</f>
        <v>她踏上板子，开始冲浪。</v>
      </c>
    </row>
    <row r="9334">
      <c r="A9334" s="4" t="s">
        <v>11745</v>
      </c>
      <c r="B9334" s="4" t="s">
        <v>11748</v>
      </c>
      <c r="C9334" s="5" t="str">
        <f>IFERROR(__xludf.DUMMYFUNCTION("GOOGLETRANSLATE(B9334,""en"",""zh-CN"")"),"她握着风向冲浪的风筝。")</f>
        <v>她握着风向冲浪的风筝。</v>
      </c>
    </row>
    <row r="9335">
      <c r="A9335" s="4" t="s">
        <v>11749</v>
      </c>
      <c r="B9335" s="6" t="s">
        <v>11750</v>
      </c>
      <c r="C9335" s="5" t="str">
        <f>IFERROR(__xludf.DUMMYFUNCTION("GOOGLETRANSLATE(B9335,""en"",""zh-CN"")"),"显示了一大批人与一名领导前方的女人一起表演舞蹈例程。")</f>
        <v>显示了一大批人与一名领导前方的女人一起表演舞蹈例程。</v>
      </c>
    </row>
    <row r="9336">
      <c r="A9336" s="4" t="s">
        <v>11749</v>
      </c>
      <c r="B9336" s="6" t="s">
        <v>11751</v>
      </c>
      <c r="C9336" s="5" t="str">
        <f>IFERROR(__xludf.DUMMYFUNCTION("GOOGLETRANSLATE(B9336,""en"",""zh-CN"")"),"人们继续一起移动胳膊和腿，以移动身体并获得运动。")</f>
        <v>人们继续一起移动胳膊和腿，以移动身体并获得运动。</v>
      </c>
    </row>
    <row r="9337">
      <c r="A9337" s="4" t="s">
        <v>11752</v>
      </c>
      <c r="B9337" s="4" t="s">
        <v>11753</v>
      </c>
      <c r="C9337" s="5" t="str">
        <f>IFERROR(__xludf.DUMMYFUNCTION("GOOGLETRANSLATE(B9337,""en"",""zh-CN"")"),"一名男子在演出前坐在舞台上与观众交谈。")</f>
        <v>一名男子在演出前坐在舞台上与观众交谈。</v>
      </c>
    </row>
    <row r="9338">
      <c r="A9338" s="4" t="s">
        <v>11752</v>
      </c>
      <c r="B9338" s="4" t="s">
        <v>11754</v>
      </c>
      <c r="C9338" s="5" t="str">
        <f>IFERROR(__xludf.DUMMYFUNCTION("GOOGLETRANSLATE(B9338,""en"",""zh-CN"")"),"一个人在打开和关闭空气箱时弹奏手风琴的钥匙。")</f>
        <v>一个人在打开和关闭空气箱时弹奏手风琴的钥匙。</v>
      </c>
    </row>
    <row r="9339">
      <c r="A9339" s="4" t="s">
        <v>11752</v>
      </c>
      <c r="B9339" s="4" t="s">
        <v>11755</v>
      </c>
      <c r="C9339" s="5" t="str">
        <f>IFERROR(__xludf.DUMMYFUNCTION("GOOGLETRANSLATE(B9339,""en"",""zh-CN"")"),"该男子兴奋地大声唱歌。")</f>
        <v>该男子兴奋地大声唱歌。</v>
      </c>
    </row>
    <row r="9340">
      <c r="A9340" s="4" t="s">
        <v>11752</v>
      </c>
      <c r="B9340" s="4" t="s">
        <v>11756</v>
      </c>
      <c r="C9340" s="5" t="str">
        <f>IFERROR(__xludf.DUMMYFUNCTION("GOOGLETRANSLATE(B9340,""en"",""zh-CN"")"),"该男子完成了这首歌，并从讲台上收集了他的笔记。")</f>
        <v>该男子完成了这首歌，并从讲台上收集了他的笔记。</v>
      </c>
    </row>
    <row r="9341">
      <c r="A9341" s="4" t="s">
        <v>11757</v>
      </c>
      <c r="B9341" s="4" t="s">
        <v>11758</v>
      </c>
      <c r="C9341" s="5" t="str">
        <f>IFERROR(__xludf.DUMMYFUNCTION("GOOGLETRANSLATE(B9341,""en"",""zh-CN"")"),"有一支球队在户外场上打投球。")</f>
        <v>有一支球队在户外场上打投球。</v>
      </c>
    </row>
    <row r="9342">
      <c r="A9342" s="4" t="s">
        <v>11757</v>
      </c>
      <c r="B9342" s="4" t="s">
        <v>11759</v>
      </c>
      <c r="C9342" s="5" t="str">
        <f>IFERROR(__xludf.DUMMYFUNCTION("GOOGLETRANSLATE(B9342,""en"",""zh-CN"")"),"一个名叫Donal Cusack的人解释了投掷是什么，是什么组成。")</f>
        <v>一个名叫Donal Cusack的人解释了投掷是什么，是什么组成。</v>
      </c>
    </row>
    <row r="9343">
      <c r="A9343" s="4" t="s">
        <v>11757</v>
      </c>
      <c r="B9343" s="6" t="s">
        <v>11760</v>
      </c>
      <c r="C9343" s="5" t="str">
        <f>IFERROR(__xludf.DUMMYFUNCTION("GOOGLETRANSLATE(B9343,""en"",""zh-CN"")"),"当他们试图将球击中进球时，球队的球员正在玩蝙蝠的比赛。")</f>
        <v>当他们试图将球击中进球时，球队的球员正在玩蝙蝠的比赛。</v>
      </c>
    </row>
    <row r="9344">
      <c r="A9344" s="4" t="s">
        <v>11761</v>
      </c>
      <c r="B9344" s="6" t="s">
        <v>11762</v>
      </c>
      <c r="C9344" s="5" t="str">
        <f>IFERROR(__xludf.DUMMYFUNCTION("GOOGLETRANSLATE(B9344,""en"",""zh-CN"")"),"一位穿着黑色夹克的女士为相机摆姿势，然后显示了一个中等长度的男人，该男子抚摸着头发检查它，然后女孩吹干头发。")</f>
        <v>一位穿着黑色夹克的女士为相机摆姿势，然后显示了一个中等长度的男人，该男子抚摸着头发检查它，然后女孩吹干头发。</v>
      </c>
    </row>
    <row r="9345">
      <c r="A9345" s="4" t="s">
        <v>11761</v>
      </c>
      <c r="B9345" s="6" t="s">
        <v>11763</v>
      </c>
      <c r="C9345" s="5" t="str">
        <f>IFERROR(__xludf.DUMMYFUNCTION("GOOGLETRANSLATE(B9345,""en"",""zh-CN"")"),"那位女士坐在录音室的中心，用湿的头发坐在工作室，她的手上放了一个白色的奶油，然后在头发上擦。")</f>
        <v>那位女士坐在录音室的中心，用湿的头发坐在工作室，她的手上放了一个白色的奶油，然后在头发上擦。</v>
      </c>
    </row>
    <row r="9346">
      <c r="A9346" s="4" t="s">
        <v>11761</v>
      </c>
      <c r="B9346" s="6" t="s">
        <v>11764</v>
      </c>
      <c r="C9346" s="5" t="str">
        <f>IFERROR(__xludf.DUMMYFUNCTION("GOOGLETRANSLATE(B9346,""en"",""zh-CN"")"),"那个女孩用白色鼓风机吹干头发，将头发切开，用滚筒刷刷，同时吹干头发，向下滚动刷子。")</f>
        <v>那个女孩用白色鼓风机吹干头发，将头发切开，用滚筒刷刷，同时吹干头发，向下滚动刷子。</v>
      </c>
    </row>
    <row r="9347">
      <c r="A9347" s="4" t="s">
        <v>11761</v>
      </c>
      <c r="B9347" s="4" t="s">
        <v>11765</v>
      </c>
      <c r="C9347" s="5" t="str">
        <f>IFERROR(__xludf.DUMMYFUNCTION("GOOGLETRANSLATE(B9347,""en"",""zh-CN"")"),"她通过刷牙和梳理来制定头发，以提供更多的体积。")</f>
        <v>她通过刷牙和梳理来制定头发，以提供更多的体积。</v>
      </c>
    </row>
    <row r="9348">
      <c r="A9348" s="4" t="s">
        <v>11766</v>
      </c>
      <c r="B9348" s="4" t="s">
        <v>11767</v>
      </c>
      <c r="C9348" s="5" t="str">
        <f>IFERROR(__xludf.DUMMYFUNCTION("GOOGLETRANSLATE(B9348,""en"",""zh-CN"")"),"看到几个人坐在山顶的管子里。")</f>
        <v>看到几个人坐在山顶的管子里。</v>
      </c>
    </row>
    <row r="9349">
      <c r="A9349" s="4" t="s">
        <v>11766</v>
      </c>
      <c r="B9349" s="4" t="s">
        <v>11768</v>
      </c>
      <c r="C9349" s="5" t="str">
        <f>IFERROR(__xludf.DUMMYFUNCTION("GOOGLETRANSLATE(B9349,""en"",""zh-CN"")"),"男人互相说话，而一个人爬进来。")</f>
        <v>男人互相说话，而一个人爬进来。</v>
      </c>
    </row>
    <row r="9350">
      <c r="A9350" s="4" t="s">
        <v>11766</v>
      </c>
      <c r="B9350" s="6" t="s">
        <v>11769</v>
      </c>
      <c r="C9350" s="5" t="str">
        <f>IFERROR(__xludf.DUMMYFUNCTION("GOOGLETRANSLATE(B9350,""en"",""zh-CN"")"),"这些人终于一起走到山上，同时最终走出去，彼此大笑。")</f>
        <v>这些人终于一起走到山上，同时最终走出去，彼此大笑。</v>
      </c>
    </row>
    <row r="9351">
      <c r="A9351" s="4" t="s">
        <v>11770</v>
      </c>
      <c r="B9351" s="6" t="s">
        <v>11771</v>
      </c>
      <c r="C9351" s="5" t="str">
        <f>IFERROR(__xludf.DUMMYFUNCTION("GOOGLETRANSLATE(B9351,""en"",""zh-CN"")"),"一个男孩坐在一个雌性小孩附近的地板上，他们正在玩微型的桌上足球。")</f>
        <v>一个男孩坐在一个雌性小孩附近的地板上，他们正在玩微型的桌上足球。</v>
      </c>
    </row>
    <row r="9352">
      <c r="A9352" s="4" t="s">
        <v>11770</v>
      </c>
      <c r="B9352" s="4" t="s">
        <v>11772</v>
      </c>
      <c r="C9352" s="5" t="str">
        <f>IFERROR(__xludf.DUMMYFUNCTION("GOOGLETRANSLATE(B9352,""en"",""zh-CN"")"),"这位年轻的男性握住他的手，伸手去拿足球。")</f>
        <v>这位年轻的男性握住他的手，伸手去拿足球。</v>
      </c>
    </row>
    <row r="9353">
      <c r="A9353" s="4" t="s">
        <v>11770</v>
      </c>
      <c r="B9353" s="4" t="s">
        <v>11773</v>
      </c>
      <c r="C9353" s="5" t="str">
        <f>IFERROR(__xludf.DUMMYFUNCTION("GOOGLETRANSLATE(B9353,""en"",""zh-CN"")"),"当他们继续玩耍时，一组脚会出现并阻止板的尽头。")</f>
        <v>当他们继续玩耍时，一组脚会出现并阻止板的尽头。</v>
      </c>
    </row>
    <row r="9354">
      <c r="A9354" s="4" t="s">
        <v>11770</v>
      </c>
      <c r="B9354" s="6" t="s">
        <v>11774</v>
      </c>
      <c r="C9354" s="5" t="str">
        <f>IFERROR(__xludf.DUMMYFUNCTION("GOOGLETRANSLATE(B9354,""en"",""zh-CN"")"),"一旦被删除，两个孩子将继续玩游戏并在酒吧上移动手柄。")</f>
        <v>一旦被删除，两个孩子将继续玩游戏并在酒吧上移动手柄。</v>
      </c>
    </row>
    <row r="9355">
      <c r="A9355" s="4" t="s">
        <v>11770</v>
      </c>
      <c r="B9355" s="4" t="s">
        <v>11775</v>
      </c>
      <c r="C9355" s="5" t="str">
        <f>IFERROR(__xludf.DUMMYFUNCTION("GOOGLETRANSLATE(B9355,""en"",""zh-CN"")"),"然后，相机放大了男孩，然后女孩表达自己的情绪。")</f>
        <v>然后，相机放大了男孩，然后女孩表达自己的情绪。</v>
      </c>
    </row>
    <row r="9356">
      <c r="A9356" s="4" t="s">
        <v>11770</v>
      </c>
      <c r="B9356" s="4" t="s">
        <v>11776</v>
      </c>
      <c r="C9356" s="5" t="str">
        <f>IFERROR(__xludf.DUMMYFUNCTION("GOOGLETRANSLATE(B9356,""en"",""zh-CN"")"),"随着他们变得更加专注，他们每个人都会继续发挥和调整身体位置。")</f>
        <v>随着他们变得更加专注，他们每个人都会继续发挥和调整身体位置。</v>
      </c>
    </row>
    <row r="9357">
      <c r="A9357" s="4" t="s">
        <v>11770</v>
      </c>
      <c r="B9357" s="4" t="s">
        <v>11777</v>
      </c>
      <c r="C9357" s="5" t="str">
        <f>IFERROR(__xludf.DUMMYFUNCTION("GOOGLETRANSLATE(B9357,""en"",""zh-CN"")"),"终于实现了一个进球，女孩进入了进球并将球挑出来。")</f>
        <v>终于实现了一个进球，女孩进入了进球并将球挑出来。</v>
      </c>
    </row>
    <row r="9358">
      <c r="A9358" s="4" t="s">
        <v>11778</v>
      </c>
      <c r="B9358" s="4" t="s">
        <v>11779</v>
      </c>
      <c r="C9358" s="5" t="str">
        <f>IFERROR(__xludf.DUMMYFUNCTION("GOOGLETRANSLATE(B9358,""en"",""zh-CN"")"),"一群冲浪者在董事会上冲浪。")</f>
        <v>一群冲浪者在董事会上冲浪。</v>
      </c>
    </row>
    <row r="9359">
      <c r="A9359" s="4" t="s">
        <v>11778</v>
      </c>
      <c r="B9359" s="4" t="s">
        <v>11780</v>
      </c>
      <c r="C9359" s="5" t="str">
        <f>IFERROR(__xludf.DUMMYFUNCTION("GOOGLETRANSLATE(B9359,""en"",""zh-CN"")"),"其中一只海浪吞噬了其中一只冲浪者。")</f>
        <v>其中一只海浪吞噬了其中一只冲浪者。</v>
      </c>
    </row>
    <row r="9360">
      <c r="A9360" s="4" t="s">
        <v>11778</v>
      </c>
      <c r="B9360" s="4" t="s">
        <v>11781</v>
      </c>
      <c r="C9360" s="5" t="str">
        <f>IFERROR(__xludf.DUMMYFUNCTION("GOOGLETRANSLATE(B9360,""en"",""zh-CN"")"),"两个冲浪者彼此近距离冲浪，并被波浪击倒。")</f>
        <v>两个冲浪者彼此近距离冲浪，并被波浪击倒。</v>
      </c>
    </row>
    <row r="9361">
      <c r="A9361" s="4" t="s">
        <v>11778</v>
      </c>
      <c r="B9361" s="4" t="s">
        <v>11782</v>
      </c>
      <c r="C9361" s="5" t="str">
        <f>IFERROR(__xludf.DUMMYFUNCTION("GOOGLETRANSLATE(B9361,""en"",""zh-CN"")"),"当海浪直接撞向他时，冲浪者随便游泳。")</f>
        <v>当海浪直接撞向他时，冲浪者随便游泳。</v>
      </c>
    </row>
    <row r="9362">
      <c r="A9362" s="4" t="s">
        <v>11778</v>
      </c>
      <c r="B9362" s="4" t="s">
        <v>11783</v>
      </c>
      <c r="C9362" s="5" t="str">
        <f>IFERROR(__xludf.DUMMYFUNCTION("GOOGLETRANSLATE(B9362,""en"",""zh-CN"")"),"冲浪者试图冲浪，但很快就被一波浪费了。")</f>
        <v>冲浪者试图冲浪，但很快就被一波浪费了。</v>
      </c>
    </row>
    <row r="9363">
      <c r="A9363" s="4" t="s">
        <v>11784</v>
      </c>
      <c r="B9363" s="4" t="s">
        <v>11785</v>
      </c>
      <c r="C9363" s="5" t="str">
        <f>IFERROR(__xludf.DUMMYFUNCTION("GOOGLETRANSLATE(B9363,""en"",""zh-CN"")"),"一个小女孩正在玩玩具吹风机。")</f>
        <v>一个小女孩正在玩玩具吹风机。</v>
      </c>
    </row>
    <row r="9364">
      <c r="A9364" s="4" t="s">
        <v>11784</v>
      </c>
      <c r="B9364" s="4" t="s">
        <v>7820</v>
      </c>
      <c r="C9364" s="5" t="str">
        <f>IFERROR(__xludf.DUMMYFUNCTION("GOOGLETRANSLATE(B9364,""en"",""zh-CN"")"),"她转过身微笑。")</f>
        <v>她转过身微笑。</v>
      </c>
    </row>
    <row r="9365">
      <c r="A9365" s="4" t="s">
        <v>11784</v>
      </c>
      <c r="B9365" s="4" t="s">
        <v>11786</v>
      </c>
      <c r="C9365" s="5" t="str">
        <f>IFERROR(__xludf.DUMMYFUNCTION("GOOGLETRANSLATE(B9365,""en"",""zh-CN"")"),"她继续玩玩具吹风机和说话。")</f>
        <v>她继续玩玩具吹风机和说话。</v>
      </c>
    </row>
    <row r="9366">
      <c r="A9366" s="4" t="s">
        <v>11784</v>
      </c>
      <c r="B9366" s="4" t="s">
        <v>11787</v>
      </c>
      <c r="C9366" s="5" t="str">
        <f>IFERROR(__xludf.DUMMYFUNCTION("GOOGLETRANSLATE(B9366,""en"",""zh-CN"")"),"她拿起玩具冰壶，将其放在她面前的桌子上。")</f>
        <v>她拿起玩具冰壶，将其放在她面前的桌子上。</v>
      </c>
    </row>
    <row r="9367">
      <c r="A9367" s="4" t="s">
        <v>11788</v>
      </c>
      <c r="B9367" s="4" t="s">
        <v>11789</v>
      </c>
      <c r="C9367" s="5" t="str">
        <f>IFERROR(__xludf.DUMMYFUNCTION("GOOGLETRANSLATE(B9367,""en"",""zh-CN"")"),"两个人在滑雪，拿着绳子。")</f>
        <v>两个人在滑雪，拿着绳子。</v>
      </c>
    </row>
    <row r="9368">
      <c r="A9368" s="4" t="s">
        <v>11788</v>
      </c>
      <c r="B9368" s="4" t="s">
        <v>11790</v>
      </c>
      <c r="C9368" s="5" t="str">
        <f>IFERROR(__xludf.DUMMYFUNCTION("GOOGLETRANSLATE(B9368,""en"",""zh-CN"")"),"波峰在他们的冠上打开。")</f>
        <v>波峰在他们的冠上打开。</v>
      </c>
    </row>
    <row r="9369">
      <c r="A9369" s="4" t="s">
        <v>11788</v>
      </c>
      <c r="B9369" s="4" t="s">
        <v>11791</v>
      </c>
      <c r="C9369" s="5" t="str">
        <f>IFERROR(__xludf.DUMMYFUNCTION("GOOGLETRANSLATE(B9369,""en"",""zh-CN"")"),"他们在一座小桥下移动。")</f>
        <v>他们在一座小桥下移动。</v>
      </c>
    </row>
    <row r="9370">
      <c r="A9370" s="4" t="s">
        <v>11788</v>
      </c>
      <c r="B9370" s="4" t="s">
        <v>11792</v>
      </c>
      <c r="C9370" s="5" t="str">
        <f>IFERROR(__xludf.DUMMYFUNCTION("GOOGLETRANSLATE(B9370,""en"",""zh-CN"")"),"绿色的男孩弯腰。")</f>
        <v>绿色的男孩弯腰。</v>
      </c>
    </row>
    <row r="9371">
      <c r="A9371" s="4" t="s">
        <v>11788</v>
      </c>
      <c r="B9371" s="4" t="s">
        <v>11793</v>
      </c>
      <c r="C9371" s="5" t="str">
        <f>IFERROR(__xludf.DUMMYFUNCTION("GOOGLETRANSLATE(B9371,""en"",""zh-CN"")"),"绿色的男孩放大到一边。")</f>
        <v>绿色的男孩放大到一边。</v>
      </c>
    </row>
    <row r="9372">
      <c r="A9372" s="4" t="s">
        <v>11788</v>
      </c>
      <c r="B9372" s="4" t="s">
        <v>11794</v>
      </c>
      <c r="C9372" s="5" t="str">
        <f>IFERROR(__xludf.DUMMYFUNCTION("GOOGLETRANSLATE(B9372,""en"",""zh-CN"")"),"男孩移到船的侧面，然后翻转第二个滑雪者。")</f>
        <v>男孩移到船的侧面，然后翻转第二个滑雪者。</v>
      </c>
    </row>
    <row r="9373">
      <c r="A9373" s="4" t="s">
        <v>11788</v>
      </c>
      <c r="B9373" s="4" t="s">
        <v>11795</v>
      </c>
      <c r="C9373" s="5" t="str">
        <f>IFERROR(__xludf.DUMMYFUNCTION("GOOGLETRANSLATE(B9373,""en"",""zh-CN"")"),"这个男孩向后靠在他的木板上，然后向另一个滑雪者翻转。")</f>
        <v>这个男孩向后靠在他的木板上，然后向另一个滑雪者翻转。</v>
      </c>
    </row>
    <row r="9374">
      <c r="A9374" s="4" t="s">
        <v>11788</v>
      </c>
      <c r="B9374" s="4" t="s">
        <v>11796</v>
      </c>
      <c r="C9374" s="5" t="str">
        <f>IFERROR(__xludf.DUMMYFUNCTION("GOOGLETRANSLATE(B9374,""en"",""zh-CN"")"),"绿色的男孩再次摇摆，翻转过滑雪者，给了他高五。")</f>
        <v>绿色的男孩再次摇摆，翻转过滑雪者，给了他高五。</v>
      </c>
    </row>
    <row r="9375">
      <c r="A9375" s="4" t="s">
        <v>11788</v>
      </c>
      <c r="B9375" s="4" t="s">
        <v>11797</v>
      </c>
      <c r="C9375" s="5" t="str">
        <f>IFERROR(__xludf.DUMMYFUNCTION("GOOGLETRANSLATE(B9375,""en"",""zh-CN"")"),"两个滑雪者在骑车时进行对话。")</f>
        <v>两个滑雪者在骑车时进行对话。</v>
      </c>
    </row>
    <row r="9376">
      <c r="A9376" s="4" t="s">
        <v>11788</v>
      </c>
      <c r="B9376" s="4" t="s">
        <v>11798</v>
      </c>
      <c r="C9376" s="5" t="str">
        <f>IFERROR(__xludf.DUMMYFUNCTION("GOOGLETRANSLATE(B9376,""en"",""zh-CN"")"),"滑雪者都摇摆并摇摆到船的另一侧。")</f>
        <v>滑雪者都摇摆并摇摆到船的另一侧。</v>
      </c>
    </row>
    <row r="9377">
      <c r="A9377" s="4" t="s">
        <v>11788</v>
      </c>
      <c r="B9377" s="4" t="s">
        <v>11799</v>
      </c>
      <c r="C9377" s="5" t="str">
        <f>IFERROR(__xludf.DUMMYFUNCTION("GOOGLETRANSLATE(B9377,""en"",""zh-CN"")"),"男孩们继续挥舞着说话。")</f>
        <v>男孩们继续挥舞着说话。</v>
      </c>
    </row>
    <row r="9378">
      <c r="A9378" s="4" t="s">
        <v>11800</v>
      </c>
      <c r="B9378" s="4" t="s">
        <v>11801</v>
      </c>
      <c r="C9378" s="5" t="str">
        <f>IFERROR(__xludf.DUMMYFUNCTION("GOOGLETRANSLATE(B9378,""en"",""zh-CN"")"),"一个女人和胡拉普一起跳舞。")</f>
        <v>一个女人和胡拉普一起跳舞。</v>
      </c>
    </row>
    <row r="9379">
      <c r="A9379" s="4" t="s">
        <v>11800</v>
      </c>
      <c r="B9379" s="4" t="s">
        <v>11802</v>
      </c>
      <c r="C9379" s="5" t="str">
        <f>IFERROR(__xludf.DUMMYFUNCTION("GOOGLETRANSLATE(B9379,""en"",""zh-CN"")"),"她把它扔了起来，抓住它，然后在房间里跳舞。")</f>
        <v>她把它扔了起来，抓住它，然后在房间里跳舞。</v>
      </c>
    </row>
    <row r="9380">
      <c r="A9380" s="4" t="s">
        <v>11803</v>
      </c>
      <c r="B9380" s="4" t="s">
        <v>11804</v>
      </c>
      <c r="C9380" s="5" t="str">
        <f>IFERROR(__xludf.DUMMYFUNCTION("GOOGLETRANSLATE(B9380,""en"",""zh-CN"")"),"一个年轻人将水泥放在天花板上，甚至使用平坦的工具。")</f>
        <v>一个年轻人将水泥放在天花板上，甚至使用平坦的工具。</v>
      </c>
    </row>
    <row r="9381">
      <c r="A9381" s="4" t="s">
        <v>11803</v>
      </c>
      <c r="B9381" s="4" t="s">
        <v>11805</v>
      </c>
      <c r="C9381" s="5" t="str">
        <f>IFERROR(__xludf.DUMMYFUNCTION("GOOGLETRANSLATE(B9381,""en"",""zh-CN"")"),"该男子的脚上戴着高跷。")</f>
        <v>该男子的脚上戴着高跷。</v>
      </c>
    </row>
    <row r="9382">
      <c r="A9382" s="4" t="s">
        <v>11803</v>
      </c>
      <c r="B9382" s="4" t="s">
        <v>11806</v>
      </c>
      <c r="C9382" s="5" t="str">
        <f>IFERROR(__xludf.DUMMYFUNCTION("GOOGLETRANSLATE(B9382,""en"",""zh-CN"")"),"该男子将水泥放在空的空间上，并用该工具甚至天花板上的工具。")</f>
        <v>该男子将水泥放在空的空间上，并用该工具甚至天花板上的工具。</v>
      </c>
    </row>
    <row r="9383">
      <c r="A9383" s="4" t="s">
        <v>11807</v>
      </c>
      <c r="B9383" s="4" t="s">
        <v>11808</v>
      </c>
      <c r="C9383" s="5" t="str">
        <f>IFERROR(__xludf.DUMMYFUNCTION("GOOGLETRANSLATE(B9383,""en"",""zh-CN"")"),"越野自行车穿越颠簸的轨道。")</f>
        <v>越野自行车穿越颠簸的轨道。</v>
      </c>
    </row>
    <row r="9384">
      <c r="A9384" s="4" t="s">
        <v>11807</v>
      </c>
      <c r="B9384" s="4" t="s">
        <v>11809</v>
      </c>
      <c r="C9384" s="5" t="str">
        <f>IFERROR(__xludf.DUMMYFUNCTION("GOOGLETRANSLATE(B9384,""en"",""zh-CN"")"),"一名骑手从他的自行车上摔下来，一辆尾随的自行车撞到了他，将他撞倒在地。")</f>
        <v>一名骑手从他的自行车上摔下来，一辆尾随的自行车撞到了他，将他撞倒在地。</v>
      </c>
    </row>
    <row r="9385">
      <c r="A9385" s="4" t="s">
        <v>11807</v>
      </c>
      <c r="B9385" s="6" t="s">
        <v>11810</v>
      </c>
      <c r="C9385" s="5" t="str">
        <f>IFERROR(__xludf.DUMMYFUNCTION("GOOGLETRANSLATE(B9385,""en"",""zh-CN"")"),"屏幕上出现“ 2014 FIM越野摩托车世界冠军MXGP”一词，然后是社交链接。")</f>
        <v>屏幕上出现“ 2014 FIM越野摩托车世界冠军MXGP”一词，然后是社交链接。</v>
      </c>
    </row>
    <row r="9386">
      <c r="A9386" s="4" t="s">
        <v>11811</v>
      </c>
      <c r="B9386" s="6" t="s">
        <v>11812</v>
      </c>
      <c r="C9386" s="5" t="str">
        <f>IFERROR(__xludf.DUMMYFUNCTION("GOOGLETRANSLATE(B9386,""en"",""zh-CN"")"),"显示了一个非常大的潜水平台，显示了不同高度，游泳池周围的人正在行走。")</f>
        <v>显示了一个非常大的潜水平台，显示了不同高度，游泳池周围的人正在行走。</v>
      </c>
    </row>
    <row r="9387">
      <c r="A9387" s="4" t="s">
        <v>11811</v>
      </c>
      <c r="B9387" s="4" t="s">
        <v>11813</v>
      </c>
      <c r="C9387" s="5" t="str">
        <f>IFERROR(__xludf.DUMMYFUNCTION("GOOGLETRANSLATE(B9387,""en"",""zh-CN"")"),"一个平台上的一个人潜入游泳池。")</f>
        <v>一个平台上的一个人潜入游泳池。</v>
      </c>
    </row>
    <row r="9388">
      <c r="A9388" s="4" t="s">
        <v>11811</v>
      </c>
      <c r="B9388" s="4" t="s">
        <v>11814</v>
      </c>
      <c r="C9388" s="5" t="str">
        <f>IFERROR(__xludf.DUMMYFUNCTION("GOOGLETRANSLATE(B9388,""en"",""zh-CN"")"),"潜水员击中游泳池会引起小小的飞溅。")</f>
        <v>潜水员击中游泳池会引起小小的飞溅。</v>
      </c>
    </row>
    <row r="9389">
      <c r="A9389" s="4" t="s">
        <v>11811</v>
      </c>
      <c r="B9389" s="4" t="s">
        <v>11815</v>
      </c>
      <c r="C9389" s="5" t="str">
        <f>IFERROR(__xludf.DUMMYFUNCTION("GOOGLETRANSLATE(B9389,""en"",""zh-CN"")"),"视频然后冻结，没有动作。")</f>
        <v>视频然后冻结，没有动作。</v>
      </c>
    </row>
    <row r="9390">
      <c r="A9390" s="4" t="s">
        <v>11816</v>
      </c>
      <c r="B9390" s="4" t="s">
        <v>11817</v>
      </c>
      <c r="C9390" s="5" t="str">
        <f>IFERROR(__xludf.DUMMYFUNCTION("GOOGLETRANSLATE(B9390,""en"",""zh-CN"")"),"一辆汽车正在与乘客一起沿着道路行驶。")</f>
        <v>一辆汽车正在与乘客一起沿着道路行驶。</v>
      </c>
    </row>
    <row r="9391">
      <c r="A9391" s="4" t="s">
        <v>11816</v>
      </c>
      <c r="B9391" s="4" t="s">
        <v>11818</v>
      </c>
      <c r="C9391" s="5" t="str">
        <f>IFERROR(__xludf.DUMMYFUNCTION("GOOGLETRANSLATE(B9391,""en"",""zh-CN"")"),"这些人聚集在桥上，装饰设备。")</f>
        <v>这些人聚集在桥上，装饰设备。</v>
      </c>
    </row>
    <row r="9392">
      <c r="A9392" s="4" t="s">
        <v>11816</v>
      </c>
      <c r="B9392" s="4" t="s">
        <v>11819</v>
      </c>
      <c r="C9392" s="5" t="str">
        <f>IFERROR(__xludf.DUMMYFUNCTION("GOOGLETRANSLATE(B9392,""en"",""zh-CN"")"),"一个穿着大猩猩服装的男人沿着桥走路。")</f>
        <v>一个穿着大猩猩服装的男人沿着桥走路。</v>
      </c>
    </row>
    <row r="9393">
      <c r="A9393" s="4" t="s">
        <v>11816</v>
      </c>
      <c r="B9393" s="4" t="s">
        <v>11820</v>
      </c>
      <c r="C9393" s="5" t="str">
        <f>IFERROR(__xludf.DUMMYFUNCTION("GOOGLETRANSLATE(B9393,""en"",""zh-CN"")"),"男人轮流从桥上跳了起来。")</f>
        <v>男人轮流从桥上跳了起来。</v>
      </c>
    </row>
    <row r="9394">
      <c r="A9394" s="4" t="s">
        <v>11816</v>
      </c>
      <c r="B9394" s="4" t="s">
        <v>11821</v>
      </c>
      <c r="C9394" s="5" t="str">
        <f>IFERROR(__xludf.DUMMYFUNCTION("GOOGLETRANSLATE(B9394,""en"",""zh-CN"")"),"人们在开车离开时挥手，然后显示出图片的摆姿势。")</f>
        <v>人们在开车离开时挥手，然后显示出图片的摆姿势。</v>
      </c>
    </row>
    <row r="9395">
      <c r="A9395" s="4" t="s">
        <v>11822</v>
      </c>
      <c r="B9395" s="4" t="s">
        <v>11823</v>
      </c>
      <c r="C9395" s="5" t="str">
        <f>IFERROR(__xludf.DUMMYFUNCTION("GOOGLETRANSLATE(B9395,""en"",""zh-CN"")"),"一个女人在说话，很兴奋。")</f>
        <v>一个女人在说话，很兴奋。</v>
      </c>
    </row>
    <row r="9396">
      <c r="A9396" s="4" t="s">
        <v>11822</v>
      </c>
      <c r="B9396" s="4" t="s">
        <v>11824</v>
      </c>
      <c r="C9396" s="5" t="str">
        <f>IFERROR(__xludf.DUMMYFUNCTION("GOOGLETRANSLATE(B9396,""en"",""zh-CN"")"),"她掏出一件粉红色的毛衣。")</f>
        <v>她掏出一件粉红色的毛衣。</v>
      </c>
    </row>
    <row r="9397">
      <c r="A9397" s="4" t="s">
        <v>11822</v>
      </c>
      <c r="B9397" s="4" t="s">
        <v>11825</v>
      </c>
      <c r="C9397" s="5" t="str">
        <f>IFERROR(__xludf.DUMMYFUNCTION("GOOGLETRANSLATE(B9397,""en"",""zh-CN"")"),"她屈服了粉红色的毛衣。")</f>
        <v>她屈服了粉红色的毛衣。</v>
      </c>
    </row>
    <row r="9398">
      <c r="A9398" s="4" t="s">
        <v>11826</v>
      </c>
      <c r="B9398" s="6" t="s">
        <v>11827</v>
      </c>
      <c r="C9398" s="5" t="str">
        <f>IFERROR(__xludf.DUMMYFUNCTION("GOOGLETRANSLATE(B9398,""en"",""zh-CN"")"),"有两名穿着红色和白色衬衫的球员，另一个穿着黑色和白色衬衫，在室内球场和几个观众的室内打球。")</f>
        <v>有两名穿着红色和白色衬衫的球员，另一个穿着黑色和白色衬衫，在室内球场和几个观众的室内打球。</v>
      </c>
    </row>
    <row r="9399">
      <c r="A9399" s="4" t="s">
        <v>11826</v>
      </c>
      <c r="B9399" s="6" t="s">
        <v>11828</v>
      </c>
      <c r="C9399" s="5" t="str">
        <f>IFERROR(__xludf.DUMMYFUNCTION("GOOGLETRANSLATE(B9399,""en"",""zh-CN"")"),"红色的球员用前手挥杆击球，对手向前跃入球。")</f>
        <v>红色的球员用前手挥杆击球，对手向前跃入球。</v>
      </c>
    </row>
    <row r="9400">
      <c r="A9400" s="4" t="s">
        <v>11826</v>
      </c>
      <c r="B9400" s="6" t="s">
        <v>11829</v>
      </c>
      <c r="C9400" s="5" t="str">
        <f>IFERROR(__xludf.DUMMYFUNCTION("GOOGLETRANSLATE(B9400,""en"",""zh-CN"")"),"红色的球员继续用前手摆动球拍，因为他永远不会错过任何一枪。")</f>
        <v>红色的球员继续用前手摆动球拍，因为他永远不会错过任何一枪。</v>
      </c>
    </row>
    <row r="9401">
      <c r="A9401" s="4" t="s">
        <v>11826</v>
      </c>
      <c r="B9401" s="6" t="s">
        <v>11830</v>
      </c>
      <c r="C9401" s="5" t="str">
        <f>IFERROR(__xludf.DUMMYFUNCTION("GOOGLETRANSLATE(B9401,""en"",""zh-CN"")"),"黑色的球员错过了一枪，但他立即抓住了球，他们继续打球。")</f>
        <v>黑色的球员错过了一枪，但他立即抓住了球，他们继续打球。</v>
      </c>
    </row>
    <row r="9402">
      <c r="A9402" s="4" t="s">
        <v>11826</v>
      </c>
      <c r="B9402" s="4" t="s">
        <v>11831</v>
      </c>
      <c r="C9402" s="5" t="str">
        <f>IFERROR(__xludf.DUMMYFUNCTION("GOOGLETRANSLATE(B9402,""en"",""zh-CN"")"),"两位球员都继续进行大力集会而没有错过。")</f>
        <v>两位球员都继续进行大力集会而没有错过。</v>
      </c>
    </row>
    <row r="9403">
      <c r="A9403" s="4" t="s">
        <v>11826</v>
      </c>
      <c r="B9403" s="4" t="s">
        <v>11832</v>
      </c>
      <c r="C9403" s="5" t="str">
        <f>IFERROR(__xludf.DUMMYFUNCTION("GOOGLETRANSLATE(B9403,""en"",""zh-CN"")"),"红色的球员迅速在球场上奔跑，将球击退。")</f>
        <v>红色的球员迅速在球场上奔跑，将球击退。</v>
      </c>
    </row>
    <row r="9404">
      <c r="A9404" s="4" t="s">
        <v>11826</v>
      </c>
      <c r="B9404" s="6" t="s">
        <v>11833</v>
      </c>
      <c r="C9404" s="5" t="str">
        <f>IFERROR(__xludf.DUMMYFUNCTION("GOOGLETRANSLATE(B9404,""en"",""zh-CN"")"),"然后，他们连续五发击球，直到黑色的球员错过了一枪。")</f>
        <v>然后，他们连续五发击球，直到黑色的球员错过了一枪。</v>
      </c>
    </row>
    <row r="9405">
      <c r="A9405" s="4" t="s">
        <v>11826</v>
      </c>
      <c r="B9405" s="4" t="s">
        <v>11834</v>
      </c>
      <c r="C9405" s="5" t="str">
        <f>IFERROR(__xludf.DUMMYFUNCTION("GOOGLETRANSLATE(B9405,""en"",""zh-CN"")"),"然后，他们开始最后一轮，黑色和白色的球员结束了最后一枪。")</f>
        <v>然后，他们开始最后一轮，黑色和白色的球员结束了最后一枪。</v>
      </c>
    </row>
    <row r="9406">
      <c r="A9406" s="4" t="s">
        <v>11826</v>
      </c>
      <c r="B9406" s="4" t="s">
        <v>11835</v>
      </c>
      <c r="C9406" s="5" t="str">
        <f>IFERROR(__xludf.DUMMYFUNCTION("GOOGLETRANSLATE(B9406,""en"",""zh-CN"")"),"他们通过握手并走出球场结束比赛。")</f>
        <v>他们通过握手并走出球场结束比赛。</v>
      </c>
    </row>
    <row r="9407">
      <c r="A9407" s="4" t="s">
        <v>11836</v>
      </c>
      <c r="B9407" s="4" t="s">
        <v>11837</v>
      </c>
      <c r="C9407" s="5" t="str">
        <f>IFERROR(__xludf.DUMMYFUNCTION("GOOGLETRANSLATE(B9407,""en"",""zh-CN"")"),"看到一个男人在拿着长曲棍球棒的同时，在大田里的相机上说话。")</f>
        <v>看到一个男人在拿着长曲棍球棒的同时，在大田里的相机上说话。</v>
      </c>
    </row>
    <row r="9408">
      <c r="A9408" s="4" t="s">
        <v>11836</v>
      </c>
      <c r="B9408" s="6" t="s">
        <v>11838</v>
      </c>
      <c r="C9408" s="5" t="str">
        <f>IFERROR(__xludf.DUMMYFUNCTION("GOOGLETRANSLATE(B9408,""en"",""zh-CN"")"),"他指着自己指着自己，并继续与相机说话，以及如何正确握住棍子。")</f>
        <v>他指着自己指着自己，并继续与相机说话，以及如何正确握住棍子。</v>
      </c>
    </row>
    <row r="9409">
      <c r="A9409" s="4" t="s">
        <v>11839</v>
      </c>
      <c r="B9409" s="4" t="s">
        <v>11840</v>
      </c>
      <c r="C9409" s="5" t="str">
        <f>IFERROR(__xludf.DUMMYFUNCTION("GOOGLETRANSLATE(B9409,""en"",""zh-CN"")"),"一个女孩在皮纳塔（Pinata）挥舞着棍子。")</f>
        <v>一个女孩在皮纳塔（Pinata）挥舞着棍子。</v>
      </c>
    </row>
    <row r="9410">
      <c r="A9410" s="4" t="s">
        <v>11839</v>
      </c>
      <c r="B9410" s="4" t="s">
        <v>11841</v>
      </c>
      <c r="C9410" s="5" t="str">
        <f>IFERROR(__xludf.DUMMYFUNCTION("GOOGLETRANSLATE(B9410,""en"",""zh-CN"")"),"一群人从后面看着她，为她加油。")</f>
        <v>一群人从后面看着她，为她加油。</v>
      </c>
    </row>
    <row r="9411">
      <c r="A9411" s="4" t="s">
        <v>11839</v>
      </c>
      <c r="B9411" s="4" t="s">
        <v>11842</v>
      </c>
      <c r="C9411" s="5" t="str">
        <f>IFERROR(__xludf.DUMMYFUNCTION("GOOGLETRANSLATE(B9411,""en"",""zh-CN"")"),"她继续向皮纳塔（Pinata）摆动，物体在风中向后移动第四。")</f>
        <v>她继续向皮纳塔（Pinata）摆动，物体在风中向后移动第四。</v>
      </c>
    </row>
    <row r="9412">
      <c r="A9412" s="4" t="s">
        <v>11843</v>
      </c>
      <c r="B9412" s="6" t="s">
        <v>11844</v>
      </c>
      <c r="C9412" s="5" t="str">
        <f>IFERROR(__xludf.DUMMYFUNCTION("GOOGLETRANSLATE(B9412,""en"",""zh-CN"")"),"一个摄像头绕着大型体育馆，并导致两名表演者步行到舞台中间。")</f>
        <v>一个摄像头绕着大型体育馆，并导致两名表演者步行到舞台中间。</v>
      </c>
    </row>
    <row r="9413">
      <c r="A9413" s="4" t="s">
        <v>11843</v>
      </c>
      <c r="B9413" s="4" t="s">
        <v>11845</v>
      </c>
      <c r="C9413" s="5" t="str">
        <f>IFERROR(__xludf.DUMMYFUNCTION("GOOGLETRANSLATE(B9413,""en"",""zh-CN"")"),"女孩们表演舞蹈常规，并以姿势结束。")</f>
        <v>女孩们表演舞蹈常规，并以姿势结束。</v>
      </c>
    </row>
    <row r="9414">
      <c r="A9414" s="4" t="s">
        <v>11846</v>
      </c>
      <c r="B9414" s="6" t="s">
        <v>11847</v>
      </c>
      <c r="C9414" s="5" t="str">
        <f>IFERROR(__xludf.DUMMYFUNCTION("GOOGLETRANSLATE(B9414,""en"",""zh-CN"")"),"一名妇女和两个男人穿着白色裤子，白衬衫和黑色和白色腰带，赤脚表现出武术动作，在一大堆水和建筑物的城市景观上。")</f>
        <v>一名妇女和两个男人穿着白色裤子，白衬衫和黑色和白色腰带，赤脚表现出武术动作，在一大堆水和建筑物的城市景观上。</v>
      </c>
    </row>
    <row r="9415">
      <c r="A9415" s="4" t="s">
        <v>11846</v>
      </c>
      <c r="B9415" s="6" t="s">
        <v>11848</v>
      </c>
      <c r="C9415" s="5" t="str">
        <f>IFERROR(__xludf.DUMMYFUNCTION("GOOGLETRANSLATE(B9415,""en"",""zh-CN"")"),"一位在马尾辫和黑带上有金发的女人，展示了武术的动作，首先表现出肩膀，手臂的动作和步法。")</f>
        <v>一位在马尾辫和黑带上有金发的女人，展示了武术的动作，首先表现出肩膀，手臂的动作和步法。</v>
      </c>
    </row>
    <row r="9416">
      <c r="A9416" s="4" t="s">
        <v>11846</v>
      </c>
      <c r="B9416" s="4" t="s">
        <v>11849</v>
      </c>
      <c r="C9416" s="5" t="str">
        <f>IFERROR(__xludf.DUMMYFUNCTION("GOOGLETRANSLATE(B9416,""en"",""zh-CN"")"),"一名白带中的男人用膝盖弯曲展示了武术动作。")</f>
        <v>一名白带中的男人用膝盖弯曲展示了武术动作。</v>
      </c>
    </row>
    <row r="9417">
      <c r="A9417" s="4" t="s">
        <v>11846</v>
      </c>
      <c r="B9417" s="6" t="s">
        <v>11850</v>
      </c>
      <c r="C9417" s="5" t="str">
        <f>IFERROR(__xludf.DUMMYFUNCTION("GOOGLETRANSLATE(B9417,""en"",""zh-CN"")"),"黑带中的第三个人展示了武术动作，展示了地板工作，腿部滑动和高踢。")</f>
        <v>黑带中的第三个人展示了武术动作，展示了地板工作，腿部滑动和高踢。</v>
      </c>
    </row>
    <row r="9418">
      <c r="A9418" s="4" t="s">
        <v>11851</v>
      </c>
      <c r="B9418" s="4" t="s">
        <v>11852</v>
      </c>
      <c r="C9418" s="5" t="str">
        <f>IFERROR(__xludf.DUMMYFUNCTION("GOOGLETRANSLATE(B9418,""en"",""zh-CN"")"),"一位女厨师正在演示如何制作餐厅风格的意大利面。")</f>
        <v>一位女厨师正在演示如何制作餐厅风格的意大利面。</v>
      </c>
    </row>
    <row r="9419">
      <c r="A9419" s="4" t="s">
        <v>11851</v>
      </c>
      <c r="B9419" s="4" t="s">
        <v>11853</v>
      </c>
      <c r="C9419" s="5" t="str">
        <f>IFERROR(__xludf.DUMMYFUNCTION("GOOGLETRANSLATE(B9419,""en"",""zh-CN"")"),"她首先将意大利面条添加到一大锅沸水中。")</f>
        <v>她首先将意大利面条添加到一大锅沸水中。</v>
      </c>
    </row>
    <row r="9420">
      <c r="A9420" s="4" t="s">
        <v>11851</v>
      </c>
      <c r="B9420" s="4" t="s">
        <v>11854</v>
      </c>
      <c r="C9420" s="5" t="str">
        <f>IFERROR(__xludf.DUMMYFUNCTION("GOOGLETRANSLATE(B9420,""en"",""zh-CN"")"),"她炒洋葱和一些意大利酱，以及大蒜在锅上。")</f>
        <v>她炒洋葱和一些意大利酱，以及大蒜在锅上。</v>
      </c>
    </row>
    <row r="9421">
      <c r="A9421" s="4" t="s">
        <v>11851</v>
      </c>
      <c r="B9421" s="4" t="s">
        <v>11855</v>
      </c>
      <c r="C9421" s="5" t="str">
        <f>IFERROR(__xludf.DUMMYFUNCTION("GOOGLETRANSLATE(B9421,""en"",""zh-CN"")"),"然后，她加了一杯葡萄番茄。")</f>
        <v>然后，她加了一杯葡萄番茄。</v>
      </c>
    </row>
    <row r="9422">
      <c r="A9422" s="4" t="s">
        <v>11851</v>
      </c>
      <c r="B9422" s="4" t="s">
        <v>11856</v>
      </c>
      <c r="C9422" s="5" t="str">
        <f>IFERROR(__xludf.DUMMYFUNCTION("GOOGLETRANSLATE(B9422,""en"",""zh-CN"")"),"她检查了面食的柔软度。")</f>
        <v>她检查了面食的柔软度。</v>
      </c>
    </row>
    <row r="9423">
      <c r="A9423" s="4" t="s">
        <v>11851</v>
      </c>
      <c r="B9423" s="4" t="s">
        <v>11857</v>
      </c>
      <c r="C9423" s="5" t="str">
        <f>IFERROR(__xludf.DUMMYFUNCTION("GOOGLETRANSLATE(B9423,""en"",""zh-CN"")"),"她将煮熟的意大利面从汽油中取出，然后将其倒入盘子中。")</f>
        <v>她将煮熟的意大利面从汽油中取出，然后将其倒入盘子中。</v>
      </c>
    </row>
    <row r="9424">
      <c r="A9424" s="4" t="s">
        <v>11851</v>
      </c>
      <c r="B9424" s="4" t="s">
        <v>11858</v>
      </c>
      <c r="C9424" s="5" t="str">
        <f>IFERROR(__xludf.DUMMYFUNCTION("GOOGLETRANSLATE(B9424,""en"",""zh-CN"")"),"然后她在面食上添加煮熟的酱汁。")</f>
        <v>然后她在面食上添加煮熟的酱汁。</v>
      </c>
    </row>
    <row r="9425">
      <c r="A9425" s="4" t="s">
        <v>11851</v>
      </c>
      <c r="B9425" s="6" t="s">
        <v>11859</v>
      </c>
      <c r="C9425" s="5" t="str">
        <f>IFERROR(__xludf.DUMMYFUNCTION("GOOGLETRANSLATE(B9425,""en"",""zh-CN"")"),"她用一对剪刀将新鲜的罗勒砍成新鲜的罗勒，并在意大利面上和一些奶酪一起装饰，然后她展示了一个阿尔弗雷多酱食谱。")</f>
        <v>她用一对剪刀将新鲜的罗勒砍成新鲜的罗勒，并在意大利面上和一些奶酪一起装饰，然后她展示了一个阿尔弗雷多酱食谱。</v>
      </c>
    </row>
    <row r="9426">
      <c r="A9426" s="4" t="s">
        <v>11851</v>
      </c>
      <c r="B9426" s="4" t="s">
        <v>11860</v>
      </c>
      <c r="C9426" s="5" t="str">
        <f>IFERROR(__xludf.DUMMYFUNCTION("GOOGLETRANSLATE(B9426,""en"",""zh-CN"")"),"她在阿尔弗雷多面食上撒上磨碎的帕玛森奶酪，以结束。")</f>
        <v>她在阿尔弗雷多面食上撒上磨碎的帕玛森奶酪，以结束。</v>
      </c>
    </row>
    <row r="9427">
      <c r="A9427" s="4" t="s">
        <v>11861</v>
      </c>
      <c r="B9427" s="4" t="s">
        <v>11862</v>
      </c>
      <c r="C9427" s="5" t="str">
        <f>IFERROR(__xludf.DUMMYFUNCTION("GOOGLETRANSLATE(B9427,""en"",""zh-CN"")"),"一群游泳者准备表演。")</f>
        <v>一群游泳者准备表演。</v>
      </c>
    </row>
    <row r="9428">
      <c r="A9428" s="4" t="s">
        <v>11861</v>
      </c>
      <c r="B9428" s="4" t="s">
        <v>11863</v>
      </c>
      <c r="C9428" s="5" t="str">
        <f>IFERROR(__xludf.DUMMYFUNCTION("GOOGLETRANSLATE(B9428,""en"",""zh-CN"")"),"人群看着女孩们准备好了。")</f>
        <v>人群看着女孩们准备好了。</v>
      </c>
    </row>
    <row r="9429">
      <c r="A9429" s="4" t="s">
        <v>11861</v>
      </c>
      <c r="B9429" s="4" t="s">
        <v>11864</v>
      </c>
      <c r="C9429" s="5" t="str">
        <f>IFERROR(__xludf.DUMMYFUNCTION("GOOGLETRANSLATE(B9429,""en"",""zh-CN"")"),"一个女孩从潜水板上潜水，人们为之欢呼。")</f>
        <v>一个女孩从潜水板上潜水，人们为之欢呼。</v>
      </c>
    </row>
    <row r="9430">
      <c r="A9430" s="4" t="s">
        <v>11861</v>
      </c>
      <c r="B9430" s="4" t="s">
        <v>11865</v>
      </c>
      <c r="C9430" s="5" t="str">
        <f>IFERROR(__xludf.DUMMYFUNCTION("GOOGLETRANSLATE(B9430,""en"",""zh-CN"")"),"她爬出游泳池，而另一位游泳者则准备跳。")</f>
        <v>她爬出游泳池，而另一位游泳者则准备跳。</v>
      </c>
    </row>
    <row r="9431">
      <c r="A9431" s="4" t="s">
        <v>11866</v>
      </c>
      <c r="B9431" s="4" t="s">
        <v>11867</v>
      </c>
      <c r="C9431" s="5" t="str">
        <f>IFERROR(__xludf.DUMMYFUNCTION("GOOGLETRANSLATE(B9431,""en"",""zh-CN"")"),"显示了大型多层红色天鹅绒蛋糕，以及许多成分。")</f>
        <v>显示了大型多层红色天鹅绒蛋糕，以及许多成分。</v>
      </c>
    </row>
    <row r="9432">
      <c r="A9432" s="4" t="s">
        <v>11866</v>
      </c>
      <c r="B9432" s="4" t="s">
        <v>11868</v>
      </c>
      <c r="C9432" s="5" t="str">
        <f>IFERROR(__xludf.DUMMYFUNCTION("GOOGLETRANSLATE(B9432,""en"",""zh-CN"")"),"将手打开烤箱，然后将成分混合在一起。")</f>
        <v>将手打开烤箱，然后将成分混合在一起。</v>
      </c>
    </row>
    <row r="9433">
      <c r="A9433" s="4" t="s">
        <v>11866</v>
      </c>
      <c r="B9433" s="4" t="s">
        <v>11869</v>
      </c>
      <c r="C9433" s="5" t="str">
        <f>IFERROR(__xludf.DUMMYFUNCTION("GOOGLETRANSLATE(B9433,""en"",""zh-CN"")"),"在整个过程中，分享了一些随机的花絮和事实。")</f>
        <v>在整个过程中，分享了一些随机的花絮和事实。</v>
      </c>
    </row>
    <row r="9434">
      <c r="A9434" s="4" t="s">
        <v>11870</v>
      </c>
      <c r="B9434" s="4" t="s">
        <v>11871</v>
      </c>
      <c r="C9434" s="5" t="str">
        <f>IFERROR(__xludf.DUMMYFUNCTION("GOOGLETRANSLATE(B9434,""en"",""zh-CN"")"),"一个男人正处于明亮的灯光和音乐中的舞台上。")</f>
        <v>一个男人正处于明亮的灯光和音乐中的舞台上。</v>
      </c>
    </row>
    <row r="9435">
      <c r="A9435" s="4" t="s">
        <v>11870</v>
      </c>
      <c r="B9435" s="4" t="s">
        <v>11872</v>
      </c>
      <c r="C9435" s="5" t="str">
        <f>IFERROR(__xludf.DUMMYFUNCTION("GOOGLETRANSLATE(B9435,""en"",""zh-CN"")"),"他迅速为观众打小提琴。")</f>
        <v>他迅速为观众打小提琴。</v>
      </c>
    </row>
    <row r="9436">
      <c r="A9436" s="4" t="s">
        <v>11870</v>
      </c>
      <c r="B9436" s="4" t="s">
        <v>11873</v>
      </c>
      <c r="C9436" s="5" t="str">
        <f>IFERROR(__xludf.DUMMYFUNCTION("GOOGLETRANSLATE(B9436,""en"",""zh-CN"")"),"他停下来跳舞，然后在他们拍手和欢呼时回去玩。")</f>
        <v>他停下来跳舞，然后在他们拍手和欢呼时回去玩。</v>
      </c>
    </row>
    <row r="9437">
      <c r="A9437" s="4" t="s">
        <v>11874</v>
      </c>
      <c r="B9437" s="6" t="s">
        <v>11875</v>
      </c>
      <c r="C9437" s="5" t="str">
        <f>IFERROR(__xludf.DUMMYFUNCTION("GOOGLETRANSLATE(B9437,""en"",""zh-CN"")"),"有两个穿着黑色和蓝色背心的女人，展示了如何使用呼啦圈。")</f>
        <v>有两个穿着黑色和蓝色背心的女人，展示了如何使用呼啦圈。</v>
      </c>
    </row>
    <row r="9438">
      <c r="A9438" s="4" t="s">
        <v>11874</v>
      </c>
      <c r="B9438" s="4" t="s">
        <v>11876</v>
      </c>
      <c r="C9438" s="5" t="str">
        <f>IFERROR(__xludf.DUMMYFUNCTION("GOOGLETRANSLATE(B9438,""en"",""zh-CN"")"),"他们都开始用蓝色和银色的呼啦圈旋转。")</f>
        <v>他们都开始用蓝色和银色的呼啦圈旋转。</v>
      </c>
    </row>
    <row r="9439">
      <c r="A9439" s="4" t="s">
        <v>11874</v>
      </c>
      <c r="B9439" s="4" t="s">
        <v>11877</v>
      </c>
      <c r="C9439" s="5" t="str">
        <f>IFERROR(__xludf.DUMMYFUNCTION("GOOGLETRANSLATE(B9439,""en"",""zh-CN"")"),"他们在一个宽敞的房间里，那里有小家具和硬木地板。")</f>
        <v>他们在一个宽敞的房间里，那里有小家具和硬木地板。</v>
      </c>
    </row>
    <row r="9440">
      <c r="A9440" s="4" t="s">
        <v>11874</v>
      </c>
      <c r="B9440" s="4" t="s">
        <v>11878</v>
      </c>
      <c r="C9440" s="5" t="str">
        <f>IFERROR(__xludf.DUMMYFUNCTION("GOOGLETRANSLATE(B9440,""en"",""zh-CN"")"),"蓝色背心的女人显示了如何快速运动中的呼啦圈。")</f>
        <v>蓝色背心的女人显示了如何快速运动中的呼啦圈。</v>
      </c>
    </row>
    <row r="9441">
      <c r="A9441" s="4" t="s">
        <v>11874</v>
      </c>
      <c r="B9441" s="4" t="s">
        <v>11879</v>
      </c>
      <c r="C9441" s="5" t="str">
        <f>IFERROR(__xludf.DUMMYFUNCTION("GOOGLETRANSLATE(B9441,""en"",""zh-CN"")"),"然后，两个女人都通过将箍抬高到头顶上来展示如何旋转箍。")</f>
        <v>然后，两个女人都通过将箍抬高到头顶上来展示如何旋转箍。</v>
      </c>
    </row>
    <row r="9442">
      <c r="A9442" s="4" t="s">
        <v>11874</v>
      </c>
      <c r="B9442" s="4" t="s">
        <v>11880</v>
      </c>
      <c r="C9442" s="5" t="str">
        <f>IFERROR(__xludf.DUMMYFUNCTION("GOOGLETRANSLATE(B9442,""en"",""zh-CN"")"),"随着呼啦圈的继续，他们弯腰向下降低。")</f>
        <v>随着呼啦圈的继续，他们弯腰向下降低。</v>
      </c>
    </row>
    <row r="9443">
      <c r="A9443" s="4" t="s">
        <v>11874</v>
      </c>
      <c r="B9443" s="4" t="s">
        <v>11881</v>
      </c>
      <c r="C9443" s="5" t="str">
        <f>IFERROR(__xludf.DUMMYFUNCTION("GOOGLETRANSLATE(B9443,""en"",""zh-CN"")"),"当他们分享有关呼啦圈方式的技巧时，他们互相交谈。")</f>
        <v>当他们分享有关呼啦圈方式的技巧时，他们互相交谈。</v>
      </c>
    </row>
    <row r="9444">
      <c r="A9444" s="4" t="s">
        <v>11882</v>
      </c>
      <c r="B9444" s="4" t="s">
        <v>11883</v>
      </c>
      <c r="C9444" s="5" t="str">
        <f>IFERROR(__xludf.DUMMYFUNCTION("GOOGLETRANSLATE(B9444,""en"",""zh-CN"")"),"这些人轮流将原木切成二。")</f>
        <v>这些人轮流将原木切成二。</v>
      </c>
    </row>
    <row r="9445">
      <c r="A9445" s="4" t="s">
        <v>11882</v>
      </c>
      <c r="B9445" s="4" t="s">
        <v>11884</v>
      </c>
      <c r="C9445" s="5" t="str">
        <f>IFERROR(__xludf.DUMMYFUNCTION("GOOGLETRANSLATE(B9445,""en"",""zh-CN"")"),"一遍又一遍。")</f>
        <v>一遍又一遍。</v>
      </c>
    </row>
    <row r="9446">
      <c r="A9446" s="4" t="s">
        <v>11882</v>
      </c>
      <c r="B9446" s="4" t="s">
        <v>11885</v>
      </c>
      <c r="C9446" s="5" t="str">
        <f>IFERROR(__xludf.DUMMYFUNCTION("GOOGLETRANSLATE(B9446,""en"",""zh-CN"")"),"日志分为两分。")</f>
        <v>日志分为两分。</v>
      </c>
    </row>
    <row r="9447">
      <c r="A9447" s="4" t="s">
        <v>11886</v>
      </c>
      <c r="B9447" s="4" t="s">
        <v>11887</v>
      </c>
      <c r="C9447" s="5" t="str">
        <f>IFERROR(__xludf.DUMMYFUNCTION("GOOGLETRANSLATE(B9447,""en"",""zh-CN"")"),"一个穿着棕褐色围裙的女人拿着刀和说话。")</f>
        <v>一个穿着棕褐色围裙的女人拿着刀和说话。</v>
      </c>
    </row>
    <row r="9448">
      <c r="A9448" s="4" t="s">
        <v>11886</v>
      </c>
      <c r="B9448" s="4" t="s">
        <v>11888</v>
      </c>
      <c r="C9448" s="5" t="str">
        <f>IFERROR(__xludf.DUMMYFUNCTION("GOOGLETRANSLATE(B9448,""en"",""zh-CN"")"),"然后，她在桌子上展示了一个设备，并将其向上倾斜。")</f>
        <v>然后，她在桌子上展示了一个设备，并将其向上倾斜。</v>
      </c>
    </row>
    <row r="9449">
      <c r="A9449" s="4" t="s">
        <v>11886</v>
      </c>
      <c r="B9449" s="4" t="s">
        <v>11889</v>
      </c>
      <c r="C9449" s="5" t="str">
        <f>IFERROR(__xludf.DUMMYFUNCTION("GOOGLETRANSLATE(B9449,""en"",""zh-CN"")"),"她在设备上翻了个拨盘，然后将其放回原处。")</f>
        <v>她在设备上翻了个拨盘，然后将其放回原处。</v>
      </c>
    </row>
    <row r="9450">
      <c r="A9450" s="4" t="s">
        <v>11886</v>
      </c>
      <c r="B9450" s="4" t="s">
        <v>11890</v>
      </c>
      <c r="C9450" s="5" t="str">
        <f>IFERROR(__xludf.DUMMYFUNCTION("GOOGLETRANSLATE(B9450,""en"",""zh-CN"")"),"她捡起刀子，将其放在设备上。")</f>
        <v>她捡起刀子，将其放在设备上。</v>
      </c>
    </row>
    <row r="9451">
      <c r="A9451" s="4" t="s">
        <v>11886</v>
      </c>
      <c r="B9451" s="4" t="s">
        <v>11891</v>
      </c>
      <c r="C9451" s="5" t="str">
        <f>IFERROR(__xludf.DUMMYFUNCTION("GOOGLETRANSLATE(B9451,""en"",""zh-CN"")"),"她再次在设备上翻转表盘。")</f>
        <v>她再次在设备上翻转表盘。</v>
      </c>
    </row>
    <row r="9452">
      <c r="A9452" s="4" t="s">
        <v>11886</v>
      </c>
      <c r="B9452" s="4" t="s">
        <v>11892</v>
      </c>
      <c r="C9452" s="5" t="str">
        <f>IFERROR(__xludf.DUMMYFUNCTION("GOOGLETRANSLATE(B9452,""en"",""zh-CN"")"),"她捡起刀子，将其放在设备中，然后将其慢慢抽回几次。")</f>
        <v>她捡起刀子，将其放在设备中，然后将其慢慢抽回几次。</v>
      </c>
    </row>
    <row r="9453">
      <c r="A9453" s="4" t="s">
        <v>11886</v>
      </c>
      <c r="B9453" s="4" t="s">
        <v>11893</v>
      </c>
      <c r="C9453" s="5" t="str">
        <f>IFERROR(__xludf.DUMMYFUNCTION("GOOGLETRANSLATE(B9453,""en"",""zh-CN"")"),"她用刀将番茄切成木块。")</f>
        <v>她用刀将番茄切成木块。</v>
      </c>
    </row>
    <row r="9454">
      <c r="A9454" s="4" t="s">
        <v>11886</v>
      </c>
      <c r="B9454" s="4" t="s">
        <v>11894</v>
      </c>
      <c r="C9454" s="5" t="str">
        <f>IFERROR(__xludf.DUMMYFUNCTION("GOOGLETRANSLATE(B9454,""en"",""zh-CN"")"),"她抓住了第二把刀，将其放在设备中。")</f>
        <v>她抓住了第二把刀，将其放在设备中。</v>
      </c>
    </row>
    <row r="9455">
      <c r="A9455" s="4" t="s">
        <v>11895</v>
      </c>
      <c r="B9455" s="6" t="s">
        <v>11896</v>
      </c>
      <c r="C9455" s="5" t="str">
        <f>IFERROR(__xludf.DUMMYFUNCTION("GOOGLETRANSLATE(B9455,""en"",""zh-CN"")"),"显示了树篱的特写，其后是一个用工具走进框架并开始切割树篱的框架的人。")</f>
        <v>显示了树篱的特写，其后是一个用工具走进框架并开始切割树篱的框架的人。</v>
      </c>
    </row>
    <row r="9456">
      <c r="A9456" s="4" t="s">
        <v>11895</v>
      </c>
      <c r="B9456" s="4" t="s">
        <v>11897</v>
      </c>
      <c r="C9456" s="5" t="str">
        <f>IFERROR(__xludf.DUMMYFUNCTION("GOOGLETRANSLATE(B9456,""en"",""zh-CN"")"),"该男子在进出框架时继续沿着树篱切割。")</f>
        <v>该男子在进出框架时继续沿着树篱切割。</v>
      </c>
    </row>
    <row r="9457">
      <c r="A9457" s="4" t="s">
        <v>11898</v>
      </c>
      <c r="B9457" s="4" t="s">
        <v>11899</v>
      </c>
      <c r="C9457" s="5" t="str">
        <f>IFERROR(__xludf.DUMMYFUNCTION("GOOGLETRANSLATE(B9457,""en"",""zh-CN"")"),"我们在屏幕上看到一个男人在院子里带有标题。")</f>
        <v>我们在屏幕上看到一个男人在院子里带有标题。</v>
      </c>
    </row>
    <row r="9458">
      <c r="A9458" s="4" t="s">
        <v>11898</v>
      </c>
      <c r="B9458" s="4" t="s">
        <v>11900</v>
      </c>
      <c r="C9458" s="5" t="str">
        <f>IFERROR(__xludf.DUMMYFUNCTION("GOOGLETRANSLATE(B9458,""en"",""zh-CN"")"),"我们看到一个树干，叶落下。")</f>
        <v>我们看到一个树干，叶落下。</v>
      </c>
    </row>
    <row r="9459">
      <c r="A9459" s="4" t="s">
        <v>11898</v>
      </c>
      <c r="B9459" s="4" t="s">
        <v>11901</v>
      </c>
      <c r="C9459" s="5" t="str">
        <f>IFERROR(__xludf.DUMMYFUNCTION("GOOGLETRANSLATE(B9459,""en"",""zh-CN"")"),"我们看到男人在聊天，看着院子。")</f>
        <v>我们看到男人在聊天，看着院子。</v>
      </c>
    </row>
    <row r="9460">
      <c r="A9460" s="4" t="s">
        <v>11898</v>
      </c>
      <c r="B9460" s="4" t="s">
        <v>11902</v>
      </c>
      <c r="C9460" s="5" t="str">
        <f>IFERROR(__xludf.DUMMYFUNCTION("GOOGLETRANSLATE(B9460,""en"",""zh-CN"")"),"然后，我们看到那个男人用叶子鼓风机和真空吸尘器吹来。")</f>
        <v>然后，我们看到那个男人用叶子鼓风机和真空吸尘器吹来。</v>
      </c>
    </row>
    <row r="9461">
      <c r="A9461" s="4" t="s">
        <v>11903</v>
      </c>
      <c r="B9461" s="4" t="s">
        <v>11904</v>
      </c>
      <c r="C9461" s="5" t="str">
        <f>IFERROR(__xludf.DUMMYFUNCTION("GOOGLETRANSLATE(B9461,""en"",""zh-CN"")"),"野外显示了几张狗的图像。")</f>
        <v>野外显示了几张狗的图像。</v>
      </c>
    </row>
    <row r="9462">
      <c r="A9462" s="4" t="s">
        <v>11903</v>
      </c>
      <c r="B9462" s="6" t="s">
        <v>11905</v>
      </c>
      <c r="C9462" s="5" t="str">
        <f>IFERROR(__xludf.DUMMYFUNCTION("GOOGLETRANSLATE(B9462,""en"",""zh-CN"")"),"然后，一个年轻女子出现在草地上，和她的狗一起玩，向他扔红色飞盘。")</f>
        <v>然后，一个年轻女子出现在草地上，和她的狗一起玩，向他扔红色飞盘。</v>
      </c>
    </row>
    <row r="9463">
      <c r="A9463" s="4" t="s">
        <v>11903</v>
      </c>
      <c r="B9463" s="6" t="s">
        <v>11906</v>
      </c>
      <c r="C9463" s="5" t="str">
        <f>IFERROR(__xludf.DUMMYFUNCTION("GOOGLETRANSLATE(B9463,""en"",""zh-CN"")"),"然后，女孩跪在草地上，将飞盘握在她的头上，并在窍门完成时向她的狗表示祝贺，他们继续一遍又一遍地做到这一点。")</f>
        <v>然后，女孩跪在草地上，将飞盘握在她的头上，并在窍门完成时向她的狗表示祝贺，他们继续一遍又一遍地做到这一点。</v>
      </c>
    </row>
    <row r="9464">
      <c r="A9464" s="4" t="s">
        <v>11907</v>
      </c>
      <c r="B9464" s="6" t="s">
        <v>11908</v>
      </c>
      <c r="C9464" s="5" t="str">
        <f>IFERROR(__xludf.DUMMYFUNCTION("GOOGLETRANSLATE(B9464,""en"",""zh-CN"")"),"一个小男孩跪在外面，从他面前的小菜中洗净他的脸和手，里面充满了水和肥皂。")</f>
        <v>一个小男孩跪在外面，从他面前的小菜中洗净他的脸和手，里面充满了水和肥皂。</v>
      </c>
    </row>
    <row r="9465">
      <c r="A9465" s="4" t="s">
        <v>11907</v>
      </c>
      <c r="B9465" s="4" t="s">
        <v>11909</v>
      </c>
      <c r="C9465" s="5" t="str">
        <f>IFERROR(__xludf.DUMMYFUNCTION("GOOGLETRANSLATE(B9465,""en"",""zh-CN"")"),"一个男孩跪在一排碗前的室外露台的角落里。")</f>
        <v>一个男孩跪在一排碗前的室外露台的角落里。</v>
      </c>
    </row>
    <row r="9466">
      <c r="A9466" s="4" t="s">
        <v>11907</v>
      </c>
      <c r="B9466" s="4" t="s">
        <v>11910</v>
      </c>
      <c r="C9466" s="5" t="str">
        <f>IFERROR(__xludf.DUMMYFUNCTION("GOOGLETRANSLATE(B9466,""en"",""zh-CN"")"),"这个男孩在他的脸上溅出水，并用菜肴中的肥皂水散发手。")</f>
        <v>这个男孩在他的脸上溅出水，并用菜肴中的肥皂水散发手。</v>
      </c>
    </row>
    <row r="9467">
      <c r="A9467" s="4" t="s">
        <v>11907</v>
      </c>
      <c r="B9467" s="4" t="s">
        <v>11911</v>
      </c>
      <c r="C9467" s="5" t="str">
        <f>IFERROR(__xludf.DUMMYFUNCTION("GOOGLETRANSLATE(B9467,""en"",""zh-CN"")"),"这个男孩继续穿着穿着浅色的衣服的女人继续洗脸，走过他。")</f>
        <v>这个男孩继续穿着穿着浅色的衣服的女人继续洗脸，走过他。</v>
      </c>
    </row>
    <row r="9468">
      <c r="A9468" s="4" t="s">
        <v>11912</v>
      </c>
      <c r="B9468" s="4" t="s">
        <v>11913</v>
      </c>
      <c r="C9468" s="5" t="str">
        <f>IFERROR(__xludf.DUMMYFUNCTION("GOOGLETRANSLATE(B9468,""en"",""zh-CN"")"),"一个人使用叶子吹和吹叶。")</f>
        <v>一个人使用叶子吹和吹叶。</v>
      </c>
    </row>
    <row r="9469">
      <c r="A9469" s="4" t="s">
        <v>11912</v>
      </c>
      <c r="B9469" s="4" t="s">
        <v>11914</v>
      </c>
      <c r="C9469" s="5" t="str">
        <f>IFERROR(__xludf.DUMMYFUNCTION("GOOGLETRANSLATE(B9469,""en"",""zh-CN"")"),"狗向右奔跑。")</f>
        <v>狗向右奔跑。</v>
      </c>
    </row>
    <row r="9470">
      <c r="A9470" s="4" t="s">
        <v>11912</v>
      </c>
      <c r="B9470" s="4" t="s">
        <v>11915</v>
      </c>
      <c r="C9470" s="5" t="str">
        <f>IFERROR(__xludf.DUMMYFUNCTION("GOOGLETRANSLATE(B9470,""en"",""zh-CN"")"),"狗在叶子鼓风机前向后退和堡垒。")</f>
        <v>狗在叶子鼓风机前向后退和堡垒。</v>
      </c>
    </row>
    <row r="9471">
      <c r="A9471" s="4" t="s">
        <v>11916</v>
      </c>
      <c r="B9471" s="4" t="s">
        <v>11917</v>
      </c>
      <c r="C9471" s="5" t="str">
        <f>IFERROR(__xludf.DUMMYFUNCTION("GOOGLETRANSLATE(B9471,""en"",""zh-CN"")"),"两个野羚在争取统治地位中锁定角。")</f>
        <v>两个野羚在争取统治地位中锁定角。</v>
      </c>
    </row>
    <row r="9472">
      <c r="A9472" s="4" t="s">
        <v>11916</v>
      </c>
      <c r="B9472" s="4" t="s">
        <v>11918</v>
      </c>
      <c r="C9472" s="5" t="str">
        <f>IFERROR(__xludf.DUMMYFUNCTION("GOOGLETRANSLATE(B9472,""en"",""zh-CN"")"),"战斗继续进行，其余的野生蜂巢看着。")</f>
        <v>战斗继续进行，其余的野生蜂巢看着。</v>
      </c>
    </row>
    <row r="9473">
      <c r="A9473" s="4" t="s">
        <v>11916</v>
      </c>
      <c r="B9473" s="4" t="s">
        <v>11919</v>
      </c>
      <c r="C9473" s="5" t="str">
        <f>IFERROR(__xludf.DUMMYFUNCTION("GOOGLETRANSLATE(B9473,""en"",""zh-CN"")"),"战斗继续进行，一个野外将另一个将另一个远离河边的牛群推开。")</f>
        <v>战斗继续进行，一个野外将另一个将另一个远离河边的牛群推开。</v>
      </c>
    </row>
    <row r="9474">
      <c r="A9474" s="4" t="s">
        <v>11916</v>
      </c>
      <c r="B9474" s="4" t="s">
        <v>11920</v>
      </c>
      <c r="C9474" s="5" t="str">
        <f>IFERROR(__xludf.DUMMYFUNCTION("GOOGLETRANSLATE(B9474,""en"",""zh-CN"")"),"一个野生羚羊放弃了，随着另一个野羚追逐的奔跑。")</f>
        <v>一个野生羚羊放弃了，随着另一个野羚追逐的奔跑。</v>
      </c>
    </row>
    <row r="9475">
      <c r="A9475" s="4" t="s">
        <v>11921</v>
      </c>
      <c r="B9475" s="4" t="s">
        <v>11922</v>
      </c>
      <c r="C9475" s="5" t="str">
        <f>IFERROR(__xludf.DUMMYFUNCTION("GOOGLETRANSLATE(B9475,""en"",""zh-CN"")"),"一个人的手在扑克桌上抓起卡片，而另一笔交易。")</f>
        <v>一个人的手在扑克桌上抓起卡片，而另一笔交易。</v>
      </c>
    </row>
    <row r="9476">
      <c r="A9476" s="4" t="s">
        <v>11921</v>
      </c>
      <c r="B9476" s="4" t="s">
        <v>11923</v>
      </c>
      <c r="C9476" s="5" t="str">
        <f>IFERROR(__xludf.DUMMYFUNCTION("GOOGLETRANSLATE(B9476,""en"",""zh-CN"")"),"经销商不断扔掉卡片，同时还放了筹码。")</f>
        <v>经销商不断扔掉卡片，同时还放了筹码。</v>
      </c>
    </row>
    <row r="9477">
      <c r="A9477" s="4" t="s">
        <v>11921</v>
      </c>
      <c r="B9477" s="4" t="s">
        <v>11924</v>
      </c>
      <c r="C9477" s="5" t="str">
        <f>IFERROR(__xludf.DUMMYFUNCTION("GOOGLETRANSLATE(B9477,""en"",""zh-CN"")"),"玩的人几次都做同样的事情。")</f>
        <v>玩的人几次都做同样的事情。</v>
      </c>
    </row>
    <row r="9478">
      <c r="A9478" s="4" t="s">
        <v>11925</v>
      </c>
      <c r="B9478" s="4" t="s">
        <v>11926</v>
      </c>
      <c r="C9478" s="5" t="str">
        <f>IFERROR(__xludf.DUMMYFUNCTION("GOOGLETRANSLATE(B9478,""en"",""zh-CN"")"),"介绍将一匹马绑在小牛上，一个男人在动物周围扎着绳子。")</f>
        <v>介绍将一匹马绑在小牛上，一个男人在动物周围扎着绳子。</v>
      </c>
    </row>
    <row r="9479">
      <c r="A9479" s="4" t="s">
        <v>11925</v>
      </c>
      <c r="B9479" s="4" t="s">
        <v>11927</v>
      </c>
      <c r="C9479" s="5" t="str">
        <f>IFERROR(__xludf.DUMMYFUNCTION("GOOGLETRANSLATE(B9479,""en"",""zh-CN"")"),"然后，向一个男人和一个男人在摄像机以及他旁边的另一个女人接受采访。")</f>
        <v>然后，向一个男人和一个男人在摄像机以及他旁边的另一个女人接受采访。</v>
      </c>
    </row>
    <row r="9480">
      <c r="A9480" s="4" t="s">
        <v>11928</v>
      </c>
      <c r="B9480" s="4" t="s">
        <v>11929</v>
      </c>
      <c r="C9480" s="5" t="str">
        <f>IFERROR(__xludf.DUMMYFUNCTION("GOOGLETRANSLATE(B9480,""en"",""zh-CN"")"),"一个穿着幽灵衬衫的男人正在玩啤酒乒乓球比赛。")</f>
        <v>一个穿着幽灵衬衫的男人正在玩啤酒乒乓球比赛。</v>
      </c>
    </row>
    <row r="9481">
      <c r="A9481" s="4" t="s">
        <v>11928</v>
      </c>
      <c r="B9481" s="4" t="s">
        <v>11930</v>
      </c>
      <c r="C9481" s="5" t="str">
        <f>IFERROR(__xludf.DUMMYFUNCTION("GOOGLETRANSLATE(B9481,""en"",""zh-CN"")"),"他排成四杯，将球扔进杯子。")</f>
        <v>他排成四杯，将球扔进杯子。</v>
      </c>
    </row>
    <row r="9482">
      <c r="A9482" s="4" t="s">
        <v>11928</v>
      </c>
      <c r="B9482" s="4" t="s">
        <v>11931</v>
      </c>
      <c r="C9482" s="5" t="str">
        <f>IFERROR(__xludf.DUMMYFUNCTION("GOOGLETRANSLATE(B9482,""en"",""zh-CN"")"),"他一直持续到所有球完美地进入杯赛。")</f>
        <v>他一直持续到所有球完美地进入杯赛。</v>
      </c>
    </row>
    <row r="9483">
      <c r="A9483" s="4" t="s">
        <v>11932</v>
      </c>
      <c r="B9483" s="6" t="s">
        <v>11933</v>
      </c>
      <c r="C9483" s="5" t="str">
        <f>IFERROR(__xludf.DUMMYFUNCTION("GOOGLETRANSLATE(B9483,""en"",""zh-CN"")"),"一群人都在讲话和笑着时，彼此之间彼此站在海滩上。")</f>
        <v>一群人都在讲话和笑着时，彼此之间彼此站在海滩上。</v>
      </c>
    </row>
    <row r="9484">
      <c r="A9484" s="4" t="s">
        <v>11932</v>
      </c>
      <c r="B9484" s="4" t="s">
        <v>11934</v>
      </c>
      <c r="C9484" s="5" t="str">
        <f>IFERROR(__xludf.DUMMYFUNCTION("GOOGLETRANSLATE(B9484,""en"",""zh-CN"")"),"然后，男人开始将防晒霜互相贴在一条线上。")</f>
        <v>然后，男人开始将防晒霜互相贴在一条线上。</v>
      </c>
    </row>
    <row r="9485">
      <c r="A9485" s="4" t="s">
        <v>11935</v>
      </c>
      <c r="B9485" s="4" t="s">
        <v>11936</v>
      </c>
      <c r="C9485" s="5" t="str">
        <f>IFERROR(__xludf.DUMMYFUNCTION("GOOGLETRANSLATE(B9485,""en"",""zh-CN"")"),"一座高大的建筑物带有塔。")</f>
        <v>一座高大的建筑物带有塔。</v>
      </c>
    </row>
    <row r="9486">
      <c r="A9486" s="4" t="s">
        <v>11935</v>
      </c>
      <c r="B9486" s="4" t="s">
        <v>11937</v>
      </c>
      <c r="C9486" s="5" t="str">
        <f>IFERROR(__xludf.DUMMYFUNCTION("GOOGLETRANSLATE(B9486,""en"",""zh-CN"")"),"人们为跳出建筑物顶部的人们鼓掌。")</f>
        <v>人们为跳出建筑物顶部的人们鼓掌。</v>
      </c>
    </row>
    <row r="9487">
      <c r="A9487" s="4" t="s">
        <v>11938</v>
      </c>
      <c r="B9487" s="4" t="s">
        <v>11939</v>
      </c>
      <c r="C9487" s="5" t="str">
        <f>IFERROR(__xludf.DUMMYFUNCTION("GOOGLETRANSLATE(B9487,""en"",""zh-CN"")"),"一个女人包裹了几个圣诞节礼物。")</f>
        <v>一个女人包裹了几个圣诞节礼物。</v>
      </c>
    </row>
    <row r="9488">
      <c r="A9488" s="4" t="s">
        <v>11938</v>
      </c>
      <c r="B9488" s="4" t="s">
        <v>11940</v>
      </c>
      <c r="C9488" s="5" t="str">
        <f>IFERROR(__xludf.DUMMYFUNCTION("GOOGLETRANSLATE(B9488,""en"",""zh-CN"")"),"一个女人微笑着用剪刀剪掉包裹纸。")</f>
        <v>一个女人微笑着用剪刀剪掉包裹纸。</v>
      </c>
    </row>
    <row r="9489">
      <c r="A9489" s="4" t="s">
        <v>11938</v>
      </c>
      <c r="B9489" s="4" t="s">
        <v>11941</v>
      </c>
      <c r="C9489" s="5" t="str">
        <f>IFERROR(__xludf.DUMMYFUNCTION("GOOGLETRANSLATE(B9489,""en"",""zh-CN"")"),"女人把一只泰迪熊放在碗里。")</f>
        <v>女人把一只泰迪熊放在碗里。</v>
      </c>
    </row>
    <row r="9490">
      <c r="A9490" s="4" t="s">
        <v>11938</v>
      </c>
      <c r="B9490" s="4" t="s">
        <v>11942</v>
      </c>
      <c r="C9490" s="5" t="str">
        <f>IFERROR(__xludf.DUMMYFUNCTION("GOOGLETRANSLATE(B9490,""en"",""zh-CN"")"),"一个女人将两个晶体礼物放在白色和粉红色的盒子上。")</f>
        <v>一个女人将两个晶体礼物放在白色和粉红色的盒子上。</v>
      </c>
    </row>
    <row r="9491">
      <c r="A9491" s="4" t="s">
        <v>11938</v>
      </c>
      <c r="B9491" s="4" t="s">
        <v>11943</v>
      </c>
      <c r="C9491" s="5" t="str">
        <f>IFERROR(__xludf.DUMMYFUNCTION("GOOGLETRANSLATE(B9491,""en"",""zh-CN"")"),"一个女人举起一份用银包裹纸包裹的覆盖礼物。")</f>
        <v>一个女人举起一份用银包裹纸包裹的覆盖礼物。</v>
      </c>
    </row>
    <row r="9492">
      <c r="A9492" s="4" t="s">
        <v>11938</v>
      </c>
      <c r="B9492" s="4" t="s">
        <v>11944</v>
      </c>
      <c r="C9492" s="5" t="str">
        <f>IFERROR(__xludf.DUMMYFUNCTION("GOOGLETRANSLATE(B9492,""en"",""zh-CN"")"),"女人将珠宝盒放在盒子里。")</f>
        <v>女人将珠宝盒放在盒子里。</v>
      </c>
    </row>
    <row r="9493">
      <c r="A9493" s="4" t="s">
        <v>11938</v>
      </c>
      <c r="B9493" s="4" t="s">
        <v>11945</v>
      </c>
      <c r="C9493" s="5" t="str">
        <f>IFERROR(__xludf.DUMMYFUNCTION("GOOGLETRANSLATE(B9493,""en"",""zh-CN"")"),"女人提出了一个金碗。")</f>
        <v>女人提出了一个金碗。</v>
      </c>
    </row>
    <row r="9494">
      <c r="A9494" s="4" t="s">
        <v>11938</v>
      </c>
      <c r="B9494" s="4" t="s">
        <v>11946</v>
      </c>
      <c r="C9494" s="5" t="str">
        <f>IFERROR(__xludf.DUMMYFUNCTION("GOOGLETRANSLATE(B9494,""en"",""zh-CN"")"),"那个女人用手伸出堆叠，包裹的礼物。")</f>
        <v>那个女人用手伸出堆叠，包裹的礼物。</v>
      </c>
    </row>
    <row r="9495">
      <c r="A9495" s="4" t="s">
        <v>11938</v>
      </c>
      <c r="B9495" s="4" t="s">
        <v>11947</v>
      </c>
      <c r="C9495" s="5" t="str">
        <f>IFERROR(__xludf.DUMMYFUNCTION("GOOGLETRANSLATE(B9495,""en"",""zh-CN"")"),"那个女人从手掌上吹着闪闪发光的纸。")</f>
        <v>那个女人从手掌上吹着闪闪发光的纸。</v>
      </c>
    </row>
    <row r="9496">
      <c r="A9496" s="4" t="s">
        <v>11938</v>
      </c>
      <c r="B9496" s="4" t="s">
        <v>11948</v>
      </c>
      <c r="C9496" s="5" t="str">
        <f>IFERROR(__xludf.DUMMYFUNCTION("GOOGLETRANSLATE(B9496,""en"",""zh-CN"")"),"引入片段的赞助商并在屏幕上显示。")</f>
        <v>引入片段的赞助商并在屏幕上显示。</v>
      </c>
    </row>
    <row r="9497">
      <c r="A9497" s="4" t="s">
        <v>11949</v>
      </c>
      <c r="B9497" s="6" t="s">
        <v>11950</v>
      </c>
      <c r="C9497" s="5" t="str">
        <f>IFERROR(__xludf.DUMMYFUNCTION("GOOGLETRANSLATE(B9497,""en"",""zh-CN"")"),"有一个男人穿着一件白色的图形衬衫，坐着邦戈鼓在鼓上鼓声。")</f>
        <v>有一个男人穿着一件白色的图形衬衫，坐着邦戈鼓在鼓上鼓声。</v>
      </c>
    </row>
    <row r="9498">
      <c r="A9498" s="4" t="s">
        <v>11949</v>
      </c>
      <c r="B9498" s="4" t="s">
        <v>11951</v>
      </c>
      <c r="C9498" s="5" t="str">
        <f>IFERROR(__xludf.DUMMYFUNCTION("GOOGLETRANSLATE(B9498,""en"",""zh-CN"")"),"他戴着鼓声在鼓上拍打时，他戴着耳机。")</f>
        <v>他戴着鼓声在鼓上拍打时，他戴着耳机。</v>
      </c>
    </row>
    <row r="9499">
      <c r="A9499" s="4" t="s">
        <v>11949</v>
      </c>
      <c r="B9499" s="4" t="s">
        <v>11952</v>
      </c>
      <c r="C9499" s="5" t="str">
        <f>IFERROR(__xludf.DUMMYFUNCTION("GOOGLETRANSLATE(B9499,""en"",""zh-CN"")"),"他继续打鼓。")</f>
        <v>他继续打鼓。</v>
      </c>
    </row>
    <row r="9500">
      <c r="A9500" s="4" t="s">
        <v>11949</v>
      </c>
      <c r="B9500" s="4" t="s">
        <v>11953</v>
      </c>
      <c r="C9500" s="5" t="str">
        <f>IFERROR(__xludf.DUMMYFUNCTION("GOOGLETRANSLATE(B9500,""en"",""zh-CN"")"),"过了一会儿，他改变了一会儿后改变节拍。")</f>
        <v>过了一会儿，他改变了一会儿后改变节拍。</v>
      </c>
    </row>
    <row r="9501">
      <c r="A9501" s="4" t="s">
        <v>11949</v>
      </c>
      <c r="B9501" s="4" t="s">
        <v>11954</v>
      </c>
      <c r="C9501" s="5" t="str">
        <f>IFERROR(__xludf.DUMMYFUNCTION("GOOGLETRANSLATE(B9501,""en"",""zh-CN"")"),"然后继续在鼓上演奏另一个节拍。")</f>
        <v>然后继续在鼓上演奏另一个节拍。</v>
      </c>
    </row>
    <row r="9502">
      <c r="A9502" s="4" t="s">
        <v>11949</v>
      </c>
      <c r="B9502" s="4" t="s">
        <v>11955</v>
      </c>
      <c r="C9502" s="5" t="str">
        <f>IFERROR(__xludf.DUMMYFUNCTION("GOOGLETRANSLATE(B9502,""en"",""zh-CN"")"),"然后他停了一点，然后重新排列鼓再次演奏。")</f>
        <v>然后他停了一点，然后重新排列鼓再次演奏。</v>
      </c>
    </row>
    <row r="9503">
      <c r="A9503" s="4" t="s">
        <v>11949</v>
      </c>
      <c r="B9503" s="4" t="s">
        <v>11956</v>
      </c>
      <c r="C9503" s="5" t="str">
        <f>IFERROR(__xludf.DUMMYFUNCTION("GOOGLETRANSLATE(B9503,""en"",""zh-CN"")"),"另一个人是在具有几个鼓的电动鼓组上打鼓。")</f>
        <v>另一个人是在具有几个鼓的电动鼓组上打鼓。</v>
      </c>
    </row>
    <row r="9504">
      <c r="A9504" s="4" t="s">
        <v>11957</v>
      </c>
      <c r="B9504" s="6" t="s">
        <v>11958</v>
      </c>
      <c r="C9504" s="5" t="str">
        <f>IFERROR(__xludf.DUMMYFUNCTION("GOOGLETRANSLATE(B9504,""en"",""zh-CN"")"),"看到一个男人走到一个站在舞台上并开始表演武术的年轻女孩。")</f>
        <v>看到一个男人走到一个站在舞台上并开始表演武术的年轻女孩。</v>
      </c>
    </row>
    <row r="9505">
      <c r="A9505" s="4" t="s">
        <v>11957</v>
      </c>
      <c r="B9505" s="4" t="s">
        <v>11959</v>
      </c>
      <c r="C9505" s="5" t="str">
        <f>IFERROR(__xludf.DUMMYFUNCTION("GOOGLETRANSLATE(B9505,""en"",""zh-CN"")"),"最终，她对一个男人进行了几次翻转，窍门和弓箭，而每个人都为她鼓掌。")</f>
        <v>最终，她对一个男人进行了几次翻转，窍门和弓箭，而每个人都为她鼓掌。</v>
      </c>
    </row>
    <row r="9506">
      <c r="A9506" s="4" t="s">
        <v>11960</v>
      </c>
      <c r="B9506" s="4" t="s">
        <v>11961</v>
      </c>
      <c r="C9506" s="5" t="str">
        <f>IFERROR(__xludf.DUMMYFUNCTION("GOOGLETRANSLATE(B9506,""en"",""zh-CN"")"),"穿着黑色衬衫和蓝色牛仔裤的男人正在滚动一块旧的红地毯，并在地板上吸尘。")</f>
        <v>穿着黑色衬衫和蓝色牛仔裤的男人正在滚动一块旧的红地毯，并在地板上吸尘。</v>
      </c>
    </row>
    <row r="9507">
      <c r="A9507" s="4" t="s">
        <v>11960</v>
      </c>
      <c r="B9507" s="6" t="s">
        <v>11962</v>
      </c>
      <c r="C9507" s="5" t="str">
        <f>IFERROR(__xludf.DUMMYFUNCTION("GOOGLETRANSLATE(B9507,""en"",""zh-CN"")"),"然后，他展开新的灰色地毯，将其切割并钉在地板上的地毯上，将其拆除，将多余的地毯拆除，用工具将其压扁，然后一旦安装完成后真空。")</f>
        <v>然后，他展开新的灰色地毯，将其切割并钉在地板上的地毯上，将其拆除，将多余的地毯拆除，用工具将其压扁，然后一旦安装完成后真空。</v>
      </c>
    </row>
    <row r="9508">
      <c r="A9508" s="4" t="s">
        <v>11963</v>
      </c>
      <c r="B9508" s="6" t="s">
        <v>11964</v>
      </c>
      <c r="C9508" s="5" t="str">
        <f>IFERROR(__xludf.DUMMYFUNCTION("GOOGLETRANSLATE(B9508,""en"",""zh-CN"")"),"简介通向摄像头，围绕各个雪地铺设，人们在移动和犁移动。")</f>
        <v>简介通向摄像头，围绕各个雪地铺设，人们在移动和犁移动。</v>
      </c>
    </row>
    <row r="9509">
      <c r="A9509" s="4" t="s">
        <v>11963</v>
      </c>
      <c r="B9509" s="6" t="s">
        <v>11965</v>
      </c>
      <c r="C9509" s="5" t="str">
        <f>IFERROR(__xludf.DUMMYFUNCTION("GOOGLETRANSLATE(B9509,""en"",""zh-CN"")"),"相机显示了几个不同的人在伸展和热身，然后有两个人跌倒并站起来。")</f>
        <v>相机显示了几个不同的人在伸展和热身，然后有两个人跌倒并站起来。</v>
      </c>
    </row>
    <row r="9510">
      <c r="A9510" s="4" t="s">
        <v>11963</v>
      </c>
      <c r="B9510" s="4" t="s">
        <v>11966</v>
      </c>
      <c r="C9510" s="5" t="str">
        <f>IFERROR(__xludf.DUMMYFUNCTION("GOOGLETRANSLATE(B9510,""en"",""zh-CN"")"),"有几个剪辑显示了雪地寄宿生在山上做技巧以及跳跃和磨碎的片段。")</f>
        <v>有几个剪辑显示了雪地寄宿生在山上做技巧以及跳跃和磨碎的片段。</v>
      </c>
    </row>
    <row r="9511">
      <c r="A9511" s="4" t="s">
        <v>11967</v>
      </c>
      <c r="B9511" s="4" t="s">
        <v>11968</v>
      </c>
      <c r="C9511" s="5" t="str">
        <f>IFERROR(__xludf.DUMMYFUNCTION("GOOGLETRANSLATE(B9511,""en"",""zh-CN"")"),"一个人跑到体育比赛的田野上。")</f>
        <v>一个人跑到体育比赛的田野上。</v>
      </c>
    </row>
    <row r="9512">
      <c r="A9512" s="4" t="s">
        <v>11967</v>
      </c>
      <c r="B9512" s="4" t="s">
        <v>11969</v>
      </c>
      <c r="C9512" s="5" t="str">
        <f>IFERROR(__xludf.DUMMYFUNCTION("GOOGLETRANSLATE(B9512,""en"",""zh-CN"")"),"板球运动员在一个大型体育场的比赛中是俯仰球。")</f>
        <v>板球运动员在一个大型体育场的比赛中是俯仰球。</v>
      </c>
    </row>
    <row r="9513">
      <c r="A9513" s="4" t="s">
        <v>11967</v>
      </c>
      <c r="B9513" s="4" t="s">
        <v>11970</v>
      </c>
      <c r="C9513" s="5" t="str">
        <f>IFERROR(__xludf.DUMMYFUNCTION("GOOGLETRANSLATE(B9513,""en"",""zh-CN"")"),"板球运动员击中了一只捕获的高流行苍蝇。")</f>
        <v>板球运动员击中了一只捕获的高流行苍蝇。</v>
      </c>
    </row>
    <row r="9514">
      <c r="A9514" s="4" t="s">
        <v>11967</v>
      </c>
      <c r="B9514" s="4" t="s">
        <v>11971</v>
      </c>
      <c r="C9514" s="5" t="str">
        <f>IFERROR(__xludf.DUMMYFUNCTION("GOOGLETRANSLATE(B9514,""en"",""zh-CN"")"),"板球运动员可以拍照。")</f>
        <v>板球运动员可以拍照。</v>
      </c>
    </row>
    <row r="9515">
      <c r="A9515" s="4" t="s">
        <v>11967</v>
      </c>
      <c r="B9515" s="4" t="s">
        <v>11972</v>
      </c>
      <c r="C9515" s="5" t="str">
        <f>IFERROR(__xludf.DUMMYFUNCTION("GOOGLETRANSLATE(B9515,""en"",""zh-CN"")"),"球员们都在相邻赛道上进行比赛。")</f>
        <v>球员们都在相邻赛道上进行比赛。</v>
      </c>
    </row>
    <row r="9516">
      <c r="A9516" s="4" t="s">
        <v>11973</v>
      </c>
      <c r="B9516" s="4" t="s">
        <v>11974</v>
      </c>
      <c r="C9516" s="5" t="str">
        <f>IFERROR(__xludf.DUMMYFUNCTION("GOOGLETRANSLATE(B9516,""en"",""zh-CN"")"),"文本的介绍导致几个运动员将标枪扔到远处的片段。")</f>
        <v>文本的介绍导致几个运动员将标枪扔到远处的片段。</v>
      </c>
    </row>
    <row r="9517">
      <c r="A9517" s="4" t="s">
        <v>11973</v>
      </c>
      <c r="B9517" s="6" t="s">
        <v>11975</v>
      </c>
      <c r="C9517" s="5" t="str">
        <f>IFERROR(__xludf.DUMMYFUNCTION("GOOGLETRANSLATE(B9517,""en"",""zh-CN"")"),"视频继续进行，另外几名运动员被证明与标枪表现出色。")</f>
        <v>视频继续进行，另外几名运动员被证明与标枪表现出色。</v>
      </c>
    </row>
    <row r="9518">
      <c r="A9518" s="4" t="s">
        <v>11976</v>
      </c>
      <c r="B9518" s="4" t="s">
        <v>11977</v>
      </c>
      <c r="C9518" s="5" t="str">
        <f>IFERROR(__xludf.DUMMYFUNCTION("GOOGLETRANSLATE(B9518,""en"",""zh-CN"")"),"一个穿着红色外套的男人正在谈论曲棍球溜冰场。")</f>
        <v>一个穿着红色外套的男人正在谈论曲棍球溜冰场。</v>
      </c>
    </row>
    <row r="9519">
      <c r="A9519" s="4" t="s">
        <v>11976</v>
      </c>
      <c r="B9519" s="4" t="s">
        <v>11978</v>
      </c>
      <c r="C9519" s="5" t="str">
        <f>IFERROR(__xludf.DUMMYFUNCTION("GOOGLETRANSLATE(B9519,""en"",""zh-CN"")"),"几个人开始在冰上打曲棍球。")</f>
        <v>几个人开始在冰上打曲棍球。</v>
      </c>
    </row>
    <row r="9520">
      <c r="A9520" s="4" t="s">
        <v>11976</v>
      </c>
      <c r="B9520" s="4" t="s">
        <v>11979</v>
      </c>
      <c r="C9520" s="5" t="str">
        <f>IFERROR(__xludf.DUMMYFUNCTION("GOOGLETRANSLATE(B9520,""en"",""zh-CN"")"),"他给另一个球员一个拥抱。")</f>
        <v>他给另一个球员一个拥抱。</v>
      </c>
    </row>
    <row r="9521">
      <c r="A9521" s="4" t="s">
        <v>11980</v>
      </c>
      <c r="B9521" s="4" t="s">
        <v>11981</v>
      </c>
      <c r="C9521" s="5" t="str">
        <f>IFERROR(__xludf.DUMMYFUNCTION("GOOGLETRANSLATE(B9521,""en"",""zh-CN"")"),"人正在圆顶内的一条尘土飞扬的小路上骑摩托车。")</f>
        <v>人正在圆顶内的一条尘土飞扬的小路上骑摩托车。</v>
      </c>
    </row>
    <row r="9522">
      <c r="A9522" s="4" t="s">
        <v>11980</v>
      </c>
      <c r="B9522" s="4" t="s">
        <v>11982</v>
      </c>
      <c r="C9522" s="5" t="str">
        <f>IFERROR(__xludf.DUMMYFUNCTION("GOOGLETRANSLATE(B9522,""en"",""zh-CN"")"),"摩托车正在骑自行车在圆顶内的田野里做越野摩托车。")</f>
        <v>摩托车正在骑自行车在圆顶内的田野里做越野摩托车。</v>
      </c>
    </row>
    <row r="9523">
      <c r="A9523" s="4" t="s">
        <v>11980</v>
      </c>
      <c r="B9523" s="4" t="s">
        <v>11983</v>
      </c>
      <c r="C9523" s="5" t="str">
        <f>IFERROR(__xludf.DUMMYFUNCTION("GOOGLETRANSLATE(B9523,""en"",""zh-CN"")"),"人们在比赛中骑自行车。")</f>
        <v>人们在比赛中骑自行车。</v>
      </c>
    </row>
    <row r="9524">
      <c r="A9524" s="4" t="s">
        <v>11984</v>
      </c>
      <c r="B9524" s="4" t="s">
        <v>11985</v>
      </c>
      <c r="C9524" s="5" t="str">
        <f>IFERROR(__xludf.DUMMYFUNCTION("GOOGLETRANSLATE(B9524,""en"",""zh-CN"")"),"一个男人站在肩膀上的一堆木头旁边。")</f>
        <v>一个男人站在肩膀上的一堆木头旁边。</v>
      </c>
    </row>
    <row r="9525">
      <c r="A9525" s="4" t="s">
        <v>11984</v>
      </c>
      <c r="B9525" s="4" t="s">
        <v>11986</v>
      </c>
      <c r="C9525" s="5" t="str">
        <f>IFERROR(__xludf.DUMMYFUNCTION("GOOGLETRANSLATE(B9525,""en"",""zh-CN"")"),"该男子使用一个大斧头切碎在草木森林区域直立的原木。")</f>
        <v>该男子使用一个大斧头切碎在草木森林区域直立的原木。</v>
      </c>
    </row>
    <row r="9526">
      <c r="A9526" s="4" t="s">
        <v>11987</v>
      </c>
      <c r="B9526" s="6" t="s">
        <v>11988</v>
      </c>
      <c r="C9526" s="5" t="str">
        <f>IFERROR(__xludf.DUMMYFUNCTION("GOOGLETRANSLATE(B9526,""en"",""zh-CN"")"),"两个男人一起玩乒乓球，一个人穿着黑色西装，穿着黑色西装的家伙具有独特的风格。")</f>
        <v>两个男人一起玩乒乓球，一个人穿着黑色西装，穿着黑色西装的家伙具有独特的风格。</v>
      </c>
    </row>
    <row r="9527">
      <c r="A9527" s="4" t="s">
        <v>11987</v>
      </c>
      <c r="B9527" s="4" t="s">
        <v>11989</v>
      </c>
      <c r="C9527" s="5" t="str">
        <f>IFERROR(__xludf.DUMMYFUNCTION("GOOGLETRANSLATE(B9527,""en"",""zh-CN"")"),"穿着黑色西装的男人飙升了乒乓球并庆祝。")</f>
        <v>穿着黑色西装的男人飙升了乒乓球并庆祝。</v>
      </c>
    </row>
    <row r="9528">
      <c r="A9528" s="4" t="s">
        <v>11987</v>
      </c>
      <c r="B9528" s="6" t="s">
        <v>11990</v>
      </c>
      <c r="C9528" s="5" t="str">
        <f>IFERROR(__xludf.DUMMYFUNCTION("GOOGLETRANSLATE(B9528,""en"",""zh-CN"")"),"相机场景切换以从另一个角度展示球员，穿着黑色西装的玩家在球上另一个尖峰。")</f>
        <v>相机场景切换以从另一个角度展示球员，穿着黑色西装的玩家在球上另一个尖峰。</v>
      </c>
    </row>
    <row r="9529">
      <c r="A9529" s="4" t="s">
        <v>11987</v>
      </c>
      <c r="B9529" s="6" t="s">
        <v>11991</v>
      </c>
      <c r="C9529" s="5" t="str">
        <f>IFERROR(__xludf.DUMMYFUNCTION("GOOGLETRANSLATE(B9529,""en"",""zh-CN"")"),"现在，有两名球员立即开始穿着黑色西装的球员，他将球刺向了两个球员。")</f>
        <v>现在，有两名球员立即开始穿着黑色西装的球员，他将球刺向了两个球员。</v>
      </c>
    </row>
    <row r="9530">
      <c r="A9530" s="4" t="s">
        <v>11987</v>
      </c>
      <c r="B9530" s="6" t="s">
        <v>11992</v>
      </c>
      <c r="C9530" s="5" t="str">
        <f>IFERROR(__xludf.DUMMYFUNCTION("GOOGLETRANSLATE(B9530,""en"",""zh-CN"")"),"穿着黑色西装的那个人正在使用双节棍打乒乓球，现在他们有4名球员对着他进行比赛，穿着黑色西装的男人在读书时嘲笑他们，他还暂停了乒乓球，水并恢复该男子开始嘲笑他们，这些人感到沮丧。")</f>
        <v>穿着黑色西装的那个人正在使用双节棍打乒乓球，现在他们有4名球员对着他进行比赛，穿着黑色西装的男人在读书时嘲笑他们，他还暂停了乒乓球，水并恢复该男子开始嘲笑他们，这些人感到沮丧。</v>
      </c>
    </row>
    <row r="9531">
      <c r="A9531" s="4" t="s">
        <v>11987</v>
      </c>
      <c r="B9531" s="4" t="s">
        <v>11993</v>
      </c>
      <c r="C9531" s="5" t="str">
        <f>IFERROR(__xludf.DUMMYFUNCTION("GOOGLETRANSLATE(B9531,""en"",""zh-CN"")"),"最后一个挑战者到达并朝他走去。")</f>
        <v>最后一个挑战者到达并朝他走去。</v>
      </c>
    </row>
    <row r="9532">
      <c r="A9532" s="4" t="s">
        <v>11987</v>
      </c>
      <c r="B9532" s="4" t="s">
        <v>11994</v>
      </c>
      <c r="C9532" s="5" t="str">
        <f>IFERROR(__xludf.DUMMYFUNCTION("GOOGLETRANSLATE(B9532,""en"",""zh-CN"")"),"挑战者猛烈地刺入了球，以至于杀死了他。")</f>
        <v>挑战者猛烈地刺入了球，以至于杀死了他。</v>
      </c>
    </row>
    <row r="9533">
      <c r="A9533" s="4" t="s">
        <v>11995</v>
      </c>
      <c r="B9533" s="4" t="s">
        <v>11996</v>
      </c>
      <c r="C9533" s="5" t="str">
        <f>IFERROR(__xludf.DUMMYFUNCTION("GOOGLETRANSLATE(B9533,""en"",""zh-CN"")"),"两个人在地板上的前至前推盘在健身房里用棍棒。")</f>
        <v>两个人在地板上的前至前推盘在健身房里用棍棒。</v>
      </c>
    </row>
    <row r="9534">
      <c r="A9534" s="4" t="s">
        <v>11995</v>
      </c>
      <c r="B9534" s="4" t="s">
        <v>11997</v>
      </c>
      <c r="C9534" s="5" t="str">
        <f>IFERROR(__xludf.DUMMYFUNCTION("GOOGLETRANSLATE(B9534,""en"",""zh-CN"")"),"一个男人在前面的前面传递。")</f>
        <v>一个男人在前面的前面传递。</v>
      </c>
    </row>
    <row r="9535">
      <c r="A9535" s="4" t="s">
        <v>11998</v>
      </c>
      <c r="B9535" s="4" t="s">
        <v>11999</v>
      </c>
      <c r="C9535" s="5" t="str">
        <f>IFERROR(__xludf.DUMMYFUNCTION("GOOGLETRANSLATE(B9535,""en"",""zh-CN"")"),"一位女士坐在室内讨论。")</f>
        <v>一位女士坐在室内讨论。</v>
      </c>
    </row>
    <row r="9536">
      <c r="A9536" s="4" t="s">
        <v>11998</v>
      </c>
      <c r="B9536" s="4" t="s">
        <v>12000</v>
      </c>
      <c r="C9536" s="5" t="str">
        <f>IFERROR(__xludf.DUMMYFUNCTION("GOOGLETRANSLATE(B9536,""en"",""zh-CN"")"),"那位女士炫耀她的钉子。")</f>
        <v>那位女士炫耀她的钉子。</v>
      </c>
    </row>
    <row r="9537">
      <c r="A9537" s="4" t="s">
        <v>11998</v>
      </c>
      <c r="B9537" s="4" t="s">
        <v>12001</v>
      </c>
      <c r="C9537" s="5" t="str">
        <f>IFERROR(__xludf.DUMMYFUNCTION("GOOGLETRANSLATE(B9537,""en"",""zh-CN"")"),"这位女士展示了她的指甲油。")</f>
        <v>这位女士展示了她的指甲油。</v>
      </c>
    </row>
    <row r="9538">
      <c r="A9538" s="4" t="s">
        <v>11998</v>
      </c>
      <c r="B9538" s="4" t="s">
        <v>12002</v>
      </c>
      <c r="C9538" s="5" t="str">
        <f>IFERROR(__xludf.DUMMYFUNCTION("GOOGLETRANSLATE(B9538,""en"",""zh-CN"")"),"那位女士画她的指甲。")</f>
        <v>那位女士画她的指甲。</v>
      </c>
    </row>
    <row r="9539">
      <c r="A9539" s="4" t="s">
        <v>11998</v>
      </c>
      <c r="B9539" s="4" t="s">
        <v>12003</v>
      </c>
      <c r="C9539" s="5" t="str">
        <f>IFERROR(__xludf.DUMMYFUNCTION("GOOGLETRANSLATE(B9539,""en"",""zh-CN"")"),"将指甲油放在文件夹上，并用它们来修饰她的指甲。")</f>
        <v>将指甲油放在文件夹上，并用它们来修饰她的指甲。</v>
      </c>
    </row>
    <row r="9540">
      <c r="A9540" s="4" t="s">
        <v>11998</v>
      </c>
      <c r="B9540" s="4" t="s">
        <v>12004</v>
      </c>
      <c r="C9540" s="5" t="str">
        <f>IFERROR(__xludf.DUMMYFUNCTION("GOOGLETRANSLATE(B9540,""en"",""zh-CN"")"),"这位女士抬起脚，炫耀她的袜子。")</f>
        <v>这位女士抬起脚，炫耀她的袜子。</v>
      </c>
    </row>
    <row r="9541">
      <c r="A9541" s="4" t="s">
        <v>11998</v>
      </c>
      <c r="B9541" s="4" t="s">
        <v>1251</v>
      </c>
      <c r="C9541" s="5" t="str">
        <f>IFERROR(__xludf.DUMMYFUNCTION("GOOGLETRANSLATE(B9541,""en"",""zh-CN"")"),"显示了剪辑的信用。")</f>
        <v>显示了剪辑的信用。</v>
      </c>
    </row>
    <row r="9542">
      <c r="A9542" s="4" t="s">
        <v>12005</v>
      </c>
      <c r="B9542" s="4" t="s">
        <v>12006</v>
      </c>
      <c r="C9542" s="5" t="str">
        <f>IFERROR(__xludf.DUMMYFUNCTION("GOOGLETRANSLATE(B9542,""en"",""zh-CN"")"),"视频的主题显示了如何打桌上的。")</f>
        <v>视频的主题显示了如何打桌上的。</v>
      </c>
    </row>
    <row r="9543">
      <c r="A9543" s="4" t="s">
        <v>12005</v>
      </c>
      <c r="B9543" s="4" t="s">
        <v>12007</v>
      </c>
      <c r="C9543" s="5" t="str">
        <f>IFERROR(__xludf.DUMMYFUNCTION("GOOGLETRANSLATE(B9543,""en"",""zh-CN"")"),"它从标题屏幕开始。")</f>
        <v>它从标题屏幕开始。</v>
      </c>
    </row>
    <row r="9544">
      <c r="A9544" s="4" t="s">
        <v>12005</v>
      </c>
      <c r="B9544" s="4" t="s">
        <v>12008</v>
      </c>
      <c r="C9544" s="5" t="str">
        <f>IFERROR(__xludf.DUMMYFUNCTION("GOOGLETRANSLATE(B9544,""en"",""zh-CN"")"),"然后显示了一个小男孩的剪辑，该剪辑在桌上足球桌上放了一个像眼球一样的球。")</f>
        <v>然后显示了一个小男孩的剪辑，该剪辑在桌上足球桌上放了一个像眼球一样的球。</v>
      </c>
    </row>
    <row r="9545">
      <c r="A9545" s="4" t="s">
        <v>12005</v>
      </c>
      <c r="B9545" s="4" t="s">
        <v>12009</v>
      </c>
      <c r="C9545" s="5" t="str">
        <f>IFERROR(__xludf.DUMMYFUNCTION("GOOGLETRANSLATE(B9545,""en"",""zh-CN"")"),"带有单词的屏幕出现。")</f>
        <v>带有单词的屏幕出现。</v>
      </c>
    </row>
    <row r="9546">
      <c r="A9546" s="4" t="s">
        <v>12005</v>
      </c>
      <c r="B9546" s="6" t="s">
        <v>12010</v>
      </c>
      <c r="C9546" s="5" t="str">
        <f>IFERROR(__xludf.DUMMYFUNCTION("GOOGLETRANSLATE(B9546,""en"",""zh-CN"")"),"然后，显示了两个男孩玩桌上足球桌的剪辑，其中一张在演奏时正在阅读杂志。")</f>
        <v>然后，显示了两个男孩玩桌上足球桌的剪辑，其中一张在演奏时正在阅读杂志。</v>
      </c>
    </row>
    <row r="9547">
      <c r="A9547" s="4" t="s">
        <v>12005</v>
      </c>
      <c r="B9547" s="4" t="s">
        <v>12011</v>
      </c>
      <c r="C9547" s="5" t="str">
        <f>IFERROR(__xludf.DUMMYFUNCTION("GOOGLETRANSLATE(B9547,""en"",""zh-CN"")"),"出现了几个额外的剪辑，显示男孩们以不同的方式打桌球。")</f>
        <v>出现了几个额外的剪辑，显示男孩们以不同的方式打桌球。</v>
      </c>
    </row>
    <row r="9548">
      <c r="A9548" s="4" t="s">
        <v>12005</v>
      </c>
      <c r="B9548" s="4" t="s">
        <v>12012</v>
      </c>
      <c r="C9548" s="5" t="str">
        <f>IFERROR(__xludf.DUMMYFUNCTION("GOOGLETRANSLATE(B9548,""en"",""zh-CN"")"),"视频结束时，其中一个男孩在玩耍时睡着了。")</f>
        <v>视频结束时，其中一个男孩在玩耍时睡着了。</v>
      </c>
    </row>
    <row r="9549">
      <c r="A9549" s="4" t="s">
        <v>12013</v>
      </c>
      <c r="B9549" s="4" t="s">
        <v>12014</v>
      </c>
      <c r="C9549" s="5" t="str">
        <f>IFERROR(__xludf.DUMMYFUNCTION("GOOGLETRANSLATE(B9549,""en"",""zh-CN"")"),"一群孩子摆在空中。")</f>
        <v>一群孩子摆在空中。</v>
      </c>
    </row>
    <row r="9550">
      <c r="A9550" s="4" t="s">
        <v>12013</v>
      </c>
      <c r="B9550" s="4" t="s">
        <v>12015</v>
      </c>
      <c r="C9550" s="5" t="str">
        <f>IFERROR(__xludf.DUMMYFUNCTION("GOOGLETRANSLATE(B9550,""en"",""zh-CN"")"),"另一组孩子们摆出和平标志。")</f>
        <v>另一组孩子们摆出和平标志。</v>
      </c>
    </row>
    <row r="9551">
      <c r="A9551" s="4" t="s">
        <v>12013</v>
      </c>
      <c r="B9551" s="4" t="s">
        <v>12016</v>
      </c>
      <c r="C9551" s="5" t="str">
        <f>IFERROR(__xludf.DUMMYFUNCTION("GOOGLETRANSLATE(B9551,""en"",""zh-CN"")"),"第三组的孩子互相摆姿势。")</f>
        <v>第三组的孩子互相摆姿势。</v>
      </c>
    </row>
    <row r="9552">
      <c r="A9552" s="4" t="s">
        <v>12013</v>
      </c>
      <c r="B9552" s="4" t="s">
        <v>12017</v>
      </c>
      <c r="C9552" s="5" t="str">
        <f>IFERROR(__xludf.DUMMYFUNCTION("GOOGLETRANSLATE(B9552,""en"",""zh-CN"")"),"第四组的孩子张开嘴姿势。")</f>
        <v>第四组的孩子张开嘴姿势。</v>
      </c>
    </row>
    <row r="9553">
      <c r="A9553" s="4" t="s">
        <v>12013</v>
      </c>
      <c r="B9553" s="4" t="s">
        <v>12018</v>
      </c>
      <c r="C9553" s="5" t="str">
        <f>IFERROR(__xludf.DUMMYFUNCTION("GOOGLETRANSLATE(B9553,""en"",""zh-CN"")"),"第五组的孩子在微笑。")</f>
        <v>第五组的孩子在微笑。</v>
      </c>
    </row>
    <row r="9554">
      <c r="A9554" s="4" t="s">
        <v>12013</v>
      </c>
      <c r="B9554" s="4" t="s">
        <v>12019</v>
      </c>
      <c r="C9554" s="5" t="str">
        <f>IFERROR(__xludf.DUMMYFUNCTION("GOOGLETRANSLATE(B9554,""en"",""zh-CN"")"),"一群孩子站在健身房的一条线上。")</f>
        <v>一群孩子站在健身房的一条线上。</v>
      </c>
    </row>
    <row r="9555">
      <c r="A9555" s="4" t="s">
        <v>12013</v>
      </c>
      <c r="B9555" s="4" t="s">
        <v>12020</v>
      </c>
      <c r="C9555" s="5" t="str">
        <f>IFERROR(__xludf.DUMMYFUNCTION("GOOGLETRANSLATE(B9555,""en"",""zh-CN"")"),"一个女孩在体育馆里翻转。")</f>
        <v>一个女孩在体育馆里翻转。</v>
      </c>
    </row>
    <row r="9556">
      <c r="A9556" s="4" t="s">
        <v>12013</v>
      </c>
      <c r="B9556" s="4" t="s">
        <v>12021</v>
      </c>
      <c r="C9556" s="5" t="str">
        <f>IFERROR(__xludf.DUMMYFUNCTION("GOOGLETRANSLATE(B9556,""en"",""zh-CN"")"),"一个小男孩弹跳一个道奇球。")</f>
        <v>一个小男孩弹跳一个道奇球。</v>
      </c>
    </row>
    <row r="9557">
      <c r="A9557" s="4" t="s">
        <v>12013</v>
      </c>
      <c r="B9557" s="4" t="s">
        <v>12022</v>
      </c>
      <c r="C9557" s="5" t="str">
        <f>IFERROR(__xludf.DUMMYFUNCTION("GOOGLETRANSLATE(B9557,""en"",""zh-CN"")"),"一群蓝色的孩子都朝着健身房的中心奔跑。")</f>
        <v>一群蓝色的孩子都朝着健身房的中心奔跑。</v>
      </c>
    </row>
    <row r="9558">
      <c r="A9558" s="4" t="s">
        <v>12013</v>
      </c>
      <c r="B9558" s="6" t="s">
        <v>12023</v>
      </c>
      <c r="C9558" s="5" t="str">
        <f>IFERROR(__xludf.DUMMYFUNCTION("GOOGLETRANSLATE(B9558,""en"",""zh-CN"")"),"一个小男孩将道奇球瞄准在健身房对面的一群孩子，然后扔球击中其中一个。")</f>
        <v>一个小男孩将道奇球瞄准在健身房对面的一群孩子，然后扔球击中其中一个。</v>
      </c>
    </row>
    <row r="9559">
      <c r="A9559" s="4" t="s">
        <v>12013</v>
      </c>
      <c r="B9559" s="4" t="s">
        <v>12024</v>
      </c>
      <c r="C9559" s="5" t="str">
        <f>IFERROR(__xludf.DUMMYFUNCTION("GOOGLETRANSLATE(B9559,""en"",""zh-CN"")"),"一个蓝色的小男孩庆祝。")</f>
        <v>一个蓝色的小男孩庆祝。</v>
      </c>
    </row>
    <row r="9560">
      <c r="A9560" s="4" t="s">
        <v>12013</v>
      </c>
      <c r="B9560" s="4" t="s">
        <v>12025</v>
      </c>
      <c r="C9560" s="5" t="str">
        <f>IFERROR(__xludf.DUMMYFUNCTION("GOOGLETRANSLATE(B9560,""en"",""zh-CN"")"),"另一个蓝色的大男孩扔了一个道奇球。")</f>
        <v>另一个蓝色的大男孩扔了一个道奇球。</v>
      </c>
    </row>
    <row r="9561">
      <c r="A9561" s="4" t="s">
        <v>12013</v>
      </c>
      <c r="B9561" s="4" t="s">
        <v>12026</v>
      </c>
      <c r="C9561" s="5" t="str">
        <f>IFERROR(__xludf.DUMMYFUNCTION("GOOGLETRANSLATE(B9561,""en"",""zh-CN"")"),"一个小男孩跑到拿着两个球的线上，投掷其中之一。")</f>
        <v>一个小男孩跑到拿着两个球的线上，投掷其中之一。</v>
      </c>
    </row>
    <row r="9562">
      <c r="A9562" s="4" t="s">
        <v>12013</v>
      </c>
      <c r="B9562" s="4" t="s">
        <v>12027</v>
      </c>
      <c r="C9562" s="5" t="str">
        <f>IFERROR(__xludf.DUMMYFUNCTION("GOOGLETRANSLATE(B9562,""en"",""zh-CN"")"),"一个蓝色的男孩扔了一个球，而后面的一个男孩奔跑。")</f>
        <v>一个蓝色的男孩扔了一个球，而后面的一个男孩奔跑。</v>
      </c>
    </row>
    <row r="9563">
      <c r="A9563" s="4" t="s">
        <v>12013</v>
      </c>
      <c r="B9563" s="4" t="s">
        <v>12028</v>
      </c>
      <c r="C9563" s="5" t="str">
        <f>IFERROR(__xludf.DUMMYFUNCTION("GOOGLETRANSLATE(B9563,""en"",""zh-CN"")"),"一个穿着粉红色的男孩扔球。")</f>
        <v>一个穿着粉红色的男孩扔球。</v>
      </c>
    </row>
    <row r="9564">
      <c r="A9564" s="4" t="s">
        <v>12013</v>
      </c>
      <c r="B9564" s="4" t="s">
        <v>12029</v>
      </c>
      <c r="C9564" s="5" t="str">
        <f>IFERROR(__xludf.DUMMYFUNCTION("GOOGLETRANSLATE(B9564,""en"",""zh-CN"")"),"一个白色的小男孩下垂，一个球飞过他的头。")</f>
        <v>一个白色的小男孩下垂，一个球飞过他的头。</v>
      </c>
    </row>
    <row r="9565">
      <c r="A9565" s="4" t="s">
        <v>12013</v>
      </c>
      <c r="B9565" s="4" t="s">
        <v>12030</v>
      </c>
      <c r="C9565" s="5" t="str">
        <f>IFERROR(__xludf.DUMMYFUNCTION("GOOGLETRANSLATE(B9565,""en"",""zh-CN"")"),"一个穿着粉红色的男孩，然后一个穿着粉红色的女孩扔球。")</f>
        <v>一个穿着粉红色的男孩，然后一个穿着粉红色的女孩扔球。</v>
      </c>
    </row>
    <row r="9566">
      <c r="A9566" s="4" t="s">
        <v>12013</v>
      </c>
      <c r="B9566" s="4" t="s">
        <v>12031</v>
      </c>
      <c r="C9566" s="5" t="str">
        <f>IFERROR(__xludf.DUMMYFUNCTION("GOOGLETRANSLATE(B9566,""en"",""zh-CN"")"),"白色的几个孩子庆祝。")</f>
        <v>白色的几个孩子庆祝。</v>
      </c>
    </row>
    <row r="9567">
      <c r="A9567" s="4" t="s">
        <v>12013</v>
      </c>
      <c r="B9567" s="4" t="s">
        <v>12032</v>
      </c>
      <c r="C9567" s="5" t="str">
        <f>IFERROR(__xludf.DUMMYFUNCTION("GOOGLETRANSLATE(B9567,""en"",""zh-CN"")"),"一群孩子奔向健身房中心。")</f>
        <v>一群孩子奔向健身房中心。</v>
      </c>
    </row>
    <row r="9568">
      <c r="A9568" s="4" t="s">
        <v>12013</v>
      </c>
      <c r="B9568" s="4" t="s">
        <v>12033</v>
      </c>
      <c r="C9568" s="5" t="str">
        <f>IFERROR(__xludf.DUMMYFUNCTION("GOOGLETRANSLATE(B9568,""en"",""zh-CN"")"),"白队打球，一个非常年轻的球员投篮。")</f>
        <v>白队打球，一个非常年轻的球员投篮。</v>
      </c>
    </row>
    <row r="9569">
      <c r="A9569" s="4" t="s">
        <v>12013</v>
      </c>
      <c r="B9569" s="4" t="s">
        <v>12034</v>
      </c>
      <c r="C9569" s="5" t="str">
        <f>IFERROR(__xludf.DUMMYFUNCTION("GOOGLETRANSLATE(B9569,""en"",""zh-CN"")"),"一个绿色的男孩扔球，蓝队跑来扔几个球。")</f>
        <v>一个绿色的男孩扔球，蓝队跑来扔几个球。</v>
      </c>
    </row>
    <row r="9570">
      <c r="A9570" s="4" t="s">
        <v>12013</v>
      </c>
      <c r="B9570" s="4" t="s">
        <v>12035</v>
      </c>
      <c r="C9570" s="5" t="str">
        <f>IFERROR(__xludf.DUMMYFUNCTION("GOOGLETRANSLATE(B9570,""en"",""zh-CN"")"),"另一个男孩和女孩同时奔跑和扔球。")</f>
        <v>另一个男孩和女孩同时奔跑和扔球。</v>
      </c>
    </row>
    <row r="9571">
      <c r="A9571" s="4" t="s">
        <v>12013</v>
      </c>
      <c r="B9571" s="4" t="s">
        <v>12036</v>
      </c>
      <c r="C9571" s="5" t="str">
        <f>IFERROR(__xludf.DUMMYFUNCTION("GOOGLETRANSLATE(B9571,""en"",""zh-CN"")"),"一个白色的男孩扔了一个球。")</f>
        <v>一个白色的男孩扔了一个球。</v>
      </c>
    </row>
    <row r="9572">
      <c r="A9572" s="4" t="s">
        <v>12013</v>
      </c>
      <c r="B9572" s="4" t="s">
        <v>12037</v>
      </c>
      <c r="C9572" s="5" t="str">
        <f>IFERROR(__xludf.DUMMYFUNCTION("GOOGLETRANSLATE(B9572,""en"",""zh-CN"")"),"一群成年人站在健身房地板上的线上。")</f>
        <v>一群成年人站在健身房地板上的线上。</v>
      </c>
    </row>
    <row r="9573">
      <c r="A9573" s="4" t="s">
        <v>12013</v>
      </c>
      <c r="B9573" s="4" t="s">
        <v>12038</v>
      </c>
      <c r="C9573" s="5" t="str">
        <f>IFERROR(__xludf.DUMMYFUNCTION("GOOGLETRANSLATE(B9573,""en"",""zh-CN"")"),"成年人打DO0DGE球。")</f>
        <v>成年人打DO0DGE球。</v>
      </c>
    </row>
    <row r="9574">
      <c r="A9574" s="4" t="s">
        <v>12013</v>
      </c>
      <c r="B9574" s="4" t="s">
        <v>12039</v>
      </c>
      <c r="C9574" s="5" t="str">
        <f>IFERROR(__xludf.DUMMYFUNCTION("GOOGLETRANSLATE(B9574,""en"",""zh-CN"")"),"一群孩子和成人举起奖杯和浪潮。")</f>
        <v>一群孩子和成人举起奖杯和浪潮。</v>
      </c>
    </row>
    <row r="9575">
      <c r="A9575" s="4" t="s">
        <v>12040</v>
      </c>
      <c r="B9575" s="4" t="s">
        <v>12041</v>
      </c>
      <c r="C9575" s="5" t="str">
        <f>IFERROR(__xludf.DUMMYFUNCTION("GOOGLETRANSLATE(B9575,""en"",""zh-CN"")"),"一条青少年滑板在一条道路上转身并旋转。")</f>
        <v>一条青少年滑板在一条道路上转身并旋转。</v>
      </c>
    </row>
    <row r="9576">
      <c r="A9576" s="4" t="s">
        <v>12040</v>
      </c>
      <c r="B9576" s="4" t="s">
        <v>12042</v>
      </c>
      <c r="C9576" s="5" t="str">
        <f>IFERROR(__xludf.DUMMYFUNCTION("GOOGLETRANSLATE(B9576,""en"",""zh-CN"")"),"转弯时道路上的另一个青年滑板。")</f>
        <v>转弯时道路上的另一个青年滑板。</v>
      </c>
    </row>
    <row r="9577">
      <c r="A9577" s="4" t="s">
        <v>12040</v>
      </c>
      <c r="B9577" s="4" t="s">
        <v>12043</v>
      </c>
      <c r="C9577" s="5" t="str">
        <f>IFERROR(__xludf.DUMMYFUNCTION("GOOGLETRANSLATE(B9577,""en"",""zh-CN"")"),"一个男孩手上拿着滑板。")</f>
        <v>一个男孩手上拿着滑板。</v>
      </c>
    </row>
    <row r="9578">
      <c r="A9578" s="4" t="s">
        <v>12040</v>
      </c>
      <c r="B9578" s="4" t="s">
        <v>12044</v>
      </c>
      <c r="C9578" s="5" t="str">
        <f>IFERROR(__xludf.DUMMYFUNCTION("GOOGLETRANSLATE(B9578,""en"",""zh-CN"")"),"一个年轻人滑板直到繁忙的街道，然后这名少年继续滑板。")</f>
        <v>一个年轻人滑板直到繁忙的街道，然后这名少年继续滑板。</v>
      </c>
    </row>
    <row r="9579">
      <c r="A9579" s="4" t="s">
        <v>12045</v>
      </c>
      <c r="B9579" s="4" t="s">
        <v>12046</v>
      </c>
      <c r="C9579" s="5" t="str">
        <f>IFERROR(__xludf.DUMMYFUNCTION("GOOGLETRANSLATE(B9579,""en"",""zh-CN"")"),"一个男人在镜子里戴上彩弹枪装备，抓住枪，穿过雪。")</f>
        <v>一个男人在镜子里戴上彩弹枪装备，抓住枪，穿过雪。</v>
      </c>
    </row>
    <row r="9580">
      <c r="A9580" s="4" t="s">
        <v>12045</v>
      </c>
      <c r="B9580" s="4" t="s">
        <v>12047</v>
      </c>
      <c r="C9580" s="5" t="str">
        <f>IFERROR(__xludf.DUMMYFUNCTION("GOOGLETRANSLATE(B9580,""en"",""zh-CN"")"),"男人在彩弹车场上躲在树木，胶合板的墙壁和篱笆后面。")</f>
        <v>男人在彩弹车场上躲在树木，胶合板的墙壁和篱笆后面。</v>
      </c>
    </row>
    <row r="9581">
      <c r="A9581" s="4" t="s">
        <v>12045</v>
      </c>
      <c r="B9581" s="4" t="s">
        <v>12048</v>
      </c>
      <c r="C9581" s="5" t="str">
        <f>IFERROR(__xludf.DUMMYFUNCTION("GOOGLETRANSLATE(B9581,""en"",""zh-CN"")"),"男人互相射击。")</f>
        <v>男人互相射击。</v>
      </c>
    </row>
    <row r="9582">
      <c r="A9582" s="4" t="s">
        <v>12045</v>
      </c>
      <c r="B9582" s="4" t="s">
        <v>12049</v>
      </c>
      <c r="C9582" s="5" t="str">
        <f>IFERROR(__xludf.DUMMYFUNCTION("GOOGLETRANSLATE(B9582,""en"",""zh-CN"")"),"男人奔跑和鸭子寻找隐藏的地方。")</f>
        <v>男人奔跑和鸭子寻找隐藏的地方。</v>
      </c>
    </row>
    <row r="9583">
      <c r="A9583" s="4" t="s">
        <v>12045</v>
      </c>
      <c r="B9583" s="4" t="s">
        <v>12050</v>
      </c>
      <c r="C9583" s="5" t="str">
        <f>IFERROR(__xludf.DUMMYFUNCTION("GOOGLETRANSLATE(B9583,""en"",""zh-CN"")"),"男人坐在墙的两侧，寻找彼此，然后站起来彼此面对面。")</f>
        <v>男人坐在墙的两侧，寻找彼此，然后站起来彼此面对面。</v>
      </c>
    </row>
    <row r="9584">
      <c r="A9584" s="4" t="s">
        <v>12045</v>
      </c>
      <c r="B9584" s="4" t="s">
        <v>12051</v>
      </c>
      <c r="C9584" s="5" t="str">
        <f>IFERROR(__xludf.DUMMYFUNCTION("GOOGLETRANSLATE(B9584,""en"",""zh-CN"")"),"一个男人在彩弹公园的标志面前说话。")</f>
        <v>一个男人在彩弹公园的标志面前说话。</v>
      </c>
    </row>
    <row r="9585">
      <c r="A9585" s="4" t="s">
        <v>12052</v>
      </c>
      <c r="B9585" s="4" t="s">
        <v>12053</v>
      </c>
      <c r="C9585" s="5" t="str">
        <f>IFERROR(__xludf.DUMMYFUNCTION("GOOGLETRANSLATE(B9585,""en"",""zh-CN"")"),"几辆自行车排在一家商店里。")</f>
        <v>几辆自行车排在一家商店里。</v>
      </c>
    </row>
    <row r="9586">
      <c r="A9586" s="4" t="s">
        <v>12052</v>
      </c>
      <c r="B9586" s="4" t="s">
        <v>12054</v>
      </c>
      <c r="C9586" s="5" t="str">
        <f>IFERROR(__xludf.DUMMYFUNCTION("GOOGLETRANSLATE(B9586,""en"",""zh-CN"")"),"我们看到人们看着自行车，还有一个装有一辆自行车。")</f>
        <v>我们看到人们看着自行车，还有一个装有一辆自行车。</v>
      </c>
    </row>
    <row r="9587">
      <c r="A9587" s="4" t="s">
        <v>12052</v>
      </c>
      <c r="B9587" s="4" t="s">
        <v>12055</v>
      </c>
      <c r="C9587" s="5" t="str">
        <f>IFERROR(__xludf.DUMMYFUNCTION("GOOGLETRANSLATE(B9587,""en"",""zh-CN"")"),"一个人打开盒子并卸下自行车，他将碎片显示给相机。")</f>
        <v>一个人打开盒子并卸下自行车，他将碎片显示给相机。</v>
      </c>
    </row>
    <row r="9588">
      <c r="A9588" s="4" t="s">
        <v>12056</v>
      </c>
      <c r="B9588" s="4" t="s">
        <v>12057</v>
      </c>
      <c r="C9588" s="5" t="str">
        <f>IFERROR(__xludf.DUMMYFUNCTION("GOOGLETRANSLATE(B9588,""en"",""zh-CN"")"),"EHOW和样式在屏幕上。")</f>
        <v>EHOW和样式在屏幕上。</v>
      </c>
    </row>
    <row r="9589">
      <c r="A9589" s="4" t="s">
        <v>12056</v>
      </c>
      <c r="B9589" s="4" t="s">
        <v>12058</v>
      </c>
      <c r="C9589" s="5" t="str">
        <f>IFERROR(__xludf.DUMMYFUNCTION("GOOGLETRANSLATE(B9589,""en"",""zh-CN"")"),"一个女人正站在桌子上，上面有鞋子和一罐发胶。")</f>
        <v>一个女人正站在桌子上，上面有鞋子和一罐发胶。</v>
      </c>
    </row>
    <row r="9590">
      <c r="A9590" s="4" t="s">
        <v>12056</v>
      </c>
      <c r="B9590" s="6" t="s">
        <v>12059</v>
      </c>
      <c r="C9590" s="5" t="str">
        <f>IFERROR(__xludf.DUMMYFUNCTION("GOOGLETRANSLATE(B9590,""en"",""zh-CN"")"),"女人在鞋子上的磨损标记上喷了发质，并拿起棉花尖，擦掉磨损的标记。")</f>
        <v>女人在鞋子上的磨损标记上喷了发质，并拿起棉花尖，擦掉磨损的标记。</v>
      </c>
    </row>
    <row r="9591">
      <c r="A9591" s="4" t="s">
        <v>12056</v>
      </c>
      <c r="B9591" s="4" t="s">
        <v>12060</v>
      </c>
      <c r="C9591" s="5" t="str">
        <f>IFERROR(__xludf.DUMMYFUNCTION("GOOGLETRANSLATE(B9591,""en"",""zh-CN"")"),"划痕不见了，她与镜头说话。")</f>
        <v>划痕不见了，她与镜头说话。</v>
      </c>
    </row>
    <row r="9592">
      <c r="A9592" s="4" t="s">
        <v>12056</v>
      </c>
      <c r="B9592" s="4" t="s">
        <v>12061</v>
      </c>
      <c r="C9592" s="5" t="str">
        <f>IFERROR(__xludf.DUMMYFUNCTION("GOOGLETRANSLATE(B9592,""en"",""zh-CN"")"),"视频以EHOW促销结尾。")</f>
        <v>视频以EHOW促销结尾。</v>
      </c>
    </row>
    <row r="9593">
      <c r="A9593" s="4" t="s">
        <v>12062</v>
      </c>
      <c r="B9593" s="6" t="s">
        <v>12063</v>
      </c>
      <c r="C9593" s="5" t="str">
        <f>IFERROR(__xludf.DUMMYFUNCTION("GOOGLETRANSLATE(B9593,""en"",""zh-CN"")"),"一群人站着一个田野，一个男人向另一支球队滚动一个红球，被踢出去。")</f>
        <v>一群人站着一个田野，一个男人向另一支球队滚动一个红球，被踢出去。</v>
      </c>
    </row>
    <row r="9594">
      <c r="A9594" s="4" t="s">
        <v>12062</v>
      </c>
      <c r="B9594" s="4" t="s">
        <v>12064</v>
      </c>
      <c r="C9594" s="5" t="str">
        <f>IFERROR(__xludf.DUMMYFUNCTION("GOOGLETRANSLATE(B9594,""en"",""zh-CN"")"),"之后，团队切换并继续玩踢球比赛。")</f>
        <v>之后，团队切换并继续玩踢球比赛。</v>
      </c>
    </row>
    <row r="9595">
      <c r="A9595" s="4" t="s">
        <v>12062</v>
      </c>
      <c r="B9595" s="6" t="s">
        <v>12065</v>
      </c>
      <c r="C9595" s="5" t="str">
        <f>IFERROR(__xludf.DUMMYFUNCTION("GOOGLETRANSLATE(B9595,""en"",""zh-CN"")"),"现在，又有两个球队接近，队长玩摇滚，纸，剪刀来确定谁将开始比赛。")</f>
        <v>现在，又有两个球队接近，队长玩摇滚，纸，剪刀来确定谁将开始比赛。</v>
      </c>
    </row>
    <row r="9596">
      <c r="A9596" s="4" t="s">
        <v>12062</v>
      </c>
      <c r="B9596" s="4" t="s">
        <v>12066</v>
      </c>
      <c r="C9596" s="5" t="str">
        <f>IFERROR(__xludf.DUMMYFUNCTION("GOOGLETRANSLATE(B9596,""en"",""zh-CN"")"),"女人输了，男人开始踢球并跑到基地。")</f>
        <v>女人输了，男人开始踢球并跑到基地。</v>
      </c>
    </row>
    <row r="9597">
      <c r="A9597" s="4" t="s">
        <v>12067</v>
      </c>
      <c r="B9597" s="4" t="s">
        <v>12068</v>
      </c>
      <c r="C9597" s="5" t="str">
        <f>IFERROR(__xludf.DUMMYFUNCTION("GOOGLETRANSLATE(B9597,""en"",""zh-CN"")"),"一个男人和一个正在修剪草坪的男孩一起走路。")</f>
        <v>一个男人和一个正在修剪草坪的男孩一起走路。</v>
      </c>
    </row>
    <row r="9598">
      <c r="A9598" s="4" t="s">
        <v>12067</v>
      </c>
      <c r="B9598" s="4" t="s">
        <v>12069</v>
      </c>
      <c r="C9598" s="5" t="str">
        <f>IFERROR(__xludf.DUMMYFUNCTION("GOOGLETRANSLATE(B9598,""en"",""zh-CN"")"),"他指示男孩如何转动割草机并绕着一棵树走去。")</f>
        <v>他指示男孩如何转动割草机并绕着一棵树走去。</v>
      </c>
    </row>
    <row r="9599">
      <c r="A9599" s="4" t="s">
        <v>12067</v>
      </c>
      <c r="B9599" s="4" t="s">
        <v>12070</v>
      </c>
      <c r="C9599" s="5" t="str">
        <f>IFERROR(__xludf.DUMMYFUNCTION("GOOGLETRANSLATE(B9599,""en"",""zh-CN"")"),"他继续走路并引导男孩。")</f>
        <v>他继续走路并引导男孩。</v>
      </c>
    </row>
    <row r="9600">
      <c r="A9600" s="4" t="s">
        <v>12071</v>
      </c>
      <c r="B9600" s="4" t="s">
        <v>12072</v>
      </c>
      <c r="C9600" s="5" t="str">
        <f>IFERROR(__xludf.DUMMYFUNCTION("GOOGLETRANSLATE(B9600,""en"",""zh-CN"")"),"一个拿着娃娃的女人从洋娃娃的头发上撤离卷发器。")</f>
        <v>一个拿着娃娃的女人从洋娃娃的头发上撤离卷发器。</v>
      </c>
    </row>
    <row r="9601">
      <c r="A9601" s="4" t="s">
        <v>12071</v>
      </c>
      <c r="B9601" s="4" t="s">
        <v>12073</v>
      </c>
      <c r="C9601" s="5" t="str">
        <f>IFERROR(__xludf.DUMMYFUNCTION("GOOGLETRANSLATE(B9601,""en"",""zh-CN"")"),"女人鞋从洋娃娃的头发上脱落。")</f>
        <v>女人鞋从洋娃娃的头发上脱落。</v>
      </c>
    </row>
    <row r="9602">
      <c r="A9602" s="4" t="s">
        <v>12071</v>
      </c>
      <c r="B9602" s="4" t="s">
        <v>12074</v>
      </c>
      <c r="C9602" s="5" t="str">
        <f>IFERROR(__xludf.DUMMYFUNCTION("GOOGLETRANSLATE(B9602,""en"",""zh-CN"")"),"女人转过身来炫耀洋娃娃头的后部。")</f>
        <v>女人转过身来炫耀洋娃娃头的后部。</v>
      </c>
    </row>
    <row r="9603">
      <c r="A9603" s="4" t="s">
        <v>12071</v>
      </c>
      <c r="B9603" s="4" t="s">
        <v>12075</v>
      </c>
      <c r="C9603" s="5" t="str">
        <f>IFERROR(__xludf.DUMMYFUNCTION("GOOGLETRANSLATE(B9603,""en"",""zh-CN"")"),"女人继续炫耀洋娃娃的头发。")</f>
        <v>女人继续炫耀洋娃娃的头发。</v>
      </c>
    </row>
    <row r="9604">
      <c r="A9604" s="4" t="s">
        <v>12076</v>
      </c>
      <c r="B9604" s="4" t="s">
        <v>12077</v>
      </c>
      <c r="C9604" s="5" t="str">
        <f>IFERROR(__xludf.DUMMYFUNCTION("GOOGLETRANSLATE(B9604,""en"",""zh-CN"")"),"看到一个人的体重放在身上，然后一个女人将酒吧抬起头上。")</f>
        <v>看到一个人的体重放在身上，然后一个女人将酒吧抬起头上。</v>
      </c>
    </row>
    <row r="9605">
      <c r="A9605" s="4" t="s">
        <v>12076</v>
      </c>
      <c r="B9605" s="4" t="s">
        <v>12078</v>
      </c>
      <c r="C9605" s="5" t="str">
        <f>IFERROR(__xludf.DUMMYFUNCTION("GOOGLETRANSLATE(B9605,""en"",""zh-CN"")"),"在她举起大量的头顶之后，看到了另一个人。")</f>
        <v>在她举起大量的头顶之后，看到了另一个人。</v>
      </c>
    </row>
    <row r="9606">
      <c r="A9606" s="4" t="s">
        <v>12076</v>
      </c>
      <c r="B9606" s="6" t="s">
        <v>12079</v>
      </c>
      <c r="C9606" s="5" t="str">
        <f>IFERROR(__xludf.DUMMYFUNCTION("GOOGLETRANSLATE(B9606,""en"",""zh-CN"")"),"看到又有几个人举起沉重的重物，而另一些人则在侧面看。")</f>
        <v>看到又有几个人举起沉重的重物，而另一些人则在侧面看。</v>
      </c>
    </row>
    <row r="9607">
      <c r="A9607" s="4" t="s">
        <v>12080</v>
      </c>
      <c r="B9607" s="4" t="s">
        <v>12081</v>
      </c>
      <c r="C9607" s="5" t="str">
        <f>IFERROR(__xludf.DUMMYFUNCTION("GOOGLETRANSLATE(B9607,""en"",""zh-CN"")"),"看到一个男人在握住海绵和每只手的砂光机时在相机上说话。")</f>
        <v>看到一个男人在握住海绵和每只手的砂光机时在相机上说话。</v>
      </c>
    </row>
    <row r="9608">
      <c r="A9608" s="4" t="s">
        <v>12080</v>
      </c>
      <c r="B9608" s="4" t="s">
        <v>12082</v>
      </c>
      <c r="C9608" s="5" t="str">
        <f>IFERROR(__xludf.DUMMYFUNCTION("GOOGLETRANSLATE(B9608,""en"",""zh-CN"")"),"然后，该男子弄湿了砂光机，并沿着一组滑雪板使用。")</f>
        <v>然后，该男子弄湿了砂光机，并沿着一组滑雪板使用。</v>
      </c>
    </row>
    <row r="9609">
      <c r="A9609" s="4" t="s">
        <v>12080</v>
      </c>
      <c r="B9609" s="4" t="s">
        <v>12083</v>
      </c>
      <c r="C9609" s="5" t="str">
        <f>IFERROR(__xludf.DUMMYFUNCTION("GOOGLETRANSLATE(B9609,""en"",""zh-CN"")"),"他沿着滑雪引导它，停下来与镜头说话并微笑。")</f>
        <v>他沿着滑雪引导它，停下来与镜头说话并微笑。</v>
      </c>
    </row>
    <row r="9610">
      <c r="A9610" s="4" t="s">
        <v>12084</v>
      </c>
      <c r="B9610" s="4" t="s">
        <v>2480</v>
      </c>
      <c r="C9610" s="5" t="str">
        <f>IFERROR(__xludf.DUMMYFUNCTION("GOOGLETRANSLATE(B9610,""en"",""zh-CN"")"),"我们看到两个开放标题屏幕。")</f>
        <v>我们看到两个开放标题屏幕。</v>
      </c>
    </row>
    <row r="9611">
      <c r="A9611" s="4" t="s">
        <v>12084</v>
      </c>
      <c r="B9611" s="4" t="s">
        <v>12085</v>
      </c>
      <c r="C9611" s="5" t="str">
        <f>IFERROR(__xludf.DUMMYFUNCTION("GOOGLETRANSLATE(B9611,""en"",""zh-CN"")"),"一位女士坐在浴缸上，在和狗玩时说话。")</f>
        <v>一位女士坐在浴缸上，在和狗玩时说话。</v>
      </c>
    </row>
    <row r="9612">
      <c r="A9612" s="4" t="s">
        <v>12084</v>
      </c>
      <c r="B9612" s="4" t="s">
        <v>12086</v>
      </c>
      <c r="C9612" s="5" t="str">
        <f>IFERROR(__xludf.DUMMYFUNCTION("GOOGLETRANSLATE(B9612,""en"",""zh-CN"")"),"那位女士把狗放在水中并洗了他。")</f>
        <v>那位女士把狗放在水中并洗了他。</v>
      </c>
    </row>
    <row r="9613">
      <c r="A9613" s="4" t="s">
        <v>12084</v>
      </c>
      <c r="B9613" s="4" t="s">
        <v>12087</v>
      </c>
      <c r="C9613" s="5" t="str">
        <f>IFERROR(__xludf.DUMMYFUNCTION("GOOGLETRANSLATE(B9613,""en"",""zh-CN"")"),"女士增加了更多的肥皂。")</f>
        <v>女士增加了更多的肥皂。</v>
      </c>
    </row>
    <row r="9614">
      <c r="A9614" s="4" t="s">
        <v>12084</v>
      </c>
      <c r="B9614" s="4" t="s">
        <v>12088</v>
      </c>
      <c r="C9614" s="5" t="str">
        <f>IFERROR(__xludf.DUMMYFUNCTION("GOOGLETRANSLATE(B9614,""en"",""zh-CN"")"),"那位女士冲洗狗，用芥末橙毛巾包裹在他身上。")</f>
        <v>那位女士冲洗狗，用芥末橙毛巾包裹在他身上。</v>
      </c>
    </row>
    <row r="9615">
      <c r="A9615" s="4" t="s">
        <v>12084</v>
      </c>
      <c r="B9615" s="4" t="s">
        <v>12089</v>
      </c>
      <c r="C9615" s="5" t="str">
        <f>IFERROR(__xludf.DUMMYFUNCTION("GOOGLETRANSLATE(B9615,""en"",""zh-CN"")"),"当狗坐在她的腿上时，女士坐着说话。")</f>
        <v>当狗坐在她的腿上时，女士坐着说话。</v>
      </c>
    </row>
    <row r="9616">
      <c r="A9616" s="4" t="s">
        <v>12084</v>
      </c>
      <c r="B9616" s="4" t="s">
        <v>12090</v>
      </c>
      <c r="C9616" s="5" t="str">
        <f>IFERROR(__xludf.DUMMYFUNCTION("GOOGLETRANSLATE(B9616,""en"",""zh-CN"")"),"结束信用额度向上滚动屏幕。")</f>
        <v>结束信用额度向上滚动屏幕。</v>
      </c>
    </row>
    <row r="9617">
      <c r="A9617" s="4" t="s">
        <v>12091</v>
      </c>
      <c r="B9617" s="4" t="s">
        <v>12092</v>
      </c>
      <c r="C9617" s="5" t="str">
        <f>IFERROR(__xludf.DUMMYFUNCTION("GOOGLETRANSLATE(B9617,""en"",""zh-CN"")"),"展示了一圈绿草圆圈，周围有一条岩石，砖墙和一些树木。")</f>
        <v>展示了一圈绿草圆圈，周围有一条岩石，砖墙和一些树木。</v>
      </c>
    </row>
    <row r="9618">
      <c r="A9618" s="4" t="s">
        <v>12091</v>
      </c>
      <c r="B9618" s="4" t="s">
        <v>12093</v>
      </c>
      <c r="C9618" s="5" t="str">
        <f>IFERROR(__xludf.DUMMYFUNCTION("GOOGLETRANSLATE(B9618,""en"",""zh-CN"")"),"然后一个人来，开始砍伐其周围的草。")</f>
        <v>然后一个人来，开始砍伐其周围的草。</v>
      </c>
    </row>
    <row r="9619">
      <c r="A9619" s="4" t="s">
        <v>12091</v>
      </c>
      <c r="B9619" s="6" t="s">
        <v>12094</v>
      </c>
      <c r="C9619" s="5" t="str">
        <f>IFERROR(__xludf.DUMMYFUNCTION("GOOGLETRANSLATE(B9619,""en"",""zh-CN"")"),"之后，他拿起割草机，开始垂直越过草地，直到整个东西都完成为止。")</f>
        <v>之后，他拿起割草机，开始垂直越过草地，直到整个东西都完成为止。</v>
      </c>
    </row>
    <row r="9620">
      <c r="A9620" s="4" t="s">
        <v>12095</v>
      </c>
      <c r="B9620" s="4" t="s">
        <v>12096</v>
      </c>
      <c r="C9620" s="5" t="str">
        <f>IFERROR(__xludf.DUMMYFUNCTION("GOOGLETRANSLATE(B9620,""en"",""zh-CN"")"),"两个人正在展示太极拳。")</f>
        <v>两个人正在展示太极拳。</v>
      </c>
    </row>
    <row r="9621">
      <c r="A9621" s="4" t="s">
        <v>12095</v>
      </c>
      <c r="B9621" s="4" t="s">
        <v>12097</v>
      </c>
      <c r="C9621" s="5" t="str">
        <f>IFERROR(__xludf.DUMMYFUNCTION("GOOGLETRANSLATE(B9621,""en"",""zh-CN"")"),"太极学校大楼外面有一个带有五颜六色的花园。")</f>
        <v>太极学校大楼外面有一个带有五颜六色的花园。</v>
      </c>
    </row>
    <row r="9622">
      <c r="A9622" s="4" t="s">
        <v>12095</v>
      </c>
      <c r="B9622" s="4" t="s">
        <v>12098</v>
      </c>
      <c r="C9622" s="5" t="str">
        <f>IFERROR(__xludf.DUMMYFUNCTION("GOOGLETRANSLATE(B9622,""en"",""zh-CN"")"),"穿着蓝色长袍的教练正在显示太极拳中使用的基本动作。")</f>
        <v>穿着蓝色长袍的教练正在显示太极拳中使用的基本动作。</v>
      </c>
    </row>
    <row r="9623">
      <c r="A9623" s="4" t="s">
        <v>12095</v>
      </c>
      <c r="B9623" s="4" t="s">
        <v>12099</v>
      </c>
      <c r="C9623" s="5" t="str">
        <f>IFERROR(__xludf.DUMMYFUNCTION("GOOGLETRANSLATE(B9623,""en"",""zh-CN"")"),"他们从左到右摇摇头。")</f>
        <v>他们从左到右摇摇头。</v>
      </c>
    </row>
    <row r="9624">
      <c r="A9624" s="4" t="s">
        <v>12095</v>
      </c>
      <c r="B9624" s="6" t="s">
        <v>12100</v>
      </c>
      <c r="C9624" s="5" t="str">
        <f>IFERROR(__xludf.DUMMYFUNCTION("GOOGLETRANSLATE(B9624,""en"",""zh-CN"")"),"然后，讲师通过将右臂敲打在伸出的左臂上来表现出手臂的力量。")</f>
        <v>然后，讲师通过将右臂敲打在伸出的左臂上来表现出手臂的力量。</v>
      </c>
    </row>
    <row r="9625">
      <c r="A9625" s="4" t="s">
        <v>12095</v>
      </c>
      <c r="B9625" s="6" t="s">
        <v>12101</v>
      </c>
      <c r="C9625" s="5" t="str">
        <f>IFERROR(__xludf.DUMMYFUNCTION("GOOGLETRANSLATE(B9625,""en"",""zh-CN"")"),"两位讲师表现出缓慢而逐渐的手动运动，彼此面对面。")</f>
        <v>两位讲师表现出缓慢而逐渐的手动运动，彼此面对面。</v>
      </c>
    </row>
    <row r="9626">
      <c r="A9626" s="4" t="s">
        <v>12102</v>
      </c>
      <c r="B9626" s="4" t="s">
        <v>12103</v>
      </c>
      <c r="C9626" s="5" t="str">
        <f>IFERROR(__xludf.DUMMYFUNCTION("GOOGLETRANSLATE(B9626,""en"",""zh-CN"")"),"一个男人正在射击弓箭。")</f>
        <v>一个男人正在射击弓箭。</v>
      </c>
    </row>
    <row r="9627">
      <c r="A9627" s="4" t="s">
        <v>12102</v>
      </c>
      <c r="B9627" s="4" t="s">
        <v>12104</v>
      </c>
      <c r="C9627" s="5" t="str">
        <f>IFERROR(__xludf.DUMMYFUNCTION("GOOGLETRANSLATE(B9627,""en"",""zh-CN"")"),"显示了他们正在拍摄的飞镖板。")</f>
        <v>显示了他们正在拍摄的飞镖板。</v>
      </c>
    </row>
    <row r="9628">
      <c r="A9628" s="4" t="s">
        <v>12102</v>
      </c>
      <c r="B9628" s="4" t="s">
        <v>12105</v>
      </c>
      <c r="C9628" s="5" t="str">
        <f>IFERROR(__xludf.DUMMYFUNCTION("GOOGLETRANSLATE(B9628,""en"",""zh-CN"")"),"人们正在庆祝和鼓掌。")</f>
        <v>人们正在庆祝和鼓掌。</v>
      </c>
    </row>
    <row r="9629">
      <c r="A9629" s="4" t="s">
        <v>12106</v>
      </c>
      <c r="B9629" s="4" t="s">
        <v>12107</v>
      </c>
      <c r="C9629" s="5" t="str">
        <f>IFERROR(__xludf.DUMMYFUNCTION("GOOGLETRANSLATE(B9629,""en"",""zh-CN"")"),"一个男人在水槽里说话并洗碗，然后将其放在柜台上。")</f>
        <v>一个男人在水槽里说话并洗碗，然后将其放在柜台上。</v>
      </c>
    </row>
    <row r="9630">
      <c r="A9630" s="4" t="s">
        <v>12106</v>
      </c>
      <c r="B9630" s="4" t="s">
        <v>12108</v>
      </c>
      <c r="C9630" s="5" t="str">
        <f>IFERROR(__xludf.DUMMYFUNCTION("GOOGLETRANSLATE(B9630,""en"",""zh-CN"")"),"该男子将洗碗皂放在菜肴上，然后用水冲洗时擦洗。")</f>
        <v>该男子将洗碗皂放在菜肴上，然后用水冲洗时擦洗。</v>
      </c>
    </row>
    <row r="9631">
      <c r="A9631" s="4" t="s">
        <v>12106</v>
      </c>
      <c r="B9631" s="4" t="s">
        <v>12109</v>
      </c>
      <c r="C9631" s="5" t="str">
        <f>IFERROR(__xludf.DUMMYFUNCTION("GOOGLETRANSLATE(B9631,""en"",""zh-CN"")"),"然后那个男人伸出纹身的手臂，然后继续洗碗。")</f>
        <v>然后那个男人伸出纹身的手臂，然后继续洗碗。</v>
      </c>
    </row>
    <row r="9632">
      <c r="A9632" s="4" t="s">
        <v>12110</v>
      </c>
      <c r="B9632" s="6" t="s">
        <v>12111</v>
      </c>
      <c r="C9632" s="5" t="str">
        <f>IFERROR(__xludf.DUMMYFUNCTION("GOOGLETRANSLATE(B9632,""en"",""zh-CN"")"),"两头公牛互相碰到，他们撞到头，直到他们互相击倒。")</f>
        <v>两头公牛互相碰到，他们撞到头，直到他们互相击倒。</v>
      </c>
    </row>
    <row r="9633">
      <c r="A9633" s="4" t="s">
        <v>12110</v>
      </c>
      <c r="B9633" s="6" t="s">
        <v>12112</v>
      </c>
      <c r="C9633" s="5" t="str">
        <f>IFERROR(__xludf.DUMMYFUNCTION("GOOGLETRANSLATE(B9633,""en"",""zh-CN"")"),"然后，人们跑到他们身边，有些人握住绳子，而一个人则戴着血腥的头。")</f>
        <v>然后，人们跑到他们身边，有些人握住绳子，而一个人则戴着血腥的头。</v>
      </c>
    </row>
    <row r="9634">
      <c r="A9634" s="4" t="s">
        <v>12113</v>
      </c>
      <c r="B9634" s="4" t="s">
        <v>5444</v>
      </c>
      <c r="C9634" s="5" t="str">
        <f>IFERROR(__xludf.DUMMYFUNCTION("GOOGLETRANSLATE(B9634,""en"",""zh-CN"")"),"两个男人在桌子上摔跤。")</f>
        <v>两个男人在桌子上摔跤。</v>
      </c>
    </row>
    <row r="9635">
      <c r="A9635" s="4" t="s">
        <v>12113</v>
      </c>
      <c r="B9635" s="4" t="s">
        <v>12114</v>
      </c>
      <c r="C9635" s="5" t="str">
        <f>IFERROR(__xludf.DUMMYFUNCTION("GOOGLETRANSLATE(B9635,""en"",""zh-CN"")"),"门打开，另一个男人进来并摔跤。")</f>
        <v>门打开，另一个男人进来并摔跤。</v>
      </c>
    </row>
    <row r="9636">
      <c r="A9636" s="4" t="s">
        <v>12113</v>
      </c>
      <c r="B9636" s="4" t="s">
        <v>12115</v>
      </c>
      <c r="C9636" s="5" t="str">
        <f>IFERROR(__xludf.DUMMYFUNCTION("GOOGLETRANSLATE(B9636,""en"",""zh-CN"")"),"他们开始在房间里战斗。")</f>
        <v>他们开始在房间里战斗。</v>
      </c>
    </row>
    <row r="9637">
      <c r="A9637" s="4" t="s">
        <v>12113</v>
      </c>
      <c r="B9637" s="4" t="s">
        <v>12116</v>
      </c>
      <c r="C9637" s="5" t="str">
        <f>IFERROR(__xludf.DUMMYFUNCTION("GOOGLETRANSLATE(B9637,""en"",""zh-CN"")"),"他们再次在桌子上摔跤。")</f>
        <v>他们再次在桌子上摔跤。</v>
      </c>
    </row>
    <row r="9638">
      <c r="A9638" s="4" t="s">
        <v>12117</v>
      </c>
      <c r="B9638" s="4" t="s">
        <v>12118</v>
      </c>
      <c r="C9638" s="5" t="str">
        <f>IFERROR(__xludf.DUMMYFUNCTION("GOOGLETRANSLATE(B9638,""en"",""zh-CN"")"),"粉红色的女士在舞台上肚皮舞。")</f>
        <v>粉红色的女士在舞台上肚皮舞。</v>
      </c>
    </row>
    <row r="9639">
      <c r="A9639" s="4" t="s">
        <v>12117</v>
      </c>
      <c r="B9639" s="4" t="s">
        <v>12119</v>
      </c>
      <c r="C9639" s="5" t="str">
        <f>IFERROR(__xludf.DUMMYFUNCTION("GOOGLETRANSLATE(B9639,""en"",""zh-CN"")"),"该男子正在弹键盘，而另一个男人则在打鼓。")</f>
        <v>该男子正在弹键盘，而另一个男人则在打鼓。</v>
      </c>
    </row>
    <row r="9640">
      <c r="A9640" s="4" t="s">
        <v>12117</v>
      </c>
      <c r="B9640" s="4" t="s">
        <v>12120</v>
      </c>
      <c r="C9640" s="5" t="str">
        <f>IFERROR(__xludf.DUMMYFUNCTION("GOOGLETRANSLATE(B9640,""en"",""zh-CN"")"),"这位女士转过身，在舞台上旋转，摇动臀部。")</f>
        <v>这位女士转过身，在舞台上旋转，摇动臀部。</v>
      </c>
    </row>
    <row r="9641">
      <c r="A9641" s="4" t="s">
        <v>12121</v>
      </c>
      <c r="B9641" s="4" t="s">
        <v>12122</v>
      </c>
      <c r="C9641" s="5" t="str">
        <f>IFERROR(__xludf.DUMMYFUNCTION("GOOGLETRANSLATE(B9641,""en"",""zh-CN"")"),"我们在书的封面上看到一个跳舞的人，然后在街道上。")</f>
        <v>我们在书的封面上看到一个跳舞的人，然后在街道上。</v>
      </c>
    </row>
    <row r="9642">
      <c r="A9642" s="4" t="s">
        <v>12121</v>
      </c>
      <c r="B9642" s="4" t="s">
        <v>12123</v>
      </c>
      <c r="C9642" s="5" t="str">
        <f>IFERROR(__xludf.DUMMYFUNCTION("GOOGLETRANSLATE(B9642,""en"",""zh-CN"")"),"我们看到那个坐在地板上的男人在和相机说话。")</f>
        <v>我们看到那个坐在地板上的男人在和相机说话。</v>
      </c>
    </row>
    <row r="9643">
      <c r="A9643" s="4" t="s">
        <v>12121</v>
      </c>
      <c r="B9643" s="4" t="s">
        <v>12124</v>
      </c>
      <c r="C9643" s="5" t="str">
        <f>IFERROR(__xludf.DUMMYFUNCTION("GOOGLETRANSLATE(B9643,""en"",""zh-CN"")"),"我们看到那个说明突破舞蹈动作的人。")</f>
        <v>我们看到那个说明突破舞蹈动作的人。</v>
      </c>
    </row>
    <row r="9644">
      <c r="A9644" s="4" t="s">
        <v>12121</v>
      </c>
      <c r="B9644" s="4" t="s">
        <v>12125</v>
      </c>
      <c r="C9644" s="5" t="str">
        <f>IFERROR(__xludf.DUMMYFUNCTION("GOOGLETRANSLATE(B9644,""en"",""zh-CN"")"),"这个男人在说话，坐着静止。")</f>
        <v>这个男人在说话，坐着静止。</v>
      </c>
    </row>
    <row r="9645">
      <c r="A9645" s="4" t="s">
        <v>12121</v>
      </c>
      <c r="B9645" s="4" t="s">
        <v>12126</v>
      </c>
      <c r="C9645" s="5" t="str">
        <f>IFERROR(__xludf.DUMMYFUNCTION("GOOGLETRANSLATE(B9645,""en"",""zh-CN"")"),"我们看到男人很快跳舞。")</f>
        <v>我们看到男人很快跳舞。</v>
      </c>
    </row>
    <row r="9646">
      <c r="A9646" s="4" t="s">
        <v>12121</v>
      </c>
      <c r="B9646" s="4" t="s">
        <v>12127</v>
      </c>
      <c r="C9646" s="5" t="str">
        <f>IFERROR(__xludf.DUMMYFUNCTION("GOOGLETRANSLATE(B9646,""en"",""zh-CN"")"),"我们看到该男子进行腿部扫动。")</f>
        <v>我们看到该男子进行腿部扫动。</v>
      </c>
    </row>
    <row r="9647">
      <c r="A9647" s="4" t="s">
        <v>12121</v>
      </c>
      <c r="B9647" s="4" t="s">
        <v>12128</v>
      </c>
      <c r="C9647" s="5" t="str">
        <f>IFERROR(__xludf.DUMMYFUNCTION("GOOGLETRANSLATE(B9647,""en"",""zh-CN"")"),"我们看到了动画的关闭场景和订阅页面。")</f>
        <v>我们看到了动画的关闭场景和订阅页面。</v>
      </c>
    </row>
    <row r="9648">
      <c r="A9648" s="4" t="s">
        <v>12129</v>
      </c>
      <c r="B9648" s="4" t="s">
        <v>12130</v>
      </c>
      <c r="C9648" s="5" t="str">
        <f>IFERROR(__xludf.DUMMYFUNCTION("GOOGLETRANSLATE(B9648,""en"",""zh-CN"")"),"看到一个男人跪在轮胎旁边，同时拿着各种工具。")</f>
        <v>看到一个男人跪在轮胎旁边，同时拿着各种工具。</v>
      </c>
    </row>
    <row r="9649">
      <c r="A9649" s="4" t="s">
        <v>12129</v>
      </c>
      <c r="B9649" s="4" t="s">
        <v>12131</v>
      </c>
      <c r="C9649" s="5" t="str">
        <f>IFERROR(__xludf.DUMMYFUNCTION("GOOGLETRANSLATE(B9649,""en"",""zh-CN"")"),"然后，该男子脱下轮毂盖，将其放回轮胎上。")</f>
        <v>然后，该男子脱下轮毂盖，将其放回轮胎上。</v>
      </c>
    </row>
    <row r="9650">
      <c r="A9650" s="4" t="s">
        <v>12129</v>
      </c>
      <c r="B9650" s="4" t="s">
        <v>12132</v>
      </c>
      <c r="C9650" s="5" t="str">
        <f>IFERROR(__xludf.DUMMYFUNCTION("GOOGLETRANSLATE(B9650,""en"",""zh-CN"")"),"他转向相机说话。")</f>
        <v>他转向相机说话。</v>
      </c>
    </row>
    <row r="9651">
      <c r="A9651" s="4" t="s">
        <v>12133</v>
      </c>
      <c r="B9651" s="4" t="s">
        <v>12134</v>
      </c>
      <c r="C9651" s="5" t="str">
        <f>IFERROR(__xludf.DUMMYFUNCTION("GOOGLETRANSLATE(B9651,""en"",""zh-CN"")"),"显示了一个白色抹灰工具，上面有棕色的木柄。")</f>
        <v>显示了一个白色抹灰工具，上面有棕色的木柄。</v>
      </c>
    </row>
    <row r="9652">
      <c r="A9652" s="4" t="s">
        <v>12133</v>
      </c>
      <c r="B9652" s="4" t="s">
        <v>12135</v>
      </c>
      <c r="C9652" s="5" t="str">
        <f>IFERROR(__xludf.DUMMYFUNCTION("GOOGLETRANSLATE(B9652,""en"",""zh-CN"")"),"然后，一个人捡起它并开始弯曲它，以显示对象的工作原理。")</f>
        <v>然后，一个人捡起它并开始弯曲它，以显示对象的工作原理。</v>
      </c>
    </row>
    <row r="9653">
      <c r="A9653" s="4" t="s">
        <v>12133</v>
      </c>
      <c r="B9653" s="6" t="s">
        <v>12136</v>
      </c>
      <c r="C9653" s="5" t="str">
        <f>IFERROR(__xludf.DUMMYFUNCTION("GOOGLETRANSLATE(B9653,""en"",""zh-CN"")"),"之后，将物体在墙壁的角落进行，然后将石膏洗在草丛中。")</f>
        <v>之后，将物体在墙壁的角落进行，然后将石膏洗在草丛中。</v>
      </c>
    </row>
    <row r="9654">
      <c r="A9654" s="4" t="s">
        <v>12137</v>
      </c>
      <c r="B9654" s="4" t="s">
        <v>12138</v>
      </c>
      <c r="C9654" s="5" t="str">
        <f>IFERROR(__xludf.DUMMYFUNCTION("GOOGLETRANSLATE(B9654,""en"",""zh-CN"")"),"一个男人参加一个强大的男人比赛，并用斧头砍下木头上的原木。")</f>
        <v>一个男人参加一个强大的男人比赛，并用斧头砍下木头上的原木。</v>
      </c>
    </row>
    <row r="9655">
      <c r="A9655" s="4" t="s">
        <v>12137</v>
      </c>
      <c r="B9655" s="4" t="s">
        <v>12139</v>
      </c>
      <c r="C9655" s="5" t="str">
        <f>IFERROR(__xludf.DUMMYFUNCTION("GOOGLETRANSLATE(B9655,""en"",""zh-CN"")"),"该男子终于将原木拆分为脚下。")</f>
        <v>该男子终于将原木拆分为脚下。</v>
      </c>
    </row>
    <row r="9656">
      <c r="A9656" s="4" t="s">
        <v>12137</v>
      </c>
      <c r="B9656" s="6" t="s">
        <v>12140</v>
      </c>
      <c r="C9656" s="5" t="str">
        <f>IFERROR(__xludf.DUMMYFUNCTION("GOOGLETRANSLATE(B9656,""en"",""zh-CN"")"),"比赛中的第二名男子捡起并反复在轮胎上降低球形重量。")</f>
        <v>比赛中的第二名男子捡起并反复在轮胎上降低球形重量。</v>
      </c>
    </row>
    <row r="9657">
      <c r="A9657" s="4" t="s">
        <v>12137</v>
      </c>
      <c r="B9657" s="4" t="s">
        <v>12141</v>
      </c>
      <c r="C9657" s="5" t="str">
        <f>IFERROR(__xludf.DUMMYFUNCTION("GOOGLETRANSLATE(B9657,""en"",""zh-CN"")"),"一个红色的男人踩在日志上，并由裁判接收斧头。")</f>
        <v>一个红色的男人踩在日志上，并由裁判接收斧头。</v>
      </c>
    </row>
    <row r="9658">
      <c r="A9658" s="4" t="s">
        <v>12142</v>
      </c>
      <c r="B9658" s="4" t="s">
        <v>12143</v>
      </c>
      <c r="C9658" s="5" t="str">
        <f>IFERROR(__xludf.DUMMYFUNCTION("GOOGLETRANSLATE(B9658,""en"",""zh-CN"")"),"一个男人在房子里的房间里说话。")</f>
        <v>一个男人在房子里的房间里说话。</v>
      </c>
    </row>
    <row r="9659">
      <c r="A9659" s="4" t="s">
        <v>12142</v>
      </c>
      <c r="B9659" s="4" t="s">
        <v>12144</v>
      </c>
      <c r="C9659" s="5" t="str">
        <f>IFERROR(__xludf.DUMMYFUNCTION("GOOGLETRANSLATE(B9659,""en"",""zh-CN"")"),"他拿着棍子和小提琴。")</f>
        <v>他拿着棍子和小提琴。</v>
      </c>
    </row>
    <row r="9660">
      <c r="A9660" s="4" t="s">
        <v>12142</v>
      </c>
      <c r="B9660" s="4" t="s">
        <v>12145</v>
      </c>
      <c r="C9660" s="5" t="str">
        <f>IFERROR(__xludf.DUMMYFUNCTION("GOOGLETRANSLATE(B9660,""en"",""zh-CN"")"),"然后，他演示了如何打小提琴。")</f>
        <v>然后，他演示了如何打小提琴。</v>
      </c>
    </row>
    <row r="9661">
      <c r="A9661" s="4" t="s">
        <v>12146</v>
      </c>
      <c r="B9661" s="4" t="s">
        <v>12147</v>
      </c>
      <c r="C9661" s="5" t="str">
        <f>IFERROR(__xludf.DUMMYFUNCTION("GOOGLETRANSLATE(B9661,""en"",""zh-CN"")"),"两名专业骑自行车的人在Peckham BMX俱乐部骑自行车。")</f>
        <v>两名专业骑自行车的人在Peckham BMX俱乐部骑自行车。</v>
      </c>
    </row>
    <row r="9662">
      <c r="A9662" s="4" t="s">
        <v>12146</v>
      </c>
      <c r="B9662" s="4" t="s">
        <v>12148</v>
      </c>
      <c r="C9662" s="5" t="str">
        <f>IFERROR(__xludf.DUMMYFUNCTION("GOOGLETRANSLATE(B9662,""en"",""zh-CN"")"),"骑自行车的人全速驶过遏制表面。")</f>
        <v>骑自行车的人全速驶过遏制表面。</v>
      </c>
    </row>
    <row r="9663">
      <c r="A9663" s="4" t="s">
        <v>12146</v>
      </c>
      <c r="B9663" s="4" t="s">
        <v>12149</v>
      </c>
      <c r="C9663" s="5" t="str">
        <f>IFERROR(__xludf.DUMMYFUNCTION("GOOGLETRANSLATE(B9663,""en"",""zh-CN"")"),"还有其他几个骑自行车的人在另一个弯曲的表面上进行相同的活动。")</f>
        <v>还有其他几个骑自行车的人在另一个弯曲的表面上进行相同的活动。</v>
      </c>
    </row>
    <row r="9664">
      <c r="A9664" s="4" t="s">
        <v>12146</v>
      </c>
      <c r="B9664" s="4" t="s">
        <v>12150</v>
      </c>
      <c r="C9664" s="5" t="str">
        <f>IFERROR(__xludf.DUMMYFUNCTION("GOOGLETRANSLATE(B9664,""en"",""zh-CN"")"),"有五个戴着头盔的骑自行车的人准备开始比赛。")</f>
        <v>有五个戴着头盔的骑自行车的人准备开始比赛。</v>
      </c>
    </row>
    <row r="9665">
      <c r="A9665" s="4" t="s">
        <v>12146</v>
      </c>
      <c r="B9665" s="4" t="s">
        <v>12151</v>
      </c>
      <c r="C9665" s="5" t="str">
        <f>IFERROR(__xludf.DUMMYFUNCTION("GOOGLETRANSLATE(B9665,""en"",""zh-CN"")"),"他们开始在弯曲的道路上高速比赛。")</f>
        <v>他们开始在弯曲的道路上高速比赛。</v>
      </c>
    </row>
    <row r="9666">
      <c r="A9666" s="4" t="s">
        <v>12146</v>
      </c>
      <c r="B9666" s="4" t="s">
        <v>12152</v>
      </c>
      <c r="C9666" s="5" t="str">
        <f>IFERROR(__xludf.DUMMYFUNCTION("GOOGLETRANSLATE(B9666,""en"",""zh-CN"")"),"另外两批赛车手开始了同一场比赛。")</f>
        <v>另外两批赛车手开始了同一场比赛。</v>
      </c>
    </row>
    <row r="9667">
      <c r="A9667" s="4" t="s">
        <v>12146</v>
      </c>
      <c r="B9667" s="4" t="s">
        <v>12153</v>
      </c>
      <c r="C9667" s="5" t="str">
        <f>IFERROR(__xludf.DUMMYFUNCTION("GOOGLETRANSLATE(B9667,""en"",""zh-CN"")"),"一个骑自行车的人以非常高速的方式穿过弯曲的道路。")</f>
        <v>一个骑自行车的人以非常高速的方式穿过弯曲的道路。</v>
      </c>
    </row>
    <row r="9668">
      <c r="A9668" s="4" t="s">
        <v>12154</v>
      </c>
      <c r="B9668" s="4" t="s">
        <v>12155</v>
      </c>
      <c r="C9668" s="5" t="str">
        <f>IFERROR(__xludf.DUMMYFUNCTION("GOOGLETRANSLATE(B9668,""en"",""zh-CN"")"),"一个人表演握着滑雪绳的唤醒板。")</f>
        <v>一个人表演握着滑雪绳的唤醒板。</v>
      </c>
    </row>
    <row r="9669">
      <c r="A9669" s="4" t="s">
        <v>12154</v>
      </c>
      <c r="B9669" s="4" t="s">
        <v>12156</v>
      </c>
      <c r="C9669" s="5" t="str">
        <f>IFERROR(__xludf.DUMMYFUNCTION("GOOGLETRANSLATE(B9669,""en"",""zh-CN"")"),"该男子多次跳动障碍物并降落在水中。")</f>
        <v>该男子多次跳动障碍物并降落在水中。</v>
      </c>
    </row>
    <row r="9670">
      <c r="A9670" s="4" t="s">
        <v>12154</v>
      </c>
      <c r="B9670" s="4" t="s">
        <v>12157</v>
      </c>
      <c r="C9670" s="5" t="str">
        <f>IFERROR(__xludf.DUMMYFUNCTION("GOOGLETRANSLATE(B9670,""en"",""zh-CN"")"),"然后，男人跳了障碍物并旋转。")</f>
        <v>然后，男人跳了障碍物并旋转。</v>
      </c>
    </row>
    <row r="9671">
      <c r="A9671" s="4" t="s">
        <v>12154</v>
      </c>
      <c r="B9671" s="4" t="s">
        <v>12158</v>
      </c>
      <c r="C9671" s="5" t="str">
        <f>IFERROR(__xludf.DUMMYFUNCTION("GOOGLETRANSLATE(B9671,""en"",""zh-CN"")"),"然后，该男子在空中翻转时在坡道上滑动。")</f>
        <v>然后，该男子在空中翻转时在坡道上滑动。</v>
      </c>
    </row>
    <row r="9672">
      <c r="A9672" s="4" t="s">
        <v>12159</v>
      </c>
      <c r="B9672" s="4" t="s">
        <v>12160</v>
      </c>
      <c r="C9672" s="5" t="str">
        <f>IFERROR(__xludf.DUMMYFUNCTION("GOOGLETRANSLATE(B9672,""en"",""zh-CN"")"),"一个男人通过拿着网球球拍时在门口进行动画伸展来锻炼。")</f>
        <v>一个男人通过拿着网球球拍时在门口进行动画伸展来锻炼。</v>
      </c>
    </row>
    <row r="9673">
      <c r="A9673" s="4" t="s">
        <v>12159</v>
      </c>
      <c r="B9673" s="4" t="s">
        <v>12161</v>
      </c>
      <c r="C9673" s="5" t="str">
        <f>IFERROR(__xludf.DUMMYFUNCTION("GOOGLETRANSLATE(B9673,""en"",""zh-CN"")"),"一个女人接近他，两人开始说话。")</f>
        <v>一个女人接近他，两人开始说话。</v>
      </c>
    </row>
    <row r="9674">
      <c r="A9674" s="4" t="s">
        <v>12159</v>
      </c>
      <c r="B9674" s="6" t="s">
        <v>12162</v>
      </c>
      <c r="C9674" s="5" t="str">
        <f>IFERROR(__xludf.DUMMYFUNCTION("GOOGLETRANSLATE(B9674,""en"",""zh-CN"")"),"男人和女人用网球球拍将网球撞到墙上，开始在一个封闭的健身房里打网球。")</f>
        <v>男人和女人用网球球拍将网球撞到墙上，开始在一个封闭的健身房里打网球。</v>
      </c>
    </row>
    <row r="9675">
      <c r="A9675" s="4" t="s">
        <v>12159</v>
      </c>
      <c r="B9675" s="6" t="s">
        <v>12163</v>
      </c>
      <c r="C9675" s="5" t="str">
        <f>IFERROR(__xludf.DUMMYFUNCTION("GOOGLETRANSLATE(B9675,""en"",""zh-CN"")"),"当他玩耍并开始踩踏，大喊大叫，疯狂地打手势并将女人在玩游戏时摔倒时，他变得愤怒。")</f>
        <v>当他玩耍并开始踩踏，大喊大叫，疯狂地打手势并将女人在玩游戏时摔倒时，他变得愤怒。</v>
      </c>
    </row>
    <row r="9676">
      <c r="A9676" s="4" t="s">
        <v>12159</v>
      </c>
      <c r="B9676" s="6" t="s">
        <v>12164</v>
      </c>
      <c r="C9676" s="5" t="str">
        <f>IFERROR(__xludf.DUMMYFUNCTION("GOOGLETRANSLATE(B9676,""en"",""zh-CN"")"),"当游戏结束时，女人离开时，看上去很沮丧，男人开始在门口前狂野地伸展并与另一个人交谈时，看上去很满意。")</f>
        <v>当游戏结束时，女人离开时，看上去很沮丧，男人开始在门口前狂野地伸展并与另一个人交谈时，看上去很满意。</v>
      </c>
    </row>
    <row r="9677">
      <c r="A9677" s="4" t="s">
        <v>12165</v>
      </c>
      <c r="B9677" s="4" t="s">
        <v>12166</v>
      </c>
      <c r="C9677" s="5" t="str">
        <f>IFERROR(__xludf.DUMMYFUNCTION("GOOGLETRANSLATE(B9677,""en"",""zh-CN"")"),"一个女孩站在平衡梁的顶部。")</f>
        <v>一个女孩站在平衡梁的顶部。</v>
      </c>
    </row>
    <row r="9678">
      <c r="A9678" s="4" t="s">
        <v>12165</v>
      </c>
      <c r="B9678" s="4" t="s">
        <v>12167</v>
      </c>
      <c r="C9678" s="5" t="str">
        <f>IFERROR(__xludf.DUMMYFUNCTION("GOOGLETRANSLATE(B9678,""en"",""zh-CN"")"),"她确实在光束上向前翻转。")</f>
        <v>她确实在光束上向前翻转。</v>
      </c>
    </row>
    <row r="9679">
      <c r="A9679" s="4" t="s">
        <v>12165</v>
      </c>
      <c r="B9679" s="4" t="s">
        <v>12168</v>
      </c>
      <c r="C9679" s="5" t="str">
        <f>IFERROR(__xludf.DUMMYFUNCTION("GOOGLETRANSLATE(B9679,""en"",""zh-CN"")"),"她像其他女孩一样看着。")</f>
        <v>她像其他女孩一样看着。</v>
      </c>
    </row>
    <row r="9680">
      <c r="A9680" s="4" t="s">
        <v>12169</v>
      </c>
      <c r="B9680" s="4" t="s">
        <v>12170</v>
      </c>
      <c r="C9680" s="5" t="str">
        <f>IFERROR(__xludf.DUMMYFUNCTION("GOOGLETRANSLATE(B9680,""en"",""zh-CN"")"),"他的前院里有一个小男孩在玩曲棍球。")</f>
        <v>他的前院里有一个小男孩在玩曲棍球。</v>
      </c>
    </row>
    <row r="9681">
      <c r="A9681" s="4" t="s">
        <v>12169</v>
      </c>
      <c r="B9681" s="4" t="s">
        <v>12171</v>
      </c>
      <c r="C9681" s="5" t="str">
        <f>IFERROR(__xludf.DUMMYFUNCTION("GOOGLETRANSLATE(B9681,""en"",""zh-CN"")"),"他拿着一根黄色的曲棍球棒。")</f>
        <v>他拿着一根黄色的曲棍球棒。</v>
      </c>
    </row>
    <row r="9682">
      <c r="A9682" s="4" t="s">
        <v>12169</v>
      </c>
      <c r="B9682" s="4" t="s">
        <v>12172</v>
      </c>
      <c r="C9682" s="5" t="str">
        <f>IFERROR(__xludf.DUMMYFUNCTION("GOOGLETRANSLATE(B9682,""en"",""zh-CN"")"),"当他的母亲欢呼他玩耍时，他很兴奋。")</f>
        <v>当他的母亲欢呼他玩耍时，他很兴奋。</v>
      </c>
    </row>
    <row r="9683">
      <c r="A9683" s="4" t="s">
        <v>12169</v>
      </c>
      <c r="B9683" s="4" t="s">
        <v>12173</v>
      </c>
      <c r="C9683" s="5" t="str">
        <f>IFERROR(__xludf.DUMMYFUNCTION("GOOGLETRANSLATE(B9683,""en"",""zh-CN"")"),"他捡起黄球，将其扔给父亲。")</f>
        <v>他捡起黄球，将其扔给父亲。</v>
      </c>
    </row>
    <row r="9684">
      <c r="A9684" s="4" t="s">
        <v>12169</v>
      </c>
      <c r="B9684" s="4" t="s">
        <v>12174</v>
      </c>
      <c r="C9684" s="5" t="str">
        <f>IFERROR(__xludf.DUMMYFUNCTION("GOOGLETRANSLATE(B9684,""en"",""zh-CN"")"),"当他的父亲把球扔给他时，他用曲棍球棍子抓住了球。")</f>
        <v>当他的父亲把球扔给他时，他用曲棍球棍子抓住了球。</v>
      </c>
    </row>
    <row r="9685">
      <c r="A9685" s="4" t="s">
        <v>12169</v>
      </c>
      <c r="B9685" s="4" t="s">
        <v>12175</v>
      </c>
      <c r="C9685" s="5" t="str">
        <f>IFERROR(__xludf.DUMMYFUNCTION("GOOGLETRANSLATE(B9685,""en"",""zh-CN"")"),"他的母亲感到兴奋，并为他大喊。")</f>
        <v>他的母亲感到兴奋，并为他大喊。</v>
      </c>
    </row>
    <row r="9686">
      <c r="A9686" s="4" t="s">
        <v>12176</v>
      </c>
      <c r="B9686" s="4" t="s">
        <v>12177</v>
      </c>
      <c r="C9686" s="5" t="str">
        <f>IFERROR(__xludf.DUMMYFUNCTION("GOOGLETRANSLATE(B9686,""en"",""zh-CN"")"),"一个女人试图从杂物室中取出咖啡，但不会让人感到不安。")</f>
        <v>一个女人试图从杂物室中取出咖啡，但不会让人感到不安。</v>
      </c>
    </row>
    <row r="9687">
      <c r="A9687" s="4" t="s">
        <v>12176</v>
      </c>
      <c r="B9687" s="4" t="s">
        <v>12178</v>
      </c>
      <c r="C9687" s="5" t="str">
        <f>IFERROR(__xludf.DUMMYFUNCTION("GOOGLETRANSLATE(B9687,""en"",""zh-CN"")"),"她向前倾斜，试图喝一杯时，挥舞着相机的人。")</f>
        <v>她向前倾斜，试图喝一杯时，挥舞着相机的人。</v>
      </c>
    </row>
    <row r="9688">
      <c r="A9688" s="4" t="s">
        <v>12176</v>
      </c>
      <c r="B9688" s="4" t="s">
        <v>12179</v>
      </c>
      <c r="C9688" s="5" t="str">
        <f>IFERROR(__xludf.DUMMYFUNCTION("GOOGLETRANSLATE(B9688,""en"",""zh-CN"")"),"她终于能够取出杯子。")</f>
        <v>她终于能够取出杯子。</v>
      </c>
    </row>
    <row r="9689">
      <c r="A9689" s="4" t="s">
        <v>12180</v>
      </c>
      <c r="B9689" s="4" t="s">
        <v>12181</v>
      </c>
      <c r="C9689" s="5" t="str">
        <f>IFERROR(__xludf.DUMMYFUNCTION("GOOGLETRANSLATE(B9689,""en"",""zh-CN"")"),"看到一个男人抓住冰球，沿着他人面前的冰卷曲。")</f>
        <v>看到一个男人抓住冰球，沿着他人面前的冰卷曲。</v>
      </c>
    </row>
    <row r="9690">
      <c r="A9690" s="4" t="s">
        <v>12180</v>
      </c>
      <c r="B9690" s="4" t="s">
        <v>12182</v>
      </c>
      <c r="C9690" s="5" t="str">
        <f>IFERROR(__xludf.DUMMYFUNCTION("GOOGLETRANSLATE(B9690,""en"",""zh-CN"")"),"人们将冰球推到冰上，互相庆祝。")</f>
        <v>人们将冰球推到冰上，互相庆祝。</v>
      </c>
    </row>
    <row r="9691">
      <c r="A9691" s="4" t="s">
        <v>12180</v>
      </c>
      <c r="B9691" s="4" t="s">
        <v>12183</v>
      </c>
      <c r="C9691" s="5" t="str">
        <f>IFERROR(__xludf.DUMMYFUNCTION("GOOGLETRANSLATE(B9691,""en"",""zh-CN"")"),"场边的人们欢呼雀跃，男人走开了。")</f>
        <v>场边的人们欢呼雀跃，男人走开了。</v>
      </c>
    </row>
    <row r="9692">
      <c r="A9692" s="4" t="s">
        <v>12184</v>
      </c>
      <c r="B9692" s="4" t="s">
        <v>12185</v>
      </c>
      <c r="C9692" s="5" t="str">
        <f>IFERROR(__xludf.DUMMYFUNCTION("GOOGLETRANSLATE(B9692,""en"",""zh-CN"")"),"一群人在整个城市中自由泳跳跃。")</f>
        <v>一群人在整个城市中自由泳跳跃。</v>
      </c>
    </row>
    <row r="9693">
      <c r="A9693" s="4" t="s">
        <v>12184</v>
      </c>
      <c r="B9693" s="4" t="s">
        <v>12186</v>
      </c>
      <c r="C9693" s="5" t="str">
        <f>IFERROR(__xludf.DUMMYFUNCTION("GOOGLETRANSLATE(B9693,""en"",""zh-CN"")"),"这些人一起奔跑。")</f>
        <v>这些人一起奔跑。</v>
      </c>
    </row>
    <row r="9694">
      <c r="A9694" s="4" t="s">
        <v>12184</v>
      </c>
      <c r="B9694" s="4" t="s">
        <v>12187</v>
      </c>
      <c r="C9694" s="5" t="str">
        <f>IFERROR(__xludf.DUMMYFUNCTION("GOOGLETRANSLATE(B9694,""en"",""zh-CN"")"),"每个人在连续线路中进行一组多个跳跃。")</f>
        <v>每个人在连续线路中进行一组多个跳跃。</v>
      </c>
    </row>
    <row r="9695">
      <c r="A9695" s="4" t="s">
        <v>12184</v>
      </c>
      <c r="B9695" s="4" t="s">
        <v>12188</v>
      </c>
      <c r="C9695" s="5" t="str">
        <f>IFERROR(__xludf.DUMMYFUNCTION("GOOGLETRANSLATE(B9695,""en"",""zh-CN"")"),"拍摄被建筑工人员打断。")</f>
        <v>拍摄被建筑工人员打断。</v>
      </c>
    </row>
    <row r="9696">
      <c r="A9696" s="4" t="s">
        <v>12189</v>
      </c>
      <c r="B9696" s="6" t="s">
        <v>12190</v>
      </c>
      <c r="C9696" s="5" t="str">
        <f>IFERROR(__xludf.DUMMYFUNCTION("GOOGLETRANSLATE(B9696,""en"",""zh-CN"")"),"看到一个女人走进框架，向镜头点头，向她倾泻而出，然后进入她的嘴里。")</f>
        <v>看到一个女人走进框架，向镜头点头，向她倾泻而出，然后进入她的嘴里。</v>
      </c>
    </row>
    <row r="9697">
      <c r="A9697" s="4" t="s">
        <v>12189</v>
      </c>
      <c r="B9697" s="4" t="s">
        <v>12191</v>
      </c>
      <c r="C9697" s="5" t="str">
        <f>IFERROR(__xludf.DUMMYFUNCTION("GOOGLETRANSLATE(B9697,""en"",""zh-CN"")"),"她冲洗漱口水，将液体刺入嘴里，然后吐出并微笑。")</f>
        <v>她冲洗漱口水，将液体刺入嘴里，然后吐出并微笑。</v>
      </c>
    </row>
    <row r="9698">
      <c r="A9698" s="4" t="s">
        <v>12192</v>
      </c>
      <c r="B9698" s="4" t="s">
        <v>12193</v>
      </c>
      <c r="C9698" s="5" t="str">
        <f>IFERROR(__xludf.DUMMYFUNCTION("GOOGLETRANSLATE(B9698,""en"",""zh-CN"")"),"一个年轻人站在游泳池的起跑线上。")</f>
        <v>一个年轻人站在游泳池的起跑线上。</v>
      </c>
    </row>
    <row r="9699">
      <c r="A9699" s="4" t="s">
        <v>12192</v>
      </c>
      <c r="B9699" s="4" t="s">
        <v>12194</v>
      </c>
      <c r="C9699" s="5" t="str">
        <f>IFERROR(__xludf.DUMMYFUNCTION("GOOGLETRANSLATE(B9699,""en"",""zh-CN"")"),"然后，年轻人进入水中，游泳到拉的另一侧。")</f>
        <v>然后，年轻人进入水中，游泳到拉的另一侧。</v>
      </c>
    </row>
    <row r="9700">
      <c r="A9700" s="4" t="s">
        <v>12192</v>
      </c>
      <c r="B9700" s="4" t="s">
        <v>12195</v>
      </c>
      <c r="C9700" s="5" t="str">
        <f>IFERROR(__xludf.DUMMYFUNCTION("GOOGLETRANSLATE(B9700,""en"",""zh-CN"")"),"之后，年轻人下车。")</f>
        <v>之后，年轻人下车。</v>
      </c>
    </row>
    <row r="9701">
      <c r="A9701" s="4" t="s">
        <v>12196</v>
      </c>
      <c r="B9701" s="4" t="s">
        <v>12197</v>
      </c>
      <c r="C9701" s="5" t="str">
        <f>IFERROR(__xludf.DUMMYFUNCTION("GOOGLETRANSLATE(B9701,""en"",""zh-CN"")"),"两名男子在外面的淋浴中淋浴。")</f>
        <v>两名男子在外面的淋浴中淋浴。</v>
      </c>
    </row>
    <row r="9702">
      <c r="A9702" s="4" t="s">
        <v>12196</v>
      </c>
      <c r="B9702" s="4" t="s">
        <v>12198</v>
      </c>
      <c r="C9702" s="5" t="str">
        <f>IFERROR(__xludf.DUMMYFUNCTION("GOOGLETRANSLATE(B9702,""en"",""zh-CN"")"),"人们在水中播放水球。")</f>
        <v>人们在水中播放水球。</v>
      </c>
    </row>
    <row r="9703">
      <c r="A9703" s="4" t="s">
        <v>12196</v>
      </c>
      <c r="B9703" s="4" t="s">
        <v>12199</v>
      </c>
      <c r="C9703" s="5" t="str">
        <f>IFERROR(__xludf.DUMMYFUNCTION("GOOGLETRANSLATE(B9703,""en"",""zh-CN"")"),"他们从水里下车，走在游泳池旁边。")</f>
        <v>他们从水里下车，走在游泳池旁边。</v>
      </c>
    </row>
    <row r="9704">
      <c r="A9704" s="4" t="s">
        <v>12200</v>
      </c>
      <c r="B9704" s="4" t="s">
        <v>12201</v>
      </c>
      <c r="C9704" s="5" t="str">
        <f>IFERROR(__xludf.DUMMYFUNCTION("GOOGLETRANSLATE(B9704,""en"",""zh-CN"")"),"一群妇女聚集在室内健身房。")</f>
        <v>一群妇女聚集在室内健身房。</v>
      </c>
    </row>
    <row r="9705">
      <c r="A9705" s="4" t="s">
        <v>12200</v>
      </c>
      <c r="B9705" s="4" t="s">
        <v>12202</v>
      </c>
      <c r="C9705" s="5" t="str">
        <f>IFERROR(__xludf.DUMMYFUNCTION("GOOGLETRANSLATE(B9705,""en"",""zh-CN"")"),"他们是由讲师领导的。")</f>
        <v>他们是由讲师领导的。</v>
      </c>
    </row>
    <row r="9706">
      <c r="A9706" s="4" t="s">
        <v>12200</v>
      </c>
      <c r="B9706" s="4" t="s">
        <v>12203</v>
      </c>
      <c r="C9706" s="5" t="str">
        <f>IFERROR(__xludf.DUMMYFUNCTION("GOOGLETRANSLATE(B9706,""en"",""zh-CN"")"),"他们正在使用草干进行Zumba舞。")</f>
        <v>他们正在使用草干进行Zumba舞。</v>
      </c>
    </row>
    <row r="9707">
      <c r="A9707" s="4" t="s">
        <v>12204</v>
      </c>
      <c r="B9707" s="4" t="s">
        <v>12205</v>
      </c>
      <c r="C9707" s="5" t="str">
        <f>IFERROR(__xludf.DUMMYFUNCTION("GOOGLETRANSLATE(B9707,""en"",""zh-CN"")"),"桌子上有一条刀子和剪裁。")</f>
        <v>桌子上有一条刀子和剪裁。</v>
      </c>
    </row>
    <row r="9708">
      <c r="A9708" s="4" t="s">
        <v>12204</v>
      </c>
      <c r="B9708" s="4" t="s">
        <v>12206</v>
      </c>
      <c r="C9708" s="5" t="str">
        <f>IFERROR(__xludf.DUMMYFUNCTION("GOOGLETRANSLATE(B9708,""en"",""zh-CN"")"),"一个女人正在将南瓜的顶部切掉，然后将种子扔进碗中。")</f>
        <v>一个女人正在将南瓜的顶部切掉，然后将种子扔进碗中。</v>
      </c>
    </row>
    <row r="9709">
      <c r="A9709" s="4" t="s">
        <v>12204</v>
      </c>
      <c r="B9709" s="4" t="s">
        <v>12207</v>
      </c>
      <c r="C9709" s="5" t="str">
        <f>IFERROR(__xludf.DUMMYFUNCTION("GOOGLETRANSLATE(B9709,""en"",""zh-CN"")"),"然后，她开始从南瓜中挖出种子。")</f>
        <v>然后，她开始从南瓜中挖出种子。</v>
      </c>
    </row>
    <row r="9710">
      <c r="A9710" s="4" t="s">
        <v>12204</v>
      </c>
      <c r="B9710" s="4" t="s">
        <v>12208</v>
      </c>
      <c r="C9710" s="5" t="str">
        <f>IFERROR(__xludf.DUMMYFUNCTION("GOOGLETRANSLATE(B9710,""en"",""zh-CN"")"),"她在用刀开始雕刻南瓜的脸之前在外面画了一张脸。")</f>
        <v>她在用刀开始雕刻南瓜的脸之前在外面画了一张脸。</v>
      </c>
    </row>
    <row r="9711">
      <c r="A9711" s="4" t="s">
        <v>12204</v>
      </c>
      <c r="B9711" s="4" t="s">
        <v>12209</v>
      </c>
      <c r="C9711" s="5" t="str">
        <f>IFERROR(__xludf.DUMMYFUNCTION("GOOGLETRANSLATE(B9711,""en"",""zh-CN"")"),"最终，她将顶部放在原位，然后将蜡烛放在里面。")</f>
        <v>最终，她将顶部放在原位，然后将蜡烛放在里面。</v>
      </c>
    </row>
    <row r="9712">
      <c r="A9712" s="4" t="s">
        <v>12210</v>
      </c>
      <c r="B9712" s="4" t="s">
        <v>12211</v>
      </c>
      <c r="C9712" s="5" t="str">
        <f>IFERROR(__xludf.DUMMYFUNCTION("GOOGLETRANSLATE(B9712,""en"",""zh-CN"")"),"米歇尔·奥巴马（Michele Obama）和另一个妇女在阳光明媚的日子里在外面徘徊。")</f>
        <v>米歇尔·奥巴马（Michele Obama）和另一个妇女在阳光明媚的日子里在外面徘徊。</v>
      </c>
    </row>
    <row r="9713">
      <c r="A9713" s="4" t="s">
        <v>12210</v>
      </c>
      <c r="B9713" s="6" t="s">
        <v>12212</v>
      </c>
      <c r="C9713" s="5" t="str">
        <f>IFERROR(__xludf.DUMMYFUNCTION("GOOGLETRANSLATE(B9713,""en"",""zh-CN"")"),"当摄像机放大一个小男孩和另一个女人时，也看到了呼啦圈，而人们在过去的奔跑后面。")</f>
        <v>当摄像机放大一个小男孩和另一个女人时，也看到了呼啦圈，而人们在过去的奔跑后面。</v>
      </c>
    </row>
    <row r="9714">
      <c r="A9714" s="4" t="s">
        <v>12210</v>
      </c>
      <c r="B9714" s="6" t="s">
        <v>12213</v>
      </c>
      <c r="C9714" s="5" t="str">
        <f>IFERROR(__xludf.DUMMYFUNCTION("GOOGLETRANSLATE(B9714,""en"",""zh-CN"")"),"回到米歇尔·奥巴马（Michele Obama）脸上的特写镜头，她看起来好像正在锻炼身体，脸上傻笑着。")</f>
        <v>回到米歇尔·奥巴马（Michele Obama）脸上的特写镜头，她看起来好像正在锻炼身体，脸上傻笑着。</v>
      </c>
    </row>
    <row r="9715">
      <c r="A9715" s="4" t="s">
        <v>12210</v>
      </c>
      <c r="B9715" s="6" t="s">
        <v>12214</v>
      </c>
      <c r="C9715" s="5" t="str">
        <f>IFERROR(__xludf.DUMMYFUNCTION("GOOGLETRANSLATE(B9715,""en"",""zh-CN"")"),"摄像机与呼啦圈的两名女士臀部倾斜，就像在开始时和备份大部分一样，大多数情况下看到了米歇尔的脸。")</f>
        <v>摄像机与呼啦圈的两名女士臀部倾斜，就像在开始时和备份大部分一样，大多数情况下看到了米歇尔的脸。</v>
      </c>
    </row>
    <row r="9716">
      <c r="A9716" s="4" t="s">
        <v>12210</v>
      </c>
      <c r="B9716" s="6" t="s">
        <v>12215</v>
      </c>
      <c r="C9716" s="5" t="str">
        <f>IFERROR(__xludf.DUMMYFUNCTION("GOOGLETRANSLATE(B9716,""en"",""zh-CN"")"),"米歇尔（Michele）现在奔跑并跳入了一个Jumprope，她未能成功地跳入跳绳两次，这两次看起来都很尴尬。")</f>
        <v>米歇尔（Michele）现在奔跑并跳入了一个Jumprope，她未能成功地跳入跳绳两次，这两次看起来都很尴尬。</v>
      </c>
    </row>
    <row r="9717">
      <c r="A9717" s="4" t="s">
        <v>12210</v>
      </c>
      <c r="B9717" s="6" t="s">
        <v>12216</v>
      </c>
      <c r="C9717" s="5" t="str">
        <f>IFERROR(__xludf.DUMMYFUNCTION("GOOGLETRANSLATE(B9717,""en"",""zh-CN"")"),"她第三次准备自己并朝着跳绳跑去，成功地跳了几次，然后再也无法做到了。")</f>
        <v>她第三次准备自己并朝着跳绳跑去，成功地跳了几次，然后再也无法做到了。</v>
      </c>
    </row>
    <row r="9718">
      <c r="A9718" s="4" t="s">
        <v>12210</v>
      </c>
      <c r="B9718" s="4" t="s">
        <v>12217</v>
      </c>
      <c r="C9718" s="5" t="str">
        <f>IFERROR(__xludf.DUMMYFUNCTION("GOOGLETRANSLATE(B9718,""en"",""zh-CN"")"),"现在，米歇尔（Michele）在地面上跑步，而一个年轻人则落后。")</f>
        <v>现在，米歇尔（Michele）在地面上跑步，而一个年轻人则落后。</v>
      </c>
    </row>
    <row r="9719">
      <c r="A9719" s="4" t="s">
        <v>12210</v>
      </c>
      <c r="B9719" s="6" t="s">
        <v>12218</v>
      </c>
      <c r="C9719" s="5" t="str">
        <f>IFERROR(__xludf.DUMMYFUNCTION("GOOGLETRANSLATE(B9719,""en"",""zh-CN"")"),"现在，她正在通过另一个棍棒的障碍来回走动，驶向她停下来的树林。")</f>
        <v>现在，她正在通过另一个棍棒的障碍来回走动，驶向她停下来的树林。</v>
      </c>
    </row>
    <row r="9720">
      <c r="A9720" s="4" t="s">
        <v>12210</v>
      </c>
      <c r="B9720" s="6" t="s">
        <v>12219</v>
      </c>
      <c r="C9720" s="5" t="str">
        <f>IFERROR(__xludf.DUMMYFUNCTION("GOOGLETRANSLATE(B9720,""en"",""zh-CN"")"),"她一直奔向场地，在她到达时向场上的随机人提供了高击球手。")</f>
        <v>她一直奔向场地，在她到达时向场上的随机人提供了高击球手。</v>
      </c>
    </row>
    <row r="9721">
      <c r="A9721" s="4" t="s">
        <v>12220</v>
      </c>
      <c r="B9721" s="6" t="s">
        <v>12221</v>
      </c>
      <c r="C9721" s="5" t="str">
        <f>IFERROR(__xludf.DUMMYFUNCTION("GOOGLETRANSLATE(B9721,""en"",""zh-CN"")"),"看到一个人的手被关闭，以解决一个鲁巴克斯数据库，然后是一个男人在相机上说话。")</f>
        <v>看到一个人的手被关闭，以解决一个鲁巴克斯数据库，然后是一个男人在相机上说话。</v>
      </c>
    </row>
    <row r="9722">
      <c r="A9722" s="4" t="s">
        <v>12220</v>
      </c>
      <c r="B9722" s="4" t="s">
        <v>12222</v>
      </c>
      <c r="C9722" s="5" t="str">
        <f>IFERROR(__xludf.DUMMYFUNCTION("GOOGLETRANSLATE(B9722,""en"",""zh-CN"")"),"然后，该男子解决了一个rubix立方体盲折，而计时器捕获了他的分数。")</f>
        <v>然后，该男子解决了一个rubix立方体盲折，而计时器捕获了他的分数。</v>
      </c>
    </row>
    <row r="9723">
      <c r="A9723" s="4" t="s">
        <v>12220</v>
      </c>
      <c r="B9723" s="4" t="s">
        <v>12223</v>
      </c>
      <c r="C9723" s="5" t="str">
        <f>IFERROR(__xludf.DUMMYFUNCTION("GOOGLETRANSLATE(B9723,""en"",""zh-CN"")"),"他完成了立方体，最后摘下了头饰。")</f>
        <v>他完成了立方体，最后摘下了头饰。</v>
      </c>
    </row>
    <row r="9724">
      <c r="A9724" s="4" t="s">
        <v>12224</v>
      </c>
      <c r="B9724" s="4" t="s">
        <v>12225</v>
      </c>
      <c r="C9724" s="5" t="str">
        <f>IFERROR(__xludf.DUMMYFUNCTION("GOOGLETRANSLATE(B9724,""en"",""zh-CN"")"),"滑雪板在白雪的大田地。")</f>
        <v>滑雪板在白雪的大田地。</v>
      </c>
    </row>
    <row r="9725">
      <c r="A9725" s="4" t="s">
        <v>12224</v>
      </c>
      <c r="B9725" s="4" t="s">
        <v>12226</v>
      </c>
      <c r="C9725" s="5" t="str">
        <f>IFERROR(__xludf.DUMMYFUNCTION("GOOGLETRANSLATE(B9725,""en"",""zh-CN"")"),"山上的一个隔间，在滑雪板上滑下山。")</f>
        <v>山上的一个隔间，在滑雪板上滑下山。</v>
      </c>
    </row>
    <row r="9726">
      <c r="A9726" s="4" t="s">
        <v>12224</v>
      </c>
      <c r="B9726" s="4" t="s">
        <v>12227</v>
      </c>
      <c r="C9726" s="5" t="str">
        <f>IFERROR(__xludf.DUMMYFUNCTION("GOOGLETRANSLATE(B9726,""en"",""zh-CN"")"),"人们在隔间里，在滑雪板上沿着山上移动，并经过停车场。")</f>
        <v>人们在隔间里，在滑雪板上沿着山上移动，并经过停车场。</v>
      </c>
    </row>
    <row r="9727">
      <c r="A9727" s="4" t="s">
        <v>12228</v>
      </c>
      <c r="B9727" s="4" t="s">
        <v>12229</v>
      </c>
      <c r="C9727" s="5" t="str">
        <f>IFERROR(__xludf.DUMMYFUNCTION("GOOGLETRANSLATE(B9727,""en"",""zh-CN"")"),"两个年轻人站在一起拿钱。")</f>
        <v>两个年轻人站在一起拿钱。</v>
      </c>
    </row>
    <row r="9728">
      <c r="A9728" s="4" t="s">
        <v>12228</v>
      </c>
      <c r="B9728" s="4" t="s">
        <v>12230</v>
      </c>
      <c r="C9728" s="5" t="str">
        <f>IFERROR(__xludf.DUMMYFUNCTION("GOOGLETRANSLATE(B9728,""en"",""zh-CN"")"),"年轻人和一个无家可归的人说话，握手。")</f>
        <v>年轻人和一个无家可归的人说话，握手。</v>
      </c>
    </row>
    <row r="9729">
      <c r="A9729" s="4" t="s">
        <v>12228</v>
      </c>
      <c r="B9729" s="4" t="s">
        <v>12231</v>
      </c>
      <c r="C9729" s="5" t="str">
        <f>IFERROR(__xludf.DUMMYFUNCTION("GOOGLETRANSLATE(B9729,""en"",""zh-CN"")"),"这些人与坐在商店外的一个无家可归的青年交谈。")</f>
        <v>这些人与坐在商店外的一个无家可归的青年交谈。</v>
      </c>
    </row>
    <row r="9730">
      <c r="A9730" s="4" t="s">
        <v>12228</v>
      </c>
      <c r="B9730" s="4" t="s">
        <v>12232</v>
      </c>
      <c r="C9730" s="5" t="str">
        <f>IFERROR(__xludf.DUMMYFUNCTION("GOOGLETRANSLATE(B9730,""en"",""zh-CN"")"),"该小组都一起走在一条街上。")</f>
        <v>该小组都一起走在一条街上。</v>
      </c>
    </row>
    <row r="9731">
      <c r="A9731" s="4" t="s">
        <v>12228</v>
      </c>
      <c r="B9731" s="4" t="s">
        <v>12233</v>
      </c>
      <c r="C9731" s="5" t="str">
        <f>IFERROR(__xludf.DUMMYFUNCTION("GOOGLETRANSLATE(B9731,""en"",""zh-CN"")"),"这些人举行了一场站在外部露台上的手臂摔跤比赛。")</f>
        <v>这些人举行了一场站在外部露台上的手臂摔跤比赛。</v>
      </c>
    </row>
    <row r="9732">
      <c r="A9732" s="4" t="s">
        <v>12228</v>
      </c>
      <c r="B9732" s="4" t="s">
        <v>12234</v>
      </c>
      <c r="C9732" s="5" t="str">
        <f>IFERROR(__xludf.DUMMYFUNCTION("GOOGLETRANSLATE(B9732,""en"",""zh-CN"")"),"该男子获胜，两位参赛者都获得了奖金。")</f>
        <v>该男子获胜，两位参赛者都获得了奖金。</v>
      </c>
    </row>
    <row r="9733">
      <c r="A9733" s="4" t="s">
        <v>12235</v>
      </c>
      <c r="B9733" s="4" t="s">
        <v>12236</v>
      </c>
      <c r="C9733" s="5" t="str">
        <f>IFERROR(__xludf.DUMMYFUNCTION("GOOGLETRANSLATE(B9733,""en"",""zh-CN"")"),"舞者的脚显示在教室中，以及背景中发生的芭蕾舞课。")</f>
        <v>舞者的脚显示在教室中，以及背景中发生的芭蕾舞课。</v>
      </c>
    </row>
    <row r="9734">
      <c r="A9734" s="4" t="s">
        <v>12235</v>
      </c>
      <c r="B9734" s="4" t="s">
        <v>12237</v>
      </c>
      <c r="C9734" s="5" t="str">
        <f>IFERROR(__xludf.DUMMYFUNCTION("GOOGLETRANSLATE(B9734,""en"",""zh-CN"")"),"老师指示女孩在学生跟随时如何执行适当的芭蕾舞动作。")</f>
        <v>老师指示女孩在学生跟随时如何执行适当的芭蕾舞动作。</v>
      </c>
    </row>
    <row r="9735">
      <c r="A9735" s="4" t="s">
        <v>12235</v>
      </c>
      <c r="B9735" s="4" t="s">
        <v>12238</v>
      </c>
      <c r="C9735" s="5" t="str">
        <f>IFERROR(__xludf.DUMMYFUNCTION("GOOGLETRANSLATE(B9735,""en"",""zh-CN"")"),"女孩们的手臂处于正确的位置，最终转向一侧。")</f>
        <v>女孩们的手臂处于正确的位置，最终转向一侧。</v>
      </c>
    </row>
    <row r="9736">
      <c r="A9736" s="4" t="s">
        <v>12235</v>
      </c>
      <c r="B9736" s="4" t="s">
        <v>12239</v>
      </c>
      <c r="C9736" s="5" t="str">
        <f>IFERROR(__xludf.DUMMYFUNCTION("GOOGLETRANSLATE(B9736,""en"",""zh-CN"")"),"最终，讲师教女孩伸出腿并采取适当的举动。")</f>
        <v>最终，讲师教女孩伸出腿并采取适当的举动。</v>
      </c>
    </row>
    <row r="9737">
      <c r="A9737" s="4" t="s">
        <v>12240</v>
      </c>
      <c r="B9737" s="4" t="s">
        <v>12241</v>
      </c>
      <c r="C9737" s="5" t="str">
        <f>IFERROR(__xludf.DUMMYFUNCTION("GOOGLETRANSLATE(B9737,""en"",""zh-CN"")"),"两名男子在衬托的表面上战斗。")</f>
        <v>两名男子在衬托的表面上战斗。</v>
      </c>
    </row>
    <row r="9738">
      <c r="A9738" s="4" t="s">
        <v>12240</v>
      </c>
      <c r="B9738" s="4" t="s">
        <v>12242</v>
      </c>
      <c r="C9738" s="5" t="str">
        <f>IFERROR(__xludf.DUMMYFUNCTION("GOOGLETRANSLATE(B9738,""en"",""zh-CN"")"),"他们跳跃并互相踢。")</f>
        <v>他们跳跃并互相踢。</v>
      </c>
    </row>
    <row r="9739">
      <c r="A9739" s="4" t="s">
        <v>12240</v>
      </c>
      <c r="B9739" s="4" t="s">
        <v>12243</v>
      </c>
      <c r="C9739" s="5" t="str">
        <f>IFERROR(__xludf.DUMMYFUNCTION("GOOGLETRANSLATE(B9739,""en"",""zh-CN"")"),"他们在垫子上滚来滚去，直到其中一个钉在另一个。")</f>
        <v>他们在垫子上滚来滚去，直到其中一个钉在另一个。</v>
      </c>
    </row>
    <row r="9740">
      <c r="A9740" s="4" t="s">
        <v>12244</v>
      </c>
      <c r="B9740" s="4" t="s">
        <v>12245</v>
      </c>
      <c r="C9740" s="5" t="str">
        <f>IFERROR(__xludf.DUMMYFUNCTION("GOOGLETRANSLATE(B9740,""en"",""zh-CN"")"),"一个男人在人群面前展示了斗牛。")</f>
        <v>一个男人在人群面前展示了斗牛。</v>
      </c>
    </row>
    <row r="9741">
      <c r="A9741" s="4" t="s">
        <v>12244</v>
      </c>
      <c r="B9741" s="4" t="s">
        <v>12246</v>
      </c>
      <c r="C9741" s="5" t="str">
        <f>IFERROR(__xludf.DUMMYFUNCTION("GOOGLETRANSLATE(B9741,""en"",""zh-CN"")"),"这个人跌倒了，被公牛撞倒了。")</f>
        <v>这个人跌倒了，被公牛撞倒了。</v>
      </c>
    </row>
    <row r="9742">
      <c r="A9742" s="4" t="s">
        <v>12244</v>
      </c>
      <c r="B9742" s="4" t="s">
        <v>12247</v>
      </c>
      <c r="C9742" s="5" t="str">
        <f>IFERROR(__xludf.DUMMYFUNCTION("GOOGLETRANSLATE(B9742,""en"",""zh-CN"")"),"该男子被护送出舞台。")</f>
        <v>该男子被护送出舞台。</v>
      </c>
    </row>
    <row r="9743">
      <c r="A9743" s="4" t="s">
        <v>12244</v>
      </c>
      <c r="B9743" s="4" t="s">
        <v>12248</v>
      </c>
      <c r="C9743" s="5" t="str">
        <f>IFERROR(__xludf.DUMMYFUNCTION("GOOGLETRANSLATE(B9743,""en"",""zh-CN"")"),"该男子跌倒并撞倒了。")</f>
        <v>该男子跌倒并撞倒了。</v>
      </c>
    </row>
    <row r="9744">
      <c r="A9744" s="4" t="s">
        <v>12244</v>
      </c>
      <c r="B9744" s="4" t="s">
        <v>12249</v>
      </c>
      <c r="C9744" s="5" t="str">
        <f>IFERROR(__xludf.DUMMYFUNCTION("GOOGLETRANSLATE(B9744,""en"",""zh-CN"")"),"显示了两个人对事件的反应。")</f>
        <v>显示了两个人对事件的反应。</v>
      </c>
    </row>
    <row r="9745">
      <c r="A9745" s="4" t="s">
        <v>12244</v>
      </c>
      <c r="B9745" s="4" t="s">
        <v>12250</v>
      </c>
      <c r="C9745" s="5" t="str">
        <f>IFERROR(__xludf.DUMMYFUNCTION("GOOGLETRANSLATE(B9745,""en"",""zh-CN"")"),"显示了慢动作视频和男人受伤的静止图像。")</f>
        <v>显示了慢动作视频和男人受伤的静止图像。</v>
      </c>
    </row>
    <row r="9746">
      <c r="A9746" s="4" t="s">
        <v>12244</v>
      </c>
      <c r="B9746" s="4" t="s">
        <v>12251</v>
      </c>
      <c r="C9746" s="5" t="str">
        <f>IFERROR(__xludf.DUMMYFUNCTION("GOOGLETRANSLATE(B9746,""en"",""zh-CN"")"),"视频内容从两个人做出反应开始。")</f>
        <v>视频内容从两个人做出反应开始。</v>
      </c>
    </row>
    <row r="9747">
      <c r="A9747" s="4" t="s">
        <v>12252</v>
      </c>
      <c r="B9747" s="4" t="s">
        <v>12253</v>
      </c>
      <c r="C9747" s="5" t="str">
        <f>IFERROR(__xludf.DUMMYFUNCTION("GOOGLETRANSLATE(B9747,""en"",""zh-CN"")"),"一个女人谈论玩游泳池。")</f>
        <v>一个女人谈论玩游泳池。</v>
      </c>
    </row>
    <row r="9748">
      <c r="A9748" s="4" t="s">
        <v>12252</v>
      </c>
      <c r="B9748" s="4" t="s">
        <v>12254</v>
      </c>
      <c r="C9748" s="5" t="str">
        <f>IFERROR(__xludf.DUMMYFUNCTION("GOOGLETRANSLATE(B9748,""en"",""zh-CN"")"),"她解释了正确的站立方式以及如何在打球时射击球。")</f>
        <v>她解释了正确的站立方式以及如何在打球时射击球。</v>
      </c>
    </row>
    <row r="9749">
      <c r="A9749" s="4" t="s">
        <v>12255</v>
      </c>
      <c r="B9749" s="6" t="s">
        <v>12256</v>
      </c>
      <c r="C9749" s="5" t="str">
        <f>IFERROR(__xludf.DUMMYFUNCTION("GOOGLETRANSLATE(B9749,""en"",""zh-CN"")"),"一个家伙奔跑并跳过一根杆子而不会碰到它，并落在垫子上，就像后台手表中的某些人一样，其他人则在那里做练习。")</f>
        <v>一个家伙奔跑并跳过一根杆子而不会碰到它，并落在垫子上，就像后台手表中的某些人一样，其他人则在那里做练习。</v>
      </c>
    </row>
    <row r="9750">
      <c r="A9750" s="4" t="s">
        <v>12255</v>
      </c>
      <c r="B9750" s="6" t="s">
        <v>12257</v>
      </c>
      <c r="C9750" s="5" t="str">
        <f>IFERROR(__xludf.DUMMYFUNCTION("GOOGLETRANSLATE(B9750,""en"",""zh-CN"")"),"这个家伙似乎正在练习多次跳过杆子，每次一个人都会越来越高的杆子，看看​​他是否可以跳过它，他可以跳过多次。")</f>
        <v>这个家伙似乎正在练习多次跳过杆子，每次一个人都会越来越高的杆子，看看​​他是否可以跳过它，他可以跳过多次。</v>
      </c>
    </row>
    <row r="9751">
      <c r="A9751" s="4" t="s">
        <v>12255</v>
      </c>
      <c r="B9751" s="4" t="s">
        <v>12258</v>
      </c>
      <c r="C9751" s="5" t="str">
        <f>IFERROR(__xludf.DUMMYFUNCTION("GOOGLETRANSLATE(B9751,""en"",""zh-CN"")"),"当他试图抬起它时，一个人跳了起来。")</f>
        <v>当他试图抬起它时，一个人跳了起来。</v>
      </c>
    </row>
    <row r="9752">
      <c r="A9752" s="4" t="s">
        <v>12255</v>
      </c>
      <c r="B9752" s="4" t="s">
        <v>12259</v>
      </c>
      <c r="C9752" s="5" t="str">
        <f>IFERROR(__xludf.DUMMYFUNCTION("GOOGLETRANSLATE(B9752,""en"",""zh-CN"")"),"那个家伙从他的所有跳跃中击倒了六个时间。")</f>
        <v>那个家伙从他的所有跳跃中击倒了六个时间。</v>
      </c>
    </row>
    <row r="9753">
      <c r="A9753" s="4" t="s">
        <v>12260</v>
      </c>
      <c r="B9753" s="4" t="s">
        <v>12261</v>
      </c>
      <c r="C9753" s="5" t="str">
        <f>IFERROR(__xludf.DUMMYFUNCTION("GOOGLETRANSLATE(B9753,""en"",""zh-CN"")"),"球员们在拔河比赛中拉起绳索。")</f>
        <v>球员们在拔河比赛中拉起绳索。</v>
      </c>
    </row>
    <row r="9754">
      <c r="A9754" s="4" t="s">
        <v>12260</v>
      </c>
      <c r="B9754" s="4" t="s">
        <v>12262</v>
      </c>
      <c r="C9754" s="5" t="str">
        <f>IFERROR(__xludf.DUMMYFUNCTION("GOOGLETRANSLATE(B9754,""en"",""zh-CN"")"),"一个男人蹲在地板上升起。")</f>
        <v>一个男人蹲在地板上升起。</v>
      </c>
    </row>
    <row r="9755">
      <c r="A9755" s="4" t="s">
        <v>12260</v>
      </c>
      <c r="B9755" s="4" t="s">
        <v>12263</v>
      </c>
      <c r="C9755" s="5" t="str">
        <f>IFERROR(__xludf.DUMMYFUNCTION("GOOGLETRANSLATE(B9755,""en"",""zh-CN"")"),"伙计们拉起绳子的左侧落在地面上。")</f>
        <v>伙计们拉起绳子的左侧落在地面上。</v>
      </c>
    </row>
    <row r="9756">
      <c r="A9756" s="4" t="s">
        <v>12260</v>
      </c>
      <c r="B9756" s="4" t="s">
        <v>12264</v>
      </c>
      <c r="C9756" s="5" t="str">
        <f>IFERROR(__xludf.DUMMYFUNCTION("GOOGLETRANSLATE(B9756,""en"",""zh-CN"")"),"伙计们放开绳子，下草坪，拥抱庆祝。")</f>
        <v>伙计们放开绳子，下草坪，拥抱庆祝。</v>
      </c>
    </row>
    <row r="9757">
      <c r="A9757" s="4" t="s">
        <v>12265</v>
      </c>
      <c r="B9757" s="4" t="s">
        <v>12266</v>
      </c>
      <c r="C9757" s="5" t="str">
        <f>IFERROR(__xludf.DUMMYFUNCTION("GOOGLETRANSLATE(B9757,""en"",""zh-CN"")"),"有一个女人穿着米色毛衣，演示如何包裹圣诞节礼物。")</f>
        <v>有一个女人穿着米色毛衣，演示如何包裹圣诞节礼物。</v>
      </c>
    </row>
    <row r="9758">
      <c r="A9758" s="4" t="s">
        <v>12265</v>
      </c>
      <c r="B9758" s="4" t="s">
        <v>12267</v>
      </c>
      <c r="C9758" s="5" t="str">
        <f>IFERROR(__xludf.DUMMYFUNCTION("GOOGLETRANSLATE(B9758,""en"",""zh-CN"")"),"她从整齐地切割礼品包装纸以适合盒子的大小开始。")</f>
        <v>她从整齐地切割礼品包装纸以适合盒子的大小开始。</v>
      </c>
    </row>
    <row r="9759">
      <c r="A9759" s="4" t="s">
        <v>12265</v>
      </c>
      <c r="B9759" s="4" t="s">
        <v>12268</v>
      </c>
      <c r="C9759" s="5" t="str">
        <f>IFERROR(__xludf.DUMMYFUNCTION("GOOGLETRANSLATE(B9759,""en"",""zh-CN"")"),"她将纸均匀地折叠起来以盖住整个盒子。")</f>
        <v>她将纸均匀地折叠起来以盖住整个盒子。</v>
      </c>
    </row>
    <row r="9760">
      <c r="A9760" s="4" t="s">
        <v>12265</v>
      </c>
      <c r="B9760" s="4" t="s">
        <v>12269</v>
      </c>
      <c r="C9760" s="5" t="str">
        <f>IFERROR(__xludf.DUMMYFUNCTION("GOOGLETRANSLATE(B9760,""en"",""zh-CN"")"),"然后，她使用苏格兰胶带牢固地密封末端。")</f>
        <v>然后，她使用苏格兰胶带牢固地密封末端。</v>
      </c>
    </row>
    <row r="9761">
      <c r="A9761" s="4" t="s">
        <v>12265</v>
      </c>
      <c r="B9761" s="6" t="s">
        <v>12270</v>
      </c>
      <c r="C9761" s="5" t="str">
        <f>IFERROR(__xludf.DUMMYFUNCTION("GOOGLETRANSLATE(B9761,""en"",""zh-CN"")"),"她拿起一些装饰性缎带和其他装饰物品，在盒子上为礼物增添了特殊的触感。")</f>
        <v>她拿起一些装饰性缎带和其他装饰物品，在盒子上为礼物增添了特殊的触感。</v>
      </c>
    </row>
    <row r="9762">
      <c r="A9762" s="4" t="s">
        <v>12271</v>
      </c>
      <c r="B9762" s="4" t="s">
        <v>12272</v>
      </c>
      <c r="C9762" s="5" t="str">
        <f>IFERROR(__xludf.DUMMYFUNCTION("GOOGLETRANSLATE(B9762,""en"",""zh-CN"")"),"一群年轻人在海洋前的沙滩上打排球。")</f>
        <v>一群年轻人在海洋前的沙滩上打排球。</v>
      </c>
    </row>
    <row r="9763">
      <c r="A9763" s="4" t="s">
        <v>12271</v>
      </c>
      <c r="B9763" s="6" t="s">
        <v>12273</v>
      </c>
      <c r="C9763" s="5" t="str">
        <f>IFERROR(__xludf.DUMMYFUNCTION("GOOGLETRANSLATE(B9763,""en"",""zh-CN"")"),"一群穿着游泳后备箱和比基尼内裤的男子在一个高大的绿色排球网前的沙滩上打排球。")</f>
        <v>一群穿着游泳后备箱和比基尼内裤的男子在一个高大的绿色排球网前的沙滩上打排球。</v>
      </c>
    </row>
    <row r="9764">
      <c r="A9764" s="4" t="s">
        <v>12271</v>
      </c>
      <c r="B9764" s="4" t="s">
        <v>12274</v>
      </c>
      <c r="C9764" s="5" t="str">
        <f>IFERROR(__xludf.DUMMYFUNCTION("GOOGLETRANSLATE(B9764,""en"",""zh-CN"")"),"这些人在使用脚，头和胸部玩耍时竞争激烈，将球移动到周围。")</f>
        <v>这些人在使用脚，头和胸部玩耍时竞争激烈，将球移动到周围。</v>
      </c>
    </row>
    <row r="9765">
      <c r="A9765" s="4" t="s">
        <v>12271</v>
      </c>
      <c r="B9765" s="4" t="s">
        <v>12275</v>
      </c>
      <c r="C9765" s="5" t="str">
        <f>IFERROR(__xludf.DUMMYFUNCTION("GOOGLETRANSLATE(B9765,""en"",""zh-CN"")"),"一个人躺在沙滩上，然后站起来打更多的排球。")</f>
        <v>一个人躺在沙滩上，然后站起来打更多的排球。</v>
      </c>
    </row>
    <row r="9766">
      <c r="A9766" s="4" t="s">
        <v>12276</v>
      </c>
      <c r="B9766" s="4" t="s">
        <v>12277</v>
      </c>
      <c r="C9766" s="5" t="str">
        <f>IFERROR(__xludf.DUMMYFUNCTION("GOOGLETRANSLATE(B9766,""en"",""zh-CN"")"),"有人看到一个男人主持一个新闻节，导致一个站在田野上的球员。")</f>
        <v>有人看到一个男人主持一个新闻节，导致一个站在田野上的球员。</v>
      </c>
    </row>
    <row r="9767">
      <c r="A9767" s="4" t="s">
        <v>12276</v>
      </c>
      <c r="B9767" s="4" t="s">
        <v>12278</v>
      </c>
      <c r="C9767" s="5" t="str">
        <f>IFERROR(__xludf.DUMMYFUNCTION("GOOGLETRANSLATE(B9767,""en"",""zh-CN"")"),"一个人打球，队友欢呼，随后有更多的人在玩游戏。")</f>
        <v>一个人打球，队友欢呼，随后有更多的人在玩游戏。</v>
      </c>
    </row>
    <row r="9768">
      <c r="A9768" s="4" t="s">
        <v>12276</v>
      </c>
      <c r="B9768" s="6" t="s">
        <v>12279</v>
      </c>
      <c r="C9768" s="5" t="str">
        <f>IFERROR(__xludf.DUMMYFUNCTION("GOOGLETRANSLATE(B9768,""en"",""zh-CN"")"),"这项运动继续进行，人们将球扔给他们，队友欢呼雀跃，主持人结束了演讲。")</f>
        <v>这项运动继续进行，人们将球扔给他们，队友欢呼雀跃，主持人结束了演讲。</v>
      </c>
    </row>
    <row r="9769">
      <c r="A9769" s="4" t="s">
        <v>12280</v>
      </c>
      <c r="B9769" s="4" t="s">
        <v>12281</v>
      </c>
      <c r="C9769" s="5" t="str">
        <f>IFERROR(__xludf.DUMMYFUNCTION("GOOGLETRANSLATE(B9769,""en"",""zh-CN"")"),"一个女人在球旁，将其固定在适当的位置。")</f>
        <v>一个女人在球旁，将其固定在适当的位置。</v>
      </c>
    </row>
    <row r="9770">
      <c r="A9770" s="4" t="s">
        <v>12280</v>
      </c>
      <c r="B9770" s="4" t="s">
        <v>12282</v>
      </c>
      <c r="C9770" s="5" t="str">
        <f>IFERROR(__xludf.DUMMYFUNCTION("GOOGLETRANSLATE(B9770,""en"",""zh-CN"")"),"另一个女人出现了，他们将球包裹在包装纸上。")</f>
        <v>另一个女人出现了，他们将球包裹在包装纸上。</v>
      </c>
    </row>
    <row r="9771">
      <c r="A9771" s="4" t="s">
        <v>12280</v>
      </c>
      <c r="B9771" s="4" t="s">
        <v>12283</v>
      </c>
      <c r="C9771" s="5" t="str">
        <f>IFERROR(__xludf.DUMMYFUNCTION("GOOGLETRANSLATE(B9771,""en"",""zh-CN"")"),"他们完成了包裹并录制球。")</f>
        <v>他们完成了包裹并录制球。</v>
      </c>
    </row>
    <row r="9772">
      <c r="A9772" s="4" t="s">
        <v>12280</v>
      </c>
      <c r="B9772" s="4" t="s">
        <v>12284</v>
      </c>
      <c r="C9772" s="5" t="str">
        <f>IFERROR(__xludf.DUMMYFUNCTION("GOOGLETRANSLATE(B9772,""en"",""zh-CN"")"),"他们拿起相机并开始谈论它。")</f>
        <v>他们拿起相机并开始谈论它。</v>
      </c>
    </row>
    <row r="9773">
      <c r="A9773" s="4" t="s">
        <v>12285</v>
      </c>
      <c r="B9773" s="4" t="s">
        <v>12286</v>
      </c>
      <c r="C9773" s="5" t="str">
        <f>IFERROR(__xludf.DUMMYFUNCTION("GOOGLETRANSLATE(B9773,""en"",""zh-CN"")"),"当人们在她周围使用锻炼设备时，看到一个女人在相机上说话。")</f>
        <v>当人们在她周围使用锻炼设备时，看到一个女人在相机上说话。</v>
      </c>
    </row>
    <row r="9774">
      <c r="A9774" s="4" t="s">
        <v>12285</v>
      </c>
      <c r="B9774" s="6" t="s">
        <v>12287</v>
      </c>
      <c r="C9774" s="5" t="str">
        <f>IFERROR(__xludf.DUMMYFUNCTION("GOOGLETRANSLATE(B9774,""en"",""zh-CN"")"),"显示了使用机器以及对摄像机和机器的关闭镜头说话的人的更多镜头。")</f>
        <v>显示了使用机器以及对摄像机和机器的关闭镜头说话的人的更多镜头。</v>
      </c>
    </row>
    <row r="9775">
      <c r="A9775" s="4" t="s">
        <v>12288</v>
      </c>
      <c r="B9775" s="4" t="s">
        <v>12289</v>
      </c>
      <c r="C9775" s="5" t="str">
        <f>IFERROR(__xludf.DUMMYFUNCTION("GOOGLETRANSLATE(B9775,""en"",""zh-CN"")"),"一个建筑人员介绍了视频，并谈论将带状疱疹放在屋顶上。")</f>
        <v>一个建筑人员介绍了视频，并谈论将带状疱疹放在屋顶上。</v>
      </c>
    </row>
    <row r="9776">
      <c r="A9776" s="4" t="s">
        <v>12288</v>
      </c>
      <c r="B9776" s="4" t="s">
        <v>12290</v>
      </c>
      <c r="C9776" s="5" t="str">
        <f>IFERROR(__xludf.DUMMYFUNCTION("GOOGLETRANSLATE(B9776,""en"",""zh-CN"")"),"他将一些带状疱疹放在钉上。")</f>
        <v>他将一些带状疱疹放在钉上。</v>
      </c>
    </row>
    <row r="9777">
      <c r="A9777" s="4" t="s">
        <v>12288</v>
      </c>
      <c r="B9777" s="6" t="s">
        <v>12291</v>
      </c>
      <c r="C9777" s="5" t="str">
        <f>IFERROR(__xludf.DUMMYFUNCTION("GOOGLETRANSLATE(B9777,""en"",""zh-CN"")"),"他用沿着屋顶的角落并建筑物的金属件钉子，以帮助将物品固定在适当的位置。")</f>
        <v>他用沿着屋顶的角落并建筑物的金属件钉子，以帮助将物品固定在适当的位置。</v>
      </c>
    </row>
    <row r="9778">
      <c r="A9778" s="4" t="s">
        <v>12288</v>
      </c>
      <c r="B9778" s="4" t="s">
        <v>12292</v>
      </c>
      <c r="C9778" s="5" t="str">
        <f>IFERROR(__xludf.DUMMYFUNCTION("GOOGLETRANSLATE(B9778,""en"",""zh-CN"")"),"在关闭视频之前，他重复了此过程。")</f>
        <v>在关闭视频之前，他重复了此过程。</v>
      </c>
    </row>
    <row r="9779">
      <c r="A9779" s="4" t="s">
        <v>12293</v>
      </c>
      <c r="B9779" s="4" t="s">
        <v>12294</v>
      </c>
      <c r="C9779" s="5" t="str">
        <f>IFERROR(__xludf.DUMMYFUNCTION("GOOGLETRANSLATE(B9779,""en"",""zh-CN"")"),"当一个人走进框架时，会显示房间的镜头。")</f>
        <v>当一个人走进框架时，会显示房间的镜头。</v>
      </c>
    </row>
    <row r="9780">
      <c r="A9780" s="4" t="s">
        <v>12293</v>
      </c>
      <c r="B9780" s="4" t="s">
        <v>12295</v>
      </c>
      <c r="C9780" s="5" t="str">
        <f>IFERROR(__xludf.DUMMYFUNCTION("GOOGLETRANSLATE(B9780,""en"",""zh-CN"")"),"然后，该男子开始一遍又一遍地跳跃。")</f>
        <v>然后，该男子开始一遍又一遍地跳跃。</v>
      </c>
    </row>
    <row r="9781">
      <c r="A9781" s="4" t="s">
        <v>12293</v>
      </c>
      <c r="B9781" s="4" t="s">
        <v>12296</v>
      </c>
      <c r="C9781" s="5" t="str">
        <f>IFERROR(__xludf.DUMMYFUNCTION("GOOGLETRANSLATE(B9781,""en"",""zh-CN"")"),"他继续跳绳并以走出框架结束。")</f>
        <v>他继续跳绳并以走出框架结束。</v>
      </c>
    </row>
    <row r="9782">
      <c r="A9782" s="4" t="s">
        <v>12297</v>
      </c>
      <c r="B9782" s="6" t="s">
        <v>12298</v>
      </c>
      <c r="C9782" s="5" t="str">
        <f>IFERROR(__xludf.DUMMYFUNCTION("GOOGLETRANSLATE(B9782,""en"",""zh-CN"")"),"看到一个女人在摄像机上说话，该摄像机陷入了骑着皮划艇和骆驼徘徊的人的剪辑。")</f>
        <v>看到一个女人在摄像机上说话，该摄像机陷入了骑着皮划艇和骆驼徘徊的人的剪辑。</v>
      </c>
    </row>
    <row r="9783">
      <c r="A9783" s="4" t="s">
        <v>12297</v>
      </c>
      <c r="B9783" s="4" t="s">
        <v>12299</v>
      </c>
      <c r="C9783" s="5" t="str">
        <f>IFERROR(__xludf.DUMMYFUNCTION("GOOGLETRANSLATE(B9783,""en"",""zh-CN"")"),"显示了更多的剪辑，这些人在皮划艇上骑着水面骑在水中。")</f>
        <v>显示了更多的剪辑，这些人在皮划艇上骑着水面骑在水中。</v>
      </c>
    </row>
    <row r="9784">
      <c r="A9784" s="4" t="s">
        <v>12297</v>
      </c>
      <c r="B9784" s="4" t="s">
        <v>12300</v>
      </c>
      <c r="C9784" s="5" t="str">
        <f>IFERROR(__xludf.DUMMYFUNCTION("GOOGLETRANSLATE(B9784,""en"",""zh-CN"")"),"这个人自己沿着水划船，其他人骑着他附近。")</f>
        <v>这个人自己沿着水划船，其他人骑着他附近。</v>
      </c>
    </row>
    <row r="9785">
      <c r="A9785" s="4" t="s">
        <v>12301</v>
      </c>
      <c r="B9785" s="4" t="s">
        <v>12302</v>
      </c>
      <c r="C9785" s="5" t="str">
        <f>IFERROR(__xludf.DUMMYFUNCTION("GOOGLETRANSLATE(B9785,""en"",""zh-CN"")"),"一个工作人员和客人一起拿着一盘咖啡在桌子上。")</f>
        <v>一个工作人员和客人一起拿着一盘咖啡在桌子上。</v>
      </c>
    </row>
    <row r="9786">
      <c r="A9786" s="4" t="s">
        <v>12301</v>
      </c>
      <c r="B9786" s="4" t="s">
        <v>12303</v>
      </c>
      <c r="C9786" s="5" t="str">
        <f>IFERROR(__xludf.DUMMYFUNCTION("GOOGLETRANSLATE(B9786,""en"",""zh-CN"")"),"另一个人正在用麦克风与一些记者交谈。")</f>
        <v>另一个人正在用麦克风与一些记者交谈。</v>
      </c>
    </row>
    <row r="9787">
      <c r="A9787" s="4" t="s">
        <v>12301</v>
      </c>
      <c r="B9787" s="4" t="s">
        <v>12304</v>
      </c>
      <c r="C9787" s="5" t="str">
        <f>IFERROR(__xludf.DUMMYFUNCTION("GOOGLETRANSLATE(B9787,""en"",""zh-CN"")"),"另一位企业家与记者谈论咖啡业务。")</f>
        <v>另一位企业家与记者谈论咖啡业务。</v>
      </c>
    </row>
    <row r="9788">
      <c r="A9788" s="4" t="s">
        <v>12301</v>
      </c>
      <c r="B9788" s="4" t="s">
        <v>12305</v>
      </c>
      <c r="C9788" s="5" t="str">
        <f>IFERROR(__xludf.DUMMYFUNCTION("GOOGLETRANSLATE(B9788,""en"",""zh-CN"")"),"然后，他们在咖啡店里煮咖啡并四处逛逛。")</f>
        <v>然后，他们在咖啡店里煮咖啡并四处逛逛。</v>
      </c>
    </row>
    <row r="9789">
      <c r="A9789" s="4" t="s">
        <v>12306</v>
      </c>
      <c r="B9789" s="4" t="s">
        <v>12307</v>
      </c>
      <c r="C9789" s="5" t="str">
        <f>IFERROR(__xludf.DUMMYFUNCTION("GOOGLETRANSLATE(B9789,""en"",""zh-CN"")"),"人们正在碰到碰碰车，互相撞到撞车，被迫停下来。")</f>
        <v>人们正在碰到碰碰车，互相撞到撞车，被迫停下来。</v>
      </c>
    </row>
    <row r="9790">
      <c r="A9790" s="4" t="s">
        <v>12306</v>
      </c>
      <c r="B9790" s="6" t="s">
        <v>12308</v>
      </c>
      <c r="C9790" s="5" t="str">
        <f>IFERROR(__xludf.DUMMYFUNCTION("GOOGLETRANSLATE(B9790,""en"",""zh-CN"")"),"这三辆保险杠汽车爆发了，随着它们继续碰到彼此，他们开始向不同的方向行驶。")</f>
        <v>这三辆保险杠汽车爆发了，随着它们继续碰到彼此，他们开始向不同的方向行驶。</v>
      </c>
    </row>
    <row r="9791">
      <c r="A9791" s="4" t="s">
        <v>12306</v>
      </c>
      <c r="B9791" s="4" t="s">
        <v>12309</v>
      </c>
      <c r="C9791" s="5" t="str">
        <f>IFERROR(__xludf.DUMMYFUNCTION("GOOGLETRANSLATE(B9791,""en"",""zh-CN"")"),"有两个碰撞车的女孩撞到墙壁上，短暂的途中很难恢复搬家。")</f>
        <v>有两个碰撞车的女孩撞到墙壁上，短暂的途中很难恢复搬家。</v>
      </c>
    </row>
    <row r="9792">
      <c r="A9792" s="4" t="s">
        <v>12306</v>
      </c>
      <c r="B9792" s="4" t="s">
        <v>12310</v>
      </c>
      <c r="C9792" s="5" t="str">
        <f>IFERROR(__xludf.DUMMYFUNCTION("GOOGLETRANSLATE(B9792,""en"",""zh-CN"")"),"人们一直在驾驶碰碰车，并撞到事物，直到骑行结束为止。")</f>
        <v>人们一直在驾驶碰碰车，并撞到事物，直到骑行结束为止。</v>
      </c>
    </row>
    <row r="9793">
      <c r="A9793" s="4" t="s">
        <v>12311</v>
      </c>
      <c r="B9793" s="6" t="s">
        <v>12312</v>
      </c>
      <c r="C9793" s="5" t="str">
        <f>IFERROR(__xludf.DUMMYFUNCTION("GOOGLETRANSLATE(B9793,""en"",""zh-CN"")"),"有一个男人穿着黑色衬衫和一个绿色的头巾，演示了如何喷涂超细纤维沙发。")</f>
        <v>有一个男人穿着黑色衬衫和一个绿色的头巾，演示了如何喷涂超细纤维沙发。</v>
      </c>
    </row>
    <row r="9794">
      <c r="A9794" s="4" t="s">
        <v>12311</v>
      </c>
      <c r="B9794" s="6" t="s">
        <v>12313</v>
      </c>
      <c r="C9794" s="5" t="str">
        <f>IFERROR(__xludf.DUMMYFUNCTION("GOOGLETRANSLATE(B9794,""en"",""zh-CN"")"),"他正在使用红罐喷漆来演示如何用红色油漆涂奶油色沙发。")</f>
        <v>他正在使用红罐喷漆来演示如何用红色油漆涂奶油色沙发。</v>
      </c>
    </row>
    <row r="9795">
      <c r="A9795" s="4" t="s">
        <v>12311</v>
      </c>
      <c r="B9795" s="4" t="s">
        <v>12314</v>
      </c>
      <c r="C9795" s="5" t="str">
        <f>IFERROR(__xludf.DUMMYFUNCTION("GOOGLETRANSLATE(B9795,""en"",""zh-CN"")"),"他继续向后喷漆，手臂搁在沙发中。")</f>
        <v>他继续向后喷漆，手臂搁在沙发中。</v>
      </c>
    </row>
    <row r="9796">
      <c r="A9796" s="4" t="s">
        <v>12311</v>
      </c>
      <c r="B9796" s="4" t="s">
        <v>12315</v>
      </c>
      <c r="C9796" s="5" t="str">
        <f>IFERROR(__xludf.DUMMYFUNCTION("GOOGLETRANSLATE(B9796,""en"",""zh-CN"")"),"然后，他将一个未上漆的座垫放回沙发上。")</f>
        <v>然后，他将一个未上漆的座垫放回沙发上。</v>
      </c>
    </row>
    <row r="9797">
      <c r="A9797" s="4" t="s">
        <v>12316</v>
      </c>
      <c r="B9797" s="6" t="s">
        <v>12317</v>
      </c>
      <c r="C9797" s="5" t="str">
        <f>IFERROR(__xludf.DUMMYFUNCTION("GOOGLETRANSLATE(B9797,""en"",""zh-CN"")"),"显示了几枪，并在几种环境中向摄像机说话，并显示了一个女修饰的狗。")</f>
        <v>显示了几枪，并在几种环境中向摄像机说话，并显示了一个女修饰的狗。</v>
      </c>
    </row>
    <row r="9798">
      <c r="A9798" s="4" t="s">
        <v>12316</v>
      </c>
      <c r="B9798" s="6" t="s">
        <v>12318</v>
      </c>
      <c r="C9798" s="5" t="str">
        <f>IFERROR(__xludf.DUMMYFUNCTION("GOOGLETRANSLATE(B9798,""en"",""zh-CN"")"),"看到狗被擦洗，指甲剪裁，并被几个人和另一个女人炫耀他们在商店中的衣领擦掉。")</f>
        <v>看到狗被擦洗，指甲剪裁，并被几个人和另一个女人炫耀他们在商店中的衣领擦掉。</v>
      </c>
    </row>
    <row r="9799">
      <c r="A9799" s="4" t="s">
        <v>12316</v>
      </c>
      <c r="B9799" s="4" t="s">
        <v>12319</v>
      </c>
      <c r="C9799" s="5" t="str">
        <f>IFERROR(__xludf.DUMMYFUNCTION("GOOGLETRANSLATE(B9799,""en"",""zh-CN"")"),"显示了更多商店的镜头以及许多正在修饰的狗。")</f>
        <v>显示了更多商店的镜头以及许多正在修饰的狗。</v>
      </c>
    </row>
    <row r="9800">
      <c r="A9800" s="4" t="s">
        <v>12320</v>
      </c>
      <c r="B9800" s="4" t="s">
        <v>12321</v>
      </c>
      <c r="C9800" s="5" t="str">
        <f>IFERROR(__xludf.DUMMYFUNCTION("GOOGLETRANSLATE(B9800,""en"",""zh-CN"")"),"一辆自行车被拉到公园里的停下来。")</f>
        <v>一辆自行车被拉到公园里的停下来。</v>
      </c>
    </row>
    <row r="9801">
      <c r="A9801" s="4" t="s">
        <v>12320</v>
      </c>
      <c r="B9801" s="4" t="s">
        <v>12322</v>
      </c>
      <c r="C9801" s="5" t="str">
        <f>IFERROR(__xludf.DUMMYFUNCTION("GOOGLETRANSLATE(B9801,""en"",""zh-CN"")"),"骑手从越野车上的大门起飞。")</f>
        <v>骑手从越野车上的大门起飞。</v>
      </c>
    </row>
    <row r="9802">
      <c r="A9802" s="4" t="s">
        <v>12320</v>
      </c>
      <c r="B9802" s="4" t="s">
        <v>12323</v>
      </c>
      <c r="C9802" s="5" t="str">
        <f>IFERROR(__xludf.DUMMYFUNCTION("GOOGLETRANSLATE(B9802,""en"",""zh-CN"")"),"他轮流弯曲，沿着山坡弯曲。")</f>
        <v>他轮流弯曲，沿着山坡弯曲。</v>
      </c>
    </row>
    <row r="9803">
      <c r="A9803" s="4" t="s">
        <v>12324</v>
      </c>
      <c r="B9803" s="4" t="s">
        <v>12325</v>
      </c>
      <c r="C9803" s="5" t="str">
        <f>IFERROR(__xludf.DUMMYFUNCTION("GOOGLETRANSLATE(B9803,""en"",""zh-CN"")"),"一个人使用工具代替了他的自行车轮辋上的轮胎。")</f>
        <v>一个人使用工具代替了他的自行车轮辋上的轮胎。</v>
      </c>
    </row>
    <row r="9804">
      <c r="A9804" s="4" t="s">
        <v>12324</v>
      </c>
      <c r="B9804" s="4" t="s">
        <v>12326</v>
      </c>
      <c r="C9804" s="5" t="str">
        <f>IFERROR(__xludf.DUMMYFUNCTION("GOOGLETRANSLATE(B9804,""en"",""zh-CN"")"),"该名男子将自行车轮重新安装到自行车的框架上。")</f>
        <v>该名男子将自行车轮重新安装到自行车的框架上。</v>
      </c>
    </row>
    <row r="9805">
      <c r="A9805" s="4" t="s">
        <v>12324</v>
      </c>
      <c r="B9805" s="4" t="s">
        <v>12327</v>
      </c>
      <c r="C9805" s="5" t="str">
        <f>IFERROR(__xludf.DUMMYFUNCTION("GOOGLETRANSLATE(B9805,""en"",""zh-CN"")"),"随着一天的流逝，太阳下山了。")</f>
        <v>随着一天的流逝，太阳下山了。</v>
      </c>
    </row>
    <row r="9806">
      <c r="A9806" s="4" t="s">
        <v>12324</v>
      </c>
      <c r="B9806" s="4" t="s">
        <v>12328</v>
      </c>
      <c r="C9806" s="5" t="str">
        <f>IFERROR(__xludf.DUMMYFUNCTION("GOOGLETRANSLATE(B9806,""en"",""zh-CN"")"),"该男子站起来，准备出发。")</f>
        <v>该男子站起来，准备出发。</v>
      </c>
    </row>
    <row r="9807">
      <c r="A9807" s="4" t="s">
        <v>12329</v>
      </c>
      <c r="B9807" s="4" t="s">
        <v>12330</v>
      </c>
      <c r="C9807" s="5" t="str">
        <f>IFERROR(__xludf.DUMMYFUNCTION("GOOGLETRANSLATE(B9807,""en"",""zh-CN"")"),"剪刀跪在草丛中的人。")</f>
        <v>剪刀跪在草丛中的人。</v>
      </c>
    </row>
    <row r="9808">
      <c r="A9808" s="4" t="s">
        <v>12329</v>
      </c>
      <c r="B9808" s="4" t="s">
        <v>12331</v>
      </c>
      <c r="C9808" s="5" t="str">
        <f>IFERROR(__xludf.DUMMYFUNCTION("GOOGLETRANSLATE(B9808,""en"",""zh-CN"")"),"我们看到了摄影师的阴影。")</f>
        <v>我们看到了摄影师的阴影。</v>
      </c>
    </row>
    <row r="9809">
      <c r="A9809" s="4" t="s">
        <v>12329</v>
      </c>
      <c r="B9809" s="4" t="s">
        <v>12332</v>
      </c>
      <c r="C9809" s="5" t="str">
        <f>IFERROR(__xludf.DUMMYFUNCTION("GOOGLETRANSLATE(B9809,""en"",""zh-CN"")"),"该人用防儿童剪刀割草。")</f>
        <v>该人用防儿童剪刀割草。</v>
      </c>
    </row>
    <row r="9810">
      <c r="A9810" s="4" t="s">
        <v>12333</v>
      </c>
      <c r="B9810" s="6" t="s">
        <v>12334</v>
      </c>
      <c r="C9810" s="5" t="str">
        <f>IFERROR(__xludf.DUMMYFUNCTION("GOOGLETRANSLATE(B9810,""en"",""zh-CN"")"),"男人吹死叶子，将叶吹制机推到地面上或将机器固定在背面。")</f>
        <v>男人吹死叶子，将叶吹制机推到地面上或将机器固定在背面。</v>
      </c>
    </row>
    <row r="9811">
      <c r="A9811" s="4" t="s">
        <v>12333</v>
      </c>
      <c r="B9811" s="4" t="s">
        <v>12335</v>
      </c>
      <c r="C9811" s="5" t="str">
        <f>IFERROR(__xludf.DUMMYFUNCTION("GOOGLETRANSLATE(B9811,""en"",""zh-CN"")"),"然后，一个人解释了如何在男人继续吹叶的同时操作叶子吹式机器。")</f>
        <v>然后，一个人解释了如何在男人继续吹叶的同时操作叶子吹式机器。</v>
      </c>
    </row>
    <row r="9812">
      <c r="A9812" s="4" t="s">
        <v>12333</v>
      </c>
      <c r="B9812" s="4" t="s">
        <v>12336</v>
      </c>
      <c r="C9812" s="5" t="str">
        <f>IFERROR(__xludf.DUMMYFUNCTION("GOOGLETRANSLATE(B9812,""en"",""zh-CN"")"),"另一个人解释了其他男人真空和吹叶。")</f>
        <v>另一个人解释了其他男人真空和吹叶。</v>
      </c>
    </row>
    <row r="9813">
      <c r="A9813" s="4" t="s">
        <v>12337</v>
      </c>
      <c r="B9813" s="4" t="s">
        <v>12338</v>
      </c>
      <c r="C9813" s="5" t="str">
        <f>IFERROR(__xludf.DUMMYFUNCTION("GOOGLETRANSLATE(B9813,""en"",""zh-CN"")"),"我们看到图像和标题卡。")</f>
        <v>我们看到图像和标题卡。</v>
      </c>
    </row>
    <row r="9814">
      <c r="A9814" s="4" t="s">
        <v>12337</v>
      </c>
      <c r="B9814" s="4" t="s">
        <v>12339</v>
      </c>
      <c r="C9814" s="5" t="str">
        <f>IFERROR(__xludf.DUMMYFUNCTION("GOOGLETRANSLATE(B9814,""en"",""zh-CN"")"),"我们看到一个男人在打篮球。")</f>
        <v>我们看到一个男人在打篮球。</v>
      </c>
    </row>
    <row r="9815">
      <c r="A9815" s="4" t="s">
        <v>12337</v>
      </c>
      <c r="B9815" s="4" t="s">
        <v>12340</v>
      </c>
      <c r="C9815" s="5" t="str">
        <f>IFERROR(__xludf.DUMMYFUNCTION("GOOGLETRANSLATE(B9815,""en"",""zh-CN"")"),"他拍摄的镜头反向看到。")</f>
        <v>他拍摄的镜头反向看到。</v>
      </c>
    </row>
    <row r="9816">
      <c r="A9816" s="4" t="s">
        <v>12337</v>
      </c>
      <c r="B9816" s="4" t="s">
        <v>12341</v>
      </c>
      <c r="C9816" s="5" t="str">
        <f>IFERROR(__xludf.DUMMYFUNCTION("GOOGLETRANSLATE(B9816,""en"",""zh-CN"")"),"我们看到一家少年射击篮球的健身房。")</f>
        <v>我们看到一家少年射击篮球的健身房。</v>
      </c>
    </row>
    <row r="9817">
      <c r="A9817" s="4" t="s">
        <v>12337</v>
      </c>
      <c r="B9817" s="4" t="s">
        <v>12342</v>
      </c>
      <c r="C9817" s="5" t="str">
        <f>IFERROR(__xludf.DUMMYFUNCTION("GOOGLETRANSLATE(B9817,""en"",""zh-CN"")"),"我们在黑色上看到标题卡。")</f>
        <v>我们在黑色上看到标题卡。</v>
      </c>
    </row>
    <row r="9818">
      <c r="A9818" s="4" t="s">
        <v>12337</v>
      </c>
      <c r="B9818" s="4" t="s">
        <v>12343</v>
      </c>
      <c r="C9818" s="5" t="str">
        <f>IFERROR(__xludf.DUMMYFUNCTION("GOOGLETRANSLATE(B9818,""en"",""zh-CN"")"),"一个男人正在健身房拍摄篮球。")</f>
        <v>一个男人正在健身房拍摄篮球。</v>
      </c>
    </row>
    <row r="9819">
      <c r="A9819" s="4" t="s">
        <v>12337</v>
      </c>
      <c r="B9819" s="4" t="s">
        <v>12344</v>
      </c>
      <c r="C9819" s="5" t="str">
        <f>IFERROR(__xludf.DUMMYFUNCTION("GOOGLETRANSLATE(B9819,""en"",""zh-CN"")"),"我们看到一个男人两次扣球。")</f>
        <v>我们看到一个男人两次扣球。</v>
      </c>
    </row>
    <row r="9820">
      <c r="A9820" s="4" t="s">
        <v>12337</v>
      </c>
      <c r="B9820" s="4" t="s">
        <v>12345</v>
      </c>
      <c r="C9820" s="5" t="str">
        <f>IFERROR(__xludf.DUMMYFUNCTION("GOOGLETRANSLATE(B9820,""en"",""zh-CN"")"),"我们在黑色上看到了结局标题卡。")</f>
        <v>我们在黑色上看到了结局标题卡。</v>
      </c>
    </row>
    <row r="9821">
      <c r="A9821" s="4" t="s">
        <v>12346</v>
      </c>
      <c r="B9821" s="4" t="s">
        <v>12347</v>
      </c>
      <c r="C9821" s="5" t="str">
        <f>IFERROR(__xludf.DUMMYFUNCTION("GOOGLETRANSLATE(B9821,""en"",""zh-CN"")"),"看到两个人沿着一条狗骑着道路。")</f>
        <v>看到两个人沿着一条狗骑着道路。</v>
      </c>
    </row>
    <row r="9822">
      <c r="A9822" s="4" t="s">
        <v>12346</v>
      </c>
      <c r="B9822" s="4" t="s">
        <v>12348</v>
      </c>
      <c r="C9822" s="5" t="str">
        <f>IFERROR(__xludf.DUMMYFUNCTION("GOOGLETRANSLATE(B9822,""en"",""zh-CN"")"),"一个人正在骑自行车，另一个人骑着滑板，而相机紧随其后。")</f>
        <v>一个人正在骑自行车，另一个人骑着滑板，而相机紧随其后。</v>
      </c>
    </row>
    <row r="9823">
      <c r="A9823" s="4" t="s">
        <v>12346</v>
      </c>
      <c r="B9823" s="4" t="s">
        <v>12349</v>
      </c>
      <c r="C9823" s="5" t="str">
        <f>IFERROR(__xludf.DUMMYFUNCTION("GOOGLETRANSLATE(B9823,""en"",""zh-CN"")"),"其他几只狗经过，人们继续沿着道路骑行。")</f>
        <v>其他几只狗经过，人们继续沿着道路骑行。</v>
      </c>
    </row>
    <row r="9824">
      <c r="A9824" s="4" t="s">
        <v>12350</v>
      </c>
      <c r="B9824" s="4" t="s">
        <v>12351</v>
      </c>
      <c r="C9824" s="5" t="str">
        <f>IFERROR(__xludf.DUMMYFUNCTION("GOOGLETRANSLATE(B9824,""en"",""zh-CN"")"),"男人用冰淇淋拿着一根杆子，然后给一个小孩。")</f>
        <v>男人用冰淇淋拿着一根杆子，然后给一个小孩。</v>
      </c>
    </row>
    <row r="9825">
      <c r="A9825" s="4" t="s">
        <v>12350</v>
      </c>
      <c r="B9825" s="4" t="s">
        <v>12352</v>
      </c>
      <c r="C9825" s="5" t="str">
        <f>IFERROR(__xludf.DUMMYFUNCTION("GOOGLETRANSLATE(B9825,""en"",""zh-CN"")"),"人们正站在游乐园里的男孩身后。")</f>
        <v>人们正站在游乐园里的男孩身后。</v>
      </c>
    </row>
    <row r="9826">
      <c r="A9826" s="4" t="s">
        <v>12353</v>
      </c>
      <c r="B9826" s="6" t="s">
        <v>12354</v>
      </c>
      <c r="C9826" s="5" t="str">
        <f>IFERROR(__xludf.DUMMYFUNCTION("GOOGLETRANSLATE(B9826,""en"",""zh-CN"")"),"一个人在粗糙的海水中冲浪，骑着大浪，高海浪，而骑车船上的旁观者则观看和评论。")</f>
        <v>一个人在粗糙的海水中冲浪，骑着大浪，高海浪，而骑车船上的旁观者则观看和评论。</v>
      </c>
    </row>
    <row r="9827">
      <c r="A9827" s="4" t="s">
        <v>12353</v>
      </c>
      <c r="B9827" s="6" t="s">
        <v>12355</v>
      </c>
      <c r="C9827" s="5" t="str">
        <f>IFERROR(__xludf.DUMMYFUNCTION("GOOGLETRANSLATE(B9827,""en"",""zh-CN"")"),"这名男子穿着潜水衣，正站在黄色冲浪板上，首先在平静的波浪上，然后在一系列大和高海浪上站立红色冲浪板。")</f>
        <v>这名男子穿着潜水衣，正站在黄色冲浪板上，首先在平静的波浪上，然后在一系列大和高海浪上站立红色冲浪板。</v>
      </c>
    </row>
    <row r="9828">
      <c r="A9828" s="4" t="s">
        <v>12353</v>
      </c>
      <c r="B9828" s="6" t="s">
        <v>12356</v>
      </c>
      <c r="C9828" s="5" t="str">
        <f>IFERROR(__xludf.DUMMYFUNCTION("GOOGLETRANSLATE(B9828,""en"",""zh-CN"")"),"该名男子在冲浪板上骑着粗暴的波浪，时间覆盖了他的整个身体和冲浪板。")</f>
        <v>该名男子在冲浪板上骑着粗暴的波浪，时间覆盖了他的整个身体和冲浪板。</v>
      </c>
    </row>
    <row r="9829">
      <c r="A9829" s="4" t="s">
        <v>12353</v>
      </c>
      <c r="B9829" s="6" t="s">
        <v>12357</v>
      </c>
      <c r="C9829" s="5" t="str">
        <f>IFERROR(__xludf.DUMMYFUNCTION("GOOGLETRANSLATE(B9829,""en"",""zh-CN"")"),"该男子在完成粗糙的冲浪事件后，拥抱并握手，并骑着最后一个孤独，高潮，然后逐渐消失。")</f>
        <v>该男子在完成粗糙的冲浪事件后，拥抱并握手，并骑着最后一个孤独，高潮，然后逐渐消失。</v>
      </c>
    </row>
    <row r="9830">
      <c r="A9830" s="4" t="s">
        <v>12358</v>
      </c>
      <c r="B9830" s="6" t="s">
        <v>12359</v>
      </c>
      <c r="C9830" s="5" t="str">
        <f>IFERROR(__xludf.DUMMYFUNCTION("GOOGLETRANSLATE(B9830,""en"",""zh-CN"")"),"一个男人在一个充满观众的室外体育场前进行水壶掷。")</f>
        <v>一个男人在一个充满观众的室外体育场前进行水壶掷。</v>
      </c>
    </row>
    <row r="9831">
      <c r="A9831" s="4" t="s">
        <v>12358</v>
      </c>
      <c r="B9831" s="4" t="s">
        <v>12360</v>
      </c>
      <c r="C9831" s="5" t="str">
        <f>IFERROR(__xludf.DUMMYFUNCTION("GOOGLETRANSLATE(B9831,""en"",""zh-CN"")"),"一个田野上的圆形泥土区域上的一个人在站立的同时摇摆一个周围和周围的球。")</f>
        <v>一个田野上的圆形泥土区域上的一个人在站立的同时摇摆一个周围和周围的球。</v>
      </c>
    </row>
    <row r="9832">
      <c r="A9832" s="4" t="s">
        <v>12358</v>
      </c>
      <c r="B9832" s="4" t="s">
        <v>12361</v>
      </c>
      <c r="C9832" s="5" t="str">
        <f>IFERROR(__xludf.DUMMYFUNCTION("GOOGLETRANSLATE(B9832,""en"",""zh-CN"")"),"那个男人放开球，在他前面的空中飞行。")</f>
        <v>那个男人放开球，在他前面的空中飞行。</v>
      </c>
    </row>
    <row r="9833">
      <c r="A9833" s="4" t="s">
        <v>12358</v>
      </c>
      <c r="B9833" s="4" t="s">
        <v>12362</v>
      </c>
      <c r="C9833" s="5" t="str">
        <f>IFERROR(__xludf.DUMMYFUNCTION("GOOGLETRANSLATE(B9833,""en"",""zh-CN"")"),"当他看着球在空中飞翔时，该男子停下脚步并弯腰。")</f>
        <v>当他看着球在空中飞翔时，该男子停下脚步并弯腰。</v>
      </c>
    </row>
    <row r="9834">
      <c r="A9834" s="4" t="s">
        <v>12363</v>
      </c>
      <c r="B9834" s="4" t="s">
        <v>12364</v>
      </c>
      <c r="C9834" s="5" t="str">
        <f>IFERROR(__xludf.DUMMYFUNCTION("GOOGLETRANSLATE(B9834,""en"",""zh-CN"")"),"一个男人指导骆驼，孩子沿着海滩海岸线骑在后面。")</f>
        <v>一个男人指导骆驼，孩子沿着海滩海岸线骑在后面。</v>
      </c>
    </row>
    <row r="9835">
      <c r="A9835" s="4" t="s">
        <v>12363</v>
      </c>
      <c r="B9835" s="4" t="s">
        <v>12365</v>
      </c>
      <c r="C9835" s="5" t="str">
        <f>IFERROR(__xludf.DUMMYFUNCTION("GOOGLETRANSLATE(B9835,""en"",""zh-CN"")"),"海滩狂欢者站在泳衣上沿着海岸线散步。")</f>
        <v>海滩狂欢者站在泳衣上沿着海岸线散步。</v>
      </c>
    </row>
    <row r="9836">
      <c r="A9836" s="4" t="s">
        <v>12366</v>
      </c>
      <c r="B9836" s="4" t="s">
        <v>12367</v>
      </c>
      <c r="C9836" s="5" t="str">
        <f>IFERROR(__xludf.DUMMYFUNCTION("GOOGLETRANSLATE(B9836,""en"",""zh-CN"")"),"一个青少年解释了如何用脚翻转和转动冲浪板。")</f>
        <v>一个青少年解释了如何用脚翻转和转动冲浪板。</v>
      </c>
    </row>
    <row r="9837">
      <c r="A9837" s="4" t="s">
        <v>12366</v>
      </c>
      <c r="B9837" s="4" t="s">
        <v>12368</v>
      </c>
      <c r="C9837" s="5" t="str">
        <f>IFERROR(__xludf.DUMMYFUNCTION("GOOGLETRANSLATE(B9837,""en"",""zh-CN"")"),"然后，这名青少年展示了如何上升冲浪板的尖端。")</f>
        <v>然后，这名青少年展示了如何上升冲浪板的尖端。</v>
      </c>
    </row>
    <row r="9838">
      <c r="A9838" s="4" t="s">
        <v>12366</v>
      </c>
      <c r="B9838" s="4" t="s">
        <v>12369</v>
      </c>
      <c r="C9838" s="5" t="str">
        <f>IFERROR(__xludf.DUMMYFUNCTION("GOOGLETRANSLATE(B9838,""en"",""zh-CN"")"),"然后，这名青少年站在冲浪板上，演示了如何将其转向侧面。")</f>
        <v>然后，这名青少年站在冲浪板上，演示了如何将其转向侧面。</v>
      </c>
    </row>
    <row r="9839">
      <c r="A9839" s="4" t="s">
        <v>12366</v>
      </c>
      <c r="B9839" s="4" t="s">
        <v>12370</v>
      </c>
      <c r="C9839" s="5" t="str">
        <f>IFERROR(__xludf.DUMMYFUNCTION("GOOGLETRANSLATE(B9839,""en"",""zh-CN"")"),"之后，这名少年把手放在冲浪板上，展示了转弯。")</f>
        <v>之后，这名少年把手放在冲浪板上，展示了转弯。</v>
      </c>
    </row>
    <row r="9840">
      <c r="A9840" s="4" t="s">
        <v>12366</v>
      </c>
      <c r="B9840" s="4" t="s">
        <v>12371</v>
      </c>
      <c r="C9840" s="5" t="str">
        <f>IFERROR(__xludf.DUMMYFUNCTION("GOOGLETRANSLATE(B9840,""en"",""zh-CN"")"),"接下来，这名少年轮到他的脚转弯。")</f>
        <v>接下来，这名少年轮到他的脚转弯。</v>
      </c>
    </row>
    <row r="9841">
      <c r="A9841" s="4" t="s">
        <v>12372</v>
      </c>
      <c r="B9841" s="4" t="s">
        <v>12373</v>
      </c>
      <c r="C9841" s="5" t="str">
        <f>IFERROR(__xludf.DUMMYFUNCTION("GOOGLETRANSLATE(B9841,""en"",""zh-CN"")"),"人们正在划船。")</f>
        <v>人们正在划船。</v>
      </c>
    </row>
    <row r="9842">
      <c r="A9842" s="4" t="s">
        <v>12372</v>
      </c>
      <c r="B9842" s="4" t="s">
        <v>12374</v>
      </c>
      <c r="C9842" s="5" t="str">
        <f>IFERROR(__xludf.DUMMYFUNCTION("GOOGLETRANSLATE(B9842,""en"",""zh-CN"")"),"一个家伙用水从水体中冲洗脸。")</f>
        <v>一个家伙用水从水体中冲洗脸。</v>
      </c>
    </row>
    <row r="9843">
      <c r="A9843" s="4" t="s">
        <v>12372</v>
      </c>
      <c r="B9843" s="4" t="s">
        <v>12375</v>
      </c>
      <c r="C9843" s="5" t="str">
        <f>IFERROR(__xludf.DUMMYFUNCTION("GOOGLETRANSLATE(B9843,""en"",""zh-CN"")"),"那家伙用水手指穿过这头发。")</f>
        <v>那家伙用水手指穿过这头发。</v>
      </c>
    </row>
    <row r="9844">
      <c r="A9844" s="4" t="s">
        <v>12372</v>
      </c>
      <c r="B9844" s="4" t="s">
        <v>12376</v>
      </c>
      <c r="C9844" s="5" t="str">
        <f>IFERROR(__xludf.DUMMYFUNCTION("GOOGLETRANSLATE(B9844,""en"",""zh-CN"")"),"一个有胡须的男人俯身，挥舞着他的手，鞭打脸。")</f>
        <v>一个有胡须的男人俯身，挥舞着他的手，鞭打脸。</v>
      </c>
    </row>
    <row r="9845">
      <c r="A9845" s="4" t="s">
        <v>12377</v>
      </c>
      <c r="B9845" s="4" t="s">
        <v>12378</v>
      </c>
      <c r="C9845" s="5" t="str">
        <f>IFERROR(__xludf.DUMMYFUNCTION("GOOGLETRANSLATE(B9845,""en"",""zh-CN"")"),"一个家伙站在法庭上，拿着一根五颜六色的棍子，触摸了皮纳塔。")</f>
        <v>一个家伙站在法庭上，拿着一根五颜六色的棍子，触摸了皮纳塔。</v>
      </c>
    </row>
    <row r="9846">
      <c r="A9846" s="4" t="s">
        <v>12377</v>
      </c>
      <c r="B9846" s="4" t="s">
        <v>12379</v>
      </c>
      <c r="C9846" s="5" t="str">
        <f>IFERROR(__xludf.DUMMYFUNCTION("GOOGLETRANSLATE(B9846,""en"",""zh-CN"")"),"一个家伙在皮纳塔（Pinata）摇摆一根棍子。")</f>
        <v>一个家伙在皮纳塔（Pinata）摇摆一根棍子。</v>
      </c>
    </row>
    <row r="9847">
      <c r="A9847" s="4" t="s">
        <v>12377</v>
      </c>
      <c r="B9847" s="4" t="s">
        <v>12380</v>
      </c>
      <c r="C9847" s="5" t="str">
        <f>IFERROR(__xludf.DUMMYFUNCTION("GOOGLETRANSLATE(B9847,""en"",""zh-CN"")"),"那家伙停下来，把棍子放在他之外。")</f>
        <v>那家伙停下来，把棍子放在他之外。</v>
      </c>
    </row>
    <row r="9848">
      <c r="A9848" s="4" t="s">
        <v>12381</v>
      </c>
      <c r="B9848" s="4" t="s">
        <v>12382</v>
      </c>
      <c r="C9848" s="5" t="str">
        <f>IFERROR(__xludf.DUMMYFUNCTION("GOOGLETRANSLATE(B9848,""en"",""zh-CN"")"),"一个男人坐在一个小画布前。")</f>
        <v>一个男人坐在一个小画布前。</v>
      </c>
    </row>
    <row r="9849">
      <c r="A9849" s="4" t="s">
        <v>12381</v>
      </c>
      <c r="B9849" s="4" t="s">
        <v>12383</v>
      </c>
      <c r="C9849" s="5" t="str">
        <f>IFERROR(__xludf.DUMMYFUNCTION("GOOGLETRANSLATE(B9849,""en"",""zh-CN"")"),"他使用长尖的刷子创建图像。")</f>
        <v>他使用长尖的刷子创建图像。</v>
      </c>
    </row>
    <row r="9850">
      <c r="A9850" s="4" t="s">
        <v>12381</v>
      </c>
      <c r="B9850" s="4" t="s">
        <v>12384</v>
      </c>
      <c r="C9850" s="5" t="str">
        <f>IFERROR(__xludf.DUMMYFUNCTION("GOOGLETRANSLATE(B9850,""en"",""zh-CN"")"),"然后，他用油漆填充图像。")</f>
        <v>然后，他用油漆填充图像。</v>
      </c>
    </row>
    <row r="9851">
      <c r="A9851" s="4" t="s">
        <v>12385</v>
      </c>
      <c r="B9851" s="4" t="s">
        <v>12386</v>
      </c>
      <c r="C9851" s="5" t="str">
        <f>IFERROR(__xludf.DUMMYFUNCTION("GOOGLETRANSLATE(B9851,""en"",""zh-CN"")"),"一个男人将咖啡倒入杯子里。")</f>
        <v>一个男人将咖啡倒入杯子里。</v>
      </c>
    </row>
    <row r="9852">
      <c r="A9852" s="4" t="s">
        <v>12385</v>
      </c>
      <c r="B9852" s="4" t="s">
        <v>12387</v>
      </c>
      <c r="C9852" s="5" t="str">
        <f>IFERROR(__xludf.DUMMYFUNCTION("GOOGLETRANSLATE(B9852,""en"",""zh-CN"")"),"该男子用水罐抓住打开啤酒瓶。")</f>
        <v>该男子用水罐抓住打开啤酒瓶。</v>
      </c>
    </row>
    <row r="9853">
      <c r="A9853" s="4" t="s">
        <v>12385</v>
      </c>
      <c r="B9853" s="4" t="s">
        <v>12388</v>
      </c>
      <c r="C9853" s="5" t="str">
        <f>IFERROR(__xludf.DUMMYFUNCTION("GOOGLETRANSLATE(B9853,""en"",""zh-CN"")"),"该男子将啤酒倒入杯子里。")</f>
        <v>该男子将啤酒倒入杯子里。</v>
      </c>
    </row>
    <row r="9854">
      <c r="A9854" s="4" t="s">
        <v>12385</v>
      </c>
      <c r="B9854" s="4" t="s">
        <v>12389</v>
      </c>
      <c r="C9854" s="5" t="str">
        <f>IFERROR(__xludf.DUMMYFUNCTION("GOOGLETRANSLATE(B9854,""en"",""zh-CN"")"),"该男子喝酒。")</f>
        <v>该男子喝酒。</v>
      </c>
    </row>
    <row r="9855">
      <c r="A9855" s="4" t="s">
        <v>12390</v>
      </c>
      <c r="B9855" s="4" t="s">
        <v>12391</v>
      </c>
      <c r="C9855" s="5" t="str">
        <f>IFERROR(__xludf.DUMMYFUNCTION("GOOGLETRANSLATE(B9855,""en"",""zh-CN"")"),"我们看到一个男人在和相机聊天，然后握住冰壶石，然后人们嘲笑那个男人。")</f>
        <v>我们看到一个男人在和相机聊天，然后握住冰壶石，然后人们嘲笑那个男人。</v>
      </c>
    </row>
    <row r="9856">
      <c r="A9856" s="4" t="s">
        <v>12390</v>
      </c>
      <c r="B9856" s="4" t="s">
        <v>12392</v>
      </c>
      <c r="C9856" s="5" t="str">
        <f>IFERROR(__xludf.DUMMYFUNCTION("GOOGLETRANSLATE(B9856,""en"",""zh-CN"")"),"当人们扫过石头前，那个男人扔了冰壶石。")</f>
        <v>当人们扫过石头前，那个男人扔了冰壶石。</v>
      </c>
    </row>
    <row r="9857">
      <c r="A9857" s="4" t="s">
        <v>12390</v>
      </c>
      <c r="B9857" s="4" t="s">
        <v>12393</v>
      </c>
      <c r="C9857" s="5" t="str">
        <f>IFERROR(__xludf.DUMMYFUNCTION("GOOGLETRANSLATE(B9857,""en"",""zh-CN"")"),"三位女士扔石头，滑下赛道。")</f>
        <v>三位女士扔石头，滑下赛道。</v>
      </c>
    </row>
    <row r="9858">
      <c r="A9858" s="4" t="s">
        <v>12390</v>
      </c>
      <c r="B9858" s="4" t="s">
        <v>12394</v>
      </c>
      <c r="C9858" s="5" t="str">
        <f>IFERROR(__xludf.DUMMYFUNCTION("GOOGLETRANSLATE(B9858,""en"",""zh-CN"")"),"我们看到人们聚会灯光闪烁。")</f>
        <v>我们看到人们聚会灯光闪烁。</v>
      </c>
    </row>
    <row r="9859">
      <c r="A9859" s="4" t="s">
        <v>12390</v>
      </c>
      <c r="B9859" s="4" t="s">
        <v>12395</v>
      </c>
      <c r="C9859" s="5" t="str">
        <f>IFERROR(__xludf.DUMMYFUNCTION("GOOGLETRANSLATE(B9859,""en"",""zh-CN"")"),"图像再次固化的人，一群人在空中跳来跳去。")</f>
        <v>图像再次固化的人，一群人在空中跳来跳去。</v>
      </c>
    </row>
    <row r="9860">
      <c r="A9860" s="4" t="s">
        <v>12390</v>
      </c>
      <c r="B9860" s="4" t="s">
        <v>12396</v>
      </c>
      <c r="C9860" s="5" t="str">
        <f>IFERROR(__xludf.DUMMYFUNCTION("GOOGLETRANSLATE(B9860,""en"",""zh-CN"")"),"我们看到了卷曲的标题屏幕。")</f>
        <v>我们看到了卷曲的标题屏幕。</v>
      </c>
    </row>
    <row r="9861">
      <c r="A9861" s="4" t="s">
        <v>12397</v>
      </c>
      <c r="B9861" s="4" t="s">
        <v>12398</v>
      </c>
      <c r="C9861" s="5" t="str">
        <f>IFERROR(__xludf.DUMMYFUNCTION("GOOGLETRANSLATE(B9861,""en"",""zh-CN"")"),"两个人在舞台上为观众而战。")</f>
        <v>两个人在舞台上为观众而战。</v>
      </c>
    </row>
    <row r="9862">
      <c r="A9862" s="4" t="s">
        <v>12397</v>
      </c>
      <c r="B9862" s="4" t="s">
        <v>12399</v>
      </c>
      <c r="C9862" s="5" t="str">
        <f>IFERROR(__xludf.DUMMYFUNCTION("GOOGLETRANSLATE(B9862,""en"",""zh-CN"")"),"一个人都示意每场比赛的结果。")</f>
        <v>一个人都示意每场比赛的结果。</v>
      </c>
    </row>
    <row r="9863">
      <c r="A9863" s="4" t="s">
        <v>12397</v>
      </c>
      <c r="B9863" s="4" t="s">
        <v>12400</v>
      </c>
      <c r="C9863" s="5" t="str">
        <f>IFERROR(__xludf.DUMMYFUNCTION("GOOGLETRANSLATE(B9863,""en"",""zh-CN"")"),"观众看。")</f>
        <v>观众看。</v>
      </c>
    </row>
    <row r="9864">
      <c r="A9864" s="4" t="s">
        <v>12401</v>
      </c>
      <c r="B9864" s="4" t="s">
        <v>12402</v>
      </c>
      <c r="C9864" s="5" t="str">
        <f>IFERROR(__xludf.DUMMYFUNCTION("GOOGLETRANSLATE(B9864,""en"",""zh-CN"")"),"展示了各种风景的镜头，并导致一个人挠狗并拉绳子。")</f>
        <v>展示了各种风景的镜头，并导致一个人挠狗并拉绳子。</v>
      </c>
    </row>
    <row r="9865">
      <c r="A9865" s="4" t="s">
        <v>12401</v>
      </c>
      <c r="B9865" s="4" t="s">
        <v>12403</v>
      </c>
      <c r="C9865" s="5" t="str">
        <f>IFERROR(__xludf.DUMMYFUNCTION("GOOGLETRANSLATE(B9865,""en"",""zh-CN"")"),"展示了更多骑船的人的镜头，海鸥飞行和播放音乐的人。")</f>
        <v>展示了更多骑船的人的镜头，海鸥飞行和播放音乐的人。</v>
      </c>
    </row>
    <row r="9866">
      <c r="A9866" s="4" t="s">
        <v>12401</v>
      </c>
      <c r="B9866" s="4" t="s">
        <v>12404</v>
      </c>
      <c r="C9866" s="5" t="str">
        <f>IFERROR(__xludf.DUMMYFUNCTION("GOOGLETRANSLATE(B9866,""en"",""zh-CN"")"),"接下来，看到一个人在地图上绘画，并以锚和人的照片结尾。")</f>
        <v>接下来，看到一个人在地图上绘画，并以锚和人的照片结尾。</v>
      </c>
    </row>
    <row r="9867">
      <c r="A9867" s="4" t="s">
        <v>12405</v>
      </c>
      <c r="B9867" s="4" t="s">
        <v>12406</v>
      </c>
      <c r="C9867" s="5" t="str">
        <f>IFERROR(__xludf.DUMMYFUNCTION("GOOGLETRANSLATE(B9867,""en"",""zh-CN"")"),"一支年轻的啦啦队团队在健身房里进行折腾和翻转。")</f>
        <v>一支年轻的啦啦队团队在健身房里进行折腾和翻转。</v>
      </c>
    </row>
    <row r="9868">
      <c r="A9868" s="4" t="s">
        <v>12405</v>
      </c>
      <c r="B9868" s="6" t="s">
        <v>12407</v>
      </c>
      <c r="C9868" s="5" t="str">
        <f>IFERROR(__xludf.DUMMYFUNCTION("GOOGLETRANSLATE(B9868,""en"",""zh-CN"")"),"然后，主人来了，随着视频浏览每个人需要的材料，开始谈论。")</f>
        <v>然后，主人来了，随着视频浏览每个人需要的材料，开始谈论。</v>
      </c>
    </row>
    <row r="9869">
      <c r="A9869" s="4" t="s">
        <v>12405</v>
      </c>
      <c r="B9869" s="6" t="s">
        <v>12408</v>
      </c>
      <c r="C9869" s="5" t="str">
        <f>IFERROR(__xludf.DUMMYFUNCTION("GOOGLETRANSLATE(B9869,""en"",""zh-CN"")"),"之后，显示三个女孩站在一个跨的位置上，开始用右手向侧面拍手和弓步，然后走下来。")</f>
        <v>之后，显示三个女孩站在一个跨的位置上，开始用右手向侧面拍手和弓步，然后走下来。</v>
      </c>
    </row>
    <row r="9870">
      <c r="A9870" s="4" t="s">
        <v>12405</v>
      </c>
      <c r="B9870" s="4" t="s">
        <v>12409</v>
      </c>
      <c r="C9870" s="5" t="str">
        <f>IFERROR(__xludf.DUMMYFUNCTION("GOOGLETRANSLATE(B9870,""en"",""zh-CN"")"),"女孩们继续欢呼，店主加入。")</f>
        <v>女孩们继续欢呼，店主加入。</v>
      </c>
    </row>
    <row r="9871">
      <c r="A9871" s="4" t="s">
        <v>12405</v>
      </c>
      <c r="B9871" s="4" t="s">
        <v>12410</v>
      </c>
      <c r="C9871" s="5" t="str">
        <f>IFERROR(__xludf.DUMMYFUNCTION("GOOGLETRANSLATE(B9871,""en"",""zh-CN"")"),"教练消失后，女孩们继续欢呼，视频结束了。")</f>
        <v>教练消失后，女孩们继续欢呼，视频结束了。</v>
      </c>
    </row>
    <row r="9872">
      <c r="A9872" s="4" t="s">
        <v>12411</v>
      </c>
      <c r="B9872" s="6" t="s">
        <v>12412</v>
      </c>
      <c r="C9872" s="5" t="str">
        <f>IFERROR(__xludf.DUMMYFUNCTION("GOOGLETRANSLATE(B9872,""en"",""zh-CN"")"),"该视频导致了几张不同的人，彼此之间骑着帆冲浪时骑着帆冲浪。")</f>
        <v>该视频导致了几张不同的人，彼此之间骑着帆冲浪时骑着帆冲浪。</v>
      </c>
    </row>
    <row r="9873">
      <c r="A9873" s="4" t="s">
        <v>12411</v>
      </c>
      <c r="B9873" s="6" t="s">
        <v>12413</v>
      </c>
      <c r="C9873" s="5" t="str">
        <f>IFERROR(__xludf.DUMMYFUNCTION("GOOGLETRANSLATE(B9873,""en"",""zh-CN"")"),"看到一个男人与镜头说话，并导致一个人冲浪并挥舞着相机。")</f>
        <v>看到一个男人与镜头说话，并导致一个人冲浪并挥舞着相机。</v>
      </c>
    </row>
    <row r="9874">
      <c r="A9874" s="4" t="s">
        <v>12411</v>
      </c>
      <c r="B9874" s="6" t="s">
        <v>12414</v>
      </c>
      <c r="C9874" s="5" t="str">
        <f>IFERROR(__xludf.DUMMYFUNCTION("GOOGLETRANSLATE(B9874,""en"",""zh-CN"")"),"越来越多的人在不断地在海洋周围移动，向相机冲浪和挥舞着。")</f>
        <v>越来越多的人在不断地在海洋周围移动，向相机冲浪和挥舞着。</v>
      </c>
    </row>
    <row r="9875">
      <c r="A9875" s="4" t="s">
        <v>12415</v>
      </c>
      <c r="B9875" s="6" t="s">
        <v>12416</v>
      </c>
      <c r="C9875" s="5" t="str">
        <f>IFERROR(__xludf.DUMMYFUNCTION("GOOGLETRANSLATE(B9875,""en"",""zh-CN"")"),"看到两个人站在一大群人的面前，一个欢呼声，将手臂向后和第四次伸出。")</f>
        <v>看到两个人站在一大群人的面前，一个欢呼声，将手臂向后和第四次伸出。</v>
      </c>
    </row>
    <row r="9876">
      <c r="A9876" s="4" t="s">
        <v>12415</v>
      </c>
      <c r="B9876" s="6" t="s">
        <v>12417</v>
      </c>
      <c r="C9876" s="5" t="str">
        <f>IFERROR(__xludf.DUMMYFUNCTION("GOOGLETRANSLATE(B9876,""en"",""zh-CN"")"),"这些人将球向后和第四，然后再用另一个切换位置，以同一个男人欢呼并拥抱另一个人结尾。")</f>
        <v>这些人将球向后和第四，然后再用另一个切换位置，以同一个男人欢呼并拥抱另一个人结尾。</v>
      </c>
    </row>
    <row r="9877">
      <c r="A9877" s="4" t="s">
        <v>12418</v>
      </c>
      <c r="B9877" s="4" t="s">
        <v>12419</v>
      </c>
      <c r="C9877" s="5" t="str">
        <f>IFERROR(__xludf.DUMMYFUNCTION("GOOGLETRANSLATE(B9877,""en"",""zh-CN"")"),"我们在屏幕上看到一个播放按钮。")</f>
        <v>我们在屏幕上看到一个播放按钮。</v>
      </c>
    </row>
    <row r="9878">
      <c r="A9878" s="4" t="s">
        <v>12418</v>
      </c>
      <c r="B9878" s="4" t="s">
        <v>12420</v>
      </c>
      <c r="C9878" s="5" t="str">
        <f>IFERROR(__xludf.DUMMYFUNCTION("GOOGLETRANSLATE(B9878,""en"",""zh-CN"")"),"我们看到一位女士用粉红色的剃须刀剃光双腿。")</f>
        <v>我们看到一位女士用粉红色的剃须刀剃光双腿。</v>
      </c>
    </row>
    <row r="9879">
      <c r="A9879" s="4" t="s">
        <v>12418</v>
      </c>
      <c r="B9879" s="4" t="s">
        <v>12421</v>
      </c>
      <c r="C9879" s="5" t="str">
        <f>IFERROR(__xludf.DUMMYFUNCTION("GOOGLETRANSLATE(B9879,""en"",""zh-CN"")"),"然后，我们看到结束屏幕播放按钮。")</f>
        <v>然后，我们看到结束屏幕播放按钮。</v>
      </c>
    </row>
    <row r="9880">
      <c r="A9880" s="4" t="s">
        <v>12422</v>
      </c>
      <c r="B9880" s="4" t="s">
        <v>12423</v>
      </c>
      <c r="C9880" s="5" t="str">
        <f>IFERROR(__xludf.DUMMYFUNCTION("GOOGLETRANSLATE(B9880,""en"",""zh-CN"")"),"页面上的标题在针对静止图像和黑暗背景的页面上看到。")</f>
        <v>页面上的标题在针对静止图像和黑暗背景的页面上看到。</v>
      </c>
    </row>
    <row r="9881">
      <c r="A9881" s="4" t="s">
        <v>12422</v>
      </c>
      <c r="B9881" s="4" t="s">
        <v>12424</v>
      </c>
      <c r="C9881" s="5" t="str">
        <f>IFERROR(__xludf.DUMMYFUNCTION("GOOGLETRANSLATE(B9881,""en"",""zh-CN"")"),"男人在草地上玩槌球游戏。")</f>
        <v>男人在草地上玩槌球游戏。</v>
      </c>
    </row>
    <row r="9882">
      <c r="A9882" s="4" t="s">
        <v>12422</v>
      </c>
      <c r="B9882" s="4" t="s">
        <v>12425</v>
      </c>
      <c r="C9882" s="5" t="str">
        <f>IFERROR(__xludf.DUMMYFUNCTION("GOOGLETRANSLATE(B9882,""en"",""zh-CN"")"),"男人跪下来，像台球一样击中槌球球。")</f>
        <v>男人跪下来，像台球一样击中槌球球。</v>
      </c>
    </row>
    <row r="9883">
      <c r="A9883" s="4" t="s">
        <v>12422</v>
      </c>
      <c r="B9883" s="4" t="s">
        <v>12426</v>
      </c>
      <c r="C9883" s="5" t="str">
        <f>IFERROR(__xludf.DUMMYFUNCTION("GOOGLETRANSLATE(B9883,""en"",""zh-CN"")"),"该男子跑着庆祝自己的棍子。")</f>
        <v>该男子跑着庆祝自己的棍子。</v>
      </c>
    </row>
    <row r="9884">
      <c r="A9884" s="4" t="s">
        <v>12422</v>
      </c>
      <c r="B9884" s="4" t="s">
        <v>12427</v>
      </c>
      <c r="C9884" s="5" t="str">
        <f>IFERROR(__xludf.DUMMYFUNCTION("GOOGLETRANSLATE(B9884,""en"",""zh-CN"")"),"一个男人跳过握着棍子微笑的草地上。")</f>
        <v>一个男人跳过握着棍子微笑的草地上。</v>
      </c>
    </row>
    <row r="9885">
      <c r="A9885" s="4" t="s">
        <v>12428</v>
      </c>
      <c r="B9885" s="4" t="s">
        <v>12429</v>
      </c>
      <c r="C9885" s="5" t="str">
        <f>IFERROR(__xludf.DUMMYFUNCTION("GOOGLETRANSLATE(B9885,""en"",""zh-CN"")"),"看到一个男人在相机上说话，并导致他坐在游泳池里。")</f>
        <v>看到一个男人在相机上说话，并导致他坐在游泳池里。</v>
      </c>
    </row>
    <row r="9886">
      <c r="A9886" s="4" t="s">
        <v>12428</v>
      </c>
      <c r="B9886" s="4" t="s">
        <v>12430</v>
      </c>
      <c r="C9886" s="5" t="str">
        <f>IFERROR(__xludf.DUMMYFUNCTION("GOOGLETRANSLATE(B9886,""en"",""zh-CN"")"),"然后，该名男子开始在游泳池旁游泳，而其他人则与其他人一起游泳。")</f>
        <v>然后，该名男子开始在游泳池旁游泳，而其他人则与其他人一起游泳。</v>
      </c>
    </row>
    <row r="9887">
      <c r="A9887" s="4" t="s">
        <v>12428</v>
      </c>
      <c r="B9887" s="4" t="s">
        <v>12431</v>
      </c>
      <c r="C9887" s="5" t="str">
        <f>IFERROR(__xludf.DUMMYFUNCTION("GOOGLETRANSLATE(B9887,""en"",""zh-CN"")"),"显示了他在人周围游泳以及在水中移动的几张照片。")</f>
        <v>显示了他在人周围游泳以及在水中移动的几张照片。</v>
      </c>
    </row>
    <row r="9888">
      <c r="A9888" s="4" t="s">
        <v>12432</v>
      </c>
      <c r="B9888" s="4" t="s">
        <v>12433</v>
      </c>
      <c r="C9888" s="5" t="str">
        <f>IFERROR(__xludf.DUMMYFUNCTION("GOOGLETRANSLATE(B9888,""en"",""zh-CN"")"),"两个女人在舞台上打羽毛球。")</f>
        <v>两个女人在舞台上打羽毛球。</v>
      </c>
    </row>
    <row r="9889">
      <c r="A9889" s="4" t="s">
        <v>12432</v>
      </c>
      <c r="B9889" s="4" t="s">
        <v>12434</v>
      </c>
      <c r="C9889" s="5" t="str">
        <f>IFERROR(__xludf.DUMMYFUNCTION("GOOGLETRANSLATE(B9889,""en"",""zh-CN"")"),"人们正在玩价格的游戏是正确的。")</f>
        <v>人们正在玩价格的游戏是正确的。</v>
      </c>
    </row>
    <row r="9890">
      <c r="A9890" s="4" t="s">
        <v>12432</v>
      </c>
      <c r="B9890" s="4" t="s">
        <v>12435</v>
      </c>
      <c r="C9890" s="5" t="str">
        <f>IFERROR(__xludf.DUMMYFUNCTION("GOOGLETRANSLATE(B9890,""en"",""zh-CN"")"),"一个女人在舞台上获胜并散步，给主人一个拥抱。")</f>
        <v>一个女人在舞台上获胜并散步，给主人一个拥抱。</v>
      </c>
    </row>
    <row r="9891">
      <c r="A9891" s="4" t="s">
        <v>12436</v>
      </c>
      <c r="B9891" s="4" t="s">
        <v>12437</v>
      </c>
      <c r="C9891" s="5" t="str">
        <f>IFERROR(__xludf.DUMMYFUNCTION("GOOGLETRANSLATE(B9891,""en"",""zh-CN"")"),"两个女孩站在草地上。")</f>
        <v>两个女孩站在草地上。</v>
      </c>
    </row>
    <row r="9892">
      <c r="A9892" s="4" t="s">
        <v>12436</v>
      </c>
      <c r="B9892" s="4" t="s">
        <v>12438</v>
      </c>
      <c r="C9892" s="5" t="str">
        <f>IFERROR(__xludf.DUMMYFUNCTION("GOOGLETRANSLATE(B9892,""en"",""zh-CN"")"),"其中一个女孩开始进行啦啦队的动作。")</f>
        <v>其中一个女孩开始进行啦啦队的动作。</v>
      </c>
    </row>
    <row r="9893">
      <c r="A9893" s="4" t="s">
        <v>12436</v>
      </c>
      <c r="B9893" s="4" t="s">
        <v>12439</v>
      </c>
      <c r="C9893" s="5" t="str">
        <f>IFERROR(__xludf.DUMMYFUNCTION("GOOGLETRANSLATE(B9893,""en"",""zh-CN"")"),"另一个女孩站在她旁边。")</f>
        <v>另一个女孩站在她旁边。</v>
      </c>
    </row>
    <row r="9894">
      <c r="A9894" s="4" t="s">
        <v>12440</v>
      </c>
      <c r="B9894" s="4" t="s">
        <v>12441</v>
      </c>
      <c r="C9894" s="5" t="str">
        <f>IFERROR(__xludf.DUMMYFUNCTION("GOOGLETRANSLATE(B9894,""en"",""zh-CN"")"),"一个人正在练习向他的飞镖板投掷飞镖。")</f>
        <v>一个人正在练习向他的飞镖板投掷飞镖。</v>
      </c>
    </row>
    <row r="9895">
      <c r="A9895" s="4" t="s">
        <v>12440</v>
      </c>
      <c r="B9895" s="4" t="s">
        <v>12442</v>
      </c>
      <c r="C9895" s="5" t="str">
        <f>IFERROR(__xludf.DUMMYFUNCTION("GOOGLETRANSLATE(B9895,""en"",""zh-CN"")"),"他把它们全部扔了，然后他必须克服将它们全部摆脱困境。")</f>
        <v>他把它们全部扔了，然后他必须克服将它们全部摆脱困境。</v>
      </c>
    </row>
    <row r="9896">
      <c r="A9896" s="4" t="s">
        <v>12440</v>
      </c>
      <c r="B9896" s="4" t="s">
        <v>12443</v>
      </c>
      <c r="C9896" s="5" t="str">
        <f>IFERROR(__xludf.DUMMYFUNCTION("GOOGLETRANSLATE(B9896,""en"",""zh-CN"")"),"一旦他全力以赴，他就开始再次扔掉它们。")</f>
        <v>一旦他全力以赴，他就开始再次扔掉它们。</v>
      </c>
    </row>
    <row r="9897">
      <c r="A9897" s="4" t="s">
        <v>12440</v>
      </c>
      <c r="B9897" s="4" t="s">
        <v>12444</v>
      </c>
      <c r="C9897" s="5" t="str">
        <f>IFERROR(__xludf.DUMMYFUNCTION("GOOGLETRANSLATE(B9897,""en"",""zh-CN"")"),"他一遍又一遍地重复了这个周期。")</f>
        <v>他一遍又一遍地重复了这个周期。</v>
      </c>
    </row>
    <row r="9898">
      <c r="A9898" s="4" t="s">
        <v>12445</v>
      </c>
      <c r="B9898" s="4" t="s">
        <v>12446</v>
      </c>
      <c r="C9898" s="5" t="str">
        <f>IFERROR(__xludf.DUMMYFUNCTION("GOOGLETRANSLATE(B9898,""en"",""zh-CN"")"),"一个男人在室内讲话，然后一位女士在女孩身边跑来跑去时在田野里说话。")</f>
        <v>一个男人在室内讲话，然后一位女士在女孩身边跑来跑去时在田野里说话。</v>
      </c>
    </row>
    <row r="9899">
      <c r="A9899" s="4" t="s">
        <v>12445</v>
      </c>
      <c r="B9899" s="4" t="s">
        <v>12447</v>
      </c>
      <c r="C9899" s="5" t="str">
        <f>IFERROR(__xludf.DUMMYFUNCTION("GOOGLETRANSLATE(B9899,""en"",""zh-CN"")"),"这位女士与玩游戏的女孩交谈，用棍子击球。")</f>
        <v>这位女士与玩游戏的女孩交谈，用棍子击球。</v>
      </c>
    </row>
    <row r="9900">
      <c r="A9900" s="4" t="s">
        <v>12445</v>
      </c>
      <c r="B9900" s="6" t="s">
        <v>12448</v>
      </c>
      <c r="C9900" s="5" t="str">
        <f>IFERROR(__xludf.DUMMYFUNCTION("GOOGLETRANSLATE(B9900,""en"",""zh-CN"")"),"女孩们轮流说话，而其他球员则练习向球门射击球，并展示巴尔的摩市，乌鸦队和城市道路的球员。")</f>
        <v>女孩们轮流说话，而其他球员则练习向球门射击球，并展示巴尔的摩市，乌鸦队和城市道路的球员。</v>
      </c>
    </row>
    <row r="9901">
      <c r="A9901" s="4" t="s">
        <v>12449</v>
      </c>
      <c r="B9901" s="4" t="s">
        <v>12450</v>
      </c>
      <c r="C9901" s="5" t="str">
        <f>IFERROR(__xludf.DUMMYFUNCTION("GOOGLETRANSLATE(B9901,""en"",""zh-CN"")"),"一个男孩四处旋转，准备打破皮纳塔。")</f>
        <v>一个男孩四处旋转，准备打破皮纳塔。</v>
      </c>
    </row>
    <row r="9902">
      <c r="A9902" s="4" t="s">
        <v>12449</v>
      </c>
      <c r="B9902" s="4" t="s">
        <v>12451</v>
      </c>
      <c r="C9902" s="5" t="str">
        <f>IFERROR(__xludf.DUMMYFUNCTION("GOOGLETRANSLATE(B9902,""en"",""zh-CN"")"),"相反，他撞到了一个女孩的脸。")</f>
        <v>相反，他撞到了一个女孩的脸。</v>
      </c>
    </row>
    <row r="9903">
      <c r="A9903" s="4" t="s">
        <v>12452</v>
      </c>
      <c r="B9903" s="4" t="s">
        <v>12453</v>
      </c>
      <c r="C9903" s="5" t="str">
        <f>IFERROR(__xludf.DUMMYFUNCTION("GOOGLETRANSLATE(B9903,""en"",""zh-CN"")"),"一个男人以驱动方式跳过绳子，然后男人跳过绳子。")</f>
        <v>一个男人以驱动方式跳过绳子，然后男人跳过绳子。</v>
      </c>
    </row>
    <row r="9904">
      <c r="A9904" s="4" t="s">
        <v>12452</v>
      </c>
      <c r="B9904" s="4" t="s">
        <v>12454</v>
      </c>
      <c r="C9904" s="5" t="str">
        <f>IFERROR(__xludf.DUMMYFUNCTION("GOOGLETRANSLATE(B9904,""en"",""zh-CN"")"),"之后，该男子将绳子握在左手上，然后转动绳子。")</f>
        <v>之后，该男子将绳子握在左手上，然后转动绳子。</v>
      </c>
    </row>
    <row r="9905">
      <c r="A9905" s="4" t="s">
        <v>12452</v>
      </c>
      <c r="B9905" s="4" t="s">
        <v>12455</v>
      </c>
      <c r="C9905" s="5" t="str">
        <f>IFERROR(__xludf.DUMMYFUNCTION("GOOGLETRANSLATE(B9905,""en"",""zh-CN"")"),"接下来，该男子交替跳过绳索，然后将绳索翻转到前面。")</f>
        <v>接下来，该男子交替跳过绳索，然后将绳索翻转到前面。</v>
      </c>
    </row>
    <row r="9906">
      <c r="A9906" s="4" t="s">
        <v>12452</v>
      </c>
      <c r="B9906" s="4" t="s">
        <v>12456</v>
      </c>
      <c r="C9906" s="5" t="str">
        <f>IFERROR(__xludf.DUMMYFUNCTION("GOOGLETRANSLATE(B9906,""en"",""zh-CN"")"),"另外，该男子跳绳criss十字架并将绳索跳高。")</f>
        <v>另外，该男子跳绳criss十字架并将绳索跳高。</v>
      </c>
    </row>
    <row r="9907">
      <c r="A9907" s="4" t="s">
        <v>12452</v>
      </c>
      <c r="B9907" s="4" t="s">
        <v>12457</v>
      </c>
      <c r="C9907" s="5" t="str">
        <f>IFERROR(__xludf.DUMMYFUNCTION("GOOGLETRANSLATE(B9907,""en"",""zh-CN"")"),"然后，该男子跳绳索蹲下跳跃和跳跃弓步。")</f>
        <v>然后，该男子跳绳索蹲下跳跃和跳跃弓步。</v>
      </c>
    </row>
    <row r="9908">
      <c r="A9908" s="4" t="s">
        <v>12458</v>
      </c>
      <c r="B9908" s="6" t="s">
        <v>12459</v>
      </c>
      <c r="C9908" s="5" t="str">
        <f>IFERROR(__xludf.DUMMYFUNCTION("GOOGLETRANSLATE(B9908,""en"",""zh-CN"")"),"一名男性穿着黑白泳衣，站在潜水板的边缘，弹跳了几次，然后跳出视线并进入水中。")</f>
        <v>一名男性穿着黑白泳衣，站在潜水板的边缘，弹跳了几次，然后跳出视线并进入水中。</v>
      </c>
    </row>
    <row r="9909">
      <c r="A9909" s="4" t="s">
        <v>12458</v>
      </c>
      <c r="B9909" s="6" t="s">
        <v>12460</v>
      </c>
      <c r="C9909" s="5" t="str">
        <f>IFERROR(__xludf.DUMMYFUNCTION("GOOGLETRANSLATE(B9909,""en"",""zh-CN"")"),"一个戴着黑色短裤的年龄较大的赤膊男子开始在以前跳过但停下来的男性的同一张板上行走。")</f>
        <v>一个戴着黑色短裤的年龄较大的赤膊男子开始在以前跳过但停下来的男性的同一张板上行走。</v>
      </c>
    </row>
    <row r="9910">
      <c r="A9910" s="4" t="s">
        <v>12458</v>
      </c>
      <c r="B9910" s="6" t="s">
        <v>12461</v>
      </c>
      <c r="C9910" s="5" t="str">
        <f>IFERROR(__xludf.DUMMYFUNCTION("GOOGLETRANSLATE(B9910,""en"",""zh-CN"")"),"在较短的板上，一名穿着蓝色泳衣的男性步行到板的边缘跳动了几次，停下来，转身走路。")</f>
        <v>在较短的板上，一名穿着蓝色泳衣的男性步行到板的边缘跳动了几次，停下来，转身走路。</v>
      </c>
    </row>
    <row r="9911">
      <c r="A9911" s="4" t="s">
        <v>12458</v>
      </c>
      <c r="B9911" s="6" t="s">
        <v>12462</v>
      </c>
      <c r="C9911" s="5" t="str">
        <f>IFERROR(__xludf.DUMMYFUNCTION("GOOGLETRANSLATE(B9911,""en"",""zh-CN"")"),"雄性再次走到董事会的边缘，跳了几次，然后再次转身走回去。")</f>
        <v>雄性再次走到董事会的边缘，跳了几次，然后再次转身走回去。</v>
      </c>
    </row>
    <row r="9912">
      <c r="A9912" s="4" t="s">
        <v>12458</v>
      </c>
      <c r="B9912" s="6" t="s">
        <v>12463</v>
      </c>
      <c r="C9912" s="5" t="str">
        <f>IFERROR(__xludf.DUMMYFUNCTION("GOOGLETRANSLATE(B9912,""en"",""zh-CN"")"),"雄性再尝试一次，走到潜水板的边缘，最后跳跃，进行几次翻转，然后降落在水中，然后游泳到游泳池的边缘。")</f>
        <v>雄性再尝试一次，走到潜水板的边缘，最后跳跃，进行几次翻转，然后降落在水中，然后游泳到游泳池的边缘。</v>
      </c>
    </row>
    <row r="9913">
      <c r="A9913" s="4" t="s">
        <v>12464</v>
      </c>
      <c r="B9913" s="4" t="s">
        <v>12465</v>
      </c>
      <c r="C9913" s="5" t="str">
        <f>IFERROR(__xludf.DUMMYFUNCTION("GOOGLETRANSLATE(B9913,""en"",""zh-CN"")"),"人们站在网球场上。")</f>
        <v>人们站在网球场上。</v>
      </c>
    </row>
    <row r="9914">
      <c r="A9914" s="4" t="s">
        <v>12464</v>
      </c>
      <c r="B9914" s="4" t="s">
        <v>12466</v>
      </c>
      <c r="C9914" s="5" t="str">
        <f>IFERROR(__xludf.DUMMYFUNCTION("GOOGLETRANSLATE(B9914,""en"",""zh-CN"")"),"他们正在玩网球比赛。")</f>
        <v>他们正在玩网球比赛。</v>
      </c>
    </row>
    <row r="9915">
      <c r="A9915" s="4" t="s">
        <v>12464</v>
      </c>
      <c r="B9915" s="4" t="s">
        <v>12467</v>
      </c>
      <c r="C9915" s="5" t="str">
        <f>IFERROR(__xludf.DUMMYFUNCTION("GOOGLETRANSLATE(B9915,""en"",""zh-CN"")"),"一件白衬衫的男人击中了网球。")</f>
        <v>一件白衬衫的男人击中了网球。</v>
      </c>
    </row>
    <row r="9916">
      <c r="A9916" s="4" t="s">
        <v>12468</v>
      </c>
      <c r="B9916" s="6" t="s">
        <v>12469</v>
      </c>
      <c r="C9916" s="5" t="str">
        <f>IFERROR(__xludf.DUMMYFUNCTION("GOOGLETRANSLATE(B9916,""en"",""zh-CN"")"),"房间里有很多成年人（老年人或年轻），他们都在看着这个女孩玩单簧管。")</f>
        <v>房间里有很多成年人（老年人或年轻），他们都在看着这个女孩玩单簧管。</v>
      </c>
    </row>
    <row r="9917">
      <c r="A9917" s="4" t="s">
        <v>12468</v>
      </c>
      <c r="B9917" s="6" t="s">
        <v>12470</v>
      </c>
      <c r="C9917" s="5" t="str">
        <f>IFERROR(__xludf.DUMMYFUNCTION("GOOGLETRANSLATE(B9917,""en"",""zh-CN"")"),"首先，女孩拿着单簧管时走到教室的前面，弹钢琴的男人从座位上站起来弹钢琴。")</f>
        <v>首先，女孩拿着单簧管时走到教室的前面，弹钢琴的男人从座位上站起来弹钢琴。</v>
      </c>
    </row>
    <row r="9918">
      <c r="A9918" s="4" t="s">
        <v>12468</v>
      </c>
      <c r="B9918" s="6" t="s">
        <v>12471</v>
      </c>
      <c r="C9918" s="5" t="str">
        <f>IFERROR(__xludf.DUMMYFUNCTION("GOOGLETRANSLATE(B9918,""en"",""zh-CN"")"),"然后，他开始弹钢琴，当她为她拍手时，她和钢琴一起弹奏单簧管。")</f>
        <v>然后，他开始弹钢琴，当她为她拍手时，她和钢琴一起弹奏单簧管。</v>
      </c>
    </row>
    <row r="9919">
      <c r="A9919" s="4" t="s">
        <v>12472</v>
      </c>
      <c r="B9919" s="4" t="s">
        <v>12473</v>
      </c>
      <c r="C9919" s="5" t="str">
        <f>IFERROR(__xludf.DUMMYFUNCTION("GOOGLETRANSLATE(B9919,""en"",""zh-CN"")"),"一个男人准备预先进行活动。")</f>
        <v>一个男人准备预先进行活动。</v>
      </c>
    </row>
    <row r="9920">
      <c r="A9920" s="4" t="s">
        <v>12472</v>
      </c>
      <c r="B9920" s="4" t="s">
        <v>12474</v>
      </c>
      <c r="C9920" s="5" t="str">
        <f>IFERROR(__xludf.DUMMYFUNCTION("GOOGLETRANSLATE(B9920,""en"",""zh-CN"")"),"他开始快速跑步。")</f>
        <v>他开始快速跑步。</v>
      </c>
    </row>
    <row r="9921">
      <c r="A9921" s="4" t="s">
        <v>12472</v>
      </c>
      <c r="B9921" s="4" t="s">
        <v>12475</v>
      </c>
      <c r="C9921" s="5" t="str">
        <f>IFERROR(__xludf.DUMMYFUNCTION("GOOGLETRANSLATE(B9921,""en"",""zh-CN"")"),"他沿着车道奔跑，他跳了3次进入沙子。")</f>
        <v>他沿着车道奔跑，他跳了3次进入沙子。</v>
      </c>
    </row>
    <row r="9922">
      <c r="A9922" s="4" t="s">
        <v>12472</v>
      </c>
      <c r="B9922" s="4" t="s">
        <v>12476</v>
      </c>
      <c r="C9922" s="5" t="str">
        <f>IFERROR(__xludf.DUMMYFUNCTION("GOOGLETRANSLATE(B9922,""en"",""zh-CN"")"),"他快乐地从坑里用光了。")</f>
        <v>他快乐地从坑里用光了。</v>
      </c>
    </row>
    <row r="9923">
      <c r="A9923" s="4" t="s">
        <v>12472</v>
      </c>
      <c r="B9923" s="4" t="s">
        <v>12477</v>
      </c>
      <c r="C9923" s="5" t="str">
        <f>IFERROR(__xludf.DUMMYFUNCTION("GOOGLETRANSLATE(B9923,""en"",""zh-CN"")"),"当它向人群和播音员切断时，他继续在欢呼时走来走去。")</f>
        <v>当它向人群和播音员切断时，他继续在欢呼时走来走去。</v>
      </c>
    </row>
    <row r="9924">
      <c r="A9924" s="4" t="s">
        <v>12472</v>
      </c>
      <c r="B9924" s="4" t="s">
        <v>12478</v>
      </c>
      <c r="C9924" s="5" t="str">
        <f>IFERROR(__xludf.DUMMYFUNCTION("GOOGLETRANSLATE(B9924,""en"",""zh-CN"")"),"他向人群吹了一个吻。")</f>
        <v>他向人群吹了一个吻。</v>
      </c>
    </row>
    <row r="9925">
      <c r="A9925" s="4" t="s">
        <v>12472</v>
      </c>
      <c r="B9925" s="4" t="s">
        <v>12479</v>
      </c>
      <c r="C9925" s="5" t="str">
        <f>IFERROR(__xludf.DUMMYFUNCTION("GOOGLETRANSLATE(B9925,""en"",""zh-CN"")"),"他去开始拥抱粉丝。")</f>
        <v>他去开始拥抱粉丝。</v>
      </c>
    </row>
    <row r="9926">
      <c r="A9926" s="4" t="s">
        <v>12480</v>
      </c>
      <c r="B9926" s="4" t="s">
        <v>12481</v>
      </c>
      <c r="C9926" s="5" t="str">
        <f>IFERROR(__xludf.DUMMYFUNCTION("GOOGLETRANSLATE(B9926,""en"",""zh-CN"")"),"汽车在雪高速公路上行驶。")</f>
        <v>汽车在雪高速公路上行驶。</v>
      </c>
    </row>
    <row r="9927">
      <c r="A9927" s="4" t="s">
        <v>12480</v>
      </c>
      <c r="B9927" s="4" t="s">
        <v>12482</v>
      </c>
      <c r="C9927" s="5" t="str">
        <f>IFERROR(__xludf.DUMMYFUNCTION("GOOGLETRANSLATE(B9927,""en"",""zh-CN"")"),"显示了向糖山的标志，并练习滑雪板。")</f>
        <v>显示了向糖山的标志，并练习滑雪板。</v>
      </c>
    </row>
    <row r="9928">
      <c r="A9928" s="4" t="s">
        <v>12480</v>
      </c>
      <c r="B9928" s="4" t="s">
        <v>12483</v>
      </c>
      <c r="C9928" s="5" t="str">
        <f>IFERROR(__xludf.DUMMYFUNCTION("GOOGLETRANSLATE(B9928,""en"",""zh-CN"")"),"人们在雪山下滑雪。")</f>
        <v>人们在雪山下滑雪。</v>
      </c>
    </row>
    <row r="9929">
      <c r="A9929" s="4" t="s">
        <v>12480</v>
      </c>
      <c r="B9929" s="4" t="s">
        <v>12484</v>
      </c>
      <c r="C9929" s="5" t="str">
        <f>IFERROR(__xludf.DUMMYFUNCTION("GOOGLETRANSLATE(B9929,""en"",""zh-CN"")"),"白雪皑皑的汽车在白雪皑皑的山上骑。")</f>
        <v>白雪皑皑的汽车在白雪皑皑的山上骑。</v>
      </c>
    </row>
    <row r="9930">
      <c r="A9930" s="4" t="s">
        <v>12480</v>
      </c>
      <c r="B9930" s="4" t="s">
        <v>12485</v>
      </c>
      <c r="C9930" s="5" t="str">
        <f>IFERROR(__xludf.DUMMYFUNCTION("GOOGLETRANSLATE(B9930,""en"",""zh-CN"")"),"男人在山上滑雪。")</f>
        <v>男人在山上滑雪。</v>
      </c>
    </row>
    <row r="9931">
      <c r="A9931" s="4" t="s">
        <v>12486</v>
      </c>
      <c r="B9931" s="4" t="s">
        <v>12487</v>
      </c>
      <c r="C9931" s="5" t="str">
        <f>IFERROR(__xludf.DUMMYFUNCTION("GOOGLETRANSLATE(B9931,""en"",""zh-CN"")"),"看到一个小孩坐在桌子前的椅子上，有一个大身体。")</f>
        <v>看到一个小孩坐在桌子前的椅子上，有一个大身体。</v>
      </c>
    </row>
    <row r="9932">
      <c r="A9932" s="4" t="s">
        <v>12486</v>
      </c>
      <c r="B9932" s="6" t="s">
        <v>12488</v>
      </c>
      <c r="C9932" s="5" t="str">
        <f>IFERROR(__xludf.DUMMYFUNCTION("GOOGLETRANSLATE(B9932,""en"",""zh-CN"")"),"然后看到手写下纸条并在孩子笑着时摩擦脸，手继续移动。")</f>
        <v>然后看到手写下纸条并在孩子笑着时摩擦脸，手继续移动。</v>
      </c>
    </row>
    <row r="9933">
      <c r="A9933" s="4" t="s">
        <v>12489</v>
      </c>
      <c r="B9933" s="4" t="s">
        <v>12490</v>
      </c>
      <c r="C9933" s="5" t="str">
        <f>IFERROR(__xludf.DUMMYFUNCTION("GOOGLETRANSLATE(B9933,""en"",""zh-CN"")"),"一个男人在霍普奇游戏的前面推动光盘。")</f>
        <v>一个男人在霍普奇游戏的前面推动光盘。</v>
      </c>
    </row>
    <row r="9934">
      <c r="A9934" s="4" t="s">
        <v>12489</v>
      </c>
      <c r="B9934" s="4" t="s">
        <v>12491</v>
      </c>
      <c r="C9934" s="5" t="str">
        <f>IFERROR(__xludf.DUMMYFUNCTION("GOOGLETRANSLATE(B9934,""en"",""zh-CN"")"),"另一个人将光盘推向霍普奇。")</f>
        <v>另一个人将光盘推向霍普奇。</v>
      </c>
    </row>
    <row r="9935">
      <c r="A9935" s="4" t="s">
        <v>12489</v>
      </c>
      <c r="B9935" s="4" t="s">
        <v>12492</v>
      </c>
      <c r="C9935" s="5" t="str">
        <f>IFERROR(__xludf.DUMMYFUNCTION("GOOGLETRANSLATE(B9935,""en"",""zh-CN"")"),"第一个男人做一个有趣的面孔。")</f>
        <v>第一个男人做一个有趣的面孔。</v>
      </c>
    </row>
    <row r="9936">
      <c r="A9936" s="4" t="s">
        <v>12493</v>
      </c>
      <c r="B9936" s="6" t="s">
        <v>12494</v>
      </c>
      <c r="C9936" s="5" t="str">
        <f>IFERROR(__xludf.DUMMYFUNCTION("GOOGLETRANSLATE(B9936,""en"",""zh-CN"")"),"一个有绿屏背景的房间里的一个孤独的人在一块硬木地板上进行了打破舞的动作，用他的背部旋转。")</f>
        <v>一个有绿屏背景的房间里的一个孤独的人在一块硬木地板上进行了打破舞的动作，用他的背部旋转。</v>
      </c>
    </row>
    <row r="9937">
      <c r="A9937" s="4" t="s">
        <v>12493</v>
      </c>
      <c r="B9937" s="6" t="s">
        <v>12495</v>
      </c>
      <c r="C9937" s="5" t="str">
        <f>IFERROR(__xludf.DUMMYFUNCTION("GOOGLETRANSLATE(B9937,""en"",""zh-CN"")"),"该男子停止跳舞，站在镜头前说话，然后展示了基本的突破舞动作，包括使用手和膝盖从地板上进行旋转。")</f>
        <v>该男子停止跳舞，站在镜头前说话，然后展示了基本的突破舞动作，包括使用手和膝盖从地板上进行旋转。</v>
      </c>
    </row>
    <row r="9938">
      <c r="A9938" s="4" t="s">
        <v>12493</v>
      </c>
      <c r="B9938" s="6" t="s">
        <v>12496</v>
      </c>
      <c r="C9938" s="5" t="str">
        <f>IFERROR(__xludf.DUMMYFUNCTION("GOOGLETRANSLATE(B9938,""en"",""zh-CN"")"),"该男子继续展示突破性的舞蹈动作并与镜头交谈，直到他给相机和屏幕上的和平标志逐渐消失。")</f>
        <v>该男子继续展示突破性的舞蹈动作并与镜头交谈，直到他给相机和屏幕上的和平标志逐渐消失。</v>
      </c>
    </row>
    <row r="9939">
      <c r="A9939" s="4" t="s">
        <v>12497</v>
      </c>
      <c r="B9939" s="6" t="s">
        <v>12498</v>
      </c>
      <c r="C9939" s="5" t="str">
        <f>IFERROR(__xludf.DUMMYFUNCTION("GOOGLETRANSLATE(B9939,""en"",""zh-CN"")"),"男子和男人的剪辑是在室内撑杆跳高的，而许多人正在四处走动或只是看着，而底部的横幅则为“德克萨斯州精英撑杆跳竞赛贝尔县博览中心，于12 28 13”。")</f>
        <v>男子和男人的剪辑是在室内撑杆跳高的，而许多人正在四处走动或只是看着，而底部的横幅则为“德克萨斯州精英撑杆跳竞赛贝尔县博览中心，于12 28 13”。</v>
      </c>
    </row>
    <row r="9940">
      <c r="A9940" s="4" t="s">
        <v>12497</v>
      </c>
      <c r="B9940" s="6" t="s">
        <v>12499</v>
      </c>
      <c r="C9940" s="5" t="str">
        <f>IFERROR(__xludf.DUMMYFUNCTION("GOOGLETRANSLATE(B9940,""en"",""zh-CN"")"),"由于不同人的各个剪辑是撑竿跳高，一个男人和女人彼此站在室内，并用屏幕底部的单词与镜头交谈，说他们的名字是Kaitlin Petrillose和Jack Chapman竞争对手竞争对手和主席。”")</f>
        <v>由于不同人的各个剪辑是撑竿跳高，一个男人和女人彼此站在室内，并用屏幕底部的单词与镜头交谈，说他们的名字是Kaitlin Petrillose和Jack Chapman竞争对手竞争对手和主席。”</v>
      </c>
    </row>
    <row r="9941">
      <c r="A9941" s="4" t="s">
        <v>12497</v>
      </c>
      <c r="B9941" s="6" t="s">
        <v>12500</v>
      </c>
      <c r="C9941" s="5" t="str">
        <f>IFERROR(__xludf.DUMMYFUNCTION("GOOGLETRANSLATE(B9941,""en"",""zh-CN"")"),"屏幕上的视图模糊和白色的单词出现在中间，并说“玛丽安·吉什（Marianne Gish）的《每日预言》（Killeen Daily Herald）。")</f>
        <v>屏幕上的视图模糊和白色的单词出现在中间，并说“玛丽安·吉什（Marianne Gish）的《每日预言》（Killeen Daily Herald）。</v>
      </c>
    </row>
    <row r="9942">
      <c r="A9942" s="4" t="s">
        <v>12501</v>
      </c>
      <c r="B9942" s="4" t="s">
        <v>12502</v>
      </c>
      <c r="C9942" s="5" t="str">
        <f>IFERROR(__xludf.DUMMYFUNCTION("GOOGLETRANSLATE(B9942,""en"",""zh-CN"")"),"看到窗帘，肚皮舞者走到舞台上。")</f>
        <v>看到窗帘，肚皮舞者走到舞台上。</v>
      </c>
    </row>
    <row r="9943">
      <c r="A9943" s="4" t="s">
        <v>12501</v>
      </c>
      <c r="B9943" s="4" t="s">
        <v>12503</v>
      </c>
      <c r="C9943" s="5" t="str">
        <f>IFERROR(__xludf.DUMMYFUNCTION("GOOGLETRANSLATE(B9943,""en"",""zh-CN"")"),"她为观众表演，摇晃臀部并吸入肚子进出。")</f>
        <v>她为观众表演，摇晃臀部并吸入肚子进出。</v>
      </c>
    </row>
    <row r="9944">
      <c r="A9944" s="4" t="s">
        <v>12501</v>
      </c>
      <c r="B9944" s="4" t="s">
        <v>12504</v>
      </c>
      <c r="C9944" s="5" t="str">
        <f>IFERROR(__xludf.DUMMYFUNCTION("GOOGLETRANSLATE(B9944,""en"",""zh-CN"")"),"当她结束时，她将手臂伸入空中，屏幕变黑。")</f>
        <v>当她结束时，她将手臂伸入空中，屏幕变黑。</v>
      </c>
    </row>
    <row r="9945">
      <c r="A9945" s="4" t="s">
        <v>12505</v>
      </c>
      <c r="B9945" s="6" t="s">
        <v>12506</v>
      </c>
      <c r="C9945" s="5" t="str">
        <f>IFERROR(__xludf.DUMMYFUNCTION("GOOGLETRANSLATE(B9945,""en"",""zh-CN"")"),"看到一个运动员站在一个圆圈中，然后旋转并把物体扔到远处。")</f>
        <v>看到一个运动员站在一个圆圈中，然后旋转并把物体扔到远处。</v>
      </c>
    </row>
    <row r="9946">
      <c r="A9946" s="4" t="s">
        <v>12505</v>
      </c>
      <c r="B9946" s="4" t="s">
        <v>12507</v>
      </c>
      <c r="C9946" s="5" t="str">
        <f>IFERROR(__xludf.DUMMYFUNCTION("GOOGLETRANSLATE(B9946,""en"",""zh-CN"")"),"相机观看时，看到越来越多的人加紧扔东西。")</f>
        <v>相机观看时，看到越来越多的人加紧扔东西。</v>
      </c>
    </row>
    <row r="9947">
      <c r="A9947" s="4" t="s">
        <v>12505</v>
      </c>
      <c r="B9947" s="4" t="s">
        <v>12508</v>
      </c>
      <c r="C9947" s="5" t="str">
        <f>IFERROR(__xludf.DUMMYFUNCTION("GOOGLETRANSLATE(B9947,""en"",""zh-CN"")"),"几个人在场边看。")</f>
        <v>几个人在场边看。</v>
      </c>
    </row>
    <row r="9948">
      <c r="A9948" s="4" t="s">
        <v>12509</v>
      </c>
      <c r="B9948" s="4" t="s">
        <v>12510</v>
      </c>
      <c r="C9948" s="5" t="str">
        <f>IFERROR(__xludf.DUMMYFUNCTION("GOOGLETRANSLATE(B9948,""en"",""zh-CN"")"),"看到一个男人在两端的滑雪板上放胶带，然后开始在滑雪上摩擦蜡。")</f>
        <v>看到一个男人在两端的滑雪板上放胶带，然后开始在滑雪上摩擦蜡。</v>
      </c>
    </row>
    <row r="9949">
      <c r="A9949" s="4" t="s">
        <v>12509</v>
      </c>
      <c r="B9949" s="4" t="s">
        <v>12511</v>
      </c>
      <c r="C9949" s="5" t="str">
        <f>IFERROR(__xludf.DUMMYFUNCTION("GOOGLETRANSLATE(B9949,""en"",""zh-CN"")"),"然后，该男子拿起砂光机并沿着滑雪板的长度运行。")</f>
        <v>然后，该男子拿起砂光机并沿着滑雪板的长度运行。</v>
      </c>
    </row>
    <row r="9950">
      <c r="A9950" s="4" t="s">
        <v>12509</v>
      </c>
      <c r="B9950" s="4" t="s">
        <v>12512</v>
      </c>
      <c r="C9950" s="5" t="str">
        <f>IFERROR(__xludf.DUMMYFUNCTION("GOOGLETRANSLATE(B9950,""en"",""zh-CN"")"),"然后，该男子拿起一个木板，沿滑雪摩擦并通过将其取下。")</f>
        <v>然后，该男子拿起一个木板，沿滑雪摩擦并通过将其取下。</v>
      </c>
    </row>
    <row r="9951">
      <c r="A9951" s="4" t="s">
        <v>12513</v>
      </c>
      <c r="B9951" s="4" t="s">
        <v>12514</v>
      </c>
      <c r="C9951" s="5" t="str">
        <f>IFERROR(__xludf.DUMMYFUNCTION("GOOGLETRANSLATE(B9951,""en"",""zh-CN"")"),"展示了一个大海滩，以及站在海滩上并看着天空的人们。")</f>
        <v>展示了一个大海滩，以及站在海滩上并看着天空的人们。</v>
      </c>
    </row>
    <row r="9952">
      <c r="A9952" s="4" t="s">
        <v>12513</v>
      </c>
      <c r="B9952" s="4" t="s">
        <v>12515</v>
      </c>
      <c r="C9952" s="5" t="str">
        <f>IFERROR(__xludf.DUMMYFUNCTION("GOOGLETRANSLATE(B9952,""en"",""zh-CN"")"),"人们看到人们在空中飞舞风筝，而人们环顾四周。")</f>
        <v>人们看到人们在空中飞舞风筝，而人们环顾四周。</v>
      </c>
    </row>
    <row r="9953">
      <c r="A9953" s="4" t="s">
        <v>12513</v>
      </c>
      <c r="B9953" s="4" t="s">
        <v>12516</v>
      </c>
      <c r="C9953" s="5" t="str">
        <f>IFERROR(__xludf.DUMMYFUNCTION("GOOGLETRANSLATE(B9953,""en"",""zh-CN"")"),"看到更多的人在空中飞行风筝，有些人将它们抓住了地面。")</f>
        <v>看到更多的人在空中飞行风筝，有些人将它们抓住了地面。</v>
      </c>
    </row>
    <row r="9954">
      <c r="A9954" s="4" t="s">
        <v>12517</v>
      </c>
      <c r="B9954" s="6" t="s">
        <v>12518</v>
      </c>
      <c r="C9954" s="5" t="str">
        <f>IFERROR(__xludf.DUMMYFUNCTION("GOOGLETRANSLATE(B9954,""en"",""zh-CN"")"),"一个穿着黑色湿式西装和携带冲浪板的男人正在与即将进入水中的相机人交谈。")</f>
        <v>一个穿着黑色湿式西装和携带冲浪板的男人正在与即将进入水中的相机人交谈。</v>
      </c>
    </row>
    <row r="9955">
      <c r="A9955" s="4" t="s">
        <v>12517</v>
      </c>
      <c r="B9955" s="4" t="s">
        <v>12519</v>
      </c>
      <c r="C9955" s="5" t="str">
        <f>IFERROR(__xludf.DUMMYFUNCTION("GOOGLETRANSLATE(B9955,""en"",""zh-CN"")"),"戏剧性的音乐播放，同时展示了水中的各种冲浪者，骑行。")</f>
        <v>戏剧性的音乐播放，同时展示了水中的各种冲浪者，骑行。</v>
      </c>
    </row>
    <row r="9956">
      <c r="A9956" s="4" t="s">
        <v>12517</v>
      </c>
      <c r="B9956" s="4" t="s">
        <v>12520</v>
      </c>
      <c r="C9956" s="5" t="str">
        <f>IFERROR(__xludf.DUMMYFUNCTION("GOOGLETRANSLATE(B9956,""en"",""zh-CN"")"),"当穿着黑色湿式西装的男人骑着波浪并微笑时，视频结束了。")</f>
        <v>当穿着黑色湿式西装的男人骑着波浪并微笑时，视频结束了。</v>
      </c>
    </row>
    <row r="9957">
      <c r="A9957" s="4" t="s">
        <v>12521</v>
      </c>
      <c r="B9957" s="6" t="s">
        <v>12522</v>
      </c>
      <c r="C9957" s="5" t="str">
        <f>IFERROR(__xludf.DUMMYFUNCTION("GOOGLETRANSLATE(B9957,""en"",""zh-CN"")"),"一个男人走进框架，在拿着剃刀和剃刀头的同时与镜头说话。")</f>
        <v>一个男人走进框架，在拿着剃刀和剃刀头的同时与镜头说话。</v>
      </c>
    </row>
    <row r="9958">
      <c r="A9958" s="4" t="s">
        <v>12521</v>
      </c>
      <c r="B9958" s="6" t="s">
        <v>12523</v>
      </c>
      <c r="C9958" s="5" t="str">
        <f>IFERROR(__xludf.DUMMYFUNCTION("GOOGLETRANSLATE(B9958,""en"",""zh-CN"")"),"男人的视频上出现了一个场景，他被看到在脸上擦面霜并剃掉头发。")</f>
        <v>男人的视频上出现了一个场景，他被看到在脸上擦面霜并剃掉头发。</v>
      </c>
    </row>
    <row r="9959">
      <c r="A9959" s="4" t="s">
        <v>12521</v>
      </c>
      <c r="B9959" s="4" t="s">
        <v>12524</v>
      </c>
      <c r="C9959" s="5" t="str">
        <f>IFERROR(__xludf.DUMMYFUNCTION("GOOGLETRANSLATE(B9959,""en"",""zh-CN"")"),"他的下巴上留下了一点头发，再次看到与镜头说话并走开。")</f>
        <v>他的下巴上留下了一点头发，再次看到与镜头说话并走开。</v>
      </c>
    </row>
    <row r="9960">
      <c r="A9960" s="4" t="s">
        <v>12525</v>
      </c>
      <c r="B9960" s="6" t="s">
        <v>12526</v>
      </c>
      <c r="C9960" s="5" t="str">
        <f>IFERROR(__xludf.DUMMYFUNCTION("GOOGLETRANSLATE(B9960,""en"",""zh-CN"")"),"在推动对象，驾驶机械，工作机械等的同时，在研讨会中显示了各种各样的人。")</f>
        <v>在推动对象，驾驶机械，工作机械等的同时，在研讨会中显示了各种各样的人。</v>
      </c>
    </row>
    <row r="9961">
      <c r="A9961" s="4" t="s">
        <v>12525</v>
      </c>
      <c r="B9961" s="6" t="s">
        <v>12527</v>
      </c>
      <c r="C9961" s="5" t="str">
        <f>IFERROR(__xludf.DUMMYFUNCTION("GOOGLETRANSLATE(B9961,""en"",""zh-CN"")"),"显示了一个女人，将一件长的金属件放入大型机械中，屏幕上出现了“今天的主题：焊接”一词，然后是戴着口罩并用火炬焊接的人。")</f>
        <v>显示了一个女人，将一件长的金属件放入大型机械中，屏幕上出现了“今天的主题：焊接”一词，然后是戴着口罩并用火炬焊接的人。</v>
      </c>
    </row>
    <row r="9962">
      <c r="A9962" s="4" t="s">
        <v>12525</v>
      </c>
      <c r="B9962" s="6" t="s">
        <v>12528</v>
      </c>
      <c r="C9962" s="5" t="str">
        <f>IFERROR(__xludf.DUMMYFUNCTION("GOOGLETRANSLATE(B9962,""en"",""zh-CN"")"),"一个女人现在站在一台机器上，她正在抓住各种金属物体，然后将它们放入将它们焊接在一起的机器中。")</f>
        <v>一个女人现在站在一台机器上，她正在抓住各种金属物体，然后将它们放入将它们焊接在一起的机器中。</v>
      </c>
    </row>
    <row r="9963">
      <c r="A9963" s="4" t="s">
        <v>12525</v>
      </c>
      <c r="B9963" s="6" t="s">
        <v>12529</v>
      </c>
      <c r="C9963" s="5" t="str">
        <f>IFERROR(__xludf.DUMMYFUNCTION("GOOGLETRANSLATE(B9963,""en"",""zh-CN"")"),"出现了Outro，它是一个带有红色和蓝色徽标，网站和标签信息的白色屏幕。")</f>
        <v>出现了Outro，它是一个带有红色和蓝色徽标，网站和标签信息的白色屏幕。</v>
      </c>
    </row>
    <row r="9964">
      <c r="A9964" s="4" t="s">
        <v>12530</v>
      </c>
      <c r="B9964" s="6" t="s">
        <v>12531</v>
      </c>
      <c r="C9964" s="5" t="str">
        <f>IFERROR(__xludf.DUMMYFUNCTION("GOOGLETRANSLATE(B9964,""en"",""zh-CN"")"),"一支大乐队正在游行，那里有很多人在旁边走，站在场边看或拍照和视频。")</f>
        <v>一支大乐队正在游行，那里有很多人在旁边走，站在场边看或拍照和视频。</v>
      </c>
    </row>
    <row r="9965">
      <c r="A9965" s="4" t="s">
        <v>12530</v>
      </c>
      <c r="B9965" s="6" t="s">
        <v>12532</v>
      </c>
      <c r="C9965" s="5" t="str">
        <f>IFERROR(__xludf.DUMMYFUNCTION("GOOGLETRANSLATE(B9965,""en"",""zh-CN"")"),"视图改变了女性在杆子上携带和挥舞旗帜，然后切换回到停下来的大乐队，并继续为人群玩耍。")</f>
        <v>视图改变了女性在杆子上携带和挥舞旗帜，然后切换回到停下来的大乐队，并继续为人群玩耍。</v>
      </c>
    </row>
    <row r="9966">
      <c r="A9966" s="4" t="s">
        <v>12530</v>
      </c>
      <c r="B9966" s="4" t="s">
        <v>12533</v>
      </c>
      <c r="C9966" s="5" t="str">
        <f>IFERROR(__xludf.DUMMYFUNCTION("GOOGLETRANSLATE(B9966,""en"",""zh-CN"")"),"乐队恢复行走，周围和后面的人群也是如此。")</f>
        <v>乐队恢复行走，周围和后面的人群也是如此。</v>
      </c>
    </row>
    <row r="9967">
      <c r="A9967" s="4" t="s">
        <v>12534</v>
      </c>
      <c r="B9967" s="4" t="s">
        <v>12535</v>
      </c>
      <c r="C9967" s="5" t="str">
        <f>IFERROR(__xludf.DUMMYFUNCTION("GOOGLETRANSLATE(B9967,""en"",""zh-CN"")"),"一个人坐在国旗前的房间里。")</f>
        <v>一个人坐在国旗前的房间里。</v>
      </c>
    </row>
    <row r="9968">
      <c r="A9968" s="4" t="s">
        <v>12534</v>
      </c>
      <c r="B9968" s="4" t="s">
        <v>12536</v>
      </c>
      <c r="C9968" s="5" t="str">
        <f>IFERROR(__xludf.DUMMYFUNCTION("GOOGLETRANSLATE(B9968,""en"",""zh-CN"")"),"他正在演奏黑色风乐器。")</f>
        <v>他正在演奏黑色风乐器。</v>
      </c>
    </row>
    <row r="9969">
      <c r="A9969" s="4" t="s">
        <v>12534</v>
      </c>
      <c r="B9969" s="4" t="s">
        <v>12537</v>
      </c>
      <c r="C9969" s="5" t="str">
        <f>IFERROR(__xludf.DUMMYFUNCTION("GOOGLETRANSLATE(B9969,""en"",""zh-CN"")"),"他的手指在孔上的位置。")</f>
        <v>他的手指在孔上的位置。</v>
      </c>
    </row>
    <row r="9970">
      <c r="A9970" s="4" t="s">
        <v>12534</v>
      </c>
      <c r="B9970" s="4" t="s">
        <v>12538</v>
      </c>
      <c r="C9970" s="5" t="str">
        <f>IFERROR(__xludf.DUMMYFUNCTION("GOOGLETRANSLATE(B9970,""en"",""zh-CN"")"),"他扮演的时候戴着太阳镜。")</f>
        <v>他扮演的时候戴着太阳镜。</v>
      </c>
    </row>
    <row r="9971">
      <c r="A9971" s="4" t="s">
        <v>12539</v>
      </c>
      <c r="B9971" s="4" t="s">
        <v>12540</v>
      </c>
      <c r="C9971" s="5" t="str">
        <f>IFERROR(__xludf.DUMMYFUNCTION("GOOGLETRANSLATE(B9971,""en"",""zh-CN"")"),"人们在一个竞技场的看台上。")</f>
        <v>人们在一个竞技场的看台上。</v>
      </c>
    </row>
    <row r="9972">
      <c r="A9972" s="4" t="s">
        <v>12539</v>
      </c>
      <c r="B9972" s="4" t="s">
        <v>12541</v>
      </c>
      <c r="C9972" s="5" t="str">
        <f>IFERROR(__xludf.DUMMYFUNCTION("GOOGLETRANSLATE(B9972,""en"",""zh-CN"")"),"一头公牛被马从竞技场上吸收毒品。")</f>
        <v>一头公牛被马从竞技场上吸收毒品。</v>
      </c>
    </row>
    <row r="9973">
      <c r="A9973" s="4" t="s">
        <v>12539</v>
      </c>
      <c r="B9973" s="4" t="s">
        <v>12542</v>
      </c>
      <c r="C9973" s="5" t="str">
        <f>IFERROR(__xludf.DUMMYFUNCTION("GOOGLETRANSLATE(B9973,""en"",""zh-CN"")"),"一个女人在和镜头说话。")</f>
        <v>一个女人在和镜头说话。</v>
      </c>
    </row>
    <row r="9974">
      <c r="A9974" s="4" t="s">
        <v>12543</v>
      </c>
      <c r="B9974" s="6" t="s">
        <v>12544</v>
      </c>
      <c r="C9974" s="5" t="str">
        <f>IFERROR(__xludf.DUMMYFUNCTION("GOOGLETRANSLATE(B9974,""en"",""zh-CN"")"),"一群年轻的亚洲男人是室内，看台上有很多观众，并为他们加油打气。")</f>
        <v>一群年轻的亚洲男人是室内，看台上有很多观众，并为他们加油打气。</v>
      </c>
    </row>
    <row r="9975">
      <c r="A9975" s="4" t="s">
        <v>12543</v>
      </c>
      <c r="B9975" s="6" t="s">
        <v>12545</v>
      </c>
      <c r="C9975" s="5" t="str">
        <f>IFERROR(__xludf.DUMMYFUNCTION("GOOGLETRANSLATE(B9975,""en"",""zh-CN"")"),"两个年轻的亚洲男人站起来，他们的弓箭和箭站起来，他们每个人都轮流向公牛的眼球目标射击，而每次射击后，人群都会为他们加油打气，偶尔会显示3个适合的人发表评论。")</f>
        <v>两个年轻的亚洲男人站起来，他们的弓箭和箭站起来，他们每个人都轮流向公牛的眼球目标射击，而每次射击后，人群都会为他们加油打气，偶尔会显示3个适合的人发表评论。</v>
      </c>
    </row>
    <row r="9976">
      <c r="A9976" s="4" t="s">
        <v>12543</v>
      </c>
      <c r="B9976" s="6" t="s">
        <v>12546</v>
      </c>
      <c r="C9976" s="5" t="str">
        <f>IFERROR(__xludf.DUMMYFUNCTION("GOOGLETRANSLATE(B9976,""en"",""zh-CN"")"),"当男人向目标射击时，其中一个在胜利中举起手臂，他们握手，拥抱，鞠躬，向欢呼的人群挥手。")</f>
        <v>当男人向目标射击时，其中一个在胜利中举起手臂，他们握手，拥抱，鞠躬，向欢呼的人群挥手。</v>
      </c>
    </row>
    <row r="9977">
      <c r="A9977" s="4" t="s">
        <v>12547</v>
      </c>
      <c r="B9977" s="4" t="s">
        <v>12548</v>
      </c>
      <c r="C9977" s="5" t="str">
        <f>IFERROR(__xludf.DUMMYFUNCTION("GOOGLETRANSLATE(B9977,""en"",""zh-CN"")"),"一个女人在带椅子的房间里。")</f>
        <v>一个女人在带椅子的房间里。</v>
      </c>
    </row>
    <row r="9978">
      <c r="A9978" s="4" t="s">
        <v>12547</v>
      </c>
      <c r="B9978" s="4" t="s">
        <v>12549</v>
      </c>
      <c r="C9978" s="5" t="str">
        <f>IFERROR(__xludf.DUMMYFUNCTION("GOOGLETRANSLATE(B9978,""en"",""zh-CN"")"),"她在玩小提琴。")</f>
        <v>她在玩小提琴。</v>
      </c>
    </row>
    <row r="9979">
      <c r="A9979" s="4" t="s">
        <v>12547</v>
      </c>
      <c r="B9979" s="4" t="s">
        <v>12550</v>
      </c>
      <c r="C9979" s="5" t="str">
        <f>IFERROR(__xludf.DUMMYFUNCTION("GOOGLETRANSLATE(B9979,""en"",""zh-CN"")"),"两个人和她一起打鼓。")</f>
        <v>两个人和她一起打鼓。</v>
      </c>
    </row>
    <row r="9980">
      <c r="A9980" s="4" t="s">
        <v>12547</v>
      </c>
      <c r="B9980" s="4" t="s">
        <v>12551</v>
      </c>
      <c r="C9980" s="5" t="str">
        <f>IFERROR(__xludf.DUMMYFUNCTION("GOOGLETRANSLATE(B9980,""en"",""zh-CN"")"),"他们之间的摄像机锅。")</f>
        <v>他们之间的摄像机锅。</v>
      </c>
    </row>
    <row r="9981">
      <c r="A9981" s="4" t="s">
        <v>12552</v>
      </c>
      <c r="B9981" s="4" t="s">
        <v>12553</v>
      </c>
      <c r="C9981" s="5" t="str">
        <f>IFERROR(__xludf.DUMMYFUNCTION("GOOGLETRANSLATE(B9981,""en"",""zh-CN"")"),"一个男人正在将飞镖扔到飞镖板上。")</f>
        <v>一个男人正在将飞镖扔到飞镖板上。</v>
      </c>
    </row>
    <row r="9982">
      <c r="A9982" s="4" t="s">
        <v>12552</v>
      </c>
      <c r="B9982" s="4" t="s">
        <v>12554</v>
      </c>
      <c r="C9982" s="5" t="str">
        <f>IFERROR(__xludf.DUMMYFUNCTION("GOOGLETRANSLATE(B9982,""en"",""zh-CN"")"),"他扔了一个，然后将其送到董事会中心。")</f>
        <v>他扔了一个，然后将其送到董事会中心。</v>
      </c>
    </row>
    <row r="9983">
      <c r="A9983" s="4" t="s">
        <v>12552</v>
      </c>
      <c r="B9983" s="4" t="s">
        <v>12555</v>
      </c>
      <c r="C9983" s="5" t="str">
        <f>IFERROR(__xludf.DUMMYFUNCTION("GOOGLETRANSLATE(B9983,""en"",""zh-CN"")"),"他再次投掷，也将其送到中心。")</f>
        <v>他再次投掷，也将其送到中心。</v>
      </c>
    </row>
    <row r="9984">
      <c r="A9984" s="4" t="s">
        <v>12552</v>
      </c>
      <c r="B9984" s="4" t="s">
        <v>12556</v>
      </c>
      <c r="C9984" s="5" t="str">
        <f>IFERROR(__xludf.DUMMYFUNCTION("GOOGLETRANSLATE(B9984,""en"",""zh-CN"")"),"每次镜头都使其在董事会的中央。")</f>
        <v>每次镜头都使其在董事会的中央。</v>
      </c>
    </row>
    <row r="9985">
      <c r="A9985" s="4" t="s">
        <v>12557</v>
      </c>
      <c r="B9985" s="4" t="s">
        <v>12558</v>
      </c>
      <c r="C9985" s="5" t="str">
        <f>IFERROR(__xludf.DUMMYFUNCTION("GOOGLETRANSLATE(B9985,""en"",""zh-CN"")"),"两个男人坐在一个摊位上，参加一场手臂摔跤比赛。")</f>
        <v>两个男人坐在一个摊位上，参加一场手臂摔跤比赛。</v>
      </c>
    </row>
    <row r="9986">
      <c r="A9986" s="4" t="s">
        <v>12557</v>
      </c>
      <c r="B9986" s="4" t="s">
        <v>12559</v>
      </c>
      <c r="C9986" s="5" t="str">
        <f>IFERROR(__xludf.DUMMYFUNCTION("GOOGLETRANSLATE(B9986,""en"",""zh-CN"")"),"比赛结束后，朋友们聚集在一起观看武器摔跤手的挑战。")</f>
        <v>比赛结束后，朋友们聚集在一起观看武器摔跤手的挑战。</v>
      </c>
    </row>
    <row r="9987">
      <c r="A9987" s="4" t="s">
        <v>12557</v>
      </c>
      <c r="B9987" s="4" t="s">
        <v>12560</v>
      </c>
      <c r="C9987" s="5" t="str">
        <f>IFERROR(__xludf.DUMMYFUNCTION("GOOGLETRANSLATE(B9987,""en"",""zh-CN"")"),"比赛结束后，男人握手并交谈。")</f>
        <v>比赛结束后，男人握手并交谈。</v>
      </c>
    </row>
    <row r="9988">
      <c r="A9988" s="4" t="s">
        <v>12561</v>
      </c>
      <c r="B9988" s="4" t="s">
        <v>12562</v>
      </c>
      <c r="C9988" s="5" t="str">
        <f>IFERROR(__xludf.DUMMYFUNCTION("GOOGLETRANSLATE(B9988,""en"",""zh-CN"")"),"标题和徽标出现在屏幕上。")</f>
        <v>标题和徽标出现在屏幕上。</v>
      </c>
    </row>
    <row r="9989">
      <c r="A9989" s="4" t="s">
        <v>12561</v>
      </c>
      <c r="B9989" s="4" t="s">
        <v>12563</v>
      </c>
      <c r="C9989" s="5" t="str">
        <f>IFERROR(__xludf.DUMMYFUNCTION("GOOGLETRANSLATE(B9989,""en"",""zh-CN"")"),"一个拿着萨克斯管的男人播放并与相机交谈。")</f>
        <v>一个拿着萨克斯管的男人播放并与相机交谈。</v>
      </c>
    </row>
    <row r="9990">
      <c r="A9990" s="4" t="s">
        <v>12561</v>
      </c>
      <c r="B9990" s="4" t="s">
        <v>12564</v>
      </c>
      <c r="C9990" s="5" t="str">
        <f>IFERROR(__xludf.DUMMYFUNCTION("GOOGLETRANSLATE(B9990,""en"",""zh-CN"")"),"一个人拿着萨克斯管以展示底部。")</f>
        <v>一个人拿着萨克斯管以展示底部。</v>
      </c>
    </row>
    <row r="9991">
      <c r="A9991" s="4" t="s">
        <v>12561</v>
      </c>
      <c r="B9991" s="4" t="s">
        <v>12565</v>
      </c>
      <c r="C9991" s="5" t="str">
        <f>IFERROR(__xludf.DUMMYFUNCTION("GOOGLETRANSLATE(B9991,""en"",""zh-CN"")"),"该男子从萨克斯管上取出喉舌，然后取代它。")</f>
        <v>该男子从萨克斯管上取出喉舌，然后取代它。</v>
      </c>
    </row>
    <row r="9992">
      <c r="A9992" s="4" t="s">
        <v>12561</v>
      </c>
      <c r="B9992" s="4" t="s">
        <v>12566</v>
      </c>
      <c r="C9992" s="5" t="str">
        <f>IFERROR(__xludf.DUMMYFUNCTION("GOOGLETRANSLATE(B9992,""en"",""zh-CN"")"),"我们看到这个男人演奏萨克斯管的特写镜头，它再次放大了他。")</f>
        <v>我们看到这个男人演奏萨克斯管的特写镜头，它再次放大了他。</v>
      </c>
    </row>
    <row r="9993">
      <c r="A9993" s="4" t="s">
        <v>12561</v>
      </c>
      <c r="B9993" s="4" t="s">
        <v>12567</v>
      </c>
      <c r="C9993" s="5" t="str">
        <f>IFERROR(__xludf.DUMMYFUNCTION("GOOGLETRANSLATE(B9993,""en"",""zh-CN"")"),"我们看到了号角的开头。")</f>
        <v>我们看到了号角的开头。</v>
      </c>
    </row>
    <row r="9994">
      <c r="A9994" s="4" t="s">
        <v>12561</v>
      </c>
      <c r="B9994" s="4" t="s">
        <v>12568</v>
      </c>
      <c r="C9994" s="5" t="str">
        <f>IFERROR(__xludf.DUMMYFUNCTION("GOOGLETRANSLATE(B9994,""en"",""zh-CN"")"),"屏幕变黑，我们看到了终点屏幕。")</f>
        <v>屏幕变黑，我们看到了终点屏幕。</v>
      </c>
    </row>
    <row r="9995">
      <c r="A9995" s="4" t="s">
        <v>12569</v>
      </c>
      <c r="B9995" s="4" t="s">
        <v>12570</v>
      </c>
      <c r="C9995" s="5" t="str">
        <f>IFERROR(__xludf.DUMMYFUNCTION("GOOGLETRANSLATE(B9995,""en"",""zh-CN"")"),"我们看到两个女士的手臂摔跤。")</f>
        <v>我们看到两个女士的手臂摔跤。</v>
      </c>
    </row>
    <row r="9996">
      <c r="A9996" s="4" t="s">
        <v>12569</v>
      </c>
      <c r="B9996" s="4" t="s">
        <v>12571</v>
      </c>
      <c r="C9996" s="5" t="str">
        <f>IFERROR(__xludf.DUMMYFUNCTION("GOOGLETRANSLATE(B9996,""en"",""zh-CN"")"),"合适的女士看着相机。")</f>
        <v>合适的女士看着相机。</v>
      </c>
    </row>
    <row r="9997">
      <c r="A9997" s="4" t="s">
        <v>12569</v>
      </c>
      <c r="B9997" s="4" t="s">
        <v>12572</v>
      </c>
      <c r="C9997" s="5" t="str">
        <f>IFERROR(__xludf.DUMMYFUNCTION("GOOGLETRANSLATE(B9997,""en"",""zh-CN"")"),"合适的女士赢得了比赛。")</f>
        <v>合适的女士赢得了比赛。</v>
      </c>
    </row>
    <row r="9998">
      <c r="A9998" s="4" t="s">
        <v>12569</v>
      </c>
      <c r="B9998" s="4" t="s">
        <v>12573</v>
      </c>
      <c r="C9998" s="5" t="str">
        <f>IFERROR(__xludf.DUMMYFUNCTION("GOOGLETRANSLATE(B9998,""en"",""zh-CN"")"),"左女士将头放到桌子上。")</f>
        <v>左女士将头放到桌子上。</v>
      </c>
    </row>
    <row r="9999">
      <c r="A9999" s="4" t="s">
        <v>12569</v>
      </c>
      <c r="B9999" s="4" t="s">
        <v>12574</v>
      </c>
      <c r="C9999" s="5" t="str">
        <f>IFERROR(__xludf.DUMMYFUNCTION("GOOGLETRANSLATE(B9999,""en"",""zh-CN"")"),"合适的女士将手臂伸到空中，与镜头交谈。")</f>
        <v>合适的女士将手臂伸到空中，与镜头交谈。</v>
      </c>
    </row>
    <row r="10000">
      <c r="A10000" s="4" t="s">
        <v>12575</v>
      </c>
      <c r="B10000" s="4" t="s">
        <v>12576</v>
      </c>
      <c r="C10000" s="5" t="str">
        <f>IFERROR(__xludf.DUMMYFUNCTION("GOOGLETRANSLATE(B10000,""en"",""zh-CN"")"),"一个人在雪地上砍木头。")</f>
        <v>一个人在雪地上砍木头。</v>
      </c>
    </row>
    <row r="10001">
      <c r="A10001" s="4" t="s">
        <v>12575</v>
      </c>
      <c r="B10001" s="4" t="s">
        <v>12577</v>
      </c>
      <c r="C10001" s="5" t="str">
        <f>IFERROR(__xludf.DUMMYFUNCTION("GOOGLETRANSLATE(B10001,""en"",""zh-CN"")"),"一个人站在男人后面。")</f>
        <v>一个人站在男人后面。</v>
      </c>
    </row>
    <row r="10002">
      <c r="A10002" s="4" t="s">
        <v>12575</v>
      </c>
      <c r="B10002" s="4" t="s">
        <v>12578</v>
      </c>
      <c r="C10002" s="5" t="str">
        <f>IFERROR(__xludf.DUMMYFUNCTION("GOOGLETRANSLATE(B10002,""en"",""zh-CN"")"),"一个人将木柴处理给一个男人。")</f>
        <v>一个人将木柴处理给一个男人。</v>
      </c>
    </row>
    <row r="10003">
      <c r="A10003" s="4" t="s">
        <v>12575</v>
      </c>
      <c r="B10003" s="4" t="s">
        <v>12579</v>
      </c>
      <c r="C10003" s="5" t="str">
        <f>IFERROR(__xludf.DUMMYFUNCTION("GOOGLETRANSLATE(B10003,""en"",""zh-CN"")"),"该男子继续用斧头切碎柴火。")</f>
        <v>该男子继续用斧头切碎柴火。</v>
      </c>
    </row>
    <row r="10004">
      <c r="A10004" s="4" t="s">
        <v>12575</v>
      </c>
      <c r="B10004" s="4" t="s">
        <v>12580</v>
      </c>
      <c r="C10004" s="5" t="str">
        <f>IFERROR(__xludf.DUMMYFUNCTION("GOOGLETRANSLATE(B10004,""en"",""zh-CN"")"),"斧头在一块木头上堆叠，但该男子将其脱掉并继续切割柴火。")</f>
        <v>斧头在一块木头上堆叠，但该男子将其脱掉并继续切割柴火。</v>
      </c>
    </row>
    <row r="10005">
      <c r="A10005" s="4" t="s">
        <v>12581</v>
      </c>
      <c r="B10005" s="6" t="s">
        <v>12582</v>
      </c>
      <c r="C10005" s="5" t="str">
        <f>IFERROR(__xludf.DUMMYFUNCTION("GOOGLETRANSLATE(B10005,""en"",""zh-CN"")"),"一位白人妇女，有着短发的头发和眼镜开始在体育馆的角落说话。")</f>
        <v>一位白人妇女，有着短发的头发和眼镜开始在体育馆的角落说话。</v>
      </c>
    </row>
    <row r="10006">
      <c r="A10006" s="4" t="s">
        <v>12581</v>
      </c>
      <c r="B10006" s="6" t="s">
        <v>12583</v>
      </c>
      <c r="C10006" s="5" t="str">
        <f>IFERROR(__xludf.DUMMYFUNCTION("GOOGLETRANSLATE(B10006,""en"",""zh-CN"")"),"然后，小女孩进入健身房，一位男教练开始协助他们穿过平衡梁。")</f>
        <v>然后，小女孩进入健身房，一位男教练开始协助他们穿过平衡梁。</v>
      </c>
    </row>
    <row r="10007">
      <c r="A10007" s="4" t="s">
        <v>12584</v>
      </c>
      <c r="B10007" s="6" t="s">
        <v>12585</v>
      </c>
      <c r="C10007" s="5" t="str">
        <f>IFERROR(__xludf.DUMMYFUNCTION("GOOGLETRANSLATE(B10007,""en"",""zh-CN"")"),"一名亚洲妇女穿着蓝色衬衫，开始说话并把手伸向相机。")</f>
        <v>一名亚洲妇女穿着蓝色衬衫，开始说话并把手伸向相机。</v>
      </c>
    </row>
    <row r="10008">
      <c r="A10008" s="4" t="s">
        <v>12584</v>
      </c>
      <c r="B10008" s="4" t="s">
        <v>12586</v>
      </c>
      <c r="C10008" s="5" t="str">
        <f>IFERROR(__xludf.DUMMYFUNCTION("GOOGLETRANSLATE(B10008,""en"",""zh-CN"")"),"然后，她抓住铁，继续在熨衣板上熨烫一块黄色的布。")</f>
        <v>然后，她抓住铁，继续在熨衣板上熨烫一块黄色的布。</v>
      </c>
    </row>
    <row r="10009">
      <c r="A10009" s="4" t="s">
        <v>12584</v>
      </c>
      <c r="B10009" s="4" t="s">
        <v>12587</v>
      </c>
      <c r="C10009" s="5" t="str">
        <f>IFERROR(__xludf.DUMMYFUNCTION("GOOGLETRANSLATE(B10009,""en"",""zh-CN"")"),"前面完成后，她抓住它并将其翻转过来，以便可以完成熨烫。")</f>
        <v>前面完成后，她抓住它并将其翻转过来，以便可以完成熨烫。</v>
      </c>
    </row>
    <row r="10010">
      <c r="A10010" s="4" t="s">
        <v>12588</v>
      </c>
      <c r="B10010" s="6" t="s">
        <v>12589</v>
      </c>
      <c r="C10010" s="5" t="str">
        <f>IFERROR(__xludf.DUMMYFUNCTION("GOOGLETRANSLATE(B10010,""en"",""zh-CN"")"),"摄像机在被轨道包围的草田上铺在草地上，人们在背景中做些模糊的事情。")</f>
        <v>摄像机在被轨道包围的草田上铺在草地上，人们在背景中做些模糊的事情。</v>
      </c>
    </row>
    <row r="10011">
      <c r="A10011" s="4" t="s">
        <v>12588</v>
      </c>
      <c r="B10011" s="4" t="s">
        <v>12590</v>
      </c>
      <c r="C10011" s="5" t="str">
        <f>IFERROR(__xludf.DUMMYFUNCTION("GOOGLETRANSLATE(B10011,""en"",""zh-CN"")"),"一个男人参与铅球。")</f>
        <v>一个男人参与铅球。</v>
      </c>
    </row>
    <row r="10012">
      <c r="A10012" s="4" t="s">
        <v>12588</v>
      </c>
      <c r="B10012" s="4" t="s">
        <v>12591</v>
      </c>
      <c r="C10012" s="5" t="str">
        <f>IFERROR(__xludf.DUMMYFUNCTION("GOOGLETRANSLATE(B10012,""en"",""zh-CN"")"),"法官衡量男人的投掷。")</f>
        <v>法官衡量男人的投掷。</v>
      </c>
    </row>
    <row r="10013">
      <c r="A10013" s="4" t="s">
        <v>12588</v>
      </c>
      <c r="B10013" s="4" t="s">
        <v>12592</v>
      </c>
      <c r="C10013" s="5" t="str">
        <f>IFERROR(__xludf.DUMMYFUNCTION("GOOGLETRANSLATE(B10013,""en"",""zh-CN"")"),"当该男子收到附近的人的祝贺时，观众拍了拍。")</f>
        <v>当该男子收到附近的人的祝贺时，观众拍了拍。</v>
      </c>
    </row>
    <row r="10014">
      <c r="A10014" s="4" t="s">
        <v>12588</v>
      </c>
      <c r="B10014" s="4" t="s">
        <v>12593</v>
      </c>
      <c r="C10014" s="5" t="str">
        <f>IFERROR(__xludf.DUMMYFUNCTION("GOOGLETRANSLATE(B10014,""en"",""zh-CN"")"),"显示了投掷的重播。")</f>
        <v>显示了投掷的重播。</v>
      </c>
    </row>
    <row r="10015">
      <c r="A10015" s="4" t="s">
        <v>12594</v>
      </c>
      <c r="B10015" s="4" t="s">
        <v>12595</v>
      </c>
      <c r="C10015" s="5" t="str">
        <f>IFERROR(__xludf.DUMMYFUNCTION("GOOGLETRANSLATE(B10015,""en"",""zh-CN"")"),"几个人穿着汗衣穿着大型健身房滚动垫子。")</f>
        <v>几个人穿着汗衣穿着大型健身房滚动垫子。</v>
      </c>
    </row>
    <row r="10016">
      <c r="A10016" s="4" t="s">
        <v>12594</v>
      </c>
      <c r="B10016" s="6" t="s">
        <v>12596</v>
      </c>
      <c r="C10016" s="5" t="str">
        <f>IFERROR(__xludf.DUMMYFUNCTION("GOOGLETRANSLATE(B10016,""en"",""zh-CN"")"),"垫子推出后，其他人开始穿着栅栏制服的地板行走。")</f>
        <v>垫子推出后，其他人开始穿着栅栏制服的地板行走。</v>
      </c>
    </row>
    <row r="10017">
      <c r="A10017" s="4" t="s">
        <v>12594</v>
      </c>
      <c r="B10017" s="6" t="s">
        <v>12597</v>
      </c>
      <c r="C10017" s="5" t="str">
        <f>IFERROR(__xludf.DUMMYFUNCTION("GOOGLETRANSLATE(B10017,""en"",""zh-CN"")"),"然后，运动员开始走来走去，互相交谈，因为一个小的吉祥物越过垫子。")</f>
        <v>然后，运动员开始走来走去，互相交谈，因为一个小的吉祥物越过垫子。</v>
      </c>
    </row>
    <row r="10018">
      <c r="A10018" s="4" t="s">
        <v>12594</v>
      </c>
      <c r="B10018" s="4" t="s">
        <v>12598</v>
      </c>
      <c r="C10018" s="5" t="str">
        <f>IFERROR(__xludf.DUMMYFUNCTION("GOOGLETRANSLATE(B10018,""en"",""zh-CN"")"),"最后，一场比赛开始了，一旦大约五个人摆姿势就可以拍照。")</f>
        <v>最后，一场比赛开始了，一旦大约五个人摆姿势就可以拍照。</v>
      </c>
    </row>
    <row r="10019">
      <c r="A10019" s="4" t="s">
        <v>12594</v>
      </c>
      <c r="B10019" s="4" t="s">
        <v>12599</v>
      </c>
      <c r="C10019" s="5" t="str">
        <f>IFERROR(__xludf.DUMMYFUNCTION("GOOGLETRANSLATE(B10019,""en"",""zh-CN"")"),"然后，摄像机加快了速度，并向几个团队和人展示了进入和离开健身房的人。")</f>
        <v>然后，摄像机加快了速度，并向几个团队和人展示了进入和离开健身房的人。</v>
      </c>
    </row>
    <row r="10020">
      <c r="A10020" s="4" t="s">
        <v>12594</v>
      </c>
      <c r="B10020" s="6" t="s">
        <v>12600</v>
      </c>
      <c r="C10020" s="5" t="str">
        <f>IFERROR(__xludf.DUMMYFUNCTION("GOOGLETRANSLATE(B10020,""en"",""zh-CN"")"),"接下来，在大约12对人之间显示了围栏比赛，他们排队并给彼此的五个高五个，然后挤在一起并与他们的教练进行交谈。")</f>
        <v>接下来，在大约12对人之间显示了围栏比赛，他们排队并给彼此的五个高五个，然后挤在一起并与他们的教练进行交谈。</v>
      </c>
    </row>
    <row r="10021">
      <c r="A10021" s="4" t="s">
        <v>12601</v>
      </c>
      <c r="B10021" s="4" t="s">
        <v>12602</v>
      </c>
      <c r="C10021" s="5" t="str">
        <f>IFERROR(__xludf.DUMMYFUNCTION("GOOGLETRANSLATE(B10021,""en"",""zh-CN"")"),"黑屏上出现了蓝色字母，上面写着“ Jayne Clarke Field曲棍球夹2009”。")</f>
        <v>黑屏上出现了蓝色字母，上面写着“ Jayne Clarke Field曲棍球夹2009”。</v>
      </c>
    </row>
    <row r="10022">
      <c r="A10022" s="4" t="s">
        <v>12601</v>
      </c>
      <c r="B10022" s="6" t="s">
        <v>12603</v>
      </c>
      <c r="C10022" s="5" t="str">
        <f>IFERROR(__xludf.DUMMYFUNCTION("GOOGLETRANSLATE(B10022,""en"",""zh-CN"")"),"剪辑开始播放，有一系列的小剪辑组合在一起，女孩与一个团队一起玩，独自练习，并在课程上练习。")</f>
        <v>剪辑开始播放，有一系列的小剪辑组合在一起，女孩与一个团队一起玩，独自练习，并在课程上练习。</v>
      </c>
    </row>
    <row r="10023">
      <c r="A10023" s="4" t="s">
        <v>12601</v>
      </c>
      <c r="B10023" s="4" t="s">
        <v>12604</v>
      </c>
      <c r="C10023" s="5" t="str">
        <f>IFERROR(__xludf.DUMMYFUNCTION("GOOGLETRANSLATE(B10023,""en"",""zh-CN"")"),"视频以女孩独自在空的大蓝色室内法庭上独自练习结束。")</f>
        <v>视频以女孩独自在空的大蓝色室内法庭上独自练习结束。</v>
      </c>
    </row>
    <row r="10024">
      <c r="A10024" s="4" t="s">
        <v>12605</v>
      </c>
      <c r="B10024" s="4" t="s">
        <v>12606</v>
      </c>
      <c r="C10024" s="5" t="str">
        <f>IFERROR(__xludf.DUMMYFUNCTION("GOOGLETRANSLATE(B10024,""en"",""zh-CN"")"),"我们看到强壮的男人的手臂摔跤。")</f>
        <v>我们看到强壮的男人的手臂摔跤。</v>
      </c>
    </row>
    <row r="10025">
      <c r="A10025" s="4" t="s">
        <v>12605</v>
      </c>
      <c r="B10025" s="4" t="s">
        <v>12607</v>
      </c>
      <c r="C10025" s="5" t="str">
        <f>IFERROR(__xludf.DUMMYFUNCTION("GOOGLETRANSLATE(B10025,""en"",""zh-CN"")"),"比赛结束后，我们看到两个人拥抱。")</f>
        <v>比赛结束后，我们看到两个人拥抱。</v>
      </c>
    </row>
    <row r="10026">
      <c r="A10026" s="4" t="s">
        <v>12605</v>
      </c>
      <c r="B10026" s="4" t="s">
        <v>12608</v>
      </c>
      <c r="C10026" s="5" t="str">
        <f>IFERROR(__xludf.DUMMYFUNCTION("GOOGLETRANSLATE(B10026,""en"",""zh-CN"")"),"穿着白色西装的主人讲述。")</f>
        <v>穿着白色西装的主人讲述。</v>
      </c>
    </row>
    <row r="10027">
      <c r="A10027" s="4" t="s">
        <v>12605</v>
      </c>
      <c r="B10027" s="4" t="s">
        <v>12609</v>
      </c>
      <c r="C10027" s="5" t="str">
        <f>IFERROR(__xludf.DUMMYFUNCTION("GOOGLETRANSLATE(B10027,""en"",""zh-CN"")"),"我们在桌子后面看到一个相机的人。")</f>
        <v>我们在桌子后面看到一个相机的人。</v>
      </c>
    </row>
    <row r="10028">
      <c r="A10028" s="4" t="s">
        <v>12605</v>
      </c>
      <c r="B10028" s="4" t="s">
        <v>9831</v>
      </c>
      <c r="C10028" s="5" t="str">
        <f>IFERROR(__xludf.DUMMYFUNCTION("GOOGLETRANSLATE(B10028,""en"",""zh-CN"")"),"一个人在镜头前行走。")</f>
        <v>一个人在镜头前行走。</v>
      </c>
    </row>
    <row r="10029">
      <c r="A10029" s="4" t="s">
        <v>12605</v>
      </c>
      <c r="B10029" s="4" t="s">
        <v>12610</v>
      </c>
      <c r="C10029" s="5" t="str">
        <f>IFERROR(__xludf.DUMMYFUNCTION("GOOGLETRANSLATE(B10029,""en"",""zh-CN"")"),"最后一场比赛开始和结束很快，人们拥抱。")</f>
        <v>最后一场比赛开始和结束很快，人们拥抱。</v>
      </c>
    </row>
    <row r="10030">
      <c r="A10030" s="4" t="s">
        <v>12605</v>
      </c>
      <c r="B10030" s="4" t="s">
        <v>12611</v>
      </c>
      <c r="C10030" s="5" t="str">
        <f>IFERROR(__xludf.DUMMYFUNCTION("GOOGLETRANSLATE(B10030,""en"",""zh-CN"")"),"我们看到图像的海市rage楼。")</f>
        <v>我们看到图像的海市rage楼。</v>
      </c>
    </row>
    <row r="10031">
      <c r="A10031" s="4" t="s">
        <v>12612</v>
      </c>
      <c r="B10031" s="6" t="s">
        <v>12613</v>
      </c>
      <c r="C10031" s="5" t="str">
        <f>IFERROR(__xludf.DUMMYFUNCTION("GOOGLETRANSLATE(B10031,""en"",""zh-CN"")"),"看到一大批人在不断划船的同时，沿着严格的河流沿着多个筏子骑行。")</f>
        <v>看到一大批人在不断划船的同时，沿着严格的河流沿着多个筏子骑行。</v>
      </c>
    </row>
    <row r="10032">
      <c r="A10032" s="4" t="s">
        <v>12612</v>
      </c>
      <c r="B10032" s="6" t="s">
        <v>12614</v>
      </c>
      <c r="C10032" s="5" t="str">
        <f>IFERROR(__xludf.DUMMYFUNCTION("GOOGLETRANSLATE(B10032,""en"",""zh-CN"")"),"几张照片显示了骑着棍子的人骑着脚，并以人们停下来吃饭而结束。")</f>
        <v>几张照片显示了骑着棍子的人骑着脚，并以人们停下来吃饭而结束。</v>
      </c>
    </row>
    <row r="10033">
      <c r="A10033" s="4" t="s">
        <v>12615</v>
      </c>
      <c r="B10033" s="4" t="s">
        <v>12616</v>
      </c>
      <c r="C10033" s="5" t="str">
        <f>IFERROR(__xludf.DUMMYFUNCTION("GOOGLETRANSLATE(B10033,""en"",""zh-CN"")"),"穿着西装的男人和穿着衣服的女人站在观众面前。")</f>
        <v>穿着西装的男人和穿着衣服的女人站在观众面前。</v>
      </c>
    </row>
    <row r="10034">
      <c r="A10034" s="4" t="s">
        <v>12615</v>
      </c>
      <c r="B10034" s="4" t="s">
        <v>12617</v>
      </c>
      <c r="C10034" s="5" t="str">
        <f>IFERROR(__xludf.DUMMYFUNCTION("GOOGLETRANSLATE(B10034,""en"",""zh-CN"")"),"他们开始在地板上跳舞。")</f>
        <v>他们开始在地板上跳舞。</v>
      </c>
    </row>
    <row r="10035">
      <c r="A10035" s="4" t="s">
        <v>12615</v>
      </c>
      <c r="B10035" s="4" t="s">
        <v>12618</v>
      </c>
      <c r="C10035" s="5" t="str">
        <f>IFERROR(__xludf.DUMMYFUNCTION("GOOGLETRANSLATE(B10035,""en"",""zh-CN"")"),"他们结束了跳舞，观众鼓掌。")</f>
        <v>他们结束了跳舞，观众鼓掌。</v>
      </c>
    </row>
    <row r="10036">
      <c r="A10036" s="4" t="s">
        <v>12619</v>
      </c>
      <c r="B10036" s="4" t="s">
        <v>12620</v>
      </c>
      <c r="C10036" s="5" t="str">
        <f>IFERROR(__xludf.DUMMYFUNCTION("GOOGLETRANSLATE(B10036,""en"",""zh-CN"")"),"一个人抓住摩托车戴着滚筒，沿着街道被挖出。")</f>
        <v>一个人抓住摩托车戴着滚筒，沿着街道被挖出。</v>
      </c>
    </row>
    <row r="10037">
      <c r="A10037" s="4" t="s">
        <v>12619</v>
      </c>
      <c r="B10037" s="4" t="s">
        <v>12621</v>
      </c>
      <c r="C10037" s="5" t="str">
        <f>IFERROR(__xludf.DUMMYFUNCTION("GOOGLETRANSLATE(B10037,""en"",""zh-CN"")"),"一个人站在水上。")</f>
        <v>一个人站在水上。</v>
      </c>
    </row>
    <row r="10038">
      <c r="A10038" s="4" t="s">
        <v>12619</v>
      </c>
      <c r="B10038" s="4" t="s">
        <v>12622</v>
      </c>
      <c r="C10038" s="5" t="str">
        <f>IFERROR(__xludf.DUMMYFUNCTION("GOOGLETRANSLATE(B10038,""en"",""zh-CN"")"),"人们正在做溜冰技巧。")</f>
        <v>人们正在做溜冰技巧。</v>
      </c>
    </row>
    <row r="10039">
      <c r="A10039" s="4" t="s">
        <v>12623</v>
      </c>
      <c r="B10039" s="4" t="s">
        <v>12624</v>
      </c>
      <c r="C10039" s="5" t="str">
        <f>IFERROR(__xludf.DUMMYFUNCTION("GOOGLETRANSLATE(B10039,""en"",""zh-CN"")"),"一个男人在近距离的视野中与摄像机说话。")</f>
        <v>一个男人在近距离的视野中与摄像机说话。</v>
      </c>
    </row>
    <row r="10040">
      <c r="A10040" s="4" t="s">
        <v>12623</v>
      </c>
      <c r="B10040" s="4" t="s">
        <v>12625</v>
      </c>
      <c r="C10040" s="5" t="str">
        <f>IFERROR(__xludf.DUMMYFUNCTION("GOOGLETRANSLATE(B10040,""en"",""zh-CN"")"),"显示了男人日常活动的场景。")</f>
        <v>显示了男人日常活动的场景。</v>
      </c>
    </row>
    <row r="10041">
      <c r="A10041" s="4" t="s">
        <v>12623</v>
      </c>
      <c r="B10041" s="6" t="s">
        <v>12626</v>
      </c>
      <c r="C10041" s="5" t="str">
        <f>IFERROR(__xludf.DUMMYFUNCTION("GOOGLETRANSLATE(B10041,""en"",""zh-CN"")"),"通常会在背景中与其他人一起在美发沙龙上维修的那个人。")</f>
        <v>通常会在背景中与其他人一起在美发沙龙上维修的那个人。</v>
      </c>
    </row>
    <row r="10042">
      <c r="A10042" s="4" t="s">
        <v>12623</v>
      </c>
      <c r="B10042" s="4" t="s">
        <v>12627</v>
      </c>
      <c r="C10042" s="5" t="str">
        <f>IFERROR(__xludf.DUMMYFUNCTION("GOOGLETRANSLATE(B10042,""en"",""zh-CN"")"),"显示了与其他各种相机交谈的人的场景。")</f>
        <v>显示了与其他各种相机交谈的人的场景。</v>
      </c>
    </row>
    <row r="10043">
      <c r="A10043" s="4" t="s">
        <v>12623</v>
      </c>
      <c r="B10043" s="4" t="s">
        <v>12628</v>
      </c>
      <c r="C10043" s="5" t="str">
        <f>IFERROR(__xludf.DUMMYFUNCTION("GOOGLETRANSLATE(B10043,""en"",""zh-CN"")"),"显示了美发沙龙的更多场景。")</f>
        <v>显示了美发沙龙的更多场景。</v>
      </c>
    </row>
    <row r="10044">
      <c r="A10044" s="4" t="s">
        <v>12629</v>
      </c>
      <c r="B10044" s="6" t="s">
        <v>12630</v>
      </c>
      <c r="C10044" s="5" t="str">
        <f>IFERROR(__xludf.DUMMYFUNCTION("GOOGLETRANSLATE(B10044,""en"",""zh-CN"")"),"看到三名男子互相骑在马上，并陷入一头牛身上并追逐一个男人。")</f>
        <v>看到三名男子互相骑在马上，并陷入一头牛身上并追逐一个男人。</v>
      </c>
    </row>
    <row r="10045">
      <c r="A10045" s="4" t="s">
        <v>12629</v>
      </c>
      <c r="B10045" s="4" t="s">
        <v>12631</v>
      </c>
      <c r="C10045" s="5" t="str">
        <f>IFERROR(__xludf.DUMMYFUNCTION("GOOGLETRANSLATE(B10045,""en"",""zh-CN"")"),"该名男子围绕公牛骑行，并显示了骑车人在公牛周围骑行的几枪。")</f>
        <v>该名男子围绕公牛骑行，并显示了骑车人在公牛周围骑行的几枪。</v>
      </c>
    </row>
    <row r="10046">
      <c r="A10046" s="4" t="s">
        <v>12629</v>
      </c>
      <c r="B10046" s="6" t="s">
        <v>12632</v>
      </c>
      <c r="C10046" s="5" t="str">
        <f>IFERROR(__xludf.DUMMYFUNCTION("GOOGLETRANSLATE(B10046,""en"",""zh-CN"")"),"有一次，更多的人撞到了坑里，公牛在观众欢呼时躺在一边，男人抬起手臂。")</f>
        <v>有一次，更多的人撞到了坑里，公牛在观众欢呼时躺在一边，男人抬起手臂。</v>
      </c>
    </row>
    <row r="10047">
      <c r="A10047" s="4" t="s">
        <v>12633</v>
      </c>
      <c r="B10047" s="4" t="s">
        <v>12634</v>
      </c>
      <c r="C10047" s="5" t="str">
        <f>IFERROR(__xludf.DUMMYFUNCTION("GOOGLETRANSLATE(B10047,""en"",""zh-CN"")"),"孩子们在田野上，来回踢球。")</f>
        <v>孩子们在田野上，来回踢球。</v>
      </c>
    </row>
    <row r="10048">
      <c r="A10048" s="4" t="s">
        <v>12633</v>
      </c>
      <c r="B10048" s="4" t="s">
        <v>12635</v>
      </c>
      <c r="C10048" s="5" t="str">
        <f>IFERROR(__xludf.DUMMYFUNCTION("GOOGLETRANSLATE(B10048,""en"",""zh-CN"")"),"一个女孩跑起来，踢那个男孩。")</f>
        <v>一个女孩跑起来，踢那个男孩。</v>
      </c>
    </row>
    <row r="10049">
      <c r="A10049" s="4" t="s">
        <v>12633</v>
      </c>
      <c r="B10049" s="4" t="s">
        <v>12636</v>
      </c>
      <c r="C10049" s="5" t="str">
        <f>IFERROR(__xludf.DUMMYFUNCTION("GOOGLETRANSLATE(B10049,""en"",""zh-CN"")"),"她沿着边线跑来跑去，试图接球，而其他女孩在场外看。")</f>
        <v>她沿着边线跑来跑去，试图接球，而其他女孩在场外看。</v>
      </c>
    </row>
    <row r="10050">
      <c r="A10050" s="4" t="s">
        <v>12633</v>
      </c>
      <c r="B10050" s="4" t="s">
        <v>12637</v>
      </c>
      <c r="C10050" s="5" t="str">
        <f>IFERROR(__xludf.DUMMYFUNCTION("GOOGLETRANSLATE(B10050,""en"",""zh-CN"")"),"孩子们继续演奏直到剪辑结束。")</f>
        <v>孩子们继续演奏直到剪辑结束。</v>
      </c>
    </row>
    <row r="10051">
      <c r="A10051" s="4" t="s">
        <v>12638</v>
      </c>
      <c r="B10051" s="6" t="s">
        <v>12639</v>
      </c>
      <c r="C10051" s="5" t="str">
        <f>IFERROR(__xludf.DUMMYFUNCTION("GOOGLETRANSLATE(B10051,""en"",""zh-CN"")"),"显示了几对男人和女人的夫妇在一群人面前表演探戈仪。")</f>
        <v>显示了几对男人和女人的夫妇在一群人面前表演探戈仪。</v>
      </c>
    </row>
    <row r="10052">
      <c r="A10052" s="4" t="s">
        <v>12638</v>
      </c>
      <c r="B10052" s="4" t="s">
        <v>12640</v>
      </c>
      <c r="C10052" s="5" t="str">
        <f>IFERROR(__xludf.DUMMYFUNCTION("GOOGLETRANSLATE(B10052,""en"",""zh-CN"")"),"许多人在侧面看着一对夫妇笑着走开。")</f>
        <v>许多人在侧面看着一对夫妇笑着走开。</v>
      </c>
    </row>
    <row r="10053">
      <c r="A10053" s="4" t="s">
        <v>12641</v>
      </c>
      <c r="B10053" s="4" t="s">
        <v>12642</v>
      </c>
      <c r="C10053" s="5" t="str">
        <f>IFERROR(__xludf.DUMMYFUNCTION("GOOGLETRANSLATE(B10053,""en"",""zh-CN"")"),"这3个人在街道中间显示滚石铺在户外。")</f>
        <v>这3个人在街道中间显示滚石铺在户外。</v>
      </c>
    </row>
    <row r="10054">
      <c r="A10054" s="4" t="s">
        <v>12641</v>
      </c>
      <c r="B10054" s="4" t="s">
        <v>12643</v>
      </c>
      <c r="C10054" s="5" t="str">
        <f>IFERROR(__xludf.DUMMYFUNCTION("GOOGLETRANSLATE(B10054,""en"",""zh-CN"")"),"他们在跳舞，圈出圈子，四处旋转。")</f>
        <v>他们在跳舞，圈出圈子，四处旋转。</v>
      </c>
    </row>
    <row r="10055">
      <c r="A10055" s="4" t="s">
        <v>12644</v>
      </c>
      <c r="B10055" s="4" t="s">
        <v>12645</v>
      </c>
      <c r="C10055" s="5" t="str">
        <f>IFERROR(__xludf.DUMMYFUNCTION("GOOGLETRANSLATE(B10055,""en"",""zh-CN"")"),"一群自行车骑手正在等待开始比赛，最终在大门打开时都跌倒了。")</f>
        <v>一群自行车骑手正在等待开始比赛，最终在大门打开时都跌倒了。</v>
      </c>
    </row>
    <row r="10056">
      <c r="A10056" s="4" t="s">
        <v>12644</v>
      </c>
      <c r="B10056" s="4" t="s">
        <v>12646</v>
      </c>
      <c r="C10056" s="5" t="str">
        <f>IFERROR(__xludf.DUMMYFUNCTION("GOOGLETRANSLATE(B10056,""en"",""zh-CN"")"),"当一个男人穿上装备骑车时，完成了自行车的特写镜头。")</f>
        <v>当一个男人穿上装备骑车时，完成了自行车的特写镜头。</v>
      </c>
    </row>
    <row r="10057">
      <c r="A10057" s="4" t="s">
        <v>12644</v>
      </c>
      <c r="B10057" s="4" t="s">
        <v>12647</v>
      </c>
      <c r="C10057" s="5" t="str">
        <f>IFERROR(__xludf.DUMMYFUNCTION("GOOGLETRANSLATE(B10057,""en"",""zh-CN"")"),"一名骑手在四处骑行时，另一个骑手进行了各种技巧。")</f>
        <v>一名骑手在四处骑行时，另一个骑手进行了各种技巧。</v>
      </c>
    </row>
    <row r="10058">
      <c r="A10058" s="4" t="s">
        <v>12644</v>
      </c>
      <c r="B10058" s="4" t="s">
        <v>12648</v>
      </c>
      <c r="C10058" s="5" t="str">
        <f>IFERROR(__xludf.DUMMYFUNCTION("GOOGLETRANSLATE(B10058,""en"",""zh-CN"")"),"显示了几种不同的骑自行车的人，以创纪录的速度上下骑行，并以创纪录的速度飞行。")</f>
        <v>显示了几种不同的骑自行车的人，以创纪录的速度上下骑行，并以创纪录的速度飞行。</v>
      </c>
    </row>
    <row r="10059">
      <c r="A10059" s="4" t="s">
        <v>12649</v>
      </c>
      <c r="B10059" s="4" t="s">
        <v>12650</v>
      </c>
      <c r="C10059" s="5" t="str">
        <f>IFERROR(__xludf.DUMMYFUNCTION("GOOGLETRANSLATE(B10059,""en"",""zh-CN"")"),"一个男人拿着排球与镜头交谈，并带来各种跳跃。")</f>
        <v>一个男人拿着排球与镜头交谈，并带来各种跳跃。</v>
      </c>
    </row>
    <row r="10060">
      <c r="A10060" s="4" t="s">
        <v>12649</v>
      </c>
      <c r="B10060" s="4" t="s">
        <v>12651</v>
      </c>
      <c r="C10060" s="5" t="str">
        <f>IFERROR(__xludf.DUMMYFUNCTION("GOOGLETRANSLATE(B10060,""en"",""zh-CN"")"),"他继续与镜头交谈，并在健身房围绕球击中球。")</f>
        <v>他继续与镜头交谈，并在健身房围绕球击中球。</v>
      </c>
    </row>
    <row r="10061">
      <c r="A10061" s="4" t="s">
        <v>12652</v>
      </c>
      <c r="B10061" s="4" t="s">
        <v>12653</v>
      </c>
      <c r="C10061" s="5" t="str">
        <f>IFERROR(__xludf.DUMMYFUNCTION("GOOGLETRANSLATE(B10061,""en"",""zh-CN"")"),"野外的人抓住了他们的工具。")</f>
        <v>野外的人抓住了他们的工具。</v>
      </c>
    </row>
    <row r="10062">
      <c r="A10062" s="4" t="s">
        <v>12652</v>
      </c>
      <c r="B10062" s="4" t="s">
        <v>12654</v>
      </c>
      <c r="C10062" s="5" t="str">
        <f>IFERROR(__xludf.DUMMYFUNCTION("GOOGLETRANSLATE(B10062,""en"",""zh-CN"")"),"我们看到男人在一个田野里割草，就像其他手表一样。")</f>
        <v>我们看到男人在一个田野里割草，就像其他手表一样。</v>
      </c>
    </row>
    <row r="10063">
      <c r="A10063" s="4" t="s">
        <v>12652</v>
      </c>
      <c r="B10063" s="4" t="s">
        <v>12655</v>
      </c>
      <c r="C10063" s="5" t="str">
        <f>IFERROR(__xludf.DUMMYFUNCTION("GOOGLETRANSLATE(B10063,""en"",""zh-CN"")"),"左派人使用镰刀，并用杂草瓦克（Weed Wacker）领先于男人。")</f>
        <v>左派人使用镰刀，并用杂草瓦克（Weed Wacker）领先于男人。</v>
      </c>
    </row>
    <row r="10064">
      <c r="A10064" s="4" t="s">
        <v>12652</v>
      </c>
      <c r="B10064" s="4" t="s">
        <v>12656</v>
      </c>
      <c r="C10064" s="5" t="str">
        <f>IFERROR(__xludf.DUMMYFUNCTION("GOOGLETRANSLATE(B10064,""en"",""zh-CN"")"),"镰刀结束的那个人。")</f>
        <v>镰刀结束的那个人。</v>
      </c>
    </row>
    <row r="10065">
      <c r="A10065" s="4" t="s">
        <v>12652</v>
      </c>
      <c r="B10065" s="4" t="s">
        <v>12657</v>
      </c>
      <c r="C10065" s="5" t="str">
        <f>IFERROR(__xludf.DUMMYFUNCTION("GOOGLETRANSLATE(B10065,""en"",""zh-CN"")"),"人群鼓掌。")</f>
        <v>人群鼓掌。</v>
      </c>
    </row>
    <row r="10066">
      <c r="A10066" s="4" t="s">
        <v>12652</v>
      </c>
      <c r="B10066" s="4" t="s">
        <v>12658</v>
      </c>
      <c r="C10066" s="5" t="str">
        <f>IFERROR(__xludf.DUMMYFUNCTION("GOOGLETRANSLATE(B10066,""en"",""zh-CN"")"),"光着膀子的男人走开。")</f>
        <v>光着膀子的男人走开。</v>
      </c>
    </row>
    <row r="10067">
      <c r="A10067" s="4" t="s">
        <v>12652</v>
      </c>
      <c r="B10067" s="4" t="s">
        <v>12659</v>
      </c>
      <c r="C10067" s="5" t="str">
        <f>IFERROR(__xludf.DUMMYFUNCTION("GOOGLETRANSLATE(B10067,""en"",""zh-CN"")"),"摄像机是正确的，可以向另一个男人展示在草地上工作的人。")</f>
        <v>摄像机是正确的，可以向另一个男人展示在草地上工作的人。</v>
      </c>
    </row>
    <row r="10068">
      <c r="A10068" s="4" t="s">
        <v>12660</v>
      </c>
      <c r="B10068" s="6" t="s">
        <v>12661</v>
      </c>
      <c r="C10068" s="5" t="str">
        <f>IFERROR(__xludf.DUMMYFUNCTION("GOOGLETRANSLATE(B10068,""en"",""zh-CN"")"),"一个男孩站在右手拿着球拍的球场上，一个球来了，他打了很难。")</f>
        <v>一个男孩站在右手拿着球拍的球场上，一个球来了，他打了很难。</v>
      </c>
    </row>
    <row r="10069">
      <c r="A10069" s="4" t="s">
        <v>12660</v>
      </c>
      <c r="B10069" s="6" t="s">
        <v>12662</v>
      </c>
      <c r="C10069" s="5" t="str">
        <f>IFERROR(__xludf.DUMMYFUNCTION("GOOGLETRANSLATE(B10069,""en"",""zh-CN"")"),"这个男孩向左走，一个男人在那里击球，他和男孩来回走动，轮流在他们面前的墙壁上猛烈地击球。")</f>
        <v>这个男孩向左走，一个男人在那里击球，他和男孩来回走动，轮流在他们面前的墙壁上猛烈地击球。</v>
      </c>
    </row>
    <row r="10070">
      <c r="A10070" s="4" t="s">
        <v>12660</v>
      </c>
      <c r="B10070" s="6" t="s">
        <v>12663</v>
      </c>
      <c r="C10070" s="5" t="str">
        <f>IFERROR(__xludf.DUMMYFUNCTION("GOOGLETRANSLATE(B10070,""en"",""zh-CN"")"),"球在地面上滚动，男孩捡起它并将其撞到墙上，然后男人再次击中球，相机指向地面。")</f>
        <v>球在地面上滚动，男孩捡起它并将其撞到墙上，然后男人再次击中球，相机指向地面。</v>
      </c>
    </row>
    <row r="10071">
      <c r="A10071" s="4" t="s">
        <v>12664</v>
      </c>
      <c r="B10071" s="4" t="s">
        <v>12665</v>
      </c>
      <c r="C10071" s="5" t="str">
        <f>IFERROR(__xludf.DUMMYFUNCTION("GOOGLETRANSLATE(B10071,""en"",""zh-CN"")"),"看到一名厨师站在柜台后面与相机说话。")</f>
        <v>看到一名厨师站在柜台后面与相机说话。</v>
      </c>
    </row>
    <row r="10072">
      <c r="A10072" s="4" t="s">
        <v>12664</v>
      </c>
      <c r="B10072" s="4" t="s">
        <v>12666</v>
      </c>
      <c r="C10072" s="5" t="str">
        <f>IFERROR(__xludf.DUMMYFUNCTION("GOOGLETRANSLATE(B10072,""en"",""zh-CN"")"),"然后看到该男子拿起多个工具并将其展示给相机。")</f>
        <v>然后看到该男子拿起多个工具并将其展示给相机。</v>
      </c>
    </row>
    <row r="10073">
      <c r="A10073" s="4" t="s">
        <v>12664</v>
      </c>
      <c r="B10073" s="4" t="s">
        <v>12667</v>
      </c>
      <c r="C10073" s="5" t="str">
        <f>IFERROR(__xludf.DUMMYFUNCTION("GOOGLETRANSLATE(B10073,""en"",""zh-CN"")"),"然后，该男子在一碗沙拉中使用该工具，然后将其呈现给相机。")</f>
        <v>然后，该男子在一碗沙拉中使用该工具，然后将其呈现给相机。</v>
      </c>
    </row>
    <row r="10074">
      <c r="A10074" s="4" t="s">
        <v>12668</v>
      </c>
      <c r="B10074" s="4" t="s">
        <v>12669</v>
      </c>
      <c r="C10074" s="5" t="str">
        <f>IFERROR(__xludf.DUMMYFUNCTION("GOOGLETRANSLATE(B10074,""en"",""zh-CN"")"),"一个人在树林里，用紧紧的绳子平衡。")</f>
        <v>一个人在树林里，用紧紧的绳子平衡。</v>
      </c>
    </row>
    <row r="10075">
      <c r="A10075" s="4" t="s">
        <v>12668</v>
      </c>
      <c r="B10075" s="4" t="s">
        <v>12670</v>
      </c>
      <c r="C10075" s="5" t="str">
        <f>IFERROR(__xludf.DUMMYFUNCTION("GOOGLETRANSLATE(B10075,""en"",""zh-CN"")"),"他在绳子上来回走动，然后跳。")</f>
        <v>他在绳子上来回走动，然后跳。</v>
      </c>
    </row>
    <row r="10076">
      <c r="A10076" s="4" t="s">
        <v>12671</v>
      </c>
      <c r="B10076" s="4" t="s">
        <v>12672</v>
      </c>
      <c r="C10076" s="5" t="str">
        <f>IFERROR(__xludf.DUMMYFUNCTION("GOOGLETRANSLATE(B10076,""en"",""zh-CN"")"),"该视频始于曲棍球队在最后一场冠军赛中取得胜利的细节。")</f>
        <v>该视频始于曲棍球队在最后一场冠军赛中取得胜利的细节。</v>
      </c>
    </row>
    <row r="10077">
      <c r="A10077" s="4" t="s">
        <v>12671</v>
      </c>
      <c r="B10077" s="4" t="s">
        <v>12673</v>
      </c>
      <c r="C10077" s="5" t="str">
        <f>IFERROR(__xludf.DUMMYFUNCTION("GOOGLETRANSLATE(B10077,""en"",""zh-CN"")"),"体育场展示了两支球队参加曲棍球比赛。")</f>
        <v>体育场展示了两支球队参加曲棍球比赛。</v>
      </c>
    </row>
    <row r="10078">
      <c r="A10078" s="4" t="s">
        <v>12671</v>
      </c>
      <c r="B10078" s="4" t="s">
        <v>12674</v>
      </c>
      <c r="C10078" s="5" t="str">
        <f>IFERROR(__xludf.DUMMYFUNCTION("GOOGLETRANSLATE(B10078,""en"",""zh-CN"")"),"随着一支球队的胜利，人群大声欢呼。")</f>
        <v>随着一支球队的胜利，人群大声欢呼。</v>
      </c>
    </row>
    <row r="10079">
      <c r="A10079" s="4" t="s">
        <v>12671</v>
      </c>
      <c r="B10079" s="4" t="s">
        <v>12675</v>
      </c>
      <c r="C10079" s="5" t="str">
        <f>IFERROR(__xludf.DUMMYFUNCTION("GOOGLETRANSLATE(B10079,""en"",""zh-CN"")"),"球员在庆祝时互相欢乐。")</f>
        <v>球员在庆祝时互相欢乐。</v>
      </c>
    </row>
    <row r="10080">
      <c r="A10080" s="4" t="s">
        <v>12671</v>
      </c>
      <c r="B10080" s="6" t="s">
        <v>12676</v>
      </c>
      <c r="C10080" s="5" t="str">
        <f>IFERROR(__xludf.DUMMYFUNCTION("GOOGLETRANSLATE(B10080,""en"",""zh-CN"")"),"歌手在庆祝获胜球队的胜利时表演现场音乐。")</f>
        <v>歌手在庆祝获胜球队的胜利时表演现场音乐。</v>
      </c>
    </row>
    <row r="10081">
      <c r="A10081" s="4" t="s">
        <v>12677</v>
      </c>
      <c r="B10081" s="4" t="s">
        <v>12678</v>
      </c>
      <c r="C10081" s="5" t="str">
        <f>IFERROR(__xludf.DUMMYFUNCTION("GOOGLETRANSLATE(B10081,""en"",""zh-CN"")"),"一个女人在舞台上做舞蹈。")</f>
        <v>一个女人在舞台上做舞蹈。</v>
      </c>
    </row>
    <row r="10082">
      <c r="A10082" s="4" t="s">
        <v>12677</v>
      </c>
      <c r="B10082" s="4" t="s">
        <v>12679</v>
      </c>
      <c r="C10082" s="5" t="str">
        <f>IFERROR(__xludf.DUMMYFUNCTION("GOOGLETRANSLATE(B10082,""en"",""zh-CN"")"),"她旋转并踢腿。")</f>
        <v>她旋转并踢腿。</v>
      </c>
    </row>
    <row r="10083">
      <c r="A10083" s="4" t="s">
        <v>12677</v>
      </c>
      <c r="B10083" s="4" t="s">
        <v>12680</v>
      </c>
      <c r="C10083" s="5" t="str">
        <f>IFERROR(__xludf.DUMMYFUNCTION("GOOGLETRANSLATE(B10083,""en"",""zh-CN"")"),"她在各个阶段移动，并以多种方式弯曲身体。")</f>
        <v>她在各个阶段移动，并以多种方式弯曲身体。</v>
      </c>
    </row>
    <row r="10084">
      <c r="A10084" s="4" t="s">
        <v>12677</v>
      </c>
      <c r="B10084" s="4" t="s">
        <v>12681</v>
      </c>
      <c r="C10084" s="5" t="str">
        <f>IFERROR(__xludf.DUMMYFUNCTION("GOOGLETRANSLATE(B10084,""en"",""zh-CN"")"),"她继续摇动自己的身体供观众看。")</f>
        <v>她继续摇动自己的身体供观众看。</v>
      </c>
    </row>
    <row r="10085">
      <c r="A10085" s="4" t="s">
        <v>12677</v>
      </c>
      <c r="B10085" s="4" t="s">
        <v>12682</v>
      </c>
      <c r="C10085" s="5" t="str">
        <f>IFERROR(__xludf.DUMMYFUNCTION("GOOGLETRANSLATE(B10085,""en"",""zh-CN"")"),"她以各种方式移动手臂，向后摇晃臀部和第四次。")</f>
        <v>她以各种方式移动手臂，向后摇晃臀部和第四次。</v>
      </c>
    </row>
    <row r="10086">
      <c r="A10086" s="4" t="s">
        <v>12683</v>
      </c>
      <c r="B10086" s="4" t="s">
        <v>12684</v>
      </c>
      <c r="C10086" s="5" t="str">
        <f>IFERROR(__xludf.DUMMYFUNCTION("GOOGLETRANSLATE(B10086,""en"",""zh-CN"")"),"一个男人走到潜水板上。")</f>
        <v>一个男人走到潜水板上。</v>
      </c>
    </row>
    <row r="10087">
      <c r="A10087" s="4" t="s">
        <v>12683</v>
      </c>
      <c r="B10087" s="4" t="s">
        <v>12685</v>
      </c>
      <c r="C10087" s="5" t="str">
        <f>IFERROR(__xludf.DUMMYFUNCTION("GOOGLETRANSLATE(B10087,""en"",""zh-CN"")"),"他几次跳上潜水板，跳入游泳池。")</f>
        <v>他几次跳上潜水板，跳入游泳池。</v>
      </c>
    </row>
    <row r="10088">
      <c r="A10088" s="4" t="s">
        <v>12683</v>
      </c>
      <c r="B10088" s="4" t="s">
        <v>12686</v>
      </c>
      <c r="C10088" s="5" t="str">
        <f>IFERROR(__xludf.DUMMYFUNCTION("GOOGLETRANSLATE(B10088,""en"",""zh-CN"")"),"该人浮出水面并站在游泳池中。")</f>
        <v>该人浮出水面并站在游泳池中。</v>
      </c>
    </row>
    <row r="10089">
      <c r="A10089" s="4" t="s">
        <v>12687</v>
      </c>
      <c r="B10089" s="4" t="s">
        <v>12688</v>
      </c>
      <c r="C10089" s="5" t="str">
        <f>IFERROR(__xludf.DUMMYFUNCTION("GOOGLETRANSLATE(B10089,""en"",""zh-CN"")"),"人们通过跑步和跳到墙壁而进行翻转。")</f>
        <v>人们通过跑步和跳到墙壁而进行翻转。</v>
      </c>
    </row>
    <row r="10090">
      <c r="A10090" s="4" t="s">
        <v>12687</v>
      </c>
      <c r="B10090" s="4" t="s">
        <v>12689</v>
      </c>
      <c r="C10090" s="5" t="str">
        <f>IFERROR(__xludf.DUMMYFUNCTION("GOOGLETRANSLATE(B10090,""en"",""zh-CN"")"),"男孩在蓝色垫子上进行后背翻转。")</f>
        <v>男孩在蓝色垫子上进行后背翻转。</v>
      </c>
    </row>
    <row r="10091">
      <c r="A10091" s="4" t="s">
        <v>12687</v>
      </c>
      <c r="B10091" s="4" t="s">
        <v>12690</v>
      </c>
      <c r="C10091" s="5" t="str">
        <f>IFERROR(__xludf.DUMMYFUNCTION("GOOGLETRANSLATE(B10091,""en"",""zh-CN"")"),"一个孩子跳过其他几个躺在垫子上的孩子。")</f>
        <v>一个孩子跳过其他几个躺在垫子上的孩子。</v>
      </c>
    </row>
    <row r="10092">
      <c r="A10092" s="4" t="s">
        <v>12687</v>
      </c>
      <c r="B10092" s="4" t="s">
        <v>12691</v>
      </c>
      <c r="C10092" s="5" t="str">
        <f>IFERROR(__xludf.DUMMYFUNCTION("GOOGLETRANSLATE(B10092,""en"",""zh-CN"")"),"两个家伙的身体在垫子上互相滚动。")</f>
        <v>两个家伙的身体在垫子上互相滚动。</v>
      </c>
    </row>
    <row r="10093">
      <c r="A10093" s="4" t="s">
        <v>12692</v>
      </c>
      <c r="B10093" s="4" t="s">
        <v>12693</v>
      </c>
      <c r="C10093" s="5" t="str">
        <f>IFERROR(__xludf.DUMMYFUNCTION("GOOGLETRANSLATE(B10093,""en"",""zh-CN"")"),"两名男子在武术的照片中摆姿势。")</f>
        <v>两名男子在武术的照片中摆姿势。</v>
      </c>
    </row>
    <row r="10094">
      <c r="A10094" s="4" t="s">
        <v>12692</v>
      </c>
      <c r="B10094" s="4" t="s">
        <v>12694</v>
      </c>
      <c r="C10094" s="5" t="str">
        <f>IFERROR(__xludf.DUMMYFUNCTION("GOOGLETRANSLATE(B10094,""en"",""zh-CN"")"),"一群人聚集在一个房间内，以各种武术姿势显示。")</f>
        <v>一群人聚集在一个房间内，以各种武术姿势显示。</v>
      </c>
    </row>
    <row r="10095">
      <c r="A10095" s="4" t="s">
        <v>12692</v>
      </c>
      <c r="B10095" s="4" t="s">
        <v>12695</v>
      </c>
      <c r="C10095" s="5" t="str">
        <f>IFERROR(__xludf.DUMMYFUNCTION("GOOGLETRANSLATE(B10095,""en"",""zh-CN"")"),"他们更改动作，屏幕上的文本显示他们在做什么。")</f>
        <v>他们更改动作，屏幕上的文本显示他们在做什么。</v>
      </c>
    </row>
    <row r="10096">
      <c r="A10096" s="4" t="s">
        <v>12692</v>
      </c>
      <c r="B10096" s="4" t="s">
        <v>12696</v>
      </c>
      <c r="C10096" s="5" t="str">
        <f>IFERROR(__xludf.DUMMYFUNCTION("GOOGLETRANSLATE(B10096,""en"",""zh-CN"")"),"它以学校的广告结尾。")</f>
        <v>它以学校的广告结尾。</v>
      </c>
    </row>
    <row r="10097">
      <c r="A10097" s="4" t="s">
        <v>12697</v>
      </c>
      <c r="B10097" s="4" t="s">
        <v>12698</v>
      </c>
      <c r="C10097" s="5" t="str">
        <f>IFERROR(__xludf.DUMMYFUNCTION("GOOGLETRANSLATE(B10097,""en"",""zh-CN"")"),"看到一个人骑着冲浪板，沿着水面放风筝。")</f>
        <v>看到一个人骑着冲浪板，沿着水面放风筝。</v>
      </c>
    </row>
    <row r="10098">
      <c r="A10098" s="4" t="s">
        <v>12697</v>
      </c>
      <c r="B10098" s="4" t="s">
        <v>12699</v>
      </c>
      <c r="C10098" s="5" t="str">
        <f>IFERROR(__xludf.DUMMYFUNCTION("GOOGLETRANSLATE(B10098,""en"",""zh-CN"")"),"该人将自己推向空中，然后向下翻转。")</f>
        <v>该人将自己推向空中，然后向下翻转。</v>
      </c>
    </row>
    <row r="10099">
      <c r="A10099" s="4" t="s">
        <v>12697</v>
      </c>
      <c r="B10099" s="4" t="s">
        <v>12700</v>
      </c>
      <c r="C10099" s="5" t="str">
        <f>IFERROR(__xludf.DUMMYFUNCTION("GOOGLETRANSLATE(B10099,""en"",""zh-CN"")"),"他继续沿着水骑行。")</f>
        <v>他继续沿着水骑行。</v>
      </c>
    </row>
    <row r="10100">
      <c r="A10100" s="4" t="s">
        <v>12701</v>
      </c>
      <c r="B10100" s="4" t="s">
        <v>12702</v>
      </c>
      <c r="C10100" s="5" t="str">
        <f>IFERROR(__xludf.DUMMYFUNCTION("GOOGLETRANSLATE(B10100,""en"",""zh-CN"")"),"一个男人正在和相机谈论他的头发。")</f>
        <v>一个男人正在和相机谈论他的头发。</v>
      </c>
    </row>
    <row r="10101">
      <c r="A10101" s="4" t="s">
        <v>12701</v>
      </c>
      <c r="B10101" s="4" t="s">
        <v>12703</v>
      </c>
      <c r="C10101" s="5" t="str">
        <f>IFERROR(__xludf.DUMMYFUNCTION("GOOGLETRANSLATE(B10101,""en"",""zh-CN"")"),"另一个男人进来，开始削减第一个男孩的博览会。")</f>
        <v>另一个男人进来，开始削减第一个男孩的博览会。</v>
      </c>
    </row>
    <row r="10102">
      <c r="A10102" s="4" t="s">
        <v>12701</v>
      </c>
      <c r="B10102" s="4" t="s">
        <v>12704</v>
      </c>
      <c r="C10102" s="5" t="str">
        <f>IFERROR(__xludf.DUMMYFUNCTION("GOOGLETRANSLATE(B10102,""en"",""zh-CN"")"),"他刷头发，用细梳子切穿。")</f>
        <v>他刷头发，用细梳子切穿。</v>
      </c>
    </row>
    <row r="10103">
      <c r="A10103" s="4" t="s">
        <v>12701</v>
      </c>
      <c r="B10103" s="4" t="s">
        <v>12705</v>
      </c>
      <c r="C10103" s="5" t="str">
        <f>IFERROR(__xludf.DUMMYFUNCTION("GOOGLETRANSLATE(B10103,""en"",""zh-CN"")"),"造型师在头发上执行各种样式和技术。")</f>
        <v>造型师在头发上执行各种样式和技术。</v>
      </c>
    </row>
    <row r="10104">
      <c r="A10104" s="4" t="s">
        <v>12701</v>
      </c>
      <c r="B10104" s="4" t="s">
        <v>12706</v>
      </c>
      <c r="C10104" s="5" t="str">
        <f>IFERROR(__xludf.DUMMYFUNCTION("GOOGLETRANSLATE(B10104,""en"",""zh-CN"")"),"造型师将凝胶放在头发上，男孩的切割结束了。")</f>
        <v>造型师将凝胶放在头发上，男孩的切割结束了。</v>
      </c>
    </row>
    <row r="10105">
      <c r="A10105" s="4" t="s">
        <v>12707</v>
      </c>
      <c r="B10105" s="4" t="s">
        <v>12708</v>
      </c>
      <c r="C10105" s="5" t="str">
        <f>IFERROR(__xludf.DUMMYFUNCTION("GOOGLETRANSLATE(B10105,""en"",""zh-CN"")"),"一个戴着帽子的男人正在看建筑物。")</f>
        <v>一个戴着帽子的男人正在看建筑物。</v>
      </c>
    </row>
    <row r="10106">
      <c r="A10106" s="4" t="s">
        <v>12707</v>
      </c>
      <c r="B10106" s="4" t="s">
        <v>12709</v>
      </c>
      <c r="C10106" s="5" t="str">
        <f>IFERROR(__xludf.DUMMYFUNCTION("GOOGLETRANSLATE(B10106,""en"",""zh-CN"")"),"第二个男人走上去，握住第一批人的手。")</f>
        <v>第二个男人走上去，握住第一批人的手。</v>
      </c>
    </row>
    <row r="10107">
      <c r="A10107" s="4" t="s">
        <v>12707</v>
      </c>
      <c r="B10107" s="4" t="s">
        <v>12710</v>
      </c>
      <c r="C10107" s="5" t="str">
        <f>IFERROR(__xludf.DUMMYFUNCTION("GOOGLETRANSLATE(B10107,""en"",""zh-CN"")"),"两个人都承认建筑物并讨论。")</f>
        <v>两个人都承认建筑物并讨论。</v>
      </c>
    </row>
    <row r="10108">
      <c r="A10108" s="4" t="s">
        <v>12707</v>
      </c>
      <c r="B10108" s="4" t="s">
        <v>12711</v>
      </c>
      <c r="C10108" s="5" t="str">
        <f>IFERROR(__xludf.DUMMYFUNCTION("GOOGLETRANSLATE(B10108,""en"",""zh-CN"")"),"显示了两个比较时，三名男子正在散布墙壁。")</f>
        <v>显示了两个比较时，三名男子正在散布墙壁。</v>
      </c>
    </row>
    <row r="10109">
      <c r="A10109" s="4" t="s">
        <v>12707</v>
      </c>
      <c r="B10109" s="4" t="s">
        <v>12712</v>
      </c>
      <c r="C10109" s="5" t="str">
        <f>IFERROR(__xludf.DUMMYFUNCTION("GOOGLETRANSLATE(B10109,""en"",""zh-CN"")"),"两人检查墙。")</f>
        <v>两人检查墙。</v>
      </c>
    </row>
    <row r="10110">
      <c r="A10110" s="4" t="s">
        <v>12707</v>
      </c>
      <c r="B10110" s="4" t="s">
        <v>12713</v>
      </c>
      <c r="C10110" s="5" t="str">
        <f>IFERROR(__xludf.DUMMYFUNCTION("GOOGLETRANSLATE(B10110,""en"",""zh-CN"")"),"另一个男人走上去，被介绍给另一个男人。")</f>
        <v>另一个男人走上去，被介绍给另一个男人。</v>
      </c>
    </row>
    <row r="10111">
      <c r="A10111" s="4" t="s">
        <v>12707</v>
      </c>
      <c r="B10111" s="4" t="s">
        <v>12714</v>
      </c>
      <c r="C10111" s="5" t="str">
        <f>IFERROR(__xludf.DUMMYFUNCTION("GOOGLETRANSLATE(B10111,""en"",""zh-CN"")"),"当前两个继续说话时，该男子走开了。")</f>
        <v>当前两个继续说话时，该男子走开了。</v>
      </c>
    </row>
    <row r="10112">
      <c r="A10112" s="4" t="s">
        <v>12715</v>
      </c>
      <c r="B10112" s="4" t="s">
        <v>12716</v>
      </c>
      <c r="C10112" s="5" t="str">
        <f>IFERROR(__xludf.DUMMYFUNCTION("GOOGLETRANSLATE(B10112,""en"",""zh-CN"")"),"一个人站在树林里的木火上。")</f>
        <v>一个人站在树林里的木火上。</v>
      </c>
    </row>
    <row r="10113">
      <c r="A10113" s="4" t="s">
        <v>12715</v>
      </c>
      <c r="B10113" s="4" t="s">
        <v>12717</v>
      </c>
      <c r="C10113" s="5" t="str">
        <f>IFERROR(__xludf.DUMMYFUNCTION("GOOGLETRANSLATE(B10113,""en"",""zh-CN"")"),"然后，该人点燃火柴，将其扔进木火，然后点燃火。")</f>
        <v>然后，该人点燃火柴，将其扔进木火，然后点燃火。</v>
      </c>
    </row>
    <row r="10114">
      <c r="A10114" s="4" t="s">
        <v>12718</v>
      </c>
      <c r="B10114" s="4" t="s">
        <v>12719</v>
      </c>
      <c r="C10114" s="5" t="str">
        <f>IFERROR(__xludf.DUMMYFUNCTION("GOOGLETRANSLATE(B10114,""en"",""zh-CN"")"),"看到大量观众观看体育游戏，并带来硬币折腾。")</f>
        <v>看到大量观众观看体育游戏，并带来硬币折腾。</v>
      </c>
    </row>
    <row r="10115">
      <c r="A10115" s="4" t="s">
        <v>12718</v>
      </c>
      <c r="B10115" s="4" t="s">
        <v>12720</v>
      </c>
      <c r="C10115" s="5" t="str">
        <f>IFERROR(__xludf.DUMMYFUNCTION("GOOGLETRANSLATE(B10115,""en"",""zh-CN"")"),"观众更加欢呼，并导致人们扔球，其他人击中球。")</f>
        <v>观众更加欢呼，并导致人们扔球，其他人击中球。</v>
      </c>
    </row>
    <row r="10116">
      <c r="A10116" s="4" t="s">
        <v>12718</v>
      </c>
      <c r="B10116" s="4" t="s">
        <v>12721</v>
      </c>
      <c r="C10116" s="5" t="str">
        <f>IFERROR(__xludf.DUMMYFUNCTION("GOOGLETRANSLATE(B10116,""en"",""zh-CN"")"),"显示了正在玩游戏的更多镜头，以及其他人在侧面观看。")</f>
        <v>显示了正在玩游戏的更多镜头，以及其他人在侧面观看。</v>
      </c>
    </row>
    <row r="10117">
      <c r="A10117" s="4" t="s">
        <v>12722</v>
      </c>
      <c r="B10117" s="4" t="s">
        <v>12723</v>
      </c>
      <c r="C10117" s="5" t="str">
        <f>IFERROR(__xludf.DUMMYFUNCTION("GOOGLETRANSLATE(B10117,""en"",""zh-CN"")"),"口琴被举起并显示。")</f>
        <v>口琴被举起并显示。</v>
      </c>
    </row>
    <row r="10118">
      <c r="A10118" s="4" t="s">
        <v>12722</v>
      </c>
      <c r="B10118" s="4" t="s">
        <v>12724</v>
      </c>
      <c r="C10118" s="5" t="str">
        <f>IFERROR(__xludf.DUMMYFUNCTION("GOOGLETRANSLATE(B10118,""en"",""zh-CN"")"),"一个人在他的手之间握着口琴，播放一首歌。")</f>
        <v>一个人在他的手之间握着口琴，播放一首歌。</v>
      </c>
    </row>
    <row r="10119">
      <c r="A10119" s="4" t="s">
        <v>12722</v>
      </c>
      <c r="B10119" s="4" t="s">
        <v>12725</v>
      </c>
      <c r="C10119" s="5" t="str">
        <f>IFERROR(__xludf.DUMMYFUNCTION("GOOGLETRANSLATE(B10119,""en"",""zh-CN"")"),"该人完成了这首歌并举起口琴。")</f>
        <v>该人完成了这首歌并举起口琴。</v>
      </c>
    </row>
    <row r="10120">
      <c r="A10120" s="4" t="s">
        <v>12726</v>
      </c>
      <c r="B10120" s="6" t="s">
        <v>12727</v>
      </c>
      <c r="C10120" s="5" t="str">
        <f>IFERROR(__xludf.DUMMYFUNCTION("GOOGLETRANSLATE(B10120,""en"",""zh-CN"")"),"沿着街上走上滑板板走去，男孩把木板放下并开始滑冰。")</f>
        <v>沿着街上走上滑板板走去，男孩把木板放下并开始滑冰。</v>
      </c>
    </row>
    <row r="10121">
      <c r="A10121" s="4" t="s">
        <v>12726</v>
      </c>
      <c r="B10121" s="4" t="s">
        <v>12728</v>
      </c>
      <c r="C10121" s="5" t="str">
        <f>IFERROR(__xludf.DUMMYFUNCTION("GOOGLETRANSLATE(B10121,""en"",""zh-CN"")"),"然后三个朋友加入他，他们滑行。")</f>
        <v>然后三个朋友加入他，他们滑行。</v>
      </c>
    </row>
    <row r="10122">
      <c r="A10122" s="4" t="s">
        <v>12726</v>
      </c>
      <c r="B10122" s="6" t="s">
        <v>12729</v>
      </c>
      <c r="C10122" s="5" t="str">
        <f>IFERROR(__xludf.DUMMYFUNCTION("GOOGLETRANSLATE(B10122,""en"",""zh-CN"")"),"在板上时，他们双手在背后弯曲，以增加更多的动力。")</f>
        <v>在板上时，他们双手在背后弯曲，以增加更多的动力。</v>
      </c>
    </row>
    <row r="10123">
      <c r="A10123" s="4" t="s">
        <v>12726</v>
      </c>
      <c r="B10123" s="4" t="s">
        <v>12730</v>
      </c>
      <c r="C10123" s="5" t="str">
        <f>IFERROR(__xludf.DUMMYFUNCTION("GOOGLETRANSLATE(B10123,""en"",""zh-CN"")"),"他们从一个区域到另一个区域骑行，享受空闲时间的登机。")</f>
        <v>他们从一个区域到另一个区域骑行，享受空闲时间的登机。</v>
      </c>
    </row>
    <row r="10124">
      <c r="A10124" s="4" t="s">
        <v>12731</v>
      </c>
      <c r="B10124" s="4" t="s">
        <v>12732</v>
      </c>
      <c r="C10124" s="5" t="str">
        <f>IFERROR(__xludf.DUMMYFUNCTION("GOOGLETRANSLATE(B10124,""en"",""zh-CN"")"),"显示了一盘沙丁鱼意大利面的图像以及一份成分列表。")</f>
        <v>显示了一盘沙丁鱼意大利面的图像以及一份成分列表。</v>
      </c>
    </row>
    <row r="10125">
      <c r="A10125" s="4" t="s">
        <v>12731</v>
      </c>
      <c r="B10125" s="4" t="s">
        <v>12733</v>
      </c>
      <c r="C10125" s="5" t="str">
        <f>IFERROR(__xludf.DUMMYFUNCTION("GOOGLETRANSLATE(B10125,""en"",""zh-CN"")"),"将水腌制并煮成面食，蔬菜用橄榄油炒。")</f>
        <v>将水腌制并煮成面食，蔬菜用橄榄油炒。</v>
      </c>
    </row>
    <row r="10126">
      <c r="A10126" s="4" t="s">
        <v>12731</v>
      </c>
      <c r="B10126" s="4" t="s">
        <v>12734</v>
      </c>
      <c r="C10126" s="5" t="str">
        <f>IFERROR(__xludf.DUMMYFUNCTION("GOOGLETRANSLATE(B10126,""en"",""zh-CN"")"),"添加沙丁鱼，然后与意大利面条面混合，制成成品。")</f>
        <v>添加沙丁鱼，然后与意大利面条面混合，制成成品。</v>
      </c>
    </row>
    <row r="10127">
      <c r="A10127" s="4" t="s">
        <v>12735</v>
      </c>
      <c r="B10127" s="4" t="s">
        <v>12736</v>
      </c>
      <c r="C10127" s="5" t="str">
        <f>IFERROR(__xludf.DUMMYFUNCTION("GOOGLETRANSLATE(B10127,""en"",""zh-CN"")"),"曲棍球运动员在电视上的采访中进行了交谈。")</f>
        <v>曲棍球运动员在电视上的采访中进行了交谈。</v>
      </c>
    </row>
    <row r="10128">
      <c r="A10128" s="4" t="s">
        <v>12735</v>
      </c>
      <c r="B10128" s="4" t="s">
        <v>12737</v>
      </c>
      <c r="C10128" s="5" t="str">
        <f>IFERROR(__xludf.DUMMYFUNCTION("GOOGLETRANSLATE(B10128,""en"",""zh-CN"")"),"他说话时，他演奏冰上的几个剧照。")</f>
        <v>他说话时，他演奏冰上的几个剧照。</v>
      </c>
    </row>
    <row r="10129">
      <c r="A10129" s="4" t="s">
        <v>12735</v>
      </c>
      <c r="B10129" s="4" t="s">
        <v>12738</v>
      </c>
      <c r="C10129" s="5" t="str">
        <f>IFERROR(__xludf.DUMMYFUNCTION("GOOGLETRANSLATE(B10129,""en"",""zh-CN"")"),"当图片在屏幕上闪烁时，他继续说话。")</f>
        <v>当图片在屏幕上闪烁时，他继续说话。</v>
      </c>
    </row>
    <row r="10130">
      <c r="A10130" s="4" t="s">
        <v>12739</v>
      </c>
      <c r="B10130" s="4" t="s">
        <v>12740</v>
      </c>
      <c r="C10130" s="5" t="str">
        <f>IFERROR(__xludf.DUMMYFUNCTION("GOOGLETRANSLATE(B10130,""en"",""zh-CN"")"),"穿着灰色毛衣的那个人正在弹吉他。")</f>
        <v>穿着灰色毛衣的那个人正在弹吉他。</v>
      </c>
    </row>
    <row r="10131">
      <c r="A10131" s="4" t="s">
        <v>12739</v>
      </c>
      <c r="B10131" s="4" t="s">
        <v>12741</v>
      </c>
      <c r="C10131" s="5" t="str">
        <f>IFERROR(__xludf.DUMMYFUNCTION("GOOGLETRANSLATE(B10131,""en"",""zh-CN"")"),"这个男人看着吉他。")</f>
        <v>这个男人看着吉他。</v>
      </c>
    </row>
    <row r="10132">
      <c r="A10132" s="4" t="s">
        <v>12739</v>
      </c>
      <c r="B10132" s="4" t="s">
        <v>12742</v>
      </c>
      <c r="C10132" s="5" t="str">
        <f>IFERROR(__xludf.DUMMYFUNCTION("GOOGLETRANSLATE(B10132,""en"",""zh-CN"")"),"穿着蓝色衬衫的男人弹吉他，然后戳线。")</f>
        <v>穿着蓝色衬衫的男人弹吉他，然后戳线。</v>
      </c>
    </row>
    <row r="10133">
      <c r="A10133" s="4" t="s">
        <v>12743</v>
      </c>
      <c r="B10133" s="4" t="s">
        <v>12744</v>
      </c>
      <c r="C10133" s="5" t="str">
        <f>IFERROR(__xludf.DUMMYFUNCTION("GOOGLETRANSLATE(B10133,""en"",""zh-CN"")"),"两个人坐在机器人手臂前的一个房间里。")</f>
        <v>两个人坐在机器人手臂前的一个房间里。</v>
      </c>
    </row>
    <row r="10134">
      <c r="A10134" s="4" t="s">
        <v>12743</v>
      </c>
      <c r="B10134" s="4" t="s">
        <v>12745</v>
      </c>
      <c r="C10134" s="5" t="str">
        <f>IFERROR(__xludf.DUMMYFUNCTION("GOOGLETRANSLATE(B10134,""en"",""zh-CN"")"),"其中一名男子正在使用控制器使手臂捡起一瓶。")</f>
        <v>其中一名男子正在使用控制器使手臂捡起一瓶。</v>
      </c>
    </row>
    <row r="10135">
      <c r="A10135" s="4" t="s">
        <v>12743</v>
      </c>
      <c r="B10135" s="4" t="s">
        <v>12746</v>
      </c>
      <c r="C10135" s="5" t="str">
        <f>IFERROR(__xludf.DUMMYFUNCTION("GOOGLETRANSLATE(B10135,""en"",""zh-CN"")"),"手臂将瓶子带到男人的脸上，因此他可以喝一杯。")</f>
        <v>手臂将瓶子带到男人的脸上，因此他可以喝一杯。</v>
      </c>
    </row>
    <row r="10136">
      <c r="A10136" s="4" t="s">
        <v>12743</v>
      </c>
      <c r="B10136" s="4" t="s">
        <v>12747</v>
      </c>
      <c r="C10136" s="5" t="str">
        <f>IFERROR(__xludf.DUMMYFUNCTION("GOOGLETRANSLATE(B10136,""en"",""zh-CN"")"),"然后机器人将瓶子返回桌子。")</f>
        <v>然后机器人将瓶子返回桌子。</v>
      </c>
    </row>
    <row r="10137">
      <c r="A10137" s="4" t="s">
        <v>12748</v>
      </c>
      <c r="B10137" s="4" t="s">
        <v>12749</v>
      </c>
      <c r="C10137" s="5" t="str">
        <f>IFERROR(__xludf.DUMMYFUNCTION("GOOGLETRANSLATE(B10137,""en"",""zh-CN"")"),"表演者在音乐会舞台上唱歌和舞者。")</f>
        <v>表演者在音乐会舞台上唱歌和舞者。</v>
      </c>
    </row>
    <row r="10138">
      <c r="A10138" s="4" t="s">
        <v>12748</v>
      </c>
      <c r="B10138" s="4" t="s">
        <v>12750</v>
      </c>
      <c r="C10138" s="5" t="str">
        <f>IFERROR(__xludf.DUMMYFUNCTION("GOOGLETRANSLATE(B10138,""en"",""zh-CN"")"),"表演者爬下楼梯。")</f>
        <v>表演者爬下楼梯。</v>
      </c>
    </row>
    <row r="10139">
      <c r="A10139" s="4" t="s">
        <v>12748</v>
      </c>
      <c r="B10139" s="4" t="s">
        <v>12751</v>
      </c>
      <c r="C10139" s="5" t="str">
        <f>IFERROR(__xludf.DUMMYFUNCTION("GOOGLETRANSLATE(B10139,""en"",""zh-CN"")"),"几个表演者摆出了姿势，并指向观众。")</f>
        <v>几个表演者摆出了姿势，并指向观众。</v>
      </c>
    </row>
    <row r="10140">
      <c r="A10140" s="4" t="s">
        <v>12748</v>
      </c>
      <c r="B10140" s="4" t="s">
        <v>12752</v>
      </c>
      <c r="C10140" s="5" t="str">
        <f>IFERROR(__xludf.DUMMYFUNCTION("GOOGLETRANSLATE(B10140,""en"",""zh-CN"")"),"表演者在舞台上打破舞蹈。")</f>
        <v>表演者在舞台上打破舞蹈。</v>
      </c>
    </row>
    <row r="10141">
      <c r="A10141" s="4" t="s">
        <v>12748</v>
      </c>
      <c r="B10141" s="4" t="s">
        <v>12753</v>
      </c>
      <c r="C10141" s="5" t="str">
        <f>IFERROR(__xludf.DUMMYFUNCTION("GOOGLETRANSLATE(B10141,""en"",""zh-CN"")"),"休息舞者躺在舞台地板上。")</f>
        <v>休息舞者躺在舞台地板上。</v>
      </c>
    </row>
    <row r="10142">
      <c r="A10142" s="4" t="s">
        <v>12748</v>
      </c>
      <c r="B10142" s="4" t="s">
        <v>12754</v>
      </c>
      <c r="C10142" s="5" t="str">
        <f>IFERROR(__xludf.DUMMYFUNCTION("GOOGLETRANSLATE(B10142,""en"",""zh-CN"")"),"表演者举起了站立的舞者的手。")</f>
        <v>表演者举起了站立的舞者的手。</v>
      </c>
    </row>
    <row r="10143">
      <c r="A10143" s="4" t="s">
        <v>12748</v>
      </c>
      <c r="B10143" s="4" t="s">
        <v>12755</v>
      </c>
      <c r="C10143" s="5" t="str">
        <f>IFERROR(__xludf.DUMMYFUNCTION("GOOGLETRANSLATE(B10143,""en"",""zh-CN"")"),"休息舞者给了一个表演者五。")</f>
        <v>休息舞者给了一个表演者五。</v>
      </c>
    </row>
    <row r="10144">
      <c r="A10144" s="4" t="s">
        <v>12748</v>
      </c>
      <c r="B10144" s="4" t="s">
        <v>12756</v>
      </c>
      <c r="C10144" s="5" t="str">
        <f>IFERROR(__xludf.DUMMYFUNCTION("GOOGLETRANSLATE(B10144,""en"",""zh-CN"")"),"表演者下蹲和手势。")</f>
        <v>表演者下蹲和手势。</v>
      </c>
    </row>
    <row r="10145">
      <c r="A10145" s="4" t="s">
        <v>12757</v>
      </c>
      <c r="B10145" s="4" t="s">
        <v>12758</v>
      </c>
      <c r="C10145" s="5" t="str">
        <f>IFERROR(__xludf.DUMMYFUNCTION("GOOGLETRANSLATE(B10145,""en"",""zh-CN"")"),"一个男人跳下桥，蹦极跳。")</f>
        <v>一个男人跳下桥，蹦极跳。</v>
      </c>
    </row>
    <row r="10146">
      <c r="A10146" s="4" t="s">
        <v>12757</v>
      </c>
      <c r="B10146" s="4" t="s">
        <v>12759</v>
      </c>
      <c r="C10146" s="5" t="str">
        <f>IFERROR(__xludf.DUMMYFUNCTION("GOOGLETRANSLATE(B10146,""en"",""zh-CN"")"),"它显示他爬回壁架上。")</f>
        <v>它显示他爬回壁架上。</v>
      </c>
    </row>
    <row r="10147">
      <c r="A10147" s="4" t="s">
        <v>12757</v>
      </c>
      <c r="B10147" s="4" t="s">
        <v>12760</v>
      </c>
      <c r="C10147" s="5" t="str">
        <f>IFERROR(__xludf.DUMMYFUNCTION("GOOGLETRANSLATE(B10147,""en"",""zh-CN"")"),"他再次从桥上跳下来。")</f>
        <v>他再次从桥上跳下来。</v>
      </c>
    </row>
    <row r="10148">
      <c r="A10148" s="4" t="s">
        <v>12761</v>
      </c>
      <c r="B10148" s="4" t="s">
        <v>12762</v>
      </c>
      <c r="C10148" s="5" t="str">
        <f>IFERROR(__xludf.DUMMYFUNCTION("GOOGLETRANSLATE(B10148,""en"",""zh-CN"")"),"一个穿着厨师服装的男人站在厨房里。")</f>
        <v>一个穿着厨师服装的男人站在厨房里。</v>
      </c>
    </row>
    <row r="10149">
      <c r="A10149" s="4" t="s">
        <v>12761</v>
      </c>
      <c r="B10149" s="4" t="s">
        <v>12763</v>
      </c>
      <c r="C10149" s="5" t="str">
        <f>IFERROR(__xludf.DUMMYFUNCTION("GOOGLETRANSLATE(B10149,""en"",""zh-CN"")"),"他翻转了锅中的东西。")</f>
        <v>他翻转了锅中的东西。</v>
      </c>
    </row>
    <row r="10150">
      <c r="A10150" s="4" t="s">
        <v>12761</v>
      </c>
      <c r="B10150" s="4" t="s">
        <v>12764</v>
      </c>
      <c r="C10150" s="5" t="str">
        <f>IFERROR(__xludf.DUMMYFUNCTION("GOOGLETRANSLATE(B10150,""en"",""zh-CN"")"),"他用勺子搅拌锅中的东西。")</f>
        <v>他用勺子搅拌锅中的东西。</v>
      </c>
    </row>
    <row r="10151">
      <c r="A10151" s="4" t="s">
        <v>12765</v>
      </c>
      <c r="B10151" s="4" t="s">
        <v>12766</v>
      </c>
      <c r="C10151" s="5" t="str">
        <f>IFERROR(__xludf.DUMMYFUNCTION("GOOGLETRANSLATE(B10151,""en"",""zh-CN"")"),"介绍出现在屏幕上，以获取有关打网球的视频。")</f>
        <v>介绍出现在屏幕上，以获取有关打网球的视频。</v>
      </c>
    </row>
    <row r="10152">
      <c r="A10152" s="4" t="s">
        <v>12765</v>
      </c>
      <c r="B10152" s="4" t="s">
        <v>12767</v>
      </c>
      <c r="C10152" s="5" t="str">
        <f>IFERROR(__xludf.DUMMYFUNCTION("GOOGLETRANSLATE(B10152,""en"",""zh-CN"")"),"人类来谈论他将在视频中教的教训。")</f>
        <v>人类来谈论他将在视频中教的教训。</v>
      </c>
    </row>
    <row r="10153">
      <c r="A10153" s="4" t="s">
        <v>12765</v>
      </c>
      <c r="B10153" s="4" t="s">
        <v>12768</v>
      </c>
      <c r="C10153" s="5" t="str">
        <f>IFERROR(__xludf.DUMMYFUNCTION("GOOGLETRANSLATE(B10153,""en"",""zh-CN"")"),"他多次挥动球拍，以展示摇摆网球球拍的好形式。")</f>
        <v>他多次挥动球拍，以展示摇摆网球球拍的好形式。</v>
      </c>
    </row>
    <row r="10154">
      <c r="A10154" s="4" t="s">
        <v>12765</v>
      </c>
      <c r="B10154" s="6" t="s">
        <v>12769</v>
      </c>
      <c r="C10154" s="5" t="str">
        <f>IFERROR(__xludf.DUMMYFUNCTION("GOOGLETRANSLATE(B10154,""en"",""zh-CN"")"),"另一个男人来到屏幕上，表演了几个网球翅膀，而另一个人则讲述。")</f>
        <v>另一个男人来到屏幕上，表演了几个网球翅膀，而另一个人则讲述。</v>
      </c>
    </row>
    <row r="10155">
      <c r="A10155" s="4" t="s">
        <v>12765</v>
      </c>
      <c r="B10155" s="4" t="s">
        <v>12770</v>
      </c>
      <c r="C10155" s="5" t="str">
        <f>IFERROR(__xludf.DUMMYFUNCTION("GOOGLETRANSLATE(B10155,""en"",""zh-CN"")"),"当视频结束时，截止信用率显示在屏幕上。")</f>
        <v>当视频结束时，截止信用率显示在屏幕上。</v>
      </c>
    </row>
    <row r="10156">
      <c r="A10156" s="4" t="s">
        <v>12771</v>
      </c>
      <c r="B10156" s="4" t="s">
        <v>12772</v>
      </c>
      <c r="C10156" s="5" t="str">
        <f>IFERROR(__xludf.DUMMYFUNCTION("GOOGLETRANSLATE(B10156,""en"",""zh-CN"")"),"看到一个女人将球踢到一个人的领域，然后跑回本垒板。")</f>
        <v>看到一个女人将球踢到一个人的领域，然后跑回本垒板。</v>
      </c>
    </row>
    <row r="10157">
      <c r="A10157" s="4" t="s">
        <v>12771</v>
      </c>
      <c r="B10157" s="4" t="s">
        <v>12773</v>
      </c>
      <c r="C10157" s="5" t="str">
        <f>IFERROR(__xludf.DUMMYFUNCTION("GOOGLETRANSLATE(B10157,""en"",""zh-CN"")"),"然后，她再次踢球，而其他人则在奔跑周围，从场上抓住球。")</f>
        <v>然后，她再次踢球，而其他人则在奔跑周围，从场上抓住球。</v>
      </c>
    </row>
    <row r="10158">
      <c r="A10158" s="4" t="s">
        <v>12774</v>
      </c>
      <c r="B10158" s="4" t="s">
        <v>12775</v>
      </c>
      <c r="C10158" s="5" t="str">
        <f>IFERROR(__xludf.DUMMYFUNCTION("GOOGLETRANSLATE(B10158,""en"",""zh-CN"")"),"在手机上显示了图像的特写镜头。")</f>
        <v>在手机上显示了图像的特写镜头。</v>
      </c>
    </row>
    <row r="10159">
      <c r="A10159" s="4" t="s">
        <v>12774</v>
      </c>
      <c r="B10159" s="4" t="s">
        <v>12776</v>
      </c>
      <c r="C10159" s="5" t="str">
        <f>IFERROR(__xludf.DUMMYFUNCTION("GOOGLETRANSLATE(B10159,""en"",""zh-CN"")"),"一名男性体操运动员奔跑，在垫子上来回翻转。")</f>
        <v>一名男性体操运动员奔跑，在垫子上来回翻转。</v>
      </c>
    </row>
    <row r="10160">
      <c r="A10160" s="4" t="s">
        <v>12774</v>
      </c>
      <c r="B10160" s="4" t="s">
        <v>12777</v>
      </c>
      <c r="C10160" s="5" t="str">
        <f>IFERROR(__xludf.DUMMYFUNCTION("GOOGLETRANSLATE(B10160,""en"",""zh-CN"")"),"然后，他被展示出来，然后站在欢呼的人群面前。")</f>
        <v>然后，他被展示出来，然后站在欢呼的人群面前。</v>
      </c>
    </row>
    <row r="10161">
      <c r="A10161" s="4" t="s">
        <v>12778</v>
      </c>
      <c r="B10161" s="4" t="s">
        <v>12779</v>
      </c>
      <c r="C10161" s="5" t="str">
        <f>IFERROR(__xludf.DUMMYFUNCTION("GOOGLETRANSLATE(B10161,""en"",""zh-CN"")"),"两个人在戒指上摔跤。")</f>
        <v>两个人在戒指上摔跤。</v>
      </c>
    </row>
    <row r="10162">
      <c r="A10162" s="4" t="s">
        <v>12778</v>
      </c>
      <c r="B10162" s="4" t="s">
        <v>12780</v>
      </c>
      <c r="C10162" s="5" t="str">
        <f>IFERROR(__xludf.DUMMYFUNCTION("GOOGLETRANSLATE(B10162,""en"",""zh-CN"")"),"一名裁判站在戒指的侧面看着他们。")</f>
        <v>一名裁判站在戒指的侧面看着他们。</v>
      </c>
    </row>
    <row r="10163">
      <c r="A10163" s="4" t="s">
        <v>12778</v>
      </c>
      <c r="B10163" s="4" t="s">
        <v>12781</v>
      </c>
      <c r="C10163" s="5" t="str">
        <f>IFERROR(__xludf.DUMMYFUNCTION("GOOGLETRANSLATE(B10163,""en"",""zh-CN"")"),"他们身后的人群欢呼。")</f>
        <v>他们身后的人群欢呼。</v>
      </c>
    </row>
    <row r="10164">
      <c r="A10164" s="4" t="s">
        <v>12782</v>
      </c>
      <c r="B10164" s="4" t="s">
        <v>12783</v>
      </c>
      <c r="C10164" s="5" t="str">
        <f>IFERROR(__xludf.DUMMYFUNCTION("GOOGLETRANSLATE(B10164,""en"",""zh-CN"")"),"在开始例行程序之前，穿着粉红色服装的体操运动员会伸展。")</f>
        <v>在开始例行程序之前，穿着粉红色服装的体操运动员会伸展。</v>
      </c>
    </row>
    <row r="10165">
      <c r="A10165" s="4" t="s">
        <v>12782</v>
      </c>
      <c r="B10165" s="4" t="s">
        <v>12784</v>
      </c>
      <c r="C10165" s="5" t="str">
        <f>IFERROR(__xludf.DUMMYFUNCTION("GOOGLETRANSLATE(B10165,""en"",""zh-CN"")"),"她跳上平衡束并保持平衡。")</f>
        <v>她跳上平衡束并保持平衡。</v>
      </c>
    </row>
    <row r="10166">
      <c r="A10166" s="4" t="s">
        <v>12782</v>
      </c>
      <c r="B10166" s="4" t="s">
        <v>12785</v>
      </c>
      <c r="C10166" s="5" t="str">
        <f>IFERROR(__xludf.DUMMYFUNCTION("GOOGLETRANSLATE(B10166,""en"",""zh-CN"")"),"她开始平衡光束的例行。")</f>
        <v>她开始平衡光束的例行。</v>
      </c>
    </row>
    <row r="10167">
      <c r="A10167" s="4" t="s">
        <v>12782</v>
      </c>
      <c r="B10167" s="4" t="s">
        <v>12786</v>
      </c>
      <c r="C10167" s="5" t="str">
        <f>IFERROR(__xludf.DUMMYFUNCTION("GOOGLETRANSLATE(B10167,""en"",""zh-CN"")"),"她进行了几次翻转和翻译。")</f>
        <v>她进行了几次翻转和翻译。</v>
      </c>
    </row>
    <row r="10168">
      <c r="A10168" s="4" t="s">
        <v>12782</v>
      </c>
      <c r="B10168" s="4" t="s">
        <v>12787</v>
      </c>
      <c r="C10168" s="5" t="str">
        <f>IFERROR(__xludf.DUMMYFUNCTION("GOOGLETRANSLATE(B10168,""en"",""zh-CN"")"),"她准备下车。")</f>
        <v>她准备下车。</v>
      </c>
    </row>
    <row r="10169">
      <c r="A10169" s="4" t="s">
        <v>12782</v>
      </c>
      <c r="B10169" s="4" t="s">
        <v>12788</v>
      </c>
      <c r="C10169" s="5" t="str">
        <f>IFERROR(__xludf.DUMMYFUNCTION("GOOGLETRANSLATE(B10169,""en"",""zh-CN"")"),"在下马期间，她在空中几次翻转，并完美地着陆。")</f>
        <v>在下马期间，她在空中几次翻转，并完美地着陆。</v>
      </c>
    </row>
    <row r="10170">
      <c r="A10170" s="4" t="s">
        <v>12789</v>
      </c>
      <c r="B10170" s="4" t="s">
        <v>12790</v>
      </c>
      <c r="C10170" s="5" t="str">
        <f>IFERROR(__xludf.DUMMYFUNCTION("GOOGLETRANSLATE(B10170,""en"",""zh-CN"")"),"一个人站在一排树篱上。")</f>
        <v>一个人站在一排树篱上。</v>
      </c>
    </row>
    <row r="10171">
      <c r="A10171" s="4" t="s">
        <v>12789</v>
      </c>
      <c r="B10171" s="4" t="s">
        <v>12791</v>
      </c>
      <c r="C10171" s="5" t="str">
        <f>IFERROR(__xludf.DUMMYFUNCTION("GOOGLETRANSLATE(B10171,""en"",""zh-CN"")"),"然后，他开始用纯粹的责任修剪它们。")</f>
        <v>然后，他开始用纯粹的责任修剪它们。</v>
      </c>
    </row>
    <row r="10172">
      <c r="A10172" s="4" t="s">
        <v>12789</v>
      </c>
      <c r="B10172" s="4" t="s">
        <v>12792</v>
      </c>
      <c r="C10172" s="5" t="str">
        <f>IFERROR(__xludf.DUMMYFUNCTION("GOOGLETRANSLATE(B10172,""en"",""zh-CN"")"),"他修剪了灌木丛的顶部。")</f>
        <v>他修剪了灌木丛的顶部。</v>
      </c>
    </row>
    <row r="10173">
      <c r="A10173" s="4" t="s">
        <v>12789</v>
      </c>
      <c r="B10173" s="4" t="s">
        <v>12793</v>
      </c>
      <c r="C10173" s="5" t="str">
        <f>IFERROR(__xludf.DUMMYFUNCTION("GOOGLETRANSLATE(B10173,""en"",""zh-CN"")"),"显示了几个不同的修饰灌木丛。")</f>
        <v>显示了几个不同的修饰灌木丛。</v>
      </c>
    </row>
    <row r="10174">
      <c r="A10174" s="4" t="s">
        <v>12794</v>
      </c>
      <c r="B10174" s="6" t="s">
        <v>12795</v>
      </c>
      <c r="C10174" s="5" t="str">
        <f>IFERROR(__xludf.DUMMYFUNCTION("GOOGLETRANSLATE(B10174,""en"",""zh-CN"")"),"一个小男孩坐在地板上的一个房间里，当他看着相机时，周围有书和玩具。")</f>
        <v>一个小男孩坐在地板上的一个房间里，当他看着相机时，周围有书和玩具。</v>
      </c>
    </row>
    <row r="10175">
      <c r="A10175" s="4" t="s">
        <v>12794</v>
      </c>
      <c r="B10175" s="6" t="s">
        <v>12796</v>
      </c>
      <c r="C10175" s="5" t="str">
        <f>IFERROR(__xludf.DUMMYFUNCTION("GOOGLETRANSLATE(B10175,""en"",""zh-CN"")"),"然后，这个小男孩走到外面，开始在公园里玩耍，在摄影师录制他时自己玩得开心。")</f>
        <v>然后，这个小男孩走到外面，开始在公园里玩耍，在摄影师录制他时自己玩得开心。</v>
      </c>
    </row>
    <row r="10176">
      <c r="A10176" s="4" t="s">
        <v>12794</v>
      </c>
      <c r="B10176" s="4" t="s">
        <v>12797</v>
      </c>
      <c r="C10176" s="5" t="str">
        <f>IFERROR(__xludf.DUMMYFUNCTION("GOOGLETRANSLATE(B10176,""en"",""zh-CN"")"),"这个男孩的小小滑落在滑梯上，微笑着玩得开心时爬上台阶。")</f>
        <v>这个男孩的小小滑落在滑梯上，微笑着玩得开心时爬上台阶。</v>
      </c>
    </row>
    <row r="10177">
      <c r="A10177" s="4" t="s">
        <v>12798</v>
      </c>
      <c r="B10177" s="4" t="s">
        <v>12799</v>
      </c>
      <c r="C10177" s="5" t="str">
        <f>IFERROR(__xludf.DUMMYFUNCTION("GOOGLETRANSLATE(B10177,""en"",""zh-CN"")"),"显示了各种各样的人，后面是几张孩子跳绳的镜头。")</f>
        <v>显示了各种各样的人，后面是几张孩子跳绳的镜头。</v>
      </c>
    </row>
    <row r="10178">
      <c r="A10178" s="4" t="s">
        <v>12798</v>
      </c>
      <c r="B10178" s="6" t="s">
        <v>12800</v>
      </c>
      <c r="C10178" s="5" t="str">
        <f>IFERROR(__xludf.DUMMYFUNCTION("GOOGLETRANSLATE(B10178,""en"",""zh-CN"")"),"然后，一个男人在法庭上向各种孩子发言，并展示了更多的孩子跳绳的镜头。")</f>
        <v>然后，一个男人在法庭上向各种孩子发言，并展示了更多的孩子跳绳的镜头。</v>
      </c>
    </row>
    <row r="10179">
      <c r="A10179" s="4" t="s">
        <v>12798</v>
      </c>
      <c r="B10179" s="6" t="s">
        <v>12801</v>
      </c>
      <c r="C10179" s="5" t="str">
        <f>IFERROR(__xludf.DUMMYFUNCTION("GOOGLETRANSLATE(B10179,""en"",""zh-CN"")"),"然后，这个男人跳绳子，而更多的孩子则用跳绳表演窍门，然后以另一个跳投说话的男人结束。")</f>
        <v>然后，这个男人跳绳子，而更多的孩子则用跳绳表演窍门，然后以另一个跳投说话的男人结束。</v>
      </c>
    </row>
    <row r="10180">
      <c r="A10180" s="4" t="s">
        <v>12802</v>
      </c>
      <c r="B10180" s="4" t="s">
        <v>12803</v>
      </c>
      <c r="C10180" s="5" t="str">
        <f>IFERROR(__xludf.DUMMYFUNCTION("GOOGLETRANSLATE(B10180,""en"",""zh-CN"")"),"汽车在洗车时被洗涤。")</f>
        <v>汽车在洗车时被洗涤。</v>
      </c>
    </row>
    <row r="10181">
      <c r="A10181" s="4" t="s">
        <v>12802</v>
      </c>
      <c r="B10181" s="4" t="s">
        <v>12804</v>
      </c>
      <c r="C10181" s="5" t="str">
        <f>IFERROR(__xludf.DUMMYFUNCTION("GOOGLETRANSLATE(B10181,""en"",""zh-CN"")"),"一个穿着红色衬衫的男人与一件黑色衬衫的男人说话。")</f>
        <v>一个穿着红色衬衫的男人与一件黑色衬衫的男人说话。</v>
      </c>
    </row>
    <row r="10182">
      <c r="A10182" s="4" t="s">
        <v>12802</v>
      </c>
      <c r="B10182" s="4" t="s">
        <v>12805</v>
      </c>
      <c r="C10182" s="5" t="str">
        <f>IFERROR(__xludf.DUMMYFUNCTION("GOOGLETRANSLATE(B10182,""en"",""zh-CN"")"),"汽车正在自动洗车。")</f>
        <v>汽车正在自动洗车。</v>
      </c>
    </row>
    <row r="10183">
      <c r="A10183" s="4" t="s">
        <v>12802</v>
      </c>
      <c r="B10183" s="4" t="s">
        <v>12806</v>
      </c>
      <c r="C10183" s="5" t="str">
        <f>IFERROR(__xludf.DUMMYFUNCTION("GOOGLETRANSLATE(B10183,""en"",""zh-CN"")"),"现在有人正在擦洗汽车洗车。")</f>
        <v>现在有人正在擦洗汽车洗车。</v>
      </c>
    </row>
    <row r="10184">
      <c r="A10184" s="4" t="s">
        <v>12802</v>
      </c>
      <c r="B10184" s="4" t="s">
        <v>12807</v>
      </c>
      <c r="C10184" s="5" t="str">
        <f>IFERROR(__xludf.DUMMYFUNCTION("GOOGLETRANSLATE(B10184,""en"",""zh-CN"")"),"他们走进车库并检查汽车。")</f>
        <v>他们走进车库并检查汽车。</v>
      </c>
    </row>
    <row r="10185">
      <c r="A10185" s="4" t="s">
        <v>12808</v>
      </c>
      <c r="B10185" s="4" t="s">
        <v>12809</v>
      </c>
      <c r="C10185" s="5" t="str">
        <f>IFERROR(__xludf.DUMMYFUNCTION("GOOGLETRANSLATE(B10185,""en"",""zh-CN"")"),"录音室里的四个人正在演奏不同的乐器。")</f>
        <v>录音室里的四个人正在演奏不同的乐器。</v>
      </c>
    </row>
    <row r="10186">
      <c r="A10186" s="4" t="s">
        <v>12808</v>
      </c>
      <c r="B10186" s="4" t="s">
        <v>12810</v>
      </c>
      <c r="C10186" s="5" t="str">
        <f>IFERROR(__xludf.DUMMYFUNCTION("GOOGLETRANSLATE(B10186,""en"",""zh-CN"")"),"弹吉他的那个人在弹吉他时唱歌。")</f>
        <v>弹吉他的那个人在弹吉他时唱歌。</v>
      </c>
    </row>
    <row r="10187">
      <c r="A10187" s="4" t="s">
        <v>12808</v>
      </c>
      <c r="B10187" s="6" t="s">
        <v>12811</v>
      </c>
      <c r="C10187" s="5" t="str">
        <f>IFERROR(__xludf.DUMMYFUNCTION("GOOGLETRANSLATE(B10187,""en"",""zh-CN"")"),"扮演口琴的那个人停止演奏，看着那个人唱歌，然后他继续扮演口琴。")</f>
        <v>扮演口琴的那个人停止演奏，看着那个人唱歌，然后他继续扮演口琴。</v>
      </c>
    </row>
    <row r="10188">
      <c r="A10188" s="4" t="s">
        <v>12808</v>
      </c>
      <c r="B10188" s="4" t="s">
        <v>12812</v>
      </c>
      <c r="C10188" s="5" t="str">
        <f>IFERROR(__xludf.DUMMYFUNCTION("GOOGLETRANSLATE(B10188,""en"",""zh-CN"")"),"这四个人背后的两个人正在演奏乐器。")</f>
        <v>这四个人背后的两个人正在演奏乐器。</v>
      </c>
    </row>
    <row r="10189">
      <c r="A10189" s="4" t="s">
        <v>12808</v>
      </c>
      <c r="B10189" s="4" t="s">
        <v>12813</v>
      </c>
      <c r="C10189" s="5" t="str">
        <f>IFERROR(__xludf.DUMMYFUNCTION("GOOGLETRANSLATE(B10189,""en"",""zh-CN"")"),"用吉他拔出白布并挥舞着它的人。")</f>
        <v>用吉他拔出白布并挥舞着它的人。</v>
      </c>
    </row>
    <row r="10190">
      <c r="A10190" s="4" t="s">
        <v>12814</v>
      </c>
      <c r="B10190" s="4" t="s">
        <v>12815</v>
      </c>
      <c r="C10190" s="5" t="str">
        <f>IFERROR(__xludf.DUMMYFUNCTION("GOOGLETRANSLATE(B10190,""en"",""zh-CN"")"),"一个年轻的女孩站在一个带灰色毛衣，黑色紧身裤和粉红色鞋子的房间里。")</f>
        <v>一个年轻的女孩站在一个带灰色毛衣，黑色紧身裤和粉红色鞋子的房间里。</v>
      </c>
    </row>
    <row r="10191">
      <c r="A10191" s="4" t="s">
        <v>12814</v>
      </c>
      <c r="B10191" s="4" t="s">
        <v>12816</v>
      </c>
      <c r="C10191" s="5" t="str">
        <f>IFERROR(__xludf.DUMMYFUNCTION("GOOGLETRANSLATE(B10191,""en"",""zh-CN"")"),"在她的手中，她有一根槌球棍，正在摆弄小球。")</f>
        <v>在她的手中，她有一根槌球棍，正在摆弄小球。</v>
      </c>
    </row>
    <row r="10192">
      <c r="A10192" s="4" t="s">
        <v>12814</v>
      </c>
      <c r="B10192" s="6" t="s">
        <v>12817</v>
      </c>
      <c r="C10192" s="5" t="str">
        <f>IFERROR(__xludf.DUMMYFUNCTION("GOOGLETRANSLATE(B10192,""en"",""zh-CN"")"),"她做了相当长的时间，直到最终与球走路并结束视频为止。")</f>
        <v>她做了相当长的时间，直到最终与球走路并结束视频为止。</v>
      </c>
    </row>
    <row r="10193">
      <c r="A10193" s="4" t="s">
        <v>12818</v>
      </c>
      <c r="B10193" s="4" t="s">
        <v>1251</v>
      </c>
      <c r="C10193" s="5" t="str">
        <f>IFERROR(__xludf.DUMMYFUNCTION("GOOGLETRANSLATE(B10193,""en"",""zh-CN"")"),"显示了剪辑的信用。")</f>
        <v>显示了剪辑的信用。</v>
      </c>
    </row>
    <row r="10194">
      <c r="A10194" s="4" t="s">
        <v>12818</v>
      </c>
      <c r="B10194" s="4" t="s">
        <v>12819</v>
      </c>
      <c r="C10194" s="5" t="str">
        <f>IFERROR(__xludf.DUMMYFUNCTION("GOOGLETRANSLATE(B10194,""en"",""zh-CN"")"),"一个站在浴室里的家伙说话和手势。")</f>
        <v>一个站在浴室里的家伙说话和手势。</v>
      </c>
    </row>
    <row r="10195">
      <c r="A10195" s="4" t="s">
        <v>12818</v>
      </c>
      <c r="B10195" s="4" t="s">
        <v>12820</v>
      </c>
      <c r="C10195" s="5" t="str">
        <f>IFERROR(__xludf.DUMMYFUNCTION("GOOGLETRANSLATE(B10195,""en"",""zh-CN"")"),"显示了一个剃光下巴的人。")</f>
        <v>显示了一个剃光下巴的人。</v>
      </c>
    </row>
    <row r="10196">
      <c r="A10196" s="4" t="s">
        <v>12818</v>
      </c>
      <c r="B10196" s="4" t="s">
        <v>12821</v>
      </c>
      <c r="C10196" s="5" t="str">
        <f>IFERROR(__xludf.DUMMYFUNCTION("GOOGLETRANSLATE(B10196,""en"",""zh-CN"")"),"一个家伙从他的手掌上放下蓝色管子的奶油，将其涂在下巴上。")</f>
        <v>一个家伙从他的手掌上放下蓝色管子的奶油，将其涂在下巴上。</v>
      </c>
    </row>
    <row r="10197">
      <c r="A10197" s="4" t="s">
        <v>12818</v>
      </c>
      <c r="B10197" s="4" t="s">
        <v>12822</v>
      </c>
      <c r="C10197" s="5" t="str">
        <f>IFERROR(__xludf.DUMMYFUNCTION("GOOGLETRANSLATE(B10197,""en"",""zh-CN"")"),"一个家伙从他的手掌上放下蓝色管子的凝胶，将其涂在下巴上。")</f>
        <v>一个家伙从他的手掌上放下蓝色管子的凝胶，将其涂在下巴上。</v>
      </c>
    </row>
    <row r="10198">
      <c r="A10198" s="4" t="s">
        <v>12818</v>
      </c>
      <c r="B10198" s="4" t="s">
        <v>12823</v>
      </c>
      <c r="C10198" s="5" t="str">
        <f>IFERROR(__xludf.DUMMYFUNCTION("GOOGLETRANSLATE(B10198,""en"",""zh-CN"")"),"一个人洗脸。")</f>
        <v>一个人洗脸。</v>
      </c>
    </row>
    <row r="10199">
      <c r="A10199" s="4" t="s">
        <v>12818</v>
      </c>
      <c r="B10199" s="4" t="s">
        <v>573</v>
      </c>
      <c r="C10199" s="5" t="str">
        <f>IFERROR(__xludf.DUMMYFUNCTION("GOOGLETRANSLATE(B10199,""en"",""zh-CN"")"),"显示了视频的积分。")</f>
        <v>显示了视频的积分。</v>
      </c>
    </row>
    <row r="10200">
      <c r="A10200" s="4" t="s">
        <v>12824</v>
      </c>
      <c r="B10200" s="4" t="s">
        <v>12825</v>
      </c>
      <c r="C10200" s="5" t="str">
        <f>IFERROR(__xludf.DUMMYFUNCTION("GOOGLETRANSLATE(B10200,""en"",""zh-CN"")"),"当年轻女孩站在她身后时，一个女人和相机说话。")</f>
        <v>当年轻女孩站在她身后时，一个女人和相机说话。</v>
      </c>
    </row>
    <row r="10201">
      <c r="A10201" s="4" t="s">
        <v>12824</v>
      </c>
      <c r="B10201" s="6" t="s">
        <v>12826</v>
      </c>
      <c r="C10201" s="5" t="str">
        <f>IFERROR(__xludf.DUMMYFUNCTION("GOOGLETRANSLATE(B10201,""en"",""zh-CN"")"),"正如年轻女孩跟随的那样，该名女子继续与镜头交谈，同时展示单个舞蹈运动。")</f>
        <v>正如年轻女孩跟随的那样，该名女子继续与镜头交谈，同时展示单个舞蹈运动。</v>
      </c>
    </row>
    <row r="10202">
      <c r="A10202" s="4" t="s">
        <v>12824</v>
      </c>
      <c r="B10202" s="4" t="s">
        <v>12827</v>
      </c>
      <c r="C10202" s="5" t="str">
        <f>IFERROR(__xludf.DUMMYFUNCTION("GOOGLETRANSLATE(B10202,""en"",""zh-CN"")"),"女人带领女孩练习整个序列。")</f>
        <v>女人带领女孩练习整个序列。</v>
      </c>
    </row>
    <row r="10203">
      <c r="A10203" s="4" t="s">
        <v>12824</v>
      </c>
      <c r="B10203" s="4" t="s">
        <v>12828</v>
      </c>
      <c r="C10203" s="5" t="str">
        <f>IFERROR(__xludf.DUMMYFUNCTION("GOOGLETRANSLATE(B10203,""en"",""zh-CN"")"),"女孩们自己执行序列。")</f>
        <v>女孩们自己执行序列。</v>
      </c>
    </row>
    <row r="10204">
      <c r="A10204" s="4" t="s">
        <v>12829</v>
      </c>
      <c r="B10204" s="4" t="s">
        <v>12830</v>
      </c>
      <c r="C10204" s="5" t="str">
        <f>IFERROR(__xludf.DUMMYFUNCTION("GOOGLETRANSLATE(B10204,""en"",""zh-CN"")"),"一名读球队的球员在足球进球上进行免费投篮，球员得分。")</f>
        <v>一名读球队的球员在足球进球上进行免费投篮，球员得分。</v>
      </c>
    </row>
    <row r="10205">
      <c r="A10205" s="4" t="s">
        <v>12829</v>
      </c>
      <c r="B10205" s="4" t="s">
        <v>12831</v>
      </c>
      <c r="C10205" s="5" t="str">
        <f>IFERROR(__xludf.DUMMYFUNCTION("GOOGLETRANSLATE(B10205,""en"",""zh-CN"")"),"再次，一名穿着红色T恤的球员得分，球员跳了起来，拥抱庆祝。")</f>
        <v>再次，一名穿着红色T恤的球员得分，球员跳了起来，拥抱庆祝。</v>
      </c>
    </row>
    <row r="10206">
      <c r="A10206" s="4" t="s">
        <v>12829</v>
      </c>
      <c r="B10206" s="4" t="s">
        <v>12832</v>
      </c>
      <c r="C10206" s="5" t="str">
        <f>IFERROR(__xludf.DUMMYFUNCTION("GOOGLETRANSLATE(B10206,""en"",""zh-CN"")"),"然后，一名具有白色T恤的球员，球队继续比赛。")</f>
        <v>然后，一名具有白色T恤的球员，球队继续比赛。</v>
      </c>
    </row>
    <row r="10207">
      <c r="A10207" s="4" t="s">
        <v>12829</v>
      </c>
      <c r="B10207" s="4" t="s">
        <v>12833</v>
      </c>
      <c r="C10207" s="5" t="str">
        <f>IFERROR(__xludf.DUMMYFUNCTION("GOOGLETRANSLATE(B10207,""en"",""zh-CN"")"),"红队再次得分，人们庆祝。")</f>
        <v>红队再次得分，人们庆祝。</v>
      </c>
    </row>
    <row r="10208">
      <c r="A10208" s="4" t="s">
        <v>12834</v>
      </c>
      <c r="B10208" s="6" t="s">
        <v>12835</v>
      </c>
      <c r="C10208" s="5" t="str">
        <f>IFERROR(__xludf.DUMMYFUNCTION("GOOGLETRANSLATE(B10208,""en"",""zh-CN"")"),"女人正在跑步以跳高跳跃，开始步行，而女人的跳高3次。")</f>
        <v>女人正在跑步以跳高跳跃，开始步行，而女人的跳高3次。</v>
      </c>
    </row>
    <row r="10209">
      <c r="A10209" s="4" t="s">
        <v>12834</v>
      </c>
      <c r="B10209" s="4" t="s">
        <v>12836</v>
      </c>
      <c r="C10209" s="5" t="str">
        <f>IFERROR(__xludf.DUMMYFUNCTION("GOOGLETRANSLATE(B10209,""en"",""zh-CN"")"),"女人松开地板上的头发，解开鞋子。")</f>
        <v>女人松开地板上的头发，解开鞋子。</v>
      </c>
    </row>
    <row r="10210">
      <c r="A10210" s="4" t="s">
        <v>12837</v>
      </c>
      <c r="B10210" s="4" t="s">
        <v>12838</v>
      </c>
      <c r="C10210" s="5" t="str">
        <f>IFERROR(__xludf.DUMMYFUNCTION("GOOGLETRANSLATE(B10210,""en"",""zh-CN"")"),"人们站在松弛的绳索上，在海滩上越过它。")</f>
        <v>人们站在松弛的绳索上，在海滩上越过它。</v>
      </c>
    </row>
    <row r="10211">
      <c r="A10211" s="4" t="s">
        <v>12837</v>
      </c>
      <c r="B10211" s="4" t="s">
        <v>12839</v>
      </c>
      <c r="C10211" s="5" t="str">
        <f>IFERROR(__xludf.DUMMYFUNCTION("GOOGLETRANSLATE(B10211,""en"",""zh-CN"")"),"一个男人掉进了泥土。")</f>
        <v>一个男人掉进了泥土。</v>
      </c>
    </row>
    <row r="10212">
      <c r="A10212" s="4" t="s">
        <v>12837</v>
      </c>
      <c r="B10212" s="4" t="s">
        <v>12840</v>
      </c>
      <c r="C10212" s="5" t="str">
        <f>IFERROR(__xludf.DUMMYFUNCTION("GOOGLETRANSLATE(B10212,""en"",""zh-CN"")"),"一个男人脱下衬衫，将其扔在沙滩上。")</f>
        <v>一个男人脱下衬衫，将其扔在沙滩上。</v>
      </c>
    </row>
    <row r="10213">
      <c r="A10213" s="4" t="s">
        <v>12837</v>
      </c>
      <c r="B10213" s="4" t="s">
        <v>12841</v>
      </c>
      <c r="C10213" s="5" t="str">
        <f>IFERROR(__xludf.DUMMYFUNCTION("GOOGLETRANSLATE(B10213,""en"",""zh-CN"")"),"一个人继续在松弛绳上做技巧。")</f>
        <v>一个人继续在松弛绳上做技巧。</v>
      </c>
    </row>
    <row r="10214">
      <c r="A10214" s="4" t="s">
        <v>12842</v>
      </c>
      <c r="B10214" s="4" t="s">
        <v>12843</v>
      </c>
      <c r="C10214" s="5" t="str">
        <f>IFERROR(__xludf.DUMMYFUNCTION("GOOGLETRANSLATE(B10214,""en"",""zh-CN"")"),"七龙珠Z角色彼此大喊大叫。")</f>
        <v>七龙珠Z角色彼此大喊大叫。</v>
      </c>
    </row>
    <row r="10215">
      <c r="A10215" s="4" t="s">
        <v>12842</v>
      </c>
      <c r="B10215" s="4" t="s">
        <v>12844</v>
      </c>
      <c r="C10215" s="5" t="str">
        <f>IFERROR(__xludf.DUMMYFUNCTION("GOOGLETRANSLATE(B10215,""en"",""zh-CN"")"),"他们开始演奏剪刀摇滚，看看谁会赢。")</f>
        <v>他们开始演奏剪刀摇滚，看看谁会赢。</v>
      </c>
    </row>
    <row r="10216">
      <c r="A10216" s="4" t="s">
        <v>12842</v>
      </c>
      <c r="B10216" s="4" t="s">
        <v>12845</v>
      </c>
      <c r="C10216" s="5" t="str">
        <f>IFERROR(__xludf.DUMMYFUNCTION("GOOGLETRANSLATE(B10216,""en"",""zh-CN"")"),"他们让守望者站在很大程度上，对它的结局将如何。")</f>
        <v>他们让守望者站在很大程度上，对它的结局将如何。</v>
      </c>
    </row>
    <row r="10217">
      <c r="A10217" s="4" t="s">
        <v>12842</v>
      </c>
      <c r="B10217" s="4" t="s">
        <v>12846</v>
      </c>
      <c r="C10217" s="5" t="str">
        <f>IFERROR(__xludf.DUMMYFUNCTION("GOOGLETRANSLATE(B10217,""en"",""zh-CN"")"),"他们只是继续演奏，其他角色之一开始变得非常生气。")</f>
        <v>他们只是继续演奏，其他角色之一开始变得非常生气。</v>
      </c>
    </row>
    <row r="10218">
      <c r="A10218" s="4" t="s">
        <v>12847</v>
      </c>
      <c r="B10218" s="4" t="s">
        <v>12848</v>
      </c>
      <c r="C10218" s="5" t="str">
        <f>IFERROR(__xludf.DUMMYFUNCTION("GOOGLETRANSLATE(B10218,""en"",""zh-CN"")"),"两个女人站在一个坐在椅子上的年轻女子后面，把头发弄完。")</f>
        <v>两个女人站在一个坐在椅子上的年轻女子后面，把头发弄完。</v>
      </c>
    </row>
    <row r="10219">
      <c r="A10219" s="4" t="s">
        <v>12847</v>
      </c>
      <c r="B10219" s="4" t="s">
        <v>12849</v>
      </c>
      <c r="C10219" s="5" t="str">
        <f>IFERROR(__xludf.DUMMYFUNCTION("GOOGLETRANSLATE(B10219,""en"",""zh-CN"")"),"该视频从标题页开始，显示即将完成多功能缝制的视频。")</f>
        <v>该视频从标题页开始，显示即将完成多功能缝制的视频。</v>
      </c>
    </row>
    <row r="10220">
      <c r="A10220" s="4" t="s">
        <v>12847</v>
      </c>
      <c r="B10220" s="6" t="s">
        <v>12850</v>
      </c>
      <c r="C10220" s="5" t="str">
        <f>IFERROR(__xludf.DUMMYFUNCTION("GOOGLETRANSLATE(B10220,""en"",""zh-CN"")"),"第一张图像，辫子图案显示在个体头上，因为她的头发在头部周围留有。")</f>
        <v>第一张图像，辫子图案显示在个体头上，因为她的头发在头部周围留有。</v>
      </c>
    </row>
    <row r="10221">
      <c r="A10221" s="4" t="s">
        <v>12847</v>
      </c>
      <c r="B10221" s="4" t="s">
        <v>12851</v>
      </c>
      <c r="C10221" s="5" t="str">
        <f>IFERROR(__xludf.DUMMYFUNCTION("GOOGLETRANSLATE(B10221,""en"",""zh-CN"")"),"然后，一位女士抓住编织，一根针，开始缝制头发。")</f>
        <v>然后，一位女士抓住编织，一根针，开始缝制头发。</v>
      </c>
    </row>
    <row r="10222">
      <c r="A10222" s="4" t="s">
        <v>12847</v>
      </c>
      <c r="B10222" s="6" t="s">
        <v>12852</v>
      </c>
      <c r="C10222" s="5" t="str">
        <f>IFERROR(__xludf.DUMMYFUNCTION("GOOGLETRANSLATE(B10222,""en"",""zh-CN"")"),"一旦她展示了如何固定缝制的方式，就可以显示成品，现在女孩的头发很长。")</f>
        <v>一旦她展示了如何固定缝制的方式，就可以显示成品，现在女孩的头发很长。</v>
      </c>
    </row>
    <row r="10223">
      <c r="A10223" s="4" t="s">
        <v>12853</v>
      </c>
      <c r="B10223" s="4" t="s">
        <v>12854</v>
      </c>
      <c r="C10223" s="5" t="str">
        <f>IFERROR(__xludf.DUMMYFUNCTION("GOOGLETRANSLATE(B10223,""en"",""zh-CN"")"),"一个男人站在健身房里聊天。")</f>
        <v>一个男人站在健身房里聊天。</v>
      </c>
    </row>
    <row r="10224">
      <c r="A10224" s="4" t="s">
        <v>12853</v>
      </c>
      <c r="B10224" s="4" t="s">
        <v>12855</v>
      </c>
      <c r="C10224" s="5" t="str">
        <f>IFERROR(__xludf.DUMMYFUNCTION("GOOGLETRANSLATE(B10224,""en"",""zh-CN"")"),"他站在开放的表面上，来回跳舞。")</f>
        <v>他站在开放的表面上，来回跳舞。</v>
      </c>
    </row>
    <row r="10225">
      <c r="A10225" s="4" t="s">
        <v>12853</v>
      </c>
      <c r="B10225" s="4" t="s">
        <v>12856</v>
      </c>
      <c r="C10225" s="5" t="str">
        <f>IFERROR(__xludf.DUMMYFUNCTION("GOOGLETRANSLATE(B10225,""en"",""zh-CN"")"),"他展示了几次动作。")</f>
        <v>他展示了几次动作。</v>
      </c>
    </row>
    <row r="10226">
      <c r="A10226" s="4" t="s">
        <v>12857</v>
      </c>
      <c r="B10226" s="4" t="s">
        <v>12858</v>
      </c>
      <c r="C10226" s="5" t="str">
        <f>IFERROR(__xludf.DUMMYFUNCTION("GOOGLETRANSLATE(B10226,""en"",""zh-CN"")"),"穿着棕褐色西装的女人在说话。")</f>
        <v>穿着棕褐色西装的女人在说话。</v>
      </c>
    </row>
    <row r="10227">
      <c r="A10227" s="4" t="s">
        <v>12857</v>
      </c>
      <c r="B10227" s="4" t="s">
        <v>12859</v>
      </c>
      <c r="C10227" s="5" t="str">
        <f>IFERROR(__xludf.DUMMYFUNCTION("GOOGLETRANSLATE(B10227,""en"",""zh-CN"")"),"坐在地面上时，一个穿着绿色衬衫的男人正在打网球。")</f>
        <v>坐在地面上时，一个穿着绿色衬衫的男人正在打网球。</v>
      </c>
    </row>
    <row r="10228">
      <c r="A10228" s="4" t="s">
        <v>12857</v>
      </c>
      <c r="B10228" s="4" t="s">
        <v>12860</v>
      </c>
      <c r="C10228" s="5" t="str">
        <f>IFERROR(__xludf.DUMMYFUNCTION("GOOGLETRANSLATE(B10228,""en"",""zh-CN"")"),"人们沿着人行道行走。")</f>
        <v>人们沿着人行道行走。</v>
      </c>
    </row>
    <row r="10229">
      <c r="A10229" s="4" t="s">
        <v>12857</v>
      </c>
      <c r="B10229" s="4" t="s">
        <v>12861</v>
      </c>
      <c r="C10229" s="5" t="str">
        <f>IFERROR(__xludf.DUMMYFUNCTION("GOOGLETRANSLATE(B10229,""en"",""zh-CN"")"),"穿着绿色衬衫的人正在用麦克风说话。")</f>
        <v>穿着绿色衬衫的人正在用麦克风说话。</v>
      </c>
    </row>
    <row r="10230">
      <c r="A10230" s="4" t="s">
        <v>12857</v>
      </c>
      <c r="B10230" s="4" t="s">
        <v>12862</v>
      </c>
      <c r="C10230" s="5" t="str">
        <f>IFERROR(__xludf.DUMMYFUNCTION("GOOGLETRANSLATE(B10230,""en"",""zh-CN"")"),"然后，一个穿着紫色衬衫的男人对麦克风说话。")</f>
        <v>然后，一个穿着紫色衬衫的男人对麦克风说话。</v>
      </c>
    </row>
    <row r="10231">
      <c r="A10231" s="4" t="s">
        <v>12857</v>
      </c>
      <c r="B10231" s="4" t="s">
        <v>12863</v>
      </c>
      <c r="C10231" s="5" t="str">
        <f>IFERROR(__xludf.DUMMYFUNCTION("GOOGLETRANSLATE(B10231,""en"",""zh-CN"")"),"穿着绿色衬衫的人继续打网球。")</f>
        <v>穿着绿色衬衫的人继续打网球。</v>
      </c>
    </row>
    <row r="10232">
      <c r="A10232" s="4" t="s">
        <v>12864</v>
      </c>
      <c r="B10232" s="4" t="s">
        <v>12865</v>
      </c>
      <c r="C10232" s="5" t="str">
        <f>IFERROR(__xludf.DUMMYFUNCTION("GOOGLETRANSLATE(B10232,""en"",""zh-CN"")"),"一名穿着红色和白色制服的体操运动员准备骑鞍马进行运动。")</f>
        <v>一名穿着红色和白色制服的体操运动员准备骑鞍马进行运动。</v>
      </c>
    </row>
    <row r="10233">
      <c r="A10233" s="4" t="s">
        <v>12864</v>
      </c>
      <c r="B10233" s="4" t="s">
        <v>12866</v>
      </c>
      <c r="C10233" s="5" t="str">
        <f>IFERROR(__xludf.DUMMYFUNCTION("GOOGLETRANSLATE(B10233,""en"",""zh-CN"")"),"体操运动员跳到鞍马上，从剪刀移动开始。")</f>
        <v>体操运动员跳到鞍马上，从剪刀移动开始。</v>
      </c>
    </row>
    <row r="10234">
      <c r="A10234" s="4" t="s">
        <v>12864</v>
      </c>
      <c r="B10234" s="4" t="s">
        <v>12867</v>
      </c>
      <c r="C10234" s="5" t="str">
        <f>IFERROR(__xludf.DUMMYFUNCTION("GOOGLETRANSLATE(B10234,""en"",""zh-CN"")"),"体操运动员在鞍马上进行旋转运动。")</f>
        <v>体操运动员在鞍马上进行旋转运动。</v>
      </c>
    </row>
    <row r="10235">
      <c r="A10235" s="4" t="s">
        <v>12864</v>
      </c>
      <c r="B10235" s="4" t="s">
        <v>12868</v>
      </c>
      <c r="C10235" s="5" t="str">
        <f>IFERROR(__xludf.DUMMYFUNCTION("GOOGLETRANSLATE(B10235,""en"",""zh-CN"")"),"体操运动员用手走路时移入手架。")</f>
        <v>体操运动员用手走路时移入手架。</v>
      </c>
    </row>
    <row r="10236">
      <c r="A10236" s="4" t="s">
        <v>12864</v>
      </c>
      <c r="B10236" s="4" t="s">
        <v>12869</v>
      </c>
      <c r="C10236" s="5" t="str">
        <f>IFERROR(__xludf.DUMMYFUNCTION("GOOGLETRANSLATE(B10236,""en"",""zh-CN"")"),"体操运动员从手站到他的下马。")</f>
        <v>体操运动员从手站到他的下马。</v>
      </c>
    </row>
    <row r="10237">
      <c r="A10237" s="4" t="s">
        <v>12870</v>
      </c>
      <c r="B10237" s="6" t="s">
        <v>12871</v>
      </c>
      <c r="C10237" s="5" t="str">
        <f>IFERROR(__xludf.DUMMYFUNCTION("GOOGLETRANSLATE(B10237,""en"",""zh-CN"")"),"一个男人紧紧地在健身房里，他弯下腰，将重量抬到头上，然后向下掉下来。")</f>
        <v>一个男人紧紧地在健身房里，他弯下腰，将重量抬到头上，然后向下掉下来。</v>
      </c>
    </row>
    <row r="10238">
      <c r="A10238" s="4" t="s">
        <v>12870</v>
      </c>
      <c r="B10238" s="4" t="s">
        <v>12872</v>
      </c>
      <c r="C10238" s="5" t="str">
        <f>IFERROR(__xludf.DUMMYFUNCTION("GOOGLETRANSLATE(B10238,""en"",""zh-CN"")"),"他回去并放松一下，然后再回去，再次增加体重。")</f>
        <v>他回去并放松一下，然后再回去，再次增加体重。</v>
      </c>
    </row>
    <row r="10239">
      <c r="A10239" s="4" t="s">
        <v>12870</v>
      </c>
      <c r="B10239" s="4" t="s">
        <v>12873</v>
      </c>
      <c r="C10239" s="5" t="str">
        <f>IFERROR(__xludf.DUMMYFUNCTION("GOOGLETRANSLATE(B10239,""en"",""zh-CN"")"),"他多次这样做，为机架增加了越来越多的重量。")</f>
        <v>他多次这样做，为机架增加了越来越多的重量。</v>
      </c>
    </row>
    <row r="10240">
      <c r="A10240" s="4" t="s">
        <v>12870</v>
      </c>
      <c r="B10240" s="4" t="s">
        <v>12874</v>
      </c>
      <c r="C10240" s="5" t="str">
        <f>IFERROR(__xludf.DUMMYFUNCTION("GOOGLETRANSLATE(B10240,""en"",""zh-CN"")"),"他终于举起374磅，称其退出。")</f>
        <v>他终于举起374磅，称其退出。</v>
      </c>
    </row>
    <row r="10241">
      <c r="A10241" s="4" t="s">
        <v>12875</v>
      </c>
      <c r="B10241" s="4" t="s">
        <v>12876</v>
      </c>
      <c r="C10241" s="5" t="str">
        <f>IFERROR(__xludf.DUMMYFUNCTION("GOOGLETRANSLATE(B10241,""en"",""zh-CN"")"),"一个人将飞盘踢向狗。")</f>
        <v>一个人将飞盘踢向狗。</v>
      </c>
    </row>
    <row r="10242">
      <c r="A10242" s="4" t="s">
        <v>12875</v>
      </c>
      <c r="B10242" s="4" t="s">
        <v>12877</v>
      </c>
      <c r="C10242" s="5" t="str">
        <f>IFERROR(__xludf.DUMMYFUNCTION("GOOGLETRANSLATE(B10242,""en"",""zh-CN"")"),"狗在捕捉飞盘的同时做了各种技巧。")</f>
        <v>狗在捕捉飞盘的同时做了各种技巧。</v>
      </c>
    </row>
    <row r="10243">
      <c r="A10243" s="4" t="s">
        <v>12875</v>
      </c>
      <c r="B10243" s="4" t="s">
        <v>12878</v>
      </c>
      <c r="C10243" s="5" t="str">
        <f>IFERROR(__xludf.DUMMYFUNCTION("GOOGLETRANSLATE(B10243,""en"",""zh-CN"")"),"狗从男人身上跳下来抓了玩具。")</f>
        <v>狗从男人身上跳下来抓了玩具。</v>
      </c>
    </row>
    <row r="10244">
      <c r="A10244" s="4" t="s">
        <v>12875</v>
      </c>
      <c r="B10244" s="4" t="s">
        <v>12879</v>
      </c>
      <c r="C10244" s="5" t="str">
        <f>IFERROR(__xludf.DUMMYFUNCTION("GOOGLETRANSLATE(B10244,""en"",""zh-CN"")"),"其他几只狗也可以抓住玩具的技巧。")</f>
        <v>其他几只狗也可以抓住玩具的技巧。</v>
      </c>
    </row>
    <row r="10245">
      <c r="A10245" s="4" t="s">
        <v>12875</v>
      </c>
      <c r="B10245" s="4" t="s">
        <v>12880</v>
      </c>
      <c r="C10245" s="5" t="str">
        <f>IFERROR(__xludf.DUMMYFUNCTION("GOOGLETRANSLATE(B10245,""en"",""zh-CN"")"),"一个男人在玩具上挥舞着狗。")</f>
        <v>一个男人在玩具上挥舞着狗。</v>
      </c>
    </row>
    <row r="10246">
      <c r="A10246" s="4" t="s">
        <v>12881</v>
      </c>
      <c r="B10246" s="4" t="s">
        <v>1487</v>
      </c>
      <c r="C10246" s="5" t="str">
        <f>IFERROR(__xludf.DUMMYFUNCTION("GOOGLETRANSLATE(B10246,""en"",""zh-CN"")"),"我们看到一个开放标题屏幕。")</f>
        <v>我们看到一个开放标题屏幕。</v>
      </c>
    </row>
    <row r="10247">
      <c r="A10247" s="4" t="s">
        <v>12881</v>
      </c>
      <c r="B10247" s="4" t="s">
        <v>12882</v>
      </c>
      <c r="C10247" s="5" t="str">
        <f>IFERROR(__xludf.DUMMYFUNCTION("GOOGLETRANSLATE(B10247,""en"",""zh-CN"")"),"我们看到雕刻南瓜的步骤。")</f>
        <v>我们看到雕刻南瓜的步骤。</v>
      </c>
    </row>
    <row r="10248">
      <c r="A10248" s="4" t="s">
        <v>12881</v>
      </c>
      <c r="B10248" s="4" t="s">
        <v>12883</v>
      </c>
      <c r="C10248" s="5" t="str">
        <f>IFERROR(__xludf.DUMMYFUNCTION("GOOGLETRANSLATE(B10248,""en"",""zh-CN"")"),"一个人清洁南瓜。")</f>
        <v>一个人清洁南瓜。</v>
      </c>
    </row>
    <row r="10249">
      <c r="A10249" s="4" t="s">
        <v>12881</v>
      </c>
      <c r="B10249" s="4" t="s">
        <v>12884</v>
      </c>
      <c r="C10249" s="5" t="str">
        <f>IFERROR(__xludf.DUMMYFUNCTION("GOOGLETRANSLATE(B10249,""en"",""zh-CN"")"),"我们看到了一步，一个人雕刻了南瓜。")</f>
        <v>我们看到了一步，一个人雕刻了南瓜。</v>
      </c>
    </row>
    <row r="10250">
      <c r="A10250" s="4" t="s">
        <v>12881</v>
      </c>
      <c r="B10250" s="4" t="s">
        <v>12885</v>
      </c>
      <c r="C10250" s="5" t="str">
        <f>IFERROR(__xludf.DUMMYFUNCTION("GOOGLETRANSLATE(B10250,""en"",""zh-CN"")"),"我们看到了另一步骤，人们使用雕刻的碎屑制作猫耳。")</f>
        <v>我们看到了另一步骤，人们使用雕刻的碎屑制作猫耳。</v>
      </c>
    </row>
    <row r="10251">
      <c r="A10251" s="4" t="s">
        <v>12881</v>
      </c>
      <c r="B10251" s="4" t="s">
        <v>777</v>
      </c>
      <c r="C10251" s="5" t="str">
        <f>IFERROR(__xludf.DUMMYFUNCTION("GOOGLETRANSLATE(B10251,""en"",""zh-CN"")"),"我们看到结尾标题屏幕。")</f>
        <v>我们看到结尾标题屏幕。</v>
      </c>
    </row>
    <row r="10252">
      <c r="A10252" s="4" t="s">
        <v>12886</v>
      </c>
      <c r="B10252" s="4" t="s">
        <v>12887</v>
      </c>
      <c r="C10252" s="5" t="str">
        <f>IFERROR(__xludf.DUMMYFUNCTION("GOOGLETRANSLATE(B10252,""en"",""zh-CN"")"),"看到搅拌机的特写，内部有各种成分。")</f>
        <v>看到搅拌机的特写，内部有各种成分。</v>
      </c>
    </row>
    <row r="10253">
      <c r="A10253" s="4" t="s">
        <v>12886</v>
      </c>
      <c r="B10253" s="4" t="s">
        <v>12888</v>
      </c>
      <c r="C10253" s="5" t="str">
        <f>IFERROR(__xludf.DUMMYFUNCTION("GOOGLETRANSLATE(B10253,""en"",""zh-CN"")"),"然后，一个人的手将混合物混合在一起，将手移开相机。")</f>
        <v>然后，一个人的手将混合物混合在一起，将手移开相机。</v>
      </c>
    </row>
    <row r="10254">
      <c r="A10254" s="4" t="s">
        <v>12889</v>
      </c>
      <c r="B10254" s="4" t="s">
        <v>12890</v>
      </c>
      <c r="C10254" s="5" t="str">
        <f>IFERROR(__xludf.DUMMYFUNCTION("GOOGLETRANSLATE(B10254,""en"",""zh-CN"")"),"看到一个女人的舌头上有标记，一个人在舌头上放纸巾。")</f>
        <v>看到一个女人的舌头上有标记，一个人在舌头上放纸巾。</v>
      </c>
    </row>
    <row r="10255">
      <c r="A10255" s="4" t="s">
        <v>12889</v>
      </c>
      <c r="B10255" s="4" t="s">
        <v>12891</v>
      </c>
      <c r="C10255" s="5" t="str">
        <f>IFERROR(__xludf.DUMMYFUNCTION("GOOGLETRANSLATE(B10255,""en"",""zh-CN"")"),"然后，男人刺穿了女孩的舌头，她看着相机微笑着。")</f>
        <v>然后，男人刺穿了女孩的舌头，她看着相机微笑着。</v>
      </c>
    </row>
    <row r="10256">
      <c r="A10256" s="4" t="s">
        <v>12892</v>
      </c>
      <c r="B10256" s="4" t="s">
        <v>12893</v>
      </c>
      <c r="C10256" s="5" t="str">
        <f>IFERROR(__xludf.DUMMYFUNCTION("GOOGLETRANSLATE(B10256,""en"",""zh-CN"")"),"一个光着膀子的男人站在门廊上，同时指导如何建造乡下人的火。")</f>
        <v>一个光着膀子的男人站在门廊上，同时指导如何建造乡下人的火。</v>
      </c>
    </row>
    <row r="10257">
      <c r="A10257" s="4" t="s">
        <v>12892</v>
      </c>
      <c r="B10257" s="4" t="s">
        <v>12894</v>
      </c>
      <c r="C10257" s="5" t="str">
        <f>IFERROR(__xludf.DUMMYFUNCTION("GOOGLETRANSLATE(B10257,""en"",""zh-CN"")"),"他展示了一个啤酒瓶和其他一些酒精。")</f>
        <v>他展示了一个啤酒瓶和其他一些酒精。</v>
      </c>
    </row>
    <row r="10258">
      <c r="A10258" s="4" t="s">
        <v>12892</v>
      </c>
      <c r="B10258" s="4" t="s">
        <v>12895</v>
      </c>
      <c r="C10258" s="5" t="str">
        <f>IFERROR(__xludf.DUMMYFUNCTION("GOOGLETRANSLATE(B10258,""en"",""zh-CN"")"),"他展示了他在坑里建立的篝火。")</f>
        <v>他展示了他在坑里建立的篝火。</v>
      </c>
    </row>
    <row r="10259">
      <c r="A10259" s="4" t="s">
        <v>12892</v>
      </c>
      <c r="B10259" s="4" t="s">
        <v>12896</v>
      </c>
      <c r="C10259" s="5" t="str">
        <f>IFERROR(__xludf.DUMMYFUNCTION("GOOGLETRANSLATE(B10259,""en"",""zh-CN"")"),"篝火坑附近有三名男子，展示了第三步。")</f>
        <v>篝火坑附近有三名男子，展示了第三步。</v>
      </c>
    </row>
    <row r="10260">
      <c r="A10260" s="4" t="s">
        <v>12892</v>
      </c>
      <c r="B10260" s="4" t="s">
        <v>12897</v>
      </c>
      <c r="C10260" s="5" t="str">
        <f>IFERROR(__xludf.DUMMYFUNCTION("GOOGLETRANSLATE(B10260,""en"",""zh-CN"")"),"其中一名男子捡起汽油罐，我们的一些人进入篝火坑。")</f>
        <v>其中一名男子捡起汽油罐，我们的一些人进入篝火坑。</v>
      </c>
    </row>
    <row r="10261">
      <c r="A10261" s="4" t="s">
        <v>12892</v>
      </c>
      <c r="B10261" s="4" t="s">
        <v>12898</v>
      </c>
      <c r="C10261" s="5" t="str">
        <f>IFERROR(__xludf.DUMMYFUNCTION("GOOGLETRANSLATE(B10261,""en"",""zh-CN"")"),"另一个男人点燃了篝火以开始大火。")</f>
        <v>另一个男人点燃了篝火以开始大火。</v>
      </c>
    </row>
    <row r="10262">
      <c r="A10262" s="4" t="s">
        <v>12892</v>
      </c>
      <c r="B10262" s="4" t="s">
        <v>12899</v>
      </c>
      <c r="C10262" s="5" t="str">
        <f>IFERROR(__xludf.DUMMYFUNCTION("GOOGLETRANSLATE(B10262,""en"",""zh-CN"")"),"随着坑中的烟花裂痕，篝火继续燃烧。")</f>
        <v>随着坑中的烟花裂痕，篝火继续燃烧。</v>
      </c>
    </row>
    <row r="10263">
      <c r="A10263" s="4" t="s">
        <v>12892</v>
      </c>
      <c r="B10263" s="4" t="s">
        <v>12900</v>
      </c>
      <c r="C10263" s="5" t="str">
        <f>IFERROR(__xludf.DUMMYFUNCTION("GOOGLETRANSLATE(B10263,""en"",""zh-CN"")"),"其中一位讲师回来了，指向乡下人篝火。")</f>
        <v>其中一位讲师回来了，指向乡下人篝火。</v>
      </c>
    </row>
    <row r="10264">
      <c r="A10264" s="4" t="s">
        <v>12901</v>
      </c>
      <c r="B10264" s="4" t="s">
        <v>12902</v>
      </c>
      <c r="C10264" s="5" t="str">
        <f>IFERROR(__xludf.DUMMYFUNCTION("GOOGLETRANSLATE(B10264,""en"",""zh-CN"")"),"人们坐在蓝色的保险杠上。")</f>
        <v>人们坐在蓝色的保险杠上。</v>
      </c>
    </row>
    <row r="10265">
      <c r="A10265" s="4" t="s">
        <v>12901</v>
      </c>
      <c r="B10265" s="4" t="s">
        <v>12903</v>
      </c>
      <c r="C10265" s="5" t="str">
        <f>IFERROR(__xludf.DUMMYFUNCTION("GOOGLETRANSLATE(B10265,""en"",""zh-CN"")"),"他们开车四处碰到彼此。")</f>
        <v>他们开车四处碰到彼此。</v>
      </c>
    </row>
    <row r="10266">
      <c r="A10266" s="4" t="s">
        <v>12901</v>
      </c>
      <c r="B10266" s="4" t="s">
        <v>12904</v>
      </c>
      <c r="C10266" s="5" t="str">
        <f>IFERROR(__xludf.DUMMYFUNCTION("GOOGLETRANSLATE(B10266,""en"",""zh-CN"")"),"一个戴着帽子的小男孩在相机上挥手。")</f>
        <v>一个戴着帽子的小男孩在相机上挥手。</v>
      </c>
    </row>
    <row r="10267">
      <c r="A10267" s="4" t="s">
        <v>12905</v>
      </c>
      <c r="B10267" s="4" t="s">
        <v>12906</v>
      </c>
      <c r="C10267" s="5" t="str">
        <f>IFERROR(__xludf.DUMMYFUNCTION("GOOGLETRANSLATE(B10267,""en"",""zh-CN"")"),"在柜台上看到一双肮脏的耐克运动鞋。")</f>
        <v>在柜台上看到一双肮脏的耐克运动鞋。</v>
      </c>
    </row>
    <row r="10268">
      <c r="A10268" s="4" t="s">
        <v>12905</v>
      </c>
      <c r="B10268" s="4" t="s">
        <v>12907</v>
      </c>
      <c r="C10268" s="5" t="str">
        <f>IFERROR(__xludf.DUMMYFUNCTION("GOOGLETRANSLATE(B10268,""en"",""zh-CN"")"),"一个男人用水装满碗，然后添加清洁液。")</f>
        <v>一个男人用水装满碗，然后添加清洁液。</v>
      </c>
    </row>
    <row r="10269">
      <c r="A10269" s="4" t="s">
        <v>12905</v>
      </c>
      <c r="B10269" s="4" t="s">
        <v>12908</v>
      </c>
      <c r="C10269" s="5" t="str">
        <f>IFERROR(__xludf.DUMMYFUNCTION("GOOGLETRANSLATE(B10269,""en"",""zh-CN"")"),"他用刷子擦洗鞋子。")</f>
        <v>他用刷子擦洗鞋子。</v>
      </c>
    </row>
    <row r="10270">
      <c r="A10270" s="4" t="s">
        <v>12909</v>
      </c>
      <c r="B10270" s="4" t="s">
        <v>12910</v>
      </c>
      <c r="C10270" s="5" t="str">
        <f>IFERROR(__xludf.DUMMYFUNCTION("GOOGLETRANSLATE(B10270,""en"",""zh-CN"")"),"一个人坐在一些视频监视器和相关设备前。")</f>
        <v>一个人坐在一些视频监视器和相关设备前。</v>
      </c>
    </row>
    <row r="10271">
      <c r="A10271" s="4" t="s">
        <v>12909</v>
      </c>
      <c r="B10271" s="4" t="s">
        <v>12911</v>
      </c>
      <c r="C10271" s="5" t="str">
        <f>IFERROR(__xludf.DUMMYFUNCTION("GOOGLETRANSLATE(B10271,""en"",""zh-CN"")"),"他提醒我们，当我们年轻时，我们不害怕尝试，因为我们喜欢它。")</f>
        <v>他提醒我们，当我们年轻时，我们不害怕尝试，因为我们喜欢它。</v>
      </c>
    </row>
    <row r="10272">
      <c r="A10272" s="4" t="s">
        <v>12909</v>
      </c>
      <c r="B10272" s="6" t="s">
        <v>12912</v>
      </c>
      <c r="C10272" s="5" t="str">
        <f>IFERROR(__xludf.DUMMYFUNCTION("GOOGLETRANSLATE(B10272,""en"",""zh-CN"")"),"然后，我们看到一些孩子和一些年长的球员一起踢足球，显然很开心。")</f>
        <v>然后，我们看到一些孩子和一些年长的球员一起踢足球，显然很开心。</v>
      </c>
    </row>
    <row r="10273">
      <c r="A10273" s="4" t="s">
        <v>12909</v>
      </c>
      <c r="B10273" s="4" t="s">
        <v>12913</v>
      </c>
      <c r="C10273" s="5" t="str">
        <f>IFERROR(__xludf.DUMMYFUNCTION("GOOGLETRANSLATE(B10273,""en"",""zh-CN"")"),"我们再次看到这个人，他建议我们不要长大。")</f>
        <v>我们再次看到这个人，他建议我们不要长大。</v>
      </c>
    </row>
    <row r="10274">
      <c r="A10274" s="4" t="s">
        <v>12914</v>
      </c>
      <c r="B10274" s="4" t="s">
        <v>12915</v>
      </c>
      <c r="C10274" s="5" t="str">
        <f>IFERROR(__xludf.DUMMYFUNCTION("GOOGLETRANSLATE(B10274,""en"",""zh-CN"")"),"有四个女性在录音室里跳舞的一些嘻哈音乐跳舞。")</f>
        <v>有四个女性在录音室里跳舞的一些嘻哈音乐跳舞。</v>
      </c>
    </row>
    <row r="10275">
      <c r="A10275" s="4" t="s">
        <v>12914</v>
      </c>
      <c r="B10275" s="4" t="s">
        <v>12916</v>
      </c>
      <c r="C10275" s="5" t="str">
        <f>IFERROR(__xludf.DUMMYFUNCTION("GOOGLETRANSLATE(B10275,""en"",""zh-CN"")"),"他们遵循同步和有节奏的节拍，遵循与其他舞者相同的步骤。")</f>
        <v>他们遵循同步和有节奏的节拍，遵循与其他舞者相同的步骤。</v>
      </c>
    </row>
    <row r="10276">
      <c r="A10276" s="4" t="s">
        <v>12914</v>
      </c>
      <c r="B10276" s="6" t="s">
        <v>12917</v>
      </c>
      <c r="C10276" s="5" t="str">
        <f>IFERROR(__xludf.DUMMYFUNCTION("GOOGLETRANSLATE(B10276,""en"",""zh-CN"")"),"他们继续以结构化的方式遵循一个步骤，每个人都在节奏地摇动双手和腿。")</f>
        <v>他们继续以结构化的方式遵循一个步骤，每个人都在节奏地摇动双手和腿。</v>
      </c>
    </row>
    <row r="10277">
      <c r="A10277" s="4" t="s">
        <v>12914</v>
      </c>
      <c r="B10277" s="6" t="s">
        <v>12918</v>
      </c>
      <c r="C10277" s="5" t="str">
        <f>IFERROR(__xludf.DUMMYFUNCTION("GOOGLETRANSLATE(B10277,""en"",""zh-CN"")"),"随着音乐的变化，他们的舞蹈动作发生了变化，他们会根据歌曲的拍子放慢速度或更快地移动。")</f>
        <v>随着音乐的变化，他们的舞蹈动作发生了变化，他们会根据歌曲的拍子放慢速度或更快地移动。</v>
      </c>
    </row>
    <row r="10278">
      <c r="A10278" s="4" t="s">
        <v>12919</v>
      </c>
      <c r="B10278" s="6" t="s">
        <v>12920</v>
      </c>
      <c r="C10278" s="5" t="str">
        <f>IFERROR(__xludf.DUMMYFUNCTION("GOOGLETRANSLATE(B10278,""en"",""zh-CN"")"),"一张男子陷入空中的男人的静止照片，即将攻击一个打孔袋，一张黑白的女人踢出打孔袋，两个裸露的男人拳击姿势，一个男人的剪影，一个男人踢一个模糊的人，两个拳击队中的男人，有两个男人拿着冠军腰带，手满拳击手套。")</f>
        <v>一张男子陷入空中的男人的静止照片，即将攻击一个打孔袋，一张黑白的女人踢出打孔袋，两个裸露的男人拳击姿势，一个男人的剪影，一个男人踢一个模糊的人，两个拳击队中的男人，有两个男人拿着冠军腰带，手满拳击手套。</v>
      </c>
    </row>
    <row r="10279">
      <c r="A10279" s="4" t="s">
        <v>12919</v>
      </c>
      <c r="B10279" s="4" t="s">
        <v>12921</v>
      </c>
      <c r="C10279" s="5" t="str">
        <f>IFERROR(__xludf.DUMMYFUNCTION("GOOGLETRANSLATE(B10279,""en"",""zh-CN"")"),"一个穿着蓝色短裤的人正在踢另一个男人穿着黑色短裤戴的踢脚垫。")</f>
        <v>一个穿着蓝色短裤的人正在踢另一个男人穿着黑色短裤戴的踢脚垫。</v>
      </c>
    </row>
    <row r="10280">
      <c r="A10280" s="4" t="s">
        <v>12919</v>
      </c>
      <c r="B10280" s="4" t="s">
        <v>12922</v>
      </c>
      <c r="C10280" s="5" t="str">
        <f>IFERROR(__xludf.DUMMYFUNCTION("GOOGLETRANSLATE(B10280,""en"",""zh-CN"")"),"两名被票房的男人在拳击圈外面互相拳击。")</f>
        <v>两名被票房的男人在拳击圈外面互相拳击。</v>
      </c>
    </row>
    <row r="10281">
      <c r="A10281" s="4" t="s">
        <v>12923</v>
      </c>
      <c r="B10281" s="4" t="s">
        <v>12924</v>
      </c>
      <c r="C10281" s="5" t="str">
        <f>IFERROR(__xludf.DUMMYFUNCTION("GOOGLETRANSLATE(B10281,""en"",""zh-CN"")"),"一个人进入拿着公文包的汽车。")</f>
        <v>一个人进入拿着公文包的汽车。</v>
      </c>
    </row>
    <row r="10282">
      <c r="A10282" s="4" t="s">
        <v>12923</v>
      </c>
      <c r="B10282" s="4" t="s">
        <v>12925</v>
      </c>
      <c r="C10282" s="5" t="str">
        <f>IFERROR(__xludf.DUMMYFUNCTION("GOOGLETRANSLATE(B10282,""en"",""zh-CN"")"),"然后，该男子在办公室里抽烟，护士给他论文。")</f>
        <v>然后，该男子在办公室里抽烟，护士给他论文。</v>
      </c>
    </row>
    <row r="10283">
      <c r="A10283" s="4" t="s">
        <v>12923</v>
      </c>
      <c r="B10283" s="4" t="s">
        <v>12926</v>
      </c>
      <c r="C10283" s="5" t="str">
        <f>IFERROR(__xludf.DUMMYFUNCTION("GOOGLETRANSLATE(B10283,""en"",""zh-CN"")"),"之后，一个优雅的女人抽烟，然后微笑。")</f>
        <v>之后，一个优雅的女人抽烟，然后微笑。</v>
      </c>
    </row>
    <row r="10284">
      <c r="A10284" s="4" t="s">
        <v>12927</v>
      </c>
      <c r="B10284" s="4" t="s">
        <v>12928</v>
      </c>
      <c r="C10284" s="5" t="str">
        <f>IFERROR(__xludf.DUMMYFUNCTION("GOOGLETRANSLATE(B10284,""en"",""zh-CN"")"),"人们在充气船上沿着石质河沿着石质河筏。")</f>
        <v>人们在充气船上沿着石质河沿着石质河筏。</v>
      </c>
    </row>
    <row r="10285">
      <c r="A10285" s="4" t="s">
        <v>12927</v>
      </c>
      <c r="B10285" s="4" t="s">
        <v>12929</v>
      </c>
      <c r="C10285" s="5" t="str">
        <f>IFERROR(__xludf.DUMMYFUNCTION("GOOGLETRANSLATE(B10285,""en"",""zh-CN"")"),"两个人在水中，其他男人帮助上船。")</f>
        <v>两个人在水中，其他男人帮助上船。</v>
      </c>
    </row>
    <row r="10286">
      <c r="A10286" s="4" t="s">
        <v>12927</v>
      </c>
      <c r="B10286" s="4" t="s">
        <v>12930</v>
      </c>
      <c r="C10286" s="5" t="str">
        <f>IFERROR(__xludf.DUMMYFUNCTION("GOOGLETRANSLATE(B10286,""en"",""zh-CN"")"),"这些人在高山之间经过。")</f>
        <v>这些人在高山之间经过。</v>
      </c>
    </row>
    <row r="10287">
      <c r="A10287" s="4" t="s">
        <v>12931</v>
      </c>
      <c r="B10287" s="6" t="s">
        <v>12932</v>
      </c>
      <c r="C10287" s="5" t="str">
        <f>IFERROR(__xludf.DUMMYFUNCTION("GOOGLETRANSLATE(B10287,""en"",""zh-CN"")"),"女人用刷子将雪地上的雪除去，还可以去除侧窗和后窗上的雪。")</f>
        <v>女人用刷子将雪地上的雪除去，还可以去除侧窗和后窗上的雪。</v>
      </c>
    </row>
    <row r="10288">
      <c r="A10288" s="4" t="s">
        <v>12931</v>
      </c>
      <c r="B10288" s="6" t="s">
        <v>12933</v>
      </c>
      <c r="C10288" s="5" t="str">
        <f>IFERROR(__xludf.DUMMYFUNCTION("GOOGLETRANSLATE(B10288,""en"",""zh-CN"")"),"之后，该名女子继续从汽车的引擎盖和有很多积雪的前窗上降雪。")</f>
        <v>之后，该名女子继续从汽车的引擎盖和有很多积雪的前窗上降雪。</v>
      </c>
    </row>
    <row r="10289">
      <c r="A10289" s="4" t="s">
        <v>12934</v>
      </c>
      <c r="B10289" s="4" t="s">
        <v>12935</v>
      </c>
      <c r="C10289" s="5" t="str">
        <f>IFERROR(__xludf.DUMMYFUNCTION("GOOGLETRANSLATE(B10289,""en"",""zh-CN"")"),"一个人在酒吧后面混合饮料。")</f>
        <v>一个人在酒吧后面混合饮料。</v>
      </c>
    </row>
    <row r="10290">
      <c r="A10290" s="4" t="s">
        <v>12934</v>
      </c>
      <c r="B10290" s="4" t="s">
        <v>12936</v>
      </c>
      <c r="C10290" s="5" t="str">
        <f>IFERROR(__xludf.DUMMYFUNCTION("GOOGLETRANSLATE(B10290,""en"",""zh-CN"")"),"一个人正在玩沙芬板游戏。")</f>
        <v>一个人正在玩沙芬板游戏。</v>
      </c>
    </row>
    <row r="10291">
      <c r="A10291" s="4" t="s">
        <v>12934</v>
      </c>
      <c r="B10291" s="4" t="s">
        <v>1599</v>
      </c>
      <c r="C10291" s="5" t="str">
        <f>IFERROR(__xludf.DUMMYFUNCTION("GOOGLETRANSLATE(B10291,""en"",""zh-CN"")"),"单词显示在屏幕上。")</f>
        <v>单词显示在屏幕上。</v>
      </c>
    </row>
    <row r="10292">
      <c r="A10292" s="4" t="s">
        <v>12937</v>
      </c>
      <c r="B10292" s="4" t="s">
        <v>12938</v>
      </c>
      <c r="C10292" s="5" t="str">
        <f>IFERROR(__xludf.DUMMYFUNCTION("GOOGLETRANSLATE(B10292,""en"",""zh-CN"")"),"一支球队在拥挤的体育场前打冰球。")</f>
        <v>一支球队在拥挤的体育场前打冰球。</v>
      </c>
    </row>
    <row r="10293">
      <c r="A10293" s="4" t="s">
        <v>12937</v>
      </c>
      <c r="B10293" s="4" t="s">
        <v>12939</v>
      </c>
      <c r="C10293" s="5" t="str">
        <f>IFERROR(__xludf.DUMMYFUNCTION("GOOGLETRANSLATE(B10293,""en"",""zh-CN"")"),"球员被显示彼此崩溃。")</f>
        <v>球员被显示彼此崩溃。</v>
      </c>
    </row>
    <row r="10294">
      <c r="A10294" s="4" t="s">
        <v>12937</v>
      </c>
      <c r="B10294" s="6" t="s">
        <v>12940</v>
      </c>
      <c r="C10294" s="5" t="str">
        <f>IFERROR(__xludf.DUMMYFUNCTION("GOOGLETRANSLATE(B10294,""en"",""zh-CN"")"),"当我们看到从曲棍球，棒球到足球和篮球的不同体育赛事中，人们看到了十个倒计时的倒计时。")</f>
        <v>当我们看到从曲棍球，棒球到足球和篮球的不同体育赛事中，人们看到了十个倒计时的倒计时。</v>
      </c>
    </row>
    <row r="10295">
      <c r="A10295" s="4" t="s">
        <v>12941</v>
      </c>
      <c r="B10295" s="4" t="s">
        <v>12942</v>
      </c>
      <c r="C10295" s="5" t="str">
        <f>IFERROR(__xludf.DUMMYFUNCTION("GOOGLETRANSLATE(B10295,""en"",""zh-CN"")"),"屏幕上正在显示单词，这些文字读了如何制作完美的三明治。")</f>
        <v>屏幕上正在显示单词，这些文字读了如何制作完美的三明治。</v>
      </c>
    </row>
    <row r="10296">
      <c r="A10296" s="4" t="s">
        <v>12941</v>
      </c>
      <c r="B10296" s="6" t="s">
        <v>12943</v>
      </c>
      <c r="C10296" s="5" t="str">
        <f>IFERROR(__xludf.DUMMYFUNCTION("GOOGLETRANSLATE(B10296,""en"",""zh-CN"")"),"您需要的成分包括面包，奶酪，火腿，火鸡子套件熟食，牛皮牛肉蛋黄酱，辣棕芥末，调味和刀。")</f>
        <v>您需要的成分包括面包，奶酪，火腿，火鸡子套件熟食，牛皮牛肉蛋黄酱，辣棕芥末，调味和刀。</v>
      </c>
    </row>
    <row r="10297">
      <c r="A10297" s="4" t="s">
        <v>12941</v>
      </c>
      <c r="B10297" s="6" t="s">
        <v>12944</v>
      </c>
      <c r="C10297" s="5" t="str">
        <f>IFERROR(__xludf.DUMMYFUNCTION("GOOGLETRANSLATE(B10297,""en"",""zh-CN"")"),"将蛋黄酱撒在两片面包上，然后将芥末和奶酪放在两个面包片上放置火腿，然后将火鸡肉加入您的口味。")</f>
        <v>将蛋黄酱撒在两片面包上，然后将芥末和奶酪放在两个面包片上放置火腿，然后将火鸡肉加入您的口味。</v>
      </c>
    </row>
    <row r="10298">
      <c r="A10298" s="4" t="s">
        <v>12945</v>
      </c>
      <c r="B10298" s="4" t="s">
        <v>12946</v>
      </c>
      <c r="C10298" s="5" t="str">
        <f>IFERROR(__xludf.DUMMYFUNCTION("GOOGLETRANSLATE(B10298,""en"",""zh-CN"")"),"看到一个小孩拿着一根棍子，在皮纳塔（Pinata）摇摆。")</f>
        <v>看到一个小孩拿着一根棍子，在皮纳塔（Pinata）摇摆。</v>
      </c>
    </row>
    <row r="10299">
      <c r="A10299" s="4" t="s">
        <v>12945</v>
      </c>
      <c r="B10299" s="4" t="s">
        <v>12947</v>
      </c>
      <c r="C10299" s="5" t="str">
        <f>IFERROR(__xludf.DUMMYFUNCTION("GOOGLETRANSLATE(B10299,""en"",""zh-CN"")"),"当一个男人用相机在侧面玩耍时，看到一个女孩蒙住眼睛。")</f>
        <v>当一个男人用相机在侧面玩耍时，看到一个女孩蒙住眼睛。</v>
      </c>
    </row>
    <row r="10300">
      <c r="A10300" s="4" t="s">
        <v>12945</v>
      </c>
      <c r="B10300" s="4" t="s">
        <v>12948</v>
      </c>
      <c r="C10300" s="5" t="str">
        <f>IFERROR(__xludf.DUMMYFUNCTION("GOOGLETRANSLATE(B10300,""en"",""zh-CN"")"),"该男子将棍子和手势握在旁边的女孩身上。")</f>
        <v>该男子将棍子和手势握在旁边的女孩身上。</v>
      </c>
    </row>
    <row r="10301">
      <c r="A10301" s="4" t="s">
        <v>12949</v>
      </c>
      <c r="B10301" s="4" t="s">
        <v>12950</v>
      </c>
      <c r="C10301" s="5" t="str">
        <f>IFERROR(__xludf.DUMMYFUNCTION("GOOGLETRANSLATE(B10301,""en"",""zh-CN"")"),"两个互相匹配的男人正在玩球拍球。")</f>
        <v>两个互相匹配的男人正在玩球拍球。</v>
      </c>
    </row>
    <row r="10302">
      <c r="A10302" s="4" t="s">
        <v>12949</v>
      </c>
      <c r="B10302" s="4" t="s">
        <v>12951</v>
      </c>
      <c r="C10302" s="5" t="str">
        <f>IFERROR(__xludf.DUMMYFUNCTION("GOOGLETRANSLATE(B10302,""en"",""zh-CN"")"),"他们在玩游戏的室内封闭式法庭区域。")</f>
        <v>他们在玩游戏的室内封闭式法庭区域。</v>
      </c>
    </row>
    <row r="10303">
      <c r="A10303" s="4" t="s">
        <v>12949</v>
      </c>
      <c r="B10303" s="4" t="s">
        <v>12952</v>
      </c>
      <c r="C10303" s="5" t="str">
        <f>IFERROR(__xludf.DUMMYFUNCTION("GOOGLETRANSLATE(B10303,""en"",""zh-CN"")"),"他们正在全场四处走动，试图击球。")</f>
        <v>他们正在全场四处走动，试图击球。</v>
      </c>
    </row>
    <row r="10304">
      <c r="A10304" s="4" t="s">
        <v>12949</v>
      </c>
      <c r="B10304" s="4" t="s">
        <v>12953</v>
      </c>
      <c r="C10304" s="5" t="str">
        <f>IFERROR(__xludf.DUMMYFUNCTION("GOOGLETRANSLATE(B10304,""en"",""zh-CN"")"),"秃头的人开始微笑着走出球场。")</f>
        <v>秃头的人开始微笑着走出球场。</v>
      </c>
    </row>
    <row r="10305">
      <c r="A10305" s="4" t="s">
        <v>12954</v>
      </c>
      <c r="B10305" s="4" t="s">
        <v>12955</v>
      </c>
      <c r="C10305" s="5" t="str">
        <f>IFERROR(__xludf.DUMMYFUNCTION("GOOGLETRANSLATE(B10305,""en"",""zh-CN"")"),"女性新闻主播正在谈论将显示的剪辑。")</f>
        <v>女性新闻主播正在谈论将显示的剪辑。</v>
      </c>
    </row>
    <row r="10306">
      <c r="A10306" s="4" t="s">
        <v>12954</v>
      </c>
      <c r="B10306" s="4" t="s">
        <v>12956</v>
      </c>
      <c r="C10306" s="5" t="str">
        <f>IFERROR(__xludf.DUMMYFUNCTION("GOOGLETRANSLATE(B10306,""en"",""zh-CN"")"),"猴子在水中的船后滑雪。")</f>
        <v>猴子在水中的船后滑雪。</v>
      </c>
    </row>
    <row r="10307">
      <c r="A10307" s="4" t="s">
        <v>12954</v>
      </c>
      <c r="B10307" s="4" t="s">
        <v>12957</v>
      </c>
      <c r="C10307" s="5" t="str">
        <f>IFERROR(__xludf.DUMMYFUNCTION("GOOGLETRANSLATE(B10307,""en"",""zh-CN"")"),"看到另一只猴子驾驶滑雪猴的速船。")</f>
        <v>看到另一只猴子驾驶滑雪猴的速船。</v>
      </c>
    </row>
    <row r="10308">
      <c r="A10308" s="4" t="s">
        <v>12954</v>
      </c>
      <c r="B10308" s="4" t="s">
        <v>12958</v>
      </c>
      <c r="C10308" s="5" t="str">
        <f>IFERROR(__xludf.DUMMYFUNCTION("GOOGLETRANSLATE(B10308,""en"",""zh-CN"")"),"几个人观看并从海岸拍摄照片和视频。")</f>
        <v>几个人观看并从海岸拍摄照片和视频。</v>
      </c>
    </row>
    <row r="10309">
      <c r="A10309" s="4" t="s">
        <v>12954</v>
      </c>
      <c r="B10309" s="4" t="s">
        <v>12959</v>
      </c>
      <c r="C10309" s="5" t="str">
        <f>IFERROR(__xludf.DUMMYFUNCTION("GOOGLETRANSLATE(B10309,""en"",""zh-CN"")"),"驾驶快艇的猴子再次显示。")</f>
        <v>驾驶快艇的猴子再次显示。</v>
      </c>
    </row>
    <row r="10310">
      <c r="A10310" s="4" t="s">
        <v>12954</v>
      </c>
      <c r="B10310" s="4" t="s">
        <v>12960</v>
      </c>
      <c r="C10310" s="5" t="str">
        <f>IFERROR(__xludf.DUMMYFUNCTION("GOOGLETRANSLATE(B10310,""en"",""zh-CN"")"),"猴子用船移动了方向盘。")</f>
        <v>猴子用船移动了方向盘。</v>
      </c>
    </row>
    <row r="10311">
      <c r="A10311" s="4" t="s">
        <v>12954</v>
      </c>
      <c r="B10311" s="4" t="s">
        <v>12961</v>
      </c>
      <c r="C10311" s="5" t="str">
        <f>IFERROR(__xludf.DUMMYFUNCTION("GOOGLETRANSLATE(B10311,""en"",""zh-CN"")"),"然后，猴子将船驶向一套浮标，三个人在等他。")</f>
        <v>然后，猴子将船驶向一套浮标，三个人在等他。</v>
      </c>
    </row>
    <row r="10312">
      <c r="A10312" s="4" t="s">
        <v>12954</v>
      </c>
      <c r="B10312" s="4" t="s">
        <v>12962</v>
      </c>
      <c r="C10312" s="5" t="str">
        <f>IFERROR(__xludf.DUMMYFUNCTION("GOOGLETRANSLATE(B10312,""en"",""zh-CN"")"),"三个新闻主播讨论猴子。")</f>
        <v>三个新闻主播讨论猴子。</v>
      </c>
    </row>
    <row r="10313">
      <c r="A10313" s="4" t="s">
        <v>12963</v>
      </c>
      <c r="B10313" s="4" t="s">
        <v>12964</v>
      </c>
      <c r="C10313" s="5" t="str">
        <f>IFERROR(__xludf.DUMMYFUNCTION("GOOGLETRANSLATE(B10313,""en"",""zh-CN"")"),"看到一个小男孩抓住一个球，向前走去镜头。")</f>
        <v>看到一个小男孩抓住一个球，向前走去镜头。</v>
      </c>
    </row>
    <row r="10314">
      <c r="A10314" s="4" t="s">
        <v>12963</v>
      </c>
      <c r="B10314" s="4" t="s">
        <v>12965</v>
      </c>
      <c r="C10314" s="5" t="str">
        <f>IFERROR(__xludf.DUMMYFUNCTION("GOOGLETRANSLATE(B10314,""en"",""zh-CN"")"),"然后，他被击中杆子并击球。")</f>
        <v>然后，他被击中杆子并击球。</v>
      </c>
    </row>
    <row r="10315">
      <c r="A10315" s="4" t="s">
        <v>12963</v>
      </c>
      <c r="B10315" s="4" t="s">
        <v>12966</v>
      </c>
      <c r="C10315" s="5" t="str">
        <f>IFERROR(__xludf.DUMMYFUNCTION("GOOGLETRANSLATE(B10315,""en"",""zh-CN"")"),"他继续将球击中一个球门，回头看着相机。")</f>
        <v>他继续将球击中一个球门，回头看着相机。</v>
      </c>
    </row>
    <row r="10316">
      <c r="A10316" s="4" t="s">
        <v>12967</v>
      </c>
      <c r="B10316" s="4" t="s">
        <v>12968</v>
      </c>
      <c r="C10316" s="5" t="str">
        <f>IFERROR(__xludf.DUMMYFUNCTION("GOOGLETRANSLATE(B10316,""en"",""zh-CN"")"),"一个男人和一个女人站在钢琴旁。")</f>
        <v>一个男人和一个女人站在钢琴旁。</v>
      </c>
    </row>
    <row r="10317">
      <c r="A10317" s="4" t="s">
        <v>12967</v>
      </c>
      <c r="B10317" s="4" t="s">
        <v>12969</v>
      </c>
      <c r="C10317" s="5" t="str">
        <f>IFERROR(__xludf.DUMMYFUNCTION("GOOGLETRANSLATE(B10317,""en"",""zh-CN"")"),"男人和女人一起弹钢琴。")</f>
        <v>男人和女人一起弹钢琴。</v>
      </c>
    </row>
    <row r="10318">
      <c r="A10318" s="4" t="s">
        <v>12967</v>
      </c>
      <c r="B10318" s="4" t="s">
        <v>12970</v>
      </c>
      <c r="C10318" s="5" t="str">
        <f>IFERROR(__xludf.DUMMYFUNCTION("GOOGLETRANSLATE(B10318,""en"",""zh-CN"")"),"他们切换位置并继续弹钢琴。")</f>
        <v>他们切换位置并继续弹钢琴。</v>
      </c>
    </row>
    <row r="10319">
      <c r="A10319" s="4" t="s">
        <v>12967</v>
      </c>
      <c r="B10319" s="4" t="s">
        <v>12971</v>
      </c>
      <c r="C10319" s="5" t="str">
        <f>IFERROR(__xludf.DUMMYFUNCTION("GOOGLETRANSLATE(B10319,""en"",""zh-CN"")"),"他们迅速切换位置。")</f>
        <v>他们迅速切换位置。</v>
      </c>
    </row>
    <row r="10320">
      <c r="A10320" s="4" t="s">
        <v>12967</v>
      </c>
      <c r="B10320" s="4" t="s">
        <v>12972</v>
      </c>
      <c r="C10320" s="5" t="str">
        <f>IFERROR(__xludf.DUMMYFUNCTION("GOOGLETRANSLATE(B10320,""en"",""zh-CN"")"),"他们再次做，一起笑。")</f>
        <v>他们再次做，一起笑。</v>
      </c>
    </row>
    <row r="10321">
      <c r="A10321" s="4" t="s">
        <v>12967</v>
      </c>
      <c r="B10321" s="4" t="s">
        <v>12973</v>
      </c>
      <c r="C10321" s="5" t="str">
        <f>IFERROR(__xludf.DUMMYFUNCTION("GOOGLETRANSLATE(B10321,""en"",""zh-CN"")"),"最终，他们结束并快乐地走开。")</f>
        <v>最终，他们结束并快乐地走开。</v>
      </c>
    </row>
    <row r="10322">
      <c r="A10322" s="4" t="s">
        <v>12974</v>
      </c>
      <c r="B10322" s="4" t="s">
        <v>12975</v>
      </c>
      <c r="C10322" s="5" t="str">
        <f>IFERROR(__xludf.DUMMYFUNCTION("GOOGLETRANSLATE(B10322,""en"",""zh-CN"")"),"一个女人坐在窗户编织白色的窗户上。")</f>
        <v>一个女人坐在窗户编织白色的窗户上。</v>
      </c>
    </row>
    <row r="10323">
      <c r="A10323" s="4" t="s">
        <v>12974</v>
      </c>
      <c r="B10323" s="4" t="s">
        <v>12976</v>
      </c>
      <c r="C10323" s="5" t="str">
        <f>IFERROR(__xludf.DUMMYFUNCTION("GOOGLETRANSLATE(B10323,""en"",""zh-CN"")"),"女人用她正在工作的作品的图像拿起一本图案书。")</f>
        <v>女人用她正在工作的作品的图像拿起一本图案书。</v>
      </c>
    </row>
    <row r="10324">
      <c r="A10324" s="4" t="s">
        <v>12974</v>
      </c>
      <c r="B10324" s="4" t="s">
        <v>12977</v>
      </c>
      <c r="C10324" s="5" t="str">
        <f>IFERROR(__xludf.DUMMYFUNCTION("GOOGLETRANSLATE(B10324,""en"",""zh-CN"")"),"女人继续编织。")</f>
        <v>女人继续编织。</v>
      </c>
    </row>
    <row r="10325">
      <c r="A10325" s="4" t="s">
        <v>12974</v>
      </c>
      <c r="B10325" s="4" t="s">
        <v>12978</v>
      </c>
      <c r="C10325" s="5" t="str">
        <f>IFERROR(__xludf.DUMMYFUNCTION("GOOGLETRANSLATE(B10325,""en"",""zh-CN"")"),"那个女人到目前为止炫耀她的作品，并继续编织。")</f>
        <v>那个女人到目前为止炫耀她的作品，并继续编织。</v>
      </c>
    </row>
    <row r="10326">
      <c r="A10326" s="4" t="s">
        <v>12979</v>
      </c>
      <c r="B10326" s="4" t="s">
        <v>12980</v>
      </c>
      <c r="C10326" s="5" t="str">
        <f>IFERROR(__xludf.DUMMYFUNCTION("GOOGLETRANSLATE(B10326,""en"",""zh-CN"")"),"一个大弓在桌子上放在桌子上。")</f>
        <v>一个大弓在桌子上放在桌子上。</v>
      </c>
    </row>
    <row r="10327">
      <c r="A10327" s="4" t="s">
        <v>12979</v>
      </c>
      <c r="B10327" s="4" t="s">
        <v>12981</v>
      </c>
      <c r="C10327" s="5" t="str">
        <f>IFERROR(__xludf.DUMMYFUNCTION("GOOGLETRANSLATE(B10327,""en"",""zh-CN"")"),"射箭套装的特写细节正在显示。")</f>
        <v>射箭套装的特写细节正在显示。</v>
      </c>
    </row>
    <row r="10328">
      <c r="A10328" s="4" t="s">
        <v>12979</v>
      </c>
      <c r="B10328" s="4" t="s">
        <v>12982</v>
      </c>
      <c r="C10328" s="5" t="str">
        <f>IFERROR(__xludf.DUMMYFUNCTION("GOOGLETRANSLATE(B10328,""en"",""zh-CN"")"),"一个人被显示为向后拉和箭头，放开它。")</f>
        <v>一个人被显示为向后拉和箭头，放开它。</v>
      </c>
    </row>
    <row r="10329">
      <c r="A10329" s="4" t="s">
        <v>12983</v>
      </c>
      <c r="B10329" s="4" t="s">
        <v>12984</v>
      </c>
      <c r="C10329" s="5" t="str">
        <f>IFERROR(__xludf.DUMMYFUNCTION("GOOGLETRANSLATE(B10329,""en"",""zh-CN"")"),"一群人在游乐园的一辆巨大的保险杠乘车旅行中乘坐保险杠汽车。")</f>
        <v>一群人在游乐园的一辆巨大的保险杠乘车旅行中乘坐保险杠汽车。</v>
      </c>
    </row>
    <row r="10330">
      <c r="A10330" s="4" t="s">
        <v>12983</v>
      </c>
      <c r="B10330" s="6" t="s">
        <v>12985</v>
      </c>
      <c r="C10330" s="5" t="str">
        <f>IFERROR(__xludf.DUMMYFUNCTION("GOOGLETRANSLATE(B10330,""en"",""zh-CN"")"),"两辆黄色保险杠汽车被卡在赛道的中间，直到它们被另一辆车撞到。")</f>
        <v>两辆黄色保险杠汽车被卡在赛道的中间，直到它们被另一辆车撞到。</v>
      </c>
    </row>
    <row r="10331">
      <c r="A10331" s="4" t="s">
        <v>12983</v>
      </c>
      <c r="B10331" s="4" t="s">
        <v>12986</v>
      </c>
      <c r="C10331" s="5" t="str">
        <f>IFERROR(__xludf.DUMMYFUNCTION("GOOGLETRANSLATE(B10331,""en"",""zh-CN"")"),"其余的保险杠驾驶员继续遵循该路线。")</f>
        <v>其余的保险杠驾驶员继续遵循该路线。</v>
      </c>
    </row>
    <row r="10332">
      <c r="A10332" s="4" t="s">
        <v>12987</v>
      </c>
      <c r="B10332" s="4" t="s">
        <v>12988</v>
      </c>
      <c r="C10332" s="5" t="str">
        <f>IFERROR(__xludf.DUMMYFUNCTION("GOOGLETRANSLATE(B10332,""en"",""zh-CN"")"),"擦拭女人的手，擦拭玻璃屏幕，然后坐在桌子上的各种物体。")</f>
        <v>擦拭女人的手，擦拭玻璃屏幕，然后坐在桌子上的各种物体。</v>
      </c>
    </row>
    <row r="10333">
      <c r="A10333" s="4" t="s">
        <v>12987</v>
      </c>
      <c r="B10333" s="4" t="s">
        <v>12989</v>
      </c>
      <c r="C10333" s="5" t="str">
        <f>IFERROR(__xludf.DUMMYFUNCTION("GOOGLETRANSLATE(B10333,""en"",""zh-CN"")"),"女人喷洒玻璃杯，并将物体沿着玻璃杯降落。")</f>
        <v>女人喷洒玻璃杯，并将物体沿着玻璃杯降落。</v>
      </c>
    </row>
    <row r="10334">
      <c r="A10334" s="4" t="s">
        <v>12987</v>
      </c>
      <c r="B10334" s="4" t="s">
        <v>12990</v>
      </c>
      <c r="C10334" s="5" t="str">
        <f>IFERROR(__xludf.DUMMYFUNCTION("GOOGLETRANSLATE(B10334,""en"",""zh-CN"")"),"她做了几次，并显示了插入哪里以及如何使用该工具。")</f>
        <v>她做了几次，并显示了插入哪里以及如何使用该工具。</v>
      </c>
    </row>
    <row r="10335">
      <c r="A10335" s="4" t="s">
        <v>12991</v>
      </c>
      <c r="B10335" s="4" t="s">
        <v>12992</v>
      </c>
      <c r="C10335" s="5" t="str">
        <f>IFERROR(__xludf.DUMMYFUNCTION("GOOGLETRANSLATE(B10335,""en"",""zh-CN"")"),"一个男人正在带标枪在赛道上奔跑。")</f>
        <v>一个男人正在带标枪在赛道上奔跑。</v>
      </c>
    </row>
    <row r="10336">
      <c r="A10336" s="4" t="s">
        <v>12991</v>
      </c>
      <c r="B10336" s="4" t="s">
        <v>5532</v>
      </c>
      <c r="C10336" s="5" t="str">
        <f>IFERROR(__xludf.DUMMYFUNCTION("GOOGLETRANSLATE(B10336,""en"",""zh-CN"")"),"他尽可能地扔掉它。")</f>
        <v>他尽可能地扔掉它。</v>
      </c>
    </row>
    <row r="10337">
      <c r="A10337" s="4" t="s">
        <v>12991</v>
      </c>
      <c r="B10337" s="4" t="s">
        <v>12993</v>
      </c>
      <c r="C10337" s="5" t="str">
        <f>IFERROR(__xludf.DUMMYFUNCTION("GOOGLETRANSLATE(B10337,""en"",""zh-CN"")"),"我们看到他再次以慢动作投掷。")</f>
        <v>我们看到他再次以慢动作投掷。</v>
      </c>
    </row>
    <row r="10338">
      <c r="A10338" s="4" t="s">
        <v>12994</v>
      </c>
      <c r="B10338" s="6" t="s">
        <v>12995</v>
      </c>
      <c r="C10338" s="5" t="str">
        <f>IFERROR(__xludf.DUMMYFUNCTION("GOOGLETRANSLATE(B10338,""en"",""zh-CN"")"),"一个男人坐在海滩上的椅子上，另一个男人接近，第一个男人站起来，将乳液应用于第二个人。")</f>
        <v>一个男人坐在海滩上的椅子上，另一个男人接近，第一个男人站起来，将乳液应用于第二个人。</v>
      </c>
    </row>
    <row r="10339">
      <c r="A10339" s="4" t="s">
        <v>12994</v>
      </c>
      <c r="B10339" s="4" t="s">
        <v>12996</v>
      </c>
      <c r="C10339" s="5" t="str">
        <f>IFERROR(__xludf.DUMMYFUNCTION("GOOGLETRANSLATE(B10339,""en"",""zh-CN"")"),"一个女人和一个男人坐在海滩上的毛巾上，一个男人靠近。")</f>
        <v>一个女人和一个男人坐在海滩上的毛巾上，一个男人靠近。</v>
      </c>
    </row>
    <row r="10340">
      <c r="A10340" s="4" t="s">
        <v>12994</v>
      </c>
      <c r="B10340" s="4" t="s">
        <v>12997</v>
      </c>
      <c r="C10340" s="5" t="str">
        <f>IFERROR(__xludf.DUMMYFUNCTION("GOOGLETRANSLATE(B10340,""en"",""zh-CN"")"),"坐着的人站起来，把乳液放在接近的男人身上。")</f>
        <v>坐着的人站起来，把乳液放在接近的男人身上。</v>
      </c>
    </row>
    <row r="10341">
      <c r="A10341" s="4" t="s">
        <v>12994</v>
      </c>
      <c r="B10341" s="4" t="s">
        <v>12998</v>
      </c>
      <c r="C10341" s="5" t="str">
        <f>IFERROR(__xludf.DUMMYFUNCTION("GOOGLETRANSLATE(B10341,""en"",""zh-CN"")"),"当一个女人接近他们时，五个男人躺在海滩上。")</f>
        <v>当一个女人接近他们时，五个男人躺在海滩上。</v>
      </c>
    </row>
    <row r="10342">
      <c r="A10342" s="4" t="s">
        <v>12994</v>
      </c>
      <c r="B10342" s="4" t="s">
        <v>12999</v>
      </c>
      <c r="C10342" s="5" t="str">
        <f>IFERROR(__xludf.DUMMYFUNCTION("GOOGLETRANSLATE(B10342,""en"",""zh-CN"")"),"一个人站起来，将乳液涂在妇女身上。")</f>
        <v>一个人站起来，将乳液涂在妇女身上。</v>
      </c>
    </row>
    <row r="10343">
      <c r="A10343" s="4" t="s">
        <v>12994</v>
      </c>
      <c r="B10343" s="4" t="s">
        <v>13000</v>
      </c>
      <c r="C10343" s="5" t="str">
        <f>IFERROR(__xludf.DUMMYFUNCTION("GOOGLETRANSLATE(B10343,""en"",""zh-CN"")"),"五个家伙在海滩上躺在毛巾上，一个人接近他们。")</f>
        <v>五个家伙在海滩上躺在毛巾上，一个人接近他们。</v>
      </c>
    </row>
    <row r="10344">
      <c r="A10344" s="4" t="s">
        <v>13001</v>
      </c>
      <c r="B10344" s="6" t="s">
        <v>13002</v>
      </c>
      <c r="C10344" s="5" t="str">
        <f>IFERROR(__xludf.DUMMYFUNCTION("GOOGLETRANSLATE(B10344,""en"",""zh-CN"")"),"一群游泳者悬崖在一场审判的比赛中潜入一群被围观者，大岩石，建筑物和船只包围的水中。")</f>
        <v>一群游泳者悬崖在一场审判的比赛中潜入一群被围观者，大岩石，建筑物和船只包围的水中。</v>
      </c>
    </row>
    <row r="10345">
      <c r="A10345" s="4" t="s">
        <v>13001</v>
      </c>
      <c r="B10345" s="6" t="s">
        <v>13003</v>
      </c>
      <c r="C10345" s="5" t="str">
        <f>IFERROR(__xludf.DUMMYFUNCTION("GOOGLETRANSLATE(B10345,""en"",""zh-CN"")"),"游泳者跳下一个人制作的金属悬崖，用赞助的广告艺术和图形包裹。")</f>
        <v>游泳者跳下一个人制作的金属悬崖，用赞助的广告艺术和图形包裹。</v>
      </c>
    </row>
    <row r="10346">
      <c r="A10346" s="4" t="s">
        <v>13001</v>
      </c>
      <c r="B10346" s="6" t="s">
        <v>13004</v>
      </c>
      <c r="C10346" s="5" t="str">
        <f>IFERROR(__xludf.DUMMYFUNCTION("GOOGLETRANSLATE(B10346,""en"",""zh-CN"")"),"一群法官在附近的街道上驾驶汽车开车，围观者在抬高的墙壁上并排坐在旁边的街道上，围着汽车驶过，他们的数字上有数字。")</f>
        <v>一群法官在附近的街道上驾驶汽车开车，围观者在抬高的墙壁上并排坐在旁边的街道上，围着汽车驶过，他们的数字上有数字。</v>
      </c>
    </row>
    <row r="10347">
      <c r="A10347" s="4" t="s">
        <v>13001</v>
      </c>
      <c r="B10347" s="4" t="s">
        <v>13005</v>
      </c>
      <c r="C10347" s="5" t="str">
        <f>IFERROR(__xludf.DUMMYFUNCTION("GOOGLETRANSLATE(B10347,""en"",""zh-CN"")"),"两名游泳者拥抱，一名游泳运动员上下跳跃，另外三个游泳者保持了奖杯。")</f>
        <v>两名游泳者拥抱，一名游泳运动员上下跳跃，另外三个游泳者保持了奖杯。</v>
      </c>
    </row>
    <row r="10348">
      <c r="A10348" s="4" t="s">
        <v>13006</v>
      </c>
      <c r="B10348" s="4" t="s">
        <v>13007</v>
      </c>
      <c r="C10348" s="5" t="str">
        <f>IFERROR(__xludf.DUMMYFUNCTION("GOOGLETRANSLATE(B10348,""en"",""zh-CN"")"),"展示了一场精彩的古典音乐会。")</f>
        <v>展示了一场精彩的古典音乐会。</v>
      </c>
    </row>
    <row r="10349">
      <c r="A10349" s="4" t="s">
        <v>13006</v>
      </c>
      <c r="B10349" s="4" t="s">
        <v>13008</v>
      </c>
      <c r="C10349" s="5" t="str">
        <f>IFERROR(__xludf.DUMMYFUNCTION("GOOGLETRANSLATE(B10349,""en"",""zh-CN"")"),"作曲家向观众讲述音乐。")</f>
        <v>作曲家向观众讲述音乐。</v>
      </c>
    </row>
    <row r="10350">
      <c r="A10350" s="4" t="s">
        <v>13006</v>
      </c>
      <c r="B10350" s="4" t="s">
        <v>13009</v>
      </c>
      <c r="C10350" s="5" t="str">
        <f>IFERROR(__xludf.DUMMYFUNCTION("GOOGLETRANSLATE(B10350,""en"",""zh-CN"")"),"人群鼓掌和微笑。")</f>
        <v>人群鼓掌和微笑。</v>
      </c>
    </row>
    <row r="10351">
      <c r="A10351" s="4" t="s">
        <v>13006</v>
      </c>
      <c r="B10351" s="4" t="s">
        <v>13010</v>
      </c>
      <c r="C10351" s="5" t="str">
        <f>IFERROR(__xludf.DUMMYFUNCTION("GOOGLETRANSLATE(B10351,""en"",""zh-CN"")"),"作曲家谈论了音乐和他身后的乐团。")</f>
        <v>作曲家谈论了音乐和他身后的乐团。</v>
      </c>
    </row>
    <row r="10352">
      <c r="A10352" s="4" t="s">
        <v>13006</v>
      </c>
      <c r="B10352" s="4" t="s">
        <v>13011</v>
      </c>
      <c r="C10352" s="5" t="str">
        <f>IFERROR(__xludf.DUMMYFUNCTION("GOOGLETRANSLATE(B10352,""en"",""zh-CN"")"),"当人群拍手时，一名成员出来演奏萨克斯管进行独奏。")</f>
        <v>当人群拍手时，一名成员出来演奏萨克斯管进行独奏。</v>
      </c>
    </row>
    <row r="10353">
      <c r="A10353" s="4" t="s">
        <v>13006</v>
      </c>
      <c r="B10353" s="4" t="s">
        <v>13012</v>
      </c>
      <c r="C10353" s="5" t="str">
        <f>IFERROR(__xludf.DUMMYFUNCTION("GOOGLETRANSLATE(B10353,""en"",""zh-CN"")"),"乐团逐渐加入了完整的演出。")</f>
        <v>乐团逐渐加入了完整的演出。</v>
      </c>
    </row>
    <row r="10354">
      <c r="A10354" s="4" t="s">
        <v>13006</v>
      </c>
      <c r="B10354" s="4" t="s">
        <v>13013</v>
      </c>
      <c r="C10354" s="5" t="str">
        <f>IFERROR(__xludf.DUMMYFUNCTION("GOOGLETRANSLATE(B10354,""en"",""zh-CN"")"),"随着人群的拍手，这首歌放慢了脚步。")</f>
        <v>随着人群的拍手，这首歌放慢了脚步。</v>
      </c>
    </row>
    <row r="10355">
      <c r="A10355" s="4" t="s">
        <v>13006</v>
      </c>
      <c r="B10355" s="4" t="s">
        <v>13014</v>
      </c>
      <c r="C10355" s="5" t="str">
        <f>IFERROR(__xludf.DUMMYFUNCTION("GOOGLETRANSLATE(B10355,""en"",""zh-CN"")"),"这首歌结束了，人群鼓掌。")</f>
        <v>这首歌结束了，人群鼓掌。</v>
      </c>
    </row>
    <row r="10356">
      <c r="A10356" s="4" t="s">
        <v>13006</v>
      </c>
      <c r="B10356" s="4" t="s">
        <v>13015</v>
      </c>
      <c r="C10356" s="5" t="str">
        <f>IFERROR(__xludf.DUMMYFUNCTION("GOOGLETRANSLATE(B10356,""en"",""zh-CN"")"),"萨克斯演奏家鞠躬，回到她的座位上。")</f>
        <v>萨克斯演奏家鞠躬，回到她的座位上。</v>
      </c>
    </row>
    <row r="10357">
      <c r="A10357" s="4" t="s">
        <v>13016</v>
      </c>
      <c r="B10357" s="4" t="s">
        <v>13017</v>
      </c>
      <c r="C10357" s="5" t="str">
        <f>IFERROR(__xludf.DUMMYFUNCTION("GOOGLETRANSLATE(B10357,""en"",""zh-CN"")"),"一个戴着粉红色上衣的小女孩坐在床上斜视她的眼睛。")</f>
        <v>一个戴着粉红色上衣的小女孩坐在床上斜视她的眼睛。</v>
      </c>
    </row>
    <row r="10358">
      <c r="A10358" s="4" t="s">
        <v>13016</v>
      </c>
      <c r="B10358" s="4" t="s">
        <v>13018</v>
      </c>
      <c r="C10358" s="5" t="str">
        <f>IFERROR(__xludf.DUMMYFUNCTION("GOOGLETRANSLATE(B10358,""en"",""zh-CN"")"),"然后，小女孩在嘴唇上戴上紫色唇膏。")</f>
        <v>然后，小女孩在嘴唇上戴上紫色唇膏。</v>
      </c>
    </row>
    <row r="10359">
      <c r="A10359" s="4" t="s">
        <v>13016</v>
      </c>
      <c r="B10359" s="6" t="s">
        <v>13019</v>
      </c>
      <c r="C10359" s="5" t="str">
        <f>IFERROR(__xludf.DUMMYFUNCTION("GOOGLETRANSLATE(B10359,""en"",""zh-CN"")"),"小女孩在与摄影师交谈时继续戴口红，以化妆。")</f>
        <v>小女孩在与摄影师交谈时继续戴口红，以化妆。</v>
      </c>
    </row>
    <row r="10360">
      <c r="A10360" s="4" t="s">
        <v>13020</v>
      </c>
      <c r="B10360" s="4" t="s">
        <v>13021</v>
      </c>
      <c r="C10360" s="5" t="str">
        <f>IFERROR(__xludf.DUMMYFUNCTION("GOOGLETRANSLATE(B10360,""en"",""zh-CN"")"),"在人群面前正在进行游戏。")</f>
        <v>在人群面前正在进行游戏。</v>
      </c>
    </row>
    <row r="10361">
      <c r="A10361" s="4" t="s">
        <v>13020</v>
      </c>
      <c r="B10361" s="4" t="s">
        <v>13022</v>
      </c>
      <c r="C10361" s="5" t="str">
        <f>IFERROR(__xludf.DUMMYFUNCTION("GOOGLETRANSLATE(B10361,""en"",""zh-CN"")"),"一个人旋转，将光盘扔在空中。")</f>
        <v>一个人旋转，将光盘扔在空中。</v>
      </c>
    </row>
    <row r="10362">
      <c r="A10362" s="4" t="s">
        <v>13020</v>
      </c>
      <c r="B10362" s="4" t="s">
        <v>13023</v>
      </c>
      <c r="C10362" s="5" t="str">
        <f>IFERROR(__xludf.DUMMYFUNCTION("GOOGLETRANSLATE(B10362,""en"",""zh-CN"")"),"之后，他在田野里走来走去。")</f>
        <v>之后，他在田野里走来走去。</v>
      </c>
    </row>
    <row r="10363">
      <c r="A10363" s="4" t="s">
        <v>13024</v>
      </c>
      <c r="B10363" s="4" t="s">
        <v>13025</v>
      </c>
      <c r="C10363" s="5" t="str">
        <f>IFERROR(__xludf.DUMMYFUNCTION("GOOGLETRANSLATE(B10363,""en"",""zh-CN"")"),"两个人在平台上，围栏。")</f>
        <v>两个人在平台上，围栏。</v>
      </c>
    </row>
    <row r="10364">
      <c r="A10364" s="4" t="s">
        <v>13024</v>
      </c>
      <c r="B10364" s="4" t="s">
        <v>13026</v>
      </c>
      <c r="C10364" s="5" t="str">
        <f>IFERROR(__xludf.DUMMYFUNCTION("GOOGLETRANSLATE(B10364,""en"",""zh-CN"")"),"他们用剑互相刺耳。")</f>
        <v>他们用剑互相刺耳。</v>
      </c>
    </row>
    <row r="10365">
      <c r="A10365" s="4" t="s">
        <v>13024</v>
      </c>
      <c r="B10365" s="4" t="s">
        <v>13027</v>
      </c>
      <c r="C10365" s="5" t="str">
        <f>IFERROR(__xludf.DUMMYFUNCTION("GOOGLETRANSLATE(B10365,""en"",""zh-CN"")"),"一个女人看着他们来回parlay。")</f>
        <v>一个女人看着他们来回parlay。</v>
      </c>
    </row>
    <row r="10366">
      <c r="A10366" s="4" t="s">
        <v>13028</v>
      </c>
      <c r="B10366" s="4" t="s">
        <v>13029</v>
      </c>
      <c r="C10366" s="5" t="str">
        <f>IFERROR(__xludf.DUMMYFUNCTION("GOOGLETRANSLATE(B10366,""en"",""zh-CN"")"),"运动员表演跳高并降落在垫子上，而人们会记笔记。")</f>
        <v>运动员表演跳高并降落在垫子上，而人们会记笔记。</v>
      </c>
    </row>
    <row r="10367">
      <c r="A10367" s="4" t="s">
        <v>13028</v>
      </c>
      <c r="B10367" s="4" t="s">
        <v>13030</v>
      </c>
      <c r="C10367" s="5" t="str">
        <f>IFERROR(__xludf.DUMMYFUNCTION("GOOGLETRANSLATE(B10367,""en"",""zh-CN"")"),"然后，运动员成功地表现跳高。")</f>
        <v>然后，运动员成功地表现跳高。</v>
      </c>
    </row>
    <row r="10368">
      <c r="A10368" s="4" t="s">
        <v>13028</v>
      </c>
      <c r="B10368" s="4" t="s">
        <v>13031</v>
      </c>
      <c r="C10368" s="5" t="str">
        <f>IFERROR(__xludf.DUMMYFUNCTION("GOOGLETRANSLATE(B10368,""en"",""zh-CN"")"),"之后，该男子进行跳高，但掉落了水平杆。")</f>
        <v>之后，该男子进行跳高，但掉落了水平杆。</v>
      </c>
    </row>
    <row r="10369">
      <c r="A10369" s="4" t="s">
        <v>13028</v>
      </c>
      <c r="B10369" s="4" t="s">
        <v>13032</v>
      </c>
      <c r="C10369" s="5" t="str">
        <f>IFERROR(__xludf.DUMMYFUNCTION("GOOGLETRANSLATE(B10369,""en"",""zh-CN"")"),"运动员成功地表现跳高。")</f>
        <v>运动员成功地表现跳高。</v>
      </c>
    </row>
    <row r="10370">
      <c r="A10370" s="4" t="s">
        <v>13028</v>
      </c>
      <c r="B10370" s="4" t="s">
        <v>13033</v>
      </c>
      <c r="C10370" s="5" t="str">
        <f>IFERROR(__xludf.DUMMYFUNCTION("GOOGLETRANSLATE(B10370,""en"",""zh-CN"")"),"运动员表现跳高，但杆子掉了。")</f>
        <v>运动员表现跳高，但杆子掉了。</v>
      </c>
    </row>
    <row r="10371">
      <c r="A10371" s="4" t="s">
        <v>13034</v>
      </c>
      <c r="B10371" s="6" t="s">
        <v>13035</v>
      </c>
      <c r="C10371" s="5" t="str">
        <f>IFERROR(__xludf.DUMMYFUNCTION("GOOGLETRANSLATE(B10371,""en"",""zh-CN"")"),"一艘大型浮船沿着海洋航行，撞到了覆盖着人民和水中的船只的大波浪中。")</f>
        <v>一艘大型浮船沿着海洋航行，撞到了覆盖着人民和水中的船只的大波浪中。</v>
      </c>
    </row>
    <row r="10372">
      <c r="A10372" s="4" t="s">
        <v>13034</v>
      </c>
      <c r="B10372" s="6" t="s">
        <v>13036</v>
      </c>
      <c r="C10372" s="5" t="str">
        <f>IFERROR(__xludf.DUMMYFUNCTION("GOOGLETRANSLATE(B10372,""en"",""zh-CN"")"),"船上的人们继续四处走动，但水将它们撞倒，他们开始握住车轮，将船朝正确的方向转向。")</f>
        <v>船上的人们继续四处走动，但水将它们撞倒，他们开始握住车轮，将船朝正确的方向转向。</v>
      </c>
    </row>
    <row r="10373">
      <c r="A10373" s="4" t="s">
        <v>13037</v>
      </c>
      <c r="B10373" s="4" t="s">
        <v>13038</v>
      </c>
      <c r="C10373" s="5" t="str">
        <f>IFERROR(__xludf.DUMMYFUNCTION("GOOGLETRANSLATE(B10373,""en"",""zh-CN"")"),"一个非常肌肉发达的赤膊男子即将与一个穿着橙色连帽衫的男人搏斗。")</f>
        <v>一个非常肌肉发达的赤膊男子即将与一个穿着橙色连帽衫的男人搏斗。</v>
      </c>
    </row>
    <row r="10374">
      <c r="A10374" s="4" t="s">
        <v>13037</v>
      </c>
      <c r="B10374" s="4" t="s">
        <v>13039</v>
      </c>
      <c r="C10374" s="5" t="str">
        <f>IFERROR(__xludf.DUMMYFUNCTION("GOOGLETRANSLATE(B10374,""en"",""zh-CN"")"),"另一个穿着黄色连帽衫的男人过来了。")</f>
        <v>另一个穿着黄色连帽衫的男人过来了。</v>
      </c>
    </row>
    <row r="10375">
      <c r="A10375" s="4" t="s">
        <v>13037</v>
      </c>
      <c r="B10375" s="4" t="s">
        <v>13040</v>
      </c>
      <c r="C10375" s="5" t="str">
        <f>IFERROR(__xludf.DUMMYFUNCTION("GOOGLETRANSLATE(B10375,""en"",""zh-CN"")"),"他们开始比赛，橙色连帽衫的男人看起来在挣扎。")</f>
        <v>他们开始比赛，橙色连帽衫的男人看起来在挣扎。</v>
      </c>
    </row>
    <row r="10376">
      <c r="A10376" s="4" t="s">
        <v>13037</v>
      </c>
      <c r="B10376" s="6" t="s">
        <v>13041</v>
      </c>
      <c r="C10376" s="5" t="str">
        <f>IFERROR(__xludf.DUMMYFUNCTION("GOOGLETRANSLATE(B10376,""en"",""zh-CN"")"),"这位光着膀子的男人赢了，然后用黄色摔跤，他赢了，他们都站着说话。")</f>
        <v>这位光着膀子的男人赢了，然后用黄色摔跤，他赢了，他们都站着说话。</v>
      </c>
    </row>
    <row r="10377">
      <c r="A10377" s="4" t="s">
        <v>13042</v>
      </c>
      <c r="B10377" s="4" t="s">
        <v>13043</v>
      </c>
      <c r="C10377" s="5" t="str">
        <f>IFERROR(__xludf.DUMMYFUNCTION("GOOGLETRANSLATE(B10377,""en"",""zh-CN"")"),"几个人在塞格韦（Segway）的大型领域里玩游戏。")</f>
        <v>几个人在塞格韦（Segway）的大型领域里玩游戏。</v>
      </c>
    </row>
    <row r="10378">
      <c r="A10378" s="4" t="s">
        <v>13042</v>
      </c>
      <c r="B10378" s="4" t="s">
        <v>13044</v>
      </c>
      <c r="C10378" s="5" t="str">
        <f>IFERROR(__xludf.DUMMYFUNCTION("GOOGLETRANSLATE(B10378,""en"",""zh-CN"")"),"他们继续四处走动，并用长球球拍击球。")</f>
        <v>他们继续四处走动，并用长球球拍击球。</v>
      </c>
    </row>
    <row r="10379">
      <c r="A10379" s="4" t="s">
        <v>13042</v>
      </c>
      <c r="B10379" s="4" t="s">
        <v>13045</v>
      </c>
      <c r="C10379" s="5" t="str">
        <f>IFERROR(__xludf.DUMMYFUNCTION("GOOGLETRANSLATE(B10379,""en"",""zh-CN"")"),"随着他们的比赛，裁判在球场上行走并看着他们。")</f>
        <v>随着他们的比赛，裁判在球场上行走并看着他们。</v>
      </c>
    </row>
    <row r="10380">
      <c r="A10380" s="4" t="s">
        <v>13046</v>
      </c>
      <c r="B10380" s="4" t="s">
        <v>13047</v>
      </c>
      <c r="C10380" s="5" t="str">
        <f>IFERROR(__xludf.DUMMYFUNCTION("GOOGLETRANSLATE(B10380,""en"",""zh-CN"")"),"长发长发的人显示一个魔方。")</f>
        <v>长发长发的人显示一个魔方。</v>
      </c>
    </row>
    <row r="10381">
      <c r="A10381" s="4" t="s">
        <v>13046</v>
      </c>
      <c r="B10381" s="4" t="s">
        <v>13048</v>
      </c>
      <c r="C10381" s="5" t="str">
        <f>IFERROR(__xludf.DUMMYFUNCTION("GOOGLETRANSLATE(B10381,""en"",""zh-CN"")"),"该人开始解决它。")</f>
        <v>该人开始解决它。</v>
      </c>
    </row>
    <row r="10382">
      <c r="A10382" s="4" t="s">
        <v>13046</v>
      </c>
      <c r="B10382" s="4" t="s">
        <v>13049</v>
      </c>
      <c r="C10382" s="5" t="str">
        <f>IFERROR(__xludf.DUMMYFUNCTION("GOOGLETRANSLATE(B10382,""en"",""zh-CN"")"),"他们把它扔了起来，它是神奇地解决的。")</f>
        <v>他们把它扔了起来，它是神奇地解决的。</v>
      </c>
    </row>
    <row r="10383">
      <c r="A10383" s="4" t="s">
        <v>13050</v>
      </c>
      <c r="B10383" s="4" t="s">
        <v>13051</v>
      </c>
      <c r="C10383" s="5" t="str">
        <f>IFERROR(__xludf.DUMMYFUNCTION("GOOGLETRANSLATE(B10383,""en"",""zh-CN"")"),"一个女人在人行道上在外面跳舞。")</f>
        <v>一个女人在人行道上在外面跳舞。</v>
      </c>
    </row>
    <row r="10384">
      <c r="A10384" s="4" t="s">
        <v>13050</v>
      </c>
      <c r="B10384" s="4" t="s">
        <v>13052</v>
      </c>
      <c r="C10384" s="5" t="str">
        <f>IFERROR(__xludf.DUMMYFUNCTION("GOOGLETRANSLATE(B10384,""en"",""zh-CN"")"),"她抓住了一名警棍，开始旋转它。")</f>
        <v>她抓住了一名警棍，开始旋转它。</v>
      </c>
    </row>
    <row r="10385">
      <c r="A10385" s="4" t="s">
        <v>13050</v>
      </c>
      <c r="B10385" s="4" t="s">
        <v>13053</v>
      </c>
      <c r="C10385" s="5" t="str">
        <f>IFERROR(__xludf.DUMMYFUNCTION("GOOGLETRANSLATE(B10385,""en"",""zh-CN"")"),"她开始在空中杂耍警棍。")</f>
        <v>她开始在空中杂耍警棍。</v>
      </c>
    </row>
    <row r="10386">
      <c r="A10386" s="4" t="s">
        <v>13050</v>
      </c>
      <c r="B10386" s="4" t="s">
        <v>13054</v>
      </c>
      <c r="C10386" s="5" t="str">
        <f>IFERROR(__xludf.DUMMYFUNCTION("GOOGLETRANSLATE(B10386,""en"",""zh-CN"")"),"她进行了反向，然后分裂。")</f>
        <v>她进行了反向，然后分裂。</v>
      </c>
    </row>
    <row r="10387">
      <c r="A10387" s="4" t="s">
        <v>13055</v>
      </c>
      <c r="B10387" s="4" t="s">
        <v>13056</v>
      </c>
      <c r="C10387" s="5" t="str">
        <f>IFERROR(__xludf.DUMMYFUNCTION("GOOGLETRANSLATE(B10387,""en"",""zh-CN"")"),"几个孩子站在笼子前。")</f>
        <v>几个孩子站在笼子前。</v>
      </c>
    </row>
    <row r="10388">
      <c r="A10388" s="4" t="s">
        <v>13055</v>
      </c>
      <c r="B10388" s="4" t="s">
        <v>13057</v>
      </c>
      <c r="C10388" s="5" t="str">
        <f>IFERROR(__xludf.DUMMYFUNCTION("GOOGLETRANSLATE(B10388,""en"",""zh-CN"")"),"一个女人在里面有老虎。")</f>
        <v>一个女人在里面有老虎。</v>
      </c>
    </row>
    <row r="10389">
      <c r="A10389" s="4" t="s">
        <v>13055</v>
      </c>
      <c r="B10389" s="4" t="s">
        <v>13058</v>
      </c>
      <c r="C10389" s="5" t="str">
        <f>IFERROR(__xludf.DUMMYFUNCTION("GOOGLETRANSLATE(B10389,""en"",""zh-CN"")"),"孩子们拉一根绳子，对着老虎。")</f>
        <v>孩子们拉一根绳子，对着老虎。</v>
      </c>
    </row>
    <row r="10390">
      <c r="A10390" s="4" t="s">
        <v>13055</v>
      </c>
      <c r="B10390" s="4" t="s">
        <v>13059</v>
      </c>
      <c r="C10390" s="5" t="str">
        <f>IFERROR(__xludf.DUMMYFUNCTION("GOOGLETRANSLATE(B10390,""en"",""zh-CN"")"),"他们在最后放开绳子。")</f>
        <v>他们在最后放开绳子。</v>
      </c>
    </row>
    <row r="10391">
      <c r="A10391" s="4" t="s">
        <v>13060</v>
      </c>
      <c r="B10391" s="4" t="s">
        <v>13061</v>
      </c>
      <c r="C10391" s="5" t="str">
        <f>IFERROR(__xludf.DUMMYFUNCTION("GOOGLETRANSLATE(B10391,""en"",""zh-CN"")"),"穿着西装的女人正在和相机交谈。")</f>
        <v>穿着西装的女人正在和相机交谈。</v>
      </c>
    </row>
    <row r="10392">
      <c r="A10392" s="4" t="s">
        <v>13060</v>
      </c>
      <c r="B10392" s="4" t="s">
        <v>13062</v>
      </c>
      <c r="C10392" s="5" t="str">
        <f>IFERROR(__xludf.DUMMYFUNCTION("GOOGLETRANSLATE(B10392,""en"",""zh-CN"")"),"一个女人正在将隐形眼镜放在她的眼中。")</f>
        <v>一个女人正在将隐形眼镜放在她的眼中。</v>
      </c>
    </row>
    <row r="10393">
      <c r="A10393" s="4" t="s">
        <v>13060</v>
      </c>
      <c r="B10393" s="4" t="s">
        <v>13063</v>
      </c>
      <c r="C10393" s="5" t="str">
        <f>IFERROR(__xludf.DUMMYFUNCTION("GOOGLETRANSLATE(B10393,""en"",""zh-CN"")"),"隐形眼镜显示在手上。")</f>
        <v>隐形眼镜显示在手上。</v>
      </c>
    </row>
    <row r="10394">
      <c r="A10394" s="4" t="s">
        <v>13060</v>
      </c>
      <c r="B10394" s="4" t="s">
        <v>13064</v>
      </c>
      <c r="C10394" s="5" t="str">
        <f>IFERROR(__xludf.DUMMYFUNCTION("GOOGLETRANSLATE(B10394,""en"",""zh-CN"")"),"西装的女人继续与镜头说话。")</f>
        <v>西装的女人继续与镜头说话。</v>
      </c>
    </row>
    <row r="10395">
      <c r="A10395" s="4" t="s">
        <v>13065</v>
      </c>
      <c r="B10395" s="4" t="s">
        <v>13066</v>
      </c>
      <c r="C10395" s="5" t="str">
        <f>IFERROR(__xludf.DUMMYFUNCTION("GOOGLETRANSLATE(B10395,""en"",""zh-CN"")"),"伙计们正在互相打球。")</f>
        <v>伙计们正在互相打球。</v>
      </c>
    </row>
    <row r="10396">
      <c r="A10396" s="4" t="s">
        <v>13065</v>
      </c>
      <c r="B10396" s="6" t="s">
        <v>13067</v>
      </c>
      <c r="C10396" s="5" t="str">
        <f>IFERROR(__xludf.DUMMYFUNCTION("GOOGLETRANSLATE(B10396,""en"",""zh-CN"")"),"一个人解释了在提交时如何隐藏和保护自己，如何爬行，爬行时将脚和手放在哪里。")</f>
        <v>一个人解释了在提交时如何隐藏和保护自己，如何爬行，爬行时将脚和手放在哪里。</v>
      </c>
    </row>
    <row r="10397">
      <c r="A10397" s="4" t="s">
        <v>13068</v>
      </c>
      <c r="B10397" s="4" t="s">
        <v>13069</v>
      </c>
      <c r="C10397" s="5" t="str">
        <f>IFERROR(__xludf.DUMMYFUNCTION("GOOGLETRANSLATE(B10397,""en"",""zh-CN"")"),"向吹风机和广告展示了一些有关干衣机的信息。")</f>
        <v>向吹风机和广告展示了一些有关干衣机的信息。</v>
      </c>
    </row>
    <row r="10398">
      <c r="A10398" s="4" t="s">
        <v>13068</v>
      </c>
      <c r="B10398" s="4" t="s">
        <v>13070</v>
      </c>
      <c r="C10398" s="5" t="str">
        <f>IFERROR(__xludf.DUMMYFUNCTION("GOOGLETRANSLATE(B10398,""en"",""zh-CN"")"),"女人展示了如何使用不同的刷子使用干衣机。")</f>
        <v>女人展示了如何使用不同的刷子使用干衣机。</v>
      </c>
    </row>
    <row r="10399">
      <c r="A10399" s="4" t="s">
        <v>13068</v>
      </c>
      <c r="B10399" s="6" t="s">
        <v>13071</v>
      </c>
      <c r="C10399" s="5" t="str">
        <f>IFERROR(__xludf.DUMMYFUNCTION("GOOGLETRANSLATE(B10399,""en"",""zh-CN"")"),"然后，同一妇女展示了如何将带有不同附件的干衣机作为不同的头发。")</f>
        <v>然后，同一妇女展示了如何将带有不同附件的干衣机作为不同的头发。</v>
      </c>
    </row>
    <row r="10400">
      <c r="A10400" s="4" t="s">
        <v>13068</v>
      </c>
      <c r="B10400" s="4" t="s">
        <v>13072</v>
      </c>
      <c r="C10400" s="5" t="str">
        <f>IFERROR(__xludf.DUMMYFUNCTION("GOOGLETRANSLATE(B10400,""en"",""zh-CN"")"),"再次显示了干衣机和广告信息。")</f>
        <v>再次显示了干衣机和广告信息。</v>
      </c>
    </row>
    <row r="10401">
      <c r="A10401" s="4" t="s">
        <v>13073</v>
      </c>
      <c r="B10401" s="4" t="s">
        <v>13074</v>
      </c>
      <c r="C10401" s="5" t="str">
        <f>IFERROR(__xludf.DUMMYFUNCTION("GOOGLETRANSLATE(B10401,""en"",""zh-CN"")"),"人在一个大型体育场里醒来。")</f>
        <v>人在一个大型体育场里醒来。</v>
      </c>
    </row>
    <row r="10402">
      <c r="A10402" s="4" t="s">
        <v>13073</v>
      </c>
      <c r="B10402" s="4" t="s">
        <v>13075</v>
      </c>
      <c r="C10402" s="5" t="str">
        <f>IFERROR(__xludf.DUMMYFUNCTION("GOOGLETRANSLATE(B10402,""en"",""zh-CN"")"),"男人在旁边的田野里玩Criquet，有很多观众坐在看台上。")</f>
        <v>男人在旁边的田野里玩Criquet，有很多观众坐在看台上。</v>
      </c>
    </row>
    <row r="10403">
      <c r="A10403" s="4" t="s">
        <v>13076</v>
      </c>
      <c r="B10403" s="4" t="s">
        <v>13077</v>
      </c>
      <c r="C10403" s="5" t="str">
        <f>IFERROR(__xludf.DUMMYFUNCTION("GOOGLETRANSLATE(B10403,""en"",""zh-CN"")"),"一群帆船在大风天中通过波涛汹涌的水航行。")</f>
        <v>一群帆船在大风天中通过波涛汹涌的水航行。</v>
      </c>
    </row>
    <row r="10404">
      <c r="A10404" s="4" t="s">
        <v>13076</v>
      </c>
      <c r="B10404" s="4" t="s">
        <v>13078</v>
      </c>
      <c r="C10404" s="5" t="str">
        <f>IFERROR(__xludf.DUMMYFUNCTION("GOOGLETRANSLATE(B10404,""en"",""zh-CN"")"),"两名男子将坐在小型帆船上的索具。")</f>
        <v>两名男子将坐在小型帆船上的索具。</v>
      </c>
    </row>
    <row r="10405">
      <c r="A10405" s="4" t="s">
        <v>13076</v>
      </c>
      <c r="B10405" s="4" t="s">
        <v>13079</v>
      </c>
      <c r="C10405" s="5" t="str">
        <f>IFERROR(__xludf.DUMMYFUNCTION("GOOGLETRANSLATE(B10405,""en"",""zh-CN"")"),"帆船在另一条仅部分看到的另一艘船的弓前转弯。")</f>
        <v>帆船在另一条仅部分看到的另一艘船的弓前转弯。</v>
      </c>
    </row>
    <row r="10406">
      <c r="A10406" s="4" t="s">
        <v>13080</v>
      </c>
      <c r="B10406" s="4" t="s">
        <v>13081</v>
      </c>
      <c r="C10406" s="5" t="str">
        <f>IFERROR(__xludf.DUMMYFUNCTION("GOOGLETRANSLATE(B10406,""en"",""zh-CN"")"),"两名男子在一场职业摔跤比赛中打架。")</f>
        <v>两名男子在一场职业摔跤比赛中打架。</v>
      </c>
    </row>
    <row r="10407">
      <c r="A10407" s="4" t="s">
        <v>13080</v>
      </c>
      <c r="B10407" s="4" t="s">
        <v>13082</v>
      </c>
      <c r="C10407" s="5" t="str">
        <f>IFERROR(__xludf.DUMMYFUNCTION("GOOGLETRANSLATE(B10407,""en"",""zh-CN"")"),"这些人将梯子从垫子上翻转。")</f>
        <v>这些人将梯子从垫子上翻转。</v>
      </c>
    </row>
    <row r="10408">
      <c r="A10408" s="4" t="s">
        <v>13080</v>
      </c>
      <c r="B10408" s="4" t="s">
        <v>13083</v>
      </c>
      <c r="C10408" s="5" t="str">
        <f>IFERROR(__xludf.DUMMYFUNCTION("GOOGLETRANSLATE(B10408,""en"",""zh-CN"")"),"裁判跪在附近。")</f>
        <v>裁判跪在附近。</v>
      </c>
    </row>
    <row r="10409">
      <c r="A10409" s="4" t="s">
        <v>13080</v>
      </c>
      <c r="B10409" s="4" t="s">
        <v>13084</v>
      </c>
      <c r="C10409" s="5" t="str">
        <f>IFERROR(__xludf.DUMMYFUNCTION("GOOGLETRANSLATE(B10409,""en"",""zh-CN"")"),"红色的男人爬到蓝色的男人身上，并钉在比赛中。")</f>
        <v>红色的男人爬到蓝色的男人身上，并钉在比赛中。</v>
      </c>
    </row>
    <row r="10410">
      <c r="A10410" s="4" t="s">
        <v>13080</v>
      </c>
      <c r="B10410" s="4" t="s">
        <v>13085</v>
      </c>
      <c r="C10410" s="5" t="str">
        <f>IFERROR(__xludf.DUMMYFUNCTION("GOOGLETRANSLATE(B10410,""en"",""zh-CN"")"),"我们看到了比赛的重播。")</f>
        <v>我们看到了比赛的重播。</v>
      </c>
    </row>
    <row r="10411">
      <c r="A10411" s="4" t="s">
        <v>13086</v>
      </c>
      <c r="B10411" s="4" t="s">
        <v>13087</v>
      </c>
      <c r="C10411" s="5" t="str">
        <f>IFERROR(__xludf.DUMMYFUNCTION("GOOGLETRANSLATE(B10411,""en"",""zh-CN"")"),"这个老人正在使用叶子鼓风机将叶子吹走。")</f>
        <v>这个老人正在使用叶子鼓风机将叶子吹走。</v>
      </c>
    </row>
    <row r="10412">
      <c r="A10412" s="4" t="s">
        <v>13086</v>
      </c>
      <c r="B10412" s="4" t="s">
        <v>13088</v>
      </c>
      <c r="C10412" s="5" t="str">
        <f>IFERROR(__xludf.DUMMYFUNCTION("GOOGLETRANSLATE(B10412,""en"",""zh-CN"")"),"首先，相机为观众提供了近距离的视野，只显示了男人的脸。")</f>
        <v>首先，相机为观众提供了近距离的视野，只显示了男人的脸。</v>
      </c>
    </row>
    <row r="10413">
      <c r="A10413" s="4" t="s">
        <v>13086</v>
      </c>
      <c r="B10413" s="6" t="s">
        <v>13089</v>
      </c>
      <c r="C10413" s="5" t="str">
        <f>IFERROR(__xludf.DUMMYFUNCTION("GOOGLETRANSLATE(B10413,""en"",""zh-CN"")"),"然后，相机放大了，展示了那个男人用一台机器吹叶子，当他完成工作一半时，他将叶子打包机关闭。")</f>
        <v>然后，相机放大了，展示了那个男人用一台机器吹叶子，当他完成工作一半时，他将叶子打包机关闭。</v>
      </c>
    </row>
    <row r="10414">
      <c r="A10414" s="4" t="s">
        <v>13090</v>
      </c>
      <c r="B10414" s="6" t="s">
        <v>13091</v>
      </c>
      <c r="C10414" s="5" t="str">
        <f>IFERROR(__xludf.DUMMYFUNCTION("GOOGLETRANSLATE(B10414,""en"",""zh-CN"")"),"小孩拿着一个红色的网球球拍靠近她的脸，但然后将其放在地板上并跳到上面。")</f>
        <v>小孩拿着一个红色的网球球拍靠近她的脸，但然后将其放在地板上并跳到上面。</v>
      </c>
    </row>
    <row r="10415">
      <c r="A10415" s="4" t="s">
        <v>13090</v>
      </c>
      <c r="B10415" s="4" t="s">
        <v>13092</v>
      </c>
      <c r="C10415" s="5" t="str">
        <f>IFERROR(__xludf.DUMMYFUNCTION("GOOGLETRANSLATE(B10415,""en"",""zh-CN"")"),"小孩站在一个小房间里，在一个小雪花店里玩耍。")</f>
        <v>小孩站在一个小房间里，在一个小雪花店里玩耍。</v>
      </c>
    </row>
    <row r="10416">
      <c r="A10416" s="4" t="s">
        <v>13090</v>
      </c>
      <c r="B10416" s="4" t="s">
        <v>13093</v>
      </c>
      <c r="C10416" s="5" t="str">
        <f>IFERROR(__xludf.DUMMYFUNCTION("GOOGLETRANSLATE(B10416,""en"",""zh-CN"")"),"这个女孩正在从地板上抓住玩具。")</f>
        <v>这个女孩正在从地板上抓住玩具。</v>
      </c>
    </row>
    <row r="10417">
      <c r="A10417" s="4" t="s">
        <v>13094</v>
      </c>
      <c r="B10417" s="6" t="s">
        <v>13095</v>
      </c>
      <c r="C10417" s="5" t="str">
        <f>IFERROR(__xludf.DUMMYFUNCTION("GOOGLETRANSLATE(B10417,""en"",""zh-CN"")"),"一个男人站在户外比赛中的一个田野上，周围环绕着人们，里面有人，并进行了锤击。")</f>
        <v>一个男人站在户外比赛中的一个田野上，周围环绕着人们，里面有人，并进行了锤击。</v>
      </c>
    </row>
    <row r="10418">
      <c r="A10418" s="4" t="s">
        <v>13094</v>
      </c>
      <c r="B10418" s="6" t="s">
        <v>13096</v>
      </c>
      <c r="C10418" s="5" t="str">
        <f>IFERROR(__xludf.DUMMYFUNCTION("GOOGLETRANSLATE(B10418,""en"",""zh-CN"")"),"该男子多次旋转锤子，然后让锤子飞入头发并降落在田野中。")</f>
        <v>该男子多次旋转锤子，然后让锤子飞入头发并降落在田野中。</v>
      </c>
    </row>
    <row r="10419">
      <c r="A10419" s="4" t="s">
        <v>13094</v>
      </c>
      <c r="B10419" s="6" t="s">
        <v>13097</v>
      </c>
      <c r="C10419" s="5" t="str">
        <f>IFERROR(__xludf.DUMMYFUNCTION("GOOGLETRANSLATE(B10419,""en"",""zh-CN"")"),"当男人对分数看起来满意并用毛巾擦干时，锤子着陆的慢动作视频看起来似乎是。")</f>
        <v>当男人对分数看起来满意并用毛巾擦干时，锤子着陆的慢动作视频看起来似乎是。</v>
      </c>
    </row>
    <row r="10420">
      <c r="A10420" s="4" t="s">
        <v>13098</v>
      </c>
      <c r="B10420" s="4" t="s">
        <v>13099</v>
      </c>
      <c r="C10420" s="5" t="str">
        <f>IFERROR(__xludf.DUMMYFUNCTION("GOOGLETRANSLATE(B10420,""en"",""zh-CN"")"),"字母显示在屏幕上。")</f>
        <v>字母显示在屏幕上。</v>
      </c>
    </row>
    <row r="10421">
      <c r="A10421" s="4" t="s">
        <v>13098</v>
      </c>
      <c r="B10421" s="4" t="s">
        <v>13100</v>
      </c>
      <c r="C10421" s="5" t="str">
        <f>IFERROR(__xludf.DUMMYFUNCTION("GOOGLETRANSLATE(B10421,""en"",""zh-CN"")"),"一个蓝色的水桶被放入水槽中。")</f>
        <v>一个蓝色的水桶被放入水槽中。</v>
      </c>
    </row>
    <row r="10422">
      <c r="A10422" s="4" t="s">
        <v>13098</v>
      </c>
      <c r="B10422" s="4" t="s">
        <v>13101</v>
      </c>
      <c r="C10422" s="5" t="str">
        <f>IFERROR(__xludf.DUMMYFUNCTION("GOOGLETRANSLATE(B10422,""en"",""zh-CN"")"),"一个男人开始擦拭硬木地板。")</f>
        <v>一个男人开始擦拭硬木地板。</v>
      </c>
    </row>
    <row r="10423">
      <c r="A10423" s="4" t="s">
        <v>13098</v>
      </c>
      <c r="B10423" s="4" t="s">
        <v>13102</v>
      </c>
      <c r="C10423" s="5" t="str">
        <f>IFERROR(__xludf.DUMMYFUNCTION("GOOGLETRANSLATE(B10423,""en"",""zh-CN"")"),"他在浴室里擦拭瓷砖。")</f>
        <v>他在浴室里擦拭瓷砖。</v>
      </c>
    </row>
    <row r="10424">
      <c r="A10424" s="4" t="s">
        <v>13103</v>
      </c>
      <c r="B10424" s="4" t="s">
        <v>13104</v>
      </c>
      <c r="C10424" s="5" t="str">
        <f>IFERROR(__xludf.DUMMYFUNCTION("GOOGLETRANSLATE(B10424,""en"",""zh-CN"")"),"看到一个人站在海滩上看着沙滩。")</f>
        <v>看到一个人站在海滩上看着沙滩。</v>
      </c>
    </row>
    <row r="10425">
      <c r="A10425" s="4" t="s">
        <v>13103</v>
      </c>
      <c r="B10425" s="4" t="s">
        <v>13105</v>
      </c>
      <c r="C10425" s="5" t="str">
        <f>IFERROR(__xludf.DUMMYFUNCTION("GOOGLETRANSLATE(B10425,""en"",""zh-CN"")"),"然后，该人开始在他们面前建造一座大沙城堡。")</f>
        <v>然后，该人开始在他们面前建造一座大沙城堡。</v>
      </c>
    </row>
    <row r="10426">
      <c r="A10426" s="4" t="s">
        <v>13103</v>
      </c>
      <c r="B10426" s="4" t="s">
        <v>13106</v>
      </c>
      <c r="C10426" s="5" t="str">
        <f>IFERROR(__xludf.DUMMYFUNCTION("GOOGLETRANSLATE(B10426,""en"",""zh-CN"")"),"该人继续在沙子周围工作，并通过走出框架结束。")</f>
        <v>该人继续在沙子周围工作，并通过走出框架结束。</v>
      </c>
    </row>
    <row r="10427">
      <c r="A10427" s="4" t="s">
        <v>13107</v>
      </c>
      <c r="B10427" s="4" t="s">
        <v>13108</v>
      </c>
      <c r="C10427" s="5" t="str">
        <f>IFERROR(__xludf.DUMMYFUNCTION("GOOGLETRANSLATE(B10427,""en"",""zh-CN"")"),"一个男人跳舞并拉起裤子，当他扫了一个咖啡馆的地板时，他的裤子正在倒下，向上倒下。")</f>
        <v>一个男人跳舞并拉起裤子，当他扫了一个咖啡馆的地板时，他的裤子正在倒下，向上倒下。</v>
      </c>
    </row>
    <row r="10428">
      <c r="A10428" s="4" t="s">
        <v>13107</v>
      </c>
      <c r="B10428" s="4" t="s">
        <v>13109</v>
      </c>
      <c r="C10428" s="5" t="str">
        <f>IFERROR(__xludf.DUMMYFUNCTION("GOOGLETRANSLATE(B10428,""en"",""zh-CN"")"),"一个男人背着高架相机，在扫咖啡店的地板上开始跳舞。")</f>
        <v>一个男人背着高架相机，在扫咖啡店的地板上开始跳舞。</v>
      </c>
    </row>
    <row r="10429">
      <c r="A10429" s="4" t="s">
        <v>13107</v>
      </c>
      <c r="B10429" s="6" t="s">
        <v>13110</v>
      </c>
      <c r="C10429" s="5" t="str">
        <f>IFERROR(__xludf.DUMMYFUNCTION("GOOGLETRANSLATE(B10429,""en"",""zh-CN"")"),"当他的蓝色内衣从舞蹈的扭曲中露出时，该男子开始拉起裤子，这使他的裤子拉下了裤子。")</f>
        <v>当他的蓝色内衣从舞蹈的扭曲中露出时，该男子开始拉起裤子，这使他的裤子拉下了裤子。</v>
      </c>
    </row>
    <row r="10430">
      <c r="A10430" s="4" t="s">
        <v>13107</v>
      </c>
      <c r="B10430" s="4" t="s">
        <v>13111</v>
      </c>
      <c r="C10430" s="5" t="str">
        <f>IFERROR(__xludf.DUMMYFUNCTION("GOOGLETRANSLATE(B10430,""en"",""zh-CN"")"),"然后，该男子转身面对相机，并在拉起裤子时微笑。")</f>
        <v>然后，该男子转身面对相机，并在拉起裤子时微笑。</v>
      </c>
    </row>
    <row r="10431">
      <c r="A10431" s="4" t="s">
        <v>13112</v>
      </c>
      <c r="B10431" s="4" t="s">
        <v>13113</v>
      </c>
      <c r="C10431" s="5" t="str">
        <f>IFERROR(__xludf.DUMMYFUNCTION("GOOGLETRANSLATE(B10431,""en"",""zh-CN"")"),"看到一个年轻人站在镜头前，开始旋转旋转。")</f>
        <v>看到一个年轻人站在镜头前，开始旋转旋转。</v>
      </c>
    </row>
    <row r="10432">
      <c r="A10432" s="4" t="s">
        <v>13112</v>
      </c>
      <c r="B10432" s="4" t="s">
        <v>13114</v>
      </c>
      <c r="C10432" s="5" t="str">
        <f>IFERROR(__xludf.DUMMYFUNCTION("GOOGLETRANSLATE(B10432,""en"",""zh-CN"")"),"他继续旋转，然后进行几次踢和拳，同时还投掷飞镖。")</f>
        <v>他继续旋转，然后进行几次踢和拳，同时还投掷飞镖。</v>
      </c>
    </row>
    <row r="10433">
      <c r="A10433" s="4" t="s">
        <v>13115</v>
      </c>
      <c r="B10433" s="4" t="s">
        <v>13116</v>
      </c>
      <c r="C10433" s="5" t="str">
        <f>IFERROR(__xludf.DUMMYFUNCTION("GOOGLETRANSLATE(B10433,""en"",""zh-CN"")"),"斧头放在倒下的树上。")</f>
        <v>斧头放在倒下的树上。</v>
      </c>
    </row>
    <row r="10434">
      <c r="A10434" s="4" t="s">
        <v>13115</v>
      </c>
      <c r="B10434" s="4" t="s">
        <v>13117</v>
      </c>
      <c r="C10434" s="5" t="str">
        <f>IFERROR(__xludf.DUMMYFUNCTION("GOOGLETRANSLATE(B10434,""en"",""zh-CN"")"),"一个男人捡起斧头，砍树树干。")</f>
        <v>一个男人捡起斧头，砍树树干。</v>
      </c>
    </row>
    <row r="10435">
      <c r="A10435" s="4" t="s">
        <v>13115</v>
      </c>
      <c r="B10435" s="4" t="s">
        <v>13118</v>
      </c>
      <c r="C10435" s="5" t="str">
        <f>IFERROR(__xludf.DUMMYFUNCTION("GOOGLETRANSLATE(B10435,""en"",""zh-CN"")"),"他继续切碎，直到原木成两半，然后走开。")</f>
        <v>他继续切碎，直到原木成两半，然后走开。</v>
      </c>
    </row>
    <row r="10436">
      <c r="A10436" s="4" t="s">
        <v>13119</v>
      </c>
      <c r="B10436" s="6" t="s">
        <v>13120</v>
      </c>
      <c r="C10436" s="5" t="str">
        <f>IFERROR(__xludf.DUMMYFUNCTION("GOOGLETRANSLATE(B10436,""en"",""zh-CN"")"),"一个微笑的小男孩滑下了一张红色滑梯，两侧都有网状，当他到达底部时，屏幕上出现了一个品牌名称，网站，电子邮件和电话。")</f>
        <v>一个微笑的小男孩滑下了一张红色滑梯，两侧都有网状，当他到达底部时，屏幕上出现了一个品牌名称，网站，电子邮件和电话。</v>
      </c>
    </row>
    <row r="10437">
      <c r="A10437" s="4" t="s">
        <v>13119</v>
      </c>
      <c r="B10437" s="4" t="s">
        <v>13121</v>
      </c>
      <c r="C10437" s="5" t="str">
        <f>IFERROR(__xludf.DUMMYFUNCTION("GOOGLETRANSLATE(B10437,""en"",""zh-CN"")"),"然后他身后的另外两个孩子滑下来。")</f>
        <v>然后他身后的另外两个孩子滑下来。</v>
      </c>
    </row>
    <row r="10438">
      <c r="A10438" s="4" t="s">
        <v>13119</v>
      </c>
      <c r="B10438" s="6" t="s">
        <v>13122</v>
      </c>
      <c r="C10438" s="5" t="str">
        <f>IFERROR(__xludf.DUMMYFUNCTION("GOOGLETRANSLATE(B10438,""en"",""zh-CN"")"),"正当女孩到达幻灯片男孩的底部时，就站起来，离开滑梯，女孩在他身后跟随。")</f>
        <v>正当女孩到达幻灯片男孩的底部时，就站起来，离开滑梯，女孩在他身后跟随。</v>
      </c>
    </row>
    <row r="10439">
      <c r="A10439" s="4" t="s">
        <v>13123</v>
      </c>
      <c r="B10439" s="4" t="s">
        <v>13124</v>
      </c>
      <c r="C10439" s="5" t="str">
        <f>IFERROR(__xludf.DUMMYFUNCTION("GOOGLETRANSLATE(B10439,""en"",""zh-CN"")"),"我们在黑色上看到标题卡。")</f>
        <v>我们在黑色上看到标题卡。</v>
      </c>
    </row>
    <row r="10440">
      <c r="A10440" s="4" t="s">
        <v>13123</v>
      </c>
      <c r="B10440" s="4" t="s">
        <v>13125</v>
      </c>
      <c r="C10440" s="5" t="str">
        <f>IFERROR(__xludf.DUMMYFUNCTION("GOOGLETRANSLATE(B10440,""en"",""zh-CN"")"),"我们看到一位女士在椭圆机上缓慢骑行并拉动手柄。")</f>
        <v>我们看到一位女士在椭圆机上缓慢骑行并拉动手柄。</v>
      </c>
    </row>
    <row r="10441">
      <c r="A10441" s="4" t="s">
        <v>13123</v>
      </c>
      <c r="B10441" s="4" t="s">
        <v>13126</v>
      </c>
      <c r="C10441" s="5" t="str">
        <f>IFERROR(__xludf.DUMMYFUNCTION("GOOGLETRANSLATE(B10441,""en"",""zh-CN"")"),"我们在不握住手柄的情况下切换到女士骑行。")</f>
        <v>我们在不握住手柄的情况下切换到女士骑行。</v>
      </c>
    </row>
    <row r="10442">
      <c r="A10442" s="4" t="s">
        <v>13123</v>
      </c>
      <c r="B10442" s="4" t="s">
        <v>13127</v>
      </c>
      <c r="C10442" s="5" t="str">
        <f>IFERROR(__xludf.DUMMYFUNCTION("GOOGLETRANSLATE(B10442,""en"",""zh-CN"")"),"然后，我们在楼梯步进模式下看到自行车并使用手柄。")</f>
        <v>然后，我们在楼梯步进模式下看到自行车并使用手柄。</v>
      </c>
    </row>
    <row r="10443">
      <c r="A10443" s="4" t="s">
        <v>13123</v>
      </c>
      <c r="B10443" s="4" t="s">
        <v>13128</v>
      </c>
      <c r="C10443" s="5" t="str">
        <f>IFERROR(__xludf.DUMMYFUNCTION("GOOGLETRANSLATE(B10443,""en"",""zh-CN"")"),"然后，我们看到她在没有手柄的情况下使用楼梯步进模式使用自行车。")</f>
        <v>然后，我们看到她在没有手柄的情况下使用楼梯步进模式使用自行车。</v>
      </c>
    </row>
    <row r="10444">
      <c r="A10444" s="4" t="s">
        <v>13129</v>
      </c>
      <c r="B10444" s="4" t="s">
        <v>13130</v>
      </c>
      <c r="C10444" s="5" t="str">
        <f>IFERROR(__xludf.DUMMYFUNCTION("GOOGLETRANSLATE(B10444,""en"",""zh-CN"")"),"人们正在院子里画一个木篱笆。")</f>
        <v>人们正在院子里画一个木篱笆。</v>
      </c>
    </row>
    <row r="10445">
      <c r="A10445" s="4" t="s">
        <v>13129</v>
      </c>
      <c r="B10445" s="4" t="s">
        <v>13131</v>
      </c>
      <c r="C10445" s="5" t="str">
        <f>IFERROR(__xludf.DUMMYFUNCTION("GOOGLETRANSLATE(B10445,""en"",""zh-CN"")"),"一条狗走在他们身后。")</f>
        <v>一条狗走在他们身后。</v>
      </c>
    </row>
    <row r="10446">
      <c r="A10446" s="4" t="s">
        <v>13129</v>
      </c>
      <c r="B10446" s="4" t="s">
        <v>13132</v>
      </c>
      <c r="C10446" s="5" t="str">
        <f>IFERROR(__xludf.DUMMYFUNCTION("GOOGLETRANSLATE(B10446,""en"",""zh-CN"")"),"他们继续画篱笆。")</f>
        <v>他们继续画篱笆。</v>
      </c>
    </row>
    <row r="10447">
      <c r="A10447" s="4" t="s">
        <v>13133</v>
      </c>
      <c r="B10447" s="4" t="s">
        <v>13134</v>
      </c>
      <c r="C10447" s="5" t="str">
        <f>IFERROR(__xludf.DUMMYFUNCTION("GOOGLETRANSLATE(B10447,""en"",""zh-CN"")"),"女人站在一个小房间里，用警棍做技巧。")</f>
        <v>女人站在一个小房间里，用警棍做技巧。</v>
      </c>
    </row>
    <row r="10448">
      <c r="A10448" s="4" t="s">
        <v>13133</v>
      </c>
      <c r="B10448" s="4" t="s">
        <v>13135</v>
      </c>
      <c r="C10448" s="5" t="str">
        <f>IFERROR(__xludf.DUMMYFUNCTION("GOOGLETRANSLATE(B10448,""en"",""zh-CN"")"),"男人在女人的一侧奔跑。")</f>
        <v>男人在女人的一侧奔跑。</v>
      </c>
    </row>
    <row r="10449">
      <c r="A10449" s="4" t="s">
        <v>13133</v>
      </c>
      <c r="B10449" s="4" t="s">
        <v>13136</v>
      </c>
      <c r="C10449" s="5" t="str">
        <f>IFERROR(__xludf.DUMMYFUNCTION("GOOGLETRANSLATE(B10449,""en"",""zh-CN"")"),"女人进入房间。")</f>
        <v>女人进入房间。</v>
      </c>
    </row>
    <row r="10450">
      <c r="A10450" s="4" t="s">
        <v>13137</v>
      </c>
      <c r="B10450" s="4" t="s">
        <v>13138</v>
      </c>
      <c r="C10450" s="5" t="str">
        <f>IFERROR(__xludf.DUMMYFUNCTION("GOOGLETRANSLATE(B10450,""en"",""zh-CN"")"),"标题积分显示在屏幕上。")</f>
        <v>标题积分显示在屏幕上。</v>
      </c>
    </row>
    <row r="10451">
      <c r="A10451" s="4" t="s">
        <v>13137</v>
      </c>
      <c r="B10451" s="4" t="s">
        <v>13139</v>
      </c>
      <c r="C10451" s="5" t="str">
        <f>IFERROR(__xludf.DUMMYFUNCTION("GOOGLETRANSLATE(B10451,""en"",""zh-CN"")"),"一个女人在健身房里与镜头说话。")</f>
        <v>一个女人在健身房里与镜头说话。</v>
      </c>
    </row>
    <row r="10452">
      <c r="A10452" s="4" t="s">
        <v>13137</v>
      </c>
      <c r="B10452" s="4" t="s">
        <v>13140</v>
      </c>
      <c r="C10452" s="5" t="str">
        <f>IFERROR(__xludf.DUMMYFUNCTION("GOOGLETRANSLATE(B10452,""en"",""zh-CN"")"),"女人展示了举起的练习。")</f>
        <v>女人展示了举起的练习。</v>
      </c>
    </row>
    <row r="10453">
      <c r="A10453" s="4" t="s">
        <v>13137</v>
      </c>
      <c r="B10453" s="4" t="s">
        <v>13141</v>
      </c>
      <c r="C10453" s="5" t="str">
        <f>IFERROR(__xludf.DUMMYFUNCTION("GOOGLETRANSLATE(B10453,""en"",""zh-CN"")"),"那个女人回到镜头里再次交谈。")</f>
        <v>那个女人回到镜头里再次交谈。</v>
      </c>
    </row>
    <row r="10454">
      <c r="A10454" s="4" t="s">
        <v>13137</v>
      </c>
      <c r="B10454" s="4" t="s">
        <v>13142</v>
      </c>
      <c r="C10454" s="5" t="str">
        <f>IFERROR(__xludf.DUMMYFUNCTION("GOOGLETRANSLATE(B10454,""en"",""zh-CN"")"),"屏幕上的结束积分滚动。")</f>
        <v>屏幕上的结束积分滚动。</v>
      </c>
    </row>
    <row r="10455">
      <c r="A10455" s="4" t="s">
        <v>13143</v>
      </c>
      <c r="B10455" s="4" t="s">
        <v>13144</v>
      </c>
      <c r="C10455" s="5" t="str">
        <f>IFERROR(__xludf.DUMMYFUNCTION("GOOGLETRANSLATE(B10455,""en"",""zh-CN"")"),"一个人在草坪上倾倒了覆盖的独轮车。")</f>
        <v>一个人在草坪上倾倒了覆盖的独轮车。</v>
      </c>
    </row>
    <row r="10456">
      <c r="A10456" s="4" t="s">
        <v>13143</v>
      </c>
      <c r="B10456" s="4" t="s">
        <v>13145</v>
      </c>
      <c r="C10456" s="5" t="str">
        <f>IFERROR(__xludf.DUMMYFUNCTION("GOOGLETRANSLATE(B10456,""en"",""zh-CN"")"),"他在地面上耙了出来。")</f>
        <v>他在地面上耙了出来。</v>
      </c>
    </row>
    <row r="10457">
      <c r="A10457" s="4" t="s">
        <v>13143</v>
      </c>
      <c r="B10457" s="4" t="s">
        <v>13146</v>
      </c>
      <c r="C10457" s="5" t="str">
        <f>IFERROR(__xludf.DUMMYFUNCTION("GOOGLETRANSLATE(B10457,""en"",""zh-CN"")"),"他带来了另一只装满覆盖物的独轮车，并在草坪上耙了出来。")</f>
        <v>他带来了另一只装满覆盖物的独轮车，并在草坪上耙了出来。</v>
      </c>
    </row>
    <row r="10458">
      <c r="A10458" s="4" t="s">
        <v>13147</v>
      </c>
      <c r="B10458" s="4" t="s">
        <v>13148</v>
      </c>
      <c r="C10458" s="5" t="str">
        <f>IFERROR(__xludf.DUMMYFUNCTION("GOOGLETRANSLATE(B10458,""en"",""zh-CN"")"),"看到一大批人站在人群中大喊大叫，打排球比赛。")</f>
        <v>看到一大批人站在人群中大喊大叫，打排球比赛。</v>
      </c>
    </row>
    <row r="10459">
      <c r="A10459" s="4" t="s">
        <v>13147</v>
      </c>
      <c r="B10459" s="4" t="s">
        <v>13149</v>
      </c>
      <c r="C10459" s="5" t="str">
        <f>IFERROR(__xludf.DUMMYFUNCTION("GOOGLETRANSLATE(B10459,""en"",""zh-CN"")"),"当人们在侧面和啦啦队长时，一群女孩继续玩耍。")</f>
        <v>当人们在侧面和啦啦队长时，一群女孩继续玩耍。</v>
      </c>
    </row>
    <row r="10460">
      <c r="A10460" s="4" t="s">
        <v>13150</v>
      </c>
      <c r="B10460" s="4" t="s">
        <v>13151</v>
      </c>
      <c r="C10460" s="5" t="str">
        <f>IFERROR(__xludf.DUMMYFUNCTION("GOOGLETRANSLATE(B10460,""en"",""zh-CN"")"),"我们在标题屏幕上看到一个亚洲脚本。")</f>
        <v>我们在标题屏幕上看到一个亚洲脚本。</v>
      </c>
    </row>
    <row r="10461">
      <c r="A10461" s="4" t="s">
        <v>13150</v>
      </c>
      <c r="B10461" s="4" t="s">
        <v>13152</v>
      </c>
      <c r="C10461" s="5" t="str">
        <f>IFERROR(__xludf.DUMMYFUNCTION("GOOGLETRANSLATE(B10461,""en"",""zh-CN"")"),"我们在桌子上看到食物，一位女士在土豆上采摘。")</f>
        <v>我们在桌子上看到食物，一位女士在土豆上采摘。</v>
      </c>
    </row>
    <row r="10462">
      <c r="A10462" s="4" t="s">
        <v>13150</v>
      </c>
      <c r="B10462" s="4" t="s">
        <v>13153</v>
      </c>
      <c r="C10462" s="5" t="str">
        <f>IFERROR(__xludf.DUMMYFUNCTION("GOOGLETRANSLATE(B10462,""en"",""zh-CN"")"),"切割土豆，然后掉入锅中。")</f>
        <v>切割土豆，然后掉入锅中。</v>
      </c>
    </row>
    <row r="10463">
      <c r="A10463" s="4" t="s">
        <v>13150</v>
      </c>
      <c r="B10463" s="4" t="s">
        <v>13154</v>
      </c>
      <c r="C10463" s="5" t="str">
        <f>IFERROR(__xludf.DUMMYFUNCTION("GOOGLETRANSLATE(B10463,""en"",""zh-CN"")"),"它被转移到冷水中，拉扯时皮肤会滑落。")</f>
        <v>它被转移到冷水中，拉扯时皮肤会滑落。</v>
      </c>
    </row>
    <row r="10464">
      <c r="A10464" s="4" t="s">
        <v>13150</v>
      </c>
      <c r="B10464" s="4" t="s">
        <v>13155</v>
      </c>
      <c r="C10464" s="5" t="str">
        <f>IFERROR(__xludf.DUMMYFUNCTION("GOOGLETRANSLATE(B10464,""en"",""zh-CN"")"),"我们看到土豆上的红色插图，土豆被捣碎。")</f>
        <v>我们看到土豆上的红色插图，土豆被捣碎。</v>
      </c>
    </row>
    <row r="10465">
      <c r="A10465" s="4" t="s">
        <v>13150</v>
      </c>
      <c r="B10465" s="4" t="s">
        <v>13156</v>
      </c>
      <c r="C10465" s="5" t="str">
        <f>IFERROR(__xludf.DUMMYFUNCTION("GOOGLETRANSLATE(B10465,""en"",""zh-CN"")"),"更容易剥去两个土豆，另一个土豆被煮沸并滴入冷水中。")</f>
        <v>更容易剥去两个土豆，另一个土豆被煮沸并滴入冷水中。</v>
      </c>
    </row>
    <row r="10466">
      <c r="A10466" s="4" t="s">
        <v>13157</v>
      </c>
      <c r="B10466" s="6" t="s">
        <v>13158</v>
      </c>
      <c r="C10466" s="5" t="str">
        <f>IFERROR(__xludf.DUMMYFUNCTION("GOOGLETRANSLATE(B10466,""en"",""zh-CN"")"),"显示了几个剪辑，这些剪辑是人们在区域周围徘徊，看着相机，并在山上滑动滑板。")</f>
        <v>显示了几个剪辑，这些剪辑是人们在区域周围徘徊，看着相机，并在山上滑动滑板。</v>
      </c>
    </row>
    <row r="10467">
      <c r="A10467" s="4" t="s">
        <v>13157</v>
      </c>
      <c r="B10467" s="6" t="s">
        <v>13159</v>
      </c>
      <c r="C10467" s="5" t="str">
        <f>IFERROR(__xludf.DUMMYFUNCTION("GOOGLETRANSLATE(B10467,""en"",""zh-CN"")"),"还显示了更多的人滑板自己的各个区域以及游泳，滚动接头以及在水上冲浪。")</f>
        <v>还显示了更多的人滑板自己的各个区域以及游泳，滚动接头以及在水上冲浪。</v>
      </c>
    </row>
    <row r="10468">
      <c r="A10468" s="4" t="s">
        <v>13157</v>
      </c>
      <c r="B10468" s="6" t="s">
        <v>13160</v>
      </c>
      <c r="C10468" s="5" t="str">
        <f>IFERROR(__xludf.DUMMYFUNCTION("GOOGLETRANSLATE(B10468,""en"",""zh-CN"")"),"这些人表演窍门，赤裸裸，在水下游泳，打开西瓜，以及其他各种活动，使滑板运动。")</f>
        <v>这些人表演窍门，赤裸裸，在水下游泳，打开西瓜，以及其他各种活动，使滑板运动。</v>
      </c>
    </row>
    <row r="10469">
      <c r="A10469" s="4" t="s">
        <v>13161</v>
      </c>
      <c r="B10469" s="4" t="s">
        <v>13162</v>
      </c>
      <c r="C10469" s="5" t="str">
        <f>IFERROR(__xludf.DUMMYFUNCTION("GOOGLETRANSLATE(B10469,""en"",""zh-CN"")"),"一群人正在一个体育场看着公牛战斗。")</f>
        <v>一群人正在一个体育场看着公牛战斗。</v>
      </c>
    </row>
    <row r="10470">
      <c r="A10470" s="4" t="s">
        <v>13161</v>
      </c>
      <c r="B10470" s="4" t="s">
        <v>13163</v>
      </c>
      <c r="C10470" s="5" t="str">
        <f>IFERROR(__xludf.DUMMYFUNCTION("GOOGLETRANSLATE(B10470,""en"",""zh-CN"")"),"一个娇小的男人用红布站在公牛的前面，嘲弄公牛。")</f>
        <v>一个娇小的男人用红布站在公牛的前面，嘲弄公牛。</v>
      </c>
    </row>
    <row r="10471">
      <c r="A10471" s="4" t="s">
        <v>13161</v>
      </c>
      <c r="B10471" s="6" t="s">
        <v>13164</v>
      </c>
      <c r="C10471" s="5" t="str">
        <f>IFERROR(__xludf.DUMMYFUNCTION("GOOGLETRANSLATE(B10471,""en"",""zh-CN"")"),"公牛移动后，又有三个男人带着粉红色的布来嘲笑公牛，他用角击中了他们。")</f>
        <v>公牛移动后，又有三个男人带着粉红色的布来嘲笑公牛，他用角击中了他们。</v>
      </c>
    </row>
    <row r="10472">
      <c r="A10472" s="4" t="s">
        <v>13161</v>
      </c>
      <c r="B10472" s="6" t="s">
        <v>13165</v>
      </c>
      <c r="C10472" s="5" t="str">
        <f>IFERROR(__xludf.DUMMYFUNCTION("GOOGLETRANSLATE(B10472,""en"",""zh-CN"")"),"这些人终于离开了公牛，他躺在他的身边，他们开始在嘴里给他一些东西。")</f>
        <v>这些人终于离开了公牛，他躺在他的身边，他们开始在嘴里给他一些东西。</v>
      </c>
    </row>
    <row r="10473">
      <c r="A10473" s="4" t="s">
        <v>13161</v>
      </c>
      <c r="B10473" s="6" t="s">
        <v>13166</v>
      </c>
      <c r="C10473" s="5" t="str">
        <f>IFERROR(__xludf.DUMMYFUNCTION("GOOGLETRANSLATE(B10473,""en"",""zh-CN"")"),"一旦休息，另一个男人就来了，在他的嘴上包裹一些东西，以保护他，因为另一组男人走出引导马。")</f>
        <v>一旦休息，另一个男人就来了，在他的嘴上包裹一些东西，以保护他，因为另一组男人走出引导马。</v>
      </c>
    </row>
    <row r="10474">
      <c r="A10474" s="4" t="s">
        <v>13167</v>
      </c>
      <c r="B10474" s="4" t="s">
        <v>13168</v>
      </c>
      <c r="C10474" s="5" t="str">
        <f>IFERROR(__xludf.DUMMYFUNCTION("GOOGLETRANSLATE(B10474,""en"",""zh-CN"")"),"在健身房工作室内的空手道练习比赛中，有两名男子晶石。")</f>
        <v>在健身房工作室内的空手道练习比赛中，有两名男子晶石。</v>
      </c>
    </row>
    <row r="10475">
      <c r="A10475" s="4" t="s">
        <v>13167</v>
      </c>
      <c r="B10475" s="4" t="s">
        <v>13169</v>
      </c>
      <c r="C10475" s="5" t="str">
        <f>IFERROR(__xludf.DUMMYFUNCTION("GOOGLETRANSLATE(B10475,""en"",""zh-CN"")"),"教练在抓住拳打后绊倒了学生。")</f>
        <v>教练在抓住拳打后绊倒了学生。</v>
      </c>
    </row>
    <row r="10476">
      <c r="A10476" s="4" t="s">
        <v>13167</v>
      </c>
      <c r="B10476" s="4" t="s">
        <v>13170</v>
      </c>
      <c r="C10476" s="5" t="str">
        <f>IFERROR(__xludf.DUMMYFUNCTION("GOOGLETRANSLATE(B10476,""en"",""zh-CN"")"),"讲师对学生进行滑动。")</f>
        <v>讲师对学生进行滑动。</v>
      </c>
    </row>
    <row r="10477">
      <c r="A10477" s="4" t="s">
        <v>13167</v>
      </c>
      <c r="B10477" s="4" t="s">
        <v>13171</v>
      </c>
      <c r="C10477" s="5" t="str">
        <f>IFERROR(__xludf.DUMMYFUNCTION("GOOGLETRANSLATE(B10477,""en"",""zh-CN"")"),"讲师抓住了学生的踢脚。")</f>
        <v>讲师抓住了学生的踢脚。</v>
      </c>
    </row>
    <row r="10478">
      <c r="A10478" s="4" t="s">
        <v>13172</v>
      </c>
      <c r="B10478" s="4" t="s">
        <v>13173</v>
      </c>
      <c r="C10478" s="5" t="str">
        <f>IFERROR(__xludf.DUMMYFUNCTION("GOOGLETRANSLATE(B10478,""en"",""zh-CN"")"),"一个有砍刀的光着膀子的男人走进前院。")</f>
        <v>一个有砍刀的光着膀子的男人走进前院。</v>
      </c>
    </row>
    <row r="10479">
      <c r="A10479" s="4" t="s">
        <v>13172</v>
      </c>
      <c r="B10479" s="4" t="s">
        <v>13174</v>
      </c>
      <c r="C10479" s="5" t="str">
        <f>IFERROR(__xludf.DUMMYFUNCTION("GOOGLETRANSLATE(B10479,""en"",""zh-CN"")"),"他开始反复撞到草地。")</f>
        <v>他开始反复撞到草地。</v>
      </c>
    </row>
    <row r="10480">
      <c r="A10480" s="4" t="s">
        <v>13172</v>
      </c>
      <c r="B10480" s="4" t="s">
        <v>13175</v>
      </c>
      <c r="C10480" s="5" t="str">
        <f>IFERROR(__xludf.DUMMYFUNCTION("GOOGLETRANSLATE(B10480,""en"",""zh-CN"")"),"他没有使用割草机，而是用砍刀切草。")</f>
        <v>他没有使用割草机，而是用砍刀切草。</v>
      </c>
    </row>
    <row r="10481">
      <c r="A10481" s="4" t="s">
        <v>13172</v>
      </c>
      <c r="B10481" s="4" t="s">
        <v>13176</v>
      </c>
      <c r="C10481" s="5" t="str">
        <f>IFERROR(__xludf.DUMMYFUNCTION("GOOGLETRANSLATE(B10481,""en"",""zh-CN"")"),"他站起来，走到补丁，然后开始使用砍刀向上。")</f>
        <v>他站起来，走到补丁，然后开始使用砍刀向上。</v>
      </c>
    </row>
    <row r="10482">
      <c r="A10482" s="4" t="s">
        <v>13177</v>
      </c>
      <c r="B10482" s="4" t="s">
        <v>13178</v>
      </c>
      <c r="C10482" s="5" t="str">
        <f>IFERROR(__xludf.DUMMYFUNCTION("GOOGLETRANSLATE(B10482,""en"",""zh-CN"")"),"两人用冰球投篮。")</f>
        <v>两人用冰球投篮。</v>
      </c>
    </row>
    <row r="10483">
      <c r="A10483" s="4" t="s">
        <v>13177</v>
      </c>
      <c r="B10483" s="4" t="s">
        <v>13179</v>
      </c>
      <c r="C10483" s="5" t="str">
        <f>IFERROR(__xludf.DUMMYFUNCTION("GOOGLETRANSLATE(B10483,""en"",""zh-CN"")"),"该人更改板上张贴在杆上的分数。")</f>
        <v>该人更改板上张贴在杆上的分数。</v>
      </c>
    </row>
    <row r="10484">
      <c r="A10484" s="4" t="s">
        <v>13177</v>
      </c>
      <c r="B10484" s="4" t="s">
        <v>13180</v>
      </c>
      <c r="C10484" s="5" t="str">
        <f>IFERROR(__xludf.DUMMYFUNCTION("GOOGLETRANSLATE(B10484,""en"",""zh-CN"")"),"玩家走下董事会取回冰球。")</f>
        <v>玩家走下董事会取回冰球。</v>
      </c>
    </row>
    <row r="10485">
      <c r="A10485" s="4" t="s">
        <v>13177</v>
      </c>
      <c r="B10485" s="4" t="s">
        <v>13181</v>
      </c>
      <c r="C10485" s="5" t="str">
        <f>IFERROR(__xludf.DUMMYFUNCTION("GOOGLETRANSLATE(B10485,""en"",""zh-CN"")"),"两个人在户外球场上玩了一场悠闲的洗牌板游戏。")</f>
        <v>两个人在户外球场上玩了一场悠闲的洗牌板游戏。</v>
      </c>
    </row>
    <row r="10486">
      <c r="A10486" s="4" t="s">
        <v>13182</v>
      </c>
      <c r="B10486" s="6" t="s">
        <v>13183</v>
      </c>
      <c r="C10486" s="5" t="str">
        <f>IFERROR(__xludf.DUMMYFUNCTION("GOOGLETRANSLATE(B10486,""en"",""zh-CN"")"),"一个空的舞台上有四个灯光，当时有很多人站着等待事情发生。")</f>
        <v>一个空的舞台上有四个灯光，当时有很多人站着等待事情发生。</v>
      </c>
    </row>
    <row r="10487">
      <c r="A10487" s="4" t="s">
        <v>13182</v>
      </c>
      <c r="B10487" s="6" t="s">
        <v>13184</v>
      </c>
      <c r="C10487" s="5" t="str">
        <f>IFERROR(__xludf.DUMMYFUNCTION("GOOGLETRANSLATE(B10487,""en"",""zh-CN"")"),"然后，一位带有橙色和黄色斗篷和裙子的女士从侧面出来，开始跳舞。")</f>
        <v>然后，一位带有橙色和黄色斗篷和裙子的女士从侧面出来，开始跳舞。</v>
      </c>
    </row>
    <row r="10488">
      <c r="A10488" s="4" t="s">
        <v>13182</v>
      </c>
      <c r="B10488" s="6" t="s">
        <v>13185</v>
      </c>
      <c r="C10488" s="5" t="str">
        <f>IFERROR(__xludf.DUMMYFUNCTION("GOOGLETRANSLATE(B10488,""en"",""zh-CN"")"),"那个女人然后掉下斗篷，开始走向人群，向人群移动并向人们微笑。")</f>
        <v>那个女人然后掉下斗篷，开始走向人群，向人群移动并向人们微笑。</v>
      </c>
    </row>
    <row r="10489">
      <c r="A10489" s="4" t="s">
        <v>13186</v>
      </c>
      <c r="B10489" s="4" t="s">
        <v>13187</v>
      </c>
      <c r="C10489" s="5" t="str">
        <f>IFERROR(__xludf.DUMMYFUNCTION("GOOGLETRANSLATE(B10489,""en"",""zh-CN"")"),"我们看到人们在足球场上打彩弹。")</f>
        <v>我们看到人们在足球场上打彩弹。</v>
      </c>
    </row>
    <row r="10490">
      <c r="A10490" s="4" t="s">
        <v>13186</v>
      </c>
      <c r="B10490" s="4" t="s">
        <v>13188</v>
      </c>
      <c r="C10490" s="5" t="str">
        <f>IFERROR(__xludf.DUMMYFUNCTION("GOOGLETRANSLATE(B10490,""en"",""zh-CN"")"),"人们起飞并前往田野。")</f>
        <v>人们起飞并前往田野。</v>
      </c>
    </row>
    <row r="10491">
      <c r="A10491" s="4" t="s">
        <v>13186</v>
      </c>
      <c r="B10491" s="4" t="s">
        <v>13189</v>
      </c>
      <c r="C10491" s="5" t="str">
        <f>IFERROR(__xludf.DUMMYFUNCTION("GOOGLETRANSLATE(B10491,""en"",""zh-CN"")"),"该男子在地面上爬行。")</f>
        <v>该男子在地面上爬行。</v>
      </c>
    </row>
    <row r="10492">
      <c r="A10492" s="4" t="s">
        <v>13186</v>
      </c>
      <c r="B10492" s="4" t="s">
        <v>13190</v>
      </c>
      <c r="C10492" s="5" t="str">
        <f>IFERROR(__xludf.DUMMYFUNCTION("GOOGLETRANSLATE(B10492,""en"",""zh-CN"")"),"他用橙色的球装满了枪。")</f>
        <v>他用橙色的球装满了枪。</v>
      </c>
    </row>
    <row r="10493">
      <c r="A10493" s="4" t="s">
        <v>13186</v>
      </c>
      <c r="B10493" s="4" t="s">
        <v>13191</v>
      </c>
      <c r="C10493" s="5" t="str">
        <f>IFERROR(__xludf.DUMMYFUNCTION("GOOGLETRANSLATE(B10493,""en"",""zh-CN"")"),"一个人走到男人附近的袋子上。")</f>
        <v>一个人走到男人附近的袋子上。</v>
      </c>
    </row>
    <row r="10494">
      <c r="A10494" s="4" t="s">
        <v>13186</v>
      </c>
      <c r="B10494" s="4" t="s">
        <v>13192</v>
      </c>
      <c r="C10494" s="5" t="str">
        <f>IFERROR(__xludf.DUMMYFUNCTION("GOOGLETRANSLATE(B10494,""en"",""zh-CN"")"),"该男子用蓝色的球重新加载枪。")</f>
        <v>该男子用蓝色的球重新加载枪。</v>
      </c>
    </row>
    <row r="10495">
      <c r="A10495" s="4" t="s">
        <v>13186</v>
      </c>
      <c r="B10495" s="4" t="s">
        <v>13193</v>
      </c>
      <c r="C10495" s="5" t="str">
        <f>IFERROR(__xludf.DUMMYFUNCTION("GOOGLETRANSLATE(B10495,""en"",""zh-CN"")"),"我们看到一个男人在篱笆后面，男人在走路。")</f>
        <v>我们看到一个男人在篱笆后面，男人在走路。</v>
      </c>
    </row>
    <row r="10496">
      <c r="A10496" s="4" t="s">
        <v>13194</v>
      </c>
      <c r="B10496" s="6" t="s">
        <v>13195</v>
      </c>
      <c r="C10496" s="5" t="str">
        <f>IFERROR(__xludf.DUMMYFUNCTION("GOOGLETRANSLATE(B10496,""en"",""zh-CN"")"),"看到一个男人坐在汽车的后部，向冲浪板打蜡，另一个男人在相机上说话。")</f>
        <v>看到一个男人坐在汽车的后部，向冲浪板打蜡，另一个男人在相机上说话。</v>
      </c>
    </row>
    <row r="10497">
      <c r="A10497" s="4" t="s">
        <v>13194</v>
      </c>
      <c r="B10497" s="4" t="s">
        <v>13196</v>
      </c>
      <c r="C10497" s="5" t="str">
        <f>IFERROR(__xludf.DUMMYFUNCTION("GOOGLETRANSLATE(B10497,""en"",""zh-CN"")"),"显示了一个人冲浪的慢动作镜头，该男子继续讲话。")</f>
        <v>显示了一个人冲浪的慢动作镜头，该男子继续讲话。</v>
      </c>
    </row>
    <row r="10498">
      <c r="A10498" s="4" t="s">
        <v>13197</v>
      </c>
      <c r="B10498" s="4" t="s">
        <v>13198</v>
      </c>
      <c r="C10498" s="5" t="str">
        <f>IFERROR(__xludf.DUMMYFUNCTION("GOOGLETRANSLATE(B10498,""en"",""zh-CN"")"),"人们从大型远洋衬里的景色骑着帆船。")</f>
        <v>人们从大型远洋衬里的景色骑着帆船。</v>
      </c>
    </row>
    <row r="10499">
      <c r="A10499" s="4" t="s">
        <v>13197</v>
      </c>
      <c r="B10499" s="4" t="s">
        <v>13199</v>
      </c>
      <c r="C10499" s="5" t="str">
        <f>IFERROR(__xludf.DUMMYFUNCTION("GOOGLETRANSLATE(B10499,""en"",""zh-CN"")"),"一个女人靠在边缘，看着船只。")</f>
        <v>一个女人靠在边缘，看着船只。</v>
      </c>
    </row>
    <row r="10500">
      <c r="A10500" s="4" t="s">
        <v>13200</v>
      </c>
      <c r="B10500" s="4" t="s">
        <v>13201</v>
      </c>
      <c r="C10500" s="5" t="str">
        <f>IFERROR(__xludf.DUMMYFUNCTION("GOOGLETRANSLATE(B10500,""en"",""zh-CN"")"),"一个男人正在AM公寓里拍摄，看着几个不同的事情。")</f>
        <v>一个男人正在AM公寓里拍摄，看着几个不同的事情。</v>
      </c>
    </row>
    <row r="10501">
      <c r="A10501" s="4" t="s">
        <v>13200</v>
      </c>
      <c r="B10501" s="4" t="s">
        <v>13202</v>
      </c>
      <c r="C10501" s="5" t="str">
        <f>IFERROR(__xludf.DUMMYFUNCTION("GOOGLETRANSLATE(B10501,""en"",""zh-CN"")"),"一个小男孩进入现场，迅速从相机的视线中退出。")</f>
        <v>一个小男孩进入现场，迅速从相机的视线中退出。</v>
      </c>
    </row>
    <row r="10502">
      <c r="A10502" s="4" t="s">
        <v>13200</v>
      </c>
      <c r="B10502" s="4" t="s">
        <v>13203</v>
      </c>
      <c r="C10502" s="5" t="str">
        <f>IFERROR(__xludf.DUMMYFUNCTION("GOOGLETRANSLATE(B10502,""en"",""zh-CN"")"),"这个男孩再次乘坐空手道动作吧。")</f>
        <v>这个男孩再次乘坐空手道动作吧。</v>
      </c>
    </row>
    <row r="10503">
      <c r="A10503" s="4" t="s">
        <v>13200</v>
      </c>
      <c r="B10503" s="4" t="s">
        <v>13204</v>
      </c>
      <c r="C10503" s="5" t="str">
        <f>IFERROR(__xludf.DUMMYFUNCTION("GOOGLETRANSLATE(B10503,""en"",""zh-CN"")"),"当男孩用另一种语言与男孩交谈时，这个男人接近了这个男孩。")</f>
        <v>当男孩用另一种语言与男孩交谈时，这个男人接近了这个男孩。</v>
      </c>
    </row>
    <row r="10504">
      <c r="A10504" s="4" t="s">
        <v>13200</v>
      </c>
      <c r="B10504" s="4" t="s">
        <v>13205</v>
      </c>
      <c r="C10504" s="5" t="str">
        <f>IFERROR(__xludf.DUMMYFUNCTION("GOOGLETRANSLATE(B10504,""en"",""zh-CN"")"),"男孩鞠躬，视频结束。")</f>
        <v>男孩鞠躬，视频结束。</v>
      </c>
    </row>
    <row r="10505">
      <c r="A10505" s="4" t="s">
        <v>13206</v>
      </c>
      <c r="B10505" s="6" t="s">
        <v>13207</v>
      </c>
      <c r="C10505" s="5" t="str">
        <f>IFERROR(__xludf.DUMMYFUNCTION("GOOGLETRANSLATE(B10505,""en"",""zh-CN"")"),"穿着白色和蓝色制服的运动员准备参加田径比赛中的三级跳跃比赛。")</f>
        <v>穿着白色和蓝色制服的运动员准备参加田径比赛中的三级跳跃比赛。</v>
      </c>
    </row>
    <row r="10506">
      <c r="A10506" s="4" t="s">
        <v>13206</v>
      </c>
      <c r="B10506" s="6" t="s">
        <v>13208</v>
      </c>
      <c r="C10506" s="5" t="str">
        <f>IFERROR(__xludf.DUMMYFUNCTION("GOOGLETRANSLATE(B10506,""en"",""zh-CN"")"),"竞争对手逐渐从缓慢运行开始，然后将速度升至冲刺，并在白色标记线上降下一只脚，每只脚上再落后两个啤酒花，然后跳过沙子路线。")</f>
        <v>竞争对手逐渐从缓慢运行开始，然后将速度升至冲刺，并在白色标记线上降下一只脚，每只脚上再落后两个啤酒花，然后跳过沙子路线。</v>
      </c>
    </row>
    <row r="10507">
      <c r="A10507" s="4" t="s">
        <v>13206</v>
      </c>
      <c r="B10507" s="6" t="s">
        <v>13209</v>
      </c>
      <c r="C10507" s="5" t="str">
        <f>IFERROR(__xludf.DUMMYFUNCTION("GOOGLETRANSLATE(B10507,""en"",""zh-CN"")"),"竞争对手跳过赛道，前往观众站立并庆祝他的跳跃。")</f>
        <v>竞争对手跳过赛道，前往观众站立并庆祝他的跳跃。</v>
      </c>
    </row>
    <row r="10508">
      <c r="A10508" s="4" t="s">
        <v>13206</v>
      </c>
      <c r="B10508" s="6" t="s">
        <v>13210</v>
      </c>
      <c r="C10508" s="5" t="str">
        <f>IFERROR(__xludf.DUMMYFUNCTION("GOOGLETRANSLATE(B10508,""en"",""zh-CN"")"),"竞争对手的脚部位置降落在白色标记线上的近距离显示，并以慢动作和常规速度显示跳跃。")</f>
        <v>竞争对手的脚部位置降落在白色标记线上的近距离显示，并以慢动作和常规速度显示跳跃。</v>
      </c>
    </row>
    <row r="10509">
      <c r="A10509" s="4" t="s">
        <v>13211</v>
      </c>
      <c r="B10509" s="6" t="s">
        <v>13212</v>
      </c>
      <c r="C10509" s="5" t="str">
        <f>IFERROR(__xludf.DUMMYFUNCTION("GOOGLETRANSLATE(B10509,""en"",""zh-CN"")"),"摄像头围绕着一大批人在田野上踢足球比赛的大批人，许多人在侧面观看。")</f>
        <v>摄像头围绕着一大批人在田野上踢足球比赛的大批人，许多人在侧面观看。</v>
      </c>
    </row>
    <row r="10510">
      <c r="A10510" s="4" t="s">
        <v>13211</v>
      </c>
      <c r="B10510" s="4" t="s">
        <v>13213</v>
      </c>
      <c r="C10510" s="5" t="str">
        <f>IFERROR(__xludf.DUMMYFUNCTION("GOOGLETRANSLATE(B10510,""en"",""zh-CN"")"),"球员们在球场上走来走去，带领他们玩游戏。")</f>
        <v>球员们在球场上走来走去，带领他们玩游戏。</v>
      </c>
    </row>
    <row r="10511">
      <c r="A10511" s="4" t="s">
        <v>13211</v>
      </c>
      <c r="B10511" s="4" t="s">
        <v>13214</v>
      </c>
      <c r="C10511" s="5" t="str">
        <f>IFERROR(__xludf.DUMMYFUNCTION("GOOGLETRANSLATE(B10511,""en"",""zh-CN"")"),"然后，一个人的手遮住了相机，并在整个区域周围移动。")</f>
        <v>然后，一个人的手遮住了相机，并在整个区域周围移动。</v>
      </c>
    </row>
    <row r="10512">
      <c r="A10512" s="4" t="s">
        <v>13215</v>
      </c>
      <c r="B10512" s="4" t="s">
        <v>13216</v>
      </c>
      <c r="C10512" s="5" t="str">
        <f>IFERROR(__xludf.DUMMYFUNCTION("GOOGLETRANSLATE(B10512,""en"",""zh-CN"")"),"一个女人看着一大堆衣服，开始向相机男人扔。")</f>
        <v>一个女人看着一大堆衣服，开始向相机男人扔。</v>
      </c>
    </row>
    <row r="10513">
      <c r="A10513" s="4" t="s">
        <v>13215</v>
      </c>
      <c r="B10513" s="4" t="s">
        <v>13217</v>
      </c>
      <c r="C10513" s="5" t="str">
        <f>IFERROR(__xludf.DUMMYFUNCTION("GOOGLETRANSLATE(B10513,""en"",""zh-CN"")"),"她说话时，她的方向几英里，在桌子上熨烫衣服。")</f>
        <v>她说话时，她的方向几英里，在桌子上熨烫衣服。</v>
      </c>
    </row>
    <row r="10514">
      <c r="A10514" s="4" t="s">
        <v>13218</v>
      </c>
      <c r="B10514" s="4" t="s">
        <v>13219</v>
      </c>
      <c r="C10514" s="5" t="str">
        <f>IFERROR(__xludf.DUMMYFUNCTION("GOOGLETRANSLATE(B10514,""en"",""zh-CN"")"),"看到一个人将她的脖子转向侧面，一个戴着手套的人戴着针。")</f>
        <v>看到一个人将她的脖子转向侧面，一个戴着手套的人戴着针。</v>
      </c>
    </row>
    <row r="10515">
      <c r="A10515" s="4" t="s">
        <v>13218</v>
      </c>
      <c r="B10515" s="4" t="s">
        <v>13220</v>
      </c>
      <c r="C10515" s="5" t="str">
        <f>IFERROR(__xludf.DUMMYFUNCTION("GOOGLETRANSLATE(B10515,""en"",""zh-CN"")"),"然后，这个人刺穿了坐下的女孩的耳朵。")</f>
        <v>然后，这个人刺穿了坐下的女孩的耳朵。</v>
      </c>
    </row>
    <row r="10516">
      <c r="A10516" s="4" t="s">
        <v>13218</v>
      </c>
      <c r="B10516" s="4" t="s">
        <v>13221</v>
      </c>
      <c r="C10516" s="5" t="str">
        <f>IFERROR(__xludf.DUMMYFUNCTION("GOOGLETRANSLATE(B10516,""en"",""zh-CN"")"),"他将耳环穿过刺穿，并确保其到位。")</f>
        <v>他将耳环穿过刺穿，并确保其到位。</v>
      </c>
    </row>
    <row r="10517">
      <c r="A10517" s="4" t="s">
        <v>13222</v>
      </c>
      <c r="B10517" s="6" t="s">
        <v>13223</v>
      </c>
      <c r="C10517" s="5" t="str">
        <f>IFERROR(__xludf.DUMMYFUNCTION("GOOGLETRANSLATE(B10517,""en"",""zh-CN"")"),"有几个人穿着安全背心和头盔，乘坐速船在水中驶入管道。")</f>
        <v>有几个人穿着安全背心和头盔，乘坐速船在水中驶入管道。</v>
      </c>
    </row>
    <row r="10518">
      <c r="A10518" s="4" t="s">
        <v>13222</v>
      </c>
      <c r="B10518" s="6" t="s">
        <v>13224</v>
      </c>
      <c r="C10518" s="5" t="str">
        <f>IFERROR(__xludf.DUMMYFUNCTION("GOOGLETRANSLATE(B10518,""en"",""zh-CN"")"),"他们穿过湖泊，到达一个地方，他们下船，用管子跳入水中。")</f>
        <v>他们穿过湖泊，到达一个地方，他们下船，用管子跳入水中。</v>
      </c>
    </row>
    <row r="10519">
      <c r="A10519" s="4" t="s">
        <v>13222</v>
      </c>
      <c r="B10519" s="4" t="s">
        <v>13225</v>
      </c>
      <c r="C10519" s="5" t="str">
        <f>IFERROR(__xludf.DUMMYFUNCTION("GOOGLETRANSLATE(B10519,""en"",""zh-CN"")"),"他们登上黄色管，沿着水漂浮。")</f>
        <v>他们登上黄色管，沿着水漂浮。</v>
      </c>
    </row>
    <row r="10520">
      <c r="A10520" s="4" t="s">
        <v>13226</v>
      </c>
      <c r="B10520" s="4" t="s">
        <v>13227</v>
      </c>
      <c r="C10520" s="5" t="str">
        <f>IFERROR(__xludf.DUMMYFUNCTION("GOOGLETRANSLATE(B10520,""en"",""zh-CN"")"),"我们看到一个男人在自行车店里聊天。")</f>
        <v>我们看到一个男人在自行车店里聊天。</v>
      </c>
    </row>
    <row r="10521">
      <c r="A10521" s="4" t="s">
        <v>13226</v>
      </c>
      <c r="B10521" s="4" t="s">
        <v>13228</v>
      </c>
      <c r="C10521" s="5" t="str">
        <f>IFERROR(__xludf.DUMMYFUNCTION("GOOGLETRANSLATE(B10521,""en"",""zh-CN"")"),"该男子触摸自行车的手柄杆，然后从桌子上抓住一根电线。")</f>
        <v>该男子触摸自行车的手柄杆，然后从桌子上抓住一根电线。</v>
      </c>
    </row>
    <row r="10522">
      <c r="A10522" s="4" t="s">
        <v>13226</v>
      </c>
      <c r="B10522" s="4" t="s">
        <v>13229</v>
      </c>
      <c r="C10522" s="5" t="str">
        <f>IFERROR(__xludf.DUMMYFUNCTION("GOOGLETRANSLATE(B10522,""en"",""zh-CN"")"),"该男子通过自行车制动系统串起电线。")</f>
        <v>该男子通过自行车制动系统串起电线。</v>
      </c>
    </row>
    <row r="10523">
      <c r="A10523" s="4" t="s">
        <v>13226</v>
      </c>
      <c r="B10523" s="4" t="s">
        <v>13230</v>
      </c>
      <c r="C10523" s="5" t="str">
        <f>IFERROR(__xludf.DUMMYFUNCTION("GOOGLETRANSLATE(B10523,""en"",""zh-CN"")"),"该男子在电线上添加黑色塑料鞘，并将其连接到轮支架上。")</f>
        <v>该男子在电线上添加黑色塑料鞘，并将其连接到轮支架上。</v>
      </c>
    </row>
    <row r="10524">
      <c r="A10524" s="4" t="s">
        <v>13231</v>
      </c>
      <c r="B10524" s="4" t="s">
        <v>13232</v>
      </c>
      <c r="C10524" s="5" t="str">
        <f>IFERROR(__xludf.DUMMYFUNCTION("GOOGLETRANSLATE(B10524,""en"",""zh-CN"")"),"穿着白色和红色制服的团队在球场上跳舞。")</f>
        <v>穿着白色和红色制服的团队在球场上跳舞。</v>
      </c>
    </row>
    <row r="10525">
      <c r="A10525" s="4" t="s">
        <v>13231</v>
      </c>
      <c r="B10525" s="4" t="s">
        <v>13233</v>
      </c>
      <c r="C10525" s="5" t="str">
        <f>IFERROR(__xludf.DUMMYFUNCTION("GOOGLETRANSLATE(B10525,""en"",""zh-CN"")"),"团队单独跳绳，在地面上跳舞。")</f>
        <v>团队单独跳绳，在地面上跳舞。</v>
      </c>
    </row>
    <row r="10526">
      <c r="A10526" s="4" t="s">
        <v>13231</v>
      </c>
      <c r="B10526" s="6" t="s">
        <v>13234</v>
      </c>
      <c r="C10526" s="5" t="str">
        <f>IFERROR(__xludf.DUMMYFUNCTION("GOOGLETRANSLATE(B10526,""en"",""zh-CN"")"),"团队确实跳过绳索，两名女性握住跳绳的末端，随着另一个团队成员跳入绳索和跳舞时，将它们旋转。")</f>
        <v>团队确实跳过绳索，两名女性握住跳绳的末端，随着另一个团队成员跳入绳索和跳舞时，将它们旋转。</v>
      </c>
    </row>
    <row r="10527">
      <c r="A10527" s="4" t="s">
        <v>13235</v>
      </c>
      <c r="B10527" s="4" t="s">
        <v>13236</v>
      </c>
      <c r="C10527" s="5" t="str">
        <f>IFERROR(__xludf.DUMMYFUNCTION("GOOGLETRANSLATE(B10527,""en"",""zh-CN"")"),"一个人正在地毯上组装真空。")</f>
        <v>一个人正在地毯上组装真空。</v>
      </c>
    </row>
    <row r="10528">
      <c r="A10528" s="4" t="s">
        <v>13235</v>
      </c>
      <c r="B10528" s="4" t="s">
        <v>13237</v>
      </c>
      <c r="C10528" s="5" t="str">
        <f>IFERROR(__xludf.DUMMYFUNCTION("GOOGLETRANSLATE(B10528,""en"",""zh-CN"")"),"他们将真空插入。")</f>
        <v>他们将真空插入。</v>
      </c>
    </row>
    <row r="10529">
      <c r="A10529" s="4" t="s">
        <v>13235</v>
      </c>
      <c r="B10529" s="4" t="s">
        <v>13238</v>
      </c>
      <c r="C10529" s="5" t="str">
        <f>IFERROR(__xludf.DUMMYFUNCTION("GOOGLETRANSLATE(B10529,""en"",""zh-CN"")"),"他们打开真空并开始吸尘地板。")</f>
        <v>他们打开真空并开始吸尘地板。</v>
      </c>
    </row>
    <row r="10530">
      <c r="A10530" s="4" t="s">
        <v>13235</v>
      </c>
      <c r="B10530" s="4" t="s">
        <v>13239</v>
      </c>
      <c r="C10530" s="5" t="str">
        <f>IFERROR(__xludf.DUMMYFUNCTION("GOOGLETRANSLATE(B10530,""en"",""zh-CN"")"),"他们取下固定软管，并在基板和楼梯上吸尘。")</f>
        <v>他们取下固定软管，并在基板和楼梯上吸尘。</v>
      </c>
    </row>
    <row r="10531">
      <c r="A10531" s="4" t="s">
        <v>13235</v>
      </c>
      <c r="B10531" s="4" t="s">
        <v>13240</v>
      </c>
      <c r="C10531" s="5" t="str">
        <f>IFERROR(__xludf.DUMMYFUNCTION("GOOGLETRANSLATE(B10531,""en"",""zh-CN"")"),"他们取出过滤器并将其清空。")</f>
        <v>他们取出过滤器并将其清空。</v>
      </c>
    </row>
    <row r="10532">
      <c r="A10532" s="4" t="s">
        <v>13235</v>
      </c>
      <c r="B10532" s="4" t="s">
        <v>13241</v>
      </c>
      <c r="C10532" s="5" t="str">
        <f>IFERROR(__xludf.DUMMYFUNCTION("GOOGLETRANSLATE(B10532,""en"",""zh-CN"")"),"他们拔下真空插头，然后将其放入壁橱中。")</f>
        <v>他们拔下真空插头，然后将其放入壁橱中。</v>
      </c>
    </row>
    <row r="10533">
      <c r="A10533" s="4" t="s">
        <v>13242</v>
      </c>
      <c r="B10533" s="4" t="s">
        <v>13243</v>
      </c>
      <c r="C10533" s="5" t="str">
        <f>IFERROR(__xludf.DUMMYFUNCTION("GOOGLETRANSLATE(B10533,""en"",""zh-CN"")"),"一个小男孩在商店的楼梯步进上玩耍。")</f>
        <v>一个小男孩在商店的楼梯步进上玩耍。</v>
      </c>
    </row>
    <row r="10534">
      <c r="A10534" s="4" t="s">
        <v>13242</v>
      </c>
      <c r="B10534" s="4" t="s">
        <v>13244</v>
      </c>
      <c r="C10534" s="5" t="str">
        <f>IFERROR(__xludf.DUMMYFUNCTION("GOOGLETRANSLATE(B10534,""en"",""zh-CN"")"),"我们备份，看到男孩的腿。")</f>
        <v>我们备份，看到男孩的腿。</v>
      </c>
    </row>
    <row r="10535">
      <c r="A10535" s="4" t="s">
        <v>13242</v>
      </c>
      <c r="B10535" s="4" t="s">
        <v>13245</v>
      </c>
      <c r="C10535" s="5" t="str">
        <f>IFERROR(__xludf.DUMMYFUNCTION("GOOGLETRANSLATE(B10535,""en"",""zh-CN"")"),"相机再次放大了男孩。")</f>
        <v>相机再次放大了男孩。</v>
      </c>
    </row>
    <row r="10536">
      <c r="A10536" s="4" t="s">
        <v>13246</v>
      </c>
      <c r="B10536" s="4" t="s">
        <v>13247</v>
      </c>
      <c r="C10536" s="5" t="str">
        <f>IFERROR(__xludf.DUMMYFUNCTION("GOOGLETRANSLATE(B10536,""en"",""zh-CN"")"),"尿布中的一个小女孩使用小真空。")</f>
        <v>尿布中的一个小女孩使用小真空。</v>
      </c>
    </row>
    <row r="10537">
      <c r="A10537" s="4" t="s">
        <v>13246</v>
      </c>
      <c r="B10537" s="4" t="s">
        <v>13248</v>
      </c>
      <c r="C10537" s="5" t="str">
        <f>IFERROR(__xludf.DUMMYFUNCTION("GOOGLETRANSLATE(B10537,""en"",""zh-CN"")"),"她正在从客厅的椅子下面吸尘灰尘。")</f>
        <v>她正在从客厅的椅子下面吸尘灰尘。</v>
      </c>
    </row>
    <row r="10538">
      <c r="A10538" s="4" t="s">
        <v>13246</v>
      </c>
      <c r="B10538" s="4" t="s">
        <v>13249</v>
      </c>
      <c r="C10538" s="5" t="str">
        <f>IFERROR(__xludf.DUMMYFUNCTION("GOOGLETRANSLATE(B10538,""en"",""zh-CN"")"),"她用刷子在地板上吮吸污垢。")</f>
        <v>她用刷子在地板上吮吸污垢。</v>
      </c>
    </row>
    <row r="10539">
      <c r="A10539" s="4" t="s">
        <v>13250</v>
      </c>
      <c r="B10539" s="4" t="s">
        <v>13251</v>
      </c>
      <c r="C10539" s="5" t="str">
        <f>IFERROR(__xludf.DUMMYFUNCTION("GOOGLETRANSLATE(B10539,""en"",""zh-CN"")"),"一个男孩在健身房周围用网球球拍旋转，将球推向另一个男孩。")</f>
        <v>一个男孩在健身房周围用网球球拍旋转，将球推向另一个男孩。</v>
      </c>
    </row>
    <row r="10540">
      <c r="A10540" s="4" t="s">
        <v>13250</v>
      </c>
      <c r="B10540" s="4" t="s">
        <v>13252</v>
      </c>
      <c r="C10540" s="5" t="str">
        <f>IFERROR(__xludf.DUMMYFUNCTION("GOOGLETRANSLATE(B10540,""en"",""zh-CN"")"),"男孩们用手和一个网球拍向后跑，第四个弹跳球在墙上。")</f>
        <v>男孩们用手和一个网球拍向后跑，第四个弹跳球在墙上。</v>
      </c>
    </row>
    <row r="10541">
      <c r="A10541" s="4" t="s">
        <v>13250</v>
      </c>
      <c r="B10541" s="6" t="s">
        <v>13253</v>
      </c>
      <c r="C10541" s="5" t="str">
        <f>IFERROR(__xludf.DUMMYFUNCTION("GOOGLETRANSLATE(B10541,""en"",""zh-CN"")"),"他们在地板上滑动，推球，继续向后击球和第四个体育馆。")</f>
        <v>他们在地板上滑动，推球，继续向后击球和第四个体育馆。</v>
      </c>
    </row>
    <row r="10542">
      <c r="A10542" s="4" t="s">
        <v>13254</v>
      </c>
      <c r="B10542" s="6" t="s">
        <v>13255</v>
      </c>
      <c r="C10542" s="5" t="str">
        <f>IFERROR(__xludf.DUMMYFUNCTION("GOOGLETRANSLATE(B10542,""en"",""zh-CN"")"),"一个人在几次镜头中看到一个男人，然后其他人骑在木板上。")</f>
        <v>一个人在几次镜头中看到一个男人，然后其他人骑在木板上。</v>
      </c>
    </row>
    <row r="10543">
      <c r="A10543" s="4" t="s">
        <v>13254</v>
      </c>
      <c r="B10543" s="4" t="s">
        <v>13256</v>
      </c>
      <c r="C10543" s="5" t="str">
        <f>IFERROR(__xludf.DUMMYFUNCTION("GOOGLETRANSLATE(B10543,""en"",""zh-CN"")"),"这些人在与镜头说话并在水面上骑行时，在侧面上抬起。")</f>
        <v>这些人在与镜头说话并在水面上骑行时，在侧面上抬起。</v>
      </c>
    </row>
    <row r="10544">
      <c r="A10544" s="4" t="s">
        <v>13254</v>
      </c>
      <c r="B10544" s="4" t="s">
        <v>13257</v>
      </c>
      <c r="C10544" s="5" t="str">
        <f>IFERROR(__xludf.DUMMYFUNCTION("GOOGLETRANSLATE(B10544,""en"",""zh-CN"")"),"人们继续四处奔波，而其他人则在一边看。")</f>
        <v>人们继续四处奔波，而其他人则在一边看。</v>
      </c>
    </row>
    <row r="10545">
      <c r="A10545" s="4" t="s">
        <v>13258</v>
      </c>
      <c r="B10545" s="4" t="s">
        <v>13259</v>
      </c>
      <c r="C10545" s="5" t="str">
        <f>IFERROR(__xludf.DUMMYFUNCTION("GOOGLETRANSLATE(B10545,""en"",""zh-CN"")"),"一个人使用刷子在水槽上擦洗鞋子。")</f>
        <v>一个人使用刷子在水槽上擦洗鞋子。</v>
      </c>
    </row>
    <row r="10546">
      <c r="A10546" s="4" t="s">
        <v>13258</v>
      </c>
      <c r="B10546" s="4" t="s">
        <v>13260</v>
      </c>
      <c r="C10546" s="5" t="str">
        <f>IFERROR(__xludf.DUMMYFUNCTION("GOOGLETRANSLATE(B10546,""en"",""zh-CN"")"),"他们用白色毛巾擦拭鞋子。")</f>
        <v>他们用白色毛巾擦拭鞋子。</v>
      </c>
    </row>
    <row r="10547">
      <c r="A10547" s="4" t="s">
        <v>13258</v>
      </c>
      <c r="B10547" s="4" t="s">
        <v>13261</v>
      </c>
      <c r="C10547" s="5" t="str">
        <f>IFERROR(__xludf.DUMMYFUNCTION("GOOGLETRANSLATE(B10547,""en"",""zh-CN"")"),"他抬起鞋子展示相机。")</f>
        <v>他抬起鞋子展示相机。</v>
      </c>
    </row>
    <row r="10548">
      <c r="A10548" s="4" t="s">
        <v>13262</v>
      </c>
      <c r="B10548" s="4" t="s">
        <v>13263</v>
      </c>
      <c r="C10548" s="5" t="str">
        <f>IFERROR(__xludf.DUMMYFUNCTION("GOOGLETRANSLATE(B10548,""en"",""zh-CN"")"),"我们在中转中看到了一名男性体操运动员的图像。")</f>
        <v>我们在中转中看到了一名男性体操运动员的图像。</v>
      </c>
    </row>
    <row r="10549">
      <c r="A10549" s="4" t="s">
        <v>13262</v>
      </c>
      <c r="B10549" s="4" t="s">
        <v>13264</v>
      </c>
      <c r="C10549" s="5" t="str">
        <f>IFERROR(__xludf.DUMMYFUNCTION("GOOGLETRANSLATE(B10549,""en"",""zh-CN"")"),"我们在上面看到了带有家人的标题卡。")</f>
        <v>我们在上面看到了带有家人的标题卡。</v>
      </c>
    </row>
    <row r="10550">
      <c r="A10550" s="4" t="s">
        <v>13262</v>
      </c>
      <c r="B10550" s="4" t="s">
        <v>13265</v>
      </c>
      <c r="C10550" s="5" t="str">
        <f>IFERROR(__xludf.DUMMYFUNCTION("GOOGLETRANSLATE(B10550,""en"",""zh-CN"")"),"一个男人骑着鞍马摇摆。")</f>
        <v>一个男人骑着鞍马摇摆。</v>
      </c>
    </row>
    <row r="10551">
      <c r="A10551" s="4" t="s">
        <v>13262</v>
      </c>
      <c r="B10551" s="4" t="s">
        <v>13266</v>
      </c>
      <c r="C10551" s="5" t="str">
        <f>IFERROR(__xludf.DUMMYFUNCTION("GOOGLETRANSLATE(B10551,""en"",""zh-CN"")"),"一个蓝色计划的男人来回摆动双腿。")</f>
        <v>一个蓝色计划的男人来回摆动双腿。</v>
      </c>
    </row>
    <row r="10552">
      <c r="A10552" s="4" t="s">
        <v>13262</v>
      </c>
      <c r="B10552" s="4" t="s">
        <v>13267</v>
      </c>
      <c r="C10552" s="5" t="str">
        <f>IFERROR(__xludf.DUMMYFUNCTION("GOOGLETRANSLATE(B10552,""en"",""zh-CN"")"),"穿着红色短裤的人正在疯狂旋转。")</f>
        <v>穿着红色短裤的人正在疯狂旋转。</v>
      </c>
    </row>
    <row r="10553">
      <c r="A10553" s="4" t="s">
        <v>13262</v>
      </c>
      <c r="B10553" s="4" t="s">
        <v>13268</v>
      </c>
      <c r="C10553" s="5" t="str">
        <f>IFERROR(__xludf.DUMMYFUNCTION("GOOGLETRANSLATE(B10553,""en"",""zh-CN"")"),"然后，他在圆形设备上旋转。")</f>
        <v>然后，他在圆形设备上旋转。</v>
      </c>
    </row>
    <row r="10554">
      <c r="A10554" s="4" t="s">
        <v>13269</v>
      </c>
      <c r="B10554" s="4" t="s">
        <v>13270</v>
      </c>
      <c r="C10554" s="5" t="str">
        <f>IFERROR(__xludf.DUMMYFUNCTION("GOOGLETRANSLATE(B10554,""en"",""zh-CN"")"),"一个女人坐在座位上，将她的头发刷回相机。")</f>
        <v>一个女人坐在座位上，将她的头发刷回相机。</v>
      </c>
    </row>
    <row r="10555">
      <c r="A10555" s="4" t="s">
        <v>13269</v>
      </c>
      <c r="B10555" s="4" t="s">
        <v>13271</v>
      </c>
      <c r="C10555" s="5" t="str">
        <f>IFERROR(__xludf.DUMMYFUNCTION("GOOGLETRANSLATE(B10555,""en"",""zh-CN"")"),"她继续刷牙。")</f>
        <v>她继续刷牙。</v>
      </c>
    </row>
    <row r="10556">
      <c r="A10556" s="4" t="s">
        <v>13269</v>
      </c>
      <c r="B10556" s="4" t="s">
        <v>13272</v>
      </c>
      <c r="C10556" s="5" t="str">
        <f>IFERROR(__xludf.DUMMYFUNCTION("GOOGLETRANSLATE(B10556,""en"",""zh-CN"")"),"她将头靠在一侧，继续刷。")</f>
        <v>她将头靠在一侧，继续刷。</v>
      </c>
    </row>
    <row r="10557">
      <c r="A10557" s="4" t="s">
        <v>13273</v>
      </c>
      <c r="B10557" s="4" t="s">
        <v>13274</v>
      </c>
      <c r="C10557" s="5" t="str">
        <f>IFERROR(__xludf.DUMMYFUNCTION("GOOGLETRANSLATE(B10557,""en"",""zh-CN"")"),"显示了一群人在一个田野周围奔跑的大批人。")</f>
        <v>显示了一群人在一个田野周围奔跑的大批人。</v>
      </c>
    </row>
    <row r="10558">
      <c r="A10558" s="4" t="s">
        <v>13273</v>
      </c>
      <c r="B10558" s="4" t="s">
        <v>13275</v>
      </c>
      <c r="C10558" s="5" t="str">
        <f>IFERROR(__xludf.DUMMYFUNCTION("GOOGLETRANSLATE(B10558,""en"",""zh-CN"")"),"当人们在旁边踢足球时，观众会欢呼。")</f>
        <v>当人们在旁边踢足球时，观众会欢呼。</v>
      </c>
    </row>
    <row r="10559">
      <c r="A10559" s="4" t="s">
        <v>13273</v>
      </c>
      <c r="B10559" s="4" t="s">
        <v>13276</v>
      </c>
      <c r="C10559" s="5" t="str">
        <f>IFERROR(__xludf.DUMMYFUNCTION("GOOGLETRANSLATE(B10559,""en"",""zh-CN"")"),"人们继续在场上上下比赛，而其他人则看着他们的比赛。")</f>
        <v>人们继续在场上上下比赛，而其他人则看着他们的比赛。</v>
      </c>
    </row>
    <row r="10560">
      <c r="A10560" s="4" t="s">
        <v>13277</v>
      </c>
      <c r="B10560" s="6" t="s">
        <v>13278</v>
      </c>
      <c r="C10560" s="5" t="str">
        <f>IFERROR(__xludf.DUMMYFUNCTION("GOOGLETRANSLATE(B10560,""en"",""zh-CN"")"),"一个戴着橙色连帽衫的女孩和一个穿着黑色上衣的女孩进入家里进入厨房。")</f>
        <v>一个戴着橙色连帽衫的女孩和一个穿着黑色上衣的女孩进入家里进入厨房。</v>
      </c>
    </row>
    <row r="10561">
      <c r="A10561" s="4" t="s">
        <v>13277</v>
      </c>
      <c r="B10561" s="4" t="s">
        <v>13279</v>
      </c>
      <c r="C10561" s="5" t="str">
        <f>IFERROR(__xludf.DUMMYFUNCTION("GOOGLETRANSLATE(B10561,""en"",""zh-CN"")"),"女孩们正在准备烤饼干。")</f>
        <v>女孩们正在准备烤饼干。</v>
      </c>
    </row>
    <row r="10562">
      <c r="A10562" s="4" t="s">
        <v>13277</v>
      </c>
      <c r="B10562" s="4" t="s">
        <v>13280</v>
      </c>
      <c r="C10562" s="5" t="str">
        <f>IFERROR(__xludf.DUMMYFUNCTION("GOOGLETRANSLATE(B10562,""en"",""zh-CN"")"),"手机响了，两个女孩都很兴奋。")</f>
        <v>手机响了，两个女孩都很兴奋。</v>
      </c>
    </row>
    <row r="10563">
      <c r="A10563" s="4" t="s">
        <v>13277</v>
      </c>
      <c r="B10563" s="6" t="s">
        <v>13281</v>
      </c>
      <c r="C10563" s="5" t="str">
        <f>IFERROR(__xludf.DUMMYFUNCTION("GOOGLETRANSLATE(B10563,""en"",""zh-CN"")"),"有人在前门，橙色连帽衫的女孩穿过房子回答门。")</f>
        <v>有人在前门，橙色连帽衫的女孩穿过房子回答门。</v>
      </c>
    </row>
    <row r="10564">
      <c r="A10564" s="4" t="s">
        <v>13277</v>
      </c>
      <c r="B10564" s="4" t="s">
        <v>13282</v>
      </c>
      <c r="C10564" s="5" t="str">
        <f>IFERROR(__xludf.DUMMYFUNCTION("GOOGLETRANSLATE(B10564,""en"",""zh-CN"")"),"黑衬衫的女孩在门口被伪装成男人。")</f>
        <v>黑衬衫的女孩在门口被伪装成男人。</v>
      </c>
    </row>
    <row r="10565">
      <c r="A10565" s="4" t="s">
        <v>13277</v>
      </c>
      <c r="B10565" s="6" t="s">
        <v>13283</v>
      </c>
      <c r="C10565" s="5" t="str">
        <f>IFERROR(__xludf.DUMMYFUNCTION("GOOGLETRANSLATE(B10565,""en"",""zh-CN"")"),"橙色连帽衫的女孩挤压了一条黄油，它掉到了地板上，猛地关上了门。")</f>
        <v>橙色连帽衫的女孩挤压了一条黄油，它掉到了地板上，猛地关上了门。</v>
      </c>
    </row>
    <row r="10566">
      <c r="A10566" s="4" t="s">
        <v>13277</v>
      </c>
      <c r="B10566" s="4" t="s">
        <v>13284</v>
      </c>
      <c r="C10566" s="5" t="str">
        <f>IFERROR(__xludf.DUMMYFUNCTION("GOOGLETRANSLATE(B10566,""en"",""zh-CN"")"),"黑色上衣的女孩转身走开了。")</f>
        <v>黑色上衣的女孩转身走开了。</v>
      </c>
    </row>
    <row r="10567">
      <c r="A10567" s="4" t="s">
        <v>13285</v>
      </c>
      <c r="B10567" s="4" t="s">
        <v>13286</v>
      </c>
      <c r="C10567" s="5" t="str">
        <f>IFERROR(__xludf.DUMMYFUNCTION("GOOGLETRANSLATE(B10567,""en"",""zh-CN"")"),"一个白人在舞台上，长长的恐惧向观众扔了件标志。")</f>
        <v>一个白人在舞台上，长长的恐惧向观众扔了件标志。</v>
      </c>
    </row>
    <row r="10568">
      <c r="A10568" s="4" t="s">
        <v>13285</v>
      </c>
      <c r="B10568" s="6" t="s">
        <v>13287</v>
      </c>
      <c r="C10568" s="5" t="str">
        <f>IFERROR(__xludf.DUMMYFUNCTION("GOOGLETRANSLATE(B10568,""en"",""zh-CN"")"),"互动后，当他在舞台上来回走动时，该男子开始在他的背上播放风管。")</f>
        <v>互动后，当他在舞台上来回走动时，该男子开始在他的背上播放风管。</v>
      </c>
    </row>
    <row r="10569">
      <c r="A10569" s="4" t="s">
        <v>13285</v>
      </c>
      <c r="B10569" s="6" t="s">
        <v>13288</v>
      </c>
      <c r="C10569" s="5" t="str">
        <f>IFERROR(__xludf.DUMMYFUNCTION("GOOGLETRANSLATE(B10569,""en"",""zh-CN"")"),"展示了人群，相机回到舞台上，随着吉他手开始演奏，几个灯光亮了。")</f>
        <v>展示了人群，相机回到舞台上，随着吉他手开始演奏，几个灯光亮了。</v>
      </c>
    </row>
    <row r="10570">
      <c r="A10570" s="4" t="s">
        <v>13289</v>
      </c>
      <c r="B10570" s="4" t="s">
        <v>13290</v>
      </c>
      <c r="C10570" s="5" t="str">
        <f>IFERROR(__xludf.DUMMYFUNCTION("GOOGLETRANSLATE(B10570,""en"",""zh-CN"")"),"一个小女孩微笑着和相机交谈。")</f>
        <v>一个小女孩微笑着和相机交谈。</v>
      </c>
    </row>
    <row r="10571">
      <c r="A10571" s="4" t="s">
        <v>13289</v>
      </c>
      <c r="B10571" s="4" t="s">
        <v>13291</v>
      </c>
      <c r="C10571" s="5" t="str">
        <f>IFERROR(__xludf.DUMMYFUNCTION("GOOGLETRANSLATE(B10571,""en"",""zh-CN"")"),"然后，她和其他孩子在水槽上洗手。")</f>
        <v>然后，她和其他孩子在水槽上洗手。</v>
      </c>
    </row>
    <row r="10572">
      <c r="A10572" s="4" t="s">
        <v>13289</v>
      </c>
      <c r="B10572" s="6" t="s">
        <v>13292</v>
      </c>
      <c r="C10572" s="5" t="str">
        <f>IFERROR(__xludf.DUMMYFUNCTION("GOOGLETRANSLATE(B10572,""en"",""zh-CN"")"),"他们谈论演唱生日歌曲或数以知道应该洗多长时间。")</f>
        <v>他们谈论演唱生日歌曲或数以知道应该洗多长时间。</v>
      </c>
    </row>
    <row r="10573">
      <c r="A10573" s="4" t="s">
        <v>13293</v>
      </c>
      <c r="B10573" s="4" t="s">
        <v>13294</v>
      </c>
      <c r="C10573" s="5" t="str">
        <f>IFERROR(__xludf.DUMMYFUNCTION("GOOGLETRANSLATE(B10573,""en"",""zh-CN"")"),"我们看到一个带有球的男人正准备投掷射击。")</f>
        <v>我们看到一个带有球的男人正准备投掷射击。</v>
      </c>
    </row>
    <row r="10574">
      <c r="A10574" s="4" t="s">
        <v>13293</v>
      </c>
      <c r="B10574" s="4" t="s">
        <v>13295</v>
      </c>
      <c r="C10574" s="5" t="str">
        <f>IFERROR(__xludf.DUMMYFUNCTION("GOOGLETRANSLATE(B10574,""en"",""zh-CN"")"),"该男子抬起手臂。")</f>
        <v>该男子抬起手臂。</v>
      </c>
    </row>
    <row r="10575">
      <c r="A10575" s="4" t="s">
        <v>13293</v>
      </c>
      <c r="B10575" s="4" t="s">
        <v>13296</v>
      </c>
      <c r="C10575" s="5" t="str">
        <f>IFERROR(__xludf.DUMMYFUNCTION("GOOGLETRANSLATE(B10575,""en"",""zh-CN"")"),"该男子旋转并扔球。")</f>
        <v>该男子旋转并扔球。</v>
      </c>
    </row>
    <row r="10576">
      <c r="A10576" s="4" t="s">
        <v>13293</v>
      </c>
      <c r="B10576" s="4" t="s">
        <v>13297</v>
      </c>
      <c r="C10576" s="5" t="str">
        <f>IFERROR(__xludf.DUMMYFUNCTION("GOOGLETRANSLATE(B10576,""en"",""zh-CN"")"),"我们看到男人处于距离度量。")</f>
        <v>我们看到男人处于距离度量。</v>
      </c>
    </row>
    <row r="10577">
      <c r="A10577" s="4" t="s">
        <v>13293</v>
      </c>
      <c r="B10577" s="4" t="s">
        <v>13298</v>
      </c>
      <c r="C10577" s="5" t="str">
        <f>IFERROR(__xludf.DUMMYFUNCTION("GOOGLETRANSLATE(B10577,""en"",""zh-CN"")"),"我们看到投掷者抓住他的外套，走开。")</f>
        <v>我们看到投掷者抓住他的外套，走开。</v>
      </c>
    </row>
    <row r="10578">
      <c r="A10578" s="4" t="s">
        <v>13299</v>
      </c>
      <c r="B10578" s="4" t="s">
        <v>13300</v>
      </c>
      <c r="C10578" s="5" t="str">
        <f>IFERROR(__xludf.DUMMYFUNCTION("GOOGLETRANSLATE(B10578,""en"",""zh-CN"")"),"我们看到拖拉机和标题屏幕。")</f>
        <v>我们看到拖拉机和标题屏幕。</v>
      </c>
    </row>
    <row r="10579">
      <c r="A10579" s="4" t="s">
        <v>13299</v>
      </c>
      <c r="B10579" s="4" t="s">
        <v>13301</v>
      </c>
      <c r="C10579" s="5" t="str">
        <f>IFERROR(__xludf.DUMMYFUNCTION("GOOGLETRANSLATE(B10579,""en"",""zh-CN"")"),"我们看到拖拉机吹叶。")</f>
        <v>我们看到拖拉机吹叶。</v>
      </c>
    </row>
    <row r="10580">
      <c r="A10580" s="4" t="s">
        <v>13299</v>
      </c>
      <c r="B10580" s="4" t="s">
        <v>13302</v>
      </c>
      <c r="C10580" s="5" t="str">
        <f>IFERROR(__xludf.DUMMYFUNCTION("GOOGLETRANSLATE(B10580,""en"",""zh-CN"")"),"我们看到拖拉机靠近。")</f>
        <v>我们看到拖拉机靠近。</v>
      </c>
    </row>
    <row r="10581">
      <c r="A10581" s="4" t="s">
        <v>13299</v>
      </c>
      <c r="B10581" s="4" t="s">
        <v>2892</v>
      </c>
      <c r="C10581" s="5" t="str">
        <f>IFERROR(__xludf.DUMMYFUNCTION("GOOGLETRANSLATE(B10581,""en"",""zh-CN"")"),"我们看到关闭标题屏幕。")</f>
        <v>我们看到关闭标题屏幕。</v>
      </c>
    </row>
    <row r="10582">
      <c r="A10582" s="4" t="s">
        <v>13299</v>
      </c>
      <c r="B10582" s="4" t="s">
        <v>13303</v>
      </c>
      <c r="C10582" s="5" t="str">
        <f>IFERROR(__xludf.DUMMYFUNCTION("GOOGLETRANSLATE(B10582,""en"",""zh-CN"")"),"然后，我们在树上看到花。")</f>
        <v>然后，我们在树上看到花。</v>
      </c>
    </row>
    <row r="10583">
      <c r="A10583" s="4" t="s">
        <v>13304</v>
      </c>
      <c r="B10583" s="4" t="s">
        <v>13305</v>
      </c>
      <c r="C10583" s="5" t="str">
        <f>IFERROR(__xludf.DUMMYFUNCTION("GOOGLETRANSLATE(B10583,""en"",""zh-CN"")"),"看到一个男人与相机交谈，该相机会导致几个人唤醒登机。")</f>
        <v>看到一个男人与相机交谈，该相机会导致几个人唤醒登机。</v>
      </c>
    </row>
    <row r="10584">
      <c r="A10584" s="4" t="s">
        <v>13304</v>
      </c>
      <c r="B10584" s="4" t="s">
        <v>13306</v>
      </c>
      <c r="C10584" s="5" t="str">
        <f>IFERROR(__xludf.DUMMYFUNCTION("GOOGLETRANSLATE(B10584,""en"",""zh-CN"")"),"然后，男人与一个女人说话，并帮助演示如何正确骑唤醒板。")</f>
        <v>然后，男人与一个女人说话，并帮助演示如何正确骑唤醒板。</v>
      </c>
    </row>
    <row r="10585">
      <c r="A10585" s="4" t="s">
        <v>13304</v>
      </c>
      <c r="B10585" s="6" t="s">
        <v>13307</v>
      </c>
      <c r="C10585" s="5" t="str">
        <f>IFERROR(__xludf.DUMMYFUNCTION("GOOGLETRANSLATE(B10585,""en"",""zh-CN"")"),"然后，船起飞，帮助女孩第一次摔倒，然后成功骑行。")</f>
        <v>然后，船起飞，帮助女孩第一次摔倒，然后成功骑行。</v>
      </c>
    </row>
    <row r="10586">
      <c r="A10586" s="4" t="s">
        <v>13308</v>
      </c>
      <c r="B10586" s="4" t="s">
        <v>13309</v>
      </c>
      <c r="C10586" s="5" t="str">
        <f>IFERROR(__xludf.DUMMYFUNCTION("GOOGLETRANSLATE(B10586,""en"",""zh-CN"")"),"一个有眼镜的老人正站在模型瓷砖前与镜头说话。")</f>
        <v>一个有眼镜的老人正站在模型瓷砖前与镜头说话。</v>
      </c>
    </row>
    <row r="10587">
      <c r="A10587" s="4" t="s">
        <v>13308</v>
      </c>
      <c r="B10587" s="6" t="s">
        <v>13310</v>
      </c>
      <c r="C10587" s="5" t="str">
        <f>IFERROR(__xludf.DUMMYFUNCTION("GOOGLETRANSLATE(B10587,""en"",""zh-CN"")"),"一群黑色的男人开始拆除客厅的地毯上半部分，然后用更轻，更新的地毯代替。")</f>
        <v>一群黑色的男人开始拆除客厅的地毯上半部分，然后用更轻，更新的地毯代替。</v>
      </c>
    </row>
    <row r="10588">
      <c r="A10588" s="4" t="s">
        <v>13308</v>
      </c>
      <c r="B10588" s="6" t="s">
        <v>13311</v>
      </c>
      <c r="C10588" s="5" t="str">
        <f>IFERROR(__xludf.DUMMYFUNCTION("GOOGLETRANSLATE(B10588,""en"",""zh-CN"")"),"穿着黑色衬衫的一群男子将沙发从墙壁移到另一侧，并拆除了地毯的另一半，露出了绿色的地板。")</f>
        <v>穿着黑色衬衫的一群男子将沙发从墙壁移到另一侧，并拆除了地毯的另一半，露出了绿色的地板。</v>
      </c>
    </row>
    <row r="10589">
      <c r="A10589" s="4" t="s">
        <v>13308</v>
      </c>
      <c r="B10589" s="4" t="s">
        <v>13312</v>
      </c>
      <c r="C10589" s="5" t="str">
        <f>IFERROR(__xludf.DUMMYFUNCTION("GOOGLETRANSLATE(B10589,""en"",""zh-CN"")"),"一群人将地毯放在地板上，他们对其进行测量，切割并粘贴地毯。")</f>
        <v>一群人将地毯放在地板上，他们对其进行测量，切割并粘贴地毯。</v>
      </c>
    </row>
    <row r="10590">
      <c r="A10590" s="4" t="s">
        <v>13308</v>
      </c>
      <c r="B10590" s="6" t="s">
        <v>13313</v>
      </c>
      <c r="C10590" s="5" t="str">
        <f>IFERROR(__xludf.DUMMYFUNCTION("GOOGLETRANSLATE(B10590,""en"",""zh-CN"")"),"当新的地毯安装到新地毯时，当女士走进客厅时，男人在地毯上吸尘。")</f>
        <v>当新的地毯安装到新地毯时，当女士走进客厅时，男人在地毯上吸尘。</v>
      </c>
    </row>
    <row r="10591">
      <c r="A10591" s="4" t="s">
        <v>13308</v>
      </c>
      <c r="B10591" s="6" t="s">
        <v>13314</v>
      </c>
      <c r="C10591" s="5" t="str">
        <f>IFERROR(__xludf.DUMMYFUNCTION("GOOGLETRANSLATE(B10591,""en"",""zh-CN"")"),"男人和老人和女人从墙上取下电视，安装了木制电视套装家具，而其他男人和女士则安排了沙发，并将枕头放在上面。")</f>
        <v>男人和老人和女人从墙上取下电视，安装了木制电视套装家具，而其他男人和女士则安排了沙发，并将枕头放在上面。</v>
      </c>
    </row>
    <row r="10592">
      <c r="A10592" s="4" t="s">
        <v>13315</v>
      </c>
      <c r="B10592" s="6" t="s">
        <v>13316</v>
      </c>
      <c r="C10592" s="5" t="str">
        <f>IFERROR(__xludf.DUMMYFUNCTION("GOOGLETRANSLATE(B10592,""en"",""zh-CN"")"),"一群八人的人是白色的漂流在某种程度上平静的水中，而后面的两个人将他们从水中划下来。")</f>
        <v>一群八人的人是白色的漂流在某种程度上平静的水中，而后面的两个人将他们从水中划下来。</v>
      </c>
    </row>
    <row r="10593">
      <c r="A10593" s="4" t="s">
        <v>13315</v>
      </c>
      <c r="B10593" s="6" t="s">
        <v>13317</v>
      </c>
      <c r="C10593" s="5" t="str">
        <f>IFERROR(__xludf.DUMMYFUNCTION("GOOGLETRANSLATE(B10593,""en"",""zh-CN"")"),"后面的两个人继续划船，相机放大了，但是水太平静了，无法获得完整的体验，什么也没有发生。")</f>
        <v>后面的两个人继续划船，相机放大了，但是水太平静了，无法获得完整的体验，什么也没有发生。</v>
      </c>
    </row>
    <row r="10594">
      <c r="A10594" s="4" t="s">
        <v>13315</v>
      </c>
      <c r="B10594" s="4" t="s">
        <v>13318</v>
      </c>
      <c r="C10594" s="5" t="str">
        <f>IFERROR(__xludf.DUMMYFUNCTION("GOOGLETRANSLATE(B10594,""en"",""zh-CN"")"),"最后，蓝屏闪烁和白色单词出现。")</f>
        <v>最后，蓝屏闪烁和白色单词出现。</v>
      </c>
    </row>
    <row r="10595">
      <c r="A10595" s="4" t="s">
        <v>13319</v>
      </c>
      <c r="B10595" s="4" t="s">
        <v>13320</v>
      </c>
      <c r="C10595" s="5" t="str">
        <f>IFERROR(__xludf.DUMMYFUNCTION("GOOGLETRANSLATE(B10595,""en"",""zh-CN"")"),"火车经过时，两辆车停在路边。")</f>
        <v>火车经过时，两辆车停在路边。</v>
      </c>
    </row>
    <row r="10596">
      <c r="A10596" s="4" t="s">
        <v>13319</v>
      </c>
      <c r="B10596" s="6" t="s">
        <v>13321</v>
      </c>
      <c r="C10596" s="5" t="str">
        <f>IFERROR(__xludf.DUMMYFUNCTION("GOOGLETRANSLATE(B10596,""en"",""zh-CN"")"),"突然之间，角度转移，一个男孩开始滑入山坡和整个城市。")</f>
        <v>突然之间，角度转移，一个男孩开始滑入山坡和整个城市。</v>
      </c>
    </row>
    <row r="10597">
      <c r="A10597" s="4" t="s">
        <v>13322</v>
      </c>
      <c r="B10597" s="4" t="s">
        <v>13323</v>
      </c>
      <c r="C10597" s="5" t="str">
        <f>IFERROR(__xludf.DUMMYFUNCTION("GOOGLETRANSLATE(B10597,""en"",""zh-CN"")"),"一个人坐在带有手风琴的桌子上。")</f>
        <v>一个人坐在带有手风琴的桌子上。</v>
      </c>
    </row>
    <row r="10598">
      <c r="A10598" s="4" t="s">
        <v>13322</v>
      </c>
      <c r="B10598" s="4" t="s">
        <v>13324</v>
      </c>
      <c r="C10598" s="5" t="str">
        <f>IFERROR(__xludf.DUMMYFUNCTION("GOOGLETRANSLATE(B10598,""en"",""zh-CN"")"),"然后，该男子在触摸按钮并说话时拿着手风琴。")</f>
        <v>然后，该男子在触摸按钮并说话时拿着手风琴。</v>
      </c>
    </row>
    <row r="10599">
      <c r="A10599" s="4" t="s">
        <v>13325</v>
      </c>
      <c r="B10599" s="4" t="s">
        <v>13326</v>
      </c>
      <c r="C10599" s="5" t="str">
        <f>IFERROR(__xludf.DUMMYFUNCTION("GOOGLETRANSLATE(B10599,""en"",""zh-CN"")"),"一个女人在装饰蜡烛的房间里弹钢琴。")</f>
        <v>一个女人在装饰蜡烛的房间里弹钢琴。</v>
      </c>
    </row>
    <row r="10600">
      <c r="A10600" s="4" t="s">
        <v>13325</v>
      </c>
      <c r="B10600" s="4" t="s">
        <v>13327</v>
      </c>
      <c r="C10600" s="5" t="str">
        <f>IFERROR(__xludf.DUMMYFUNCTION("GOOGLETRANSLATE(B10600,""en"",""zh-CN"")"),"凯蒂·佩里（Katty Perry）和一个男人在街上行走，他们弹钢琴，然后与男人交谈。")</f>
        <v>凯蒂·佩里（Katty Perry）和一个男人在街上行走，他们弹钢琴，然后与男人交谈。</v>
      </c>
    </row>
    <row r="10601">
      <c r="A10601" s="4" t="s">
        <v>13328</v>
      </c>
      <c r="B10601" s="4" t="s">
        <v>13329</v>
      </c>
      <c r="C10601" s="5" t="str">
        <f>IFERROR(__xludf.DUMMYFUNCTION("GOOGLETRANSLATE(B10601,""en"",""zh-CN"")"),"当一个人随便漂浮在水中时，他被拉到滑雪板上。")</f>
        <v>当一个人随便漂浮在水中时，他被拉到滑雪板上。</v>
      </c>
    </row>
    <row r="10602">
      <c r="A10602" s="4" t="s">
        <v>13328</v>
      </c>
      <c r="B10602" s="4" t="s">
        <v>13330</v>
      </c>
      <c r="C10602" s="5" t="str">
        <f>IFERROR(__xludf.DUMMYFUNCTION("GOOGLETRANSLATE(B10602,""en"",""zh-CN"")"),"他以快速的速度将水滑雪板上的滑雪道和泪水泪流满面。")</f>
        <v>他以快速的速度将水滑雪板上的滑雪道和泪水泪流满面。</v>
      </c>
    </row>
    <row r="10603">
      <c r="A10603" s="4" t="s">
        <v>13328</v>
      </c>
      <c r="B10603" s="4" t="s">
        <v>13331</v>
      </c>
      <c r="C10603" s="5" t="str">
        <f>IFERROR(__xludf.DUMMYFUNCTION("GOOGLETRANSLATE(B10603,""en"",""zh-CN"")"),"在削减湍流的水滑雪之前，显示了两个男人坐在船上。")</f>
        <v>在削减湍流的水滑雪之前，显示了两个男人坐在船上。</v>
      </c>
    </row>
    <row r="10604">
      <c r="A10604" s="4" t="s">
        <v>13332</v>
      </c>
      <c r="B10604" s="4" t="s">
        <v>13333</v>
      </c>
      <c r="C10604" s="5" t="str">
        <f>IFERROR(__xludf.DUMMYFUNCTION("GOOGLETRANSLATE(B10604,""en"",""zh-CN"")"),"穿着帽子的蓝色衬衫的男人正撞到厚厚的绳索。")</f>
        <v>穿着帽子的蓝色衬衫的男人正撞到厚厚的绳索。</v>
      </c>
    </row>
    <row r="10605">
      <c r="A10605" s="4" t="s">
        <v>13332</v>
      </c>
      <c r="B10605" s="4" t="s">
        <v>13334</v>
      </c>
      <c r="C10605" s="5" t="str">
        <f>IFERROR(__xludf.DUMMYFUNCTION("GOOGLETRANSLATE(B10605,""en"",""zh-CN"")"),"该男子扎根绳子，人群鼓掌。")</f>
        <v>该男子扎根绳子，人群鼓掌。</v>
      </c>
    </row>
    <row r="10606">
      <c r="A10606" s="4" t="s">
        <v>13332</v>
      </c>
      <c r="B10606" s="6" t="s">
        <v>13335</v>
      </c>
      <c r="C10606" s="5" t="str">
        <f>IFERROR(__xludf.DUMMYFUNCTION("GOOGLETRANSLATE(B10606,""en"",""zh-CN"")"),"穿着蓝色衬衫的那个人开始在绳子上弹跳，做一些技巧，例如坐在绳子上，弹跳在他的胸部，手推车上，然后在绳子上行走。")</f>
        <v>穿着蓝色衬衫的那个人开始在绳子上弹跳，做一些技巧，例如坐在绳子上，弹跳在他的胸部，手推车上，然后在绳子上行走。</v>
      </c>
    </row>
    <row r="10607">
      <c r="A10607" s="4" t="s">
        <v>13336</v>
      </c>
      <c r="B10607" s="4" t="s">
        <v>13337</v>
      </c>
      <c r="C10607" s="5" t="str">
        <f>IFERROR(__xludf.DUMMYFUNCTION("GOOGLETRANSLATE(B10607,""en"",""zh-CN"")"),"一个年轻的女孩在蓝色垫子上做体操。")</f>
        <v>一个年轻的女孩在蓝色垫子上做体操。</v>
      </c>
    </row>
    <row r="10608">
      <c r="A10608" s="4" t="s">
        <v>13336</v>
      </c>
      <c r="B10608" s="4" t="s">
        <v>13338</v>
      </c>
      <c r="C10608" s="5" t="str">
        <f>IFERROR(__xludf.DUMMYFUNCTION("GOOGLETRANSLATE(B10608,""en"",""zh-CN"")"),"她在蹦床上进行了几次反转。")</f>
        <v>她在蹦床上进行了几次反转。</v>
      </c>
    </row>
    <row r="10609">
      <c r="A10609" s="4" t="s">
        <v>13336</v>
      </c>
      <c r="B10609" s="4" t="s">
        <v>13339</v>
      </c>
      <c r="C10609" s="5" t="str">
        <f>IFERROR(__xludf.DUMMYFUNCTION("GOOGLETRANSLATE(B10609,""en"",""zh-CN"")"),"她翻转成一堆泡沫碎片。")</f>
        <v>她翻转成一堆泡沫碎片。</v>
      </c>
    </row>
    <row r="10610">
      <c r="A10610" s="4" t="s">
        <v>13340</v>
      </c>
      <c r="B10610" s="4" t="s">
        <v>13341</v>
      </c>
      <c r="C10610" s="5" t="str">
        <f>IFERROR(__xludf.DUMMYFUNCTION("GOOGLETRANSLATE(B10610,""en"",""zh-CN"")"),"男人在舞台拍手和高五个。")</f>
        <v>男人在舞台拍手和高五个。</v>
      </c>
    </row>
    <row r="10611">
      <c r="A10611" s="4" t="s">
        <v>13340</v>
      </c>
      <c r="B10611" s="4" t="s">
        <v>13342</v>
      </c>
      <c r="C10611" s="5" t="str">
        <f>IFERROR(__xludf.DUMMYFUNCTION("GOOGLETRANSLATE(B10611,""en"",""zh-CN"")"),"这些人表演了啦啦队的例行活动。")</f>
        <v>这些人表演了啦啦队的例行活动。</v>
      </c>
    </row>
    <row r="10612">
      <c r="A10612" s="4" t="s">
        <v>13340</v>
      </c>
      <c r="B10612" s="4" t="s">
        <v>13343</v>
      </c>
      <c r="C10612" s="5" t="str">
        <f>IFERROR(__xludf.DUMMYFUNCTION("GOOGLETRANSLATE(B10612,""en"",""zh-CN"")"),"他们将五名男子空中，然后将他们翻转，然后将四名男子分组。")</f>
        <v>他们将五名男子空中，然后将他们翻转，然后将四名男子分组。</v>
      </c>
    </row>
    <row r="10613">
      <c r="A10613" s="4" t="s">
        <v>13340</v>
      </c>
      <c r="B10613" s="6" t="s">
        <v>13344</v>
      </c>
      <c r="C10613" s="5" t="str">
        <f>IFERROR(__xludf.DUMMYFUNCTION("GOOGLETRANSLATE(B10613,""en"",""zh-CN"")"),"一个人被抬高，将两个男人挥舞在他的手臂上，然后五个人像形状一样成为明星。")</f>
        <v>一个人被抬高，将两个男人挥舞在他的手臂上，然后五个人像形状一样成为明星。</v>
      </c>
    </row>
    <row r="10614">
      <c r="A10614" s="4" t="s">
        <v>13340</v>
      </c>
      <c r="B10614" s="4" t="s">
        <v>13345</v>
      </c>
      <c r="C10614" s="5" t="str">
        <f>IFERROR(__xludf.DUMMYFUNCTION("GOOGLETRANSLATE(B10614,""en"",""zh-CN"")"),"男人跪下，跳舞和摆姿势。")</f>
        <v>男人跪下，跳舞和摆姿势。</v>
      </c>
    </row>
    <row r="10615">
      <c r="A10615" s="4" t="s">
        <v>13340</v>
      </c>
      <c r="B10615" s="4" t="s">
        <v>13346</v>
      </c>
      <c r="C10615" s="5" t="str">
        <f>IFERROR(__xludf.DUMMYFUNCTION("GOOGLETRANSLATE(B10615,""en"",""zh-CN"")"),"当他们离开舞台时，这些人跳了起来。")</f>
        <v>当他们离开舞台时，这些人跳了起来。</v>
      </c>
    </row>
    <row r="10616">
      <c r="A10616" s="4" t="s">
        <v>13340</v>
      </c>
      <c r="B10616" s="4" t="s">
        <v>13347</v>
      </c>
      <c r="C10616" s="5" t="str">
        <f>IFERROR(__xludf.DUMMYFUNCTION("GOOGLETRANSLATE(B10616,""en"",""zh-CN"")"),"前排的一个人站在镜头前。")</f>
        <v>前排的一个人站在镜头前。</v>
      </c>
    </row>
    <row r="10617">
      <c r="A10617" s="4" t="s">
        <v>13348</v>
      </c>
      <c r="B10617" s="4" t="s">
        <v>13349</v>
      </c>
      <c r="C10617" s="5" t="str">
        <f>IFERROR(__xludf.DUMMYFUNCTION("GOOGLETRANSLATE(B10617,""en"",""zh-CN"")"),"看到一个男人跪在屋顶上，一边拿着一块木头。")</f>
        <v>看到一个男人跪在屋顶上，一边拿着一块木头。</v>
      </c>
    </row>
    <row r="10618">
      <c r="A10618" s="4" t="s">
        <v>13348</v>
      </c>
      <c r="B10618" s="4" t="s">
        <v>13350</v>
      </c>
      <c r="C10618" s="5" t="str">
        <f>IFERROR(__xludf.DUMMYFUNCTION("GOOGLETRANSLATE(B10618,""en"",""zh-CN"")"),"当摄像机锅周围时，他开始锤击木头。")</f>
        <v>当摄像机锅周围时，他开始锤击木头。</v>
      </c>
    </row>
    <row r="10619">
      <c r="A10619" s="4" t="s">
        <v>13348</v>
      </c>
      <c r="B10619" s="4" t="s">
        <v>13351</v>
      </c>
      <c r="C10619" s="5" t="str">
        <f>IFERROR(__xludf.DUMMYFUNCTION("GOOGLETRANSLATE(B10619,""en"",""zh-CN"")"),"他继续锤击，回头看着相机。")</f>
        <v>他继续锤击，回头看着相机。</v>
      </c>
    </row>
    <row r="10620">
      <c r="A10620" s="4" t="s">
        <v>13352</v>
      </c>
      <c r="B10620" s="4" t="s">
        <v>13353</v>
      </c>
      <c r="C10620" s="5" t="str">
        <f>IFERROR(__xludf.DUMMYFUNCTION("GOOGLETRANSLATE(B10620,""en"",""zh-CN"")"),"看到一个男人看着镜头，抓住了他的手指。")</f>
        <v>看到一个男人看着镜头，抓住了他的手指。</v>
      </c>
    </row>
    <row r="10621">
      <c r="A10621" s="4" t="s">
        <v>13352</v>
      </c>
      <c r="B10621" s="4" t="s">
        <v>13354</v>
      </c>
      <c r="C10621" s="5" t="str">
        <f>IFERROR(__xludf.DUMMYFUNCTION("GOOGLETRANSLATE(B10621,""en"",""zh-CN"")"),"这会导致一个人在摄像机观看时演奏乐器。")</f>
        <v>这会导致一个人在摄像机观看时演奏乐器。</v>
      </c>
    </row>
    <row r="10622">
      <c r="A10622" s="4" t="s">
        <v>13352</v>
      </c>
      <c r="B10622" s="4" t="s">
        <v>13355</v>
      </c>
      <c r="C10622" s="5" t="str">
        <f>IFERROR(__xludf.DUMMYFUNCTION("GOOGLETRANSLATE(B10622,""en"",""zh-CN"")"),"该男子继续在上下踢动手，回头看相机。")</f>
        <v>该男子继续在上下踢动手，回头看相机。</v>
      </c>
    </row>
    <row r="10623">
      <c r="A10623" s="4" t="s">
        <v>13356</v>
      </c>
      <c r="B10623" s="4" t="s">
        <v>13357</v>
      </c>
      <c r="C10623" s="5" t="str">
        <f>IFERROR(__xludf.DUMMYFUNCTION("GOOGLETRANSLATE(B10623,""en"",""zh-CN"")"),"一群人在海滩上玩沙排球。")</f>
        <v>一群人在海滩上玩沙排球。</v>
      </c>
    </row>
    <row r="10624">
      <c r="A10624" s="4" t="s">
        <v>13356</v>
      </c>
      <c r="B10624" s="4" t="s">
        <v>13358</v>
      </c>
      <c r="C10624" s="5" t="str">
        <f>IFERROR(__xludf.DUMMYFUNCTION("GOOGLETRANSLATE(B10624,""en"",""zh-CN"")"),"球掉下来，一个带有黄色衬衫的胖男孩拿起球，并试图为其服务。")</f>
        <v>球掉下来，一个带有黄色衬衫的胖男孩拿起球，并试图为其服务。</v>
      </c>
    </row>
    <row r="10625">
      <c r="A10625" s="4" t="s">
        <v>13356</v>
      </c>
      <c r="B10625" s="4" t="s">
        <v>13359</v>
      </c>
      <c r="C10625" s="5" t="str">
        <f>IFERROR(__xludf.DUMMYFUNCTION("GOOGLETRANSLATE(B10625,""en"",""zh-CN"")"),"但是，球没有在网上取得成功，回滚了，他去了。")</f>
        <v>但是，球没有在网上取得成功，回滚了，他去了。</v>
      </c>
    </row>
    <row r="10626">
      <c r="A10626" s="4" t="s">
        <v>13360</v>
      </c>
      <c r="B10626" s="4" t="s">
        <v>13361</v>
      </c>
      <c r="C10626" s="5" t="str">
        <f>IFERROR(__xludf.DUMMYFUNCTION("GOOGLETRANSLATE(B10626,""en"",""zh-CN"")"),"一个男人在分开的屏幕上说话和打鼓。")</f>
        <v>一个男人在分开的屏幕上说话和打鼓。</v>
      </c>
    </row>
    <row r="10627">
      <c r="A10627" s="4" t="s">
        <v>13360</v>
      </c>
      <c r="B10627" s="4" t="s">
        <v>13362</v>
      </c>
      <c r="C10627" s="5" t="str">
        <f>IFERROR(__xludf.DUMMYFUNCTION("GOOGLETRANSLATE(B10627,""en"",""zh-CN"")"),"当他解释过程时，他用手打败了曲调。")</f>
        <v>当他解释过程时，他用手打败了曲调。</v>
      </c>
    </row>
    <row r="10628">
      <c r="A10628" s="4" t="s">
        <v>13360</v>
      </c>
      <c r="B10628" s="4" t="s">
        <v>13363</v>
      </c>
      <c r="C10628" s="5" t="str">
        <f>IFERROR(__xludf.DUMMYFUNCTION("GOOGLETRANSLATE(B10628,""en"",""zh-CN"")"),"他继续讲话和演奏，直到它完全切换到他演奏鼓。")</f>
        <v>他继续讲话和演奏，直到它完全切换到他演奏鼓。</v>
      </c>
    </row>
    <row r="10629">
      <c r="A10629" s="4" t="s">
        <v>13364</v>
      </c>
      <c r="B10629" s="4" t="s">
        <v>13365</v>
      </c>
      <c r="C10629" s="5" t="str">
        <f>IFERROR(__xludf.DUMMYFUNCTION("GOOGLETRANSLATE(B10629,""en"",""zh-CN"")"),"人们坐在锻炼机器上。")</f>
        <v>人们坐在锻炼机器上。</v>
      </c>
    </row>
    <row r="10630">
      <c r="A10630" s="4" t="s">
        <v>13364</v>
      </c>
      <c r="B10630" s="4" t="s">
        <v>13366</v>
      </c>
      <c r="C10630" s="5" t="str">
        <f>IFERROR(__xludf.DUMMYFUNCTION("GOOGLETRANSLATE(B10630,""en"",""zh-CN"")"),"他们开始拉绳子锻炼。")</f>
        <v>他们开始拉绳子锻炼。</v>
      </c>
    </row>
    <row r="10631">
      <c r="A10631" s="4" t="s">
        <v>13364</v>
      </c>
      <c r="B10631" s="4" t="s">
        <v>13367</v>
      </c>
      <c r="C10631" s="5" t="str">
        <f>IFERROR(__xludf.DUMMYFUNCTION("GOOGLETRANSLATE(B10631,""en"",""zh-CN"")"),"一个女人站在锻炼机器旁边。")</f>
        <v>一个女人站在锻炼机器旁边。</v>
      </c>
    </row>
    <row r="10632">
      <c r="A10632" s="4" t="s">
        <v>13368</v>
      </c>
      <c r="B10632" s="4" t="s">
        <v>13369</v>
      </c>
      <c r="C10632" s="5" t="str">
        <f>IFERROR(__xludf.DUMMYFUNCTION("GOOGLETRANSLATE(B10632,""en"",""zh-CN"")"),"几个人在房间里锻炼。")</f>
        <v>几个人在房间里锻炼。</v>
      </c>
    </row>
    <row r="10633">
      <c r="A10633" s="4" t="s">
        <v>13368</v>
      </c>
      <c r="B10633" s="4" t="s">
        <v>13370</v>
      </c>
      <c r="C10633" s="5" t="str">
        <f>IFERROR(__xludf.DUMMYFUNCTION("GOOGLETRANSLATE(B10633,""en"",""zh-CN"")"),"节奏平台上的一步。")</f>
        <v>节奏平台上的一步。</v>
      </c>
    </row>
    <row r="10634">
      <c r="A10634" s="4" t="s">
        <v>13368</v>
      </c>
      <c r="B10634" s="4" t="s">
        <v>13371</v>
      </c>
      <c r="C10634" s="5" t="str">
        <f>IFERROR(__xludf.DUMMYFUNCTION("GOOGLETRANSLATE(B10634,""en"",""zh-CN"")"),"他们非常跳舞。")</f>
        <v>他们非常跳舞。</v>
      </c>
    </row>
    <row r="10635">
      <c r="A10635" s="4" t="s">
        <v>13368</v>
      </c>
      <c r="B10635" s="4" t="s">
        <v>13372</v>
      </c>
      <c r="C10635" s="5" t="str">
        <f>IFERROR(__xludf.DUMMYFUNCTION("GOOGLETRANSLATE(B10635,""en"",""zh-CN"")"),"他们中的一些人旋转。")</f>
        <v>他们中的一些人旋转。</v>
      </c>
    </row>
    <row r="10636">
      <c r="A10636" s="4" t="s">
        <v>13373</v>
      </c>
      <c r="B10636" s="4" t="s">
        <v>13374</v>
      </c>
      <c r="C10636" s="5" t="str">
        <f>IFERROR(__xludf.DUMMYFUNCTION("GOOGLETRANSLATE(B10636,""en"",""zh-CN"")"),"桌子上有两个男人肘部摔跤。")</f>
        <v>桌子上有两个男人肘部摔跤。</v>
      </c>
    </row>
    <row r="10637">
      <c r="A10637" s="4" t="s">
        <v>13373</v>
      </c>
      <c r="B10637" s="4" t="s">
        <v>13375</v>
      </c>
      <c r="C10637" s="5" t="str">
        <f>IFERROR(__xludf.DUMMYFUNCTION("GOOGLETRANSLATE(B10637,""en"",""zh-CN"")"),"有几个人在看他们摔跤。")</f>
        <v>有几个人在看他们摔跤。</v>
      </c>
    </row>
    <row r="10638">
      <c r="A10638" s="4" t="s">
        <v>13373</v>
      </c>
      <c r="B10638" s="4" t="s">
        <v>13376</v>
      </c>
      <c r="C10638" s="5" t="str">
        <f>IFERROR(__xludf.DUMMYFUNCTION("GOOGLETRANSLATE(B10638,""en"",""zh-CN"")"),"在另一个场景中，还有两个男人肘部摔跤。")</f>
        <v>在另一个场景中，还有两个男人肘部摔跤。</v>
      </c>
    </row>
    <row r="10639">
      <c r="A10639" s="4" t="s">
        <v>13373</v>
      </c>
      <c r="B10639" s="6" t="s">
        <v>13377</v>
      </c>
      <c r="C10639" s="5" t="str">
        <f>IFERROR(__xludf.DUMMYFUNCTION("GOOGLETRANSLATE(B10639,""en"",""zh-CN"")"),"视频中显示了一系列肘部摔跤事件，其中一个人比另一个人更强大，最终赢得了摔跤比赛。")</f>
        <v>视频中显示了一系列肘部摔跤事件，其中一个人比另一个人更强大，最终赢得了摔跤比赛。</v>
      </c>
    </row>
    <row r="10640">
      <c r="A10640" s="4" t="s">
        <v>13373</v>
      </c>
      <c r="B10640" s="6" t="s">
        <v>13378</v>
      </c>
      <c r="C10640" s="5" t="str">
        <f>IFERROR(__xludf.DUMMYFUNCTION("GOOGLETRANSLATE(B10640,""en"",""zh-CN"")"),"有些戏剧化的场景，人们正在肘部摔跤并对游戏做出反应。")</f>
        <v>有些戏剧化的场景，人们正在肘部摔跤并对游戏做出反应。</v>
      </c>
    </row>
    <row r="10641">
      <c r="A10641" s="4" t="s">
        <v>13373</v>
      </c>
      <c r="B10641" s="4" t="s">
        <v>13379</v>
      </c>
      <c r="C10641" s="5" t="str">
        <f>IFERROR(__xludf.DUMMYFUNCTION("GOOGLETRANSLATE(B10641,""en"",""zh-CN"")"),"还有一些裁判在肘部摔跤比赛中充当主持人。")</f>
        <v>还有一些裁判在肘部摔跤比赛中充当主持人。</v>
      </c>
    </row>
    <row r="10642">
      <c r="A10642" s="4" t="s">
        <v>13380</v>
      </c>
      <c r="B10642" s="4" t="s">
        <v>13381</v>
      </c>
      <c r="C10642" s="5" t="str">
        <f>IFERROR(__xludf.DUMMYFUNCTION("GOOGLETRANSLATE(B10642,""en"",""zh-CN"")"),"一个黑发的女人坐在一个房间里，伸出左臂，看着她的腋下。")</f>
        <v>一个黑发的女人坐在一个房间里，伸出左臂，看着她的腋下。</v>
      </c>
    </row>
    <row r="10643">
      <c r="A10643" s="4" t="s">
        <v>13380</v>
      </c>
      <c r="B10643" s="6" t="s">
        <v>13382</v>
      </c>
      <c r="C10643" s="5" t="str">
        <f>IFERROR(__xludf.DUMMYFUNCTION("GOOGLETRANSLATE(B10643,""en"",""zh-CN"")"),"那个女人把她的手臂放下来，说话，一只黑猫在她仍在说话时爬上家具。")</f>
        <v>那个女人把她的手臂放下来，说话，一只黑猫在她仍在说话时爬上家具。</v>
      </c>
    </row>
    <row r="10644">
      <c r="A10644" s="4" t="s">
        <v>13380</v>
      </c>
      <c r="B10644" s="6" t="s">
        <v>13383</v>
      </c>
      <c r="C10644" s="5" t="str">
        <f>IFERROR(__xludf.DUMMYFUNCTION("GOOGLETRANSLATE(B10644,""en"",""zh-CN"")"),"该名女子现在正好站在她的淋浴中，她在墙上支撑的右腿上涂了很多剃须膏。")</f>
        <v>该名女子现在正好站在她的淋浴中，她在墙上支撑的右腿上涂了很多剃须膏。</v>
      </c>
    </row>
    <row r="10645">
      <c r="A10645" s="4" t="s">
        <v>13380</v>
      </c>
      <c r="B10645" s="6" t="s">
        <v>13384</v>
      </c>
      <c r="C10645" s="5" t="str">
        <f>IFERROR(__xludf.DUMMYFUNCTION("GOOGLETRANSLATE(B10645,""en"",""zh-CN"")"),"这个女人现在正直，左腋下和跌倒了很多剃须霜，然后她到处都是剃须奶油，然后拍了拍手。")</f>
        <v>这个女人现在正直，左腋下和跌倒了很多剃须霜，然后她到处都是剃须奶油，然后拍了拍手。</v>
      </c>
    </row>
    <row r="10646">
      <c r="A10646" s="4" t="s">
        <v>13380</v>
      </c>
      <c r="B10646" s="6" t="s">
        <v>13385</v>
      </c>
      <c r="C10646" s="5" t="str">
        <f>IFERROR(__xludf.DUMMYFUNCTION("GOOGLETRANSLATE(B10646,""en"",""zh-CN"")"),"那个女人回到房间里说话，然后带着剃刀剃光，剃了腿。")</f>
        <v>那个女人回到房间里说话，然后带着剃刀剃光，剃了腿。</v>
      </c>
    </row>
    <row r="10647">
      <c r="A10647" s="4" t="s">
        <v>13380</v>
      </c>
      <c r="B10647" s="6" t="s">
        <v>13386</v>
      </c>
      <c r="C10647" s="5" t="str">
        <f>IFERROR(__xludf.DUMMYFUNCTION("GOOGLETRANSLATE(B10647,""en"",""zh-CN"")"),"那个女人再次在房间里说话，她的黑猫向她走去，女人继续说话，并以她小心翼翼地离开浴缸的剪辑而结束。")</f>
        <v>那个女人再次在房间里说话，她的黑猫向她走去，女人继续说话，并以她小心翼翼地离开浴缸的剪辑而结束。</v>
      </c>
    </row>
    <row r="10648">
      <c r="A10648" s="4" t="s">
        <v>13387</v>
      </c>
      <c r="B10648" s="6" t="s">
        <v>13388</v>
      </c>
      <c r="C10648" s="5" t="str">
        <f>IFERROR(__xludf.DUMMYFUNCTION("GOOGLETRANSLATE(B10648,""en"",""zh-CN"")"),"一个穿着红色衬衫和白色短裤的女孩站在她的水槽里，手里拿着牙刷。")</f>
        <v>一个穿着红色衬衫和白色短裤的女孩站在她的水槽里，手里拿着牙刷。</v>
      </c>
    </row>
    <row r="10649">
      <c r="A10649" s="4" t="s">
        <v>13387</v>
      </c>
      <c r="B10649" s="4" t="s">
        <v>13389</v>
      </c>
      <c r="C10649" s="5" t="str">
        <f>IFERROR(__xludf.DUMMYFUNCTION("GOOGLETRANSLATE(B10649,""en"",""zh-CN"")"),"她拿了一些牙膏，将其放在刷子上，开始刷牙。")</f>
        <v>她拿了一些牙膏，将其放在刷子上，开始刷牙。</v>
      </c>
    </row>
    <row r="10650">
      <c r="A10650" s="4" t="s">
        <v>13387</v>
      </c>
      <c r="B10650" s="4" t="s">
        <v>13390</v>
      </c>
      <c r="C10650" s="5" t="str">
        <f>IFERROR(__xludf.DUMMYFUNCTION("GOOGLETRANSLATE(B10650,""en"",""zh-CN"")"),"当她刷牙并扭动身体时，她开始跳舞。")</f>
        <v>当她刷牙并扭动身体时，她开始跳舞。</v>
      </c>
    </row>
    <row r="10651">
      <c r="A10651" s="4" t="s">
        <v>13387</v>
      </c>
      <c r="B10651" s="4" t="s">
        <v>13391</v>
      </c>
      <c r="C10651" s="5" t="str">
        <f>IFERROR(__xludf.DUMMYFUNCTION("GOOGLETRANSLATE(B10651,""en"",""zh-CN"")"),"她继续刷牙，跳舞更快，笑。")</f>
        <v>她继续刷牙，跳舞更快，笑。</v>
      </c>
    </row>
    <row r="10652">
      <c r="A10652" s="4" t="s">
        <v>13387</v>
      </c>
      <c r="B10652" s="6" t="s">
        <v>13392</v>
      </c>
      <c r="C10652" s="5" t="str">
        <f>IFERROR(__xludf.DUMMYFUNCTION("GOOGLETRANSLATE(B10652,""en"",""zh-CN"")"),"然后她意识到自己的嘴里充满了牙膏泡沫，它正在出来，她在水槽里吐出来。")</f>
        <v>然后她意识到自己的嘴里充满了牙膏泡沫，它正在出来，她在水槽里吐出来。</v>
      </c>
    </row>
    <row r="10653">
      <c r="A10653" s="4" t="s">
        <v>13393</v>
      </c>
      <c r="B10653" s="4" t="s">
        <v>13394</v>
      </c>
      <c r="C10653" s="5" t="str">
        <f>IFERROR(__xludf.DUMMYFUNCTION("GOOGLETRANSLATE(B10653,""en"",""zh-CN"")"),"使用吹风机显示出一个红色和黑发的年轻女子。")</f>
        <v>使用吹风机显示出一个红色和黑发的年轻女子。</v>
      </c>
    </row>
    <row r="10654">
      <c r="A10654" s="4" t="s">
        <v>13393</v>
      </c>
      <c r="B10654" s="4" t="s">
        <v>13395</v>
      </c>
      <c r="C10654" s="5" t="str">
        <f>IFERROR(__xludf.DUMMYFUNCTION("GOOGLETRANSLATE(B10654,""en"",""zh-CN"")"),"她用大的圆形刷在干燥的情况下将头发伸直。")</f>
        <v>她用大的圆形刷在干燥的情况下将头发伸直。</v>
      </c>
    </row>
    <row r="10655">
      <c r="A10655" s="4" t="s">
        <v>13393</v>
      </c>
      <c r="B10655" s="4" t="s">
        <v>13396</v>
      </c>
      <c r="C10655" s="5" t="str">
        <f>IFERROR(__xludf.DUMMYFUNCTION("GOOGLETRANSLATE(B10655,""en"",""zh-CN"")"),"完成后，她将手从头发上握住，然后将其刷到位。")</f>
        <v>完成后，她将手从头发上握住，然后将其刷到位。</v>
      </c>
    </row>
    <row r="10656">
      <c r="A10656" s="4" t="s">
        <v>13397</v>
      </c>
      <c r="B10656" s="4" t="s">
        <v>13398</v>
      </c>
      <c r="C10656" s="5" t="str">
        <f>IFERROR(__xludf.DUMMYFUNCTION("GOOGLETRANSLATE(B10656,""en"",""zh-CN"")"),"马的照片显示为“马术生活”徽标。")</f>
        <v>马的照片显示为“马术生活”徽标。</v>
      </c>
    </row>
    <row r="10657">
      <c r="A10657" s="4" t="s">
        <v>13397</v>
      </c>
      <c r="B10657" s="4" t="s">
        <v>13399</v>
      </c>
      <c r="C10657" s="5" t="str">
        <f>IFERROR(__xludf.DUMMYFUNCTION("GOOGLETRANSLATE(B10657,""en"",""zh-CN"")"),"一个女人用棕色马站在外面，戴上头盔。")</f>
        <v>一个女人用棕色马站在外面，戴上头盔。</v>
      </c>
    </row>
    <row r="10658">
      <c r="A10658" s="4" t="s">
        <v>13397</v>
      </c>
      <c r="B10658" s="4" t="s">
        <v>13400</v>
      </c>
      <c r="C10658" s="5" t="str">
        <f>IFERROR(__xludf.DUMMYFUNCTION("GOOGLETRANSLATE(B10658,""en"",""zh-CN"")"),"那个女人与镜头说话并骑马。")</f>
        <v>那个女人与镜头说话并骑马。</v>
      </c>
    </row>
    <row r="10659">
      <c r="A10659" s="4" t="s">
        <v>13397</v>
      </c>
      <c r="B10659" s="4" t="s">
        <v>13401</v>
      </c>
      <c r="C10659" s="5" t="str">
        <f>IFERROR(__xludf.DUMMYFUNCTION("GOOGLETRANSLATE(B10659,""en"",""zh-CN"")"),"她继续与镜头说话，然后绕着马行走。")</f>
        <v>她继续与镜头说话，然后绕着马行走。</v>
      </c>
    </row>
    <row r="10660">
      <c r="A10660" s="4" t="s">
        <v>13402</v>
      </c>
      <c r="B10660" s="4" t="s">
        <v>13403</v>
      </c>
      <c r="C10660" s="5" t="str">
        <f>IFERROR(__xludf.DUMMYFUNCTION("GOOGLETRANSLATE(B10660,""en"",""zh-CN"")"),"看到一个人沿着一条漫长的道路骑自行车，然后在远处有一条大骆驼。")</f>
        <v>看到一个人沿着一条漫长的道路骑自行车，然后在远处有一条大骆驼。</v>
      </c>
    </row>
    <row r="10661">
      <c r="A10661" s="4" t="s">
        <v>13402</v>
      </c>
      <c r="B10661" s="6" t="s">
        <v>13404</v>
      </c>
      <c r="C10661" s="5" t="str">
        <f>IFERROR(__xludf.DUMMYFUNCTION("GOOGLETRANSLATE(B10661,""en"",""zh-CN"")"),"动物移动越来越近，而相机则放大了三个人，骑着骆驼顶部并经过更多的骑行骆驼。")</f>
        <v>动物移动越来越近，而相机则放大了三个人，骑着骆驼顶部并经过更多的骑行骆驼。</v>
      </c>
    </row>
    <row r="10662">
      <c r="A10662" s="4" t="s">
        <v>13405</v>
      </c>
      <c r="B10662" s="4" t="s">
        <v>13406</v>
      </c>
      <c r="C10662" s="5" t="str">
        <f>IFERROR(__xludf.DUMMYFUNCTION("GOOGLETRANSLATE(B10662,""en"",""zh-CN"")"),"看到一个女人在摄像机上讲话，该摄像机会导致一个男人与一群人说话。")</f>
        <v>看到一个女人在摄像机上讲话，该摄像机会导致一个男人与一群人说话。</v>
      </c>
    </row>
    <row r="10663">
      <c r="A10663" s="4" t="s">
        <v>13405</v>
      </c>
      <c r="B10663" s="4" t="s">
        <v>13407</v>
      </c>
      <c r="C10663" s="5" t="str">
        <f>IFERROR(__xludf.DUMMYFUNCTION("GOOGLETRANSLATE(B10663,""en"",""zh-CN"")"),"另一个男人对摄像机说话，而演示者则指向自行车并脱下车轮。")</f>
        <v>另一个男人对摄像机说话，而演示者则指向自行车并脱下车轮。</v>
      </c>
    </row>
    <row r="10664">
      <c r="A10664" s="4" t="s">
        <v>13405</v>
      </c>
      <c r="B10664" s="6" t="s">
        <v>13408</v>
      </c>
      <c r="C10664" s="5" t="str">
        <f>IFERROR(__xludf.DUMMYFUNCTION("GOOGLETRANSLATE(B10664,""en"",""zh-CN"")"),"当男人演示如何将空气放在轮胎上并拆开时，越来越多的人与相机说话。")</f>
        <v>当男人演示如何将空气放在轮胎上并拆开时，越来越多的人与相机说话。</v>
      </c>
    </row>
    <row r="10665">
      <c r="A10665" s="4" t="s">
        <v>13409</v>
      </c>
      <c r="B10665" s="4" t="s">
        <v>13410</v>
      </c>
      <c r="C10665" s="5" t="str">
        <f>IFERROR(__xludf.DUMMYFUNCTION("GOOGLETRANSLATE(B10665,""en"",""zh-CN"")"),"穿着粉红色衬衫的女人站在外面。")</f>
        <v>穿着粉红色衬衫的女人站在外面。</v>
      </c>
    </row>
    <row r="10666">
      <c r="A10666" s="4" t="s">
        <v>13409</v>
      </c>
      <c r="B10666" s="4" t="s">
        <v>13411</v>
      </c>
      <c r="C10666" s="5" t="str">
        <f>IFERROR(__xludf.DUMMYFUNCTION("GOOGLETRANSLATE(B10666,""en"",""zh-CN"")"),"一只棕色的狗正在玩飞盘。")</f>
        <v>一只棕色的狗正在玩飞盘。</v>
      </c>
    </row>
    <row r="10667">
      <c r="A10667" s="4" t="s">
        <v>13409</v>
      </c>
      <c r="B10667" s="4" t="s">
        <v>13412</v>
      </c>
      <c r="C10667" s="5" t="str">
        <f>IFERROR(__xludf.DUMMYFUNCTION("GOOGLETRANSLATE(B10667,""en"",""zh-CN"")"),"那只狗站在女人的背上。")</f>
        <v>那只狗站在女人的背上。</v>
      </c>
    </row>
    <row r="10668">
      <c r="A10668" s="4" t="s">
        <v>13413</v>
      </c>
      <c r="B10668" s="4" t="s">
        <v>13414</v>
      </c>
      <c r="C10668" s="5" t="str">
        <f>IFERROR(__xludf.DUMMYFUNCTION("GOOGLETRANSLATE(B10668,""en"",""zh-CN"")"),"体育场显示了很多观众中的许多人坐在看台上观看CRIQUET游戏。")</f>
        <v>体育场显示了很多观众中的许多人坐在看台上观看CRIQUET游戏。</v>
      </c>
    </row>
    <row r="10669">
      <c r="A10669" s="4" t="s">
        <v>13413</v>
      </c>
      <c r="B10669" s="4" t="s">
        <v>13415</v>
      </c>
      <c r="C10669" s="5" t="str">
        <f>IFERROR(__xludf.DUMMYFUNCTION("GOOGLETRANSLATE(B10669,""en"",""zh-CN"")"),"男人正在野外接受采访。")</f>
        <v>男人正在野外接受采访。</v>
      </c>
    </row>
    <row r="10670">
      <c r="A10670" s="4" t="s">
        <v>13416</v>
      </c>
      <c r="B10670" s="4" t="s">
        <v>13417</v>
      </c>
      <c r="C10670" s="5" t="str">
        <f>IFERROR(__xludf.DUMMYFUNCTION("GOOGLETRANSLATE(B10670,""en"",""zh-CN"")"),"一个男人在玩具机上站在玩具机上，然后抬头奔跑，跳过柜台。")</f>
        <v>一个男人在玩具机上站在玩具机上，然后抬头奔跑，跳过柜台。</v>
      </c>
    </row>
    <row r="10671">
      <c r="A10671" s="4" t="s">
        <v>13416</v>
      </c>
      <c r="B10671" s="4" t="s">
        <v>13418</v>
      </c>
      <c r="C10671" s="5" t="str">
        <f>IFERROR(__xludf.DUMMYFUNCTION("GOOGLETRANSLATE(B10671,""en"",""zh-CN"")"),"他抓住了保龄球，开始打保龄球。")</f>
        <v>他抓住了保龄球，开始打保龄球。</v>
      </c>
    </row>
    <row r="10672">
      <c r="A10672" s="4" t="s">
        <v>13416</v>
      </c>
      <c r="B10672" s="4" t="s">
        <v>13419</v>
      </c>
      <c r="C10672" s="5" t="str">
        <f>IFERROR(__xludf.DUMMYFUNCTION("GOOGLETRANSLATE(B10672,""en"",""zh-CN"")"),"这些人在打碗时会进行反弹并滑动，有时会互相滚动。")</f>
        <v>这些人在打碗时会进行反弹并滑动，有时会互相滚动。</v>
      </c>
    </row>
    <row r="10673">
      <c r="A10673" s="4" t="s">
        <v>13416</v>
      </c>
      <c r="B10673" s="4" t="s">
        <v>13420</v>
      </c>
      <c r="C10673" s="5" t="str">
        <f>IFERROR(__xludf.DUMMYFUNCTION("GOOGLETRANSLATE(B10673,""en"",""zh-CN"")"),"一个在罢工之前蒙住眼睛，然后另一个手工坐在设备上。")</f>
        <v>一个在罢工之前蒙住眼睛，然后另一个手工坐在设备上。</v>
      </c>
    </row>
    <row r="10674">
      <c r="A10674" s="4" t="s">
        <v>13421</v>
      </c>
      <c r="B10674" s="4" t="s">
        <v>13422</v>
      </c>
      <c r="C10674" s="5" t="str">
        <f>IFERROR(__xludf.DUMMYFUNCTION("GOOGLETRANSLATE(B10674,""en"",""zh-CN"")"),"这些机器人外观的Pogo棒上的男人正在球场内打篮球。")</f>
        <v>这些机器人外观的Pogo棒上的男人正在球场内打篮球。</v>
      </c>
    </row>
    <row r="10675">
      <c r="A10675" s="4" t="s">
        <v>13421</v>
      </c>
      <c r="B10675" s="4" t="s">
        <v>13423</v>
      </c>
      <c r="C10675" s="5" t="str">
        <f>IFERROR(__xludf.DUMMYFUNCTION("GOOGLETRANSLATE(B10675,""en"",""zh-CN"")"),"他们在Pogo棒上行走，也跳了一点。")</f>
        <v>他们在Pogo棒上行走，也跳了一点。</v>
      </c>
    </row>
    <row r="10676">
      <c r="A10676" s="4" t="s">
        <v>13421</v>
      </c>
      <c r="B10676" s="4" t="s">
        <v>13424</v>
      </c>
      <c r="C10676" s="5" t="str">
        <f>IFERROR(__xludf.DUMMYFUNCTION("GOOGLETRANSLATE(B10676,""en"",""zh-CN"")"),"他们试图将球带到箍上，并继续在球场上弹跳。")</f>
        <v>他们试图将球带到箍上，并继续在球场上弹跳。</v>
      </c>
    </row>
    <row r="10677">
      <c r="A10677" s="4" t="s">
        <v>13421</v>
      </c>
      <c r="B10677" s="4" t="s">
        <v>13425</v>
      </c>
      <c r="C10677" s="5" t="str">
        <f>IFERROR(__xludf.DUMMYFUNCTION("GOOGLETRANSLATE(B10677,""en"",""zh-CN"")"),"一个绿色的男人在空中翻转，将球射入箍。")</f>
        <v>一个绿色的男人在空中翻转，将球射入箍。</v>
      </c>
    </row>
    <row r="10678">
      <c r="A10678" s="4" t="s">
        <v>13426</v>
      </c>
      <c r="B10678" s="6" t="s">
        <v>13427</v>
      </c>
      <c r="C10678" s="5" t="str">
        <f>IFERROR(__xludf.DUMMYFUNCTION("GOOGLETRANSLATE(B10678,""en"",""zh-CN"")"),"看到一只狗站在浴缸里的浴缸里，一个女人走进框架，抓住狗。")</f>
        <v>看到一只狗站在浴缸里的浴缸里，一个女人走进框架，抓住狗。</v>
      </c>
    </row>
    <row r="10679">
      <c r="A10679" s="4" t="s">
        <v>13426</v>
      </c>
      <c r="B10679" s="6" t="s">
        <v>13428</v>
      </c>
      <c r="C10679" s="5" t="str">
        <f>IFERROR(__xludf.DUMMYFUNCTION("GOOGLETRANSLATE(B10679,""en"",""zh-CN"")"),"她举起瓶子，将其喷在狗周围，在与相机交谈时将其擦成皮草。")</f>
        <v>她举起瓶子，将其喷在狗周围，在与相机交谈时将其擦成皮草。</v>
      </c>
    </row>
    <row r="10680">
      <c r="A10680" s="4" t="s">
        <v>13426</v>
      </c>
      <c r="B10680" s="4" t="s">
        <v>13429</v>
      </c>
      <c r="C10680" s="5" t="str">
        <f>IFERROR(__xludf.DUMMYFUNCTION("GOOGLETRANSLATE(B10680,""en"",""zh-CN"")"),"然后，她拿起软管，用水喷洒狗，然后回望相机。")</f>
        <v>然后，她拿起软管，用水喷洒狗，然后回望相机。</v>
      </c>
    </row>
    <row r="10681">
      <c r="A10681" s="4" t="s">
        <v>13430</v>
      </c>
      <c r="B10681" s="4" t="s">
        <v>13431</v>
      </c>
      <c r="C10681" s="5" t="str">
        <f>IFERROR(__xludf.DUMMYFUNCTION("GOOGLETRANSLATE(B10681,""en"",""zh-CN"")"),"三个十几岁的男孩将滑板带上一条铺好的公园小径。")</f>
        <v>三个十几岁的男孩将滑板带上一条铺好的公园小径。</v>
      </c>
    </row>
    <row r="10682">
      <c r="A10682" s="4" t="s">
        <v>13430</v>
      </c>
      <c r="B10682" s="6" t="s">
        <v>13432</v>
      </c>
      <c r="C10682" s="5" t="str">
        <f>IFERROR(__xludf.DUMMYFUNCTION("GOOGLETRANSLATE(B10682,""en"",""zh-CN"")"),"安装在滑板上的相机捕获了年轻滑冰者朝不同方向巡游并执行不同技巧的场景。")</f>
        <v>安装在滑板上的相机捕获了年轻滑冰者朝不同方向巡游并执行不同技巧的场景。</v>
      </c>
    </row>
    <row r="10683">
      <c r="A10683" s="4" t="s">
        <v>13430</v>
      </c>
      <c r="B10683" s="4" t="s">
        <v>13433</v>
      </c>
      <c r="C10683" s="5" t="str">
        <f>IFERROR(__xludf.DUMMYFUNCTION("GOOGLETRANSLATE(B10683,""en"",""zh-CN"")"),"一条绿色连帽衫的滑板板在狭窄的泥土小径上衬有树木。")</f>
        <v>一条绿色连帽衫的滑板板在狭窄的泥土小径上衬有树木。</v>
      </c>
    </row>
    <row r="10684">
      <c r="A10684" s="4" t="s">
        <v>13434</v>
      </c>
      <c r="B10684" s="4" t="s">
        <v>13435</v>
      </c>
      <c r="C10684" s="5" t="str">
        <f>IFERROR(__xludf.DUMMYFUNCTION("GOOGLETRANSLATE(B10684,""en"",""zh-CN"")"),"显示了一秒钟的天气图，然后有两个新闻女性坐在桌子上。")</f>
        <v>显示了一秒钟的天气图，然后有两个新闻女性坐在桌子上。</v>
      </c>
    </row>
    <row r="10685">
      <c r="A10685" s="4" t="s">
        <v>13434</v>
      </c>
      <c r="B10685" s="4" t="s">
        <v>13436</v>
      </c>
      <c r="C10685" s="5" t="str">
        <f>IFERROR(__xludf.DUMMYFUNCTION("GOOGLETRANSLATE(B10685,""en"",""zh-CN"")"),"有几个人被展示为比赛的热身。")</f>
        <v>有几个人被展示为比赛的热身。</v>
      </c>
    </row>
    <row r="10686">
      <c r="A10686" s="4" t="s">
        <v>13434</v>
      </c>
      <c r="B10686" s="4" t="s">
        <v>13437</v>
      </c>
      <c r="C10686" s="5" t="str">
        <f>IFERROR(__xludf.DUMMYFUNCTION("GOOGLETRANSLATE(B10686,""en"",""zh-CN"")"),"开枪，比赛开始。")</f>
        <v>开枪，比赛开始。</v>
      </c>
    </row>
    <row r="10687">
      <c r="A10687" s="4" t="s">
        <v>13434</v>
      </c>
      <c r="B10687" s="4" t="s">
        <v>13438</v>
      </c>
      <c r="C10687" s="5" t="str">
        <f>IFERROR(__xludf.DUMMYFUNCTION("GOOGLETRANSLATE(B10687,""en"",""zh-CN"")"),"我们回到新闻室里的女人说话。")</f>
        <v>我们回到新闻室里的女人说话。</v>
      </c>
    </row>
    <row r="10688">
      <c r="A10688" s="4" t="s">
        <v>13439</v>
      </c>
      <c r="B10688" s="4" t="s">
        <v>13440</v>
      </c>
      <c r="C10688" s="5" t="str">
        <f>IFERROR(__xludf.DUMMYFUNCTION("GOOGLETRANSLATE(B10688,""en"",""zh-CN"")"),"一个女人穿着上课的女人在镜头前舞动。")</f>
        <v>一个女人穿着上课的女人在镜头前舞动。</v>
      </c>
    </row>
    <row r="10689">
      <c r="A10689" s="4" t="s">
        <v>13439</v>
      </c>
      <c r="B10689" s="4" t="s">
        <v>13441</v>
      </c>
      <c r="C10689" s="5" t="str">
        <f>IFERROR(__xludf.DUMMYFUNCTION("GOOGLETRANSLATE(B10689,""en"",""zh-CN"")"),"那个女人在举起手臂时转过身。")</f>
        <v>那个女人在举起手臂时转过身。</v>
      </c>
    </row>
    <row r="10690">
      <c r="A10690" s="4" t="s">
        <v>13439</v>
      </c>
      <c r="B10690" s="4" t="s">
        <v>13442</v>
      </c>
      <c r="C10690" s="5" t="str">
        <f>IFERROR(__xludf.DUMMYFUNCTION("GOOGLETRANSLATE(B10690,""en"",""zh-CN"")"),"女人再次转身。")</f>
        <v>女人再次转身。</v>
      </c>
    </row>
    <row r="10691">
      <c r="A10691" s="4" t="s">
        <v>13443</v>
      </c>
      <c r="B10691" s="4" t="s">
        <v>1487</v>
      </c>
      <c r="C10691" s="5" t="str">
        <f>IFERROR(__xludf.DUMMYFUNCTION("GOOGLETRANSLATE(B10691,""en"",""zh-CN"")"),"我们看到一个开放标题屏幕。")</f>
        <v>我们看到一个开放标题屏幕。</v>
      </c>
    </row>
    <row r="10692">
      <c r="A10692" s="4" t="s">
        <v>13443</v>
      </c>
      <c r="B10692" s="4" t="s">
        <v>13444</v>
      </c>
      <c r="C10692" s="5" t="str">
        <f>IFERROR(__xludf.DUMMYFUNCTION("GOOGLETRANSLATE(B10692,""en"",""zh-CN"")"),"我们在煎蛋棒中看到一位厨师同时制作多个煎蛋卷。")</f>
        <v>我们在煎蛋棒中看到一位厨师同时制作多个煎蛋卷。</v>
      </c>
    </row>
    <row r="10693">
      <c r="A10693" s="4" t="s">
        <v>13443</v>
      </c>
      <c r="B10693" s="4" t="s">
        <v>13445</v>
      </c>
      <c r="C10693" s="5" t="str">
        <f>IFERROR(__xludf.DUMMYFUNCTION("GOOGLETRANSLATE(B10693,""en"",""zh-CN"")"),"我们看到那个人将更多的鸡蛋倒入锅中。")</f>
        <v>我们看到那个人将更多的鸡蛋倒入锅中。</v>
      </c>
    </row>
    <row r="10694">
      <c r="A10694" s="4" t="s">
        <v>13443</v>
      </c>
      <c r="B10694" s="4" t="s">
        <v>13446</v>
      </c>
      <c r="C10694" s="5" t="str">
        <f>IFERROR(__xludf.DUMMYFUNCTION("GOOGLETRANSLATE(B10694,""en"",""zh-CN"")"),"该男子在煎蛋卷上撒了调味料。")</f>
        <v>该男子在煎蛋卷上撒了调味料。</v>
      </c>
    </row>
    <row r="10695">
      <c r="A10695" s="4" t="s">
        <v>13443</v>
      </c>
      <c r="B10695" s="4" t="s">
        <v>13447</v>
      </c>
      <c r="C10695" s="5" t="str">
        <f>IFERROR(__xludf.DUMMYFUNCTION("GOOGLETRANSLATE(B10695,""en"",""zh-CN"")"),"该男子将煎蛋卷倒在盘子上。")</f>
        <v>该男子将煎蛋卷倒在盘子上。</v>
      </c>
    </row>
    <row r="10696">
      <c r="A10696" s="4" t="s">
        <v>13443</v>
      </c>
      <c r="B10696" s="4" t="s">
        <v>4452</v>
      </c>
      <c r="C10696" s="5" t="str">
        <f>IFERROR(__xludf.DUMMYFUNCTION("GOOGLETRANSLATE(B10696,""en"",""zh-CN"")"),"然后，我们看到结尾屏幕。")</f>
        <v>然后，我们看到结尾屏幕。</v>
      </c>
    </row>
    <row r="10697">
      <c r="A10697" s="4" t="s">
        <v>13443</v>
      </c>
      <c r="B10697" s="4" t="s">
        <v>13448</v>
      </c>
      <c r="C10697" s="5" t="str">
        <f>IFERROR(__xludf.DUMMYFUNCTION("GOOGLETRANSLATE(B10697,""en"",""zh-CN"")"),"我们看到厨师的照片。")</f>
        <v>我们看到厨师的照片。</v>
      </c>
    </row>
    <row r="10698">
      <c r="A10698" s="4" t="s">
        <v>13449</v>
      </c>
      <c r="B10698" s="4" t="s">
        <v>13450</v>
      </c>
      <c r="C10698" s="5" t="str">
        <f>IFERROR(__xludf.DUMMYFUNCTION("GOOGLETRANSLATE(B10698,""en"",""zh-CN"")"),"一个人站在网状区域后面。")</f>
        <v>一个人站在网状区域后面。</v>
      </c>
    </row>
    <row r="10699">
      <c r="A10699" s="4" t="s">
        <v>13449</v>
      </c>
      <c r="B10699" s="4" t="s">
        <v>13451</v>
      </c>
      <c r="C10699" s="5" t="str">
        <f>IFERROR(__xludf.DUMMYFUNCTION("GOOGLETRANSLATE(B10699,""en"",""zh-CN"")"),"个人开始摆动锤子。")</f>
        <v>个人开始摆动锤子。</v>
      </c>
    </row>
    <row r="10700">
      <c r="A10700" s="4" t="s">
        <v>13449</v>
      </c>
      <c r="B10700" s="4" t="s">
        <v>13452</v>
      </c>
      <c r="C10700" s="5" t="str">
        <f>IFERROR(__xludf.DUMMYFUNCTION("GOOGLETRANSLATE(B10700,""en"",""zh-CN"")"),"个人释放体重。")</f>
        <v>个人释放体重。</v>
      </c>
    </row>
    <row r="10701">
      <c r="A10701" s="4" t="s">
        <v>13453</v>
      </c>
      <c r="B10701" s="4" t="s">
        <v>13454</v>
      </c>
      <c r="C10701" s="5" t="str">
        <f>IFERROR(__xludf.DUMMYFUNCTION("GOOGLETRANSLATE(B10701,""en"",""zh-CN"")"),"一个男人在房间里跳舞。")</f>
        <v>一个男人在房间里跳舞。</v>
      </c>
    </row>
    <row r="10702">
      <c r="A10702" s="4" t="s">
        <v>13453</v>
      </c>
      <c r="B10702" s="4" t="s">
        <v>13455</v>
      </c>
      <c r="C10702" s="5" t="str">
        <f>IFERROR(__xludf.DUMMYFUNCTION("GOOGLETRANSLATE(B10702,""en"",""zh-CN"")"),"他在一个黑色的小脚凳上上下走动。")</f>
        <v>他在一个黑色的小脚凳上上下走动。</v>
      </c>
    </row>
    <row r="10703">
      <c r="A10703" s="4" t="s">
        <v>13453</v>
      </c>
      <c r="B10703" s="4" t="s">
        <v>13456</v>
      </c>
      <c r="C10703" s="5" t="str">
        <f>IFERROR(__xludf.DUMMYFUNCTION("GOOGLETRANSLATE(B10703,""en"",""zh-CN"")"),"然后，他和一个女人在房间里跳舞。")</f>
        <v>然后，他和一个女人在房间里跳舞。</v>
      </c>
    </row>
    <row r="10704">
      <c r="A10704" s="4" t="s">
        <v>13457</v>
      </c>
      <c r="B10704" s="4" t="s">
        <v>13458</v>
      </c>
      <c r="C10704" s="5" t="str">
        <f>IFERROR(__xludf.DUMMYFUNCTION("GOOGLETRANSLATE(B10704,""en"",""zh-CN"")"),"男子正站在一条赛道上，准备在体育场中部的相似之处制作体操。")</f>
        <v>男子正站在一条赛道上，准备在体育场中部的相似之处制作体操。</v>
      </c>
    </row>
    <row r="10705">
      <c r="A10705" s="4" t="s">
        <v>13457</v>
      </c>
      <c r="B10705" s="4" t="s">
        <v>13459</v>
      </c>
      <c r="C10705" s="5" t="str">
        <f>IFERROR(__xludf.DUMMYFUNCTION("GOOGLETRANSLATE(B10705,""en"",""zh-CN"")"),"很多人坐在看台上或行走。")</f>
        <v>很多人坐在看台上或行走。</v>
      </c>
    </row>
    <row r="10706">
      <c r="A10706" s="4" t="s">
        <v>13457</v>
      </c>
      <c r="B10706" s="4" t="s">
        <v>13460</v>
      </c>
      <c r="C10706" s="5" t="str">
        <f>IFERROR(__xludf.DUMMYFUNCTION("GOOGLETRANSLATE(B10706,""en"",""zh-CN"")"),"该人降落在地板上，打招呼和人们鼓掌。")</f>
        <v>该人降落在地板上，打招呼和人们鼓掌。</v>
      </c>
    </row>
    <row r="10707">
      <c r="A10707" s="4" t="s">
        <v>13461</v>
      </c>
      <c r="B10707" s="4" t="s">
        <v>13462</v>
      </c>
      <c r="C10707" s="5" t="str">
        <f>IFERROR(__xludf.DUMMYFUNCTION("GOOGLETRANSLATE(B10707,""en"",""zh-CN"")"),"一辆绿色赛车进入进站。")</f>
        <v>一辆绿色赛车进入进站。</v>
      </c>
    </row>
    <row r="10708">
      <c r="A10708" s="4" t="s">
        <v>13461</v>
      </c>
      <c r="B10708" s="4" t="s">
        <v>13463</v>
      </c>
      <c r="C10708" s="5" t="str">
        <f>IFERROR(__xludf.DUMMYFUNCTION("GOOGLETRANSLATE(B10708,""en"",""zh-CN"")"),"带有杰克的人将汽车抬起。")</f>
        <v>带有杰克的人将汽车抬起。</v>
      </c>
    </row>
    <row r="10709">
      <c r="A10709" s="4" t="s">
        <v>13461</v>
      </c>
      <c r="B10709" s="4" t="s">
        <v>13464</v>
      </c>
      <c r="C10709" s="5" t="str">
        <f>IFERROR(__xludf.DUMMYFUNCTION("GOOGLETRANSLATE(B10709,""en"",""zh-CN"")"),"维修人员开始通过更换汽车的前轮胎和后轮胎来在汽车上工作。")</f>
        <v>维修人员开始通过更换汽车的前轮胎和后轮胎来在汽车上工作。</v>
      </c>
    </row>
    <row r="10710">
      <c r="A10710" s="4" t="s">
        <v>13461</v>
      </c>
      <c r="B10710" s="4" t="s">
        <v>13465</v>
      </c>
      <c r="C10710" s="5" t="str">
        <f>IFERROR(__xludf.DUMMYFUNCTION("GOOGLETRANSLATE(B10710,""en"",""zh-CN"")"),"然后，杰克人把杰克拿出来，穿着粉红色衬衫的男人出现在镜头前。")</f>
        <v>然后，杰克人把杰克拿出来，穿着粉红色衬衫的男人出现在镜头前。</v>
      </c>
    </row>
    <row r="10711">
      <c r="A10711" s="4" t="s">
        <v>13466</v>
      </c>
      <c r="B10711" s="6" t="s">
        <v>13467</v>
      </c>
      <c r="C10711" s="5" t="str">
        <f>IFERROR(__xludf.DUMMYFUNCTION("GOOGLETRANSLATE(B10711,""en"",""zh-CN"")"),"看到一个男人跪在一张照片中，随后有两个男人互相弯腰。")</f>
        <v>看到一个男人跪在一张照片中，随后有两个男人互相弯腰。</v>
      </c>
    </row>
    <row r="10712">
      <c r="A10712" s="4" t="s">
        <v>13466</v>
      </c>
      <c r="B10712" s="4" t="s">
        <v>13468</v>
      </c>
      <c r="C10712" s="5" t="str">
        <f>IFERROR(__xludf.DUMMYFUNCTION("GOOGLETRANSLATE(B10712,""en"",""zh-CN"")"),"他们开始摔跤，一个人推下另一个人，然后再次显示他们的剪辑。")</f>
        <v>他们开始摔跤，一个人推下另一个人，然后再次显示他们的剪辑。</v>
      </c>
    </row>
    <row r="10713">
      <c r="A10713" s="4" t="s">
        <v>13469</v>
      </c>
      <c r="B10713" s="4" t="s">
        <v>13470</v>
      </c>
      <c r="C10713" s="5" t="str">
        <f>IFERROR(__xludf.DUMMYFUNCTION("GOOGLETRANSLATE(B10713,""en"",""zh-CN"")"),"一个男人和一个女人在一个房间里，后面有几个目标。")</f>
        <v>一个男人和一个女人在一个房间里，后面有几个目标。</v>
      </c>
    </row>
    <row r="10714">
      <c r="A10714" s="4" t="s">
        <v>13469</v>
      </c>
      <c r="B10714" s="6" t="s">
        <v>13471</v>
      </c>
      <c r="C10714" s="5" t="str">
        <f>IFERROR(__xludf.DUMMYFUNCTION("GOOGLETRANSLATE(B10714,""en"",""zh-CN"")"),"然后，这名女士在另一个房间里展示，展示了适当的技术，可以在射箭上有效。")</f>
        <v>然后，这名女士在另一个房间里展示，展示了适当的技术，可以在射箭上有效。</v>
      </c>
    </row>
    <row r="10715">
      <c r="A10715" s="4" t="s">
        <v>13469</v>
      </c>
      <c r="B10715" s="6" t="s">
        <v>13472</v>
      </c>
      <c r="C10715" s="5" t="str">
        <f>IFERROR(__xludf.DUMMYFUNCTION("GOOGLETRANSLATE(B10715,""en"",""zh-CN"")"),"两种图案继续进行，然后女孩回来，向后显示弓，然后在墙上的目标上射击。")</f>
        <v>两种图案继续进行，然后女孩回来，向后显示弓，然后在墙上的目标上射击。</v>
      </c>
    </row>
    <row r="10716">
      <c r="A10716" s="4" t="s">
        <v>13473</v>
      </c>
      <c r="B10716" s="4" t="s">
        <v>13474</v>
      </c>
      <c r="C10716" s="5" t="str">
        <f>IFERROR(__xludf.DUMMYFUNCTION("GOOGLETRANSLATE(B10716,""en"",""zh-CN"")"),"一群人在建筑物外弹奏乐器。")</f>
        <v>一群人在建筑物外弹奏乐器。</v>
      </c>
    </row>
    <row r="10717">
      <c r="A10717" s="4" t="s">
        <v>13473</v>
      </c>
      <c r="B10717" s="4" t="s">
        <v>13475</v>
      </c>
      <c r="C10717" s="5" t="str">
        <f>IFERROR(__xludf.DUMMYFUNCTION("GOOGLETRANSLATE(B10717,""en"",""zh-CN"")"),"两名男子在玩耍时互相蹲下。")</f>
        <v>两名男子在玩耍时互相蹲下。</v>
      </c>
    </row>
    <row r="10718">
      <c r="A10718" s="4" t="s">
        <v>13473</v>
      </c>
      <c r="B10718" s="6" t="s">
        <v>13476</v>
      </c>
      <c r="C10718" s="5" t="str">
        <f>IFERROR(__xludf.DUMMYFUNCTION("GOOGLETRANSLATE(B10718,""en"",""zh-CN"")"),"这些人跳了起来，开始做武术互相移动，模拟踢和翻转。")</f>
        <v>这些人跳了起来，开始做武术互相移动，模拟踢和翻转。</v>
      </c>
    </row>
    <row r="10719">
      <c r="A10719" s="4" t="s">
        <v>13477</v>
      </c>
      <c r="B10719" s="4" t="s">
        <v>13478</v>
      </c>
      <c r="C10719" s="5" t="str">
        <f>IFERROR(__xludf.DUMMYFUNCTION("GOOGLETRANSLATE(B10719,""en"",""zh-CN"")"),"一个男人坐在一个碗上，然后一个女人在碗里展示饼干面团，然后查看食谱。")</f>
        <v>一个男人坐在一个碗上，然后一个女人在碗里展示饼干面团，然后查看食谱。</v>
      </c>
    </row>
    <row r="10720">
      <c r="A10720" s="4" t="s">
        <v>13477</v>
      </c>
      <c r="B10720" s="6" t="s">
        <v>13479</v>
      </c>
      <c r="C10720" s="5" t="str">
        <f>IFERROR(__xludf.DUMMYFUNCTION("GOOGLETRANSLATE(B10720,""en"",""zh-CN"")"),"然后，那个女人将面团和推杆打成一个烤盘，也是一个青少年制作的面团球，然后放入烤盘。")</f>
        <v>然后，那个女人将面团和推杆打成一个烤盘，也是一个青少年制作的面团球，然后放入烤盘。</v>
      </c>
    </row>
    <row r="10721">
      <c r="A10721" s="4" t="s">
        <v>13477</v>
      </c>
      <c r="B10721" s="4" t="s">
        <v>13480</v>
      </c>
      <c r="C10721" s="5" t="str">
        <f>IFERROR(__xludf.DUMMYFUNCTION("GOOGLETRANSLATE(B10721,""en"",""zh-CN"")"),"之后，那个男人把饼干放在烤箱里。")</f>
        <v>之后，那个男人把饼干放在烤箱里。</v>
      </c>
    </row>
    <row r="10722">
      <c r="A10722" s="4" t="s">
        <v>13481</v>
      </c>
      <c r="B10722" s="6" t="s">
        <v>13482</v>
      </c>
      <c r="C10722" s="5" t="str">
        <f>IFERROR(__xludf.DUMMYFUNCTION("GOOGLETRANSLATE(B10722,""en"",""zh-CN"")"),"看到一大批人沿着田野奔跑，并带领他们玩曲棍球比赛。")</f>
        <v>看到一大批人沿着田野奔跑，并带领他们玩曲棍球比赛。</v>
      </c>
    </row>
    <row r="10723">
      <c r="A10723" s="4" t="s">
        <v>13481</v>
      </c>
      <c r="B10723" s="6" t="s">
        <v>13483</v>
      </c>
      <c r="C10723" s="5" t="str">
        <f>IFERROR(__xludf.DUMMYFUNCTION("GOOGLETRANSLATE(B10723,""en"",""zh-CN"")"),"游戏继续进行，箭头指向各种玩家以及摔倒的人的镜头。")</f>
        <v>游戏继续进行，箭头指向各种玩家以及摔倒的人的镜头。</v>
      </c>
    </row>
    <row r="10724">
      <c r="A10724" s="4" t="s">
        <v>13484</v>
      </c>
      <c r="B10724" s="4" t="s">
        <v>13485</v>
      </c>
      <c r="C10724" s="5" t="str">
        <f>IFERROR(__xludf.DUMMYFUNCTION("GOOGLETRANSLATE(B10724,""en"",""zh-CN"")"),"一个人拿着清洁工具的手柄。")</f>
        <v>一个人拿着清洁工具的手柄。</v>
      </c>
    </row>
    <row r="10725">
      <c r="A10725" s="4" t="s">
        <v>13484</v>
      </c>
      <c r="B10725" s="4" t="s">
        <v>13486</v>
      </c>
      <c r="C10725" s="5" t="str">
        <f>IFERROR(__xludf.DUMMYFUNCTION("GOOGLETRANSLATE(B10725,""en"",""zh-CN"")"),"该男子清洁厨房地板。")</f>
        <v>该男子清洁厨房地板。</v>
      </c>
    </row>
    <row r="10726">
      <c r="A10726" s="4" t="s">
        <v>13484</v>
      </c>
      <c r="B10726" s="4" t="s">
        <v>13487</v>
      </c>
      <c r="C10726" s="5" t="str">
        <f>IFERROR(__xludf.DUMMYFUNCTION("GOOGLETRANSLATE(B10726,""en"",""zh-CN"")"),"一位女士与男人讨论。")</f>
        <v>一位女士与男人讨论。</v>
      </c>
    </row>
    <row r="10727">
      <c r="A10727" s="4" t="s">
        <v>13484</v>
      </c>
      <c r="B10727" s="4" t="s">
        <v>13488</v>
      </c>
      <c r="C10727" s="5" t="str">
        <f>IFERROR(__xludf.DUMMYFUNCTION("GOOGLETRANSLATE(B10727,""en"",""zh-CN"")"),"该男子将拖把从红色的水桶中取出，然后将水桶移到一边。")</f>
        <v>该男子将拖把从红色的水桶中取出，然后将水桶移到一边。</v>
      </c>
    </row>
    <row r="10728">
      <c r="A10728" s="4" t="s">
        <v>13484</v>
      </c>
      <c r="B10728" s="4" t="s">
        <v>13489</v>
      </c>
      <c r="C10728" s="5" t="str">
        <f>IFERROR(__xludf.DUMMYFUNCTION("GOOGLETRANSLATE(B10728,""en"",""zh-CN"")"),"那位女士站在男性旁边。")</f>
        <v>那位女士站在男性旁边。</v>
      </c>
    </row>
    <row r="10729">
      <c r="A10729" s="4" t="s">
        <v>13484</v>
      </c>
      <c r="B10729" s="4" t="s">
        <v>13490</v>
      </c>
      <c r="C10729" s="5" t="str">
        <f>IFERROR(__xludf.DUMMYFUNCTION("GOOGLETRANSLATE(B10729,""en"",""zh-CN"")"),"女士用手示意。")</f>
        <v>女士用手示意。</v>
      </c>
    </row>
    <row r="10730">
      <c r="A10730" s="4" t="s">
        <v>13484</v>
      </c>
      <c r="B10730" s="4" t="s">
        <v>13491</v>
      </c>
      <c r="C10730" s="5" t="str">
        <f>IFERROR(__xludf.DUMMYFUNCTION("GOOGLETRANSLATE(B10730,""en"",""zh-CN"")"),"该男子将拖把交给女士，并在水槽中清空红色水桶。")</f>
        <v>该男子将拖把交给女士，并在水槽中清空红色水桶。</v>
      </c>
    </row>
    <row r="10731">
      <c r="A10731" s="4" t="s">
        <v>13484</v>
      </c>
      <c r="B10731" s="4" t="s">
        <v>13492</v>
      </c>
      <c r="C10731" s="5" t="str">
        <f>IFERROR(__xludf.DUMMYFUNCTION("GOOGLETRANSLATE(B10731,""en"",""zh-CN"")"),"雄性在拖把的同时抓酒。")</f>
        <v>雄性在拖把的同时抓酒。</v>
      </c>
    </row>
    <row r="10732">
      <c r="A10732" s="4" t="s">
        <v>13484</v>
      </c>
      <c r="B10732" s="4" t="s">
        <v>13493</v>
      </c>
      <c r="C10732" s="5" t="str">
        <f>IFERROR(__xludf.DUMMYFUNCTION("GOOGLETRANSLATE(B10732,""en"",""zh-CN"")"),"该男子将水桶和拖把交给男性。")</f>
        <v>该男子将水桶和拖把交给男性。</v>
      </c>
    </row>
    <row r="10733">
      <c r="A10733" s="4" t="s">
        <v>13484</v>
      </c>
      <c r="B10733" s="4" t="s">
        <v>13494</v>
      </c>
      <c r="C10733" s="5" t="str">
        <f>IFERROR(__xludf.DUMMYFUNCTION("GOOGLETRANSLATE(B10733,""en"",""zh-CN"")"),"男人挥手和致敬。")</f>
        <v>男人挥手和致敬。</v>
      </c>
    </row>
    <row r="10734">
      <c r="A10734" s="4" t="s">
        <v>13484</v>
      </c>
      <c r="B10734" s="4" t="s">
        <v>13495</v>
      </c>
      <c r="C10734" s="5" t="str">
        <f>IFERROR(__xludf.DUMMYFUNCTION("GOOGLETRANSLATE(B10734,""en"",""zh-CN"")"),"那位女士大声笑了。")</f>
        <v>那位女士大声笑了。</v>
      </c>
    </row>
    <row r="10735">
      <c r="A10735" s="4" t="s">
        <v>13484</v>
      </c>
      <c r="B10735" s="4" t="s">
        <v>13496</v>
      </c>
      <c r="C10735" s="5" t="str">
        <f>IFERROR(__xludf.DUMMYFUNCTION("GOOGLETRANSLATE(B10735,""en"",""zh-CN"")"),"那个人洗手。")</f>
        <v>那个人洗手。</v>
      </c>
    </row>
    <row r="10736">
      <c r="A10736" s="4" t="s">
        <v>13497</v>
      </c>
      <c r="B10736" s="4" t="s">
        <v>13498</v>
      </c>
      <c r="C10736" s="5" t="str">
        <f>IFERROR(__xludf.DUMMYFUNCTION("GOOGLETRANSLATE(B10736,""en"",""zh-CN"")"),"客厅显示了一组运动器材。")</f>
        <v>客厅显示了一组运动器材。</v>
      </c>
    </row>
    <row r="10737">
      <c r="A10737" s="4" t="s">
        <v>13497</v>
      </c>
      <c r="B10737" s="4" t="s">
        <v>13499</v>
      </c>
      <c r="C10737" s="5" t="str">
        <f>IFERROR(__xludf.DUMMYFUNCTION("GOOGLETRANSLATE(B10737,""en"",""zh-CN"")"),"设备的不同细节正在显示。")</f>
        <v>设备的不同细节正在显示。</v>
      </c>
    </row>
    <row r="10738">
      <c r="A10738" s="4" t="s">
        <v>13497</v>
      </c>
      <c r="B10738" s="4" t="s">
        <v>13500</v>
      </c>
      <c r="C10738" s="5" t="str">
        <f>IFERROR(__xludf.DUMMYFUNCTION("GOOGLETRANSLATE(B10738,""en"",""zh-CN"")"),"该男子在谈论它时坚持使用机器的酒吧。")</f>
        <v>该男子在谈论它时坚持使用机器的酒吧。</v>
      </c>
    </row>
    <row r="10739">
      <c r="A10739" s="4" t="s">
        <v>13501</v>
      </c>
      <c r="B10739" s="6" t="s">
        <v>13502</v>
      </c>
      <c r="C10739" s="5" t="str">
        <f>IFERROR(__xludf.DUMMYFUNCTION("GOOGLETRANSLATE(B10739,""en"",""zh-CN"")"),"显示了运动器材的特写，后面是一个男人走进框架并开始使用机器。")</f>
        <v>显示了运动器材的特写，后面是一个男人走进框架并开始使用机器。</v>
      </c>
    </row>
    <row r="10740">
      <c r="A10740" s="4" t="s">
        <v>13501</v>
      </c>
      <c r="B10740" s="6" t="s">
        <v>13503</v>
      </c>
      <c r="C10740" s="5" t="str">
        <f>IFERROR(__xludf.DUMMYFUNCTION("GOOGLETRANSLATE(B10740,""en"",""zh-CN"")"),"当相机继续捕捉他的动作时，该男子在机器上移动和第四。")</f>
        <v>当相机继续捕捉他的动作时，该男子在机器上移动和第四。</v>
      </c>
    </row>
    <row r="10741">
      <c r="A10741" s="4" t="s">
        <v>13504</v>
      </c>
      <c r="B10741" s="4" t="s">
        <v>13505</v>
      </c>
      <c r="C10741" s="5" t="str">
        <f>IFERROR(__xludf.DUMMYFUNCTION("GOOGLETRANSLATE(B10741,""en"",""zh-CN"")"),"看到一个女人坐在镜头前，开始将隐形眼镜放在她的眼中。")</f>
        <v>看到一个女人坐在镜头前，开始将隐形眼镜放在她的眼中。</v>
      </c>
    </row>
    <row r="10742">
      <c r="A10742" s="4" t="s">
        <v>13504</v>
      </c>
      <c r="B10742" s="4" t="s">
        <v>13506</v>
      </c>
      <c r="C10742" s="5" t="str">
        <f>IFERROR(__xludf.DUMMYFUNCTION("GOOGLETRANSLATE(B10742,""en"",""zh-CN"")"),"女人不断试图将镜头放在她的眼中，同时再次环顾四周。")</f>
        <v>女人不断试图将镜头放在她的眼中，同时再次环顾四周。</v>
      </c>
    </row>
    <row r="10743">
      <c r="A10743" s="4" t="s">
        <v>13504</v>
      </c>
      <c r="B10743" s="4" t="s">
        <v>13507</v>
      </c>
      <c r="C10743" s="5" t="str">
        <f>IFERROR(__xludf.DUMMYFUNCTION("GOOGLETRANSLATE(B10743,""en"",""zh-CN"")"),"她最后一次成功，看到相机欢呼。")</f>
        <v>她最后一次成功，看到相机欢呼。</v>
      </c>
    </row>
    <row r="10744">
      <c r="A10744" s="4" t="s">
        <v>13508</v>
      </c>
      <c r="B10744" s="4" t="s">
        <v>13509</v>
      </c>
      <c r="C10744" s="5" t="str">
        <f>IFERROR(__xludf.DUMMYFUNCTION("GOOGLETRANSLATE(B10744,""en"",""zh-CN"")"),"看到一个大湖，一个男人坐在管子里，还有其他环顾该地区的湖泊。")</f>
        <v>看到一个大湖，一个男人坐在管子里，还有其他环顾该地区的湖泊。</v>
      </c>
    </row>
    <row r="10745">
      <c r="A10745" s="4" t="s">
        <v>13508</v>
      </c>
      <c r="B10745" s="6" t="s">
        <v>13510</v>
      </c>
      <c r="C10745" s="5" t="str">
        <f>IFERROR(__xludf.DUMMYFUNCTION("GOOGLETRANSLATE(B10745,""en"",""zh-CN"")"),"这些人撞到原木上，撞上了木头，并通往四处移动的管子，然后坐在那里。")</f>
        <v>这些人撞到原木上，撞上了木头，并通往四处移动的管子，然后坐在那里。</v>
      </c>
    </row>
    <row r="10746">
      <c r="A10746" s="4" t="s">
        <v>13511</v>
      </c>
      <c r="B10746" s="4" t="s">
        <v>13512</v>
      </c>
      <c r="C10746" s="5" t="str">
        <f>IFERROR(__xludf.DUMMYFUNCTION("GOOGLETRANSLATE(B10746,""en"",""zh-CN"")"),"介绍动画显示了视频的标题。")</f>
        <v>介绍动画显示了视频的标题。</v>
      </c>
    </row>
    <row r="10747">
      <c r="A10747" s="4" t="s">
        <v>13511</v>
      </c>
      <c r="B10747" s="6" t="s">
        <v>13513</v>
      </c>
      <c r="C10747" s="5" t="str">
        <f>IFERROR(__xludf.DUMMYFUNCTION("GOOGLETRANSLATE(B10747,""en"",""zh-CN"")"),"一名汗水中的女教练通过表现出常规的方式向一群健身房的一群学生指示进行体育锻炼。")</f>
        <v>一名汗水中的女教练通过表现出常规的方式向一群健身房的一群学生指示进行体育锻炼。</v>
      </c>
    </row>
    <row r="10748">
      <c r="A10748" s="4" t="s">
        <v>13511</v>
      </c>
      <c r="B10748" s="4" t="s">
        <v>13514</v>
      </c>
      <c r="C10748" s="5" t="str">
        <f>IFERROR(__xludf.DUMMYFUNCTION("GOOGLETRANSLATE(B10748,""en"",""zh-CN"")"),"学生模仿讲师的动作。")</f>
        <v>学生模仿讲师的动作。</v>
      </c>
    </row>
    <row r="10749">
      <c r="A10749" s="4" t="s">
        <v>13511</v>
      </c>
      <c r="B10749" s="4" t="s">
        <v>13515</v>
      </c>
      <c r="C10749" s="5" t="str">
        <f>IFERROR(__xludf.DUMMYFUNCTION("GOOGLETRANSLATE(B10749,""en"",""zh-CN"")"),"教练指向健身房的不同领域和各个学生群体。")</f>
        <v>教练指向健身房的不同领域和各个学生群体。</v>
      </c>
    </row>
    <row r="10750">
      <c r="A10750" s="4" t="s">
        <v>13511</v>
      </c>
      <c r="B10750" s="4" t="s">
        <v>13516</v>
      </c>
      <c r="C10750" s="5" t="str">
        <f>IFERROR(__xludf.DUMMYFUNCTION("GOOGLETRANSLATE(B10750,""en"",""zh-CN"")"),"一名穿着黑色短裤的学生穿越体育馆。")</f>
        <v>一名穿着黑色短裤的学生穿越体育馆。</v>
      </c>
    </row>
    <row r="10751">
      <c r="A10751" s="4" t="s">
        <v>13511</v>
      </c>
      <c r="B10751" s="4" t="s">
        <v>13517</v>
      </c>
      <c r="C10751" s="5" t="str">
        <f>IFERROR(__xludf.DUMMYFUNCTION("GOOGLETRANSLATE(B10751,""en"",""zh-CN"")"),"一群学生扮演岩石纸蛋黄酱。")</f>
        <v>一群学生扮演岩石纸蛋黄酱。</v>
      </c>
    </row>
    <row r="10752">
      <c r="A10752" s="4" t="s">
        <v>13511</v>
      </c>
      <c r="B10752" s="4" t="s">
        <v>13518</v>
      </c>
      <c r="C10752" s="5" t="str">
        <f>IFERROR(__xludf.DUMMYFUNCTION("GOOGLETRANSLATE(B10752,""en"",""zh-CN"")"),"学生在健身房的周边跑到不同的车站。")</f>
        <v>学生在健身房的周边跑到不同的车站。</v>
      </c>
    </row>
    <row r="10753">
      <c r="A10753" s="4" t="s">
        <v>13511</v>
      </c>
      <c r="B10753" s="4" t="s">
        <v>13519</v>
      </c>
      <c r="C10753" s="5" t="str">
        <f>IFERROR(__xludf.DUMMYFUNCTION("GOOGLETRANSLATE(B10753,""en"",""zh-CN"")"),"一个戴着帽子的学生坐在板凳上，看上去很恶心。")</f>
        <v>一个戴着帽子的学生坐在板凳上，看上去很恶心。</v>
      </c>
    </row>
    <row r="10754">
      <c r="A10754" s="4" t="s">
        <v>13511</v>
      </c>
      <c r="B10754" s="4" t="s">
        <v>13520</v>
      </c>
      <c r="C10754" s="5" t="str">
        <f>IFERROR(__xludf.DUMMYFUNCTION("GOOGLETRANSLATE(B10754,""en"",""zh-CN"")"),"动画页面显示了视频的积分。")</f>
        <v>动画页面显示了视频的积分。</v>
      </c>
    </row>
    <row r="10755">
      <c r="A10755" s="4" t="s">
        <v>13521</v>
      </c>
      <c r="B10755" s="4" t="s">
        <v>13522</v>
      </c>
      <c r="C10755" s="5" t="str">
        <f>IFERROR(__xludf.DUMMYFUNCTION("GOOGLETRANSLATE(B10755,""en"",""zh-CN"")"),"一个女孩在法官面前竞争金库体操运动员，而观众则观察了看台。")</f>
        <v>一个女孩在法官面前竞争金库体操运动员，而观众则观察了看台。</v>
      </c>
    </row>
    <row r="10756">
      <c r="A10756" s="4" t="s">
        <v>13521</v>
      </c>
      <c r="B10756" s="4" t="s">
        <v>13523</v>
      </c>
      <c r="C10756" s="5" t="str">
        <f>IFERROR(__xludf.DUMMYFUNCTION("GOOGLETRANSLATE(B10756,""en"",""zh-CN"")"),"体操运动员接近她的教练说话，然后他们离开。")</f>
        <v>体操运动员接近她的教练说话，然后他们离开。</v>
      </c>
    </row>
    <row r="10757">
      <c r="A10757" s="4" t="s">
        <v>13521</v>
      </c>
      <c r="B10757" s="4" t="s">
        <v>13524</v>
      </c>
      <c r="C10757" s="5" t="str">
        <f>IFERROR(__xludf.DUMMYFUNCTION("GOOGLETRANSLATE(B10757,""en"",""zh-CN"")"),"之后，展示了体操运动员表演的闪回。")</f>
        <v>之后，展示了体操运动员表演的闪回。</v>
      </c>
    </row>
    <row r="10758">
      <c r="A10758" s="4" t="s">
        <v>13525</v>
      </c>
      <c r="B10758" s="4" t="s">
        <v>13526</v>
      </c>
      <c r="C10758" s="5" t="str">
        <f>IFERROR(__xludf.DUMMYFUNCTION("GOOGLETRANSLATE(B10758,""en"",""zh-CN"")"),"看到一大批人在一个房间里移动进行锻炼。")</f>
        <v>看到一大批人在一个房间里移动进行锻炼。</v>
      </c>
    </row>
    <row r="10759">
      <c r="A10759" s="4" t="s">
        <v>13525</v>
      </c>
      <c r="B10759" s="6" t="s">
        <v>13527</v>
      </c>
      <c r="C10759" s="5" t="str">
        <f>IFERROR(__xludf.DUMMYFUNCTION("GOOGLETRANSLATE(B10759,""en"",""zh-CN"")"),"人们在横梁上上下移动，同时将手臂移动到前方。")</f>
        <v>人们在横梁上上下移动，同时将手臂移动到前方。</v>
      </c>
    </row>
    <row r="10760">
      <c r="A10760" s="4" t="s">
        <v>13525</v>
      </c>
      <c r="B10760" s="4" t="s">
        <v>13528</v>
      </c>
      <c r="C10760" s="5" t="str">
        <f>IFERROR(__xludf.DUMMYFUNCTION("GOOGLETRANSLATE(B10760,""en"",""zh-CN"")"),"小组继续互相跳舞，结束姿势。")</f>
        <v>小组继续互相跳舞，结束姿势。</v>
      </c>
    </row>
    <row r="10761">
      <c r="A10761" s="4" t="s">
        <v>13529</v>
      </c>
      <c r="B10761" s="4" t="s">
        <v>13530</v>
      </c>
      <c r="C10761" s="5" t="str">
        <f>IFERROR(__xludf.DUMMYFUNCTION("GOOGLETRANSLATE(B10761,""en"",""zh-CN"")"),"戴着帽子的婴儿坐在椅子上。")</f>
        <v>戴着帽子的婴儿坐在椅子上。</v>
      </c>
    </row>
    <row r="10762">
      <c r="A10762" s="4" t="s">
        <v>13529</v>
      </c>
      <c r="B10762" s="4" t="s">
        <v>13531</v>
      </c>
      <c r="C10762" s="5" t="str">
        <f>IFERROR(__xludf.DUMMYFUNCTION("GOOGLETRANSLATE(B10762,""en"",""zh-CN"")"),"一个男人抱着婴儿在玩球。")</f>
        <v>一个男人抱着婴儿在玩球。</v>
      </c>
    </row>
    <row r="10763">
      <c r="A10763" s="4" t="s">
        <v>13529</v>
      </c>
      <c r="B10763" s="4" t="s">
        <v>13532</v>
      </c>
      <c r="C10763" s="5" t="str">
        <f>IFERROR(__xludf.DUMMYFUNCTION("GOOGLETRANSLATE(B10763,""en"",""zh-CN"")"),"一个婴儿在沙发上睡觉。")</f>
        <v>一个婴儿在沙发上睡觉。</v>
      </c>
    </row>
    <row r="10764">
      <c r="A10764" s="4" t="s">
        <v>13533</v>
      </c>
      <c r="B10764" s="4" t="s">
        <v>13534</v>
      </c>
      <c r="C10764" s="5" t="str">
        <f>IFERROR(__xludf.DUMMYFUNCTION("GOOGLETRANSLATE(B10764,""en"",""zh-CN"")"),"我们看到了视频的标题屏幕。")</f>
        <v>我们看到了视频的标题屏幕。</v>
      </c>
    </row>
    <row r="10765">
      <c r="A10765" s="4" t="s">
        <v>13533</v>
      </c>
      <c r="B10765" s="4" t="s">
        <v>13535</v>
      </c>
      <c r="C10765" s="5" t="str">
        <f>IFERROR(__xludf.DUMMYFUNCTION("GOOGLETRANSLATE(B10765,""en"",""zh-CN"")"),"我们看到一个人滑雪。")</f>
        <v>我们看到一个人滑雪。</v>
      </c>
    </row>
    <row r="10766">
      <c r="A10766" s="4" t="s">
        <v>13533</v>
      </c>
      <c r="B10766" s="4" t="s">
        <v>13536</v>
      </c>
      <c r="C10766" s="5" t="str">
        <f>IFERROR(__xludf.DUMMYFUNCTION("GOOGLETRANSLATE(B10766,""en"",""zh-CN"")"),"我们切换到研讨会和工具列表。")</f>
        <v>我们切换到研讨会和工具列表。</v>
      </c>
    </row>
    <row r="10767">
      <c r="A10767" s="4" t="s">
        <v>13533</v>
      </c>
      <c r="B10767" s="4" t="s">
        <v>13537</v>
      </c>
      <c r="C10767" s="5" t="str">
        <f>IFERROR(__xludf.DUMMYFUNCTION("GOOGLETRANSLATE(B10767,""en"",""zh-CN"")"),"我们看到一个男人在滑雪上添加了一个乐队，滑雪板坐在装置上。")</f>
        <v>我们看到一个男人在滑雪上添加了一个乐队，滑雪板坐在装置上。</v>
      </c>
    </row>
    <row r="10768">
      <c r="A10768" s="4" t="s">
        <v>13533</v>
      </c>
      <c r="B10768" s="4" t="s">
        <v>13538</v>
      </c>
      <c r="C10768" s="5" t="str">
        <f>IFERROR(__xludf.DUMMYFUNCTION("GOOGLETRANSLATE(B10768,""en"",""zh-CN"")"),"一个人刷并摩擦滑雪。")</f>
        <v>一个人刷并摩擦滑雪。</v>
      </c>
    </row>
    <row r="10769">
      <c r="A10769" s="4" t="s">
        <v>13533</v>
      </c>
      <c r="B10769" s="4" t="s">
        <v>13539</v>
      </c>
      <c r="C10769" s="5" t="str">
        <f>IFERROR(__xludf.DUMMYFUNCTION("GOOGLETRANSLATE(B10769,""en"",""zh-CN"")"),"我们看到五颜六色的蜡和一个男人转动表盘。")</f>
        <v>我们看到五颜六色的蜡和一个男人转动表盘。</v>
      </c>
    </row>
    <row r="10770">
      <c r="A10770" s="4" t="s">
        <v>13533</v>
      </c>
      <c r="B10770" s="4" t="s">
        <v>13540</v>
      </c>
      <c r="C10770" s="5" t="str">
        <f>IFERROR(__xludf.DUMMYFUNCTION("GOOGLETRANSLATE(B10770,""en"",""zh-CN"")"),"该男子倒了蜡，我们会在他放下滑雪上的蜡之前得到指示。")</f>
        <v>该男子倒了蜡，我们会在他放下滑雪上的蜡之前得到指示。</v>
      </c>
    </row>
    <row r="10771">
      <c r="A10771" s="4" t="s">
        <v>13533</v>
      </c>
      <c r="B10771" s="4" t="s">
        <v>13541</v>
      </c>
      <c r="C10771" s="5" t="str">
        <f>IFERROR(__xludf.DUMMYFUNCTION("GOOGLETRANSLATE(B10771,""en"",""zh-CN"")"),"该男子刮擦蜡并刷滑雪。")</f>
        <v>该男子刮擦蜡并刷滑雪。</v>
      </c>
    </row>
    <row r="10772">
      <c r="A10772" s="4" t="s">
        <v>13533</v>
      </c>
      <c r="B10772" s="4" t="s">
        <v>13542</v>
      </c>
      <c r="C10772" s="5" t="str">
        <f>IFERROR(__xludf.DUMMYFUNCTION("GOOGLETRANSLATE(B10772,""en"",""zh-CN"")"),"我们得到了滑雪事实，视频结束卡显示。")</f>
        <v>我们得到了滑雪事实，视频结束卡显示。</v>
      </c>
    </row>
    <row r="10773">
      <c r="A10773" s="4" t="s">
        <v>13543</v>
      </c>
      <c r="B10773" s="4" t="s">
        <v>13544</v>
      </c>
      <c r="C10773" s="5" t="str">
        <f>IFERROR(__xludf.DUMMYFUNCTION("GOOGLETRANSLATE(B10773,""en"",""zh-CN"")"),"看到一个人将飞盘扔到远处，一只狗追赶它。")</f>
        <v>看到一个人将飞盘扔到远处，一只狗追赶它。</v>
      </c>
    </row>
    <row r="10774">
      <c r="A10774" s="4" t="s">
        <v>13543</v>
      </c>
      <c r="B10774" s="4" t="s">
        <v>13545</v>
      </c>
      <c r="C10774" s="5" t="str">
        <f>IFERROR(__xludf.DUMMYFUNCTION("GOOGLETRANSLATE(B10774,""en"",""zh-CN"")"),"几张镜头显示了狗在主人投掷后奔跑后奔跑的狗。")</f>
        <v>几张镜头显示了狗在主人投掷后奔跑后奔跑的狗。</v>
      </c>
    </row>
    <row r="10775">
      <c r="A10775" s="4" t="s">
        <v>13543</v>
      </c>
      <c r="B10775" s="4" t="s">
        <v>13546</v>
      </c>
      <c r="C10775" s="5" t="str">
        <f>IFERROR(__xludf.DUMMYFUNCTION("GOOGLETRANSLATE(B10775,""en"",""zh-CN"")"),"当主人从后面看时，看到更多的狗在追逐飞盘。")</f>
        <v>当主人从后面看时，看到更多的狗在追逐飞盘。</v>
      </c>
    </row>
    <row r="10776">
      <c r="A10776" s="4" t="s">
        <v>13547</v>
      </c>
      <c r="B10776" s="6" t="s">
        <v>13548</v>
      </c>
      <c r="C10776" s="5" t="str">
        <f>IFERROR(__xludf.DUMMYFUNCTION("GOOGLETRANSLATE(B10776,""en"",""zh-CN"")"),"一群教练，体操运动员和父母站在健身房周围坐着，而一些体操运动员表演或练习。")</f>
        <v>一群教练，体操运动员和父母站在健身房周围坐着，而一些体操运动员表演或练习。</v>
      </c>
    </row>
    <row r="10777">
      <c r="A10777" s="4" t="s">
        <v>13547</v>
      </c>
      <c r="B10777" s="4" t="s">
        <v>13549</v>
      </c>
      <c r="C10777" s="5" t="str">
        <f>IFERROR(__xludf.DUMMYFUNCTION("GOOGLETRANSLATE(B10777,""en"",""zh-CN"")"),"一个紫色的年轻女孩做一个平衡光束常规。")</f>
        <v>一个紫色的年轻女孩做一个平衡光束常规。</v>
      </c>
    </row>
    <row r="10778">
      <c r="A10778" s="4" t="s">
        <v>13547</v>
      </c>
      <c r="B10778" s="4" t="s">
        <v>13550</v>
      </c>
      <c r="C10778" s="5" t="str">
        <f>IFERROR(__xludf.DUMMYFUNCTION("GOOGLETRANSLATE(B10778,""en"",""zh-CN"")"),"后台的一个女孩做一个常规。")</f>
        <v>后台的一个女孩做一个常规。</v>
      </c>
    </row>
    <row r="10779">
      <c r="A10779" s="4" t="s">
        <v>13547</v>
      </c>
      <c r="B10779" s="6" t="s">
        <v>13551</v>
      </c>
      <c r="C10779" s="5" t="str">
        <f>IFERROR(__xludf.DUMMYFUNCTION("GOOGLETRANSLATE(B10779,""en"",""zh-CN"")"),"当地板例行结束时，人群都会鼓掌，几个年轻的体操运动员起身走来走去。")</f>
        <v>当地板例行结束时，人群都会鼓掌，几个年轻的体操运动员起身走来走去。</v>
      </c>
    </row>
    <row r="10780">
      <c r="A10780" s="4" t="s">
        <v>13547</v>
      </c>
      <c r="B10780" s="4" t="s">
        <v>13552</v>
      </c>
      <c r="C10780" s="5" t="str">
        <f>IFERROR(__xludf.DUMMYFUNCTION("GOOGLETRANSLATE(B10780,""en"",""zh-CN"")"),"一个女人举起一个说965的标志。")</f>
        <v>一个女人举起一个说965的标志。</v>
      </c>
    </row>
    <row r="10781">
      <c r="A10781" s="4" t="s">
        <v>13547</v>
      </c>
      <c r="B10781" s="4" t="s">
        <v>13553</v>
      </c>
      <c r="C10781" s="5" t="str">
        <f>IFERROR(__xludf.DUMMYFUNCTION("GOOGLETRANSLATE(B10781,""en"",""zh-CN"")"),"平衡束上的女孩结束了她的日常工作，走过去，用紫色拥抱一个女人。")</f>
        <v>平衡束上的女孩结束了她的日常工作，走过去，用紫色拥抱一个女人。</v>
      </c>
    </row>
    <row r="10782">
      <c r="A10782" s="4" t="s">
        <v>13554</v>
      </c>
      <c r="B10782" s="4" t="s">
        <v>13555</v>
      </c>
      <c r="C10782" s="5" t="str">
        <f>IFERROR(__xludf.DUMMYFUNCTION("GOOGLETRANSLATE(B10782,""en"",""zh-CN"")"),"一个男人跳上酒吧，开始在他们身上摆动。")</f>
        <v>一个男人跳上酒吧，开始在他们身上摆动。</v>
      </c>
    </row>
    <row r="10783">
      <c r="A10783" s="4" t="s">
        <v>13554</v>
      </c>
      <c r="B10783" s="4" t="s">
        <v>13556</v>
      </c>
      <c r="C10783" s="5" t="str">
        <f>IFERROR(__xludf.DUMMYFUNCTION("GOOGLETRANSLATE(B10783,""en"",""zh-CN"")"),"他从他们身上翻转，降落在垫子上。")</f>
        <v>他从他们身上翻转，降落在垫子上。</v>
      </c>
    </row>
    <row r="10784">
      <c r="A10784" s="4" t="s">
        <v>13557</v>
      </c>
      <c r="B10784" s="4" t="s">
        <v>13558</v>
      </c>
      <c r="C10784" s="5" t="str">
        <f>IFERROR(__xludf.DUMMYFUNCTION("GOOGLETRANSLATE(B10784,""en"",""zh-CN"")"),"医疗工作将设备和针头放在某人的脸上。")</f>
        <v>医疗工作将设备和针头放在某人的脸上。</v>
      </c>
    </row>
    <row r="10785">
      <c r="A10785" s="4" t="s">
        <v>13557</v>
      </c>
      <c r="B10785" s="4" t="s">
        <v>13559</v>
      </c>
      <c r="C10785" s="5" t="str">
        <f>IFERROR(__xludf.DUMMYFUNCTION("GOOGLETRANSLATE(B10785,""en"",""zh-CN"")"),"这实际上是一个刺穿。")</f>
        <v>这实际上是一个刺穿。</v>
      </c>
    </row>
    <row r="10786">
      <c r="A10786" s="4" t="s">
        <v>13557</v>
      </c>
      <c r="B10786" s="4" t="s">
        <v>13560</v>
      </c>
      <c r="C10786" s="5" t="str">
        <f>IFERROR(__xludf.DUMMYFUNCTION("GOOGLETRANSLATE(B10786,""en"",""zh-CN"")"),"他清洁了它，然后她起身。")</f>
        <v>他清洁了它，然后她起身。</v>
      </c>
    </row>
    <row r="10787">
      <c r="A10787" s="4" t="s">
        <v>13561</v>
      </c>
      <c r="B10787" s="6" t="s">
        <v>13562</v>
      </c>
      <c r="C10787" s="5" t="str">
        <f>IFERROR(__xludf.DUMMYFUNCTION("GOOGLETRANSLATE(B10787,""en"",""zh-CN"")"),"一群摄影师在举起舞台上出现并准备他的手时拍照。")</f>
        <v>一群摄影师在举起舞台上出现并准备他的手时拍照。</v>
      </c>
    </row>
    <row r="10788">
      <c r="A10788" s="4" t="s">
        <v>13561</v>
      </c>
      <c r="B10788" s="4" t="s">
        <v>13563</v>
      </c>
      <c r="C10788" s="5" t="str">
        <f>IFERROR(__xludf.DUMMYFUNCTION("GOOGLETRANSLATE(B10788,""en"",""zh-CN"")"),"他在膝盖上抬起杠铃，然后停在胸口。")</f>
        <v>他在膝盖上抬起杠铃，然后停在胸口。</v>
      </c>
    </row>
    <row r="10789">
      <c r="A10789" s="4" t="s">
        <v>13561</v>
      </c>
      <c r="B10789" s="4" t="s">
        <v>13564</v>
      </c>
      <c r="C10789" s="5" t="str">
        <f>IFERROR(__xludf.DUMMYFUNCTION("GOOGLETRANSLATE(B10789,""en"",""zh-CN"")"),"他将杠铃抬到头上，然后将其放回地。")</f>
        <v>他将杠铃抬到头上，然后将其放回地。</v>
      </c>
    </row>
    <row r="10790">
      <c r="A10790" s="4" t="s">
        <v>13565</v>
      </c>
      <c r="B10790" s="4" t="s">
        <v>13566</v>
      </c>
      <c r="C10790" s="5" t="str">
        <f>IFERROR(__xludf.DUMMYFUNCTION("GOOGLETRANSLATE(B10790,""en"",""zh-CN"")"),"柜台上的盘子上有柠檬水饮料。")</f>
        <v>柜台上的盘子上有柠檬水饮料。</v>
      </c>
    </row>
    <row r="10791">
      <c r="A10791" s="4" t="s">
        <v>13565</v>
      </c>
      <c r="B10791" s="4" t="s">
        <v>13567</v>
      </c>
      <c r="C10791" s="5" t="str">
        <f>IFERROR(__xludf.DUMMYFUNCTION("GOOGLETRANSLATE(B10791,""en"",""zh-CN"")"),"一个女人挤压柠檬。")</f>
        <v>一个女人挤压柠檬。</v>
      </c>
    </row>
    <row r="10792">
      <c r="A10792" s="4" t="s">
        <v>13565</v>
      </c>
      <c r="B10792" s="4" t="s">
        <v>13568</v>
      </c>
      <c r="C10792" s="5" t="str">
        <f>IFERROR(__xludf.DUMMYFUNCTION("GOOGLETRANSLATE(B10792,""en"",""zh-CN"")"),"她将糖添加到大型投手中。")</f>
        <v>她将糖添加到大型投手中。</v>
      </c>
    </row>
    <row r="10793">
      <c r="A10793" s="4" t="s">
        <v>13565</v>
      </c>
      <c r="B10793" s="4" t="s">
        <v>13569</v>
      </c>
      <c r="C10793" s="5" t="str">
        <f>IFERROR(__xludf.DUMMYFUNCTION("GOOGLETRANSLATE(B10793,""en"",""zh-CN"")"),"她用大木勺搅拌糖。")</f>
        <v>她用大木勺搅拌糖。</v>
      </c>
    </row>
    <row r="10794">
      <c r="A10794" s="4" t="s">
        <v>13565</v>
      </c>
      <c r="B10794" s="4" t="s">
        <v>13570</v>
      </c>
      <c r="C10794" s="5" t="str">
        <f>IFERROR(__xludf.DUMMYFUNCTION("GOOGLETRANSLATE(B10794,""en"",""zh-CN"")"),"她继续向投手加水以稀释。")</f>
        <v>她继续向投手加水以稀释。</v>
      </c>
    </row>
    <row r="10795">
      <c r="A10795" s="4" t="s">
        <v>13565</v>
      </c>
      <c r="B10795" s="4" t="s">
        <v>13571</v>
      </c>
      <c r="C10795" s="5" t="str">
        <f>IFERROR(__xludf.DUMMYFUNCTION("GOOGLETRANSLATE(B10795,""en"",""zh-CN"")"),"之后，她向投手添加了更多糖。")</f>
        <v>之后，她向投手添加了更多糖。</v>
      </c>
    </row>
    <row r="10796">
      <c r="A10796" s="4" t="s">
        <v>13565</v>
      </c>
      <c r="B10796" s="4" t="s">
        <v>13572</v>
      </c>
      <c r="C10796" s="5" t="str">
        <f>IFERROR(__xludf.DUMMYFUNCTION("GOOGLETRANSLATE(B10796,""en"",""zh-CN"")"),"她将成品柠檬水倒入杯子中。")</f>
        <v>她将成品柠檬水倒入杯子中。</v>
      </c>
    </row>
    <row r="10797">
      <c r="A10797" s="4" t="s">
        <v>13565</v>
      </c>
      <c r="B10797" s="4" t="s">
        <v>13573</v>
      </c>
      <c r="C10797" s="5" t="str">
        <f>IFERROR(__xludf.DUMMYFUNCTION("GOOGLETRANSLATE(B10797,""en"",""zh-CN"")"),"制作柠檬水的步骤再次提出。")</f>
        <v>制作柠檬水的步骤再次提出。</v>
      </c>
    </row>
    <row r="10798">
      <c r="A10798" s="4" t="s">
        <v>13574</v>
      </c>
      <c r="B10798" s="6" t="s">
        <v>13575</v>
      </c>
      <c r="C10798" s="5" t="str">
        <f>IFERROR(__xludf.DUMMYFUNCTION("GOOGLETRANSLATE(B10798,""en"",""zh-CN"")"),"一群拿着滑板的人站在起跑线上，然后人们滑行在路上。")</f>
        <v>一群拿着滑板的人站在起跑线上，然后人们滑行在路上。</v>
      </c>
    </row>
    <row r="10799">
      <c r="A10799" s="4" t="s">
        <v>13574</v>
      </c>
      <c r="B10799" s="4" t="s">
        <v>13576</v>
      </c>
      <c r="C10799" s="5" t="str">
        <f>IFERROR(__xludf.DUMMYFUNCTION("GOOGLETRANSLATE(B10799,""en"",""zh-CN"")"),"他们上了校车，然后，他们在路上滑板。")</f>
        <v>他们上了校车，然后，他们在路上滑板。</v>
      </c>
    </row>
    <row r="10800">
      <c r="A10800" s="4" t="s">
        <v>13574</v>
      </c>
      <c r="B10800" s="4" t="s">
        <v>13577</v>
      </c>
      <c r="C10800" s="5" t="str">
        <f>IFERROR(__xludf.DUMMYFUNCTION("GOOGLETRANSLATE(B10800,""en"",""zh-CN"")"),"一个男孩落在地面上，其他人继续滑板。")</f>
        <v>一个男孩落在地面上，其他人继续滑板。</v>
      </c>
    </row>
    <row r="10801">
      <c r="A10801" s="4" t="s">
        <v>13574</v>
      </c>
      <c r="B10801" s="4" t="s">
        <v>13578</v>
      </c>
      <c r="C10801" s="5" t="str">
        <f>IFERROR(__xludf.DUMMYFUNCTION("GOOGLETRANSLATE(B10801,""en"",""zh-CN"")"),"两个，人们跌倒在路上。")</f>
        <v>两个，人们跌倒在路上。</v>
      </c>
    </row>
    <row r="10802">
      <c r="A10802" s="4" t="s">
        <v>13574</v>
      </c>
      <c r="B10802" s="6" t="s">
        <v>13579</v>
      </c>
      <c r="C10802" s="5" t="str">
        <f>IFERROR(__xludf.DUMMYFUNCTION("GOOGLETRANSLATE(B10802,""en"",""zh-CN"")"),"之后，一个男人将滑板在路上滑板的人开始，直到到达终点线以获得奖杯。")</f>
        <v>之后，一个男人将滑板在路上滑板的人开始，直到到达终点线以获得奖杯。</v>
      </c>
    </row>
    <row r="10803">
      <c r="A10803" s="4" t="s">
        <v>13574</v>
      </c>
      <c r="B10803" s="4" t="s">
        <v>13580</v>
      </c>
      <c r="C10803" s="5" t="str">
        <f>IFERROR(__xludf.DUMMYFUNCTION("GOOGLETRANSLATE(B10803,""en"",""zh-CN"")"),"一个人滑板跳到坡道上。")</f>
        <v>一个人滑板跳到坡道上。</v>
      </c>
    </row>
    <row r="10804">
      <c r="A10804" s="4" t="s">
        <v>13581</v>
      </c>
      <c r="B10804" s="4" t="s">
        <v>13582</v>
      </c>
      <c r="C10804" s="5" t="str">
        <f>IFERROR(__xludf.DUMMYFUNCTION("GOOGLETRANSLATE(B10804,""en"",""zh-CN"")"),"一个女人微笑着，然后在插管上拖了山丘。")</f>
        <v>一个女人微笑着，然后在插管上拖了山丘。</v>
      </c>
    </row>
    <row r="10805">
      <c r="A10805" s="4" t="s">
        <v>13581</v>
      </c>
      <c r="B10805" s="4" t="s">
        <v>13583</v>
      </c>
      <c r="C10805" s="5" t="str">
        <f>IFERROR(__xludf.DUMMYFUNCTION("GOOGLETRANSLATE(B10805,""en"",""zh-CN"")"),"她沿着山坡的路上笑着向相机挥手。")</f>
        <v>她沿着山坡的路上笑着向相机挥手。</v>
      </c>
    </row>
    <row r="10806">
      <c r="A10806" s="4" t="s">
        <v>13581</v>
      </c>
      <c r="B10806" s="4" t="s">
        <v>13584</v>
      </c>
      <c r="C10806" s="5" t="str">
        <f>IFERROR(__xludf.DUMMYFUNCTION("GOOGLETRANSLATE(B10806,""en"",""zh-CN"")"),"然后，向几个人展示了雪橇，然后停在雪地上。")</f>
        <v>然后，向几个人展示了雪橇，然后停在雪地上。</v>
      </c>
    </row>
    <row r="10807">
      <c r="A10807" s="4" t="s">
        <v>13585</v>
      </c>
      <c r="B10807" s="4" t="s">
        <v>13586</v>
      </c>
      <c r="C10807" s="5" t="str">
        <f>IFERROR(__xludf.DUMMYFUNCTION("GOOGLETRANSLATE(B10807,""en"",""zh-CN"")"),"一大群人在游泳池里游泳。")</f>
        <v>一大群人在游泳池里游泳。</v>
      </c>
    </row>
    <row r="10808">
      <c r="A10808" s="4" t="s">
        <v>13585</v>
      </c>
      <c r="B10808" s="6" t="s">
        <v>13587</v>
      </c>
      <c r="C10808" s="5" t="str">
        <f>IFERROR(__xludf.DUMMYFUNCTION("GOOGLETRANSLATE(B10808,""en"",""zh-CN"")"),"比赛继续进行，人们将球传播到游泳池周围，而许多人则沿着场边看观看。")</f>
        <v>比赛继续进行，人们将球传播到游泳池周围，而许多人则沿着场边看观看。</v>
      </c>
    </row>
    <row r="10809">
      <c r="A10809" s="4" t="s">
        <v>13588</v>
      </c>
      <c r="B10809" s="6" t="s">
        <v>13589</v>
      </c>
      <c r="C10809" s="5" t="str">
        <f>IFERROR(__xludf.DUMMYFUNCTION("GOOGLETRANSLATE(B10809,""en"",""zh-CN"")"),"一个在室外篮球场上的男子解释了如何用双臂，手，右手，左手和左手上篮两步进行上篮钻。")</f>
        <v>一个在室外篮球场上的男子解释了如何用双臂，手，右手，左手和左手上篮两步进行上篮钻。</v>
      </c>
    </row>
    <row r="10810">
      <c r="A10810" s="4" t="s">
        <v>13588</v>
      </c>
      <c r="B10810" s="6" t="s">
        <v>13590</v>
      </c>
      <c r="C10810" s="5" t="str">
        <f>IFERROR(__xludf.DUMMYFUNCTION("GOOGLETRANSLATE(B10810,""en"",""zh-CN"")"),"然后，他进入了球场上的哈希标记，并显示了各个距离上篮的各种变化以及如何进行练习。")</f>
        <v>然后，他进入了球场上的哈希标记，并显示了各个距离上篮的各种变化以及如何进行练习。</v>
      </c>
    </row>
    <row r="10811">
      <c r="A10811" s="4" t="s">
        <v>13588</v>
      </c>
      <c r="B10811" s="4" t="s">
        <v>13591</v>
      </c>
      <c r="C10811" s="5" t="str">
        <f>IFERROR(__xludf.DUMMYFUNCTION("GOOGLETRANSLATE(B10811,""en"",""zh-CN"")"),"然后，他回到相机上，解释了他的所作所为。")</f>
        <v>然后，他回到相机上，解释了他的所作所为。</v>
      </c>
    </row>
    <row r="10812">
      <c r="A10812" s="4" t="s">
        <v>13592</v>
      </c>
      <c r="B10812" s="4" t="s">
        <v>13593</v>
      </c>
      <c r="C10812" s="5" t="str">
        <f>IFERROR(__xludf.DUMMYFUNCTION("GOOGLETRANSLATE(B10812,""en"",""zh-CN"")"),"一个男人穿着红色西装外套时，在音乐摊位前的舞台上扮演手风琴。")</f>
        <v>一个男人穿着红色西装外套时，在音乐摊位前的舞台上扮演手风琴。</v>
      </c>
    </row>
    <row r="10813">
      <c r="A10813" s="4" t="s">
        <v>13592</v>
      </c>
      <c r="B10813" s="4" t="s">
        <v>13594</v>
      </c>
      <c r="C10813" s="5" t="str">
        <f>IFERROR(__xludf.DUMMYFUNCTION("GOOGLETRANSLATE(B10813,""en"",""zh-CN"")"),"一个人坐在舞台上的椅子上，在音乐架前扮演手风琴。")</f>
        <v>一个人坐在舞台上的椅子上，在音乐架前扮演手风琴。</v>
      </c>
    </row>
    <row r="10814">
      <c r="A10814" s="4" t="s">
        <v>13592</v>
      </c>
      <c r="B10814" s="6" t="s">
        <v>13595</v>
      </c>
      <c r="C10814" s="5" t="str">
        <f>IFERROR(__xludf.DUMMYFUNCTION("GOOGLETRANSLATE(B10814,""en"",""zh-CN"")"),"该男子的手指上下钥匙，用自由双手打开手风琴，然后用手结束表演并用手擦自己的头发。")</f>
        <v>该男子的手指上下钥匙，用自由双手打开手风琴，然后用手结束表演并用手擦自己的头发。</v>
      </c>
    </row>
    <row r="10815">
      <c r="A10815" s="4" t="s">
        <v>13596</v>
      </c>
      <c r="B10815" s="4" t="s">
        <v>13597</v>
      </c>
      <c r="C10815" s="5" t="str">
        <f>IFERROR(__xludf.DUMMYFUNCTION("GOOGLETRANSLATE(B10815,""en"",""zh-CN"")"),"一个男人跳上平行的酒吧，并做一个体操。")</f>
        <v>一个男人跳上平行的酒吧，并做一个体操。</v>
      </c>
    </row>
    <row r="10816">
      <c r="A10816" s="4" t="s">
        <v>13596</v>
      </c>
      <c r="B10816" s="4" t="s">
        <v>13598</v>
      </c>
      <c r="C10816" s="5" t="str">
        <f>IFERROR(__xludf.DUMMYFUNCTION("GOOGLETRANSLATE(B10816,""en"",""zh-CN"")"),"观众看着他在看台上。")</f>
        <v>观众看着他在看台上。</v>
      </c>
    </row>
    <row r="10817">
      <c r="A10817" s="4" t="s">
        <v>13596</v>
      </c>
      <c r="B10817" s="4" t="s">
        <v>13599</v>
      </c>
      <c r="C10817" s="5" t="str">
        <f>IFERROR(__xludf.DUMMYFUNCTION("GOOGLETRANSLATE(B10817,""en"",""zh-CN"")"),"他跳下来，双手举起落在垫子上。")</f>
        <v>他跳下来，双手举起落在垫子上。</v>
      </c>
    </row>
    <row r="10818">
      <c r="A10818" s="4" t="s">
        <v>13600</v>
      </c>
      <c r="B10818" s="4" t="s">
        <v>13601</v>
      </c>
      <c r="C10818" s="5" t="str">
        <f>IFERROR(__xludf.DUMMYFUNCTION("GOOGLETRANSLATE(B10818,""en"",""zh-CN"")"),"看到一名体操运动员准备好站立，向空中挥舞着一只手臂。")</f>
        <v>看到一名体操运动员准备好站立，向空中挥舞着一只手臂。</v>
      </c>
    </row>
    <row r="10819">
      <c r="A10819" s="4" t="s">
        <v>13600</v>
      </c>
      <c r="B10819" s="6" t="s">
        <v>13602</v>
      </c>
      <c r="C10819" s="5" t="str">
        <f>IFERROR(__xludf.DUMMYFUNCTION("GOOGLETRANSLATE(B10819,""en"",""zh-CN"")"),"她跳上了一套不平坦的条，并表演了由翻转和技巧组成的体操例程。")</f>
        <v>她跳上了一套不平坦的条，并表演了由翻转和技巧组成的体操例程。</v>
      </c>
    </row>
    <row r="10820">
      <c r="A10820" s="4" t="s">
        <v>13600</v>
      </c>
      <c r="B10820" s="4" t="s">
        <v>13603</v>
      </c>
      <c r="C10820" s="5" t="str">
        <f>IFERROR(__xludf.DUMMYFUNCTION("GOOGLETRANSLATE(B10820,""en"",""zh-CN"")"),"她最终跳下酒吧，在教练为她拍手时，挥舞着胳膊。")</f>
        <v>她最终跳下酒吧，在教练为她拍手时，挥舞着胳膊。</v>
      </c>
    </row>
    <row r="10821">
      <c r="A10821" s="4" t="s">
        <v>13604</v>
      </c>
      <c r="B10821" s="4" t="s">
        <v>13605</v>
      </c>
      <c r="C10821" s="5" t="str">
        <f>IFERROR(__xludf.DUMMYFUNCTION("GOOGLETRANSLATE(B10821,""en"",""zh-CN"")"),"伙计们在冰场上打曲棍球。")</f>
        <v>伙计们在冰场上打曲棍球。</v>
      </c>
    </row>
    <row r="10822">
      <c r="A10822" s="4" t="s">
        <v>13604</v>
      </c>
      <c r="B10822" s="4" t="s">
        <v>13606</v>
      </c>
      <c r="C10822" s="5" t="str">
        <f>IFERROR(__xludf.DUMMYFUNCTION("GOOGLETRANSLATE(B10822,""en"",""zh-CN"")"),"一些球员被布局。")</f>
        <v>一些球员被布局。</v>
      </c>
    </row>
    <row r="10823">
      <c r="A10823" s="4" t="s">
        <v>13604</v>
      </c>
      <c r="B10823" s="4" t="s">
        <v>13607</v>
      </c>
      <c r="C10823" s="5" t="str">
        <f>IFERROR(__xludf.DUMMYFUNCTION("GOOGLETRANSLATE(B10823,""en"",""zh-CN"")"),"一堆球员躺在堕落的运动员身上。")</f>
        <v>一堆球员躺在堕落的运动员身上。</v>
      </c>
    </row>
    <row r="10824">
      <c r="A10824" s="4" t="s">
        <v>13604</v>
      </c>
      <c r="B10824" s="4" t="s">
        <v>13608</v>
      </c>
      <c r="C10824" s="5" t="str">
        <f>IFERROR(__xludf.DUMMYFUNCTION("GOOGLETRANSLATE(B10824,""en"",""zh-CN"")"),"一名球员也被撞到冰和头盔上。")</f>
        <v>一名球员也被撞到冰和头盔上。</v>
      </c>
    </row>
    <row r="10825">
      <c r="A10825" s="4" t="s">
        <v>13604</v>
      </c>
      <c r="B10825" s="4" t="s">
        <v>13609</v>
      </c>
      <c r="C10825" s="5" t="str">
        <f>IFERROR(__xludf.DUMMYFUNCTION("GOOGLETRANSLATE(B10825,""en"",""zh-CN"")"),"一个人头部受伤，摔倒后在冰上流血。")</f>
        <v>一个人头部受伤，摔倒后在冰上流血。</v>
      </c>
    </row>
    <row r="10826">
      <c r="A10826" s="4" t="s">
        <v>13610</v>
      </c>
      <c r="B10826" s="4" t="s">
        <v>13611</v>
      </c>
      <c r="C10826" s="5" t="str">
        <f>IFERROR(__xludf.DUMMYFUNCTION("GOOGLETRANSLATE(B10826,""en"",""zh-CN"")"),"看到一名体操运动员靠在一个长的酒吧上，一个人站在她旁边。")</f>
        <v>看到一名体操运动员靠在一个长的酒吧上，一个人站在她旁边。</v>
      </c>
    </row>
    <row r="10827">
      <c r="A10827" s="4" t="s">
        <v>13610</v>
      </c>
      <c r="B10827" s="4" t="s">
        <v>13612</v>
      </c>
      <c r="C10827" s="5" t="str">
        <f>IFERROR(__xludf.DUMMYFUNCTION("GOOGLETRANSLATE(B10827,""en"",""zh-CN"")"),"然后，女孩在光束上跳来跳去。")</f>
        <v>然后，女孩在光束上跳来跳去。</v>
      </c>
    </row>
    <row r="10828">
      <c r="A10828" s="4" t="s">
        <v>13610</v>
      </c>
      <c r="B10828" s="4" t="s">
        <v>13613</v>
      </c>
      <c r="C10828" s="5" t="str">
        <f>IFERROR(__xludf.DUMMYFUNCTION("GOOGLETRANSLATE(B10828,""en"",""zh-CN"")"),"最终，女孩开始摇摆。")</f>
        <v>最终，女孩开始摇摆。</v>
      </c>
    </row>
    <row r="10829">
      <c r="A10829" s="4" t="s">
        <v>13614</v>
      </c>
      <c r="B10829" s="4" t="s">
        <v>13615</v>
      </c>
      <c r="C10829" s="5" t="str">
        <f>IFERROR(__xludf.DUMMYFUNCTION("GOOGLETRANSLATE(B10829,""en"",""zh-CN"")"),"一个小组站在火车站。")</f>
        <v>一个小组站在火车站。</v>
      </c>
    </row>
    <row r="10830">
      <c r="A10830" s="4" t="s">
        <v>13614</v>
      </c>
      <c r="B10830" s="4" t="s">
        <v>13616</v>
      </c>
      <c r="C10830" s="5" t="str">
        <f>IFERROR(__xludf.DUMMYFUNCTION("GOOGLETRANSLATE(B10830,""en"",""zh-CN"")"),"一个人从人行道上铲雪。")</f>
        <v>一个人从人行道上铲雪。</v>
      </c>
    </row>
    <row r="10831">
      <c r="A10831" s="4" t="s">
        <v>13614</v>
      </c>
      <c r="B10831" s="4" t="s">
        <v>13617</v>
      </c>
      <c r="C10831" s="5" t="str">
        <f>IFERROR(__xludf.DUMMYFUNCTION("GOOGLETRANSLATE(B10831,""en"",""zh-CN"")"),"在寒冷的冬天，一个坐在轮椅上的男人沿着人行道下降。")</f>
        <v>在寒冷的冬天，一个坐在轮椅上的男人沿着人行道下降。</v>
      </c>
    </row>
    <row r="10832">
      <c r="A10832" s="4" t="s">
        <v>13614</v>
      </c>
      <c r="B10832" s="4" t="s">
        <v>13618</v>
      </c>
      <c r="C10832" s="5" t="str">
        <f>IFERROR(__xludf.DUMMYFUNCTION("GOOGLETRANSLATE(B10832,""en"",""zh-CN"")"),"一个穿着雪夹克的女人从人行道上铲雪。")</f>
        <v>一个穿着雪夹克的女人从人行道上铲雪。</v>
      </c>
    </row>
    <row r="10833">
      <c r="A10833" s="4" t="s">
        <v>13614</v>
      </c>
      <c r="B10833" s="4" t="s">
        <v>13619</v>
      </c>
      <c r="C10833" s="5" t="str">
        <f>IFERROR(__xludf.DUMMYFUNCTION("GOOGLETRANSLATE(B10833,""en"",""zh-CN"")"),"一个男人用黑桃分解冰。")</f>
        <v>一个男人用黑桃分解冰。</v>
      </c>
    </row>
    <row r="10834">
      <c r="A10834" s="4" t="s">
        <v>13614</v>
      </c>
      <c r="B10834" s="4" t="s">
        <v>13620</v>
      </c>
      <c r="C10834" s="5" t="str">
        <f>IFERROR(__xludf.DUMMYFUNCTION("GOOGLETRANSLATE(B10834,""en"",""zh-CN"")"),"一个人将雪从人行道铲入衬里的树林种植者。")</f>
        <v>一个人将雪从人行道铲入衬里的树林种植者。</v>
      </c>
    </row>
    <row r="10835">
      <c r="A10835" s="4" t="s">
        <v>13621</v>
      </c>
      <c r="B10835" s="4" t="s">
        <v>13622</v>
      </c>
      <c r="C10835" s="5" t="str">
        <f>IFERROR(__xludf.DUMMYFUNCTION("GOOGLETRANSLATE(B10835,""en"",""zh-CN"")"),"看到两个人拿着网球拍，在一个小房间里撞到一个球。")</f>
        <v>看到两个人拿着网球拍，在一个小房间里撞到一个球。</v>
      </c>
    </row>
    <row r="10836">
      <c r="A10836" s="4" t="s">
        <v>13621</v>
      </c>
      <c r="B10836" s="4" t="s">
        <v>13623</v>
      </c>
      <c r="C10836" s="5" t="str">
        <f>IFERROR(__xludf.DUMMYFUNCTION("GOOGLETRANSLATE(B10836,""en"",""zh-CN"")"),"这些人继续向后击球，彼此击中第四，并在击球中奔跑。")</f>
        <v>这些人继续向后击球，彼此击中第四，并在击球中奔跑。</v>
      </c>
    </row>
    <row r="10837">
      <c r="A10837" s="4" t="s">
        <v>13624</v>
      </c>
      <c r="B10837" s="4" t="s">
        <v>13625</v>
      </c>
      <c r="C10837" s="5" t="str">
        <f>IFERROR(__xludf.DUMMYFUNCTION("GOOGLETRANSLATE(B10837,""en"",""zh-CN"")"),"一个家伙站在田野里，点燃了一张纸。")</f>
        <v>一个家伙站在田野里，点燃了一张纸。</v>
      </c>
    </row>
    <row r="10838">
      <c r="A10838" s="4" t="s">
        <v>13624</v>
      </c>
      <c r="B10838" s="4" t="s">
        <v>13626</v>
      </c>
      <c r="C10838" s="5" t="str">
        <f>IFERROR(__xludf.DUMMYFUNCTION("GOOGLETRANSLATE(B10838,""en"",""zh-CN"")"),"一个家伙把纸扔向堆栈木头，然后跑。")</f>
        <v>一个家伙把纸扔向堆栈木头，然后跑。</v>
      </c>
    </row>
    <row r="10839">
      <c r="A10839" s="4" t="s">
        <v>13624</v>
      </c>
      <c r="B10839" s="4" t="s">
        <v>13627</v>
      </c>
      <c r="C10839" s="5" t="str">
        <f>IFERROR(__xludf.DUMMYFUNCTION("GOOGLETRANSLATE(B10839,""en"",""zh-CN"")"),"木头着火了。")</f>
        <v>木头着火了。</v>
      </c>
    </row>
    <row r="10840">
      <c r="A10840" s="4" t="s">
        <v>13624</v>
      </c>
      <c r="B10840" s="4" t="s">
        <v>13628</v>
      </c>
      <c r="C10840" s="5" t="str">
        <f>IFERROR(__xludf.DUMMYFUNCTION("GOOGLETRANSLATE(B10840,""en"",""zh-CN"")"),"那家伙走向一个男人。")</f>
        <v>那家伙走向一个男人。</v>
      </c>
    </row>
    <row r="10841">
      <c r="A10841" s="4" t="s">
        <v>13629</v>
      </c>
      <c r="B10841" s="4" t="s">
        <v>13630</v>
      </c>
      <c r="C10841" s="5" t="str">
        <f>IFERROR(__xludf.DUMMYFUNCTION("GOOGLETRANSLATE(B10841,""en"",""zh-CN"")"),"相机在室内健身房周围竖起，并进入杆子夹在酒吧上。")</f>
        <v>相机在室内健身房周围竖起，并进入杆子夹在酒吧上。</v>
      </c>
    </row>
    <row r="10842">
      <c r="A10842" s="4" t="s">
        <v>13629</v>
      </c>
      <c r="B10842" s="4" t="s">
        <v>13631</v>
      </c>
      <c r="C10842" s="5" t="str">
        <f>IFERROR(__xludf.DUMMYFUNCTION("GOOGLETRANSLATE(B10842,""en"",""zh-CN"")"),"显示了几个人在横梁上跑着杆子，然后在一个接一个的垫子上奔跑。")</f>
        <v>显示了几个人在横梁上跑着杆子，然后在一个接一个的垫子上奔跑。</v>
      </c>
    </row>
    <row r="10843">
      <c r="A10843" s="4" t="s">
        <v>13629</v>
      </c>
      <c r="B10843" s="4" t="s">
        <v>13632</v>
      </c>
      <c r="C10843" s="5" t="str">
        <f>IFERROR(__xludf.DUMMYFUNCTION("GOOGLETRANSLATE(B10843,""en"",""zh-CN"")"),"越来越多的人轮流，而其他人则在健身房走来走去，看着他们的侧面。")</f>
        <v>越来越多的人轮流，而其他人则在健身房走来走去，看着他们的侧面。</v>
      </c>
    </row>
    <row r="10844">
      <c r="A10844" s="4" t="s">
        <v>13633</v>
      </c>
      <c r="B10844" s="6" t="s">
        <v>13634</v>
      </c>
      <c r="C10844" s="5" t="str">
        <f>IFERROR(__xludf.DUMMYFUNCTION("GOOGLETRANSLATE(B10844,""en"",""zh-CN"")"),"Brenmar一词位于屏幕的中心，然后更改为Uniiqu3和Hoola Hoop一词。")</f>
        <v>Brenmar一词位于屏幕的中心，然后更改为Uniiqu3和Hoola Hoop一词。</v>
      </c>
    </row>
    <row r="10845">
      <c r="A10845" s="4" t="s">
        <v>13633</v>
      </c>
      <c r="B10845" s="4" t="s">
        <v>13635</v>
      </c>
      <c r="C10845" s="5" t="str">
        <f>IFERROR(__xludf.DUMMYFUNCTION("GOOGLETRANSLATE(B10845,""en"",""zh-CN"")"),"三名穿着黑色的妇女站在她的手上握着一个白色的Hoola Hoope。")</f>
        <v>三名穿着黑色的妇女站在她的手上握着一个白色的Hoola Hoope。</v>
      </c>
    </row>
    <row r="10846">
      <c r="A10846" s="4" t="s">
        <v>13633</v>
      </c>
      <c r="B10846" s="4" t="s">
        <v>13636</v>
      </c>
      <c r="C10846" s="5" t="str">
        <f>IFERROR(__xludf.DUMMYFUNCTION("GOOGLETRANSLATE(B10846,""en"",""zh-CN"")"),"一个男人正在弯曲在霍拉箍的地板上。")</f>
        <v>一个男人正在弯曲在霍拉箍的地板上。</v>
      </c>
    </row>
    <row r="10847">
      <c r="A10847" s="4" t="s">
        <v>13633</v>
      </c>
      <c r="B10847" s="4" t="s">
        <v>13637</v>
      </c>
      <c r="C10847" s="5" t="str">
        <f>IFERROR(__xludf.DUMMYFUNCTION("GOOGLETRANSLATE(B10847,""en"",""zh-CN"")"),"穿着黑色裤子和白色衬衫的女人开始用霍拉箍阿隆（Arond Arond）跳舞。")</f>
        <v>穿着黑色裤子和白色衬衫的女人开始用霍拉箍阿隆（Arond Arond）跳舞。</v>
      </c>
    </row>
    <row r="10848">
      <c r="A10848" s="4" t="s">
        <v>13633</v>
      </c>
      <c r="B10848" s="6" t="s">
        <v>13638</v>
      </c>
      <c r="C10848" s="5" t="str">
        <f>IFERROR(__xludf.DUMMYFUNCTION("GOOGLETRANSLATE(B10848,""en"",""zh-CN"")"),"带有黄色头发的第二个女人开始跳舞两个人，一组跳舞的女人在男人看着男人的同时，出现了用hoola箍做技巧，绿色外套的女人正在唱歌。")</f>
        <v>带有黄色头发的第二个女人开始跳舞两个人，一组跳舞的女人在男人看着男人的同时，出现了用hoola箍做技巧，绿色外套的女人正在唱歌。</v>
      </c>
    </row>
    <row r="10849">
      <c r="A10849" s="4" t="s">
        <v>13633</v>
      </c>
      <c r="B10849" s="6" t="s">
        <v>13639</v>
      </c>
      <c r="C10849" s="5" t="str">
        <f>IFERROR(__xludf.DUMMYFUNCTION("GOOGLETRANSLATE(B10849,""en"",""zh-CN"")"),"女人出现在一个黑暗的房间里，有着出色的霍拉箍跳舞和做技巧，黄色头发的女人一直独自跳舞。")</f>
        <v>女人出现在一个黑暗的房间里，有着出色的霍拉箍跳舞和做技巧，黄色头发的女人一直独自跳舞。</v>
      </c>
    </row>
    <row r="10850">
      <c r="A10850" s="4" t="s">
        <v>13640</v>
      </c>
      <c r="B10850" s="4" t="s">
        <v>13641</v>
      </c>
      <c r="C10850" s="5" t="str">
        <f>IFERROR(__xludf.DUMMYFUNCTION("GOOGLETRANSLATE(B10850,""en"",""zh-CN"")"),"穿着黑色衬衫的男人跪着，伸手去拿他的后腿。")</f>
        <v>穿着黑色衬衫的男人跪着，伸手去拿他的后腿。</v>
      </c>
    </row>
    <row r="10851">
      <c r="A10851" s="4" t="s">
        <v>13640</v>
      </c>
      <c r="B10851" s="4" t="s">
        <v>13642</v>
      </c>
      <c r="C10851" s="5" t="str">
        <f>IFERROR(__xludf.DUMMYFUNCTION("GOOGLETRANSLATE(B10851,""en"",""zh-CN"")"),"该男子略微向前移动。")</f>
        <v>该男子略微向前移动。</v>
      </c>
    </row>
    <row r="10852">
      <c r="A10852" s="4" t="s">
        <v>13640</v>
      </c>
      <c r="B10852" s="4" t="s">
        <v>13643</v>
      </c>
      <c r="C10852" s="5" t="str">
        <f>IFERROR(__xludf.DUMMYFUNCTION("GOOGLETRANSLATE(B10852,""en"",""zh-CN"")"),"该男子握住脚踝时停了下来。")</f>
        <v>该男子握住脚踝时停了下来。</v>
      </c>
    </row>
    <row r="10853">
      <c r="A10853" s="4" t="s">
        <v>13644</v>
      </c>
      <c r="B10853" s="6" t="s">
        <v>13645</v>
      </c>
      <c r="C10853" s="5" t="str">
        <f>IFERROR(__xludf.DUMMYFUNCTION("GOOGLETRANSLATE(B10853,""en"",""zh-CN"")"),"这个人在滑水，他坐下来站起来，除了他向后握住手柄杆。")</f>
        <v>这个人在滑水，他坐下来站起来，除了他向后握住手柄杆。</v>
      </c>
    </row>
    <row r="10854">
      <c r="A10854" s="4" t="s">
        <v>13644</v>
      </c>
      <c r="B10854" s="6" t="s">
        <v>13646</v>
      </c>
      <c r="C10854" s="5" t="str">
        <f>IFERROR(__xludf.DUMMYFUNCTION("GOOGLETRANSLATE(B10854,""en"",""zh-CN"")"),"当他滑雪时，他试图像正常人一样站起来，但是当他试图转身时，他会飞起来。")</f>
        <v>当他滑雪时，他试图像正常人一样站起来，但是当他试图转身时，他会飞起来。</v>
      </c>
    </row>
    <row r="10855">
      <c r="A10855" s="4" t="s">
        <v>13647</v>
      </c>
      <c r="B10855" s="4" t="s">
        <v>13648</v>
      </c>
      <c r="C10855" s="5" t="str">
        <f>IFERROR(__xludf.DUMMYFUNCTION("GOOGLETRANSLATE(B10855,""en"",""zh-CN"")"),"一个人在人行道上铲雪。")</f>
        <v>一个人在人行道上铲雪。</v>
      </c>
    </row>
    <row r="10856">
      <c r="A10856" s="4" t="s">
        <v>13647</v>
      </c>
      <c r="B10856" s="4" t="s">
        <v>13649</v>
      </c>
      <c r="C10856" s="5" t="str">
        <f>IFERROR(__xludf.DUMMYFUNCTION("GOOGLETRANSLATE(B10856,""en"",""zh-CN"")"),"一只狗在他投掷的雪中跳跃。")</f>
        <v>一只狗在他投掷的雪中跳跃。</v>
      </c>
    </row>
    <row r="10857">
      <c r="A10857" s="4" t="s">
        <v>13647</v>
      </c>
      <c r="B10857" s="4" t="s">
        <v>13650</v>
      </c>
      <c r="C10857" s="5" t="str">
        <f>IFERROR(__xludf.DUMMYFUNCTION("GOOGLETRANSLATE(B10857,""en"",""zh-CN"")"),"单词进入屏幕。")</f>
        <v>单词进入屏幕。</v>
      </c>
    </row>
    <row r="10858">
      <c r="A10858" s="4" t="s">
        <v>13651</v>
      </c>
      <c r="B10858" s="4" t="s">
        <v>13652</v>
      </c>
      <c r="C10858" s="5" t="str">
        <f>IFERROR(__xludf.DUMMYFUNCTION("GOOGLETRANSLATE(B10858,""en"",""zh-CN"")"),"看到一个男人和另一个男人坐在扑克桌子旁边，对相机发疯。")</f>
        <v>看到一个男人和另一个男人坐在扑克桌子旁边，对相机发疯。</v>
      </c>
    </row>
    <row r="10859">
      <c r="A10859" s="4" t="s">
        <v>13651</v>
      </c>
      <c r="B10859" s="6" t="s">
        <v>13653</v>
      </c>
      <c r="C10859" s="5" t="str">
        <f>IFERROR(__xludf.DUMMYFUNCTION("GOOGLETRANSLATE(B10859,""en"",""zh-CN"")"),"这些人将舌头伸向相机，相机在另一张桌子上移动，人们在玩耍。")</f>
        <v>这些人将舌头伸向相机，相机在另一张桌子上移动，人们在玩耍。</v>
      </c>
    </row>
    <row r="10860">
      <c r="A10860" s="4" t="s">
        <v>13651</v>
      </c>
      <c r="B10860" s="4" t="s">
        <v>13654</v>
      </c>
      <c r="C10860" s="5" t="str">
        <f>IFERROR(__xludf.DUMMYFUNCTION("GOOGLETRANSLATE(B10860,""en"",""zh-CN"")"),"最后，他面对相机朝向自己。")</f>
        <v>最后，他面对相机朝向自己。</v>
      </c>
    </row>
    <row r="10861">
      <c r="A10861" s="4" t="s">
        <v>13655</v>
      </c>
      <c r="B10861" s="4" t="s">
        <v>13656</v>
      </c>
      <c r="C10861" s="5" t="str">
        <f>IFERROR(__xludf.DUMMYFUNCTION("GOOGLETRANSLATE(B10861,""en"",""zh-CN"")"),"一个少年拿着小提琴，然后在其他谈话和笑的青少年面前玩耍。")</f>
        <v>一个少年拿着小提琴，然后在其他谈话和笑的青少年面前玩耍。</v>
      </c>
    </row>
    <row r="10862">
      <c r="A10862" s="4" t="s">
        <v>13655</v>
      </c>
      <c r="B10862" s="4" t="s">
        <v>13657</v>
      </c>
      <c r="C10862" s="5" t="str">
        <f>IFERROR(__xludf.DUMMYFUNCTION("GOOGLETRANSLATE(B10862,""en"",""zh-CN"")"),"青少年说话并发表评论，女人发笑。")</f>
        <v>青少年说话并发表评论，女人发笑。</v>
      </c>
    </row>
    <row r="10863">
      <c r="A10863" s="4" t="s">
        <v>13655</v>
      </c>
      <c r="B10863" s="4" t="s">
        <v>13658</v>
      </c>
      <c r="C10863" s="5" t="str">
        <f>IFERROR(__xludf.DUMMYFUNCTION("GOOGLETRANSLATE(B10863,""en"",""zh-CN"")"),"然后房间里的人鼓掌。")</f>
        <v>然后房间里的人鼓掌。</v>
      </c>
    </row>
    <row r="10864">
      <c r="A10864" s="4" t="s">
        <v>13659</v>
      </c>
      <c r="B10864" s="6" t="s">
        <v>13660</v>
      </c>
      <c r="C10864" s="5" t="str">
        <f>IFERROR(__xludf.DUMMYFUNCTION("GOOGLETRANSLATE(B10864,""en"",""zh-CN"")"),"两个女人站在厨房里，一个女孩穿着黑色上衣，另一个女孩穿着米色上衣。")</f>
        <v>两个女人站在厨房里，一个女孩穿着黑色上衣，另一个女孩穿着米色上衣。</v>
      </c>
    </row>
    <row r="10865">
      <c r="A10865" s="4" t="s">
        <v>13659</v>
      </c>
      <c r="B10865" s="6" t="s">
        <v>13661</v>
      </c>
      <c r="C10865" s="5" t="str">
        <f>IFERROR(__xludf.DUMMYFUNCTION("GOOGLETRANSLATE(B10865,""en"",""zh-CN"")"),"米色中的女人在厨房柜台上显示一个三明治，然后开始使用剥皮器撒尿绿色黄瓜，然后开始切成黄瓜。")</f>
        <v>米色中的女人在厨房柜台上显示一个三明治，然后开始使用剥皮器撒尿绿色黄瓜，然后开始切成黄瓜。</v>
      </c>
    </row>
    <row r="10866">
      <c r="A10866" s="4" t="s">
        <v>13659</v>
      </c>
      <c r="B10866" s="6" t="s">
        <v>13662</v>
      </c>
      <c r="C10866" s="5" t="str">
        <f>IFERROR(__xludf.DUMMYFUNCTION("GOOGLETRANSLATE(B10866,""en"",""zh-CN"")"),"然后，她将黄油撒在面包上，将切成薄片的黄瓜放在面包上，撒些盐，切成面包的边缘，然后将其切成三角形，然后放在白板上，然后两个女人都吃了三明治。")</f>
        <v>然后，她将黄油撒在面包上，将切成薄片的黄瓜放在面包上，撒些盐，切成面包的边缘，然后将其切成三角形，然后放在白板上，然后两个女人都吃了三明治。</v>
      </c>
    </row>
    <row r="10867">
      <c r="A10867" s="4" t="s">
        <v>13663</v>
      </c>
      <c r="B10867" s="4" t="s">
        <v>13664</v>
      </c>
      <c r="C10867" s="5" t="str">
        <f>IFERROR(__xludf.DUMMYFUNCTION("GOOGLETRANSLATE(B10867,""en"",""zh-CN"")"),"看到一个小孩手里拿着棍子向前走，将冰球推到轨道上。")</f>
        <v>看到一个小孩手里拿着棍子向前走，将冰球推到轨道上。</v>
      </c>
    </row>
    <row r="10868">
      <c r="A10868" s="4" t="s">
        <v>13663</v>
      </c>
      <c r="B10868" s="4" t="s">
        <v>13665</v>
      </c>
      <c r="C10868" s="5" t="str">
        <f>IFERROR(__xludf.DUMMYFUNCTION("GOOGLETRANSLATE(B10868,""en"",""zh-CN"")"),"他回去，另一个男孩撞到冰球，几个人在场边看。")</f>
        <v>他回去，另一个男孩撞到冰球，几个人在场边看。</v>
      </c>
    </row>
    <row r="10869">
      <c r="A10869" s="4" t="s">
        <v>13663</v>
      </c>
      <c r="B10869" s="4" t="s">
        <v>13666</v>
      </c>
      <c r="C10869" s="5" t="str">
        <f>IFERROR(__xludf.DUMMYFUNCTION("GOOGLETRANSLATE(B10869,""en"",""zh-CN"")"),"这个小男孩继续回去和第四。")</f>
        <v>这个小男孩继续回去和第四。</v>
      </c>
    </row>
    <row r="10870">
      <c r="A10870" s="4" t="s">
        <v>13667</v>
      </c>
      <c r="B10870" s="6" t="s">
        <v>13668</v>
      </c>
      <c r="C10870" s="5" t="str">
        <f>IFERROR(__xludf.DUMMYFUNCTION("GOOGLETRANSLATE(B10870,""en"",""zh-CN"")"),"看到一个男人在相机上说话，然后铺设了各种成分，他砍了蔬菜。")</f>
        <v>看到一个男人在相机上说话，然后铺设了各种成分，他砍了蔬菜。</v>
      </c>
    </row>
    <row r="10871">
      <c r="A10871" s="4" t="s">
        <v>13667</v>
      </c>
      <c r="B10871" s="4" t="s">
        <v>13669</v>
      </c>
      <c r="C10871" s="5" t="str">
        <f>IFERROR(__xludf.DUMMYFUNCTION("GOOGLETRANSLATE(B10871,""en"",""zh-CN"")"),"该男子继续切割并将成分混合到碗中。")</f>
        <v>该男子继续切割并将成分混合到碗中。</v>
      </c>
    </row>
    <row r="10872">
      <c r="A10872" s="4" t="s">
        <v>13667</v>
      </c>
      <c r="B10872" s="4" t="s">
        <v>13670</v>
      </c>
      <c r="C10872" s="5" t="str">
        <f>IFERROR(__xludf.DUMMYFUNCTION("GOOGLETRANSLATE(B10872,""en"",""zh-CN"")"),"他将液体倒入碗中，然后将其呈现在盘子上。")</f>
        <v>他将液体倒入碗中，然后将其呈现在盘子上。</v>
      </c>
    </row>
    <row r="10873">
      <c r="A10873" s="4" t="s">
        <v>13671</v>
      </c>
      <c r="B10873" s="4" t="s">
        <v>13672</v>
      </c>
      <c r="C10873" s="5" t="str">
        <f>IFERROR(__xludf.DUMMYFUNCTION("GOOGLETRANSLATE(B10873,""en"",""zh-CN"")"),"显示了天鹅湖芭蕾舞团的视频。")</f>
        <v>显示了天鹅湖芭蕾舞团的视频。</v>
      </c>
    </row>
    <row r="10874">
      <c r="A10874" s="4" t="s">
        <v>13671</v>
      </c>
      <c r="B10874" s="4" t="s">
        <v>13673</v>
      </c>
      <c r="C10874" s="5" t="str">
        <f>IFERROR(__xludf.DUMMYFUNCTION("GOOGLETRANSLATE(B10874,""en"",""zh-CN"")"),"他们执行该行为并采访一些演员。")</f>
        <v>他们执行该行为并采访一些演员。</v>
      </c>
    </row>
    <row r="10875">
      <c r="A10875" s="4" t="s">
        <v>13674</v>
      </c>
      <c r="B10875" s="6" t="s">
        <v>13675</v>
      </c>
      <c r="C10875" s="5" t="str">
        <f>IFERROR(__xludf.DUMMYFUNCTION("GOOGLETRANSLATE(B10875,""en"",""zh-CN"")"),"该视频导致了几张狗走来走去的镜头，并导致一个女人抚摸狗皮毛。")</f>
        <v>该视频导致了几张狗走来走去的镜头，并导致一个女人抚摸狗皮毛。</v>
      </c>
    </row>
    <row r="10876">
      <c r="A10876" s="4" t="s">
        <v>13674</v>
      </c>
      <c r="B10876" s="4" t="s">
        <v>13676</v>
      </c>
      <c r="C10876" s="5" t="str">
        <f>IFERROR(__xludf.DUMMYFUNCTION("GOOGLETRANSLATE(B10876,""en"",""zh-CN"")"),"该名女子继续刷牙，显示狗沿公园奔跑的剪辑。")</f>
        <v>该名女子继续刷牙，显示狗沿公园奔跑的剪辑。</v>
      </c>
    </row>
    <row r="10877">
      <c r="A10877" s="4" t="s">
        <v>13677</v>
      </c>
      <c r="B10877" s="4" t="s">
        <v>13678</v>
      </c>
      <c r="C10877" s="5" t="str">
        <f>IFERROR(__xludf.DUMMYFUNCTION("GOOGLETRANSLATE(B10877,""en"",""zh-CN"")"),"两个戴着头盔的成年男子正在教小男孩如何打冰球。")</f>
        <v>两个戴着头盔的成年男子正在教小男孩如何打冰球。</v>
      </c>
    </row>
    <row r="10878">
      <c r="A10878" s="4" t="s">
        <v>13677</v>
      </c>
      <c r="B10878" s="4" t="s">
        <v>13679</v>
      </c>
      <c r="C10878" s="5" t="str">
        <f>IFERROR(__xludf.DUMMYFUNCTION("GOOGLETRANSLATE(B10878,""en"",""zh-CN"")"),"男孩们聚集在一起，撞到地面上。")</f>
        <v>男孩们聚集在一起，撞到地面上。</v>
      </c>
    </row>
    <row r="10879">
      <c r="A10879" s="4" t="s">
        <v>13677</v>
      </c>
      <c r="B10879" s="4" t="s">
        <v>13680</v>
      </c>
      <c r="C10879" s="5" t="str">
        <f>IFERROR(__xludf.DUMMYFUNCTION("GOOGLETRANSLATE(B10879,""en"",""zh-CN"")"),"然后他们加油打气并滑行。")</f>
        <v>然后他们加油打气并滑行。</v>
      </c>
    </row>
    <row r="10880">
      <c r="A10880" s="4" t="s">
        <v>13681</v>
      </c>
      <c r="B10880" s="4" t="s">
        <v>13682</v>
      </c>
      <c r="C10880" s="5" t="str">
        <f>IFERROR(__xludf.DUMMYFUNCTION("GOOGLETRANSLATE(B10880,""en"",""zh-CN"")"),"穿着白色连衣裙的女人开始割草机。")</f>
        <v>穿着白色连衣裙的女人开始割草机。</v>
      </c>
    </row>
    <row r="10881">
      <c r="A10881" s="4" t="s">
        <v>13681</v>
      </c>
      <c r="B10881" s="4" t="s">
        <v>13683</v>
      </c>
      <c r="C10881" s="5" t="str">
        <f>IFERROR(__xludf.DUMMYFUNCTION("GOOGLETRANSLATE(B10881,""en"",""zh-CN"")"),"她开始割草。")</f>
        <v>她开始割草。</v>
      </c>
    </row>
    <row r="10882">
      <c r="A10882" s="4" t="s">
        <v>13681</v>
      </c>
      <c r="B10882" s="4" t="s">
        <v>13684</v>
      </c>
      <c r="C10882" s="5" t="str">
        <f>IFERROR(__xludf.DUMMYFUNCTION("GOOGLETRANSLATE(B10882,""en"",""zh-CN"")"),"她转身回去。")</f>
        <v>她转身回去。</v>
      </c>
    </row>
    <row r="10883">
      <c r="A10883" s="4" t="s">
        <v>13685</v>
      </c>
      <c r="B10883" s="4" t="s">
        <v>13686</v>
      </c>
      <c r="C10883" s="5" t="str">
        <f>IFERROR(__xludf.DUMMYFUNCTION("GOOGLETRANSLATE(B10883,""en"",""zh-CN"")"),"有人看到一个人站在一个田野上，开始在周围和周围摆动一个物体。")</f>
        <v>有人看到一个人站在一个田野上，开始在周围和周围摆动一个物体。</v>
      </c>
    </row>
    <row r="10884">
      <c r="A10884" s="4" t="s">
        <v>13685</v>
      </c>
      <c r="B10884" s="4" t="s">
        <v>13687</v>
      </c>
      <c r="C10884" s="5" t="str">
        <f>IFERROR(__xludf.DUMMYFUNCTION("GOOGLETRANSLATE(B10884,""en"",""zh-CN"")"),"他继续摇摆并结束比赛。")</f>
        <v>他继续摇摆并结束比赛。</v>
      </c>
    </row>
    <row r="10885">
      <c r="A10885" s="4" t="s">
        <v>13688</v>
      </c>
      <c r="B10885" s="4" t="s">
        <v>13689</v>
      </c>
      <c r="C10885" s="5" t="str">
        <f>IFERROR(__xludf.DUMMYFUNCTION("GOOGLETRANSLATE(B10885,""en"",""zh-CN"")"),"一个标志说屏幕上的SuperFresco轻松。")</f>
        <v>一个标志说屏幕上的SuperFresco轻松。</v>
      </c>
    </row>
    <row r="10886">
      <c r="A10886" s="4" t="s">
        <v>13688</v>
      </c>
      <c r="B10886" s="4" t="s">
        <v>13690</v>
      </c>
      <c r="C10886" s="5" t="str">
        <f>IFERROR(__xludf.DUMMYFUNCTION("GOOGLETRANSLATE(B10886,""en"",""zh-CN"")"),"一个男人被显示为用灰色油漆画一堵墙。")</f>
        <v>一个男人被显示为用灰色油漆画一堵墙。</v>
      </c>
    </row>
    <row r="10887">
      <c r="A10887" s="4" t="s">
        <v>13688</v>
      </c>
      <c r="B10887" s="4" t="s">
        <v>13691</v>
      </c>
      <c r="C10887" s="5" t="str">
        <f>IFERROR(__xludf.DUMMYFUNCTION("GOOGLETRANSLATE(B10887,""en"",""zh-CN"")"),"他使用宽阔的扫描来完全遮盖墙壁。")</f>
        <v>他使用宽阔的扫描来完全遮盖墙壁。</v>
      </c>
    </row>
    <row r="10888">
      <c r="A10888" s="4" t="s">
        <v>13692</v>
      </c>
      <c r="B10888" s="4" t="s">
        <v>13693</v>
      </c>
      <c r="C10888" s="5" t="str">
        <f>IFERROR(__xludf.DUMMYFUNCTION("GOOGLETRANSLATE(B10888,""en"",""zh-CN"")"),"从体育场的内部看到了几种观点。")</f>
        <v>从体育场的内部看到了几种观点。</v>
      </c>
    </row>
    <row r="10889">
      <c r="A10889" s="4" t="s">
        <v>13692</v>
      </c>
      <c r="B10889" s="4" t="s">
        <v>13694</v>
      </c>
      <c r="C10889" s="5" t="str">
        <f>IFERROR(__xludf.DUMMYFUNCTION("GOOGLETRANSLATE(B10889,""en"",""zh-CN"")"),"一群球队走进球场，欢呼。")</f>
        <v>一群球队走进球场，欢呼。</v>
      </c>
    </row>
    <row r="10890">
      <c r="A10890" s="4" t="s">
        <v>13692</v>
      </c>
      <c r="B10890" s="4" t="s">
        <v>13695</v>
      </c>
      <c r="C10890" s="5" t="str">
        <f>IFERROR(__xludf.DUMMYFUNCTION("GOOGLETRANSLATE(B10890,""en"",""zh-CN"")"),"当团队在比赛中实现目标时，人群欢呼雀跃。")</f>
        <v>当团队在比赛中实现目标时，人群欢呼雀跃。</v>
      </c>
    </row>
    <row r="10891">
      <c r="A10891" s="4" t="s">
        <v>13696</v>
      </c>
      <c r="B10891" s="4" t="s">
        <v>13697</v>
      </c>
      <c r="C10891" s="5" t="str">
        <f>IFERROR(__xludf.DUMMYFUNCTION("GOOGLETRANSLATE(B10891,""en"",""zh-CN"")"),"一个穿着冲浪服装的男人的名字和董事会的大小为特色。")</f>
        <v>一个穿着冲浪服装的男人的名字和董事会的大小为特色。</v>
      </c>
    </row>
    <row r="10892">
      <c r="A10892" s="4" t="s">
        <v>13696</v>
      </c>
      <c r="B10892" s="4" t="s">
        <v>13698</v>
      </c>
      <c r="C10892" s="5" t="str">
        <f>IFERROR(__xludf.DUMMYFUNCTION("GOOGLETRANSLATE(B10892,""en"",""zh-CN"")"),"视频切入海滩，该男子开始冲浪。")</f>
        <v>视频切入海滩，该男子开始冲浪。</v>
      </c>
    </row>
    <row r="10893">
      <c r="A10893" s="4" t="s">
        <v>13696</v>
      </c>
      <c r="B10893" s="4" t="s">
        <v>13699</v>
      </c>
      <c r="C10893" s="5" t="str">
        <f>IFERROR(__xludf.DUMMYFUNCTION("GOOGLETRANSLATE(B10893,""en"",""zh-CN"")"),"他抓住了海浪，但在大多数人中都会擦拭。")</f>
        <v>他抓住了海浪，但在大多数人中都会擦拭。</v>
      </c>
    </row>
    <row r="10894">
      <c r="A10894" s="4" t="s">
        <v>13696</v>
      </c>
      <c r="B10894" s="4" t="s">
        <v>13700</v>
      </c>
      <c r="C10894" s="5" t="str">
        <f>IFERROR(__xludf.DUMMYFUNCTION("GOOGLETRANSLATE(B10894,""en"",""zh-CN"")"),"一只鸟似乎潜入大海。")</f>
        <v>一只鸟似乎潜入大海。</v>
      </c>
    </row>
    <row r="10895">
      <c r="A10895" s="4" t="s">
        <v>13696</v>
      </c>
      <c r="B10895" s="4" t="s">
        <v>13701</v>
      </c>
      <c r="C10895" s="5" t="str">
        <f>IFERROR(__xludf.DUMMYFUNCTION("GOOGLETRANSLATE(B10895,""en"",""zh-CN"")"),"其他冲浪者进一步出现。")</f>
        <v>其他冲浪者进一步出现。</v>
      </c>
    </row>
    <row r="10896">
      <c r="A10896" s="4" t="s">
        <v>13702</v>
      </c>
      <c r="B10896" s="4" t="s">
        <v>13703</v>
      </c>
      <c r="C10896" s="5" t="str">
        <f>IFERROR(__xludf.DUMMYFUNCTION("GOOGLETRANSLATE(B10896,""en"",""zh-CN"")"),"一个女人走进厨房，转动烤箱上的旋钮。")</f>
        <v>一个女人走进厨房，转动烤箱上的旋钮。</v>
      </c>
    </row>
    <row r="10897">
      <c r="A10897" s="4" t="s">
        <v>13702</v>
      </c>
      <c r="B10897" s="6" t="s">
        <v>13704</v>
      </c>
      <c r="C10897" s="5" t="str">
        <f>IFERROR(__xludf.DUMMYFUNCTION("GOOGLETRANSLATE(B10897,""en"",""zh-CN"")"),"然后将搅拌机放在柜台上，然后将杠杆拉下来，然后将茶包放入杯子中。")</f>
        <v>然后将搅拌机放在柜台上，然后将杠杆拉下来，然后将茶包放入杯子中。</v>
      </c>
    </row>
    <row r="10898">
      <c r="A10898" s="4" t="s">
        <v>13702</v>
      </c>
      <c r="B10898" s="4" t="s">
        <v>13705</v>
      </c>
      <c r="C10898" s="5" t="str">
        <f>IFERROR(__xludf.DUMMYFUNCTION("GOOGLETRANSLATE(B10898,""en"",""zh-CN"")"),"然后，女士移到柜台上，在两个大架子上添加一张烘焙纸。")</f>
        <v>然后，女士移到柜台上，在两个大架子上添加一张烘焙纸。</v>
      </c>
    </row>
    <row r="10899">
      <c r="A10899" s="4" t="s">
        <v>13702</v>
      </c>
      <c r="B10899" s="4" t="s">
        <v>13706</v>
      </c>
      <c r="C10899" s="5" t="str">
        <f>IFERROR(__xludf.DUMMYFUNCTION("GOOGLETRANSLATE(B10899,""en"",""zh-CN"")"),"然后，她抓住沸腾的热水，将其倒入杯子中。")</f>
        <v>然后，她抓住沸腾的热水，将其倒入杯子中。</v>
      </c>
    </row>
    <row r="10900">
      <c r="A10900" s="4" t="s">
        <v>13702</v>
      </c>
      <c r="B10900" s="4" t="s">
        <v>13707</v>
      </c>
      <c r="C10900" s="5" t="str">
        <f>IFERROR(__xludf.DUMMYFUNCTION("GOOGLETRANSLATE(B10900,""en"",""zh-CN"")"),"她回到柜台，开始在架子上放置一卷饼干面团。")</f>
        <v>她回到柜台，开始在架子上放置一卷饼干面团。</v>
      </c>
    </row>
    <row r="10901">
      <c r="A10901" s="4" t="s">
        <v>13702</v>
      </c>
      <c r="B10901" s="6" t="s">
        <v>13708</v>
      </c>
      <c r="C10901" s="5" t="str">
        <f>IFERROR(__xludf.DUMMYFUNCTION("GOOGLETRANSLATE(B10901,""en"",""zh-CN"")"),"终于是时候把饼干放在烤箱里了，她将计时器放在手机上，以免燃烧它们。")</f>
        <v>终于是时候把饼干放在烤箱里了，她将计时器放在手机上，以免燃烧它们。</v>
      </c>
    </row>
    <row r="10902">
      <c r="A10902" s="4" t="s">
        <v>13702</v>
      </c>
      <c r="B10902" s="6" t="s">
        <v>13709</v>
      </c>
      <c r="C10902" s="5" t="str">
        <f>IFERROR(__xludf.DUMMYFUNCTION("GOOGLETRANSLATE(B10902,""en"",""zh-CN"")"),"时间到来后，她将它们从烤箱中取出，然后在盘子上添加一个，然后将其带到大厅下的一个女孩。")</f>
        <v>时间到来后，她将它们从烤箱中取出，然后在盘子上添加一个，然后将其带到大厅下的一个女孩。</v>
      </c>
    </row>
    <row r="10903">
      <c r="A10903" s="4" t="s">
        <v>13710</v>
      </c>
      <c r="B10903" s="4" t="s">
        <v>13711</v>
      </c>
      <c r="C10903" s="5" t="str">
        <f>IFERROR(__xludf.DUMMYFUNCTION("GOOGLETRANSLATE(B10903,""en"",""zh-CN"")"),"一个男人在相机上说话。")</f>
        <v>一个男人在相机上说话。</v>
      </c>
    </row>
    <row r="10904">
      <c r="A10904" s="4" t="s">
        <v>13710</v>
      </c>
      <c r="B10904" s="4" t="s">
        <v>13712</v>
      </c>
      <c r="C10904" s="5" t="str">
        <f>IFERROR(__xludf.DUMMYFUNCTION("GOOGLETRANSLATE(B10904,""en"",""zh-CN"")"),"他将一个大盒子滚到房间里，然后打开一个盒子里坐在里面的盒子。")</f>
        <v>他将一个大盒子滚到房间里，然后打开一个盒子里坐在里面的盒子。</v>
      </c>
    </row>
    <row r="10905">
      <c r="A10905" s="4" t="s">
        <v>13710</v>
      </c>
      <c r="B10905" s="6" t="s">
        <v>13713</v>
      </c>
      <c r="C10905" s="5" t="str">
        <f>IFERROR(__xludf.DUMMYFUNCTION("GOOGLETRANSLATE(B10905,""en"",""zh-CN"")"),"从盒子的内部，他拿出一个装满工具的小盒子，用于组装自行车。")</f>
        <v>从盒子的内部，他拿出一个装满工具的小盒子，用于组装自行车。</v>
      </c>
    </row>
    <row r="10906">
      <c r="A10906" s="4" t="s">
        <v>13710</v>
      </c>
      <c r="B10906" s="4" t="s">
        <v>13714</v>
      </c>
      <c r="C10906" s="5" t="str">
        <f>IFERROR(__xludf.DUMMYFUNCTION("GOOGLETRANSLATE(B10906,""en"",""zh-CN"")"),"他再次看到对镜头说话。")</f>
        <v>他再次看到对镜头说话。</v>
      </c>
    </row>
    <row r="10907">
      <c r="A10907" s="4" t="s">
        <v>13710</v>
      </c>
      <c r="B10907" s="4" t="s">
        <v>13715</v>
      </c>
      <c r="C10907" s="5" t="str">
        <f>IFERROR(__xludf.DUMMYFUNCTION("GOOGLETRANSLATE(B10907,""en"",""zh-CN"")"),"他卸下坐在自行车周围的所有盒子，然后组装自行车。")</f>
        <v>他卸下坐在自行车周围的所有盒子，然后组装自行车。</v>
      </c>
    </row>
    <row r="10908">
      <c r="A10908" s="4" t="s">
        <v>13710</v>
      </c>
      <c r="B10908" s="4" t="s">
        <v>13716</v>
      </c>
      <c r="C10908" s="5" t="str">
        <f>IFERROR(__xludf.DUMMYFUNCTION("GOOGLETRANSLATE(B10908,""en"",""zh-CN"")"),"再次，他与镜头说话。")</f>
        <v>再次，他与镜头说话。</v>
      </c>
    </row>
    <row r="10909">
      <c r="A10909" s="4" t="s">
        <v>13710</v>
      </c>
      <c r="B10909" s="4" t="s">
        <v>13717</v>
      </c>
      <c r="C10909" s="5" t="str">
        <f>IFERROR(__xludf.DUMMYFUNCTION("GOOGLETRANSLATE(B10909,""en"",""zh-CN"")"),"他从袋子上取下了两个踏板，并将两个踏板都固定在自行车上。")</f>
        <v>他从袋子上取下了两个踏板，并将两个踏板都固定在自行车上。</v>
      </c>
    </row>
    <row r="10910">
      <c r="A10910" s="4" t="s">
        <v>13710</v>
      </c>
      <c r="B10910" s="4" t="s">
        <v>13718</v>
      </c>
      <c r="C10910" s="5" t="str">
        <f>IFERROR(__xludf.DUMMYFUNCTION("GOOGLETRANSLATE(B10910,""en"",""zh-CN"")"),"他乘自行车乘车。")</f>
        <v>他乘自行车乘车。</v>
      </c>
    </row>
    <row r="10911">
      <c r="A10911" s="4" t="s">
        <v>13710</v>
      </c>
      <c r="B10911" s="4" t="s">
        <v>13719</v>
      </c>
      <c r="C10911" s="5" t="str">
        <f>IFERROR(__xludf.DUMMYFUNCTION("GOOGLETRANSLATE(B10911,""en"",""zh-CN"")"),"简而言之，他在相机上说话。")</f>
        <v>简而言之，他在相机上说话。</v>
      </c>
    </row>
    <row r="10912">
      <c r="A10912" s="4" t="s">
        <v>13720</v>
      </c>
      <c r="B10912" s="4" t="s">
        <v>13721</v>
      </c>
      <c r="C10912" s="5" t="str">
        <f>IFERROR(__xludf.DUMMYFUNCTION("GOOGLETRANSLATE(B10912,""en"",""zh-CN"")"),"我们看到两个人在玩桌上足球。")</f>
        <v>我们看到两个人在玩桌上足球。</v>
      </c>
    </row>
    <row r="10913">
      <c r="A10913" s="4" t="s">
        <v>13720</v>
      </c>
      <c r="B10913" s="4" t="s">
        <v>13722</v>
      </c>
      <c r="C10913" s="5" t="str">
        <f>IFERROR(__xludf.DUMMYFUNCTION("GOOGLETRANSLATE(B10913,""en"",""zh-CN"")"),"一个穿着黑色衬衫的男人离开房间，在离开前转身。")</f>
        <v>一个穿着黑色衬衫的男人离开房间，在离开前转身。</v>
      </c>
    </row>
    <row r="10914">
      <c r="A10914" s="4" t="s">
        <v>13720</v>
      </c>
      <c r="B10914" s="4" t="s">
        <v>13723</v>
      </c>
      <c r="C10914" s="5" t="str">
        <f>IFERROR(__xludf.DUMMYFUNCTION("GOOGLETRANSLATE(B10914,""en"",""zh-CN"")"),"一个男人把脸放在镜头前。")</f>
        <v>一个男人把脸放在镜头前。</v>
      </c>
    </row>
    <row r="10915">
      <c r="A10915" s="4" t="s">
        <v>13724</v>
      </c>
      <c r="B10915" s="4" t="s">
        <v>13725</v>
      </c>
      <c r="C10915" s="5" t="str">
        <f>IFERROR(__xludf.DUMMYFUNCTION("GOOGLETRANSLATE(B10915,""en"",""zh-CN"")"),"一个男人正在向一个男孩展示试图解决rubix立方体。")</f>
        <v>一个男人正在向一个男孩展示试图解决rubix立方体。</v>
      </c>
    </row>
    <row r="10916">
      <c r="A10916" s="4" t="s">
        <v>13724</v>
      </c>
      <c r="B10916" s="4" t="s">
        <v>13726</v>
      </c>
      <c r="C10916" s="5" t="str">
        <f>IFERROR(__xludf.DUMMYFUNCTION("GOOGLETRANSLATE(B10916,""en"",""zh-CN"")"),"计时器将要花费时间，而他周围的男孩和他周围的其他人也在尝试。")</f>
        <v>计时器将要花费时间，而他周围的男孩和他周围的其他人也在尝试。</v>
      </c>
    </row>
    <row r="10917">
      <c r="A10917" s="4" t="s">
        <v>13724</v>
      </c>
      <c r="B10917" s="4" t="s">
        <v>13727</v>
      </c>
      <c r="C10917" s="5" t="str">
        <f>IFERROR(__xludf.DUMMYFUNCTION("GOOGLETRANSLATE(B10917,""en"",""zh-CN"")"),"在桌子上，桌子到桌子都可以观看。")</f>
        <v>在桌子上，桌子到桌子都可以观看。</v>
      </c>
    </row>
    <row r="10918">
      <c r="A10918" s="4" t="s">
        <v>13724</v>
      </c>
      <c r="B10918" s="4" t="s">
        <v>13728</v>
      </c>
      <c r="C10918" s="5" t="str">
        <f>IFERROR(__xludf.DUMMYFUNCTION("GOOGLETRANSLATE(B10918,""en"",""zh-CN"")"),"一个男孩抓住一支笔，该男子解决了难题。")</f>
        <v>一个男孩抓住一支笔，该男子解决了难题。</v>
      </c>
    </row>
    <row r="10919">
      <c r="A10919" s="4" t="s">
        <v>13729</v>
      </c>
      <c r="B10919" s="4" t="s">
        <v>13730</v>
      </c>
      <c r="C10919" s="5" t="str">
        <f>IFERROR(__xludf.DUMMYFUNCTION("GOOGLETRANSLATE(B10919,""en"",""zh-CN"")"),"一个穿着白色制服的男人站在厨房柜台。")</f>
        <v>一个穿着白色制服的男人站在厨房柜台。</v>
      </c>
    </row>
    <row r="10920">
      <c r="A10920" s="4" t="s">
        <v>13729</v>
      </c>
      <c r="B10920" s="4" t="s">
        <v>13731</v>
      </c>
      <c r="C10920" s="5" t="str">
        <f>IFERROR(__xludf.DUMMYFUNCTION("GOOGLETRANSLATE(B10920,""en"",""zh-CN"")"),"该男子掏出一把刀和磨刀器，触摸了刀的边缘。")</f>
        <v>该男子掏出一把刀和磨刀器，触摸了刀的边缘。</v>
      </c>
    </row>
    <row r="10921">
      <c r="A10921" s="4" t="s">
        <v>13729</v>
      </c>
      <c r="B10921" s="4" t="s">
        <v>13732</v>
      </c>
      <c r="C10921" s="5" t="str">
        <f>IFERROR(__xludf.DUMMYFUNCTION("GOOGLETRANSLATE(B10921,""en"",""zh-CN"")"),"该男子握住金属刀锋刀，并慢慢从一侧到另一侧锐化刀。")</f>
        <v>该男子握住金属刀锋刀，并慢慢从一侧到另一侧锐化刀。</v>
      </c>
    </row>
    <row r="10922">
      <c r="A10922" s="4" t="s">
        <v>13729</v>
      </c>
      <c r="B10922" s="4" t="s">
        <v>13733</v>
      </c>
      <c r="C10922" s="5" t="str">
        <f>IFERROR(__xludf.DUMMYFUNCTION("GOOGLETRANSLATE(B10922,""en"",""zh-CN"")"),"该男子使用不同类型的工具来锐化刀，例如机器和水石。")</f>
        <v>该男子使用不同类型的工具来锐化刀，例如机器和水石。</v>
      </c>
    </row>
    <row r="10923">
      <c r="A10923" s="4" t="s">
        <v>13734</v>
      </c>
      <c r="B10923" s="4" t="s">
        <v>13735</v>
      </c>
      <c r="C10923" s="5" t="str">
        <f>IFERROR(__xludf.DUMMYFUNCTION("GOOGLETRANSLATE(B10923,""en"",""zh-CN"")"),"一个男人丢下带球的网球球拍，然后击中球。")</f>
        <v>一个男人丢下带球的网球球拍，然后击中球。</v>
      </c>
    </row>
    <row r="10924">
      <c r="A10924" s="4" t="s">
        <v>13734</v>
      </c>
      <c r="B10924" s="4" t="s">
        <v>13736</v>
      </c>
      <c r="C10924" s="5" t="str">
        <f>IFERROR(__xludf.DUMMYFUNCTION("GOOGLETRANSLATE(B10924,""en"",""zh-CN"")"),"另一个人也做同样的技巧，然后表明他来自塞尔维亚。")</f>
        <v>另一个人也做同样的技巧，然后表明他来自塞尔维亚。</v>
      </c>
    </row>
    <row r="10925">
      <c r="A10925" s="4" t="s">
        <v>13737</v>
      </c>
      <c r="B10925" s="4" t="s">
        <v>13738</v>
      </c>
      <c r="C10925" s="5" t="str">
        <f>IFERROR(__xludf.DUMMYFUNCTION("GOOGLETRANSLATE(B10925,""en"",""zh-CN"")"),"一个男人在草地上和一只狗一起玩。")</f>
        <v>一个男人在草地上和一只狗一起玩。</v>
      </c>
    </row>
    <row r="10926">
      <c r="A10926" s="4" t="s">
        <v>13737</v>
      </c>
      <c r="B10926" s="4" t="s">
        <v>13739</v>
      </c>
      <c r="C10926" s="5" t="str">
        <f>IFERROR(__xludf.DUMMYFUNCTION("GOOGLETRANSLATE(B10926,""en"",""zh-CN"")"),"然后，他翻转并扔了一个飞盘。")</f>
        <v>然后，他翻转并扔了一个飞盘。</v>
      </c>
    </row>
    <row r="10927">
      <c r="A10927" s="4" t="s">
        <v>13737</v>
      </c>
      <c r="B10927" s="4" t="s">
        <v>13740</v>
      </c>
      <c r="C10927" s="5" t="str">
        <f>IFERROR(__xludf.DUMMYFUNCTION("GOOGLETRANSLATE(B10927,""en"",""zh-CN"")"),"狗一边奔跑并追逐它。")</f>
        <v>狗一边奔跑并追逐它。</v>
      </c>
    </row>
    <row r="10928">
      <c r="A10928" s="4" t="s">
        <v>13737</v>
      </c>
      <c r="B10928" s="4" t="s">
        <v>13741</v>
      </c>
      <c r="C10928" s="5" t="str">
        <f>IFERROR(__xludf.DUMMYFUNCTION("GOOGLETRANSLATE(B10928,""en"",""zh-CN"")"),"他抓住了另外两个飞盘并在狗跳时将它们扔掉。")</f>
        <v>他抓住了另外两个飞盘并在狗跳时将它们扔掉。</v>
      </c>
    </row>
    <row r="10929">
      <c r="A10929" s="4" t="s">
        <v>13737</v>
      </c>
      <c r="B10929" s="4" t="s">
        <v>13742</v>
      </c>
      <c r="C10929" s="5" t="str">
        <f>IFERROR(__xludf.DUMMYFUNCTION("GOOGLETRANSLATE(B10929,""en"",""zh-CN"")"),"当狗奔跑时，他将飞盘扔了一些。")</f>
        <v>当狗奔跑时，他将飞盘扔了一些。</v>
      </c>
    </row>
    <row r="10930">
      <c r="A10930" s="4" t="s">
        <v>13737</v>
      </c>
      <c r="B10930" s="4" t="s">
        <v>13743</v>
      </c>
      <c r="C10930" s="5" t="str">
        <f>IFERROR(__xludf.DUMMYFUNCTION("GOOGLETRANSLATE(B10930,""en"",""zh-CN"")"),"狗继续跳到一边跳跃并在扔掉时向四面八方奔跑。")</f>
        <v>狗继续跳到一边跳跃并在扔掉时向四面八方奔跑。</v>
      </c>
    </row>
    <row r="10931">
      <c r="A10931" s="4" t="s">
        <v>13744</v>
      </c>
      <c r="B10931" s="4" t="s">
        <v>13745</v>
      </c>
      <c r="C10931" s="5" t="str">
        <f>IFERROR(__xludf.DUMMYFUNCTION("GOOGLETRANSLATE(B10931,""en"",""zh-CN"")"),"一个男人和一个女人喝着蓝色的液体，冲洗嘴。")</f>
        <v>一个男人和一个女人喝着蓝色的液体，冲洗嘴。</v>
      </c>
    </row>
    <row r="10932">
      <c r="A10932" s="4" t="s">
        <v>13744</v>
      </c>
      <c r="B10932" s="4" t="s">
        <v>13746</v>
      </c>
      <c r="C10932" s="5" t="str">
        <f>IFERROR(__xludf.DUMMYFUNCTION("GOOGLETRANSLATE(B10932,""en"",""zh-CN"")"),"然后，女人在男人继续冲洗嘴时弯曲并扔液体。")</f>
        <v>然后，女人在男人继续冲洗嘴时弯曲并扔液体。</v>
      </c>
    </row>
    <row r="10933">
      <c r="A10933" s="4" t="s">
        <v>13747</v>
      </c>
      <c r="B10933" s="4" t="s">
        <v>13748</v>
      </c>
      <c r="C10933" s="5" t="str">
        <f>IFERROR(__xludf.DUMMYFUNCTION("GOOGLETRANSLATE(B10933,""en"",""zh-CN"")"),"显示一个女人在与镜头说话，并导致她开始画一张照片。")</f>
        <v>显示一个女人在与镜头说话，并导致她开始画一张照片。</v>
      </c>
    </row>
    <row r="10934">
      <c r="A10934" s="4" t="s">
        <v>13747</v>
      </c>
      <c r="B10934" s="6" t="s">
        <v>13749</v>
      </c>
      <c r="C10934" s="5" t="str">
        <f>IFERROR(__xludf.DUMMYFUNCTION("GOOGLETRANSLATE(B10934,""en"",""zh-CN"")"),"她将刷子向后移动，在画布上移动第四，并将各种颜色和侧面旋转在侧面。")</f>
        <v>她将刷子向后移动，在画布上移动第四，并将各种颜色和侧面旋转在侧面。</v>
      </c>
    </row>
    <row r="10935">
      <c r="A10935" s="4" t="s">
        <v>13750</v>
      </c>
      <c r="B10935" s="4" t="s">
        <v>13751</v>
      </c>
      <c r="C10935" s="5" t="str">
        <f>IFERROR(__xludf.DUMMYFUNCTION("GOOGLETRANSLATE(B10935,""en"",""zh-CN"")"),"看到一个人站在网球场上弹跳球。")</f>
        <v>看到一个人站在网球场上弹跳球。</v>
      </c>
    </row>
    <row r="10936">
      <c r="A10936" s="4" t="s">
        <v>13750</v>
      </c>
      <c r="B10936" s="4" t="s">
        <v>13752</v>
      </c>
      <c r="C10936" s="5" t="str">
        <f>IFERROR(__xludf.DUMMYFUNCTION("GOOGLETRANSLATE(B10936,""en"",""zh-CN"")"),"看到另一个男人站在大量观众面前的另一侧。")</f>
        <v>看到另一个男人站在大量观众面前的另一侧。</v>
      </c>
    </row>
    <row r="10937">
      <c r="A10937" s="4" t="s">
        <v>13750</v>
      </c>
      <c r="B10937" s="4" t="s">
        <v>13753</v>
      </c>
      <c r="C10937" s="5" t="str">
        <f>IFERROR(__xludf.DUMMYFUNCTION("GOOGLETRANSLATE(B10937,""en"",""zh-CN"")"),"然后，该男子将球撞到网上，然后在另一侧弹回。")</f>
        <v>然后，该男子将球撞到网上，然后在另一侧弹回。</v>
      </c>
    </row>
    <row r="10938">
      <c r="A10938" s="4" t="s">
        <v>13754</v>
      </c>
      <c r="B10938" s="6" t="s">
        <v>13755</v>
      </c>
      <c r="C10938" s="5" t="str">
        <f>IFERROR(__xludf.DUMMYFUNCTION("GOOGLETRANSLATE(B10938,""en"",""zh-CN"")"),"看到一个女孩坐在椅子上，另一个人擦了擦脸，递给她一面镜子。")</f>
        <v>看到一个女孩坐在椅子上，另一个人擦了擦脸，递给她一面镜子。</v>
      </c>
    </row>
    <row r="10939">
      <c r="A10939" s="4" t="s">
        <v>13754</v>
      </c>
      <c r="B10939" s="4" t="s">
        <v>13756</v>
      </c>
      <c r="C10939" s="5" t="str">
        <f>IFERROR(__xludf.DUMMYFUNCTION("GOOGLETRANSLATE(B10939,""en"",""zh-CN"")"),"然后，他刺穿了女孩的脸颊，摄像机完成后，摄像头放大了女孩的脸。")</f>
        <v>然后，他刺穿了女孩的脸颊，摄像机完成后，摄像头放大了女孩的脸。</v>
      </c>
    </row>
    <row r="10940">
      <c r="A10940" s="4" t="s">
        <v>13757</v>
      </c>
      <c r="B10940" s="4" t="s">
        <v>13758</v>
      </c>
      <c r="C10940" s="5" t="str">
        <f>IFERROR(__xludf.DUMMYFUNCTION("GOOGLETRANSLATE(B10940,""en"",""zh-CN"")"),"看到一个女人站在淋浴间和拿着各种物体的时候在相机上说话。")</f>
        <v>看到一个女人站在淋浴间和拿着各种物体的时候在相机上说话。</v>
      </c>
    </row>
    <row r="10941">
      <c r="A10941" s="4" t="s">
        <v>13757</v>
      </c>
      <c r="B10941" s="6" t="s">
        <v>13759</v>
      </c>
      <c r="C10941" s="5" t="str">
        <f>IFERROR(__xludf.DUMMYFUNCTION("GOOGLETRANSLATE(B10941,""en"",""zh-CN"")"),"那个女人然后在她的腿上擦洗乳液，开始剃光她的腿，并通过相机说话结束。")</f>
        <v>那个女人然后在她的腿上擦洗乳液，开始剃光她的腿，并通过相机说话结束。</v>
      </c>
    </row>
    <row r="10942">
      <c r="A10942" s="4" t="s">
        <v>13760</v>
      </c>
      <c r="B10942" s="4" t="s">
        <v>13761</v>
      </c>
      <c r="C10942" s="5" t="str">
        <f>IFERROR(__xludf.DUMMYFUNCTION("GOOGLETRANSLATE(B10942,""en"",""zh-CN"")"),"看到一个男人在拿着篮球的相机上说话。")</f>
        <v>看到一个男人在拿着篮球的相机上说话。</v>
      </c>
    </row>
    <row r="10943">
      <c r="A10943" s="4" t="s">
        <v>13760</v>
      </c>
      <c r="B10943" s="4" t="s">
        <v>13762</v>
      </c>
      <c r="C10943" s="5" t="str">
        <f>IFERROR(__xludf.DUMMYFUNCTION("GOOGLETRANSLATE(B10943,""en"",""zh-CN"")"),"然后，该男子开始将球扔进篮球几次。")</f>
        <v>然后，该男子开始将球扔进篮球几次。</v>
      </c>
    </row>
    <row r="10944">
      <c r="A10944" s="4" t="s">
        <v>13760</v>
      </c>
      <c r="B10944" s="4" t="s">
        <v>13763</v>
      </c>
      <c r="C10944" s="5" t="str">
        <f>IFERROR(__xludf.DUMMYFUNCTION("GOOGLETRANSLATE(B10944,""en"",""zh-CN"")"),"他回到镜头前，在动手时继续说话。")</f>
        <v>他回到镜头前，在动手时继续说话。</v>
      </c>
    </row>
    <row r="10945">
      <c r="A10945" s="4" t="s">
        <v>13764</v>
      </c>
      <c r="B10945" s="6" t="s">
        <v>13765</v>
      </c>
      <c r="C10945" s="5" t="str">
        <f>IFERROR(__xludf.DUMMYFUNCTION("GOOGLETRANSLATE(B10945,""en"",""zh-CN"")"),"看到一个年轻女子在镜头上说话，并在她的脸前过渡到她。")</f>
        <v>看到一个年轻女子在镜头上说话，并在她的脸前过渡到她。</v>
      </c>
    </row>
    <row r="10946">
      <c r="A10946" s="4" t="s">
        <v>13764</v>
      </c>
      <c r="B10946" s="4" t="s">
        <v>13766</v>
      </c>
      <c r="C10946" s="5" t="str">
        <f>IFERROR(__xludf.DUMMYFUNCTION("GOOGLETRANSLATE(B10946,""en"",""zh-CN"")"),"她慢慢刷牙，将头发分开，最后将头发翻转回头。")</f>
        <v>她慢慢刷牙，将头发分开，最后将头发翻转回头。</v>
      </c>
    </row>
    <row r="10947">
      <c r="A10947" s="4" t="s">
        <v>13767</v>
      </c>
      <c r="B10947" s="4" t="s">
        <v>13768</v>
      </c>
      <c r="C10947" s="5" t="str">
        <f>IFERROR(__xludf.DUMMYFUNCTION("GOOGLETRANSLATE(B10947,""en"",""zh-CN"")"),"看到一小群女孩被挤成，开始在场上移动。")</f>
        <v>看到一小群女孩被挤成，开始在场上移动。</v>
      </c>
    </row>
    <row r="10948">
      <c r="A10948" s="4" t="s">
        <v>13767</v>
      </c>
      <c r="B10948" s="4" t="s">
        <v>13769</v>
      </c>
      <c r="C10948" s="5" t="str">
        <f>IFERROR(__xludf.DUMMYFUNCTION("GOOGLETRANSLATE(B10948,""en"",""zh-CN"")"),"看到更多的女性在大型野外曲棍球周围奔跑。")</f>
        <v>看到更多的女性在大型野外曲棍球周围奔跑。</v>
      </c>
    </row>
    <row r="10949">
      <c r="A10949" s="4" t="s">
        <v>13767</v>
      </c>
      <c r="B10949" s="4" t="s">
        <v>13770</v>
      </c>
      <c r="C10949" s="5" t="str">
        <f>IFERROR(__xludf.DUMMYFUNCTION("GOOGLETRANSLATE(B10949,""en"",""zh-CN"")"),"女孩们继续互相比赛，并以威林的身份结束。")</f>
        <v>女孩们继续互相比赛，并以威林的身份结束。</v>
      </c>
    </row>
    <row r="10950">
      <c r="A10950" s="4" t="s">
        <v>13771</v>
      </c>
      <c r="B10950" s="6" t="s">
        <v>13772</v>
      </c>
      <c r="C10950" s="5" t="str">
        <f>IFERROR(__xludf.DUMMYFUNCTION("GOOGLETRANSLATE(B10950,""en"",""zh-CN"")"),"一个近距离显示了一个年幼的孩子在秋千上四处走动，而人们站在他周围推动。")</f>
        <v>一个近距离显示了一个年幼的孩子在秋千上四处走动，而人们站在他周围推动。</v>
      </c>
    </row>
    <row r="10951">
      <c r="A10951" s="4" t="s">
        <v>13771</v>
      </c>
      <c r="B10951" s="6" t="s">
        <v>13773</v>
      </c>
      <c r="C10951" s="5" t="str">
        <f>IFERROR(__xludf.DUMMYFUNCTION("GOOGLETRANSLATE(B10951,""en"",""zh-CN"")"),"当妈妈躺在草地上，然后女儿四处摇摆时，相机继续跟随男孩在院子里。")</f>
        <v>当妈妈躺在草地上，然后女儿四处摇摆时，相机继续跟随男孩在院子里。</v>
      </c>
    </row>
    <row r="10952">
      <c r="A10952" s="4" t="s">
        <v>13771</v>
      </c>
      <c r="B10952" s="4" t="s">
        <v>13774</v>
      </c>
      <c r="C10952" s="5" t="str">
        <f>IFERROR(__xludf.DUMMYFUNCTION("GOOGLETRANSLATE(B10952,""en"",""zh-CN"")"),"父母和孩子们一起玩更多，给他们一个吻，爸爸和女儿一起走开。")</f>
        <v>父母和孩子们一起玩更多，给他们一个吻，爸爸和女儿一起走开。</v>
      </c>
    </row>
    <row r="10953">
      <c r="A10953" s="4" t="s">
        <v>13775</v>
      </c>
      <c r="B10953" s="6" t="s">
        <v>13776</v>
      </c>
      <c r="C10953" s="5" t="str">
        <f>IFERROR(__xludf.DUMMYFUNCTION("GOOGLETRANSLATE(B10953,""en"",""zh-CN"")"),"一位街头表演者正坐在板条箱上，用鼓棒的水桶和锅子敲打。")</f>
        <v>一位街头表演者正坐在板条箱上，用鼓棒的水桶和锅子敲打。</v>
      </c>
    </row>
    <row r="10954">
      <c r="A10954" s="4" t="s">
        <v>13775</v>
      </c>
      <c r="B10954" s="4" t="s">
        <v>13777</v>
      </c>
      <c r="C10954" s="5" t="str">
        <f>IFERROR(__xludf.DUMMYFUNCTION("GOOGLETRANSLATE(B10954,""en"",""zh-CN"")"),"他打破了水桶，沮丧地用棍子刺伤了它。")</f>
        <v>他打破了水桶，沮丧地用棍子刺伤了它。</v>
      </c>
    </row>
    <row r="10955">
      <c r="A10955" s="4" t="s">
        <v>13775</v>
      </c>
      <c r="B10955" s="4" t="s">
        <v>13778</v>
      </c>
      <c r="C10955" s="5" t="str">
        <f>IFERROR(__xludf.DUMMYFUNCTION("GOOGLETRANSLATE(B10955,""en"",""zh-CN"")"),"他取代了水桶，并在人群聚集时开始了节奏。")</f>
        <v>他取代了水桶，并在人群聚集时开始了节奏。</v>
      </c>
    </row>
    <row r="10956">
      <c r="A10956" s="4" t="s">
        <v>13775</v>
      </c>
      <c r="B10956" s="4" t="s">
        <v>13779</v>
      </c>
      <c r="C10956" s="5" t="str">
        <f>IFERROR(__xludf.DUMMYFUNCTION("GOOGLETRANSLATE(B10956,""en"",""zh-CN"")"),"他再次重新安排桶，继续鼓。")</f>
        <v>他再次重新安排桶，继续鼓。</v>
      </c>
    </row>
    <row r="10957">
      <c r="A10957" s="4" t="s">
        <v>13780</v>
      </c>
      <c r="B10957" s="6" t="s">
        <v>13781</v>
      </c>
      <c r="C10957" s="5" t="str">
        <f>IFERROR(__xludf.DUMMYFUNCTION("GOOGLETRANSLATE(B10957,""en"",""zh-CN"")"),"看到一大群人坐在游泳池前，然后有几张两人跳入游泳池的镜头。")</f>
        <v>看到一大群人坐在游泳池前，然后有几张两人跳入游泳池的镜头。</v>
      </c>
    </row>
    <row r="10958">
      <c r="A10958" s="4" t="s">
        <v>13780</v>
      </c>
      <c r="B10958" s="6" t="s">
        <v>13782</v>
      </c>
      <c r="C10958" s="5" t="str">
        <f>IFERROR(__xludf.DUMMYFUNCTION("GOOGLETRANSLATE(B10958,""en"",""zh-CN"")"),"进一步的镜头显示了潜水员在游泳池中表现出色的特技表演，并以他们走开并显示得分。")</f>
        <v>进一步的镜头显示了潜水员在游泳池中表现出色的特技表演，并以他们走开并显示得分。</v>
      </c>
    </row>
    <row r="10959">
      <c r="A10959" s="4" t="s">
        <v>13780</v>
      </c>
      <c r="B10959" s="4" t="s">
        <v>13783</v>
      </c>
      <c r="C10959" s="5" t="str">
        <f>IFERROR(__xludf.DUMMYFUNCTION("GOOGLETRANSLATE(B10959,""en"",""zh-CN"")"),"一个人说话到远处，潜水员站在一起获得奖牌。")</f>
        <v>一个人说话到远处，潜水员站在一起获得奖牌。</v>
      </c>
    </row>
    <row r="10960">
      <c r="A10960" s="4" t="s">
        <v>13784</v>
      </c>
      <c r="B10960" s="6" t="s">
        <v>13785</v>
      </c>
      <c r="C10960" s="5" t="str">
        <f>IFERROR(__xludf.DUMMYFUNCTION("GOOGLETRANSLATE(B10960,""en"",""zh-CN"")"),"屏幕上出现了一座白雪皑皑的山，上面有松树树，徽标的屏幕上有一个覆盖层，上面写着“有效的热打蜡尖端可以减少时间材料浪费，成本和混乱”。")</f>
        <v>屏幕上出现了一座白雪皑皑的山，上面有松树树，徽标的屏幕上有一个覆盖层，上面写着“有效的热打蜡尖端可以减少时间材料浪费，成本和混乱”。</v>
      </c>
    </row>
    <row r="10961">
      <c r="A10961" s="4" t="s">
        <v>13784</v>
      </c>
      <c r="B10961" s="6" t="s">
        <v>13786</v>
      </c>
      <c r="C10961" s="5" t="str">
        <f>IFERROR(__xludf.DUMMYFUNCTION("GOOGLETRANSLATE(B10961,""en"",""zh-CN"")"),"一双滑雪板在一个车间里，一个人正在对它们进行一些工作，其中包括在滑雪板上摩擦蜡，熨烫滑雪板，刮擦滑雪板，而底部的单词在整个过程中出现在整个过程中，因为它解释了所做的事情。")</f>
        <v>一双滑雪板在一个车间里，一个人正在对它们进行一些工作，其中包括在滑雪板上摩擦蜡，熨烫滑雪板，刮擦滑雪板，而底部的单词在整个过程中出现在整个过程中，因为它解释了所做的事情。</v>
      </c>
    </row>
    <row r="10962">
      <c r="A10962" s="4" t="s">
        <v>13784</v>
      </c>
      <c r="B10962" s="6" t="s">
        <v>13787</v>
      </c>
      <c r="C10962" s="5" t="str">
        <f>IFERROR(__xludf.DUMMYFUNCTION("GOOGLETRANSLATE(B10962,""en"",""zh-CN"")"),"该男子现在正在锐化文件的边缘，然后开始刮擦滑雪板，然后通过在铁和滑雪板之间用不同的衣服熨烫。")</f>
        <v>该男子现在正在锐化文件的边缘，然后开始刮擦滑雪板，然后通过在铁和滑雪板之间用不同的衣服熨烫。</v>
      </c>
    </row>
    <row r="10963">
      <c r="A10963" s="4" t="s">
        <v>13784</v>
      </c>
      <c r="B10963" s="6" t="s">
        <v>13788</v>
      </c>
      <c r="C10963" s="5" t="str">
        <f>IFERROR(__xludf.DUMMYFUNCTION("GOOGLETRANSLATE(B10963,""en"",""zh-CN"")"),"出现了Outro屏幕，这是像介绍一样的确切图片，但是现在的单词说“请查看我们的视频刮擦和刷牙”，还包括公司徽标。")</f>
        <v>出现了Outro屏幕，这是像介绍一样的确切图片，但是现在的单词说“请查看我们的视频刮擦和刷牙”，还包括公司徽标。</v>
      </c>
    </row>
    <row r="10964">
      <c r="A10964" s="4" t="s">
        <v>13789</v>
      </c>
      <c r="B10964" s="4" t="s">
        <v>13790</v>
      </c>
      <c r="C10964" s="5" t="str">
        <f>IFERROR(__xludf.DUMMYFUNCTION("GOOGLETRANSLATE(B10964,""en"",""zh-CN"")"),"看到一个女人在摄像机上说话，同时拿起各种袋子并铺设。")</f>
        <v>看到一个女人在摄像机上说话，同时拿起各种袋子并铺设。</v>
      </c>
    </row>
    <row r="10965">
      <c r="A10965" s="4" t="s">
        <v>13789</v>
      </c>
      <c r="B10965" s="4" t="s">
        <v>13791</v>
      </c>
      <c r="C10965" s="5" t="str">
        <f>IFERROR(__xludf.DUMMYFUNCTION("GOOGLETRANSLATE(B10965,""en"",""zh-CN"")"),"她将指向她旁边的盒子时，将其放入袋子中。")</f>
        <v>她将指向她旁边的盒子时，将其放入袋子中。</v>
      </c>
    </row>
    <row r="10966">
      <c r="A10966" s="4" t="s">
        <v>13789</v>
      </c>
      <c r="B10966" s="4" t="s">
        <v>13792</v>
      </c>
      <c r="C10966" s="5" t="str">
        <f>IFERROR(__xludf.DUMMYFUNCTION("GOOGLETRANSLATE(B10966,""en"",""zh-CN"")"),"她把纸塞进袋子里，然后将弓上的弓绑在上面。")</f>
        <v>她把纸塞进袋子里，然后将弓上的弓绑在上面。</v>
      </c>
    </row>
    <row r="10967">
      <c r="A10967" s="4" t="s">
        <v>13793</v>
      </c>
      <c r="B10967" s="4" t="s">
        <v>13794</v>
      </c>
      <c r="C10967" s="5" t="str">
        <f>IFERROR(__xludf.DUMMYFUNCTION("GOOGLETRANSLATE(B10967,""en"",""zh-CN"")"),"一个男人在麦克风前扮演口琴，然后他结束并说再见。")</f>
        <v>一个男人在麦克风前扮演口琴，然后他结束并说再见。</v>
      </c>
    </row>
    <row r="10968">
      <c r="A10968" s="4" t="s">
        <v>13793</v>
      </c>
      <c r="B10968" s="4" t="s">
        <v>13795</v>
      </c>
      <c r="C10968" s="5" t="str">
        <f>IFERROR(__xludf.DUMMYFUNCTION("GOOGLETRANSLATE(B10968,""en"",""zh-CN"")"),"然后，一个女孩踏上舞台，与麦克风说话。")</f>
        <v>然后，一个女孩踏上舞台，与麦克风说话。</v>
      </c>
    </row>
    <row r="10969">
      <c r="A10969" s="4" t="s">
        <v>13796</v>
      </c>
      <c r="B10969" s="4" t="s">
        <v>13797</v>
      </c>
      <c r="C10969" s="5" t="str">
        <f>IFERROR(__xludf.DUMMYFUNCTION("GOOGLETRANSLATE(B10969,""en"",""zh-CN"")"),"有四个不同年龄段的孩子在他们的后院打球。")</f>
        <v>有四个不同年龄段的孩子在他们的后院打球。</v>
      </c>
    </row>
    <row r="10970">
      <c r="A10970" s="4" t="s">
        <v>13796</v>
      </c>
      <c r="B10970" s="6" t="s">
        <v>13798</v>
      </c>
      <c r="C10970" s="5" t="str">
        <f>IFERROR(__xludf.DUMMYFUNCTION("GOOGLETRANSLATE(B10970,""en"",""zh-CN"")"),"粉红色的女孩将球踢到她的兄弟穿着橙色衬衫的兄弟，而小孩子们跑来玩耍。")</f>
        <v>粉红色的女孩将球踢到她的兄弟穿着橙色衬衫的兄弟，而小孩子们跑来玩耍。</v>
      </c>
    </row>
    <row r="10971">
      <c r="A10971" s="4" t="s">
        <v>13796</v>
      </c>
      <c r="B10971" s="4" t="s">
        <v>13799</v>
      </c>
      <c r="C10971" s="5" t="str">
        <f>IFERROR(__xludf.DUMMYFUNCTION("GOOGLETRANSLATE(B10971,""en"",""zh-CN"")"),"一个小婴儿坐在一个婴儿弹跳器中看着他们玩耍的地面。")</f>
        <v>一个小婴儿坐在一个婴儿弹跳器中看着他们玩耍的地面。</v>
      </c>
    </row>
    <row r="10972">
      <c r="A10972" s="4" t="s">
        <v>13800</v>
      </c>
      <c r="B10972" s="4" t="s">
        <v>13801</v>
      </c>
      <c r="C10972" s="5" t="str">
        <f>IFERROR(__xludf.DUMMYFUNCTION("GOOGLETRANSLATE(B10972,""en"",""zh-CN"")"),"一个男人在间歇性耙树叶时与相机交谈。")</f>
        <v>一个男人在间歇性耙树叶时与相机交谈。</v>
      </c>
    </row>
    <row r="10973">
      <c r="A10973" s="4" t="s">
        <v>13800</v>
      </c>
      <c r="B10973" s="4" t="s">
        <v>13802</v>
      </c>
      <c r="C10973" s="5" t="str">
        <f>IFERROR(__xludf.DUMMYFUNCTION("GOOGLETRANSLATE(B10973,""en"",""zh-CN"")"),"显示了一堆叶子的特写。")</f>
        <v>显示了一堆叶子的特写。</v>
      </c>
    </row>
    <row r="10974">
      <c r="A10974" s="4" t="s">
        <v>13803</v>
      </c>
      <c r="B10974" s="6" t="s">
        <v>13804</v>
      </c>
      <c r="C10974" s="5" t="str">
        <f>IFERROR(__xludf.DUMMYFUNCTION("GOOGLETRANSLATE(B10974,""en"",""zh-CN"")"),"一位女士正在和镜头说话，然后她笑着看着，相机聚焦在其他地方。")</f>
        <v>一位女士正在和镜头说话，然后她笑着看着，相机聚焦在其他地方。</v>
      </c>
    </row>
    <row r="10975">
      <c r="A10975" s="4" t="s">
        <v>13803</v>
      </c>
      <c r="B10975" s="6" t="s">
        <v>13805</v>
      </c>
      <c r="C10975" s="5" t="str">
        <f>IFERROR(__xludf.DUMMYFUNCTION("GOOGLETRANSLATE(B10975,""en"",""zh-CN"")"),"相机又回到了那位女士身上，一个男人现在正在张开头发，因为她的嘴巴张开了，那个男人在头上快速运动时笑了。")</f>
        <v>相机又回到了那位女士身上，一个男人现在正在张开头发，因为她的嘴巴张开了，那个男人在头上快速运动时笑了。</v>
      </c>
    </row>
    <row r="10976">
      <c r="A10976" s="4" t="s">
        <v>13803</v>
      </c>
      <c r="B10976" s="6" t="s">
        <v>13806</v>
      </c>
      <c r="C10976" s="5" t="str">
        <f>IFERROR(__xludf.DUMMYFUNCTION("GOOGLETRANSLATE(B10976,""en"",""zh-CN"")"),"这位女士很震惊，从她的腿上掉下头发，在所有头发上低头看着地面，抚摸着她的头发，站起来看镜子，尖叫，哭泣，开始吓坏了照镜子。")</f>
        <v>这位女士很震惊，从她的腿上掉下头发，在所有头发上低头看着地面，抚摸着她的头发，站起来看镜子，尖叫，哭泣，开始吓坏了照镜子。</v>
      </c>
    </row>
    <row r="10977">
      <c r="A10977" s="4" t="s">
        <v>13803</v>
      </c>
      <c r="B10977" s="4" t="s">
        <v>13807</v>
      </c>
      <c r="C10977" s="5" t="str">
        <f>IFERROR(__xludf.DUMMYFUNCTION("GOOGLETRANSLATE(B10977,""en"",""zh-CN"")"),"那位女士看着镜子，微笑着，但你可以说她不开心。")</f>
        <v>那位女士看着镜子，微笑着，但你可以说她不开心。</v>
      </c>
    </row>
    <row r="10978">
      <c r="A10978" s="4" t="s">
        <v>13808</v>
      </c>
      <c r="B10978" s="4" t="s">
        <v>13809</v>
      </c>
      <c r="C10978" s="5" t="str">
        <f>IFERROR(__xludf.DUMMYFUNCTION("GOOGLETRANSLATE(B10978,""en"",""zh-CN"")"),"看到一个小男孩微笑着笑着，开始弹钢琴。")</f>
        <v>看到一个小男孩微笑着笑着，开始弹钢琴。</v>
      </c>
    </row>
    <row r="10979">
      <c r="A10979" s="4" t="s">
        <v>13808</v>
      </c>
      <c r="B10979" s="6" t="s">
        <v>13810</v>
      </c>
      <c r="C10979" s="5" t="str">
        <f>IFERROR(__xludf.DUMMYFUNCTION("GOOGLETRANSLATE(B10979,""en"",""zh-CN"")"),"这个男孩以快速的步伐在钢琴上疯狂地弹奏，并穿着另一件衬衫并仍在踢球。")</f>
        <v>这个男孩以快速的步伐在钢琴上疯狂地弹奏，并穿着另一件衬衫并仍在踢球。</v>
      </c>
    </row>
    <row r="10980">
      <c r="A10980" s="4" t="s">
        <v>13808</v>
      </c>
      <c r="B10980" s="4" t="s">
        <v>13811</v>
      </c>
      <c r="C10980" s="5" t="str">
        <f>IFERROR(__xludf.DUMMYFUNCTION("GOOGLETRANSLATE(B10980,""en"",""zh-CN"")"),"他通过将身体放在钢琴上，然后微笑在相机上结束。")</f>
        <v>他通过将身体放在钢琴上，然后微笑在相机上结束。</v>
      </c>
    </row>
    <row r="10981">
      <c r="A10981" s="4" t="s">
        <v>13812</v>
      </c>
      <c r="B10981" s="4" t="s">
        <v>13813</v>
      </c>
      <c r="C10981" s="5" t="str">
        <f>IFERROR(__xludf.DUMMYFUNCTION("GOOGLETRANSLATE(B10981,""en"",""zh-CN"")"),"一个男人将可口可乐瓶放在一堆干草上。")</f>
        <v>一个男人将可口可乐瓶放在一堆干草上。</v>
      </c>
    </row>
    <row r="10982">
      <c r="A10982" s="4" t="s">
        <v>13812</v>
      </c>
      <c r="B10982" s="4" t="s">
        <v>13814</v>
      </c>
      <c r="C10982" s="5" t="str">
        <f>IFERROR(__xludf.DUMMYFUNCTION("GOOGLETRANSLATE(B10982,""en"",""zh-CN"")"),"该男子从弓箭上射击了箭。")</f>
        <v>该男子从弓箭上射击了箭。</v>
      </c>
    </row>
    <row r="10983">
      <c r="A10983" s="4" t="s">
        <v>13812</v>
      </c>
      <c r="B10983" s="4" t="s">
        <v>13815</v>
      </c>
      <c r="C10983" s="5" t="str">
        <f>IFERROR(__xludf.DUMMYFUNCTION("GOOGLETRANSLATE(B10983,""en"",""zh-CN"")"),"箭头解开瓶子。")</f>
        <v>箭头解开瓶子。</v>
      </c>
    </row>
    <row r="10984">
      <c r="A10984" s="4" t="s">
        <v>13816</v>
      </c>
      <c r="B10984" s="4" t="s">
        <v>13817</v>
      </c>
      <c r="C10984" s="5" t="str">
        <f>IFERROR(__xludf.DUMMYFUNCTION("GOOGLETRANSLATE(B10984,""en"",""zh-CN"")"),"有人在房子的屋顶上放置通风孔。")</f>
        <v>有人在房子的屋顶上放置通风孔。</v>
      </c>
    </row>
    <row r="10985">
      <c r="A10985" s="4" t="s">
        <v>13816</v>
      </c>
      <c r="B10985" s="4" t="s">
        <v>13818</v>
      </c>
      <c r="C10985" s="5" t="str">
        <f>IFERROR(__xludf.DUMMYFUNCTION("GOOGLETRANSLATE(B10985,""en"",""zh-CN"")"),"他们用胶水密封通风口。")</f>
        <v>他们用胶水密封通风口。</v>
      </c>
    </row>
    <row r="10986">
      <c r="A10986" s="4" t="s">
        <v>13819</v>
      </c>
      <c r="B10986" s="4" t="s">
        <v>13820</v>
      </c>
      <c r="C10986" s="5" t="str">
        <f>IFERROR(__xludf.DUMMYFUNCTION("GOOGLETRANSLATE(B10986,""en"",""zh-CN"")"),"两个男孩站在桌子后面。")</f>
        <v>两个男孩站在桌子后面。</v>
      </c>
    </row>
    <row r="10987">
      <c r="A10987" s="4" t="s">
        <v>13819</v>
      </c>
      <c r="B10987" s="4" t="s">
        <v>13821</v>
      </c>
      <c r="C10987" s="5" t="str">
        <f>IFERROR(__xludf.DUMMYFUNCTION("GOOGLETRANSLATE(B10987,""en"",""zh-CN"")"),"他们的桌子上有杯子和柠檬。")</f>
        <v>他们的桌子上有杯子和柠檬。</v>
      </c>
    </row>
    <row r="10988">
      <c r="A10988" s="4" t="s">
        <v>13819</v>
      </c>
      <c r="B10988" s="4" t="s">
        <v>13822</v>
      </c>
      <c r="C10988" s="5" t="str">
        <f>IFERROR(__xludf.DUMMYFUNCTION("GOOGLETRANSLATE(B10988,""en"",""zh-CN"")"),"他们将其倒入水中，然后喝一杯。")</f>
        <v>他们将其倒入水中，然后喝一杯。</v>
      </c>
    </row>
    <row r="10989">
      <c r="A10989" s="4" t="s">
        <v>13819</v>
      </c>
      <c r="B10989" s="4" t="s">
        <v>13823</v>
      </c>
      <c r="C10989" s="5" t="str">
        <f>IFERROR(__xludf.DUMMYFUNCTION("GOOGLETRANSLATE(B10989,""en"",""zh-CN"")"),"他们将饮料倒入两个眼镜中。")</f>
        <v>他们将饮料倒入两个眼镜中。</v>
      </c>
    </row>
    <row r="10990">
      <c r="A10990" s="4" t="s">
        <v>13819</v>
      </c>
      <c r="B10990" s="4" t="s">
        <v>13824</v>
      </c>
      <c r="C10990" s="5" t="str">
        <f>IFERROR(__xludf.DUMMYFUNCTION("GOOGLETRANSLATE(B10990,""en"",""zh-CN"")"),"他们俩都从稻草中喝了一杯。")</f>
        <v>他们俩都从稻草中喝了一杯。</v>
      </c>
    </row>
    <row r="10991">
      <c r="A10991" s="4" t="s">
        <v>13825</v>
      </c>
      <c r="B10991" s="6" t="s">
        <v>13826</v>
      </c>
      <c r="C10991" s="5" t="str">
        <f>IFERROR(__xludf.DUMMYFUNCTION("GOOGLETRANSLATE(B10991,""en"",""zh-CN"")"),"男孩在踢球并将球传给玩伴的同时踢室内足球，然后裁判进入中心并提供指示。")</f>
        <v>男孩在踢球并将球传给玩伴的同时踢室内足球，然后裁判进入中心并提供指示。</v>
      </c>
    </row>
    <row r="10992">
      <c r="A10992" s="4" t="s">
        <v>13825</v>
      </c>
      <c r="B10992" s="6" t="s">
        <v>13827</v>
      </c>
      <c r="C10992" s="5" t="str">
        <f>IFERROR(__xludf.DUMMYFUNCTION("GOOGLETRANSLATE(B10992,""en"",""zh-CN"")"),"然后，裁判将球放在进球区，一个男孩踢球，但守门员阻止了球。")</f>
        <v>然后，裁判将球放在进球区，一个男孩踢球，但守门员阻止了球。</v>
      </c>
    </row>
    <row r="10993">
      <c r="A10993" s="4" t="s">
        <v>13825</v>
      </c>
      <c r="B10993" s="4" t="s">
        <v>13828</v>
      </c>
      <c r="C10993" s="5" t="str">
        <f>IFERROR(__xludf.DUMMYFUNCTION("GOOGLETRANSLATE(B10993,""en"",""zh-CN"")"),"男孩们打球向守门员打球，阻止了球。")</f>
        <v>男孩们打球向守门员打球，阻止了球。</v>
      </c>
    </row>
    <row r="10994">
      <c r="A10994" s="4" t="s">
        <v>13825</v>
      </c>
      <c r="B10994" s="4" t="s">
        <v>13829</v>
      </c>
      <c r="C10994" s="5" t="str">
        <f>IFERROR(__xludf.DUMMYFUNCTION("GOOGLETRANSLATE(B10994,""en"",""zh-CN"")"),"之后，球员得分和球队继续比赛。")</f>
        <v>之后，球员得分和球队继续比赛。</v>
      </c>
    </row>
    <row r="10995">
      <c r="A10995" s="4" t="s">
        <v>13830</v>
      </c>
      <c r="B10995" s="4" t="s">
        <v>13831</v>
      </c>
      <c r="C10995" s="5" t="str">
        <f>IFERROR(__xludf.DUMMYFUNCTION("GOOGLETRANSLATE(B10995,""en"",""zh-CN"")"),"显示了几张景观镜头，这些景观导致一个男人和女人在相机上说话。")</f>
        <v>显示了几张景观镜头，这些景观导致一个男人和女人在相机上说话。</v>
      </c>
    </row>
    <row r="10996">
      <c r="A10996" s="4" t="s">
        <v>13830</v>
      </c>
      <c r="B10996" s="4" t="s">
        <v>13832</v>
      </c>
      <c r="C10996" s="5" t="str">
        <f>IFERROR(__xludf.DUMMYFUNCTION("GOOGLETRANSLATE(B10996,""en"",""zh-CN"")"),"这对夫妇走到一个沙坑上，绕着一群玩家锅。")</f>
        <v>这对夫妇走到一个沙坑上，绕着一群玩家锅。</v>
      </c>
    </row>
    <row r="10997">
      <c r="A10997" s="4" t="s">
        <v>13830</v>
      </c>
      <c r="B10997" s="6" t="s">
        <v>13833</v>
      </c>
      <c r="C10997" s="5" t="str">
        <f>IFERROR(__xludf.DUMMYFUNCTION("GOOGLETRANSLATE(B10997,""en"",""zh-CN"")"),"看到越来越多的人对摄像机说话，这些相机显示他们打排球并以这对夫妇结束。")</f>
        <v>看到越来越多的人对摄像机说话，这些相机显示他们打排球并以这对夫妇结束。</v>
      </c>
    </row>
    <row r="10998">
      <c r="A10998" s="4" t="s">
        <v>13834</v>
      </c>
      <c r="B10998" s="6" t="s">
        <v>13835</v>
      </c>
      <c r="C10998" s="5" t="str">
        <f>IFERROR(__xludf.DUMMYFUNCTION("GOOGLETRANSLATE(B10998,""en"",""zh-CN"")"),"一位老牧师正坐在一座大建筑物的室内坐在椅子上，当周围的人们开始鼓掌，灯光从所有的闪光灯中熄灭时，有3个不同的男人在他面前的地面上打断舞蹈。")</f>
        <v>一位老牧师正坐在一座大建筑物的室内坐在椅子上，当周围的人们开始鼓掌，灯光从所有的闪光灯中熄灭时，有3个不同的男人在他面前的地面上打断舞蹈。</v>
      </c>
    </row>
    <row r="10999">
      <c r="A10999" s="4" t="s">
        <v>13834</v>
      </c>
      <c r="B10999" s="6" t="s">
        <v>13836</v>
      </c>
      <c r="C10999" s="5" t="str">
        <f>IFERROR(__xludf.DUMMYFUNCTION("GOOGLETRANSLATE(B10999,""en"",""zh-CN"")"),"当男人跳舞后，他们站在人民和牧师面前，他们鞠躬给牧师和人民。")</f>
        <v>当男人跳舞后，他们站在人民和牧师面前，他们鞠躬给牧师和人民。</v>
      </c>
    </row>
    <row r="11000">
      <c r="A11000" s="4" t="s">
        <v>13834</v>
      </c>
      <c r="B11000" s="6" t="s">
        <v>13837</v>
      </c>
      <c r="C11000" s="5" t="str">
        <f>IFERROR(__xludf.DUMMYFUNCTION("GOOGLETRANSLATE(B11000,""en"",""zh-CN"")"),"然后，男人走到牧师那里，每个人都亲吻他的手，白色的单词出现在屏幕上，并说“ Bilder：Reuters redigigering：Malin Lagerlof”。")</f>
        <v>然后，男人走到牧师那里，每个人都亲吻他的手，白色的单词出现在屏幕上，并说“ Bilder：Reuters redigigering：Malin Lagerlof”。</v>
      </c>
    </row>
    <row r="11001">
      <c r="A11001" s="4" t="s">
        <v>13838</v>
      </c>
      <c r="B11001" s="4" t="s">
        <v>13839</v>
      </c>
      <c r="C11001" s="5" t="str">
        <f>IFERROR(__xludf.DUMMYFUNCTION("GOOGLETRANSLATE(B11001,""en"",""zh-CN"")"),"eHow介绍在屏幕上带有音乐中的音乐。")</f>
        <v>eHow介绍在屏幕上带有音乐中的音乐。</v>
      </c>
    </row>
    <row r="11002">
      <c r="A11002" s="4" t="s">
        <v>13838</v>
      </c>
      <c r="B11002" s="4" t="s">
        <v>13840</v>
      </c>
      <c r="C11002" s="5" t="str">
        <f>IFERROR(__xludf.DUMMYFUNCTION("GOOGLETRANSLATE(B11002,""en"",""zh-CN"")"),"我的男人出现在屏幕上，叙述了有关如何剃须的视频。")</f>
        <v>我的男人出现在屏幕上，叙述了有关如何剃须的视频。</v>
      </c>
    </row>
    <row r="11003">
      <c r="A11003" s="4" t="s">
        <v>13838</v>
      </c>
      <c r="B11003" s="4" t="s">
        <v>13841</v>
      </c>
      <c r="C11003" s="5" t="str">
        <f>IFERROR(__xludf.DUMMYFUNCTION("GOOGLETRANSLATE(B11003,""en"",""zh-CN"")"),"一个男人被证明使他的皮肤湿润，并在他的脸上剃须奶油抛光。")</f>
        <v>一个男人被证明使他的皮肤湿润，并在他的脸上剃须奶油抛光。</v>
      </c>
    </row>
    <row r="11004">
      <c r="A11004" s="4" t="s">
        <v>13838</v>
      </c>
      <c r="B11004" s="4" t="s">
        <v>13842</v>
      </c>
      <c r="C11004" s="5" t="str">
        <f>IFERROR(__xludf.DUMMYFUNCTION("GOOGLETRANSLATE(B11004,""en"",""zh-CN"")"),"该视频以EHOW结束信用结束。")</f>
        <v>该视频以EHOW结束信用结束。</v>
      </c>
    </row>
    <row r="11005">
      <c r="A11005" s="4" t="s">
        <v>13843</v>
      </c>
      <c r="B11005" s="4" t="s">
        <v>13844</v>
      </c>
      <c r="C11005" s="5" t="str">
        <f>IFERROR(__xludf.DUMMYFUNCTION("GOOGLETRANSLATE(B11005,""en"",""zh-CN"")"),"一个男人有一些工具，正在为汽车抽一些，以便他可以脱下轮胎。")</f>
        <v>一个男人有一些工具，正在为汽车抽一些，以便他可以脱下轮胎。</v>
      </c>
    </row>
    <row r="11006">
      <c r="A11006" s="4" t="s">
        <v>13843</v>
      </c>
      <c r="B11006" s="4" t="s">
        <v>13845</v>
      </c>
      <c r="C11006" s="5" t="str">
        <f>IFERROR(__xludf.DUMMYFUNCTION("GOOGLETRANSLATE(B11006,""en"",""zh-CN"")"),"他使用该工具逐一摘下所有坚果。")</f>
        <v>他使用该工具逐一摘下所有坚果。</v>
      </c>
    </row>
    <row r="11007">
      <c r="A11007" s="4" t="s">
        <v>13843</v>
      </c>
      <c r="B11007" s="4" t="s">
        <v>13846</v>
      </c>
      <c r="C11007" s="5" t="str">
        <f>IFERROR(__xludf.DUMMYFUNCTION("GOOGLETRANSLATE(B11007,""en"",""zh-CN"")"),"然后，他抓住轮胎，将其移开，然后再放上轮胎。")</f>
        <v>然后，他抓住轮胎，将其移开，然后再放上轮胎。</v>
      </c>
    </row>
    <row r="11008">
      <c r="A11008" s="4" t="s">
        <v>13843</v>
      </c>
      <c r="B11008" s="6" t="s">
        <v>13847</v>
      </c>
      <c r="C11008" s="5" t="str">
        <f>IFERROR(__xludf.DUMMYFUNCTION("GOOGLETRANSLATE(B11008,""en"",""zh-CN"")"),"他做了以前做的一切，但相反，将螺母放回原处，以拧紧轮胎，然后将汽车放回原处。")</f>
        <v>他做了以前做的一切，但相反，将螺母放回原处，以拧紧轮胎，然后将汽车放回原处。</v>
      </c>
    </row>
    <row r="11009">
      <c r="A11009" s="4" t="s">
        <v>13848</v>
      </c>
      <c r="B11009" s="6" t="s">
        <v>13849</v>
      </c>
      <c r="C11009" s="5" t="str">
        <f>IFERROR(__xludf.DUMMYFUNCTION("GOOGLETRANSLATE(B11009,""en"",""zh-CN"")"),"一条少年滑板在道路上，然后他和一个拿着滑板的朋友一起走路，然后滑板。")</f>
        <v>一条少年滑板在道路上，然后他和一个拿着滑板的朋友一起走路，然后滑板。</v>
      </c>
    </row>
    <row r="11010">
      <c r="A11010" s="4" t="s">
        <v>13848</v>
      </c>
      <c r="B11010" s="4" t="s">
        <v>13850</v>
      </c>
      <c r="C11010" s="5" t="str">
        <f>IFERROR(__xludf.DUMMYFUNCTION("GOOGLETRANSLATE(B11010,""en"",""zh-CN"")"),"一辆汽车进入少年滑板的街道。")</f>
        <v>一辆汽车进入少年滑板的街道。</v>
      </c>
    </row>
    <row r="11011">
      <c r="A11011" s="4" t="s">
        <v>13848</v>
      </c>
      <c r="B11011" s="4" t="s">
        <v>13851</v>
      </c>
      <c r="C11011" s="5" t="str">
        <f>IFERROR(__xludf.DUMMYFUNCTION("GOOGLETRANSLATE(B11011,""en"",""zh-CN"")"),"一个年轻人在街上穿着粉红色的T恤滑板。")</f>
        <v>一个年轻人在街上穿着粉红色的T恤滑板。</v>
      </c>
    </row>
    <row r="11012">
      <c r="A11012" s="4" t="s">
        <v>13848</v>
      </c>
      <c r="B11012" s="4" t="s">
        <v>13852</v>
      </c>
      <c r="C11012" s="5" t="str">
        <f>IFERROR(__xludf.DUMMYFUNCTION("GOOGLETRANSLATE(B11012,""en"",""zh-CN"")"),"少年拿着滑板走路。")</f>
        <v>少年拿着滑板走路。</v>
      </c>
    </row>
    <row r="11013">
      <c r="A11013" s="4" t="s">
        <v>13848</v>
      </c>
      <c r="B11013" s="4" t="s">
        <v>13853</v>
      </c>
      <c r="C11013" s="5" t="str">
        <f>IFERROR(__xludf.DUMMYFUNCTION("GOOGLETRANSLATE(B11013,""en"",""zh-CN"")"),"街上的青少年滑板制作技巧并转身。")</f>
        <v>街上的青少年滑板制作技巧并转身。</v>
      </c>
    </row>
    <row r="11014">
      <c r="A11014" s="4" t="s">
        <v>13848</v>
      </c>
      <c r="B11014" s="4" t="s">
        <v>13854</v>
      </c>
      <c r="C11014" s="5" t="str">
        <f>IFERROR(__xludf.DUMMYFUNCTION("GOOGLETRANSLATE(B11014,""en"",""zh-CN"")"),"之后，两名青少年在街上步行，然后滑板。")</f>
        <v>之后，两名青少年在街上步行，然后滑板。</v>
      </c>
    </row>
    <row r="11015">
      <c r="A11015" s="4" t="s">
        <v>13855</v>
      </c>
      <c r="B11015" s="6" t="s">
        <v>13856</v>
      </c>
      <c r="C11015" s="5" t="str">
        <f>IFERROR(__xludf.DUMMYFUNCTION("GOOGLETRANSLATE(B11015,""en"",""zh-CN"")"),"一个男人在夜间站在舞台上，有很多舞台灯，他身后的乐队以及他面前的一群人，他在玩袋子管。")</f>
        <v>一个男人在夜间站在舞台上，有很多舞台灯，他身后的乐队以及他面前的一群人，他在玩袋子管。</v>
      </c>
    </row>
    <row r="11016">
      <c r="A11016" s="4" t="s">
        <v>13855</v>
      </c>
      <c r="B11016" s="4" t="s">
        <v>13857</v>
      </c>
      <c r="C11016" s="5" t="str">
        <f>IFERROR(__xludf.DUMMYFUNCTION("GOOGLETRANSLATE(B11016,""en"",""zh-CN"")"),"另一个男人来弹吉他，灯光闪烁。")</f>
        <v>另一个男人来弹吉他，灯光闪烁。</v>
      </c>
    </row>
    <row r="11017">
      <c r="A11017" s="4" t="s">
        <v>13855</v>
      </c>
      <c r="B11017" s="6" t="s">
        <v>13858</v>
      </c>
      <c r="C11017" s="5" t="str">
        <f>IFERROR(__xludf.DUMMYFUNCTION("GOOGLETRANSLATE(B11017,""en"",""zh-CN"")"),"当那个男人踢完风笛时，另一个男人在舞台上奔跑，从他身上抓住它，玩风笛的那个男人可以喝点东西，然后抓住麦克风，开始唱歌并在空中挥舞着他的右臂。")</f>
        <v>当那个男人踢完风笛时，另一个男人在舞台上奔跑，从他身上抓住它，玩风笛的那个男人可以喝点东西，然后抓住麦克风，开始唱歌并在空中挥舞着他的右臂。</v>
      </c>
    </row>
    <row r="11018">
      <c r="A11018" s="4" t="s">
        <v>13859</v>
      </c>
      <c r="B11018" s="6" t="s">
        <v>13860</v>
      </c>
      <c r="C11018" s="5" t="str">
        <f>IFERROR(__xludf.DUMMYFUNCTION("GOOGLETRANSLATE(B11018,""en"",""zh-CN"")"),"两名男子在树林里外面，一个男人戴着针织帽在两棵树上的绳子上平衡，而一个戴黑胡子的男人则用针织帽支撑着男人。")</f>
        <v>两名男子在树林里外面，一个男人戴着针织帽在两棵树上的绳子上平衡，而一个戴黑胡子的男人则用针织帽支撑着男人。</v>
      </c>
    </row>
    <row r="11019">
      <c r="A11019" s="4" t="s">
        <v>13859</v>
      </c>
      <c r="B11019" s="4" t="s">
        <v>13861</v>
      </c>
      <c r="C11019" s="5" t="str">
        <f>IFERROR(__xludf.DUMMYFUNCTION("GOOGLETRANSLATE(B11019,""en"",""zh-CN"")"),"带胡须的人释放了绳子上的那个人，然后移开。")</f>
        <v>带胡须的人释放了绳子上的那个人，然后移开。</v>
      </c>
    </row>
    <row r="11020">
      <c r="A11020" s="4" t="s">
        <v>13859</v>
      </c>
      <c r="B11020" s="6" t="s">
        <v>13862</v>
      </c>
      <c r="C11020" s="5" t="str">
        <f>IFERROR(__xludf.DUMMYFUNCTION("GOOGLETRANSLATE(B11020,""en"",""zh-CN"")"),"一个穿着绿色连帽的男人在绳索上平衡，而胡须中的那个人则在绳子上支撑着那个男人。")</f>
        <v>一个穿着绿色连帽的男人在绳索上平衡，而胡须中的那个人则在绳子上支撑着那个男人。</v>
      </c>
    </row>
    <row r="11021">
      <c r="A11021" s="4" t="s">
        <v>13859</v>
      </c>
      <c r="B11021" s="6" t="s">
        <v>13863</v>
      </c>
      <c r="C11021" s="5" t="str">
        <f>IFERROR(__xludf.DUMMYFUNCTION("GOOGLETRANSLATE(B11021,""en"",""zh-CN"")"),"一名穿着灰色衬衫的男人推开一个穿着黑色衬衫的男人，表演后翻筋斗，并牢牢地落在叶子覆盖的地面上。")</f>
        <v>一名穿着灰色衬衫的男人推开一个穿着黑色衬衫的男人，表演后翻筋斗，并牢牢地落在叶子覆盖的地面上。</v>
      </c>
    </row>
    <row r="11022">
      <c r="A11022" s="4" t="s">
        <v>13864</v>
      </c>
      <c r="B11022" s="6" t="s">
        <v>13865</v>
      </c>
      <c r="C11022" s="5" t="str">
        <f>IFERROR(__xludf.DUMMYFUNCTION("GOOGLETRANSLATE(B11022,""en"",""zh-CN"")"),"一个白色介绍屏幕带有特殊效果和许多颜色，其中包括单词，数字和徽标。")</f>
        <v>一个白色介绍屏幕带有特殊效果和许多颜色，其中包括单词，数字和徽标。</v>
      </c>
    </row>
    <row r="11023">
      <c r="A11023" s="4" t="s">
        <v>13864</v>
      </c>
      <c r="B11023" s="6" t="s">
        <v>13866</v>
      </c>
      <c r="C11023" s="5" t="str">
        <f>IFERROR(__xludf.DUMMYFUNCTION("GOOGLETRANSLATE(B11023,""en"",""zh-CN"")"),"然后，男人在一个黑暗的房间里展示了一个人，他们穿着衬衫，与他人握手，摆姿势，然后开始一场桌上足球比赛，而他们的旗帜的图像短暂地出现在屏幕上，周围的许多人看着观看当不同的男人彼此相处。")</f>
        <v>然后，男人在一个黑暗的房间里展示了一个人，他们穿着衬衫，与他人握手，摆姿势，然后开始一场桌上足球比赛，而他们的旗帜的图像短暂地出现在屏幕上，周围的许多人看着观看当不同的男人彼此相处。</v>
      </c>
    </row>
    <row r="11024">
      <c r="A11024" s="4" t="s">
        <v>13864</v>
      </c>
      <c r="B11024" s="6" t="s">
        <v>13867</v>
      </c>
      <c r="C11024" s="5" t="str">
        <f>IFERROR(__xludf.DUMMYFUNCTION("GOOGLETRANSLATE(B11024,""en"",""zh-CN"")"),"当他们踢完男人时，一个女人站在麦克风上说话，而一个男人将盒子交给另一个男人，然后他们走出舞台。")</f>
        <v>当他们踢完男人时，一个女人站在麦克风上说话，而一个男人将盒子交给另一个男人，然后他们走出舞台。</v>
      </c>
    </row>
    <row r="11025">
      <c r="A11025" s="4" t="s">
        <v>13864</v>
      </c>
      <c r="B11025" s="6" t="s">
        <v>13868</v>
      </c>
      <c r="C11025" s="5" t="str">
        <f>IFERROR(__xludf.DUMMYFUNCTION("GOOGLETRANSLATE(B11025,""en"",""zh-CN"")"),"从一开始就出现了相同的白屏，并带有特殊效果和许多彩色单词，然后淡化为黑色。")</f>
        <v>从一开始就出现了相同的白屏，并带有特殊效果和许多彩色单词，然后淡化为黑色。</v>
      </c>
    </row>
    <row r="11026">
      <c r="A11026" s="4" t="s">
        <v>13869</v>
      </c>
      <c r="B11026" s="4" t="s">
        <v>69</v>
      </c>
      <c r="C11026" s="5" t="str">
        <f>IFERROR(__xludf.DUMMYFUNCTION("GOOGLETRANSLATE(B11026,""en"",""zh-CN"")"),"人们在草地上玩曲棍球。")</f>
        <v>人们在草地上玩曲棍球。</v>
      </c>
    </row>
    <row r="11027">
      <c r="A11027" s="4" t="s">
        <v>13869</v>
      </c>
      <c r="B11027" s="4" t="s">
        <v>13870</v>
      </c>
      <c r="C11027" s="5" t="str">
        <f>IFERROR(__xludf.DUMMYFUNCTION("GOOGLETRANSLATE(B11027,""en"",""zh-CN"")"),"一件白衬衫的男人正在和镜头说话。")</f>
        <v>一件白衬衫的男人正在和镜头说话。</v>
      </c>
    </row>
    <row r="11028">
      <c r="A11028" s="4" t="s">
        <v>13869</v>
      </c>
      <c r="B11028" s="4" t="s">
        <v>13871</v>
      </c>
      <c r="C11028" s="5" t="str">
        <f>IFERROR(__xludf.DUMMYFUNCTION("GOOGLETRANSLATE(B11028,""en"",""zh-CN"")"),"然后，一个女孩和相机交谈。")</f>
        <v>然后，一个女孩和相机交谈。</v>
      </c>
    </row>
    <row r="11029">
      <c r="A11029" s="4" t="s">
        <v>13869</v>
      </c>
      <c r="B11029" s="4" t="s">
        <v>13872</v>
      </c>
      <c r="C11029" s="5" t="str">
        <f>IFERROR(__xludf.DUMMYFUNCTION("GOOGLETRANSLATE(B11029,""en"",""zh-CN"")"),"粉红色的水瓶在盒子里。")</f>
        <v>粉红色的水瓶在盒子里。</v>
      </c>
    </row>
    <row r="11030">
      <c r="A11030" s="4" t="s">
        <v>13869</v>
      </c>
      <c r="B11030" s="4" t="s">
        <v>13873</v>
      </c>
      <c r="C11030" s="5" t="str">
        <f>IFERROR(__xludf.DUMMYFUNCTION("GOOGLETRANSLATE(B11030,""en"",""zh-CN"")"),"他们走进田野开始比赛。")</f>
        <v>他们走进田野开始比赛。</v>
      </c>
    </row>
    <row r="11031">
      <c r="A11031" s="4" t="s">
        <v>13874</v>
      </c>
      <c r="B11031" s="4" t="s">
        <v>13875</v>
      </c>
      <c r="C11031" s="5" t="str">
        <f>IFERROR(__xludf.DUMMYFUNCTION("GOOGLETRANSLATE(B11031,""en"",""zh-CN"")"),"一个人生成的男人游戏，他开始旋转。")</f>
        <v>一个人生成的男人游戏，他开始旋转。</v>
      </c>
    </row>
    <row r="11032">
      <c r="A11032" s="4" t="s">
        <v>13874</v>
      </c>
      <c r="B11032" s="4" t="s">
        <v>13876</v>
      </c>
      <c r="C11032" s="5" t="str">
        <f>IFERROR(__xludf.DUMMYFUNCTION("GOOGLETRANSLATE(B11032,""en"",""zh-CN"")"),"他迅速转身，放开飞盘，裁判跑到标记它的地点。")</f>
        <v>他迅速转身，放开飞盘，裁判跑到标记它的地点。</v>
      </c>
    </row>
    <row r="11033">
      <c r="A11033" s="4" t="s">
        <v>13874</v>
      </c>
      <c r="B11033" s="4" t="s">
        <v>13877</v>
      </c>
      <c r="C11033" s="5" t="str">
        <f>IFERROR(__xludf.DUMMYFUNCTION("GOOGLETRANSLATE(B11033,""en"",""zh-CN"")"),"该男子开始再次做，他旋转并再次扔。")</f>
        <v>该男子开始再次做，他旋转并再次扔。</v>
      </c>
    </row>
    <row r="11034">
      <c r="A11034" s="4" t="s">
        <v>13874</v>
      </c>
      <c r="B11034" s="6" t="s">
        <v>13878</v>
      </c>
      <c r="C11034" s="5" t="str">
        <f>IFERROR(__xludf.DUMMYFUNCTION("GOOGLETRANSLATE(B11034,""en"",""zh-CN"")"),"分数出现在屏幕上，然后他再次旋转并再次投掷，然后他为兴奋而欢呼。")</f>
        <v>分数出现在屏幕上，然后他再次旋转并再次投掷，然后他为兴奋而欢呼。</v>
      </c>
    </row>
    <row r="11035">
      <c r="A11035" s="4" t="s">
        <v>13879</v>
      </c>
      <c r="B11035" s="6" t="s">
        <v>13880</v>
      </c>
      <c r="C11035" s="5" t="str">
        <f>IFERROR(__xludf.DUMMYFUNCTION("GOOGLETRANSLATE(B11035,""en"",""zh-CN"")"),"有些人携带一个仪表盒在外面走来走去，他们将箱子放在地上，拿出小提琴。")</f>
        <v>有些人携带一个仪表盒在外面走来走去，他们将箱子放在地上，拿出小提琴。</v>
      </c>
    </row>
    <row r="11036">
      <c r="A11036" s="4" t="s">
        <v>13879</v>
      </c>
      <c r="B11036" s="4" t="s">
        <v>13881</v>
      </c>
      <c r="C11036" s="5" t="str">
        <f>IFERROR(__xludf.DUMMYFUNCTION("GOOGLETRANSLATE(B11036,""en"",""zh-CN"")"),"那个女人到处都是小提琴，她也会跳舞。")</f>
        <v>那个女人到处都是小提琴，她也会跳舞。</v>
      </c>
    </row>
    <row r="11037">
      <c r="A11037" s="4" t="s">
        <v>13879</v>
      </c>
      <c r="B11037" s="6" t="s">
        <v>13882</v>
      </c>
      <c r="C11037" s="5" t="str">
        <f>IFERROR(__xludf.DUMMYFUNCTION("GOOGLETRANSLATE(B11037,""en"",""zh-CN"")"),"她做的一些运动使她的后背弯腰几乎碰到了地面，同时仍在小提琴上塞住。")</f>
        <v>她做的一些运动使她的后背弯腰几乎碰到了地面，同时仍在小提琴上塞住。</v>
      </c>
    </row>
    <row r="11038">
      <c r="A11038" s="4" t="s">
        <v>13879</v>
      </c>
      <c r="B11038" s="4" t="s">
        <v>13883</v>
      </c>
      <c r="C11038" s="5" t="str">
        <f>IFERROR(__xludf.DUMMYFUNCTION("GOOGLETRANSLATE(B11038,""en"",""zh-CN"")"),"她对此非常强烈，她玩耍和戏剧，当她完成后，她随便走开。")</f>
        <v>她对此非常强烈，她玩耍和戏剧，当她完成后，她随便走开。</v>
      </c>
    </row>
    <row r="11039">
      <c r="A11039" s="4" t="s">
        <v>13884</v>
      </c>
      <c r="B11039" s="4" t="s">
        <v>13885</v>
      </c>
      <c r="C11039" s="5" t="str">
        <f>IFERROR(__xludf.DUMMYFUNCTION("GOOGLETRANSLATE(B11039,""en"",""zh-CN"")"),"一个女人在移动脚时扮演长笛坐在钢琴上。")</f>
        <v>一个女人在移动脚时扮演长笛坐在钢琴上。</v>
      </c>
    </row>
    <row r="11040">
      <c r="A11040" s="4" t="s">
        <v>13884</v>
      </c>
      <c r="B11040" s="4" t="s">
        <v>13886</v>
      </c>
      <c r="C11040" s="5" t="str">
        <f>IFERROR(__xludf.DUMMYFUNCTION("GOOGLETRANSLATE(B11040,""en"",""zh-CN"")"),"女人结束了弓箭的笑容。")</f>
        <v>女人结束了弓箭的笑容。</v>
      </c>
    </row>
    <row r="11041">
      <c r="A11041" s="4" t="s">
        <v>13887</v>
      </c>
      <c r="B11041" s="4" t="s">
        <v>13888</v>
      </c>
      <c r="C11041" s="5" t="str">
        <f>IFERROR(__xludf.DUMMYFUNCTION("GOOGLETRANSLATE(B11041,""en"",""zh-CN"")"),"看到一个女人在相机上说话，然后将液体倒入箱子里。")</f>
        <v>看到一个女人在相机上说话，然后将液体倒入箱子里。</v>
      </c>
    </row>
    <row r="11042">
      <c r="A11042" s="4" t="s">
        <v>13887</v>
      </c>
      <c r="B11042" s="4" t="s">
        <v>13889</v>
      </c>
      <c r="C11042" s="5" t="str">
        <f>IFERROR(__xludf.DUMMYFUNCTION("GOOGLETRANSLATE(B11042,""en"",""zh-CN"")"),"然后，她将触点拉到箱子中，然后将一只接触到每只眼睛。")</f>
        <v>然后，她将触点拉到箱子中，然后将一只接触到每只眼睛。</v>
      </c>
    </row>
    <row r="11043">
      <c r="A11043" s="4" t="s">
        <v>13887</v>
      </c>
      <c r="B11043" s="4" t="s">
        <v>13890</v>
      </c>
      <c r="C11043" s="5" t="str">
        <f>IFERROR(__xludf.DUMMYFUNCTION("GOOGLETRANSLATE(B11043,""en"",""zh-CN"")"),"她最终举起了案件，然后将联系人放回案件中。")</f>
        <v>她最终举起了案件，然后将联系人放回案件中。</v>
      </c>
    </row>
    <row r="11044">
      <c r="A11044" s="4" t="s">
        <v>13891</v>
      </c>
      <c r="B11044" s="4" t="s">
        <v>13892</v>
      </c>
      <c r="C11044" s="5" t="str">
        <f>IFERROR(__xludf.DUMMYFUNCTION("GOOGLETRANSLATE(B11044,""en"",""zh-CN"")"),"人们筏子沿着一条岩石的河流。")</f>
        <v>人们筏子沿着一条岩石的河流。</v>
      </c>
    </row>
    <row r="11045">
      <c r="A11045" s="4" t="s">
        <v>13891</v>
      </c>
      <c r="B11045" s="4" t="s">
        <v>13893</v>
      </c>
      <c r="C11045" s="5" t="str">
        <f>IFERROR(__xludf.DUMMYFUNCTION("GOOGLETRANSLATE(B11045,""en"",""zh-CN"")"),"突然，船翻身，所有人都落入水中。")</f>
        <v>突然，船翻身，所有人都落入水中。</v>
      </c>
    </row>
    <row r="11046">
      <c r="A11046" s="4" t="s">
        <v>13891</v>
      </c>
      <c r="B11046" s="4" t="s">
        <v>13894</v>
      </c>
      <c r="C11046" s="5" t="str">
        <f>IFERROR(__xludf.DUMMYFUNCTION("GOOGLETRANSLATE(B11046,""en"",""zh-CN"")"),"然后，人们到达岸边，一个人爬上一块岩石。")</f>
        <v>然后，人们到达岸边，一个人爬上一块岩石。</v>
      </c>
    </row>
    <row r="11047">
      <c r="A11047" s="4" t="s">
        <v>13891</v>
      </c>
      <c r="B11047" s="4" t="s">
        <v>13895</v>
      </c>
      <c r="C11047" s="5" t="str">
        <f>IFERROR(__xludf.DUMMYFUNCTION("GOOGLETRANSLATE(B11047,""en"",""zh-CN"")"),"之后，乘船的人救出水中的一个人并恢复了船。")</f>
        <v>之后，乘船的人救出水中的一个人并恢复了船。</v>
      </c>
    </row>
    <row r="11048">
      <c r="A11048" s="4" t="s">
        <v>13891</v>
      </c>
      <c r="B11048" s="4" t="s">
        <v>13896</v>
      </c>
      <c r="C11048" s="5" t="str">
        <f>IFERROR(__xludf.DUMMYFUNCTION("GOOGLETRANSLATE(B11048,""en"",""zh-CN"")"),"两个人站在梯子旁边的岸边。")</f>
        <v>两个人站在梯子旁边的岸边。</v>
      </c>
    </row>
    <row r="11049">
      <c r="A11049" s="4" t="s">
        <v>13891</v>
      </c>
      <c r="B11049" s="4" t="s">
        <v>13897</v>
      </c>
      <c r="C11049" s="5" t="str">
        <f>IFERROR(__xludf.DUMMYFUNCTION("GOOGLETRANSLATE(B11049,""en"",""zh-CN"")"),"after在水中等待着。")</f>
        <v>after在水中等待着。</v>
      </c>
    </row>
    <row r="11050">
      <c r="A11050" s="4" t="s">
        <v>13898</v>
      </c>
      <c r="B11050" s="4" t="s">
        <v>13899</v>
      </c>
      <c r="C11050" s="5" t="str">
        <f>IFERROR(__xludf.DUMMYFUNCTION("GOOGLETRANSLATE(B11050,""en"",""zh-CN"")"),"人们玩啤酒乒乓球，而其他人看着。")</f>
        <v>人们玩啤酒乒乓球，而其他人看着。</v>
      </c>
    </row>
    <row r="11051">
      <c r="A11051" s="4" t="s">
        <v>13898</v>
      </c>
      <c r="B11051" s="4" t="s">
        <v>13900</v>
      </c>
      <c r="C11051" s="5" t="str">
        <f>IFERROR(__xludf.DUMMYFUNCTION("GOOGLETRANSLATE(B11051,""en"",""zh-CN"")"),"当球进入杯子时，人们会开心。")</f>
        <v>当球进入杯子时，人们会开心。</v>
      </c>
    </row>
    <row r="11052">
      <c r="A11052" s="4" t="s">
        <v>13898</v>
      </c>
      <c r="B11052" s="4" t="s">
        <v>13901</v>
      </c>
      <c r="C11052" s="5" t="str">
        <f>IFERROR(__xludf.DUMMYFUNCTION("GOOGLETRANSLATE(B11052,""en"",""zh-CN"")"),"然后，一个男人在杯子里扔一个球，一个人在杯子里喝液体。")</f>
        <v>然后，一个男人在杯子里扔一个球，一个人在杯子里喝液体。</v>
      </c>
    </row>
    <row r="11053">
      <c r="A11053" s="4" t="s">
        <v>13898</v>
      </c>
      <c r="B11053" s="4" t="s">
        <v>13902</v>
      </c>
      <c r="C11053" s="5" t="str">
        <f>IFERROR(__xludf.DUMMYFUNCTION("GOOGLETRANSLATE(B11053,""en"",""zh-CN"")"),"一个男人在杯子里扔一个球，人们祝贺并拥抱那个男人。")</f>
        <v>一个男人在杯子里扔一个球，人们祝贺并拥抱那个男人。</v>
      </c>
    </row>
    <row r="11054">
      <c r="A11054" s="4" t="s">
        <v>13903</v>
      </c>
      <c r="B11054" s="6" t="s">
        <v>13904</v>
      </c>
      <c r="C11054" s="5" t="str">
        <f>IFERROR(__xludf.DUMMYFUNCTION("GOOGLETRANSLATE(B11054,""en"",""zh-CN"")"),"看到一个人在相机上说话，走进纹身店，然后是一个被艺术家纹身的人。")</f>
        <v>看到一个人在相机上说话，走进纹身店，然后是一个被艺术家纹身的人。</v>
      </c>
    </row>
    <row r="11055">
      <c r="A11055" s="4" t="s">
        <v>13903</v>
      </c>
      <c r="B11055" s="6" t="s">
        <v>13905</v>
      </c>
      <c r="C11055" s="5" t="str">
        <f>IFERROR(__xludf.DUMMYFUNCTION("GOOGLETRANSLATE(B11055,""en"",""zh-CN"")"),"该男子继续在相机上说话，而另一个人则在背景中纹身，并继续与相机说话。")</f>
        <v>该男子继续在相机上说话，而另一个人则在背景中纹身，并继续与相机说话。</v>
      </c>
    </row>
    <row r="11056">
      <c r="A11056" s="4" t="s">
        <v>13906</v>
      </c>
      <c r="B11056" s="4" t="s">
        <v>13907</v>
      </c>
      <c r="C11056" s="5" t="str">
        <f>IFERROR(__xludf.DUMMYFUNCTION("GOOGLETRANSLATE(B11056,""en"",""zh-CN"")"),"我们看到一张蓝色标题卡。")</f>
        <v>我们看到一张蓝色标题卡。</v>
      </c>
    </row>
    <row r="11057">
      <c r="A11057" s="4" t="s">
        <v>13906</v>
      </c>
      <c r="B11057" s="4" t="s">
        <v>13908</v>
      </c>
      <c r="C11057" s="5" t="str">
        <f>IFERROR(__xludf.DUMMYFUNCTION("GOOGLETRANSLATE(B11057,""en"",""zh-CN"")"),"一个男人和一个女人开始在宴会厅跳舞。")</f>
        <v>一个男人和一个女人开始在宴会厅跳舞。</v>
      </c>
    </row>
    <row r="11058">
      <c r="A11058" s="4" t="s">
        <v>13906</v>
      </c>
      <c r="B11058" s="4" t="s">
        <v>13909</v>
      </c>
      <c r="C11058" s="5" t="str">
        <f>IFERROR(__xludf.DUMMYFUNCTION("GOOGLETRANSLATE(B11058,""en"",""zh-CN"")"),"他们停下来，那位女士扫了她的腿。")</f>
        <v>他们停下来，那位女士扫了她的腿。</v>
      </c>
    </row>
    <row r="11059">
      <c r="A11059" s="4" t="s">
        <v>13906</v>
      </c>
      <c r="B11059" s="4" t="s">
        <v>13910</v>
      </c>
      <c r="C11059" s="5" t="str">
        <f>IFERROR(__xludf.DUMMYFUNCTION("GOOGLETRANSLATE(B11059,""en"",""zh-CN"")"),"那个男人浸入女士。")</f>
        <v>那个男人浸入女士。</v>
      </c>
    </row>
    <row r="11060">
      <c r="A11060" s="4" t="s">
        <v>13906</v>
      </c>
      <c r="B11060" s="4" t="s">
        <v>13911</v>
      </c>
      <c r="C11060" s="5" t="str">
        <f>IFERROR(__xludf.DUMMYFUNCTION("GOOGLETRANSLATE(B11060,""en"",""zh-CN"")"),"女士滑到地上。")</f>
        <v>女士滑到地上。</v>
      </c>
    </row>
    <row r="11061">
      <c r="A11061" s="4" t="s">
        <v>13906</v>
      </c>
      <c r="B11061" s="4" t="s">
        <v>13912</v>
      </c>
      <c r="C11061" s="5" t="str">
        <f>IFERROR(__xludf.DUMMYFUNCTION("GOOGLETRANSLATE(B11061,""en"",""zh-CN"")"),"那位女士分裂了。")</f>
        <v>那位女士分裂了。</v>
      </c>
    </row>
    <row r="11062">
      <c r="A11062" s="4" t="s">
        <v>13906</v>
      </c>
      <c r="B11062" s="4" t="s">
        <v>13913</v>
      </c>
      <c r="C11062" s="5" t="str">
        <f>IFERROR(__xludf.DUMMYFUNCTION("GOOGLETRANSLATE(B11062,""en"",""zh-CN"")"),"该男子抬起女士。")</f>
        <v>该男子抬起女士。</v>
      </c>
    </row>
    <row r="11063">
      <c r="A11063" s="4" t="s">
        <v>13906</v>
      </c>
      <c r="B11063" s="4" t="s">
        <v>13914</v>
      </c>
      <c r="C11063" s="5" t="str">
        <f>IFERROR(__xludf.DUMMYFUNCTION("GOOGLETRANSLATE(B11063,""en"",""zh-CN"")"),"我们切换并看到人们在不同位置跳舞。")</f>
        <v>我们切换并看到人们在不同位置跳舞。</v>
      </c>
    </row>
    <row r="11064">
      <c r="A11064" s="4" t="s">
        <v>13906</v>
      </c>
      <c r="B11064" s="4" t="s">
        <v>13915</v>
      </c>
      <c r="C11064" s="5" t="str">
        <f>IFERROR(__xludf.DUMMYFUNCTION("GOOGLETRANSLATE(B11064,""en"",""zh-CN"")"),"我们看到蓝色结尾屏幕。")</f>
        <v>我们看到蓝色结尾屏幕。</v>
      </c>
    </row>
    <row r="11065">
      <c r="A11065" s="4" t="s">
        <v>13916</v>
      </c>
      <c r="B11065" s="4" t="s">
        <v>13917</v>
      </c>
      <c r="C11065" s="5" t="str">
        <f>IFERROR(__xludf.DUMMYFUNCTION("GOOGLETRANSLATE(B11065,""en"",""zh-CN"")"),"看到一个男人在夜总会里跳舞，周围有两个女人。")</f>
        <v>看到一个男人在夜总会里跳舞，周围有两个女人。</v>
      </c>
    </row>
    <row r="11066">
      <c r="A11066" s="4" t="s">
        <v>13916</v>
      </c>
      <c r="B11066" s="4" t="s">
        <v>13918</v>
      </c>
      <c r="C11066" s="5" t="str">
        <f>IFERROR(__xludf.DUMMYFUNCTION("GOOGLETRANSLATE(B11066,""en"",""zh-CN"")"),"三人继续互相跳舞，而其他人则在旁边跳舞。")</f>
        <v>三人继续互相跳舞，而其他人则在旁边跳舞。</v>
      </c>
    </row>
    <row r="11067">
      <c r="A11067" s="4" t="s">
        <v>13916</v>
      </c>
      <c r="B11067" s="4" t="s">
        <v>13919</v>
      </c>
      <c r="C11067" s="5" t="str">
        <f>IFERROR(__xludf.DUMMYFUNCTION("GOOGLETRANSLATE(B11067,""en"",""zh-CN"")"),"当相机捕捉他们的动作时，人们相互跳舞。")</f>
        <v>当相机捕捉他们的动作时，人们相互跳舞。</v>
      </c>
    </row>
    <row r="11068">
      <c r="A11068" s="4" t="s">
        <v>13920</v>
      </c>
      <c r="B11068" s="4" t="s">
        <v>13921</v>
      </c>
      <c r="C11068" s="5" t="str">
        <f>IFERROR(__xludf.DUMMYFUNCTION("GOOGLETRANSLATE(B11068,""en"",""zh-CN"")"),"一个人用紫色指甲油将钉子钉给女人。")</f>
        <v>一个人用紫色指甲油将钉子钉给女人。</v>
      </c>
    </row>
    <row r="11069">
      <c r="A11069" s="4" t="s">
        <v>13920</v>
      </c>
      <c r="B11069" s="4" t="s">
        <v>13922</v>
      </c>
      <c r="C11069" s="5" t="str">
        <f>IFERROR(__xludf.DUMMYFUNCTION("GOOGLETRANSLATE(B11069,""en"",""zh-CN"")"),"一个女人低头。")</f>
        <v>一个女人低头。</v>
      </c>
    </row>
    <row r="11070">
      <c r="A11070" s="4" t="s">
        <v>13923</v>
      </c>
      <c r="B11070" s="6" t="s">
        <v>13924</v>
      </c>
      <c r="C11070" s="5" t="str">
        <f>IFERROR(__xludf.DUMMYFUNCTION("GOOGLETRANSLATE(B11070,""en"",""zh-CN"")"),"看到一个女人坐在椅子上说话，向相机挥舞着，看着镜子，向她和相机男人展示。")</f>
        <v>看到一个女人坐在椅子上说话，向相机挥舞着，看着镜子，向她和相机男人展示。</v>
      </c>
    </row>
    <row r="11071">
      <c r="A11071" s="4" t="s">
        <v>13923</v>
      </c>
      <c r="B11071" s="4" t="s">
        <v>13925</v>
      </c>
      <c r="C11071" s="5" t="str">
        <f>IFERROR(__xludf.DUMMYFUNCTION("GOOGLETRANSLATE(B11071,""en"",""zh-CN"")"),"然后，纹身艺术家走进框架，开始在女孩的脖子上纹身。")</f>
        <v>然后，纹身艺术家走进框架，开始在女孩的脖子上纹身。</v>
      </c>
    </row>
    <row r="11072">
      <c r="A11072" s="4" t="s">
        <v>13923</v>
      </c>
      <c r="B11072" s="4" t="s">
        <v>13926</v>
      </c>
      <c r="C11072" s="5" t="str">
        <f>IFERROR(__xludf.DUMMYFUNCTION("GOOGLETRANSLATE(B11072,""en"",""zh-CN"")"),"最终显示了女孩纹身的图片。")</f>
        <v>最终显示了女孩纹身的图片。</v>
      </c>
    </row>
    <row r="11073">
      <c r="A11073" s="4" t="s">
        <v>13927</v>
      </c>
      <c r="B11073" s="4" t="s">
        <v>13928</v>
      </c>
      <c r="C11073" s="5" t="str">
        <f>IFERROR(__xludf.DUMMYFUNCTION("GOOGLETRANSLATE(B11073,""en"",""zh-CN"")"),"简介导致一小群小孩站在持有乐器的舞台上。")</f>
        <v>简介导致一小群小孩站在持有乐器的舞台上。</v>
      </c>
    </row>
    <row r="11074">
      <c r="A11074" s="4" t="s">
        <v>13927</v>
      </c>
      <c r="B11074" s="4" t="s">
        <v>13929</v>
      </c>
      <c r="C11074" s="5" t="str">
        <f>IFERROR(__xludf.DUMMYFUNCTION("GOOGLETRANSLATE(B11074,""en"",""zh-CN"")"),"他们开始弹奏乐器，而相机则放大每个乐器。")</f>
        <v>他们开始弹奏乐器，而相机则放大每个乐器。</v>
      </c>
    </row>
    <row r="11075">
      <c r="A11075" s="4" t="s">
        <v>13930</v>
      </c>
      <c r="B11075" s="4" t="s">
        <v>13931</v>
      </c>
      <c r="C11075" s="5" t="str">
        <f>IFERROR(__xludf.DUMMYFUNCTION("GOOGLETRANSLATE(B11075,""en"",""zh-CN"")"),"一个戴着圣诞老人帽子的女人在说话。")</f>
        <v>一个戴着圣诞老人帽子的女人在说话。</v>
      </c>
    </row>
    <row r="11076">
      <c r="A11076" s="4" t="s">
        <v>13930</v>
      </c>
      <c r="B11076" s="4" t="s">
        <v>13932</v>
      </c>
      <c r="C11076" s="5" t="str">
        <f>IFERROR(__xludf.DUMMYFUNCTION("GOOGLETRANSLATE(B11076,""en"",""zh-CN"")"),"她把圣诞灯放在树上。")</f>
        <v>她把圣诞灯放在树上。</v>
      </c>
    </row>
    <row r="11077">
      <c r="A11077" s="4" t="s">
        <v>13930</v>
      </c>
      <c r="B11077" s="4" t="s">
        <v>13933</v>
      </c>
      <c r="C11077" s="5" t="str">
        <f>IFERROR(__xludf.DUMMYFUNCTION("GOOGLETRANSLATE(B11077,""en"",""zh-CN"")"),"她把缎带放在树上。")</f>
        <v>她把缎带放在树上。</v>
      </c>
    </row>
    <row r="11078">
      <c r="A11078" s="4" t="s">
        <v>13930</v>
      </c>
      <c r="B11078" s="4" t="s">
        <v>13934</v>
      </c>
      <c r="C11078" s="5" t="str">
        <f>IFERROR(__xludf.DUMMYFUNCTION("GOOGLETRANSLATE(B11078,""en"",""zh-CN"")"),"她在树上装饰。")</f>
        <v>她在树上装饰。</v>
      </c>
    </row>
    <row r="11079">
      <c r="A11079" s="4" t="s">
        <v>13930</v>
      </c>
      <c r="B11079" s="4" t="s">
        <v>13935</v>
      </c>
      <c r="C11079" s="5" t="str">
        <f>IFERROR(__xludf.DUMMYFUNCTION("GOOGLETRANSLATE(B11079,""en"",""zh-CN"")"),"她把灯泡放在圣诞树上。")</f>
        <v>她把灯泡放在圣诞树上。</v>
      </c>
    </row>
    <row r="11080">
      <c r="A11080" s="4" t="s">
        <v>13930</v>
      </c>
      <c r="B11080" s="4" t="s">
        <v>13936</v>
      </c>
      <c r="C11080" s="5" t="str">
        <f>IFERROR(__xludf.DUMMYFUNCTION("GOOGLETRANSLATE(B11080,""en"",""zh-CN"")"),"她把小毛绒动物放在树上。")</f>
        <v>她把小毛绒动物放在树上。</v>
      </c>
    </row>
    <row r="11081">
      <c r="A11081" s="4" t="s">
        <v>13930</v>
      </c>
      <c r="B11081" s="4" t="s">
        <v>13937</v>
      </c>
      <c r="C11081" s="5" t="str">
        <f>IFERROR(__xludf.DUMMYFUNCTION("GOOGLETRANSLATE(B11081,""en"",""zh-CN"")"),"她把糖果棒放在树上。")</f>
        <v>她把糖果棒放在树上。</v>
      </c>
    </row>
    <row r="11082">
      <c r="A11082" s="4" t="s">
        <v>13930</v>
      </c>
      <c r="B11082" s="4" t="s">
        <v>13938</v>
      </c>
      <c r="C11082" s="5" t="str">
        <f>IFERROR(__xludf.DUMMYFUNCTION("GOOGLETRANSLATE(B11082,""en"",""zh-CN"")"),"她把一颗星星放在树上。")</f>
        <v>她把一颗星星放在树上。</v>
      </c>
    </row>
    <row r="11083">
      <c r="A11083" s="4" t="s">
        <v>13930</v>
      </c>
      <c r="B11083" s="4" t="s">
        <v>13939</v>
      </c>
      <c r="C11083" s="5" t="str">
        <f>IFERROR(__xludf.DUMMYFUNCTION("GOOGLETRANSLATE(B11083,""en"",""zh-CN"")"),"星星从树上掉下来。")</f>
        <v>星星从树上掉下来。</v>
      </c>
    </row>
    <row r="11084">
      <c r="A11084" s="4" t="s">
        <v>13930</v>
      </c>
      <c r="B11084" s="4" t="s">
        <v>13940</v>
      </c>
      <c r="C11084" s="5" t="str">
        <f>IFERROR(__xludf.DUMMYFUNCTION("GOOGLETRANSLATE(B11084,""en"",""zh-CN"")"),"她把棉花放在树下。")</f>
        <v>她把棉花放在树下。</v>
      </c>
    </row>
    <row r="11085">
      <c r="A11085" s="4" t="s">
        <v>13941</v>
      </c>
      <c r="B11085" s="4" t="s">
        <v>13942</v>
      </c>
      <c r="C11085" s="5" t="str">
        <f>IFERROR(__xludf.DUMMYFUNCTION("GOOGLETRANSLATE(B11085,""en"",""zh-CN"")"),"一个房间里的一个年轻女孩与相机交谈，并炫耀她的发型。")</f>
        <v>一个房间里的一个年轻女孩与相机交谈，并炫耀她的发型。</v>
      </c>
    </row>
    <row r="11086">
      <c r="A11086" s="4" t="s">
        <v>13941</v>
      </c>
      <c r="B11086" s="4" t="s">
        <v>13943</v>
      </c>
      <c r="C11086" s="5" t="str">
        <f>IFERROR(__xludf.DUMMYFUNCTION("GOOGLETRANSLATE(B11086,""en"",""zh-CN"")"),"然后，她回到编织之前，然后将其梳理，将其切开。")</f>
        <v>然后，她回到编织之前，然后将其梳理，将其切开。</v>
      </c>
    </row>
    <row r="11087">
      <c r="A11087" s="4" t="s">
        <v>13941</v>
      </c>
      <c r="B11087" s="6" t="s">
        <v>13944</v>
      </c>
      <c r="C11087" s="5" t="str">
        <f>IFERROR(__xludf.DUMMYFUNCTION("GOOGLETRANSLATE(B11087,""en"",""zh-CN"")"),"然后，她占据了两个部分并将其交织在一起，并在辫子上掉下来时抓住了更多的头发。")</f>
        <v>然后，她占据了两个部分并将其交织在一起，并在辫子上掉下来时抓住了更多的头发。</v>
      </c>
    </row>
    <row r="11088">
      <c r="A11088" s="4" t="s">
        <v>13941</v>
      </c>
      <c r="B11088" s="6" t="s">
        <v>13945</v>
      </c>
      <c r="C11088" s="5" t="str">
        <f>IFERROR(__xludf.DUMMYFUNCTION("GOOGLETRANSLATE(B11088,""en"",""zh-CN"")"),"然后，她将辫子塞在侧面，抓住头发的长度以将其固定在侧面，并从头发背面融合长度。")</f>
        <v>然后，她将辫子塞在侧面，抓住头发的长度以将其固定在侧面，并从头发背面融合长度。</v>
      </c>
    </row>
    <row r="11089">
      <c r="A11089" s="4" t="s">
        <v>13941</v>
      </c>
      <c r="B11089" s="4" t="s">
        <v>13946</v>
      </c>
      <c r="C11089" s="5" t="str">
        <f>IFERROR(__xludf.DUMMYFUNCTION("GOOGLETRANSLATE(B11089,""en"",""zh-CN"")"),"她的头发是成功编织的，她炫耀了完成的外观。")</f>
        <v>她的头发是成功编织的，她炫耀了完成的外观。</v>
      </c>
    </row>
    <row r="11090">
      <c r="A11090" s="4" t="s">
        <v>13947</v>
      </c>
      <c r="B11090" s="6" t="s">
        <v>13948</v>
      </c>
      <c r="C11090" s="5" t="str">
        <f>IFERROR(__xludf.DUMMYFUNCTION("GOOGLETRANSLATE(B11090,""en"",""zh-CN"")"),"一个穿着击剑的男人开始谈论围栏装备准备谈论他的围栏经历。")</f>
        <v>一个穿着击剑的男人开始谈论围栏装备准备谈论他的围栏经历。</v>
      </c>
    </row>
    <row r="11091">
      <c r="A11091" s="4" t="s">
        <v>13947</v>
      </c>
      <c r="B11091" s="4" t="s">
        <v>13949</v>
      </c>
      <c r="C11091" s="5" t="str">
        <f>IFERROR(__xludf.DUMMYFUNCTION("GOOGLETRANSLATE(B11091,""en"",""zh-CN"")"),"他穿着装备，去工作室练习。")</f>
        <v>他穿着装备，去工作室练习。</v>
      </c>
    </row>
    <row r="11092">
      <c r="A11092" s="4" t="s">
        <v>13947</v>
      </c>
      <c r="B11092" s="4" t="s">
        <v>13950</v>
      </c>
      <c r="C11092" s="5" t="str">
        <f>IFERROR(__xludf.DUMMYFUNCTION("GOOGLETRANSLATE(B11092,""en"",""zh-CN"")"),"在计时器运行时，他和另一个人互相练习。")</f>
        <v>在计时器运行时，他和另一个人互相练习。</v>
      </c>
    </row>
    <row r="11093">
      <c r="A11093" s="4" t="s">
        <v>13947</v>
      </c>
      <c r="B11093" s="6" t="s">
        <v>13951</v>
      </c>
      <c r="C11093" s="5" t="str">
        <f>IFERROR(__xludf.DUMMYFUNCTION("GOOGLETRANSLATE(B11093,""en"",""zh-CN"")"),"围栏时有一定的姿态和方式，有助于向对手移动。")</f>
        <v>围栏时有一定的姿态和方式，有助于向对手移动。</v>
      </c>
    </row>
    <row r="11094">
      <c r="A11094" s="4" t="s">
        <v>13952</v>
      </c>
      <c r="B11094" s="4" t="s">
        <v>13953</v>
      </c>
      <c r="C11094" s="5" t="str">
        <f>IFERROR(__xludf.DUMMYFUNCTION("GOOGLETRANSLATE(B11094,""en"",""zh-CN"")"),"一个摄像头绕着天空晃动，显示风筝在空中。")</f>
        <v>一个摄像头绕着天空晃动，显示风筝在空中。</v>
      </c>
    </row>
    <row r="11095">
      <c r="A11095" s="4" t="s">
        <v>13952</v>
      </c>
      <c r="B11095" s="4" t="s">
        <v>13954</v>
      </c>
      <c r="C11095" s="5" t="str">
        <f>IFERROR(__xludf.DUMMYFUNCTION("GOOGLETRANSLATE(B11095,""en"",""zh-CN"")"),"然后看到一个人在水上骑风筝板。")</f>
        <v>然后看到一个人在水上骑风筝板。</v>
      </c>
    </row>
    <row r="11096">
      <c r="A11096" s="4" t="s">
        <v>13952</v>
      </c>
      <c r="B11096" s="4" t="s">
        <v>13955</v>
      </c>
      <c r="C11096" s="5" t="str">
        <f>IFERROR(__xludf.DUMMYFUNCTION("GOOGLETRANSLATE(B11096,""en"",""zh-CN"")"),"相机看着相机时，该人继续骑车。")</f>
        <v>相机看着相机时，该人继续骑车。</v>
      </c>
    </row>
    <row r="11097">
      <c r="A11097" s="4" t="s">
        <v>13956</v>
      </c>
      <c r="B11097" s="6" t="s">
        <v>13957</v>
      </c>
      <c r="C11097" s="5" t="str">
        <f>IFERROR(__xludf.DUMMYFUNCTION("GOOGLETRANSLATE(B11097,""en"",""zh-CN"")"),"看到一个年轻的女孩站在一套猴子酒吧和相机说话时微笑着。")</f>
        <v>看到一个年轻的女孩站在一套猴子酒吧和相机说话时微笑着。</v>
      </c>
    </row>
    <row r="11098">
      <c r="A11098" s="4" t="s">
        <v>13956</v>
      </c>
      <c r="B11098" s="4" t="s">
        <v>13958</v>
      </c>
      <c r="C11098" s="5" t="str">
        <f>IFERROR(__xludf.DUMMYFUNCTION("GOOGLETRANSLATE(B11098,""en"",""zh-CN"")"),"然后，她沿着猴子酒吧的套装携带，并在戏剧中移动第四。")</f>
        <v>然后，她沿着猴子酒吧的套装携带，并在戏剧中移动第四。</v>
      </c>
    </row>
    <row r="11099">
      <c r="A11099" s="4" t="s">
        <v>13956</v>
      </c>
      <c r="B11099" s="4" t="s">
        <v>13959</v>
      </c>
      <c r="C11099" s="5" t="str">
        <f>IFERROR(__xludf.DUMMYFUNCTION("GOOGLETRANSLATE(B11099,""en"",""zh-CN"")"),"她回到了开始，爬下梯子，终于看着相机。")</f>
        <v>她回到了开始，爬下梯子，终于看着相机。</v>
      </c>
    </row>
    <row r="11100">
      <c r="A11100" s="4" t="s">
        <v>13960</v>
      </c>
      <c r="B11100" s="4" t="s">
        <v>13961</v>
      </c>
      <c r="C11100" s="5" t="str">
        <f>IFERROR(__xludf.DUMMYFUNCTION("GOOGLETRANSLATE(B11100,""en"",""zh-CN"")"),"一个女人在百叶窗的前面说话。")</f>
        <v>一个女人在百叶窗的前面说话。</v>
      </c>
    </row>
    <row r="11101">
      <c r="A11101" s="4" t="s">
        <v>13960</v>
      </c>
      <c r="B11101" s="4" t="s">
        <v>13962</v>
      </c>
      <c r="C11101" s="5" t="str">
        <f>IFERROR(__xludf.DUMMYFUNCTION("GOOGLETRANSLATE(B11101,""en"",""zh-CN"")"),"然后，女人扮演四个tam-tams，她主要在她的前面扮演Tam-tam。")</f>
        <v>然后，女人扮演四个tam-tams，她主要在她的前面扮演Tam-tam。</v>
      </c>
    </row>
    <row r="11102">
      <c r="A11102" s="4" t="s">
        <v>13960</v>
      </c>
      <c r="B11102" s="4" t="s">
        <v>13963</v>
      </c>
      <c r="C11102" s="5" t="str">
        <f>IFERROR(__xludf.DUMMYFUNCTION("GOOGLETRANSLATE(B11102,""en"",""zh-CN"")"),"然后，女人停止玩耍和微笑。")</f>
        <v>然后，女人停止玩耍和微笑。</v>
      </c>
    </row>
    <row r="11103">
      <c r="A11103" s="4" t="s">
        <v>13964</v>
      </c>
      <c r="B11103" s="4" t="s">
        <v>13965</v>
      </c>
      <c r="C11103" s="5" t="str">
        <f>IFERROR(__xludf.DUMMYFUNCTION("GOOGLETRANSLATE(B11103,""en"",""zh-CN"")"),"一个男人和两个女人在建筑物内进行有氧舞蹈。")</f>
        <v>一个男人和两个女人在建筑物内进行有氧舞蹈。</v>
      </c>
    </row>
    <row r="11104">
      <c r="A11104" s="4" t="s">
        <v>13964</v>
      </c>
      <c r="B11104" s="4" t="s">
        <v>13966</v>
      </c>
      <c r="C11104" s="5" t="str">
        <f>IFERROR(__xludf.DUMMYFUNCTION("GOOGLETRANSLATE(B11104,""en"",""zh-CN"")"),"他们执行多个动作，随着时间的推移加速。")</f>
        <v>他们执行多个动作，随着时间的推移加速。</v>
      </c>
    </row>
    <row r="11105">
      <c r="A11105" s="4" t="s">
        <v>13964</v>
      </c>
      <c r="B11105" s="4" t="s">
        <v>13967</v>
      </c>
      <c r="C11105" s="5" t="str">
        <f>IFERROR(__xludf.DUMMYFUNCTION("GOOGLETRANSLATE(B11105,""en"",""zh-CN"")"),"完成后，他们停下来，鼓掌并擦去头发。")</f>
        <v>完成后，他们停下来，鼓掌并擦去头发。</v>
      </c>
    </row>
    <row r="11106">
      <c r="A11106" s="4" t="s">
        <v>13968</v>
      </c>
      <c r="B11106" s="4" t="s">
        <v>13969</v>
      </c>
      <c r="C11106" s="5" t="str">
        <f>IFERROR(__xludf.DUMMYFUNCTION("GOOGLETRANSLATE(B11106,""en"",""zh-CN"")"),"一个男人在田野里行走。")</f>
        <v>一个男人在田野里行走。</v>
      </c>
    </row>
    <row r="11107">
      <c r="A11107" s="4" t="s">
        <v>13968</v>
      </c>
      <c r="B11107" s="6" t="s">
        <v>13970</v>
      </c>
      <c r="C11107" s="5" t="str">
        <f>IFERROR(__xludf.DUMMYFUNCTION("GOOGLETRANSLATE(B11107,""en"",""zh-CN"")"),"我们看到他的背部，看到他的皮肤上的鲜血和线束，另外两个有皮肤线束的男人。")</f>
        <v>我们看到他的背部，看到他的皮肤上的鲜血和线束，另外两个有皮肤线束的男人。</v>
      </c>
    </row>
    <row r="11108">
      <c r="A11108" s="4" t="s">
        <v>13968</v>
      </c>
      <c r="B11108" s="4" t="s">
        <v>13971</v>
      </c>
      <c r="C11108" s="5" t="str">
        <f>IFERROR(__xludf.DUMMYFUNCTION("GOOGLETRANSLATE(B11108,""en"",""zh-CN"")"),"我们看到这些人爬着爬上天空的起重机。")</f>
        <v>我们看到这些人爬着爬上天空的起重机。</v>
      </c>
    </row>
    <row r="11109">
      <c r="A11109" s="4" t="s">
        <v>13968</v>
      </c>
      <c r="B11109" s="4" t="s">
        <v>13972</v>
      </c>
      <c r="C11109" s="5" t="str">
        <f>IFERROR(__xludf.DUMMYFUNCTION("GOOGLETRANSLATE(B11109,""en"",""zh-CN"")"),"皮肤线束的男子跳出了高高的森林上方的起重机。")</f>
        <v>皮肤线束的男子跳出了高高的森林上方的起重机。</v>
      </c>
    </row>
    <row r="11110">
      <c r="A11110" s="4" t="s">
        <v>13968</v>
      </c>
      <c r="B11110" s="4" t="s">
        <v>13973</v>
      </c>
      <c r="C11110" s="5" t="str">
        <f>IFERROR(__xludf.DUMMYFUNCTION("GOOGLETRANSLATE(B11110,""en"",""zh-CN"")"),"我们看到下面的地面。")</f>
        <v>我们看到下面的地面。</v>
      </c>
    </row>
    <row r="11111">
      <c r="A11111" s="4" t="s">
        <v>13974</v>
      </c>
      <c r="B11111" s="4" t="s">
        <v>13975</v>
      </c>
      <c r="C11111" s="5" t="str">
        <f>IFERROR(__xludf.DUMMYFUNCTION("GOOGLETRANSLATE(B11111,""en"",""zh-CN"")"),"显示了一台拱门的卡通，并导致一个将西红柿放在盘子上的人。")</f>
        <v>显示了一台拱门的卡通，并导致一个将西红柿放在盘子上的人。</v>
      </c>
    </row>
    <row r="11112">
      <c r="A11112" s="4" t="s">
        <v>13974</v>
      </c>
      <c r="B11112" s="4" t="s">
        <v>13976</v>
      </c>
      <c r="C11112" s="5" t="str">
        <f>IFERROR(__xludf.DUMMYFUNCTION("GOOGLETRANSLATE(B11112,""en"",""zh-CN"")"),"他将洋葱和其他成分放在盘子上，并切成更多成分。")</f>
        <v>他将洋葱和其他成分放在盘子上，并切成更多成分。</v>
      </c>
    </row>
    <row r="11113">
      <c r="A11113" s="4" t="s">
        <v>13974</v>
      </c>
      <c r="B11113" s="6" t="s">
        <v>13977</v>
      </c>
      <c r="C11113" s="5" t="str">
        <f>IFERROR(__xludf.DUMMYFUNCTION("GOOGLETRANSLATE(B11113,""en"",""zh-CN"")"),"他在与镜头交谈时将最终成分放入碗中，并在他做的饭菜上铺开。")</f>
        <v>他在与镜头交谈时将最终成分放入碗中，并在他做的饭菜上铺开。</v>
      </c>
    </row>
    <row r="11114">
      <c r="A11114" s="4" t="s">
        <v>13978</v>
      </c>
      <c r="B11114" s="4" t="s">
        <v>13979</v>
      </c>
      <c r="C11114" s="5" t="str">
        <f>IFERROR(__xludf.DUMMYFUNCTION("GOOGLETRANSLATE(B11114,""en"",""zh-CN"")"),"两个男孩在车道上互相交谈。")</f>
        <v>两个男孩在车道上互相交谈。</v>
      </c>
    </row>
    <row r="11115">
      <c r="A11115" s="4" t="s">
        <v>13978</v>
      </c>
      <c r="B11115" s="6" t="s">
        <v>13980</v>
      </c>
      <c r="C11115" s="5" t="str">
        <f>IFERROR(__xludf.DUMMYFUNCTION("GOOGLETRANSLATE(B11115,""en"",""zh-CN"")"),"一旦他们完成对话，他们就会开始滑入露天公园。")</f>
        <v>一旦他们完成对话，他们就会开始滑入露天公园。</v>
      </c>
    </row>
    <row r="11116">
      <c r="A11116" s="4" t="s">
        <v>13978</v>
      </c>
      <c r="B11116" s="6" t="s">
        <v>13981</v>
      </c>
      <c r="C11116" s="5" t="str">
        <f>IFERROR(__xludf.DUMMYFUNCTION("GOOGLETRANSLATE(B11116,""en"",""zh-CN"")"),"两个男孩到达目的地停下来聊天，然后一个起飞，另一个男孩跟随他，他们继续滚动。")</f>
        <v>两个男孩到达目的地停下来聊天，然后一个起飞，另一个男孩跟随他，他们继续滚动。</v>
      </c>
    </row>
    <row r="11117">
      <c r="A11117" s="4" t="s">
        <v>13982</v>
      </c>
      <c r="B11117" s="4" t="s">
        <v>13983</v>
      </c>
      <c r="C11117" s="5" t="str">
        <f>IFERROR(__xludf.DUMMYFUNCTION("GOOGLETRANSLATE(B11117,""en"",""zh-CN"")"),"一系列妇女的脸被展示。")</f>
        <v>一系列妇女的脸被展示。</v>
      </c>
    </row>
    <row r="11118">
      <c r="A11118" s="4" t="s">
        <v>13982</v>
      </c>
      <c r="B11118" s="4" t="s">
        <v>13984</v>
      </c>
      <c r="C11118" s="5" t="str">
        <f>IFERROR(__xludf.DUMMYFUNCTION("GOOGLETRANSLATE(B11118,""en"",""zh-CN"")"),"一名设计师站在坐在椅子上的女孩旁边。")</f>
        <v>一名设计师站在坐在椅子上的女孩旁边。</v>
      </c>
    </row>
    <row r="11119">
      <c r="A11119" s="4" t="s">
        <v>13982</v>
      </c>
      <c r="B11119" s="4" t="s">
        <v>13985</v>
      </c>
      <c r="C11119" s="5" t="str">
        <f>IFERROR(__xludf.DUMMYFUNCTION("GOOGLETRANSLATE(B11119,""en"",""zh-CN"")"),"他给出了有关如何造型头发的指示。")</f>
        <v>他给出了有关如何造型头发的指示。</v>
      </c>
    </row>
    <row r="11120">
      <c r="A11120" s="4" t="s">
        <v>13982</v>
      </c>
      <c r="B11120" s="4" t="s">
        <v>13986</v>
      </c>
      <c r="C11120" s="5" t="str">
        <f>IFERROR(__xludf.DUMMYFUNCTION("GOOGLETRANSLATE(B11120,""en"",""zh-CN"")"),"他用烘干机吹头发，然后夹住头发。")</f>
        <v>他用烘干机吹头发，然后夹住头发。</v>
      </c>
    </row>
    <row r="11121">
      <c r="A11121" s="4" t="s">
        <v>13987</v>
      </c>
      <c r="B11121" s="6" t="s">
        <v>13988</v>
      </c>
      <c r="C11121" s="5" t="str">
        <f>IFERROR(__xludf.DUMMYFUNCTION("GOOGLETRANSLATE(B11121,""en"",""zh-CN"")"),"看到一个男人走进弯曲的框架，抓住一组重物，开始向上举起自己。")</f>
        <v>看到一个男人走进弯曲的框架，抓住一组重物，开始向上举起自己。</v>
      </c>
    </row>
    <row r="11122">
      <c r="A11122" s="4" t="s">
        <v>13987</v>
      </c>
      <c r="B11122" s="6" t="s">
        <v>13989</v>
      </c>
      <c r="C11122" s="5" t="str">
        <f>IFERROR(__xludf.DUMMYFUNCTION("GOOGLETRANSLATE(B11122,""en"",""zh-CN"")"),"然后，他在跳跃时将重量向上抬起几次，以赋予自己动力。")</f>
        <v>然后，他在跳跃时将重量向上抬起几次，以赋予自己动力。</v>
      </c>
    </row>
    <row r="11123">
      <c r="A11123" s="4" t="s">
        <v>13990</v>
      </c>
      <c r="B11123" s="6" t="s">
        <v>13991</v>
      </c>
      <c r="C11123" s="5" t="str">
        <f>IFERROR(__xludf.DUMMYFUNCTION("GOOGLETRANSLATE(B11123,""en"",""zh-CN"")"),"一个人雕刻一个南瓜和一块冰，然后该男子拿着一个雕刻的南瓜，将其放在长凳上。")</f>
        <v>一个人雕刻一个南瓜和一块冰，然后该男子拿着一个雕刻的南瓜，将其放在长凳上。</v>
      </c>
    </row>
    <row r="11124">
      <c r="A11124" s="4" t="s">
        <v>13990</v>
      </c>
      <c r="B11124" s="6" t="s">
        <v>13992</v>
      </c>
      <c r="C11124" s="5" t="str">
        <f>IFERROR(__xludf.DUMMYFUNCTION("GOOGLETRANSLATE(B11124,""en"",""zh-CN"")"),"一个年轻人为艺术冰雕拍照，而一个人在街上雕刻一块冰。")</f>
        <v>一个年轻人为艺术冰雕拍照，而一个人在街上雕刻一块冰。</v>
      </c>
    </row>
    <row r="11125">
      <c r="A11125" s="4" t="s">
        <v>13990</v>
      </c>
      <c r="B11125" s="4" t="s">
        <v>13993</v>
      </c>
      <c r="C11125" s="5" t="str">
        <f>IFERROR(__xludf.DUMMYFUNCTION("GOOGLETRANSLATE(B11125,""en"",""zh-CN"")"),"该男子展示了如何使用雕刻工具来制作面孔的南瓜。")</f>
        <v>该男子展示了如何使用雕刻工具来制作面孔的南瓜。</v>
      </c>
    </row>
    <row r="11126">
      <c r="A11126" s="4" t="s">
        <v>13990</v>
      </c>
      <c r="B11126" s="4" t="s">
        <v>13994</v>
      </c>
      <c r="C11126" s="5" t="str">
        <f>IFERROR(__xludf.DUMMYFUNCTION("GOOGLETRANSLATE(B11126,""en"",""zh-CN"")"),"雕刻的南瓜带有可怕的脸和冰雕，房间里展示了。")</f>
        <v>雕刻的南瓜带有可怕的脸和冰雕，房间里展示了。</v>
      </c>
    </row>
    <row r="11127">
      <c r="A11127" s="4" t="s">
        <v>13995</v>
      </c>
      <c r="B11127" s="4" t="s">
        <v>1251</v>
      </c>
      <c r="C11127" s="5" t="str">
        <f>IFERROR(__xludf.DUMMYFUNCTION("GOOGLETRANSLATE(B11127,""en"",""zh-CN"")"),"显示了剪辑的信用。")</f>
        <v>显示了剪辑的信用。</v>
      </c>
    </row>
    <row r="11128">
      <c r="A11128" s="4" t="s">
        <v>13995</v>
      </c>
      <c r="B11128" s="4" t="s">
        <v>13996</v>
      </c>
      <c r="C11128" s="5" t="str">
        <f>IFERROR(__xludf.DUMMYFUNCTION("GOOGLETRANSLATE(B11128,""en"",""zh-CN"")"),"人们正在骑运动自行车。")</f>
        <v>人们正在骑运动自行车。</v>
      </c>
    </row>
    <row r="11129">
      <c r="A11129" s="4" t="s">
        <v>13995</v>
      </c>
      <c r="B11129" s="4" t="s">
        <v>573</v>
      </c>
      <c r="C11129" s="5" t="str">
        <f>IFERROR(__xludf.DUMMYFUNCTION("GOOGLETRANSLATE(B11129,""en"",""zh-CN"")"),"显示了视频的积分。")</f>
        <v>显示了视频的积分。</v>
      </c>
    </row>
    <row r="11130">
      <c r="A11130" s="4" t="s">
        <v>13997</v>
      </c>
      <c r="B11130" s="6" t="s">
        <v>13998</v>
      </c>
      <c r="C11130" s="5" t="str">
        <f>IFERROR(__xludf.DUMMYFUNCTION("GOOGLETRANSLATE(B11130,""en"",""zh-CN"")"),"一个戴着脸部遮盖的人会沿着雪地拖动内部管型设备，周围是其他人做同样的事情的人。")</f>
        <v>一个戴着脸部遮盖的人会沿着雪地拖动内部管型设备，周围是其他人做同样的事情的人。</v>
      </c>
    </row>
    <row r="11131">
      <c r="A11131" s="4" t="s">
        <v>13997</v>
      </c>
      <c r="B11131" s="4" t="s">
        <v>13999</v>
      </c>
      <c r="C11131" s="5" t="str">
        <f>IFERROR(__xludf.DUMMYFUNCTION("GOOGLETRANSLATE(B11131,""en"",""zh-CN"")"),"个人走向另一个穿着红色外套的人。")</f>
        <v>个人走向另一个穿着红色外套的人。</v>
      </c>
    </row>
    <row r="11132">
      <c r="A11132" s="4" t="s">
        <v>13997</v>
      </c>
      <c r="B11132" s="4" t="s">
        <v>14000</v>
      </c>
      <c r="C11132" s="5" t="str">
        <f>IFERROR(__xludf.DUMMYFUNCTION("GOOGLETRANSLATE(B11132,""en"",""zh-CN"")"),"个人将设备的绳子置于红色外套中的人，并坐在设备上。")</f>
        <v>个人将设备的绳子置于红色外套中的人，并坐在设备上。</v>
      </c>
    </row>
    <row r="11133">
      <c r="A11133" s="4" t="s">
        <v>13997</v>
      </c>
      <c r="B11133" s="6" t="s">
        <v>14001</v>
      </c>
      <c r="C11133" s="5" t="str">
        <f>IFERROR(__xludf.DUMMYFUNCTION("GOOGLETRANSLATE(B11133,""en"",""zh-CN"")"),"红色外套中的人将设备下坡拉下来，第一个人沿着斜坡骑行。")</f>
        <v>红色外套中的人将设备下坡拉下来，第一个人沿着斜坡骑行。</v>
      </c>
    </row>
    <row r="11134">
      <c r="A11134" s="4" t="s">
        <v>13997</v>
      </c>
      <c r="B11134" s="4" t="s">
        <v>14002</v>
      </c>
      <c r="C11134" s="5" t="str">
        <f>IFERROR(__xludf.DUMMYFUNCTION("GOOGLETRANSLATE(B11134,""en"",""zh-CN"")"),"第一个单独的卸下和简历拉动设备。")</f>
        <v>第一个单独的卸下和简历拉动设备。</v>
      </c>
    </row>
    <row r="11135">
      <c r="A11135" s="4" t="s">
        <v>13997</v>
      </c>
      <c r="B11135" s="4" t="s">
        <v>14003</v>
      </c>
      <c r="C11135" s="5" t="str">
        <f>IFERROR(__xludf.DUMMYFUNCTION("GOOGLETRANSLATE(B11135,""en"",""zh-CN"")"),"个人将设备沿着某种遮盖的人行道拉动，并带有移动地板。")</f>
        <v>个人将设备沿着某种遮盖的人行道拉动，并带有移动地板。</v>
      </c>
    </row>
    <row r="11136">
      <c r="A11136" s="4" t="s">
        <v>14004</v>
      </c>
      <c r="B11136" s="4" t="s">
        <v>14005</v>
      </c>
      <c r="C11136" s="5" t="str">
        <f>IFERROR(__xludf.DUMMYFUNCTION("GOOGLETRANSLATE(B11136,""en"",""zh-CN"")"),"在大型绿地中间，显示了两支球队在曲棍球球上战斗。")</f>
        <v>在大型绿地中间，显示了两支球队在曲棍球球上战斗。</v>
      </c>
    </row>
    <row r="11137">
      <c r="A11137" s="4" t="s">
        <v>14004</v>
      </c>
      <c r="B11137" s="4" t="s">
        <v>14006</v>
      </c>
      <c r="C11137" s="5" t="str">
        <f>IFERROR(__xludf.DUMMYFUNCTION("GOOGLETRANSLATE(B11137,""en"",""zh-CN"")"),"然后，他们站起来，继续在整个田野上比赛。")</f>
        <v>然后，他们站起来，继续在整个田野上比赛。</v>
      </c>
    </row>
    <row r="11138">
      <c r="A11138" s="4" t="s">
        <v>14004</v>
      </c>
      <c r="B11138" s="6" t="s">
        <v>14007</v>
      </c>
      <c r="C11138" s="5" t="str">
        <f>IFERROR(__xludf.DUMMYFUNCTION("GOOGLETRANSLATE(B11138,""en"",""zh-CN"")"),"不久之后，一个小斗殴开始在游泳池的中间，一个穿着黑色统一鼻子的男人开始流血，游戏停止了，并且显示了重播。")</f>
        <v>不久之后，一个小斗殴开始在游泳池的中间，一个穿着黑色统一鼻子的男人开始流血，游戏停止了，并且显示了重播。</v>
      </c>
    </row>
    <row r="11139">
      <c r="A11139" s="4" t="s">
        <v>14008</v>
      </c>
      <c r="B11139" s="4" t="s">
        <v>14009</v>
      </c>
      <c r="C11139" s="5" t="str">
        <f>IFERROR(__xludf.DUMMYFUNCTION("GOOGLETRANSLATE(B11139,""en"",""zh-CN"")"),"出现了召唤服务的广告。")</f>
        <v>出现了召唤服务的广告。</v>
      </c>
    </row>
    <row r="11140">
      <c r="A11140" s="4" t="s">
        <v>14008</v>
      </c>
      <c r="B11140" s="4" t="s">
        <v>14010</v>
      </c>
      <c r="C11140" s="5" t="str">
        <f>IFERROR(__xludf.DUMMYFUNCTION("GOOGLETRANSLATE(B11140,""en"",""zh-CN"")"),"一个男人站在后院说话。")</f>
        <v>一个男人站在后院说话。</v>
      </c>
    </row>
    <row r="11141">
      <c r="A11141" s="4" t="s">
        <v>14008</v>
      </c>
      <c r="B11141" s="4" t="s">
        <v>14011</v>
      </c>
      <c r="C11141" s="5" t="str">
        <f>IFERROR(__xludf.DUMMYFUNCTION("GOOGLETRANSLATE(B11141,""en"",""zh-CN"")"),"当他谈论它们时，他拿起了几个窗户屏幕。")</f>
        <v>当他谈论它们时，他拿起了几个窗户屏幕。</v>
      </c>
    </row>
    <row r="11142">
      <c r="A11142" s="4" t="s">
        <v>14008</v>
      </c>
      <c r="B11142" s="4" t="s">
        <v>14012</v>
      </c>
      <c r="C11142" s="5" t="str">
        <f>IFERROR(__xludf.DUMMYFUNCTION("GOOGLETRANSLATE(B11142,""en"",""zh-CN"")"),"他将它们添加到堆栈中，然后走开。")</f>
        <v>他将它们添加到堆栈中，然后走开。</v>
      </c>
    </row>
    <row r="11143">
      <c r="A11143" s="4" t="s">
        <v>14013</v>
      </c>
      <c r="B11143" s="4" t="s">
        <v>14014</v>
      </c>
      <c r="C11143" s="5" t="str">
        <f>IFERROR(__xludf.DUMMYFUNCTION("GOOGLETRANSLATE(B11143,""en"",""zh-CN"")"),"观众观看时，一支游行乐队准备在街上准备好。")</f>
        <v>观众观看时，一支游行乐队准备在街上准备好。</v>
      </c>
    </row>
    <row r="11144">
      <c r="A11144" s="4" t="s">
        <v>14013</v>
      </c>
      <c r="B11144" s="4" t="s">
        <v>14015</v>
      </c>
      <c r="C11144" s="5" t="str">
        <f>IFERROR(__xludf.DUMMYFUNCTION("GOOGLETRANSLATE(B11144,""en"",""zh-CN"")"),"导体执行乐队。")</f>
        <v>导体执行乐队。</v>
      </c>
    </row>
    <row r="11145">
      <c r="A11145" s="4" t="s">
        <v>14013</v>
      </c>
      <c r="B11145" s="4" t="s">
        <v>14016</v>
      </c>
      <c r="C11145" s="5" t="str">
        <f>IFERROR(__xludf.DUMMYFUNCTION("GOOGLETRANSLATE(B11145,""en"",""zh-CN"")"),"乐队在观众观看时在街上演奏。")</f>
        <v>乐队在观众观看时在街上演奏。</v>
      </c>
    </row>
    <row r="11146">
      <c r="A11146" s="4" t="s">
        <v>14017</v>
      </c>
      <c r="B11146" s="4" t="s">
        <v>14018</v>
      </c>
      <c r="C11146" s="5" t="str">
        <f>IFERROR(__xludf.DUMMYFUNCTION("GOOGLETRANSLATE(B11146,""en"",""zh-CN"")"),"看到一个年轻人在相机上说话，开始拿着香烟。")</f>
        <v>看到一个年轻人在相机上说话，开始拿着香烟。</v>
      </c>
    </row>
    <row r="11147">
      <c r="A11147" s="4" t="s">
        <v>14017</v>
      </c>
      <c r="B11147" s="4" t="s">
        <v>14019</v>
      </c>
      <c r="C11147" s="5" t="str">
        <f>IFERROR(__xludf.DUMMYFUNCTION("GOOGLETRANSLATE(B11147,""en"",""zh-CN"")"),"该男子在与镜头说话的同时从香烟上吹了一口气。")</f>
        <v>该男子在与镜头说话的同时从香烟上吹了一口气。</v>
      </c>
    </row>
    <row r="11148">
      <c r="A11148" s="4" t="s">
        <v>14017</v>
      </c>
      <c r="B11148" s="4" t="s">
        <v>14020</v>
      </c>
      <c r="C11148" s="5" t="str">
        <f>IFERROR(__xludf.DUMMYFUNCTION("GOOGLETRANSLATE(B11148,""en"",""zh-CN"")"),"该男子在看着镜头说话时继续吸烟。")</f>
        <v>该男子在看着镜头说话时继续吸烟。</v>
      </c>
    </row>
    <row r="11149">
      <c r="A11149" s="4" t="s">
        <v>14021</v>
      </c>
      <c r="B11149" s="4" t="s">
        <v>14022</v>
      </c>
      <c r="C11149" s="5" t="str">
        <f>IFERROR(__xludf.DUMMYFUNCTION("GOOGLETRANSLATE(B11149,""en"",""zh-CN"")"),"标题屏幕导致两名女性在一个街区上上下走动。")</f>
        <v>标题屏幕导致两名女性在一个街区上上下走动。</v>
      </c>
    </row>
    <row r="11150">
      <c r="A11150" s="4" t="s">
        <v>14021</v>
      </c>
      <c r="B11150" s="6" t="s">
        <v>14023</v>
      </c>
      <c r="C11150" s="5" t="str">
        <f>IFERROR(__xludf.DUMMYFUNCTION("GOOGLETRANSLATE(B11150,""en"",""zh-CN"")"),"他们在光束上执行几个不同的练习，并以同步运动一起移动。")</f>
        <v>他们在光束上执行几个不同的练习，并以同步运动一起移动。</v>
      </c>
    </row>
    <row r="11151">
      <c r="A11151" s="4" t="s">
        <v>14021</v>
      </c>
      <c r="B11151" s="4" t="s">
        <v>14024</v>
      </c>
      <c r="C11151" s="5" t="str">
        <f>IFERROR(__xludf.DUMMYFUNCTION("GOOGLETRANSLATE(B11151,""en"",""zh-CN"")"),"女孩们旋转旋转，然后希望向上旋转，然后向下沿着光束上。")</f>
        <v>女孩们旋转旋转，然后希望向上旋转，然后向下沿着光束上。</v>
      </c>
    </row>
    <row r="11152">
      <c r="A11152" s="4" t="s">
        <v>14025</v>
      </c>
      <c r="B11152" s="4" t="s">
        <v>14026</v>
      </c>
      <c r="C11152" s="5" t="str">
        <f>IFERROR(__xludf.DUMMYFUNCTION("GOOGLETRANSLATE(B11152,""en"",""zh-CN"")"),"两支球队与裁判一起在一个领域。")</f>
        <v>两支球队与裁判一起在一个领域。</v>
      </c>
    </row>
    <row r="11153">
      <c r="A11153" s="4" t="s">
        <v>14025</v>
      </c>
      <c r="B11153" s="4" t="s">
        <v>14027</v>
      </c>
      <c r="C11153" s="5" t="str">
        <f>IFERROR(__xludf.DUMMYFUNCTION("GOOGLETRANSLATE(B11153,""en"",""zh-CN"")"),"他们参与了曲棍球游戏。")</f>
        <v>他们参与了曲棍球游戏。</v>
      </c>
    </row>
    <row r="11154">
      <c r="A11154" s="4" t="s">
        <v>14025</v>
      </c>
      <c r="B11154" s="4" t="s">
        <v>14028</v>
      </c>
      <c r="C11154" s="5" t="str">
        <f>IFERROR(__xludf.DUMMYFUNCTION("GOOGLETRANSLATE(B11154,""en"",""zh-CN"")"),"他们在场上奔跑，试图将球脱离对手的进球。")</f>
        <v>他们在场上奔跑，试图将球脱离对手的进球。</v>
      </c>
    </row>
    <row r="11155">
      <c r="A11155" s="4" t="s">
        <v>14029</v>
      </c>
      <c r="B11155" s="4" t="s">
        <v>14030</v>
      </c>
      <c r="C11155" s="5" t="str">
        <f>IFERROR(__xludf.DUMMYFUNCTION("GOOGLETRANSLATE(B11155,""en"",""zh-CN"")"),"看到一个年长的男人站在两个冰球面前，而另一个人则将他们推向冰。")</f>
        <v>看到一个年长的男人站在两个冰球面前，而另一个人则将他们推向冰。</v>
      </c>
    </row>
    <row r="11156">
      <c r="A11156" s="4" t="s">
        <v>14029</v>
      </c>
      <c r="B11156" s="4" t="s">
        <v>14031</v>
      </c>
      <c r="C11156" s="5" t="str">
        <f>IFERROR(__xludf.DUMMYFUNCTION("GOOGLETRANSLATE(B11156,""en"",""zh-CN"")"),"该男子弯曲了几次，然后用冰球沿着冰滑行。")</f>
        <v>该男子弯曲了几次，然后用冰球沿着冰滑行。</v>
      </c>
    </row>
    <row r="11157">
      <c r="A11157" s="4" t="s">
        <v>14032</v>
      </c>
      <c r="B11157" s="4" t="s">
        <v>14033</v>
      </c>
      <c r="C11157" s="5" t="str">
        <f>IFERROR(__xludf.DUMMYFUNCTION("GOOGLETRANSLATE(B11157,""en"",""zh-CN"")"),"一个简介导致一个人将飞镖扔到木板上。")</f>
        <v>一个简介导致一个人将飞镖扔到木板上。</v>
      </c>
    </row>
    <row r="11158">
      <c r="A11158" s="4" t="s">
        <v>14032</v>
      </c>
      <c r="B11158" s="4" t="s">
        <v>14034</v>
      </c>
      <c r="C11158" s="5" t="str">
        <f>IFERROR(__xludf.DUMMYFUNCTION("GOOGLETRANSLATE(B11158,""en"",""zh-CN"")"),"他近距离看远处，继续投掷飞镖。")</f>
        <v>他近距离看远处，继续投掷飞镖。</v>
      </c>
    </row>
    <row r="11159">
      <c r="A11159" s="4" t="s">
        <v>14032</v>
      </c>
      <c r="B11159" s="4" t="s">
        <v>14035</v>
      </c>
      <c r="C11159" s="5" t="str">
        <f>IFERROR(__xludf.DUMMYFUNCTION("GOOGLETRANSLATE(B11159,""en"",""zh-CN"")"),"相机最终显示了板，然后把它扔给它。")</f>
        <v>相机最终显示了板，然后把它扔给它。</v>
      </c>
    </row>
    <row r="11160">
      <c r="A11160" s="4" t="s">
        <v>14036</v>
      </c>
      <c r="B11160" s="4" t="s">
        <v>14037</v>
      </c>
      <c r="C11160" s="5" t="str">
        <f>IFERROR(__xludf.DUMMYFUNCTION("GOOGLETRANSLATE(B11160,""en"",""zh-CN"")"),"一个女人坐在远处的骑马割草机上。")</f>
        <v>一个女人坐在远处的骑马割草机上。</v>
      </c>
    </row>
    <row r="11161">
      <c r="A11161" s="4" t="s">
        <v>14036</v>
      </c>
      <c r="B11161" s="4" t="s">
        <v>14038</v>
      </c>
      <c r="C11161" s="5" t="str">
        <f>IFERROR(__xludf.DUMMYFUNCTION("GOOGLETRANSLATE(B11161,""en"",""zh-CN"")"),"女人将割草机驶向相机。")</f>
        <v>女人将割草机驶向相机。</v>
      </c>
    </row>
    <row r="11162">
      <c r="A11162" s="4" t="s">
        <v>14036</v>
      </c>
      <c r="B11162" s="4" t="s">
        <v>14039</v>
      </c>
      <c r="C11162" s="5" t="str">
        <f>IFERROR(__xludf.DUMMYFUNCTION("GOOGLETRANSLATE(B11162,""en"",""zh-CN"")"),"女人开始在栅栏角上割草机。")</f>
        <v>女人开始在栅栏角上割草机。</v>
      </c>
    </row>
    <row r="11163">
      <c r="A11163" s="4" t="s">
        <v>14040</v>
      </c>
      <c r="B11163" s="4" t="s">
        <v>4366</v>
      </c>
      <c r="C11163" s="5" t="str">
        <f>IFERROR(__xludf.DUMMYFUNCTION("GOOGLETRANSLATE(B11163,""en"",""zh-CN"")"),"显示了剪辑的信用。")</f>
        <v>显示了剪辑的信用。</v>
      </c>
    </row>
    <row r="11164">
      <c r="A11164" s="4" t="s">
        <v>14040</v>
      </c>
      <c r="B11164" s="4" t="s">
        <v>14041</v>
      </c>
      <c r="C11164" s="5" t="str">
        <f>IFERROR(__xludf.DUMMYFUNCTION("GOOGLETRANSLATE(B11164,""en"",""zh-CN"")"),"一个人用焊接设备修补钢。")</f>
        <v>一个人用焊接设备修补钢。</v>
      </c>
    </row>
    <row r="11165">
      <c r="A11165" s="4" t="s">
        <v>14040</v>
      </c>
      <c r="B11165" s="4" t="s">
        <v>14042</v>
      </c>
      <c r="C11165" s="5" t="str">
        <f>IFERROR(__xludf.DUMMYFUNCTION("GOOGLETRANSLATE(B11165,""en"",""zh-CN"")"),"一个人使用锤子和扁平设备去除碎屑。")</f>
        <v>一个人使用锤子和扁平设备去除碎屑。</v>
      </c>
    </row>
    <row r="11166">
      <c r="A11166" s="4" t="s">
        <v>14040</v>
      </c>
      <c r="B11166" s="4" t="s">
        <v>14043</v>
      </c>
      <c r="C11166" s="5" t="str">
        <f>IFERROR(__xludf.DUMMYFUNCTION("GOOGLETRANSLATE(B11166,""en"",""zh-CN"")"),"一个人使用扁平设备去除融化的钢碎片。")</f>
        <v>一个人使用扁平设备去除融化的钢碎片。</v>
      </c>
    </row>
    <row r="11167">
      <c r="A11167" s="4" t="s">
        <v>14040</v>
      </c>
      <c r="B11167" s="4" t="s">
        <v>14044</v>
      </c>
      <c r="C11167" s="5" t="str">
        <f>IFERROR(__xludf.DUMMYFUNCTION("GOOGLETRANSLATE(B11167,""en"",""zh-CN"")"),"该人将两个哑铃形钢放在他正在焊接的开口处。")</f>
        <v>该人将两个哑铃形钢放在他正在焊接的开口处。</v>
      </c>
    </row>
    <row r="11168">
      <c r="A11168" s="4" t="s">
        <v>14040</v>
      </c>
      <c r="B11168" s="4" t="s">
        <v>14045</v>
      </c>
      <c r="C11168" s="5" t="str">
        <f>IFERROR(__xludf.DUMMYFUNCTION("GOOGLETRANSLATE(B11168,""en"",""zh-CN"")"),"一个人使用扁平设备清洁焊接开口。")</f>
        <v>一个人使用扁平设备清洁焊接开口。</v>
      </c>
    </row>
    <row r="11169">
      <c r="A11169" s="4" t="s">
        <v>14040</v>
      </c>
      <c r="B11169" s="6" t="s">
        <v>14046</v>
      </c>
      <c r="C11169" s="5" t="str">
        <f>IFERROR(__xludf.DUMMYFUNCTION("GOOGLETRANSLATE(B11169,""en"",""zh-CN"")"),"一个人使用平坦的设备移动哑铃形钢，然后用手将其移开。")</f>
        <v>一个人使用平坦的设备移动哑铃形钢，然后用手将其移开。</v>
      </c>
    </row>
    <row r="11170">
      <c r="A11170" s="4" t="s">
        <v>14040</v>
      </c>
      <c r="B11170" s="4" t="s">
        <v>14047</v>
      </c>
      <c r="C11170" s="5" t="str">
        <f>IFERROR(__xludf.DUMMYFUNCTION("GOOGLETRANSLATE(B11170,""en"",""zh-CN"")"),"显示了视频的积分。")</f>
        <v>显示了视频的积分。</v>
      </c>
    </row>
    <row r="11171">
      <c r="A11171" s="4" t="s">
        <v>14048</v>
      </c>
      <c r="B11171" s="4" t="s">
        <v>14049</v>
      </c>
      <c r="C11171" s="5" t="str">
        <f>IFERROR(__xludf.DUMMYFUNCTION("GOOGLETRANSLATE(B11171,""en"",""zh-CN"")"),"一个女人从红色的酒吧手中手，做几只手臂拉起。")</f>
        <v>一个女人从红色的酒吧手中手，做几只手臂拉起。</v>
      </c>
    </row>
    <row r="11172">
      <c r="A11172" s="4" t="s">
        <v>14048</v>
      </c>
      <c r="B11172" s="4" t="s">
        <v>14050</v>
      </c>
      <c r="C11172" s="5" t="str">
        <f>IFERROR(__xludf.DUMMYFUNCTION("GOOGLETRANSLATE(B11172,""en"",""zh-CN"")"),"然后，她解开双腿，双手在身边跳下。")</f>
        <v>然后，她解开双腿，双手在身边跳下。</v>
      </c>
    </row>
    <row r="11173">
      <c r="A11173" s="4" t="s">
        <v>14048</v>
      </c>
      <c r="B11173" s="4" t="s">
        <v>14051</v>
      </c>
      <c r="C11173" s="5" t="str">
        <f>IFERROR(__xludf.DUMMYFUNCTION("GOOGLETRANSLATE(B11173,""en"",""zh-CN"")"),"然后，Life Fitness徽标在屏幕上闪烁。")</f>
        <v>然后，Life Fitness徽标在屏幕上闪烁。</v>
      </c>
    </row>
    <row r="11174">
      <c r="A11174" s="4" t="s">
        <v>14052</v>
      </c>
      <c r="B11174" s="4" t="s">
        <v>14053</v>
      </c>
      <c r="C11174" s="5" t="str">
        <f>IFERROR(__xludf.DUMMYFUNCTION("GOOGLETRANSLATE(B11174,""en"",""zh-CN"")"),"看到一个人坐在他的背上，用叶子打吹器在院子里的吹叶。")</f>
        <v>看到一个人坐在他的背上，用叶子打吹器在院子里的吹叶。</v>
      </c>
    </row>
    <row r="11175">
      <c r="A11175" s="4" t="s">
        <v>14052</v>
      </c>
      <c r="B11175" s="6" t="s">
        <v>14054</v>
      </c>
      <c r="C11175" s="5" t="str">
        <f>IFERROR(__xludf.DUMMYFUNCTION("GOOGLETRANSLATE(B11175,""en"",""zh-CN"")"),"当那个男人在该地区周围吹来的院子里吹来时，相机跟随他。")</f>
        <v>当那个男人在该地区周围吹来的院子里吹来时，相机跟随他。</v>
      </c>
    </row>
    <row r="11176">
      <c r="A11176" s="4" t="s">
        <v>14055</v>
      </c>
      <c r="B11176" s="4" t="s">
        <v>14056</v>
      </c>
      <c r="C11176" s="5" t="str">
        <f>IFERROR(__xludf.DUMMYFUNCTION("GOOGLETRANSLATE(B11176,""en"",""zh-CN"")"),"一个男人坐在自行车上锻炼。")</f>
        <v>一个男人坐在自行车上锻炼。</v>
      </c>
    </row>
    <row r="11177">
      <c r="A11177" s="4" t="s">
        <v>14055</v>
      </c>
      <c r="B11177" s="4" t="s">
        <v>14057</v>
      </c>
      <c r="C11177" s="5" t="str">
        <f>IFERROR(__xludf.DUMMYFUNCTION("GOOGLETRANSLATE(B11177,""en"",""zh-CN"")"),"一个男人站在他旁边说话。")</f>
        <v>一个男人站在他旁边说话。</v>
      </c>
    </row>
    <row r="11178">
      <c r="A11178" s="4" t="s">
        <v>14055</v>
      </c>
      <c r="B11178" s="4" t="s">
        <v>14058</v>
      </c>
      <c r="C11178" s="5" t="str">
        <f>IFERROR(__xludf.DUMMYFUNCTION("GOOGLETRANSLATE(B11178,""en"",""zh-CN"")"),"黑白徽标进入屏幕。")</f>
        <v>黑白徽标进入屏幕。</v>
      </c>
    </row>
    <row r="11179">
      <c r="A11179" s="4" t="s">
        <v>14059</v>
      </c>
      <c r="B11179" s="6" t="s">
        <v>14060</v>
      </c>
      <c r="C11179" s="5" t="str">
        <f>IFERROR(__xludf.DUMMYFUNCTION("GOOGLETRANSLATE(B11179,""en"",""zh-CN"")"),"体操运动员米卡·罗斯（Micah Ross）在著名的观众欢呼并大喊她的名字之前，在著名的观众面前安装了平衡束。")</f>
        <v>体操运动员米卡·罗斯（Micah Ross）在著名的观众欢呼并大喊她的名字之前，在著名的观众面前安装了平衡束。</v>
      </c>
    </row>
    <row r="11180">
      <c r="A11180" s="4" t="s">
        <v>14059</v>
      </c>
      <c r="B11180" s="4" t="s">
        <v>14061</v>
      </c>
      <c r="C11180" s="5" t="str">
        <f>IFERROR(__xludf.DUMMYFUNCTION("GOOGLETRANSLATE(B11180,""en"",""zh-CN"")"),"她的日常工作始于翻转，分裂和萨默尔。")</f>
        <v>她的日常工作始于翻转，分裂和萨默尔。</v>
      </c>
    </row>
    <row r="11181">
      <c r="A11181" s="4" t="s">
        <v>14059</v>
      </c>
      <c r="B11181" s="4" t="s">
        <v>14062</v>
      </c>
      <c r="C11181" s="5" t="str">
        <f>IFERROR(__xludf.DUMMYFUNCTION("GOOGLETRANSLATE(B11181,""en"",""zh-CN"")"),"然后，她进行了两个向后翻转和一个pirouette。")</f>
        <v>然后，她进行了两个向后翻转和一个pirouette。</v>
      </c>
    </row>
    <row r="11182">
      <c r="A11182" s="4" t="s">
        <v>14059</v>
      </c>
      <c r="B11182" s="4" t="s">
        <v>14063</v>
      </c>
      <c r="C11182" s="5" t="str">
        <f>IFERROR(__xludf.DUMMYFUNCTION("GOOGLETRANSLATE(B11182,""en"",""zh-CN"")"),"向前的翻转和跳跃随着侧向翻转。")</f>
        <v>向前的翻转和跳跃随着侧向翻转。</v>
      </c>
    </row>
    <row r="11183">
      <c r="A11183" s="4" t="s">
        <v>14059</v>
      </c>
      <c r="B11183" s="6" t="s">
        <v>14064</v>
      </c>
      <c r="C11183" s="5" t="str">
        <f>IFERROR(__xludf.DUMMYFUNCTION("GOOGLETRANSLATE(B11183,""en"",""zh-CN"")"),"在短暂地摇晃酒吧后，米迦恢复了镇静，并进行了前往的夏日。")</f>
        <v>在短暂地摇晃酒吧后，米迦恢复了镇静，并进行了前往的夏日。</v>
      </c>
    </row>
    <row r="11184">
      <c r="A11184" s="4" t="s">
        <v>14059</v>
      </c>
      <c r="B11184" s="4" t="s">
        <v>14065</v>
      </c>
      <c r="C11184" s="5" t="str">
        <f>IFERROR(__xludf.DUMMYFUNCTION("GOOGLETRANSLATE(B11184,""en"",""zh-CN"")"),"罗斯通过双重翻转成功地击败了观众的掌声。")</f>
        <v>罗斯通过双重翻转成功地击败了观众的掌声。</v>
      </c>
    </row>
    <row r="11185">
      <c r="A11185" s="4" t="s">
        <v>14066</v>
      </c>
      <c r="B11185" s="4" t="s">
        <v>14067</v>
      </c>
      <c r="C11185" s="5" t="str">
        <f>IFERROR(__xludf.DUMMYFUNCTION("GOOGLETRANSLATE(B11185,""en"",""zh-CN"")"),"鼓手在鼓声，然后棍子破裂。")</f>
        <v>鼓手在鼓声，然后棍子破裂。</v>
      </c>
    </row>
    <row r="11186">
      <c r="A11186" s="4" t="s">
        <v>14066</v>
      </c>
      <c r="B11186" s="4" t="s">
        <v>14068</v>
      </c>
      <c r="C11186" s="5" t="str">
        <f>IFERROR(__xludf.DUMMYFUNCTION("GOOGLETRANSLATE(B11186,""en"",""zh-CN"")"),"一位穿着蓝色衬衫的男孩撞上了鼓，但大鼓持续移动，然后掉下来。")</f>
        <v>一位穿着蓝色衬衫的男孩撞上了鼓，但大鼓持续移动，然后掉下来。</v>
      </c>
    </row>
    <row r="11187">
      <c r="A11187" s="4" t="s">
        <v>14066</v>
      </c>
      <c r="B11187" s="4" t="s">
        <v>14069</v>
      </c>
      <c r="C11187" s="5" t="str">
        <f>IFERROR(__xludf.DUMMYFUNCTION("GOOGLETRANSLATE(B11187,""en"",""zh-CN"")"),"一个带耳机的男孩在鼓声，棍子被卡在乐器中。")</f>
        <v>一个带耳机的男孩在鼓声，棍子被卡在乐器中。</v>
      </c>
    </row>
    <row r="11188">
      <c r="A11188" s="4" t="s">
        <v>14066</v>
      </c>
      <c r="B11188" s="4" t="s">
        <v>14070</v>
      </c>
      <c r="C11188" s="5" t="str">
        <f>IFERROR(__xludf.DUMMYFUNCTION("GOOGLETRANSLATE(B11188,""en"",""zh-CN"")"),"乐队在演奏，当时男人在唱歌时，鼓手从椅子上摔下来。")</f>
        <v>乐队在演奏，当时男人在唱歌时，鼓手从椅子上摔下来。</v>
      </c>
    </row>
    <row r="11189">
      <c r="A11189" s="4" t="s">
        <v>14066</v>
      </c>
      <c r="B11189" s="6" t="s">
        <v>14071</v>
      </c>
      <c r="C11189" s="5" t="str">
        <f>IFERROR(__xludf.DUMMYFUNCTION("GOOGLETRANSLATE(B11189,""en"",""zh-CN"")"),"游行乐队演奏鼓，然后其中一名鼓手摔倒在地，一个人来帮助他。")</f>
        <v>游行乐队演奏鼓，然后其中一名鼓手摔倒在地，一个人来帮助他。</v>
      </c>
    </row>
    <row r="11190">
      <c r="A11190" s="4" t="s">
        <v>14066</v>
      </c>
      <c r="B11190" s="4" t="s">
        <v>14072</v>
      </c>
      <c r="C11190" s="5" t="str">
        <f>IFERROR(__xludf.DUMMYFUNCTION("GOOGLETRANSLATE(B11190,""en"",""zh-CN"")"),"舞台上的鼓手。")</f>
        <v>舞台上的鼓手。</v>
      </c>
    </row>
    <row r="11191">
      <c r="A11191" s="4" t="s">
        <v>14073</v>
      </c>
      <c r="B11191" s="4" t="s">
        <v>14074</v>
      </c>
      <c r="C11191" s="5" t="str">
        <f>IFERROR(__xludf.DUMMYFUNCTION("GOOGLETRANSLATE(B11191,""en"",""zh-CN"")"),"一个男人和一个女士互动。")</f>
        <v>一个男人和一个女士互动。</v>
      </c>
    </row>
    <row r="11192">
      <c r="A11192" s="4" t="s">
        <v>14073</v>
      </c>
      <c r="B11192" s="4" t="s">
        <v>14075</v>
      </c>
      <c r="C11192" s="5" t="str">
        <f>IFERROR(__xludf.DUMMYFUNCTION("GOOGLETRANSLATE(B11192,""en"",""zh-CN"")"),"这位女士举起了论文和书籍。")</f>
        <v>这位女士举起了论文和书籍。</v>
      </c>
    </row>
    <row r="11193">
      <c r="A11193" s="4" t="s">
        <v>14073</v>
      </c>
      <c r="B11193" s="4" t="s">
        <v>14076</v>
      </c>
      <c r="C11193" s="5" t="str">
        <f>IFERROR(__xludf.DUMMYFUNCTION("GOOGLETRANSLATE(B11193,""en"",""zh-CN"")"),"那个家伙鼓掌和欢呼。")</f>
        <v>那个家伙鼓掌和欢呼。</v>
      </c>
    </row>
    <row r="11194">
      <c r="A11194" s="4" t="s">
        <v>14073</v>
      </c>
      <c r="B11194" s="4" t="s">
        <v>14077</v>
      </c>
      <c r="C11194" s="5" t="str">
        <f>IFERROR(__xludf.DUMMYFUNCTION("GOOGLETRANSLATE(B11194,""en"",""zh-CN"")"),"这位女士扮演长笛，同时俯视论文上的音符。")</f>
        <v>这位女士扮演长笛，同时俯视论文上的音符。</v>
      </c>
    </row>
    <row r="11195">
      <c r="A11195" s="4" t="s">
        <v>14073</v>
      </c>
      <c r="B11195" s="4" t="s">
        <v>14078</v>
      </c>
      <c r="C11195" s="5" t="str">
        <f>IFERROR(__xludf.DUMMYFUNCTION("GOOGLETRANSLATE(B11195,""en"",""zh-CN"")"),"那位女士停止演奏长笛并展示它。")</f>
        <v>那位女士停止演奏长笛并展示它。</v>
      </c>
    </row>
    <row r="11196">
      <c r="A11196" s="4" t="s">
        <v>14073</v>
      </c>
      <c r="B11196" s="4" t="s">
        <v>14079</v>
      </c>
      <c r="C11196" s="5" t="str">
        <f>IFERROR(__xludf.DUMMYFUNCTION("GOOGLETRANSLATE(B11196,""en"",""zh-CN"")"),"这个家伙扮演口琴。")</f>
        <v>这个家伙扮演口琴。</v>
      </c>
    </row>
    <row r="11197">
      <c r="A11197" s="4" t="s">
        <v>14073</v>
      </c>
      <c r="B11197" s="4" t="s">
        <v>14080</v>
      </c>
      <c r="C11197" s="5" t="str">
        <f>IFERROR(__xludf.DUMMYFUNCTION("GOOGLETRANSLATE(B11197,""en"",""zh-CN"")"),"那家伙看上去很生气，那位女士看上去很道歉。")</f>
        <v>那家伙看上去很生气，那位女士看上去很道歉。</v>
      </c>
    </row>
    <row r="11198">
      <c r="A11198" s="4" t="s">
        <v>14073</v>
      </c>
      <c r="B11198" s="4" t="s">
        <v>14081</v>
      </c>
      <c r="C11198" s="5" t="str">
        <f>IFERROR(__xludf.DUMMYFUNCTION("GOOGLETRANSLATE(B11198,""en"",""zh-CN"")"),"那家伙放下了头。")</f>
        <v>那家伙放下了头。</v>
      </c>
    </row>
    <row r="11199">
      <c r="A11199" s="4" t="s">
        <v>14073</v>
      </c>
      <c r="B11199" s="4" t="s">
        <v>14082</v>
      </c>
      <c r="C11199" s="5" t="str">
        <f>IFERROR(__xludf.DUMMYFUNCTION("GOOGLETRANSLATE(B11199,""en"",""zh-CN"")"),"那个男人和夫人挥手再见。")</f>
        <v>那个男人和夫人挥手再见。</v>
      </c>
    </row>
    <row r="11200">
      <c r="A11200" s="4" t="s">
        <v>14073</v>
      </c>
      <c r="B11200" s="4" t="s">
        <v>14083</v>
      </c>
      <c r="C11200" s="5" t="str">
        <f>IFERROR(__xludf.DUMMYFUNCTION("GOOGLETRANSLATE(B11200,""en"",""zh-CN"")"),"那家伙从女士那里拿起长笛，假装在下巴上打她。")</f>
        <v>那家伙从女士那里拿起长笛，假装在下巴上打她。</v>
      </c>
    </row>
    <row r="11201">
      <c r="A11201" s="4" t="s">
        <v>14084</v>
      </c>
      <c r="B11201" s="4" t="s">
        <v>14085</v>
      </c>
      <c r="C11201" s="5" t="str">
        <f>IFERROR(__xludf.DUMMYFUNCTION("GOOGLETRANSLATE(B11201,""en"",""zh-CN"")"),"一个女人站在阳光下，为相机摆姿势和建模。")</f>
        <v>一个女人站在阳光下，为相机摆姿势和建模。</v>
      </c>
    </row>
    <row r="11202">
      <c r="A11202" s="4" t="s">
        <v>14084</v>
      </c>
      <c r="B11202" s="4" t="s">
        <v>14086</v>
      </c>
      <c r="C11202" s="5" t="str">
        <f>IFERROR(__xludf.DUMMYFUNCTION("GOOGLETRANSLATE(B11202,""en"",""zh-CN"")"),"她炫耀自己的天然头发，然后演示如何使用打击来定型。")</f>
        <v>她炫耀自己的天然头发，然后演示如何使用打击来定型。</v>
      </c>
    </row>
    <row r="11203">
      <c r="A11203" s="4" t="s">
        <v>14087</v>
      </c>
      <c r="B11203" s="4" t="s">
        <v>14088</v>
      </c>
      <c r="C11203" s="5" t="str">
        <f>IFERROR(__xludf.DUMMYFUNCTION("GOOGLETRANSLATE(B11203,""en"",""zh-CN"")"),"看到一个男人站起来，他的手臂站起来，然后开始了一个体操运动员。")</f>
        <v>看到一个男人站起来，他的手臂站起来，然后开始了一个体操运动员。</v>
      </c>
    </row>
    <row r="11204">
      <c r="A11204" s="4" t="s">
        <v>14087</v>
      </c>
      <c r="B11204" s="4" t="s">
        <v>14089</v>
      </c>
      <c r="C11204" s="5" t="str">
        <f>IFERROR(__xludf.DUMMYFUNCTION("GOOGLETRANSLATE(B11204,""en"",""zh-CN"")"),"该男子继续在不平坦的酒吧上摆动，跳下来完成。")</f>
        <v>该男子继续在不平坦的酒吧上摆动，跳下来完成。</v>
      </c>
    </row>
    <row r="11205">
      <c r="A11205" s="4" t="s">
        <v>14087</v>
      </c>
      <c r="B11205" s="4" t="s">
        <v>14090</v>
      </c>
      <c r="C11205" s="5" t="str">
        <f>IFERROR(__xludf.DUMMYFUNCTION("GOOGLETRANSLATE(B11205,""en"",""zh-CN"")"),"该男子在显示得分的同时走开，并以慢动作再次显示他的例行程序。")</f>
        <v>该男子在显示得分的同时走开，并以慢动作再次显示他的例行程序。</v>
      </c>
    </row>
    <row r="11206">
      <c r="A11206" s="4" t="s">
        <v>14091</v>
      </c>
      <c r="B11206" s="4" t="s">
        <v>14092</v>
      </c>
      <c r="C11206" s="5" t="str">
        <f>IFERROR(__xludf.DUMMYFUNCTION("GOOGLETRANSLATE(B11206,""en"",""zh-CN"")"),"一个男人的谈话站在后院的篱笆前面。")</f>
        <v>一个男人的谈话站在后院的篱笆前面。</v>
      </c>
    </row>
    <row r="11207">
      <c r="A11207" s="4" t="s">
        <v>14091</v>
      </c>
      <c r="B11207" s="4" t="s">
        <v>14093</v>
      </c>
      <c r="C11207" s="5" t="str">
        <f>IFERROR(__xludf.DUMMYFUNCTION("GOOGLETRANSLATE(B11207,""en"",""zh-CN"")"),"然后，该男子在油漆店里谈论一个人，该人向他展示了展示柜的工具。")</f>
        <v>然后，该男子在油漆店里谈论一个人，该人向他展示了展示柜的工具。</v>
      </c>
    </row>
    <row r="11208">
      <c r="A11208" s="4" t="s">
        <v>14091</v>
      </c>
      <c r="B11208" s="4" t="s">
        <v>14094</v>
      </c>
      <c r="C11208" s="5" t="str">
        <f>IFERROR(__xludf.DUMMYFUNCTION("GOOGLETRANSLATE(B11208,""en"",""zh-CN"")"),"之后，该男子在后院展示了绘画机的按钮。")</f>
        <v>之后，该男子在后院展示了绘画机的按钮。</v>
      </c>
    </row>
    <row r="11209">
      <c r="A11209" s="4" t="s">
        <v>14091</v>
      </c>
      <c r="B11209" s="4" t="s">
        <v>14095</v>
      </c>
      <c r="C11209" s="5" t="str">
        <f>IFERROR(__xludf.DUMMYFUNCTION("GOOGLETRANSLATE(B11209,""en"",""zh-CN"")"),"之后，该男子将蓝色胶带放在栅栏的侧面，并盖住轨道。")</f>
        <v>之后，该男子将蓝色胶带放在栅栏的侧面，并盖住轨道。</v>
      </c>
    </row>
    <row r="11210">
      <c r="A11210" s="4" t="s">
        <v>14091</v>
      </c>
      <c r="B11210" s="4" t="s">
        <v>14096</v>
      </c>
      <c r="C11210" s="5" t="str">
        <f>IFERROR(__xludf.DUMMYFUNCTION("GOOGLETRANSLATE(B11210,""en"",""zh-CN"")"),"然后，男人戴着口罩时用机器的软管将篱笆涂成篱笆。")</f>
        <v>然后，男人戴着口罩时用机器的软管将篱笆涂成篱笆。</v>
      </c>
    </row>
    <row r="11211">
      <c r="A11211" s="4" t="s">
        <v>14091</v>
      </c>
      <c r="B11211" s="4" t="s">
        <v>14097</v>
      </c>
      <c r="C11211" s="5" t="str">
        <f>IFERROR(__xludf.DUMMYFUNCTION("GOOGLETRANSLATE(B11211,""en"",""zh-CN"")"),"该男子继续在机器和油漆桶上解释。")</f>
        <v>该男子继续在机器和油漆桶上解释。</v>
      </c>
    </row>
    <row r="11212">
      <c r="A11212" s="4" t="s">
        <v>14098</v>
      </c>
      <c r="B11212" s="4" t="s">
        <v>14099</v>
      </c>
      <c r="C11212" s="5" t="str">
        <f>IFERROR(__xludf.DUMMYFUNCTION("GOOGLETRANSLATE(B11212,""en"",""zh-CN"")"),"一群孩子在教室里，例如围成一圈。")</f>
        <v>一群孩子在教室里，例如围成一圈。</v>
      </c>
    </row>
    <row r="11213">
      <c r="A11213" s="4" t="s">
        <v>14098</v>
      </c>
      <c r="B11213" s="4" t="s">
        <v>14100</v>
      </c>
      <c r="C11213" s="5" t="str">
        <f>IFERROR(__xludf.DUMMYFUNCTION("GOOGLETRANSLATE(B11213,""en"",""zh-CN"")"),"在圆圈的中间，一个女人撞到用蓝色墙纸包裹的皮纳塔。")</f>
        <v>在圆圈的中间，一个女人撞到用蓝色墙纸包裹的皮纳塔。</v>
      </c>
    </row>
    <row r="11214">
      <c r="A11214" s="4" t="s">
        <v>14101</v>
      </c>
      <c r="B11214" s="4" t="s">
        <v>14102</v>
      </c>
      <c r="C11214" s="5" t="str">
        <f>IFERROR(__xludf.DUMMYFUNCTION("GOOGLETRANSLATE(B11214,""en"",""zh-CN"")"),"小孩子正在干燥的叶子上跳跃。")</f>
        <v>小孩子正在干燥的叶子上跳跃。</v>
      </c>
    </row>
    <row r="11215">
      <c r="A11215" s="4" t="s">
        <v>14101</v>
      </c>
      <c r="B11215" s="4" t="s">
        <v>14103</v>
      </c>
      <c r="C11215" s="5" t="str">
        <f>IFERROR(__xludf.DUMMYFUNCTION("GOOGLETRANSLATE(B11215,""en"",""zh-CN"")"),"女人在院子里耙干叶。")</f>
        <v>女人在院子里耙干叶。</v>
      </c>
    </row>
    <row r="11216">
      <c r="A11216" s="4" t="s">
        <v>14101</v>
      </c>
      <c r="B11216" s="4" t="s">
        <v>14104</v>
      </c>
      <c r="C11216" s="5" t="str">
        <f>IFERROR(__xludf.DUMMYFUNCTION("GOOGLETRANSLATE(B11216,""en"",""zh-CN"")"),"小子跪下并抓住干叶，将其放在垃圾桶中。")</f>
        <v>小子跪下并抓住干叶，将其放在垃圾桶中。</v>
      </c>
    </row>
    <row r="11217">
      <c r="A11217" s="4" t="s">
        <v>14105</v>
      </c>
      <c r="B11217" s="4" t="s">
        <v>14106</v>
      </c>
      <c r="C11217" s="5" t="str">
        <f>IFERROR(__xludf.DUMMYFUNCTION("GOOGLETRANSLATE(B11217,""en"",""zh-CN"")"),"一个小女孩在游戏地面上挥舞着猴子酒吧。")</f>
        <v>一个小女孩在游戏地面上挥舞着猴子酒吧。</v>
      </c>
    </row>
    <row r="11218">
      <c r="A11218" s="4" t="s">
        <v>14105</v>
      </c>
      <c r="B11218" s="4" t="s">
        <v>14107</v>
      </c>
      <c r="C11218" s="5" t="str">
        <f>IFERROR(__xludf.DUMMYFUNCTION("GOOGLETRANSLATE(B11218,""en"",""zh-CN"")"),"她穿过每个酒吧，然后跳到地上。")</f>
        <v>她穿过每个酒吧，然后跳到地上。</v>
      </c>
    </row>
    <row r="11219">
      <c r="A11219" s="4" t="s">
        <v>14105</v>
      </c>
      <c r="B11219" s="4" t="s">
        <v>14108</v>
      </c>
      <c r="C11219" s="5" t="str">
        <f>IFERROR(__xludf.DUMMYFUNCTION("GOOGLETRANSLATE(B11219,""en"",""zh-CN"")"),"她回到起点，然后再次挥舞着酒吧。")</f>
        <v>她回到起点，然后再次挥舞着酒吧。</v>
      </c>
    </row>
    <row r="11220">
      <c r="A11220" s="4" t="s">
        <v>14109</v>
      </c>
      <c r="B11220" s="4" t="s">
        <v>14110</v>
      </c>
      <c r="C11220" s="5" t="str">
        <f>IFERROR(__xludf.DUMMYFUNCTION("GOOGLETRANSLATE(B11220,""en"",""zh-CN"")"),"一个年轻人在从水烟中取出泡沫的同时在外面与镜头交谈。")</f>
        <v>一个年轻人在从水烟中取出泡沫的同时在外面与镜头交谈。</v>
      </c>
    </row>
    <row r="11221">
      <c r="A11221" s="4" t="s">
        <v>14109</v>
      </c>
      <c r="B11221" s="4" t="s">
        <v>14111</v>
      </c>
      <c r="C11221" s="5" t="str">
        <f>IFERROR(__xludf.DUMMYFUNCTION("GOOGLETRANSLATE(B11221,""en"",""zh-CN"")"),"他将管道放开，从能量饮料中挥舞着。")</f>
        <v>他将管道放开，从能量饮料中挥舞着。</v>
      </c>
    </row>
    <row r="11222">
      <c r="A11222" s="4" t="s">
        <v>14109</v>
      </c>
      <c r="B11222" s="6" t="s">
        <v>14112</v>
      </c>
      <c r="C11222" s="5" t="str">
        <f>IFERROR(__xludf.DUMMYFUNCTION("GOOGLETRANSLATE(B11222,""en"",""zh-CN"")"),"他移动相机向另一个男人展示，并继续在另一个男人旁边抽烟。")</f>
        <v>他移动相机向另一个男人展示，并继续在另一个男人旁边抽烟。</v>
      </c>
    </row>
    <row r="11223">
      <c r="A11223" s="4" t="s">
        <v>14109</v>
      </c>
      <c r="B11223" s="4" t="s">
        <v>14113</v>
      </c>
      <c r="C11223" s="5" t="str">
        <f>IFERROR(__xludf.DUMMYFUNCTION("GOOGLETRANSLATE(B11223,""en"",""zh-CN"")"),"两者都在吸烟时看着相机，男孩仍然继续喝能量饮料。")</f>
        <v>两者都在吸烟时看着相机，男孩仍然继续喝能量饮料。</v>
      </c>
    </row>
    <row r="11224">
      <c r="A11224" s="4" t="s">
        <v>14114</v>
      </c>
      <c r="B11224" s="4" t="s">
        <v>14115</v>
      </c>
      <c r="C11224" s="5" t="str">
        <f>IFERROR(__xludf.DUMMYFUNCTION("GOOGLETRANSLATE(B11224,""en"",""zh-CN"")"),"很多人坐在斗牛旁的看台上。")</f>
        <v>很多人坐在斗牛旁的看台上。</v>
      </c>
    </row>
    <row r="11225">
      <c r="A11225" s="4" t="s">
        <v>14114</v>
      </c>
      <c r="B11225" s="4" t="s">
        <v>14116</v>
      </c>
      <c r="C11225" s="5" t="str">
        <f>IFERROR(__xludf.DUMMYFUNCTION("GOOGLETRANSLATE(B11225,""en"",""zh-CN"")"),"斗牛士们拿着红布nad奔向牛。")</f>
        <v>斗牛士们拿着红布nad奔向牛。</v>
      </c>
    </row>
    <row r="11226">
      <c r="A11226" s="4" t="s">
        <v>14117</v>
      </c>
      <c r="B11226" s="4" t="s">
        <v>14118</v>
      </c>
      <c r="C11226" s="5" t="str">
        <f>IFERROR(__xludf.DUMMYFUNCTION("GOOGLETRANSLATE(B11226,""en"",""zh-CN"")"),"在火地方拍摄了几个奖项，然后移至左侧的墙壁。")</f>
        <v>在火地方拍摄了几个奖项，然后移至左侧的墙壁。</v>
      </c>
    </row>
    <row r="11227">
      <c r="A11227" s="4" t="s">
        <v>14117</v>
      </c>
      <c r="B11227" s="4" t="s">
        <v>14119</v>
      </c>
      <c r="C11227" s="5" t="str">
        <f>IFERROR(__xludf.DUMMYFUNCTION("GOOGLETRANSLATE(B11227,""en"",""zh-CN"")"),"显示了一张食物桌，录制的人抓住了一个饼干，离开了房间。")</f>
        <v>显示了一张食物桌，录制的人抓住了一个饼干，离开了房间。</v>
      </c>
    </row>
    <row r="11228">
      <c r="A11228" s="4" t="s">
        <v>14117</v>
      </c>
      <c r="B11228" s="6" t="s">
        <v>14120</v>
      </c>
      <c r="C11228" s="5" t="str">
        <f>IFERROR(__xludf.DUMMYFUNCTION("GOOGLETRANSLATE(B11228,""en"",""zh-CN"")"),"他进入的下一个房间，有几个人站在玩啤酒乒乓球周围，他继续穿过房子。")</f>
        <v>他进入的下一个房间，有几个人站在玩啤酒乒乓球周围，他继续穿过房子。</v>
      </c>
    </row>
    <row r="11229">
      <c r="A11229" s="4" t="s">
        <v>14121</v>
      </c>
      <c r="B11229" s="4" t="s">
        <v>14122</v>
      </c>
      <c r="C11229" s="5" t="str">
        <f>IFERROR(__xludf.DUMMYFUNCTION("GOOGLETRANSLATE(B11229,""en"",""zh-CN"")"),"沃尔玛（Wal-Mart）展示了一个女人，从架子上笑着选择耳环。")</f>
        <v>沃尔玛（Wal-Mart）展示了一个女人，从架子上笑着选择耳环。</v>
      </c>
    </row>
    <row r="11230">
      <c r="A11230" s="4" t="s">
        <v>14121</v>
      </c>
      <c r="B11230" s="4" t="s">
        <v>14123</v>
      </c>
      <c r="C11230" s="5" t="str">
        <f>IFERROR(__xludf.DUMMYFUNCTION("GOOGLETRANSLATE(B11230,""en"",""zh-CN"")"),"她坐在椅子上，一名员工用刺穿的枪向她的叶子射击。")</f>
        <v>她坐在椅子上，一名员工用刺穿的枪向她的叶子射击。</v>
      </c>
    </row>
    <row r="11231">
      <c r="A11231" s="4" t="s">
        <v>14121</v>
      </c>
      <c r="B11231" s="4" t="s">
        <v>14124</v>
      </c>
      <c r="C11231" s="5" t="str">
        <f>IFERROR(__xludf.DUMMYFUNCTION("GOOGLETRANSLATE(B11231,""en"",""zh-CN"")"),"当它进入耳朵时，她痛苦地痛苦。")</f>
        <v>当它进入耳朵时，她痛苦地痛苦。</v>
      </c>
    </row>
    <row r="11232">
      <c r="A11232" s="4" t="s">
        <v>14125</v>
      </c>
      <c r="B11232" s="4" t="s">
        <v>14126</v>
      </c>
      <c r="C11232" s="5" t="str">
        <f>IFERROR(__xludf.DUMMYFUNCTION("GOOGLETRANSLATE(B11232,""en"",""zh-CN"")"),"我们看到三个独立的介绍屏幕。")</f>
        <v>我们看到三个独立的介绍屏幕。</v>
      </c>
    </row>
    <row r="11233">
      <c r="A11233" s="4" t="s">
        <v>14125</v>
      </c>
      <c r="B11233" s="4" t="s">
        <v>14127</v>
      </c>
      <c r="C11233" s="5" t="str">
        <f>IFERROR(__xludf.DUMMYFUNCTION("GOOGLETRANSLATE(B11233,""en"",""zh-CN"")"),"我们看到一个男人在曲棍球中拍摄，介于两者之间。")</f>
        <v>我们看到一个男人在曲棍球中拍摄，介于两者之间。</v>
      </c>
    </row>
    <row r="11234">
      <c r="A11234" s="4" t="s">
        <v>14125</v>
      </c>
      <c r="B11234" s="4" t="s">
        <v>14128</v>
      </c>
      <c r="C11234" s="5" t="str">
        <f>IFERROR(__xludf.DUMMYFUNCTION("GOOGLETRANSLATE(B11234,""en"",""zh-CN"")"),"一个男人向曲棍球开枪并做到这一点，我们看到慢动作回顾。")</f>
        <v>一个男人向曲棍球开枪并做到这一点，我们看到慢动作回顾。</v>
      </c>
    </row>
    <row r="11235">
      <c r="A11235" s="4" t="s">
        <v>14125</v>
      </c>
      <c r="B11235" s="4" t="s">
        <v>14129</v>
      </c>
      <c r="C11235" s="5" t="str">
        <f>IFERROR(__xludf.DUMMYFUNCTION("GOOGLETRANSLATE(B11235,""en"",""zh-CN"")"),"该男子再次拍摄并做到这一点，我们也看到了一个回顾。")</f>
        <v>该男子再次拍摄并做到这一点，我们也看到了一个回顾。</v>
      </c>
    </row>
    <row r="11236">
      <c r="A11236" s="4" t="s">
        <v>14125</v>
      </c>
      <c r="B11236" s="4" t="s">
        <v>14130</v>
      </c>
      <c r="C11236" s="5" t="str">
        <f>IFERROR(__xludf.DUMMYFUNCTION("GOOGLETRANSLATE(B11236,""en"",""zh-CN"")"),"我们从上方看到了镜头，并进行了回顾。")</f>
        <v>我们从上方看到了镜头，并进行了回顾。</v>
      </c>
    </row>
    <row r="11237">
      <c r="A11237" s="4" t="s">
        <v>14131</v>
      </c>
      <c r="B11237" s="4" t="s">
        <v>14132</v>
      </c>
      <c r="C11237" s="5" t="str">
        <f>IFERROR(__xludf.DUMMYFUNCTION("GOOGLETRANSLATE(B11237,""en"",""zh-CN"")"),"一个人正在操作电动机。")</f>
        <v>一个人正在操作电动机。</v>
      </c>
    </row>
    <row r="11238">
      <c r="A11238" s="4" t="s">
        <v>14131</v>
      </c>
      <c r="B11238" s="4" t="s">
        <v>14133</v>
      </c>
      <c r="C11238" s="5" t="str">
        <f>IFERROR(__xludf.DUMMYFUNCTION("GOOGLETRANSLATE(B11238,""en"",""zh-CN"")"),"一个男人用黑暗的地毯鞭打。")</f>
        <v>一个男人用黑暗的地毯鞭打。</v>
      </c>
    </row>
    <row r="11239">
      <c r="A11239" s="4" t="s">
        <v>14131</v>
      </c>
      <c r="B11239" s="4" t="s">
        <v>14134</v>
      </c>
      <c r="C11239" s="5" t="str">
        <f>IFERROR(__xludf.DUMMYFUNCTION("GOOGLETRANSLATE(B11239,""en"",""zh-CN"")"),"这个家伙正在示意机器的工作。")</f>
        <v>这个家伙正在示意机器的工作。</v>
      </c>
    </row>
    <row r="11240">
      <c r="A11240" s="4" t="s">
        <v>14135</v>
      </c>
      <c r="B11240" s="6" t="s">
        <v>14136</v>
      </c>
      <c r="C11240" s="5" t="str">
        <f>IFERROR(__xludf.DUMMYFUNCTION("GOOGLETRANSLATE(B11240,""en"",""zh-CN"")"),"一群男孩在一个室外游泳池里用黄球打水，周围是篱笆，高大的树木和叶子。")</f>
        <v>一群男孩在一个室外游泳池里用黄球打水，周围是篱笆，高大的树木和叶子。</v>
      </c>
    </row>
    <row r="11241">
      <c r="A11241" s="4" t="s">
        <v>14135</v>
      </c>
      <c r="B11241" s="6" t="s">
        <v>14137</v>
      </c>
      <c r="C11241" s="5" t="str">
        <f>IFERROR(__xludf.DUMMYFUNCTION("GOOGLETRANSLATE(B11241,""en"",""zh-CN"")"),"一群男孩在一个带有黄色球的室外游泳池里打球，将球扔给彼此，然后将球从游泳池中扔到一个看不见的聚会上。")</f>
        <v>一群男孩在一个带有黄色球的室外游泳池里打球，将球扔给彼此，然后将球从游泳池中扔到一个看不见的聚会上。</v>
      </c>
    </row>
    <row r="11242">
      <c r="A11242" s="4" t="s">
        <v>14135</v>
      </c>
      <c r="B11242" s="4" t="s">
        <v>14138</v>
      </c>
      <c r="C11242" s="5" t="str">
        <f>IFERROR(__xludf.DUMMYFUNCTION("GOOGLETRANSLATE(B11242,""en"",""zh-CN"")"),"球被扔回游泳池，男孩们继续将球扔回去。")</f>
        <v>球被扔回游泳池，男孩们继续将球扔回去。</v>
      </c>
    </row>
    <row r="11243">
      <c r="A11243" s="4" t="s">
        <v>14139</v>
      </c>
      <c r="B11243" s="6" t="s">
        <v>14140</v>
      </c>
      <c r="C11243" s="5" t="str">
        <f>IFERROR(__xludf.DUMMYFUNCTION("GOOGLETRANSLATE(B11243,""en"",""zh-CN"")"),"出现了一个充满不同屏幕的特殊效果的简介出现，最终结果是一个方标志，上面写着“ getitsweet get get it stew 2014”，它们的颜色是白色，粉红色，深色粉红色和棕色，巧克力滴水的效果标志的最高部分。")</f>
        <v>出现了一个充满不同屏幕的特殊效果的简介出现，最终结果是一个方标志，上面写着“ getitsweet get get it stew 2014”，它们的颜色是白色，粉红色，深色粉红色和棕色，巧克力滴水的效果标志的最高部分。</v>
      </c>
    </row>
    <row r="11244">
      <c r="A11244" s="4" t="s">
        <v>14139</v>
      </c>
      <c r="B11244" s="6" t="s">
        <v>14141</v>
      </c>
      <c r="C11244" s="5" t="str">
        <f>IFERROR(__xludf.DUMMYFUNCTION("GOOGLETRANSLATE(B11244,""en"",""zh-CN"")"),"出现托盘上的一批肉桂卷饼干，并在不同碗中的实际成分出现了快速列表。")</f>
        <v>出现托盘上的一批肉桂卷饼干，并在不同碗中的实际成分出现了快速列表。</v>
      </c>
    </row>
    <row r="11245">
      <c r="A11245" s="4" t="s">
        <v>14139</v>
      </c>
      <c r="B11245" s="6" t="s">
        <v>14142</v>
      </c>
      <c r="C11245" s="5" t="str">
        <f>IFERROR(__xludf.DUMMYFUNCTION("GOOGLETRANSLATE(B11245,""en"",""zh-CN"")"),"现在，将这些成分倒入一个大的透明碗中，与手动混合器混合在一起，并偶尔会在屏幕上弹出说明。")</f>
        <v>现在，将这些成分倒入一个大的透明碗中，与手动混合器混合在一起，并偶尔会在屏幕上弹出说明。</v>
      </c>
    </row>
    <row r="11246">
      <c r="A11246" s="4" t="s">
        <v>14139</v>
      </c>
      <c r="B11246" s="6" t="s">
        <v>14143</v>
      </c>
      <c r="C11246" s="5" t="str">
        <f>IFERROR(__xludf.DUMMYFUNCTION("GOOGLETRANSLATE(B11246,""en"",""zh-CN"")"),"当成分被彻底混合时，人会在塑料之间变平，将其冷却，然后将其放在切菜板上以将其推出，然后将糖和肉桂添加到平坦的表面上。")</f>
        <v>当成分被彻底混合时，人会在塑料之间变平，将其冷却，然后将其放在切菜板上以将其推出，然后将糖和肉桂添加到平坦的表面上。</v>
      </c>
    </row>
    <row r="11247">
      <c r="A11247" s="4" t="s">
        <v>14139</v>
      </c>
      <c r="B11247" s="6" t="s">
        <v>14144</v>
      </c>
      <c r="C11247" s="5" t="str">
        <f>IFERROR(__xludf.DUMMYFUNCTION("GOOGLETRANSLATE(B11247,""en"",""zh-CN"")"),"然后，该人将其卷起来，将其放在切菜板旁边的一块萨兰包裹上，然后将萨兰包裹包裹在其上，将其卷一些，以便说明说明它冷却30分钟。")</f>
        <v>然后，该人将其卷起来，将其放在切菜板旁边的一块萨兰包裹上，然后将萨兰包裹包裹在其上，将其卷一些，以便说明说明它冷却30分钟。</v>
      </c>
    </row>
    <row r="11248">
      <c r="A11248" s="4" t="s">
        <v>14139</v>
      </c>
      <c r="B11248" s="6" t="s">
        <v>14145</v>
      </c>
      <c r="C11248" s="5" t="str">
        <f>IFERROR(__xludf.DUMMYFUNCTION("GOOGLETRANSLATE(B11248,""en"",""zh-CN"")"),"将其冷却后，将其切除，将切割板切成薄片，放在烹饪纸上，然后煮熟。")</f>
        <v>将其冷却后，将其切除，将切割板切成薄片，放在烹饪纸上，然后煮熟。</v>
      </c>
    </row>
    <row r="11249">
      <c r="A11249" s="4" t="s">
        <v>14139</v>
      </c>
      <c r="B11249" s="6" t="s">
        <v>14146</v>
      </c>
      <c r="C11249" s="5" t="str">
        <f>IFERROR(__xludf.DUMMYFUNCTION("GOOGLETRANSLATE(B11249,""en"",""zh-CN"")"),"然后将煮熟的产品显示在白板上，上面加一杯咖啡，然后将其捡起并咬住它。")</f>
        <v>然后将煮熟的产品显示在白板上，上面加一杯咖啡，然后将其捡起并咬住它。</v>
      </c>
    </row>
    <row r="11250">
      <c r="A11250" s="4" t="s">
        <v>14139</v>
      </c>
      <c r="B11250" s="6" t="s">
        <v>14147</v>
      </c>
      <c r="C11250" s="5" t="str">
        <f>IFERROR(__xludf.DUMMYFUNCTION("GOOGLETRANSLATE(B11250,""en"",""zh-CN"")"),"最后一个屏幕是YouTube促销该人的频道，其中有2个可以单击的小视频，并措辞鼓励您订阅。")</f>
        <v>最后一个屏幕是YouTube促销该人的频道，其中有2个可以单击的小视频，并措辞鼓励您订阅。</v>
      </c>
    </row>
    <row r="11251">
      <c r="A11251" s="4" t="s">
        <v>14148</v>
      </c>
      <c r="B11251" s="4" t="s">
        <v>14149</v>
      </c>
      <c r="C11251" s="5" t="str">
        <f>IFERROR(__xludf.DUMMYFUNCTION("GOOGLETRANSLATE(B11251,""en"",""zh-CN"")"),"人们在一个小房间里跳舞进行编舞。")</f>
        <v>人们在一个小房间里跳舞进行编舞。</v>
      </c>
    </row>
    <row r="11252">
      <c r="A11252" s="4" t="s">
        <v>14148</v>
      </c>
      <c r="B11252" s="4" t="s">
        <v>14150</v>
      </c>
      <c r="C11252" s="5" t="str">
        <f>IFERROR(__xludf.DUMMYFUNCTION("GOOGLETRANSLATE(B11252,""en"",""zh-CN"")"),"该男子停止跳舞并继续进行编舞。")</f>
        <v>该男子停止跳舞并继续进行编舞。</v>
      </c>
    </row>
    <row r="11253">
      <c r="A11253" s="4" t="s">
        <v>14148</v>
      </c>
      <c r="B11253" s="6" t="s">
        <v>14151</v>
      </c>
      <c r="C11253" s="5" t="str">
        <f>IFERROR(__xludf.DUMMYFUNCTION("GOOGLETRANSLATE(B11253,""en"",""zh-CN"")"),"男子穿着红色的短裤和灰色衬衫，将编舞在房间的人们面前带领。")</f>
        <v>男子穿着红色的短裤和灰色衬衫，将编舞在房间的人们面前带领。</v>
      </c>
    </row>
    <row r="11254">
      <c r="A11254" s="4" t="s">
        <v>14152</v>
      </c>
      <c r="B11254" s="4" t="s">
        <v>14153</v>
      </c>
      <c r="C11254" s="5" t="str">
        <f>IFERROR(__xludf.DUMMYFUNCTION("GOOGLETRANSLATE(B11254,""en"",""zh-CN"")"),"汽车上的窗户被收费，一个光着膀子的男人走到伊斯。")</f>
        <v>汽车上的窗户被收费，一个光着膀子的男人走到伊斯。</v>
      </c>
    </row>
    <row r="11255">
      <c r="A11255" s="4" t="s">
        <v>14152</v>
      </c>
      <c r="B11255" s="4" t="s">
        <v>14154</v>
      </c>
      <c r="C11255" s="5" t="str">
        <f>IFERROR(__xludf.DUMMYFUNCTION("GOOGLETRANSLATE(B11255,""en"",""zh-CN"")"),"我们看到穿着小内衣洗车穿着光着膀子的男人。")</f>
        <v>我们看到穿着小内衣洗车穿着光着膀子的男人。</v>
      </c>
    </row>
    <row r="11256">
      <c r="A11256" s="4" t="s">
        <v>14152</v>
      </c>
      <c r="B11256" s="4" t="s">
        <v>14155</v>
      </c>
      <c r="C11256" s="5" t="str">
        <f>IFERROR(__xludf.DUMMYFUNCTION("GOOGLETRANSLATE(B11256,""en"",""zh-CN"")"),"这些人穿着只穿着内衣的线路走在停车场。")</f>
        <v>这些人穿着只穿着内衣的线路走在停车场。</v>
      </c>
    </row>
    <row r="11257">
      <c r="A11257" s="4" t="s">
        <v>14152</v>
      </c>
      <c r="B11257" s="4" t="s">
        <v>14156</v>
      </c>
      <c r="C11257" s="5" t="str">
        <f>IFERROR(__xludf.DUMMYFUNCTION("GOOGLETRANSLATE(B11257,""en"",""zh-CN"")"),"一个男人摇晃他的湿头发。")</f>
        <v>一个男人摇晃他的湿头发。</v>
      </c>
    </row>
    <row r="11258">
      <c r="A11258" s="4" t="s">
        <v>14152</v>
      </c>
      <c r="B11258" s="4" t="s">
        <v>14157</v>
      </c>
      <c r="C11258" s="5" t="str">
        <f>IFERROR(__xludf.DUMMYFUNCTION("GOOGLETRANSLATE(B11258,""en"",""zh-CN"")"),"一个人洗另一个男人的屁股。")</f>
        <v>一个人洗另一个男人的屁股。</v>
      </c>
    </row>
    <row r="11259">
      <c r="A11259" s="4" t="s">
        <v>14152</v>
      </c>
      <c r="B11259" s="4" t="s">
        <v>14158</v>
      </c>
      <c r="C11259" s="5" t="str">
        <f>IFERROR(__xludf.DUMMYFUNCTION("GOOGLETRANSLATE(B11259,""en"",""zh-CN"")"),"一个人擦干水，看着相机。")</f>
        <v>一个人擦干水，看着相机。</v>
      </c>
    </row>
    <row r="11260">
      <c r="A11260" s="4" t="s">
        <v>14152</v>
      </c>
      <c r="B11260" s="4" t="s">
        <v>14159</v>
      </c>
      <c r="C11260" s="5" t="str">
        <f>IFERROR(__xludf.DUMMYFUNCTION("GOOGLETRANSLATE(B11260,""en"",""zh-CN"")"),"人们在一条线和洗车场景中跳舞。")</f>
        <v>人们在一条线和洗车场景中跳舞。</v>
      </c>
    </row>
    <row r="11261">
      <c r="A11261" s="4" t="s">
        <v>14152</v>
      </c>
      <c r="B11261" s="4" t="s">
        <v>777</v>
      </c>
      <c r="C11261" s="5" t="str">
        <f>IFERROR(__xludf.DUMMYFUNCTION("GOOGLETRANSLATE(B11261,""en"",""zh-CN"")"),"我们看到结尾标题屏幕。")</f>
        <v>我们看到结尾标题屏幕。</v>
      </c>
    </row>
    <row r="11262">
      <c r="A11262" s="4" t="s">
        <v>14160</v>
      </c>
      <c r="B11262" s="4" t="s">
        <v>14161</v>
      </c>
      <c r="C11262" s="5" t="str">
        <f>IFERROR(__xludf.DUMMYFUNCTION("GOOGLETRANSLATE(B11262,""en"",""zh-CN"")"),"两名相扑摔跤手站在一个竞技场上。")</f>
        <v>两名相扑摔跤手站在一个竞技场上。</v>
      </c>
    </row>
    <row r="11263">
      <c r="A11263" s="4" t="s">
        <v>14160</v>
      </c>
      <c r="B11263" s="4" t="s">
        <v>14162</v>
      </c>
      <c r="C11263" s="5" t="str">
        <f>IFERROR(__xludf.DUMMYFUNCTION("GOOGLETRANSLATE(B11263,""en"",""zh-CN"")"),"一个敲另一个。")</f>
        <v>一个敲另一个。</v>
      </c>
    </row>
    <row r="11264">
      <c r="A11264" s="4" t="s">
        <v>14160</v>
      </c>
      <c r="B11264" s="4" t="s">
        <v>14163</v>
      </c>
      <c r="C11264" s="5" t="str">
        <f>IFERROR(__xludf.DUMMYFUNCTION("GOOGLETRANSLATE(B11264,""en"",""zh-CN"")"),"获胜者在竞技场上站得很高。")</f>
        <v>获胜者在竞技场上站得很高。</v>
      </c>
    </row>
    <row r="11265">
      <c r="A11265" s="4" t="s">
        <v>14160</v>
      </c>
      <c r="B11265" s="4" t="s">
        <v>14164</v>
      </c>
      <c r="C11265" s="5" t="str">
        <f>IFERROR(__xludf.DUMMYFUNCTION("GOOGLETRANSLATE(B11265,""en"",""zh-CN"")"),"人群看着获胜者。")</f>
        <v>人群看着获胜者。</v>
      </c>
    </row>
    <row r="11266">
      <c r="A11266" s="4" t="s">
        <v>14165</v>
      </c>
      <c r="B11266" s="6" t="s">
        <v>14166</v>
      </c>
      <c r="C11266" s="5" t="str">
        <f>IFERROR(__xludf.DUMMYFUNCTION("GOOGLETRANSLATE(B11266,""en"",""zh-CN"")"),"该视频显示了一个戴着眼镜和耳机的男人，戴着棕色帽子和衬衫，讲述了如何玩PVC长笛。")</f>
        <v>该视频显示了一个戴着眼镜和耳机的男人，戴着棕色帽子和衬衫，讲述了如何玩PVC长笛。</v>
      </c>
    </row>
    <row r="11267">
      <c r="A11267" s="4" t="s">
        <v>14165</v>
      </c>
      <c r="B11267" s="6" t="s">
        <v>14167</v>
      </c>
      <c r="C11267" s="5" t="str">
        <f>IFERROR(__xludf.DUMMYFUNCTION("GOOGLETRANSLATE(B11267,""en"",""zh-CN"")"),"他将笛子握在手中，开始弹奏，当他吹到长笛中时，他的手指沿着孔移动。")</f>
        <v>他将笛子握在手中，开始弹奏，当他吹到长笛中时，他的手指沿着孔移动。</v>
      </c>
    </row>
    <row r="11268">
      <c r="A11268" s="4" t="s">
        <v>14165</v>
      </c>
      <c r="B11268" s="4" t="s">
        <v>14168</v>
      </c>
      <c r="C11268" s="5" t="str">
        <f>IFERROR(__xludf.DUMMYFUNCTION("GOOGLETRANSLATE(B11268,""en"",""zh-CN"")"),"他继续演奏长笛，直到完成曲调为止。")</f>
        <v>他继续演奏长笛，直到完成曲调为止。</v>
      </c>
    </row>
    <row r="11269">
      <c r="A11269" s="4" t="s">
        <v>14169</v>
      </c>
      <c r="B11269" s="6" t="s">
        <v>14170</v>
      </c>
      <c r="C11269" s="5" t="str">
        <f>IFERROR(__xludf.DUMMYFUNCTION("GOOGLETRANSLATE(B11269,""en"",""zh-CN"")"),"一个男人在其他人和许多其他洗牌板占用的房间里玩许多沙芬板游戏。")</f>
        <v>一个男人在其他人和许多其他洗牌板占用的房间里玩许多沙芬板游戏。</v>
      </c>
    </row>
    <row r="11270">
      <c r="A11270" s="4" t="s">
        <v>14169</v>
      </c>
      <c r="B11270" s="6" t="s">
        <v>14171</v>
      </c>
      <c r="C11270" s="5" t="str">
        <f>IFERROR(__xludf.DUMMYFUNCTION("GOOGLETRANSLATE(B11270,""en"",""zh-CN"")"),"一个穿着领衬衫和眼镜的男人在房间里的一点点记分牌前，饰有金属冰球和一个长长的木制洗礼板的洗牌板。")</f>
        <v>一个穿着领衬衫和眼镜的男人在房间里的一点点记分牌前，饰有金属冰球和一个长长的木制洗礼板的洗牌板。</v>
      </c>
    </row>
    <row r="11271">
      <c r="A11271" s="4" t="s">
        <v>14169</v>
      </c>
      <c r="B11271" s="6" t="s">
        <v>14172</v>
      </c>
      <c r="C11271" s="5" t="str">
        <f>IFERROR(__xludf.DUMMYFUNCTION("GOOGLETRANSLATE(B11271,""en"",""zh-CN"")"),"该男子将纸巾放在他的眼睛和眼镜下面，以吸收Shuffleboard游戏强度的汗水。")</f>
        <v>该男子将纸巾放在他的眼睛和眼镜下面，以吸收Shuffleboard游戏强度的汗水。</v>
      </c>
    </row>
    <row r="11272">
      <c r="A11272" s="4" t="s">
        <v>14169</v>
      </c>
      <c r="B11272" s="6" t="s">
        <v>14173</v>
      </c>
      <c r="C11272" s="5" t="str">
        <f>IFERROR(__xludf.DUMMYFUNCTION("GOOGLETRANSLATE(B11272,""en"",""zh-CN"")"),"该男子继续在一个房间里和几个旁观者一起打沙芬板，除了冰球外，所有冰球外的最终视觉镜头。")</f>
        <v>该男子继续在一个房间里和几个旁观者一起打沙芬板，除了冰球外，所有冰球外的最终视觉镜头。</v>
      </c>
    </row>
    <row r="11273">
      <c r="A11273" s="4" t="s">
        <v>14174</v>
      </c>
      <c r="B11273" s="4" t="s">
        <v>14175</v>
      </c>
      <c r="C11273" s="5" t="str">
        <f>IFERROR(__xludf.DUMMYFUNCTION("GOOGLETRANSLATE(B11273,""en"",""zh-CN"")"),"一个穿着水肺潜水装备的女人在水下。")</f>
        <v>一个穿着水肺潜水装备的女人在水下。</v>
      </c>
    </row>
    <row r="11274">
      <c r="A11274" s="4" t="s">
        <v>14174</v>
      </c>
      <c r="B11274" s="4" t="s">
        <v>14176</v>
      </c>
      <c r="C11274" s="5" t="str">
        <f>IFERROR(__xludf.DUMMYFUNCTION("GOOGLETRANSLATE(B11274,""en"",""zh-CN"")"),"她探索海底，看着一名男子在她身后游泳时看着鱼和野生动植物。")</f>
        <v>她探索海底，看着一名男子在她身后游泳时看着鱼和野生动植物。</v>
      </c>
    </row>
    <row r="11275">
      <c r="A11275" s="4" t="s">
        <v>14174</v>
      </c>
      <c r="B11275" s="4" t="s">
        <v>14177</v>
      </c>
      <c r="C11275" s="5" t="str">
        <f>IFERROR(__xludf.DUMMYFUNCTION("GOOGLETRANSLATE(B11275,""en"",""zh-CN"")"),"他们给使用相机的人提供了正常的信号。")</f>
        <v>他们给使用相机的人提供了正常的信号。</v>
      </c>
    </row>
    <row r="11276">
      <c r="A11276" s="4" t="s">
        <v>14178</v>
      </c>
      <c r="B11276" s="6" t="s">
        <v>14179</v>
      </c>
      <c r="C11276" s="5" t="str">
        <f>IFERROR(__xludf.DUMMYFUNCTION("GOOGLETRANSLATE(B11276,""en"",""zh-CN"")"),"一名运动女子被慢慢地跳过一根杆子，随后还有几名妇女尝试同样的跳跃。")</f>
        <v>一名运动女子被慢慢地跳过一根杆子，随后还有几名妇女尝试同样的跳跃。</v>
      </c>
    </row>
    <row r="11277">
      <c r="A11277" s="4" t="s">
        <v>14178</v>
      </c>
      <c r="B11277" s="6" t="s">
        <v>14180</v>
      </c>
      <c r="C11277" s="5" t="str">
        <f>IFERROR(__xludf.DUMMYFUNCTION("GOOGLETRANSLATE(B11277,""en"",""zh-CN"")"),"在相机以慢动作捕获它们的同时，还有几个女性跟随表演跳跃。")</f>
        <v>在相机以慢动作捕获它们的同时，还有几个女性跟随表演跳跃。</v>
      </c>
    </row>
    <row r="11278">
      <c r="A11278" s="4" t="s">
        <v>14181</v>
      </c>
      <c r="B11278" s="4" t="s">
        <v>14182</v>
      </c>
      <c r="C11278" s="5" t="str">
        <f>IFERROR(__xludf.DUMMYFUNCTION("GOOGLETRANSLATE(B11278,""en"",""zh-CN"")"),"在这场马拉松比赛中，人们慢慢地慢跑。")</f>
        <v>在这场马拉松比赛中，人们慢慢地慢跑。</v>
      </c>
    </row>
    <row r="11279">
      <c r="A11279" s="4" t="s">
        <v>14181</v>
      </c>
      <c r="B11279" s="6" t="s">
        <v>14183</v>
      </c>
      <c r="C11279" s="5" t="str">
        <f>IFERROR(__xludf.DUMMYFUNCTION("GOOGLETRANSLATE(B11279,""en"",""zh-CN"")"),"在整个过程中，只有一个人在他的手中杂耍白球。")</f>
        <v>在整个过程中，只有一个人在他的手中杂耍白球。</v>
      </c>
    </row>
    <row r="11280">
      <c r="A11280" s="4" t="s">
        <v>14181</v>
      </c>
      <c r="B11280" s="6" t="s">
        <v>14184</v>
      </c>
      <c r="C11280" s="5" t="str">
        <f>IFERROR(__xludf.DUMMYFUNCTION("GOOGLETRANSLATE(B11280,""en"",""zh-CN"")"),"最后，人数减少了，只有一个人奔跑，而那个杂耍球的人。")</f>
        <v>最后，人数减少了，只有一个人奔跑，而那个杂耍球的人。</v>
      </c>
    </row>
    <row r="11281">
      <c r="A11281" s="4" t="s">
        <v>14185</v>
      </c>
      <c r="B11281" s="4" t="s">
        <v>14186</v>
      </c>
      <c r="C11281" s="5" t="str">
        <f>IFERROR(__xludf.DUMMYFUNCTION("GOOGLETRANSLATE(B11281,""en"",""zh-CN"")"),"一个男人在外面试图从挡风玻璃上铲下雪。")</f>
        <v>一个男人在外面试图从挡风玻璃上铲下雪。</v>
      </c>
    </row>
    <row r="11282">
      <c r="A11282" s="4" t="s">
        <v>14185</v>
      </c>
      <c r="B11282" s="4" t="s">
        <v>14187</v>
      </c>
      <c r="C11282" s="5" t="str">
        <f>IFERROR(__xludf.DUMMYFUNCTION("GOOGLETRANSLATE(B11282,""en"",""zh-CN"")"),"然后，男人进入室内并开始说话。")</f>
        <v>然后，男人进入室内并开始说话。</v>
      </c>
    </row>
    <row r="11283">
      <c r="A11283" s="4" t="s">
        <v>14185</v>
      </c>
      <c r="B11283" s="4" t="s">
        <v>14188</v>
      </c>
      <c r="C11283" s="5" t="str">
        <f>IFERROR(__xludf.DUMMYFUNCTION("GOOGLETRANSLATE(B11283,""en"",""zh-CN"")"),"完成后，他从车库走到外面，测试了Icescreen的产品。")</f>
        <v>完成后，他从车库走到外面，测试了Icescreen的产品。</v>
      </c>
    </row>
    <row r="11284">
      <c r="A11284" s="4" t="s">
        <v>14189</v>
      </c>
      <c r="B11284" s="4" t="s">
        <v>14190</v>
      </c>
      <c r="C11284" s="5" t="str">
        <f>IFERROR(__xludf.DUMMYFUNCTION("GOOGLETRANSLATE(B11284,""en"",""zh-CN"")"),"人们正站在抬头看着天空中的风筝的田野上。")</f>
        <v>人们正站在抬头看着天空中的风筝的田野上。</v>
      </c>
    </row>
    <row r="11285">
      <c r="A11285" s="4" t="s">
        <v>14189</v>
      </c>
      <c r="B11285" s="4" t="s">
        <v>14191</v>
      </c>
      <c r="C11285" s="5" t="str">
        <f>IFERROR(__xludf.DUMMYFUNCTION("GOOGLETRANSLATE(B11285,""en"",""zh-CN"")"),"一棵树在天空中显示风筝。")</f>
        <v>一棵树在天空中显示风筝。</v>
      </c>
    </row>
    <row r="11286">
      <c r="A11286" s="4" t="s">
        <v>14189</v>
      </c>
      <c r="B11286" s="4" t="s">
        <v>14192</v>
      </c>
      <c r="C11286" s="5" t="str">
        <f>IFERROR(__xludf.DUMMYFUNCTION("GOOGLETRANSLATE(B11286,""en"",""zh-CN"")"),"一个男孩追逐风筝和捕捉。")</f>
        <v>一个男孩追逐风筝和捕捉。</v>
      </c>
    </row>
    <row r="11287">
      <c r="A11287" s="4" t="s">
        <v>14193</v>
      </c>
      <c r="B11287" s="4" t="s">
        <v>14194</v>
      </c>
      <c r="C11287" s="5" t="str">
        <f>IFERROR(__xludf.DUMMYFUNCTION("GOOGLETRANSLATE(B11287,""en"",""zh-CN"")"),"各种图片显示，人们将独木舟从卡车上拿出来，并将其装入水中。")</f>
        <v>各种图片显示，人们将独木舟从卡车上拿出来，并将其装入水中。</v>
      </c>
    </row>
    <row r="11288">
      <c r="A11288" s="4" t="s">
        <v>14193</v>
      </c>
      <c r="B11288" s="4" t="s">
        <v>14195</v>
      </c>
      <c r="C11288" s="5" t="str">
        <f>IFERROR(__xludf.DUMMYFUNCTION("GOOGLETRANSLATE(B11288,""en"",""zh-CN"")"),"然后看到人们钓鱼，并在几张照片中沿着河上骑行。")</f>
        <v>然后看到人们钓鱼，并在几张照片中沿着河上骑行。</v>
      </c>
    </row>
    <row r="11289">
      <c r="A11289" s="4" t="s">
        <v>14196</v>
      </c>
      <c r="B11289" s="4" t="s">
        <v>14197</v>
      </c>
      <c r="C11289" s="5" t="str">
        <f>IFERROR(__xludf.DUMMYFUNCTION("GOOGLETRANSLATE(B11289,""en"",""zh-CN"")"),"赤脚男子将球送给球，但错过了。")</f>
        <v>赤脚男子将球送给球，但错过了。</v>
      </c>
    </row>
    <row r="11290">
      <c r="A11290" s="4" t="s">
        <v>14196</v>
      </c>
      <c r="B11290" s="4" t="s">
        <v>14198</v>
      </c>
      <c r="C11290" s="5" t="str">
        <f>IFERROR(__xludf.DUMMYFUNCTION("GOOGLETRANSLATE(B11290,""en"",""zh-CN"")"),"该名男子拿到球并撞到墙壁，但它弹跳得如此之低，以至于该男子无法击中它。")</f>
        <v>该名男子拿到球并撞到墙壁，但它弹跳得如此之低，以至于该男子无法击中它。</v>
      </c>
    </row>
    <row r="11291">
      <c r="A11291" s="4" t="s">
        <v>14196</v>
      </c>
      <c r="B11291" s="6" t="s">
        <v>14199</v>
      </c>
      <c r="C11291" s="5" t="str">
        <f>IFERROR(__xludf.DUMMYFUNCTION("GOOGLETRANSLATE(B11291,""en"",""zh-CN"")"),"那个男人追逐球击中并击中，然后一个光着膀子的男人走到他身边，教他如何服用球。")</f>
        <v>那个男人追逐球击中并击中，然后一个光着膀子的男人走到他身边，教他如何服用球。</v>
      </c>
    </row>
    <row r="11292">
      <c r="A11292" s="4" t="s">
        <v>14200</v>
      </c>
      <c r="B11292" s="4" t="s">
        <v>14201</v>
      </c>
      <c r="C11292" s="5" t="str">
        <f>IFERROR(__xludf.DUMMYFUNCTION("GOOGLETRANSLATE(B11292,""en"",""zh-CN"")"),"一个女人在镜头上微笑。")</f>
        <v>一个女人在镜头上微笑。</v>
      </c>
    </row>
    <row r="11293">
      <c r="A11293" s="4" t="s">
        <v>14200</v>
      </c>
      <c r="B11293" s="4" t="s">
        <v>14202</v>
      </c>
      <c r="C11293" s="5" t="str">
        <f>IFERROR(__xludf.DUMMYFUNCTION("GOOGLETRANSLATE(B11293,""en"",""zh-CN"")"),"女人拿起铁，开始用小圆形图案熨烫一件白衬衫。")</f>
        <v>女人拿起铁，开始用小圆形图案熨烫一件白衬衫。</v>
      </c>
    </row>
    <row r="11294">
      <c r="A11294" s="4" t="s">
        <v>14200</v>
      </c>
      <c r="B11294" s="4" t="s">
        <v>14203</v>
      </c>
      <c r="C11294" s="5" t="str">
        <f>IFERROR(__xludf.DUMMYFUNCTION("GOOGLETRANSLATE(B11294,""en"",""zh-CN"")"),"女人用双手推了铁。")</f>
        <v>女人用双手推了铁。</v>
      </c>
    </row>
    <row r="11295">
      <c r="A11295" s="4" t="s">
        <v>14200</v>
      </c>
      <c r="B11295" s="4" t="s">
        <v>14204</v>
      </c>
      <c r="C11295" s="5" t="str">
        <f>IFERROR(__xludf.DUMMYFUNCTION("GOOGLETRANSLATE(B11295,""en"",""zh-CN"")"),"她在同一位置恢复熨烫。")</f>
        <v>她在同一位置恢复熨烫。</v>
      </c>
    </row>
    <row r="11296">
      <c r="A11296" s="4" t="s">
        <v>14200</v>
      </c>
      <c r="B11296" s="4" t="s">
        <v>14205</v>
      </c>
      <c r="C11296" s="5" t="str">
        <f>IFERROR(__xludf.DUMMYFUNCTION("GOOGLETRANSLATE(B11296,""en"",""zh-CN"")"),"女人检查衬衫上的星星。")</f>
        <v>女人检查衬衫上的星星。</v>
      </c>
    </row>
    <row r="11297">
      <c r="A11297" s="4" t="s">
        <v>14200</v>
      </c>
      <c r="B11297" s="4" t="s">
        <v>14206</v>
      </c>
      <c r="C11297" s="5" t="str">
        <f>IFERROR(__xludf.DUMMYFUNCTION("GOOGLETRANSLATE(B11297,""en"",""zh-CN"")"),"然后，女人继续熨烫图案。")</f>
        <v>然后，女人继续熨烫图案。</v>
      </c>
    </row>
    <row r="11298">
      <c r="A11298" s="4" t="s">
        <v>14200</v>
      </c>
      <c r="B11298" s="4" t="s">
        <v>14207</v>
      </c>
      <c r="C11298" s="5" t="str">
        <f>IFERROR(__xludf.DUMMYFUNCTION("GOOGLETRANSLATE(B11298,""en"",""zh-CN"")"),"女人将纸张从图案上剥离，然后恢复熨烫。")</f>
        <v>女人将纸张从图案上剥离，然后恢复熨烫。</v>
      </c>
    </row>
    <row r="11299">
      <c r="A11299" s="4" t="s">
        <v>14200</v>
      </c>
      <c r="B11299" s="4" t="s">
        <v>14208</v>
      </c>
      <c r="C11299" s="5" t="str">
        <f>IFERROR(__xludf.DUMMYFUNCTION("GOOGLETRANSLATE(B11299,""en"",""zh-CN"")"),"她完成后，女人抬起衬衫。")</f>
        <v>她完成后，女人抬起衬衫。</v>
      </c>
    </row>
    <row r="11300">
      <c r="A11300" s="4" t="s">
        <v>14209</v>
      </c>
      <c r="B11300" s="4" t="s">
        <v>14210</v>
      </c>
      <c r="C11300" s="5" t="str">
        <f>IFERROR(__xludf.DUMMYFUNCTION("GOOGLETRANSLATE(B11300,""en"",""zh-CN"")"),"一个男孩在拿着长曲棍球棍子并将球击中网时与相机说话。")</f>
        <v>一个男孩在拿着长曲棍球棍子并将球击中网时与相机说话。</v>
      </c>
    </row>
    <row r="11301">
      <c r="A11301" s="4" t="s">
        <v>14209</v>
      </c>
      <c r="B11301" s="4" t="s">
        <v>14211</v>
      </c>
      <c r="C11301" s="5" t="str">
        <f>IFERROR(__xludf.DUMMYFUNCTION("GOOGLETRANSLATE(B11301,""en"",""zh-CN"")"),"男孩一遍又一遍地将几个球直接击中到网中。")</f>
        <v>男孩一遍又一遍地将几个球直接击中到网中。</v>
      </c>
    </row>
    <row r="11302">
      <c r="A11302" s="4" t="s">
        <v>14212</v>
      </c>
      <c r="B11302" s="4" t="s">
        <v>14213</v>
      </c>
      <c r="C11302" s="5" t="str">
        <f>IFERROR(__xludf.DUMMYFUNCTION("GOOGLETRANSLATE(B11302,""en"",""zh-CN"")"),"一个男人坐在沙发上，用瓶子喝啤酒。")</f>
        <v>一个男人坐在沙发上，用瓶子喝啤酒。</v>
      </c>
    </row>
    <row r="11303">
      <c r="A11303" s="4" t="s">
        <v>14212</v>
      </c>
      <c r="B11303" s="4" t="s">
        <v>14214</v>
      </c>
      <c r="C11303" s="5" t="str">
        <f>IFERROR(__xludf.DUMMYFUNCTION("GOOGLETRANSLATE(B11303,""en"",""zh-CN"")"),"他把瓶子从嘴里掉下来，微笑着。")</f>
        <v>他把瓶子从嘴里掉下来，微笑着。</v>
      </c>
    </row>
    <row r="11304">
      <c r="A11304" s="4" t="s">
        <v>14215</v>
      </c>
      <c r="B11304" s="4" t="s">
        <v>14216</v>
      </c>
      <c r="C11304" s="5" t="str">
        <f>IFERROR(__xludf.DUMMYFUNCTION("GOOGLETRANSLATE(B11304,""en"",""zh-CN"")"),"人们站在圈子里。")</f>
        <v>人们站在圈子里。</v>
      </c>
    </row>
    <row r="11305">
      <c r="A11305" s="4" t="s">
        <v>14215</v>
      </c>
      <c r="B11305" s="4" t="s">
        <v>14217</v>
      </c>
      <c r="C11305" s="5" t="str">
        <f>IFERROR(__xludf.DUMMYFUNCTION("GOOGLETRANSLATE(B11305,""en"",""zh-CN"")"),"两个人开始在圈子里战斗。")</f>
        <v>两个人开始在圈子里战斗。</v>
      </c>
    </row>
    <row r="11306">
      <c r="A11306" s="4" t="s">
        <v>14215</v>
      </c>
      <c r="B11306" s="4" t="s">
        <v>14218</v>
      </c>
      <c r="C11306" s="5" t="str">
        <f>IFERROR(__xludf.DUMMYFUNCTION("GOOGLETRANSLATE(B11306,""en"",""zh-CN"")"),"一个男人在草地上翻转。")</f>
        <v>一个男人在草地上翻转。</v>
      </c>
    </row>
    <row r="11307">
      <c r="A11307" s="4" t="s">
        <v>14215</v>
      </c>
      <c r="B11307" s="4" t="s">
        <v>14219</v>
      </c>
      <c r="C11307" s="5" t="str">
        <f>IFERROR(__xludf.DUMMYFUNCTION("GOOGLETRANSLATE(B11307,""en"",""zh-CN"")"),"他们继续在圆圈内飞行。")</f>
        <v>他们继续在圆圈内飞行。</v>
      </c>
    </row>
    <row r="11308">
      <c r="A11308" s="4" t="s">
        <v>14215</v>
      </c>
      <c r="B11308" s="4" t="s">
        <v>14220</v>
      </c>
      <c r="C11308" s="5" t="str">
        <f>IFERROR(__xludf.DUMMYFUNCTION("GOOGLETRANSLATE(B11308,""en"",""zh-CN"")"),"一个男人站在外面说话在街道前。")</f>
        <v>一个男人站在外面说话在街道前。</v>
      </c>
    </row>
    <row r="11309">
      <c r="A11309" s="4" t="s">
        <v>14215</v>
      </c>
      <c r="B11309" s="4" t="s">
        <v>14221</v>
      </c>
      <c r="C11309" s="5" t="str">
        <f>IFERROR(__xludf.DUMMYFUNCTION("GOOGLETRANSLATE(B11309,""en"",""zh-CN"")"),"一个男人在草地上进行了几次反转。")</f>
        <v>一个男人在草地上进行了几次反转。</v>
      </c>
    </row>
    <row r="11310">
      <c r="A11310" s="4" t="s">
        <v>14222</v>
      </c>
      <c r="B11310" s="4" t="s">
        <v>14223</v>
      </c>
      <c r="C11310" s="5" t="str">
        <f>IFERROR(__xludf.DUMMYFUNCTION("GOOGLETRANSLATE(B11310,""en"",""zh-CN"")"),"一个女人站在相机上说话，她面前有一只狗。")</f>
        <v>一个女人站在相机上说话，她面前有一只狗。</v>
      </c>
    </row>
    <row r="11311">
      <c r="A11311" s="4" t="s">
        <v>14222</v>
      </c>
      <c r="B11311" s="4" t="s">
        <v>14224</v>
      </c>
      <c r="C11311" s="5" t="str">
        <f>IFERROR(__xludf.DUMMYFUNCTION("GOOGLETRANSLATE(B11311,""en"",""zh-CN"")"),"女人说话时握住狗的前腿。")</f>
        <v>女人说话时握住狗的前腿。</v>
      </c>
    </row>
    <row r="11312">
      <c r="A11312" s="4" t="s">
        <v>14222</v>
      </c>
      <c r="B11312" s="4" t="s">
        <v>14225</v>
      </c>
      <c r="C11312" s="5" t="str">
        <f>IFERROR(__xludf.DUMMYFUNCTION("GOOGLETRANSLATE(B11312,""en"",""zh-CN"")"),"女人用蓝色刷子刷狗。")</f>
        <v>女人用蓝色刷子刷狗。</v>
      </c>
    </row>
    <row r="11313">
      <c r="A11313" s="4" t="s">
        <v>14226</v>
      </c>
      <c r="B11313" s="4" t="s">
        <v>14227</v>
      </c>
      <c r="C11313" s="5" t="str">
        <f>IFERROR(__xludf.DUMMYFUNCTION("GOOGLETRANSLATE(B11313,""en"",""zh-CN"")"),"出现用于总理包装的广告。")</f>
        <v>出现用于总理包装的广告。</v>
      </c>
    </row>
    <row r="11314">
      <c r="A11314" s="4" t="s">
        <v>14226</v>
      </c>
      <c r="B11314" s="4" t="s">
        <v>14228</v>
      </c>
      <c r="C11314" s="5" t="str">
        <f>IFERROR(__xludf.DUMMYFUNCTION("GOOGLETRANSLATE(B11314,""en"",""zh-CN"")"),"一个女人站在一个装满小礼物的篮子前的办公室里。")</f>
        <v>一个女人站在一个装满小礼物的篮子前的办公室里。</v>
      </c>
    </row>
    <row r="11315">
      <c r="A11315" s="4" t="s">
        <v>14226</v>
      </c>
      <c r="B11315" s="6" t="s">
        <v>14229</v>
      </c>
      <c r="C11315" s="5" t="str">
        <f>IFERROR(__xludf.DUMMYFUNCTION("GOOGLETRANSLATE(B11315,""en"",""zh-CN"")"),"她展示了她如何使用玻璃纸和吹风机来缩小礼物，并保持安全可爱。")</f>
        <v>她展示了她如何使用玻璃纸和吹风机来缩小礼物，并保持安全可爱。</v>
      </c>
    </row>
    <row r="11316">
      <c r="A11316" s="4" t="s">
        <v>14230</v>
      </c>
      <c r="B11316" s="4" t="s">
        <v>14231</v>
      </c>
      <c r="C11316" s="5" t="str">
        <f>IFERROR(__xludf.DUMMYFUNCTION("GOOGLETRANSLATE(B11316,""en"",""zh-CN"")"),"一个人穿过波涛汹涌的水穿过船后的唤醒板。")</f>
        <v>一个人穿过波涛汹涌的水穿过船后的唤醒板。</v>
      </c>
    </row>
    <row r="11317">
      <c r="A11317" s="4" t="s">
        <v>14230</v>
      </c>
      <c r="B11317" s="4" t="s">
        <v>14232</v>
      </c>
      <c r="C11317" s="5" t="str">
        <f>IFERROR(__xludf.DUMMYFUNCTION("GOOGLETRANSLATE(B11317,""en"",""zh-CN"")"),"唤醒寄宿生跳过船的唤醒，然后翻转。")</f>
        <v>唤醒寄宿生跳过船的唤醒，然后翻转。</v>
      </c>
    </row>
    <row r="11318">
      <c r="A11318" s="4" t="s">
        <v>14230</v>
      </c>
      <c r="B11318" s="4" t="s">
        <v>14233</v>
      </c>
      <c r="C11318" s="5" t="str">
        <f>IFERROR(__xludf.DUMMYFUNCTION("GOOGLETRANSLATE(B11318,""en"",""zh-CN"")"),"唤醒寄宿生最终跳入水中。")</f>
        <v>唤醒寄宿生最终跳入水中。</v>
      </c>
    </row>
    <row r="11319">
      <c r="A11319" s="4" t="s">
        <v>14234</v>
      </c>
      <c r="B11319" s="4" t="s">
        <v>14235</v>
      </c>
      <c r="C11319" s="5" t="str">
        <f>IFERROR(__xludf.DUMMYFUNCTION("GOOGLETRANSLATE(B11319,""en"",""zh-CN"")"),"可以看到壁炉的近距离，相机在前面移动。")</f>
        <v>可以看到壁炉的近距离，相机在前面移动。</v>
      </c>
    </row>
    <row r="11320">
      <c r="A11320" s="4" t="s">
        <v>14234</v>
      </c>
      <c r="B11320" s="4" t="s">
        <v>14236</v>
      </c>
      <c r="C11320" s="5" t="str">
        <f>IFERROR(__xludf.DUMMYFUNCTION("GOOGLETRANSLATE(B11320,""en"",""zh-CN"")"),"相机放大了坑，显示一个男人跪在前面。")</f>
        <v>相机放大了坑，显示一个男人跪在前面。</v>
      </c>
    </row>
    <row r="11321">
      <c r="A11321" s="4" t="s">
        <v>14234</v>
      </c>
      <c r="B11321" s="4" t="s">
        <v>14237</v>
      </c>
      <c r="C11321" s="5" t="str">
        <f>IFERROR(__xludf.DUMMYFUNCTION("GOOGLETRANSLATE(B11321,""en"",""zh-CN"")"),"该男子将石膏放在前面，然后开始将平铺放在石膏上。")</f>
        <v>该男子将石膏放在前面，然后开始将平铺放在石膏上。</v>
      </c>
    </row>
    <row r="11322">
      <c r="A11322" s="4" t="s">
        <v>14238</v>
      </c>
      <c r="B11322" s="6" t="s">
        <v>14239</v>
      </c>
      <c r="C11322" s="5" t="str">
        <f>IFERROR(__xludf.DUMMYFUNCTION("GOOGLETRANSLATE(B11322,""en"",""zh-CN"")"),"视频盘中的几个人表演了手臂摔跤比赛，然后尖叫。")</f>
        <v>视频盘中的几个人表演了手臂摔跤比赛，然后尖叫。</v>
      </c>
    </row>
    <row r="11323">
      <c r="A11323" s="4" t="s">
        <v>14238</v>
      </c>
      <c r="B11323" s="6" t="s">
        <v>14240</v>
      </c>
      <c r="C11323" s="5" t="str">
        <f>IFERROR(__xludf.DUMMYFUNCTION("GOOGLETRANSLATE(B11323,""en"",""zh-CN"")"),"看到许多人在表演之后互相玩耍，并向人群尖叫。")</f>
        <v>看到许多人在表演之后互相玩耍，并向人群尖叫。</v>
      </c>
    </row>
    <row r="11324">
      <c r="A11324" s="4" t="s">
        <v>14241</v>
      </c>
      <c r="B11324" s="4" t="s">
        <v>14242</v>
      </c>
      <c r="C11324" s="5" t="str">
        <f>IFERROR(__xludf.DUMMYFUNCTION("GOOGLETRANSLATE(B11324,""en"",""zh-CN"")"),"一个男人和一个女人坐在桌子后面。")</f>
        <v>一个男人和一个女人坐在桌子后面。</v>
      </c>
    </row>
    <row r="11325">
      <c r="A11325" s="4" t="s">
        <v>14241</v>
      </c>
      <c r="B11325" s="4" t="s">
        <v>14243</v>
      </c>
      <c r="C11325" s="5" t="str">
        <f>IFERROR(__xludf.DUMMYFUNCTION("GOOGLETRANSLATE(B11325,""en"",""zh-CN"")"),"球员在泥土上踢足球。")</f>
        <v>球员在泥土上踢足球。</v>
      </c>
    </row>
    <row r="11326">
      <c r="A11326" s="4" t="s">
        <v>14241</v>
      </c>
      <c r="B11326" s="4" t="s">
        <v>14244</v>
      </c>
      <c r="C11326" s="5" t="str">
        <f>IFERROR(__xludf.DUMMYFUNCTION("GOOGLETRANSLATE(B11326,""en"",""zh-CN"")"),"球迷和球员欢呼或庆祝。")</f>
        <v>球迷和球员欢呼或庆祝。</v>
      </c>
    </row>
    <row r="11327">
      <c r="A11327" s="4" t="s">
        <v>14245</v>
      </c>
      <c r="B11327" s="4" t="s">
        <v>14246</v>
      </c>
      <c r="C11327" s="5" t="str">
        <f>IFERROR(__xludf.DUMMYFUNCTION("GOOGLETRANSLATE(B11327,""en"",""zh-CN"")"),"看到一个人向前走，上下跳跃，在游泳池里潜水。")</f>
        <v>看到一个人向前走，上下跳跃，在游泳池里潜水。</v>
      </c>
    </row>
    <row r="11328">
      <c r="A11328" s="4" t="s">
        <v>14245</v>
      </c>
      <c r="B11328" s="6" t="s">
        <v>14247</v>
      </c>
      <c r="C11328" s="5" t="str">
        <f>IFERROR(__xludf.DUMMYFUNCTION("GOOGLETRANSLATE(B11328,""en"",""zh-CN"")"),"在相机从几个角度捕捉到他的同时，同一个人又显示了几次在高板上进行各种潜水。")</f>
        <v>在相机从几个角度捕捉到他的同时，同一个人又显示了几次在高板上进行各种潜水。</v>
      </c>
    </row>
    <row r="11329">
      <c r="A11329" s="4" t="s">
        <v>14248</v>
      </c>
      <c r="B11329" s="4" t="s">
        <v>14249</v>
      </c>
      <c r="C11329" s="5" t="str">
        <f>IFERROR(__xludf.DUMMYFUNCTION("GOOGLETRANSLATE(B11329,""en"",""zh-CN"")"),"视频教程与一个女人在背景中谈论如何刷牙。")</f>
        <v>视频教程与一个女人在背景中谈论如何刷牙。</v>
      </c>
    </row>
    <row r="11330">
      <c r="A11330" s="4" t="s">
        <v>14248</v>
      </c>
      <c r="B11330" s="4" t="s">
        <v>14250</v>
      </c>
      <c r="C11330" s="5" t="str">
        <f>IFERROR(__xludf.DUMMYFUNCTION("GOOGLETRANSLATE(B11330,""en"",""zh-CN"")"),"她列出了您需要的工具和刷牙步骤。")</f>
        <v>她列出了您需要的工具和刷牙步骤。</v>
      </c>
    </row>
    <row r="11331">
      <c r="A11331" s="4" t="s">
        <v>14248</v>
      </c>
      <c r="B11331" s="4" t="s">
        <v>14251</v>
      </c>
      <c r="C11331" s="5" t="str">
        <f>IFERROR(__xludf.DUMMYFUNCTION("GOOGLETRANSLATE(B11331,""en"",""zh-CN"")"),"一个人打开瓶子，然后戴上牙膏。")</f>
        <v>一个人打开瓶子，然后戴上牙膏。</v>
      </c>
    </row>
    <row r="11332">
      <c r="A11332" s="4" t="s">
        <v>14248</v>
      </c>
      <c r="B11332" s="4" t="s">
        <v>14252</v>
      </c>
      <c r="C11332" s="5" t="str">
        <f>IFERROR(__xludf.DUMMYFUNCTION("GOOGLETRANSLATE(B11332,""en"",""zh-CN"")"),"他开始按照该女子的指示刷牙。")</f>
        <v>他开始按照该女子的指示刷牙。</v>
      </c>
    </row>
    <row r="11333">
      <c r="A11333" s="4" t="s">
        <v>14248</v>
      </c>
      <c r="B11333" s="4" t="s">
        <v>14253</v>
      </c>
      <c r="C11333" s="5" t="str">
        <f>IFERROR(__xludf.DUMMYFUNCTION("GOOGLETRANSLATE(B11333,""en"",""zh-CN"")"),"男人用水冲洗嘴，用女人的声音微笑。")</f>
        <v>男人用水冲洗嘴，用女人的声音微笑。</v>
      </c>
    </row>
    <row r="11334">
      <c r="A11334" s="4" t="s">
        <v>14254</v>
      </c>
      <c r="B11334" s="4" t="s">
        <v>14255</v>
      </c>
      <c r="C11334" s="5" t="str">
        <f>IFERROR(__xludf.DUMMYFUNCTION("GOOGLETRANSLATE(B11334,""en"",""zh-CN"")"),"一个男人在蓝色的房间里说话，然后喷洒玩具车，假装洗净。")</f>
        <v>一个男人在蓝色的房间里说话，然后喷洒玩具车，假装洗净。</v>
      </c>
    </row>
    <row r="11335">
      <c r="A11335" s="4" t="s">
        <v>14254</v>
      </c>
      <c r="B11335" s="4" t="s">
        <v>14256</v>
      </c>
      <c r="C11335" s="5" t="str">
        <f>IFERROR(__xludf.DUMMYFUNCTION("GOOGLETRANSLATE(B11335,""en"",""zh-CN"")"),"我们看到一个标题屏幕，穿着西装的人是个玩笑。")</f>
        <v>我们看到一个标题屏幕，穿着西装的人是个玩笑。</v>
      </c>
    </row>
    <row r="11336">
      <c r="A11336" s="4" t="s">
        <v>14254</v>
      </c>
      <c r="B11336" s="4" t="s">
        <v>14257</v>
      </c>
      <c r="C11336" s="5" t="str">
        <f>IFERROR(__xludf.DUMMYFUNCTION("GOOGLETRANSLATE(B11336,""en"",""zh-CN"")"),"一个男人和一个带有高功率软管的小男孩洗车，然后是啦啦队。")</f>
        <v>一个男人和一个带有高功率软管的小男孩洗车，然后是啦啦队。</v>
      </c>
    </row>
    <row r="11337">
      <c r="A11337" s="4" t="s">
        <v>14254</v>
      </c>
      <c r="B11337" s="4" t="s">
        <v>14258</v>
      </c>
      <c r="C11337" s="5" t="str">
        <f>IFERROR(__xludf.DUMMYFUNCTION("GOOGLETRANSLATE(B11337,""en"",""zh-CN"")"),"我们看到一辆黑色面包车，有人出去，一个戴着顶礼帽的男人触摸汽车。")</f>
        <v>我们看到一辆黑色面包车，有人出去，一个戴着顶礼帽的男人触摸汽车。</v>
      </c>
    </row>
    <row r="11338">
      <c r="A11338" s="4" t="s">
        <v>14254</v>
      </c>
      <c r="B11338" s="4" t="s">
        <v>14259</v>
      </c>
      <c r="C11338" s="5" t="str">
        <f>IFERROR(__xludf.DUMMYFUNCTION("GOOGLETRANSLATE(B11338,""en"",""zh-CN"")"),"人们驶上黑色面包车，开车驶离ADN TEH车主站在街上。")</f>
        <v>人们驶上黑色面包车，开车驶离ADN TEH车主站在街上。</v>
      </c>
    </row>
    <row r="11339">
      <c r="A11339" s="4" t="s">
        <v>14254</v>
      </c>
      <c r="B11339" s="4" t="s">
        <v>14260</v>
      </c>
      <c r="C11339" s="5" t="str">
        <f>IFERROR(__xludf.DUMMYFUNCTION("GOOGLETRANSLATE(B11339,""en"",""zh-CN"")"),"然后，我们看到结束场景。")</f>
        <v>然后，我们看到结束场景。</v>
      </c>
    </row>
    <row r="11340">
      <c r="A11340" s="4" t="s">
        <v>14261</v>
      </c>
      <c r="B11340" s="4" t="s">
        <v>14262</v>
      </c>
      <c r="C11340" s="5" t="str">
        <f>IFERROR(__xludf.DUMMYFUNCTION("GOOGLETRANSLATE(B11340,""en"",""zh-CN"")"),"一个人正在抽烟并吹烟环。")</f>
        <v>一个人正在抽烟并吹烟环。</v>
      </c>
    </row>
    <row r="11341">
      <c r="A11341" s="4" t="s">
        <v>14261</v>
      </c>
      <c r="B11341" s="4" t="s">
        <v>14263</v>
      </c>
      <c r="C11341" s="5" t="str">
        <f>IFERROR(__xludf.DUMMYFUNCTION("GOOGLETRANSLATE(B11341,""en"",""zh-CN"")"),"该男子使用亵渎并将相机翻转。")</f>
        <v>该男子使用亵渎并将相机翻转。</v>
      </c>
    </row>
    <row r="11342">
      <c r="A11342" s="4" t="s">
        <v>14261</v>
      </c>
      <c r="B11342" s="4" t="s">
        <v>14264</v>
      </c>
      <c r="C11342" s="5" t="str">
        <f>IFERROR(__xludf.DUMMYFUNCTION("GOOGLETRANSLATE(B11342,""en"",""zh-CN"")"),"另一个男人站着看着他。")</f>
        <v>另一个男人站着看着他。</v>
      </c>
    </row>
    <row r="11343">
      <c r="A11343" s="4" t="s">
        <v>14265</v>
      </c>
      <c r="B11343" s="4" t="s">
        <v>14266</v>
      </c>
      <c r="C11343" s="5" t="str">
        <f>IFERROR(__xludf.DUMMYFUNCTION("GOOGLETRANSLATE(B11343,""en"",""zh-CN"")"),"看到一个人走进黑暗的房间里的框架，沿着一长串楼梯走。")</f>
        <v>看到一个人走进黑暗的房间里的框架，沿着一长串楼梯走。</v>
      </c>
    </row>
    <row r="11344">
      <c r="A11344" s="4" t="s">
        <v>14265</v>
      </c>
      <c r="B11344" s="4" t="s">
        <v>14267</v>
      </c>
      <c r="C11344" s="5" t="str">
        <f>IFERROR(__xludf.DUMMYFUNCTION("GOOGLETRANSLATE(B11344,""en"",""zh-CN"")"),"在拐角处看到一个男人在锻炼设备上向后移动和第四。")</f>
        <v>在拐角处看到一个男人在锻炼设备上向后移动和第四。</v>
      </c>
    </row>
    <row r="11345">
      <c r="A11345" s="4" t="s">
        <v>14265</v>
      </c>
      <c r="B11345" s="4" t="s">
        <v>14268</v>
      </c>
      <c r="C11345" s="5" t="str">
        <f>IFERROR(__xludf.DUMMYFUNCTION("GOOGLETRANSLATE(B11345,""en"",""zh-CN"")"),"然后，一个女人继续划船并展示机器的特写，然后与男人说话。")</f>
        <v>然后，一个女人继续划船并展示机器的特写，然后与男人说话。</v>
      </c>
    </row>
    <row r="11346">
      <c r="A11346" s="4" t="s">
        <v>14269</v>
      </c>
      <c r="B11346" s="4" t="s">
        <v>14270</v>
      </c>
      <c r="C11346" s="5" t="str">
        <f>IFERROR(__xludf.DUMMYFUNCTION("GOOGLETRANSLATE(B11346,""en"",""zh-CN"")"),"一个男人带着拖把和水桶走去。")</f>
        <v>一个男人带着拖把和水桶走去。</v>
      </c>
    </row>
    <row r="11347">
      <c r="A11347" s="4" t="s">
        <v>14269</v>
      </c>
      <c r="B11347" s="4" t="s">
        <v>14271</v>
      </c>
      <c r="C11347" s="5" t="str">
        <f>IFERROR(__xludf.DUMMYFUNCTION("GOOGLETRANSLATE(B11347,""en"",""zh-CN"")"),"他把它们从水桶中拿出来，开始擦地板。")</f>
        <v>他把它们从水桶中拿出来，开始擦地板。</v>
      </c>
    </row>
    <row r="11348">
      <c r="A11348" s="4" t="s">
        <v>14269</v>
      </c>
      <c r="B11348" s="4" t="s">
        <v>14272</v>
      </c>
      <c r="C11348" s="5" t="str">
        <f>IFERROR(__xludf.DUMMYFUNCTION("GOOGLETRANSLATE(B11348,""en"",""zh-CN"")"),"片刻之后，她开始假装自己正在和拖把跳舞。")</f>
        <v>片刻之后，她开始假装自己正在和拖把跳舞。</v>
      </c>
    </row>
    <row r="11349">
      <c r="A11349" s="4" t="s">
        <v>14273</v>
      </c>
      <c r="B11349" s="4" t="s">
        <v>14274</v>
      </c>
      <c r="C11349" s="5" t="str">
        <f>IFERROR(__xludf.DUMMYFUNCTION("GOOGLETRANSLATE(B11349,""en"",""zh-CN"")"),"一个穿着蓝色衬衫的男人正在球场上打篮球。")</f>
        <v>一个穿着蓝色衬衫的男人正在球场上打篮球。</v>
      </c>
    </row>
    <row r="11350">
      <c r="A11350" s="4" t="s">
        <v>14273</v>
      </c>
      <c r="B11350" s="4" t="s">
        <v>14275</v>
      </c>
      <c r="C11350" s="5" t="str">
        <f>IFERROR(__xludf.DUMMYFUNCTION("GOOGLETRANSLATE(B11350,""en"",""zh-CN"")"),"他向箍射击并错过了它。")</f>
        <v>他向箍射击并错过了它。</v>
      </c>
    </row>
    <row r="11351">
      <c r="A11351" s="4" t="s">
        <v>14273</v>
      </c>
      <c r="B11351" s="4" t="s">
        <v>14276</v>
      </c>
      <c r="C11351" s="5" t="str">
        <f>IFERROR(__xludf.DUMMYFUNCTION("GOOGLETRANSLATE(B11351,""en"",""zh-CN"")"),"穿着白衬衫的人在网球场上站在他们身后。")</f>
        <v>穿着白衬衫的人在网球场上站在他们身后。</v>
      </c>
    </row>
    <row r="11352">
      <c r="A11352" s="4" t="s">
        <v>14277</v>
      </c>
      <c r="B11352" s="4" t="s">
        <v>14278</v>
      </c>
      <c r="C11352" s="5" t="str">
        <f>IFERROR(__xludf.DUMMYFUNCTION("GOOGLETRANSLATE(B11352,""en"",""zh-CN"")"),"一个小男孩试图在车库里的生日聚会上打开Pinata。")</f>
        <v>一个小男孩试图在车库里的生日聚会上打开Pinata。</v>
      </c>
    </row>
    <row r="11353">
      <c r="A11353" s="4" t="s">
        <v>14277</v>
      </c>
      <c r="B11353" s="4" t="s">
        <v>14279</v>
      </c>
      <c r="C11353" s="5" t="str">
        <f>IFERROR(__xludf.DUMMYFUNCTION("GOOGLETRANSLATE(B11353,""en"",""zh-CN"")"),"另一个男孩几乎走进了男孩的棍子范围，但被一个成年人救了。")</f>
        <v>另一个男孩几乎走进了男孩的棍子范围，但被一个成年人救了。</v>
      </c>
    </row>
    <row r="11354">
      <c r="A11354" s="4" t="s">
        <v>14277</v>
      </c>
      <c r="B11354" s="4" t="s">
        <v>14280</v>
      </c>
      <c r="C11354" s="5" t="str">
        <f>IFERROR(__xludf.DUMMYFUNCTION("GOOGLETRANSLATE(B11354,""en"",""zh-CN"")"),"这个男孩继续猛击皮纳塔，然后休息一下，将棍棒交给另一个男孩。")</f>
        <v>这个男孩继续猛击皮纳塔，然后休息一下，将棍棒交给另一个男孩。</v>
      </c>
    </row>
    <row r="11355">
      <c r="A11355" s="4" t="s">
        <v>14281</v>
      </c>
      <c r="B11355" s="4" t="s">
        <v>14282</v>
      </c>
      <c r="C11355" s="5" t="str">
        <f>IFERROR(__xludf.DUMMYFUNCTION("GOOGLETRANSLATE(B11355,""en"",""zh-CN"")"),"一个黑发的女人正坐在一个泡泡浴中，一条腿用粉红色的剃须刀剃光它。")</f>
        <v>一个黑发的女人正坐在一个泡泡浴中，一条腿用粉红色的剃须刀剃光它。</v>
      </c>
    </row>
    <row r="11356">
      <c r="A11356" s="4" t="s">
        <v>14281</v>
      </c>
      <c r="B11356" s="4" t="s">
        <v>14283</v>
      </c>
      <c r="C11356" s="5" t="str">
        <f>IFERROR(__xludf.DUMMYFUNCTION("GOOGLETRANSLATE(B11356,""en"",""zh-CN"")"),"女人上了剃须刀的一句话，然后再次开始。")</f>
        <v>女人上了剃须刀的一句话，然后再次开始。</v>
      </c>
    </row>
    <row r="11357">
      <c r="A11357" s="4" t="s">
        <v>14281</v>
      </c>
      <c r="B11357" s="4" t="s">
        <v>14284</v>
      </c>
      <c r="C11357" s="5" t="str">
        <f>IFERROR(__xludf.DUMMYFUNCTION("GOOGLETRANSLATE(B11357,""en"",""zh-CN"")"),"她重复了这个过程，剃了腿，然后在腿上重新开始几次。")</f>
        <v>她重复了这个过程，剃了腿，然后在腿上重新开始几次。</v>
      </c>
    </row>
    <row r="11358">
      <c r="A11358" s="4" t="s">
        <v>14285</v>
      </c>
      <c r="B11358" s="4" t="s">
        <v>14286</v>
      </c>
      <c r="C11358" s="5" t="str">
        <f>IFERROR(__xludf.DUMMYFUNCTION("GOOGLETRANSLATE(B11358,""en"",""zh-CN"")"),"在蓝色房间里，两个人使用工具并修理地毯。")</f>
        <v>在蓝色房间里，两个人使用工具并修理地毯。</v>
      </c>
    </row>
    <row r="11359">
      <c r="A11359" s="4" t="s">
        <v>14285</v>
      </c>
      <c r="B11359" s="4" t="s">
        <v>14287</v>
      </c>
      <c r="C11359" s="5" t="str">
        <f>IFERROR(__xludf.DUMMYFUNCTION("GOOGLETRANSLATE(B11359,""en"",""zh-CN"")"),"似乎他们只是放在新的地毯上，现在他们确保它正确地固定下来。")</f>
        <v>似乎他们只是放在新的地毯上，现在他们确保它正确地固定下来。</v>
      </c>
    </row>
    <row r="11360">
      <c r="A11360" s="4" t="s">
        <v>14285</v>
      </c>
      <c r="B11360" s="4" t="s">
        <v>14288</v>
      </c>
      <c r="C11360" s="5" t="str">
        <f>IFERROR(__xludf.DUMMYFUNCTION("GOOGLETRANSLATE(B11360,""en"",""zh-CN"")"),"他们使用某种类型的指甲枪来钉在角落的末端。")</f>
        <v>他们使用某种类型的指甲枪来钉在角落的末端。</v>
      </c>
    </row>
    <row r="11361">
      <c r="A11361" s="4" t="s">
        <v>14285</v>
      </c>
      <c r="B11361" s="4" t="s">
        <v>14289</v>
      </c>
      <c r="C11361" s="5" t="str">
        <f>IFERROR(__xludf.DUMMYFUNCTION("GOOGLETRANSLATE(B11361,""en"",""zh-CN"")"),"其中一名男子四处走动，检查是否错过了任何东西。")</f>
        <v>其中一名男子四处走动，检查是否错过了任何东西。</v>
      </c>
    </row>
    <row r="11362">
      <c r="A11362" s="4" t="s">
        <v>14290</v>
      </c>
      <c r="B11362" s="4" t="s">
        <v>14291</v>
      </c>
      <c r="C11362" s="5" t="str">
        <f>IFERROR(__xludf.DUMMYFUNCTION("GOOGLETRANSLATE(B11362,""en"",""zh-CN"")"),"我们在树林里看到清理。")</f>
        <v>我们在树林里看到清理。</v>
      </c>
    </row>
    <row r="11363">
      <c r="A11363" s="4" t="s">
        <v>14290</v>
      </c>
      <c r="B11363" s="4" t="s">
        <v>14292</v>
      </c>
      <c r="C11363" s="5" t="str">
        <f>IFERROR(__xludf.DUMMYFUNCTION("GOOGLETRANSLATE(B11363,""en"",""zh-CN"")"),"我们放大了在树林里走的雄鹿。")</f>
        <v>我们放大了在树林里走的雄鹿。</v>
      </c>
    </row>
    <row r="11364">
      <c r="A11364" s="4" t="s">
        <v>14290</v>
      </c>
      <c r="B11364" s="4" t="s">
        <v>14293</v>
      </c>
      <c r="C11364" s="5" t="str">
        <f>IFERROR(__xludf.DUMMYFUNCTION("GOOGLETRANSLATE(B11364,""en"",""zh-CN"")"),"雄鹿停下来，向左看，然后向右看。")</f>
        <v>雄鹿停下来，向左看，然后向右看。</v>
      </c>
    </row>
    <row r="11365">
      <c r="A11365" s="4" t="s">
        <v>14290</v>
      </c>
      <c r="B11365" s="4" t="s">
        <v>14294</v>
      </c>
      <c r="C11365" s="5" t="str">
        <f>IFERROR(__xludf.DUMMYFUNCTION("GOOGLETRANSLATE(B11365,""en"",""zh-CN"")"),"雄鹿从水坑里喝酒，跑了。")</f>
        <v>雄鹿从水坑里喝酒，跑了。</v>
      </c>
    </row>
    <row r="11366">
      <c r="A11366" s="4" t="s">
        <v>14290</v>
      </c>
      <c r="B11366" s="4" t="s">
        <v>14295</v>
      </c>
      <c r="C11366" s="5" t="str">
        <f>IFERROR(__xludf.DUMMYFUNCTION("GOOGLETRANSLATE(B11366,""en"",""zh-CN"")"),"雄鹿站在清理中。")</f>
        <v>雄鹿站在清理中。</v>
      </c>
    </row>
    <row r="11367">
      <c r="A11367" s="4" t="s">
        <v>14290</v>
      </c>
      <c r="B11367" s="4" t="s">
        <v>14296</v>
      </c>
      <c r="C11367" s="5" t="str">
        <f>IFERROR(__xludf.DUMMYFUNCTION("GOOGLETRANSLATE(B11367,""en"",""zh-CN"")"),"一个男人正在用弓箭工作，而另一个人则拍摄动物。")</f>
        <v>一个男人正在用弓箭工作，而另一个人则拍摄动物。</v>
      </c>
    </row>
    <row r="11368">
      <c r="A11368" s="4" t="s">
        <v>14290</v>
      </c>
      <c r="B11368" s="4" t="s">
        <v>14297</v>
      </c>
      <c r="C11368" s="5" t="str">
        <f>IFERROR(__xludf.DUMMYFUNCTION("GOOGLETRANSLATE(B11368,""en"",""zh-CN"")"),"猎人用弓箭射击动物，并缓慢死亡。")</f>
        <v>猎人用弓箭射击动物，并缓慢死亡。</v>
      </c>
    </row>
    <row r="11369">
      <c r="A11369" s="4" t="s">
        <v>14290</v>
      </c>
      <c r="B11369" s="4" t="s">
        <v>14298</v>
      </c>
      <c r="C11369" s="5" t="str">
        <f>IFERROR(__xludf.DUMMYFUNCTION("GOOGLETRANSLATE(B11369,""en"",""zh-CN"")"),"猎人用死动物拍照。")</f>
        <v>猎人用死动物拍照。</v>
      </c>
    </row>
    <row r="11370">
      <c r="A11370" s="4" t="s">
        <v>14299</v>
      </c>
      <c r="B11370" s="6" t="s">
        <v>14300</v>
      </c>
      <c r="C11370" s="5" t="str">
        <f>IFERROR(__xludf.DUMMYFUNCTION("GOOGLETRANSLATE(B11370,""en"",""zh-CN"")"),"显示了几张赌场的镜头，以及人们通过并在内部走来走去。")</f>
        <v>显示了几张赌场的镜头，以及人们通过并在内部走来走去。</v>
      </c>
    </row>
    <row r="11371">
      <c r="A11371" s="4" t="s">
        <v>14299</v>
      </c>
      <c r="B11371" s="6" t="s">
        <v>14301</v>
      </c>
      <c r="C11371" s="5" t="str">
        <f>IFERROR(__xludf.DUMMYFUNCTION("GOOGLETRANSLATE(B11371,""en"",""zh-CN"")"),"摄像头绕着几张游戏桌以及老虎机和彼此玩耍的人。")</f>
        <v>摄像头绕着几张游戏桌以及老虎机和彼此玩耍的人。</v>
      </c>
    </row>
    <row r="11372">
      <c r="A11372" s="4" t="s">
        <v>14302</v>
      </c>
      <c r="B11372" s="4" t="s">
        <v>14303</v>
      </c>
      <c r="C11372" s="5" t="str">
        <f>IFERROR(__xludf.DUMMYFUNCTION("GOOGLETRANSLATE(B11372,""en"",""zh-CN"")"),"一个辫子头发的女孩在马术中心问一个工人一些问题。")</f>
        <v>一个辫子头发的女孩在马术中心问一个工人一些问题。</v>
      </c>
    </row>
    <row r="11373">
      <c r="A11373" s="4" t="s">
        <v>14302</v>
      </c>
      <c r="B11373" s="4" t="s">
        <v>14304</v>
      </c>
      <c r="C11373" s="5" t="str">
        <f>IFERROR(__xludf.DUMMYFUNCTION("GOOGLETRANSLATE(B11373,""en"",""zh-CN"")"),"该名女子回应并谈论马匹护理。")</f>
        <v>该名女子回应并谈论马匹护理。</v>
      </c>
    </row>
    <row r="11374">
      <c r="A11374" s="4" t="s">
        <v>14302</v>
      </c>
      <c r="B11374" s="4" t="s">
        <v>14305</v>
      </c>
      <c r="C11374" s="5" t="str">
        <f>IFERROR(__xludf.DUMMYFUNCTION("GOOGLETRANSLATE(B11374,""en"",""zh-CN"")"),"女孩刷马的鬃毛。")</f>
        <v>女孩刷马的鬃毛。</v>
      </c>
    </row>
    <row r="11375">
      <c r="A11375" s="4" t="s">
        <v>14302</v>
      </c>
      <c r="B11375" s="4" t="s">
        <v>14306</v>
      </c>
      <c r="C11375" s="5" t="str">
        <f>IFERROR(__xludf.DUMMYFUNCTION("GOOGLETRANSLATE(B11375,""en"",""zh-CN"")"),"两人继续进行马匹护理。")</f>
        <v>两人继续进行马匹护理。</v>
      </c>
    </row>
    <row r="11376">
      <c r="A11376" s="4" t="s">
        <v>14302</v>
      </c>
      <c r="B11376" s="4" t="s">
        <v>14307</v>
      </c>
      <c r="C11376" s="5" t="str">
        <f>IFERROR(__xludf.DUMMYFUNCTION("GOOGLETRANSLATE(B11376,""en"",""zh-CN"")"),"女孩和女人都从事刷牙技术。")</f>
        <v>女孩和女人都从事刷牙技术。</v>
      </c>
    </row>
    <row r="11377">
      <c r="A11377" s="4" t="s">
        <v>14302</v>
      </c>
      <c r="B11377" s="4" t="s">
        <v>14308</v>
      </c>
      <c r="C11377" s="5" t="str">
        <f>IFERROR(__xludf.DUMMYFUNCTION("GOOGLETRANSLATE(B11377,""en"",""zh-CN"")"),"那个女人刷尾巴，当女孩看着时，尾巴非常小心。")</f>
        <v>那个女人刷尾巴，当女孩看着时，尾巴非常小心。</v>
      </c>
    </row>
    <row r="11378">
      <c r="A11378" s="4" t="s">
        <v>14309</v>
      </c>
      <c r="B11378" s="4" t="s">
        <v>14310</v>
      </c>
      <c r="C11378" s="5" t="str">
        <f>IFERROR(__xludf.DUMMYFUNCTION("GOOGLETRANSLATE(B11378,""en"",""zh-CN"")"),"一个女人站着看着厨师从一块生菜中取出叶子的叶子。")</f>
        <v>一个女人站着看着厨师从一块生菜中取出叶子的叶子。</v>
      </c>
    </row>
    <row r="11379">
      <c r="A11379" s="4" t="s">
        <v>14309</v>
      </c>
      <c r="B11379" s="4" t="s">
        <v>14311</v>
      </c>
      <c r="C11379" s="5" t="str">
        <f>IFERROR(__xludf.DUMMYFUNCTION("GOOGLETRANSLATE(B11379,""en"",""zh-CN"")"),"厨师向女人展示了如何切割生菜的某些部分。")</f>
        <v>厨师向女人展示了如何切割生菜的某些部分。</v>
      </c>
    </row>
    <row r="11380">
      <c r="A11380" s="4" t="s">
        <v>14309</v>
      </c>
      <c r="B11380" s="4" t="s">
        <v>14312</v>
      </c>
      <c r="C11380" s="5" t="str">
        <f>IFERROR(__xludf.DUMMYFUNCTION("GOOGLETRANSLATE(B11380,""en"",""zh-CN"")"),"厨师和女人就生菜进行了漫长的交谈。")</f>
        <v>厨师和女人就生菜进行了漫长的交谈。</v>
      </c>
    </row>
    <row r="11381">
      <c r="A11381" s="4" t="s">
        <v>14313</v>
      </c>
      <c r="B11381" s="4" t="s">
        <v>14314</v>
      </c>
      <c r="C11381" s="5" t="str">
        <f>IFERROR(__xludf.DUMMYFUNCTION("GOOGLETRANSLATE(B11381,""en"",""zh-CN"")"),"一个女人坐在划船机上。")</f>
        <v>一个女人坐在划船机上。</v>
      </c>
    </row>
    <row r="11382">
      <c r="A11382" s="4" t="s">
        <v>14313</v>
      </c>
      <c r="B11382" s="4" t="s">
        <v>14315</v>
      </c>
      <c r="C11382" s="5" t="str">
        <f>IFERROR(__xludf.DUMMYFUNCTION("GOOGLETRANSLATE(B11382,""en"",""zh-CN"")"),"女人将脚放在划船机的皮带上。")</f>
        <v>女人将脚放在划船机的皮带上。</v>
      </c>
    </row>
    <row r="11383">
      <c r="A11383" s="4" t="s">
        <v>14313</v>
      </c>
      <c r="B11383" s="4" t="s">
        <v>14316</v>
      </c>
      <c r="C11383" s="5" t="str">
        <f>IFERROR(__xludf.DUMMYFUNCTION("GOOGLETRANSLATE(B11383,""en"",""zh-CN"")"),"女人握住划船电缆和行。")</f>
        <v>女人握住划船电缆和行。</v>
      </c>
    </row>
    <row r="11384">
      <c r="A11384" s="4" t="s">
        <v>14313</v>
      </c>
      <c r="B11384" s="4" t="s">
        <v>14317</v>
      </c>
      <c r="C11384" s="5" t="str">
        <f>IFERROR(__xludf.DUMMYFUNCTION("GOOGLETRANSLATE(B11384,""en"",""zh-CN"")"),"女人停下来展示机器的电动区域。")</f>
        <v>女人停下来展示机器的电动区域。</v>
      </c>
    </row>
    <row r="11385">
      <c r="A11385" s="4" t="s">
        <v>14313</v>
      </c>
      <c r="B11385" s="4" t="s">
        <v>14318</v>
      </c>
      <c r="C11385" s="5" t="str">
        <f>IFERROR(__xludf.DUMMYFUNCTION("GOOGLETRANSLATE(B11385,""en"",""zh-CN"")"),"她坐在划船机上，又一次划船，然后将电缆放下。")</f>
        <v>她坐在划船机上，又一次划船，然后将电缆放下。</v>
      </c>
    </row>
    <row r="11386">
      <c r="A11386" s="4" t="s">
        <v>14313</v>
      </c>
      <c r="B11386" s="4" t="s">
        <v>14319</v>
      </c>
      <c r="C11386" s="5" t="str">
        <f>IFERROR(__xludf.DUMMYFUNCTION("GOOGLETRANSLATE(B11386,""en"",""zh-CN"")"),"女人从皮带上移开脚。")</f>
        <v>女人从皮带上移开脚。</v>
      </c>
    </row>
    <row r="11387">
      <c r="A11387" s="4" t="s">
        <v>14320</v>
      </c>
      <c r="B11387" s="6" t="s">
        <v>14321</v>
      </c>
      <c r="C11387" s="5" t="str">
        <f>IFERROR(__xludf.DUMMYFUNCTION("GOOGLETRANSLATE(B11387,""en"",""zh-CN"")"),"看到一个男人躺在地板上，开始演示如何正确执行舞蹈动作以及进行错误的方式。")</f>
        <v>看到一个男人躺在地板上，开始演示如何正确执行舞蹈动作以及进行错误的方式。</v>
      </c>
    </row>
    <row r="11388">
      <c r="A11388" s="4" t="s">
        <v>14320</v>
      </c>
      <c r="B11388" s="6" t="s">
        <v>14322</v>
      </c>
      <c r="C11388" s="5" t="str">
        <f>IFERROR(__xludf.DUMMYFUNCTION("GOOGLETRANSLATE(B11388,""en"",""zh-CN"")"),"该男子继续在地板周围移动，并进入几个人进行此举的人。")</f>
        <v>该男子继续在地板周围移动，并进入几个人进行此举的人。</v>
      </c>
    </row>
    <row r="11389">
      <c r="A11389" s="4" t="s">
        <v>14323</v>
      </c>
      <c r="B11389" s="4" t="s">
        <v>14324</v>
      </c>
      <c r="C11389" s="5" t="str">
        <f>IFERROR(__xludf.DUMMYFUNCTION("GOOGLETRANSLATE(B11389,""en"",""zh-CN"")"),"一个男人用一个自我举起的铲子清洁雪，上面有一根杆子冲动铲子。")</f>
        <v>一个男人用一个自我举起的铲子清洁雪，上面有一根杆子冲动铲子。</v>
      </c>
    </row>
    <row r="11390">
      <c r="A11390" s="4" t="s">
        <v>14323</v>
      </c>
      <c r="B11390" s="4" t="s">
        <v>14325</v>
      </c>
      <c r="C11390" s="5" t="str">
        <f>IFERROR(__xludf.DUMMYFUNCTION("GOOGLETRANSLATE(B11390,""en"",""zh-CN"")"),"该男子把铁锹放在雪中，抬起并扔雪。")</f>
        <v>该男子把铁锹放在雪中，抬起并扔雪。</v>
      </c>
    </row>
    <row r="11391">
      <c r="A11391" s="4" t="s">
        <v>14323</v>
      </c>
      <c r="B11391" s="4" t="s">
        <v>14326</v>
      </c>
      <c r="C11391" s="5" t="str">
        <f>IFERROR(__xludf.DUMMYFUNCTION("GOOGLETRANSLATE(B11391,""en"",""zh-CN"")"),"该男子毫不费力地从地面上铲大雪。")</f>
        <v>该男子毫不费力地从地面上铲大雪。</v>
      </c>
    </row>
    <row r="11392">
      <c r="A11392" s="4" t="s">
        <v>14323</v>
      </c>
      <c r="B11392" s="4" t="s">
        <v>14327</v>
      </c>
      <c r="C11392" s="5" t="str">
        <f>IFERROR(__xludf.DUMMYFUNCTION("GOOGLETRANSLATE(B11392,""en"",""zh-CN"")"),"该人展示了举重运动员背后的铲子。")</f>
        <v>该人展示了举重运动员背后的铲子。</v>
      </c>
    </row>
    <row r="11393">
      <c r="A11393" s="4" t="s">
        <v>14328</v>
      </c>
      <c r="B11393" s="6" t="s">
        <v>14329</v>
      </c>
      <c r="C11393" s="5" t="str">
        <f>IFERROR(__xludf.DUMMYFUNCTION("GOOGLETRANSLATE(B11393,""en"",""zh-CN"")"),"几张照片显示了人们在海滩上行走，并导致许多人在水上冲浪。")</f>
        <v>几张照片显示了人们在海滩上行走，并导致许多人在水上冲浪。</v>
      </c>
    </row>
    <row r="11394">
      <c r="A11394" s="4" t="s">
        <v>14328</v>
      </c>
      <c r="B11394" s="6" t="s">
        <v>14330</v>
      </c>
      <c r="C11394" s="5" t="str">
        <f>IFERROR(__xludf.DUMMYFUNCTION("GOOGLETRANSLATE(B11394,""en"",""zh-CN"")"),"数十人在沿着水中的波浪以及坐在水中的人沿着水中骑行的各个剪辑中显示出来。")</f>
        <v>数十人在沿着水中的波浪以及坐在水中的人沿着水中骑行的各个剪辑中显示出来。</v>
      </c>
    </row>
    <row r="11395">
      <c r="A11395" s="4" t="s">
        <v>14331</v>
      </c>
      <c r="B11395" s="4" t="s">
        <v>14332</v>
      </c>
      <c r="C11395" s="5" t="str">
        <f>IFERROR(__xludf.DUMMYFUNCTION("GOOGLETRANSLATE(B11395,""en"",""zh-CN"")"),"一个女人站起来，开始跳绳。")</f>
        <v>一个女人站起来，开始跳绳。</v>
      </c>
    </row>
    <row r="11396">
      <c r="A11396" s="4" t="s">
        <v>14331</v>
      </c>
      <c r="B11396" s="4" t="s">
        <v>14333</v>
      </c>
      <c r="C11396" s="5" t="str">
        <f>IFERROR(__xludf.DUMMYFUNCTION("GOOGLETRANSLATE(B11396,""en"",""zh-CN"")"),"其余的女人站起来，加入她的跳绳。")</f>
        <v>其余的女人站起来，加入她的跳绳。</v>
      </c>
    </row>
    <row r="11397">
      <c r="A11397" s="4" t="s">
        <v>14331</v>
      </c>
      <c r="B11397" s="4" t="s">
        <v>14334</v>
      </c>
      <c r="C11397" s="5" t="str">
        <f>IFERROR(__xludf.DUMMYFUNCTION("GOOGLETRANSLATE(B11397,""en"",""zh-CN"")"),"他们的手站在他们面前的地面上。")</f>
        <v>他们的手站在他们面前的地面上。</v>
      </c>
    </row>
    <row r="11398">
      <c r="A11398" s="4" t="s">
        <v>14335</v>
      </c>
      <c r="B11398" s="4" t="s">
        <v>14336</v>
      </c>
      <c r="C11398" s="5" t="str">
        <f>IFERROR(__xludf.DUMMYFUNCTION("GOOGLETRANSLATE(B11398,""en"",""zh-CN"")"),"一个小孩走过一些腰间的沙子携带设备。")</f>
        <v>一个小孩走过一些腰间的沙子携带设备。</v>
      </c>
    </row>
    <row r="11399">
      <c r="A11399" s="4" t="s">
        <v>14335</v>
      </c>
      <c r="B11399" s="4" t="s">
        <v>14337</v>
      </c>
      <c r="C11399" s="5" t="str">
        <f>IFERROR(__xludf.DUMMYFUNCTION("GOOGLETRANSLATE(B11399,""en"",""zh-CN"")"),"在学校领域时，她扔了一根棍子。")</f>
        <v>在学校领域时，她扔了一根棍子。</v>
      </c>
    </row>
    <row r="11400">
      <c r="A11400" s="4" t="s">
        <v>14335</v>
      </c>
      <c r="B11400" s="4" t="s">
        <v>14338</v>
      </c>
      <c r="C11400" s="5" t="str">
        <f>IFERROR(__xludf.DUMMYFUNCTION("GOOGLETRANSLATE(B11400,""en"",""zh-CN"")"),"回到沙滩上，她继续沿着腰间附带的设备行走。")</f>
        <v>回到沙滩上，她继续沿着腰间附带的设备行走。</v>
      </c>
    </row>
    <row r="11401">
      <c r="A11401" s="4" t="s">
        <v>14335</v>
      </c>
      <c r="B11401" s="4" t="s">
        <v>14339</v>
      </c>
      <c r="C11401" s="5" t="str">
        <f>IFERROR(__xludf.DUMMYFUNCTION("GOOGLETRANSLATE(B11401,""en"",""zh-CN"")"),"她把鹅卵石扔进了海滩。")</f>
        <v>她把鹅卵石扔进了海滩。</v>
      </c>
    </row>
    <row r="11402">
      <c r="A11402" s="4" t="s">
        <v>14335</v>
      </c>
      <c r="B11402" s="4" t="s">
        <v>14340</v>
      </c>
      <c r="C11402" s="5" t="str">
        <f>IFERROR(__xludf.DUMMYFUNCTION("GOOGLETRANSLATE(B11402,""en"",""zh-CN"")"),"在学校轨道上，她扔了一根棍子。")</f>
        <v>在学校轨道上，她扔了一根棍子。</v>
      </c>
    </row>
    <row r="11403">
      <c r="A11403" s="4" t="s">
        <v>14335</v>
      </c>
      <c r="B11403" s="4" t="s">
        <v>14341</v>
      </c>
      <c r="C11403" s="5" t="str">
        <f>IFERROR(__xludf.DUMMYFUNCTION("GOOGLETRANSLATE(B11403,""en"",""zh-CN"")"),"她在教练看着的草地上扔了另一根棍子。")</f>
        <v>她在教练看着的草地上扔了另一根棍子。</v>
      </c>
    </row>
    <row r="11404">
      <c r="A11404" s="4" t="s">
        <v>14335</v>
      </c>
      <c r="B11404" s="4" t="s">
        <v>14342</v>
      </c>
      <c r="C11404" s="5" t="str">
        <f>IFERROR(__xludf.DUMMYFUNCTION("GOOGLETRANSLATE(B11404,""en"",""zh-CN"")"),"一个男人给她奖牌。")</f>
        <v>一个男人给她奖牌。</v>
      </c>
    </row>
    <row r="11405">
      <c r="A11405" s="4" t="s">
        <v>14335</v>
      </c>
      <c r="B11405" s="4" t="s">
        <v>14343</v>
      </c>
      <c r="C11405" s="5" t="str">
        <f>IFERROR(__xludf.DUMMYFUNCTION("GOOGLETRANSLATE(B11405,""en"",""zh-CN"")"),"在草地上，她扔了一根棍子。")</f>
        <v>在草地上，她扔了一根棍子。</v>
      </c>
    </row>
    <row r="11406">
      <c r="A11406" s="4" t="s">
        <v>14344</v>
      </c>
      <c r="B11406" s="4" t="s">
        <v>14345</v>
      </c>
      <c r="C11406" s="5" t="str">
        <f>IFERROR(__xludf.DUMMYFUNCTION("GOOGLETRANSLATE(B11406,""en"",""zh-CN"")"),"显示了一个人的照片，然后显示了人类椎骨的图纸。")</f>
        <v>显示了一个人的照片，然后显示了人类椎骨的图纸。</v>
      </c>
    </row>
    <row r="11407">
      <c r="A11407" s="4" t="s">
        <v>14344</v>
      </c>
      <c r="B11407" s="4" t="s">
        <v>14346</v>
      </c>
      <c r="C11407" s="5" t="str">
        <f>IFERROR(__xludf.DUMMYFUNCTION("GOOGLETRANSLATE(B11407,""en"",""zh-CN"")"),"灰色的那个人正站在一个房间里，开始向前和向后旋转双手。")</f>
        <v>灰色的那个人正站在一个房间里，开始向前和向后旋转双手。</v>
      </c>
    </row>
    <row r="11408">
      <c r="A11408" s="4" t="s">
        <v>14344</v>
      </c>
      <c r="B11408" s="4" t="s">
        <v>14347</v>
      </c>
      <c r="C11408" s="5" t="str">
        <f>IFERROR(__xludf.DUMMYFUNCTION("GOOGLETRANSLATE(B11408,""en"",""zh-CN"")"),"该男子侧面摇摆，将手臂移到他面前。")</f>
        <v>该男子侧面摇摆，将手臂移到他面前。</v>
      </c>
    </row>
    <row r="11409">
      <c r="A11409" s="4" t="s">
        <v>14348</v>
      </c>
      <c r="B11409" s="4" t="s">
        <v>14349</v>
      </c>
      <c r="C11409" s="5" t="str">
        <f>IFERROR(__xludf.DUMMYFUNCTION("GOOGLETRANSLATE(B11409,""en"",""zh-CN"")"),"一个男人站在一只猫的面前，他一直在他的包装纸上行走。")</f>
        <v>一个男人站在一只猫的面前，他一直在他的包装纸上行走。</v>
      </c>
    </row>
    <row r="11410">
      <c r="A11410" s="4" t="s">
        <v>14348</v>
      </c>
      <c r="B11410" s="4" t="s">
        <v>14350</v>
      </c>
      <c r="C11410" s="5" t="str">
        <f>IFERROR(__xludf.DUMMYFUNCTION("GOOGLETRANSLATE(B11410,""en"",""zh-CN"")"),"该男子将猫推到纸上，然后将其折叠在猫周围。")</f>
        <v>该男子将猫推到纸上，然后将其折叠在猫周围。</v>
      </c>
    </row>
    <row r="11411">
      <c r="A11411" s="4" t="s">
        <v>14348</v>
      </c>
      <c r="B11411" s="4" t="s">
        <v>14351</v>
      </c>
      <c r="C11411" s="5" t="str">
        <f>IFERROR(__xludf.DUMMYFUNCTION("GOOGLETRANSLATE(B11411,""en"",""zh-CN"")"),"然后，他将纸贴在猫上，只留下头伸出来。")</f>
        <v>然后，他将纸贴在猫上，只留下头伸出来。</v>
      </c>
    </row>
    <row r="11412">
      <c r="A11412" s="4" t="s">
        <v>14348</v>
      </c>
      <c r="B11412" s="4" t="s">
        <v>14352</v>
      </c>
      <c r="C11412" s="5" t="str">
        <f>IFERROR(__xludf.DUMMYFUNCTION("GOOGLETRANSLATE(B11412,""en"",""zh-CN"")"),"然后，他在猫的头上鞠躬。")</f>
        <v>然后，他在猫的头上鞠躬。</v>
      </c>
    </row>
    <row r="11413">
      <c r="A11413" s="4" t="s">
        <v>14353</v>
      </c>
      <c r="B11413" s="4" t="s">
        <v>14354</v>
      </c>
      <c r="C11413" s="5" t="str">
        <f>IFERROR(__xludf.DUMMYFUNCTION("GOOGLETRANSLATE(B11413,""en"",""zh-CN"")"),"母亲试图刷婴儿的牙齿。")</f>
        <v>母亲试图刷婴儿的牙齿。</v>
      </c>
    </row>
    <row r="11414">
      <c r="A11414" s="4" t="s">
        <v>14353</v>
      </c>
      <c r="B11414" s="4" t="s">
        <v>14355</v>
      </c>
      <c r="C11414" s="5" t="str">
        <f>IFERROR(__xludf.DUMMYFUNCTION("GOOGLETRANSLATE(B11414,""en"",""zh-CN"")"),"婴儿拿起牙刷并尝试。")</f>
        <v>婴儿拿起牙刷并尝试。</v>
      </c>
    </row>
    <row r="11415">
      <c r="A11415" s="4" t="s">
        <v>14353</v>
      </c>
      <c r="B11415" s="4" t="s">
        <v>14356</v>
      </c>
      <c r="C11415" s="5" t="str">
        <f>IFERROR(__xludf.DUMMYFUNCTION("GOOGLETRANSLATE(B11415,""en"",""zh-CN"")"),"婴儿吐出一些牙膏，但一直在尝试。")</f>
        <v>婴儿吐出一些牙膏，但一直在尝试。</v>
      </c>
    </row>
    <row r="11416">
      <c r="A11416" s="4" t="s">
        <v>14357</v>
      </c>
      <c r="B11416" s="4" t="s">
        <v>14358</v>
      </c>
      <c r="C11416" s="5" t="str">
        <f>IFERROR(__xludf.DUMMYFUNCTION("GOOGLETRANSLATE(B11416,""en"",""zh-CN"")"),"一条黑色和黄色的跳绳位于地板上，而三个人在后台。")</f>
        <v>一条黑色和黄色的跳绳位于地板上，而三个人在后台。</v>
      </c>
    </row>
    <row r="11417">
      <c r="A11417" s="4" t="s">
        <v>14357</v>
      </c>
      <c r="B11417" s="6" t="s">
        <v>14359</v>
      </c>
      <c r="C11417" s="5" t="str">
        <f>IFERROR(__xludf.DUMMYFUNCTION("GOOGLETRANSLATE(B11417,""en"",""zh-CN"")"),"标题“跳绳Steffisburg”出现在屏幕上，而几个穿着绿色衬衫的人则在后面奔跑。")</f>
        <v>标题“跳绳Steffisburg”出现在屏幕上，而几个穿着绿色衬衫的人则在后面奔跑。</v>
      </c>
    </row>
    <row r="11418">
      <c r="A11418" s="4" t="s">
        <v>14357</v>
      </c>
      <c r="B11418" s="4" t="s">
        <v>14360</v>
      </c>
      <c r="C11418" s="5" t="str">
        <f>IFERROR(__xludf.DUMMYFUNCTION("GOOGLETRANSLATE(B11418,""en"",""zh-CN"")"),"两名年轻妇女表演了翻筋斗。")</f>
        <v>两名年轻妇女表演了翻筋斗。</v>
      </c>
    </row>
    <row r="11419">
      <c r="A11419" s="4" t="s">
        <v>14357</v>
      </c>
      <c r="B11419" s="4" t="s">
        <v>14361</v>
      </c>
      <c r="C11419" s="5" t="str">
        <f>IFERROR(__xludf.DUMMYFUNCTION("GOOGLETRANSLATE(B11419,""en"",""zh-CN"")"),"一大批穿着绿色衬衫的人在大型体育馆中表现出各种跳绳特技表演。")</f>
        <v>一大批穿着绿色衬衫的人在大型体育馆中表现出各种跳绳特技表演。</v>
      </c>
    </row>
    <row r="11420">
      <c r="A11420" s="4" t="s">
        <v>14357</v>
      </c>
      <c r="B11420" s="4" t="s">
        <v>14362</v>
      </c>
      <c r="C11420" s="5" t="str">
        <f>IFERROR(__xludf.DUMMYFUNCTION("GOOGLETRANSLATE(B11420,""en"",""zh-CN"")"),"有人从地板上捡起黄色和黑色的跳绳，然后走开。")</f>
        <v>有人从地板上捡起黄色和黑色的跳绳，然后走开。</v>
      </c>
    </row>
    <row r="11421">
      <c r="A11421" s="4" t="s">
        <v>14363</v>
      </c>
      <c r="B11421" s="4" t="s">
        <v>14364</v>
      </c>
      <c r="C11421" s="5" t="str">
        <f>IFERROR(__xludf.DUMMYFUNCTION("GOOGLETRANSLATE(B11421,""en"",""zh-CN"")"),"黑屏宣传视频。")</f>
        <v>黑屏宣传视频。</v>
      </c>
    </row>
    <row r="11422">
      <c r="A11422" s="4" t="s">
        <v>14363</v>
      </c>
      <c r="B11422" s="4" t="s">
        <v>14365</v>
      </c>
      <c r="C11422" s="5" t="str">
        <f>IFERROR(__xludf.DUMMYFUNCTION("GOOGLETRANSLATE(B11422,""en"",""zh-CN"")"),"一个男人躺在躺下时，有人剃光胡须。")</f>
        <v>一个男人躺在躺下时，有人剃光胡须。</v>
      </c>
    </row>
    <row r="11423">
      <c r="A11423" s="4" t="s">
        <v>14363</v>
      </c>
      <c r="B11423" s="6" t="s">
        <v>14366</v>
      </c>
      <c r="C11423" s="5" t="str">
        <f>IFERROR(__xludf.DUMMYFUNCTION("GOOGLETRANSLATE(B11423,""en"",""zh-CN"")"),"当男人仔细剃须时，刀片非常靠近皮肤，在刮擦之间冲洗。")</f>
        <v>当男人仔细剃须时，刀片非常靠近皮肤，在刮擦之间冲洗。</v>
      </c>
    </row>
    <row r="11424">
      <c r="A11424" s="4" t="s">
        <v>14363</v>
      </c>
      <c r="B11424" s="4" t="s">
        <v>14367</v>
      </c>
      <c r="C11424" s="5" t="str">
        <f>IFERROR(__xludf.DUMMYFUNCTION("GOOGLETRANSLATE(B11424,""en"",""zh-CN"")"),"当男人完成剃须时，屏幕逐渐消失。")</f>
        <v>当男人完成剃须时，屏幕逐渐消失。</v>
      </c>
    </row>
    <row r="11425">
      <c r="A11425" s="4" t="s">
        <v>14368</v>
      </c>
      <c r="B11425" s="4" t="s">
        <v>14369</v>
      </c>
      <c r="C11425" s="5" t="str">
        <f>IFERROR(__xludf.DUMMYFUNCTION("GOOGLETRANSLATE(B11425,""en"",""zh-CN"")"),"两名男性在一个小房间里打乒乓球。")</f>
        <v>两名男性在一个小房间里打乒乓球。</v>
      </c>
    </row>
    <row r="11426">
      <c r="A11426" s="4" t="s">
        <v>14368</v>
      </c>
      <c r="B11426" s="4" t="s">
        <v>14370</v>
      </c>
      <c r="C11426" s="5" t="str">
        <f>IFERROR(__xludf.DUMMYFUNCTION("GOOGLETRANSLATE(B11426,""en"",""zh-CN"")"),"另一个男人在背景中行走。")</f>
        <v>另一个男人在背景中行走。</v>
      </c>
    </row>
    <row r="11427">
      <c r="A11427" s="4" t="s">
        <v>14371</v>
      </c>
      <c r="B11427" s="4" t="s">
        <v>14372</v>
      </c>
      <c r="C11427" s="5" t="str">
        <f>IFERROR(__xludf.DUMMYFUNCTION("GOOGLETRANSLATE(B11427,""en"",""zh-CN"")"),"一群妇女正站在身边，其中一个妇女在骆驼上。")</f>
        <v>一群妇女正站在身边，其中一个妇女在骆驼上。</v>
      </c>
    </row>
    <row r="11428">
      <c r="A11428" s="4" t="s">
        <v>14371</v>
      </c>
      <c r="B11428" s="4" t="s">
        <v>14373</v>
      </c>
      <c r="C11428" s="5" t="str">
        <f>IFERROR(__xludf.DUMMYFUNCTION("GOOGLETRANSLATE(B11428,""en"",""zh-CN"")"),"骆驼抬起培训师和其他朋友凝视着。")</f>
        <v>骆驼抬起培训师和其他朋友凝视着。</v>
      </c>
    </row>
    <row r="11429">
      <c r="A11429" s="4" t="s">
        <v>14371</v>
      </c>
      <c r="B11429" s="4" t="s">
        <v>14374</v>
      </c>
      <c r="C11429" s="5" t="str">
        <f>IFERROR(__xludf.DUMMYFUNCTION("GOOGLETRANSLATE(B11429,""en"",""zh-CN"")"),"当相机向后向他们展示所有人时，他们似乎度过了愉快的时光。")</f>
        <v>当相机向后向他们展示所有人时，他们似乎度过了愉快的时光。</v>
      </c>
    </row>
    <row r="11430">
      <c r="A11430" s="4" t="s">
        <v>14371</v>
      </c>
      <c r="B11430" s="4" t="s">
        <v>14375</v>
      </c>
      <c r="C11430" s="5" t="str">
        <f>IFERROR(__xludf.DUMMYFUNCTION("GOOGLETRANSLATE(B11430,""en"",""zh-CN"")"),"他们非常慢慢地向前走，骑着骑行的女士挥舞着。")</f>
        <v>他们非常慢慢地向前走，骑着骑行的女士挥舞着。</v>
      </c>
    </row>
    <row r="11431">
      <c r="A11431" s="4" t="s">
        <v>14371</v>
      </c>
      <c r="B11431" s="6" t="s">
        <v>14376</v>
      </c>
      <c r="C11431" s="5" t="str">
        <f>IFERROR(__xludf.DUMMYFUNCTION("GOOGLETRANSLATE(B11431,""en"",""zh-CN"")"),"然后，视频切开，显示骆驼停下来，然后掉下地面放下女人。")</f>
        <v>然后，视频切开，显示骆驼停下来，然后掉下地面放下女人。</v>
      </c>
    </row>
    <row r="11432">
      <c r="A11432" s="4" t="s">
        <v>14371</v>
      </c>
      <c r="B11432" s="4" t="s">
        <v>14377</v>
      </c>
      <c r="C11432" s="5" t="str">
        <f>IFERROR(__xludf.DUMMYFUNCTION("GOOGLETRANSLATE(B11432,""en"",""zh-CN"")"),"她宠爱它，视频结束了。")</f>
        <v>她宠爱它，视频结束了。</v>
      </c>
    </row>
    <row r="11433">
      <c r="A11433" s="4" t="s">
        <v>14378</v>
      </c>
      <c r="B11433" s="4" t="s">
        <v>14379</v>
      </c>
      <c r="C11433" s="5" t="str">
        <f>IFERROR(__xludf.DUMMYFUNCTION("GOOGLETRANSLATE(B11433,""en"",""zh-CN"")"),"伙计们站在摊位附近。")</f>
        <v>伙计们站在摊位附近。</v>
      </c>
    </row>
    <row r="11434">
      <c r="A11434" s="4" t="s">
        <v>14378</v>
      </c>
      <c r="B11434" s="4" t="s">
        <v>14380</v>
      </c>
      <c r="C11434" s="5" t="str">
        <f>IFERROR(__xludf.DUMMYFUNCTION("GOOGLETRANSLATE(B11434,""en"",""zh-CN"")"),"一个骑马骑马的人追赶牛。")</f>
        <v>一个骑马骑马的人追赶牛。</v>
      </c>
    </row>
    <row r="11435">
      <c r="A11435" s="4" t="s">
        <v>14378</v>
      </c>
      <c r="B11435" s="4" t="s">
        <v>14381</v>
      </c>
      <c r="C11435" s="5" t="str">
        <f>IFERROR(__xludf.DUMMYFUNCTION("GOOGLETRANSLATE(B11435,""en"",""zh-CN"")"),"那个家伙拉起牛，下马以绑住牛的腿。")</f>
        <v>那个家伙拉起牛，下马以绑住牛的腿。</v>
      </c>
    </row>
    <row r="11436">
      <c r="A11436" s="4" t="s">
        <v>14378</v>
      </c>
      <c r="B11436" s="4" t="s">
        <v>14382</v>
      </c>
      <c r="C11436" s="5" t="str">
        <f>IFERROR(__xludf.DUMMYFUNCTION("GOOGLETRANSLATE(B11436,""en"",""zh-CN"")"),"两个人将绳索周围的绳索拆除。")</f>
        <v>两个人将绳索周围的绳索拆除。</v>
      </c>
    </row>
    <row r="11437">
      <c r="A11437" s="4" t="s">
        <v>14378</v>
      </c>
      <c r="B11437" s="4" t="s">
        <v>14383</v>
      </c>
      <c r="C11437" s="5" t="str">
        <f>IFERROR(__xludf.DUMMYFUNCTION("GOOGLETRANSLATE(B11437,""en"",""zh-CN"")"),"牛升起并逃跑。")</f>
        <v>牛升起并逃跑。</v>
      </c>
    </row>
    <row r="11438">
      <c r="A11438" s="4" t="s">
        <v>14384</v>
      </c>
      <c r="B11438" s="4" t="s">
        <v>14385</v>
      </c>
      <c r="C11438" s="5" t="str">
        <f>IFERROR(__xludf.DUMMYFUNCTION("GOOGLETRANSLATE(B11438,""en"",""zh-CN"")"),"看到一个人在纸上使用工具和铅笔制作痕迹。")</f>
        <v>看到一个人在纸上使用工具和铅笔制作痕迹。</v>
      </c>
    </row>
    <row r="11439">
      <c r="A11439" s="4" t="s">
        <v>14384</v>
      </c>
      <c r="B11439" s="4" t="s">
        <v>14386</v>
      </c>
      <c r="C11439" s="5" t="str">
        <f>IFERROR(__xludf.DUMMYFUNCTION("GOOGLETRANSLATE(B11439,""en"",""zh-CN"")"),"然后，他将工具拧紧代替孔，然后摄像机向下竖起成品区域。")</f>
        <v>然后，他将工具拧紧代替孔，然后摄像机向下竖起成品区域。</v>
      </c>
    </row>
    <row r="11440">
      <c r="A11440" s="4" t="s">
        <v>14384</v>
      </c>
      <c r="B11440" s="6" t="s">
        <v>14387</v>
      </c>
      <c r="C11440" s="5" t="str">
        <f>IFERROR(__xludf.DUMMYFUNCTION("GOOGLETRANSLATE(B11440,""en"",""zh-CN"")"),"然后，他擦拭该区域，测量更多区域，然后将纸滚到工具上。")</f>
        <v>然后，他擦拭该区域，测量更多区域，然后将纸滚到工具上。</v>
      </c>
    </row>
    <row r="11441">
      <c r="A11441" s="4" t="s">
        <v>14384</v>
      </c>
      <c r="B11441" s="4" t="s">
        <v>14388</v>
      </c>
      <c r="C11441" s="5" t="str">
        <f>IFERROR(__xludf.DUMMYFUNCTION("GOOGLETRANSLATE(B11441,""en"",""zh-CN"")"),"最后，他拿起一个锋利的物体，并沿着纸张运行。")</f>
        <v>最后，他拿起一个锋利的物体，并沿着纸张运行。</v>
      </c>
    </row>
    <row r="11442">
      <c r="A11442" s="4" t="s">
        <v>14389</v>
      </c>
      <c r="B11442" s="4" t="s">
        <v>14390</v>
      </c>
      <c r="C11442" s="5" t="str">
        <f>IFERROR(__xludf.DUMMYFUNCTION("GOOGLETRANSLATE(B11442,""en"",""zh-CN"")"),"一个人拿着魔方。")</f>
        <v>一个人拿着魔方。</v>
      </c>
    </row>
    <row r="11443">
      <c r="A11443" s="4" t="s">
        <v>14389</v>
      </c>
      <c r="B11443" s="4" t="s">
        <v>14391</v>
      </c>
      <c r="C11443" s="5" t="str">
        <f>IFERROR(__xludf.DUMMYFUNCTION("GOOGLETRANSLATE(B11443,""en"",""zh-CN"")"),"该人开始解决魔方。")</f>
        <v>该人开始解决魔方。</v>
      </c>
    </row>
    <row r="11444">
      <c r="A11444" s="4" t="s">
        <v>14389</v>
      </c>
      <c r="B11444" s="4" t="s">
        <v>14392</v>
      </c>
      <c r="C11444" s="5" t="str">
        <f>IFERROR(__xludf.DUMMYFUNCTION("GOOGLETRANSLATE(B11444,""en"",""zh-CN"")"),"该人将已解决的Rubik的立方体放在桌子上，然后急忙单击一些东西。")</f>
        <v>该人将已解决的Rubik的立方体放在桌子上，然后急忙单击一些东西。</v>
      </c>
    </row>
    <row r="11445">
      <c r="A11445" s="4" t="s">
        <v>14389</v>
      </c>
      <c r="B11445" s="4" t="s">
        <v>14393</v>
      </c>
      <c r="C11445" s="5" t="str">
        <f>IFERROR(__xludf.DUMMYFUNCTION("GOOGLETRANSLATE(B11445,""en"",""zh-CN"")"),"该人显示他的电脑屏幕。")</f>
        <v>该人显示他的电脑屏幕。</v>
      </c>
    </row>
    <row r="11446">
      <c r="A11446" s="4" t="s">
        <v>14389</v>
      </c>
      <c r="B11446" s="4" t="s">
        <v>14394</v>
      </c>
      <c r="C11446" s="5" t="str">
        <f>IFERROR(__xludf.DUMMYFUNCTION("GOOGLETRANSLATE(B11446,""en"",""zh-CN"")"),"该人捡起魔方，并展示已解决的Rubik立方体的每张脸。")</f>
        <v>该人捡起魔方，并展示已解决的Rubik立方体的每张脸。</v>
      </c>
    </row>
    <row r="11447">
      <c r="A11447" s="4" t="s">
        <v>14395</v>
      </c>
      <c r="B11447" s="4" t="s">
        <v>14396</v>
      </c>
      <c r="C11447" s="5" t="str">
        <f>IFERROR(__xludf.DUMMYFUNCTION("GOOGLETRANSLATE(B11447,""en"",""zh-CN"")"),"这个男孩正站在树下，蒙上眼睛的东西击中了皮纳塔，但错过了。")</f>
        <v>这个男孩正站在树下，蒙上眼睛的东西击中了皮纳塔，但错过了。</v>
      </c>
    </row>
    <row r="11448">
      <c r="A11448" s="4" t="s">
        <v>14395</v>
      </c>
      <c r="B11448" s="4" t="s">
        <v>14397</v>
      </c>
      <c r="C11448" s="5" t="str">
        <f>IFERROR(__xludf.DUMMYFUNCTION("GOOGLETRANSLATE(B11448,""en"",""zh-CN"")"),"一个男人来找他并协助他，这个男孩曾一次击中皮纳塔。")</f>
        <v>一个男人来找他并协助他，这个男孩曾一次击中皮纳塔。</v>
      </c>
    </row>
    <row r="11449">
      <c r="A11449" s="4" t="s">
        <v>14395</v>
      </c>
      <c r="B11449" s="4" t="s">
        <v>14398</v>
      </c>
      <c r="C11449" s="5" t="str">
        <f>IFERROR(__xludf.DUMMYFUNCTION("GOOGLETRANSLATE(B11449,""en"",""zh-CN"")"),"那个男人旋转小女孩，然后稍稍走一点，然后女孩击中了皮纳塔。")</f>
        <v>那个男人旋转小女孩，然后稍稍走一点，然后女孩击中了皮纳塔。</v>
      </c>
    </row>
    <row r="11450">
      <c r="A11450" s="4" t="s">
        <v>14395</v>
      </c>
      <c r="B11450" s="4" t="s">
        <v>14399</v>
      </c>
      <c r="C11450" s="5" t="str">
        <f>IFERROR(__xludf.DUMMYFUNCTION("GOOGLETRANSLATE(B11450,""en"",""zh-CN"")"),"一个年轻人击中了皮纳塔广告，孩子们轮流击中皮纳塔。")</f>
        <v>一个年轻人击中了皮纳塔广告，孩子们轮流击中皮纳塔。</v>
      </c>
    </row>
    <row r="11451">
      <c r="A11451" s="4" t="s">
        <v>14400</v>
      </c>
      <c r="B11451" s="4" t="s">
        <v>14401</v>
      </c>
      <c r="C11451" s="5" t="str">
        <f>IFERROR(__xludf.DUMMYFUNCTION("GOOGLETRANSLATE(B11451,""en"",""zh-CN"")"),"栗色简介中的摔跤手正在激怒黑人。")</f>
        <v>栗色简介中的摔跤手正在激怒黑人。</v>
      </c>
    </row>
    <row r="11452">
      <c r="A11452" s="4" t="s">
        <v>14400</v>
      </c>
      <c r="B11452" s="4" t="s">
        <v>14402</v>
      </c>
      <c r="C11452" s="5" t="str">
        <f>IFERROR(__xludf.DUMMYFUNCTION("GOOGLETRANSLATE(B11452,""en"",""zh-CN"")"),"黑人袭击了另一名摔跤手，但他被击倒。")</f>
        <v>黑人袭击了另一名摔跤手，但他被击倒。</v>
      </c>
    </row>
    <row r="11453">
      <c r="A11453" s="4" t="s">
        <v>14400</v>
      </c>
      <c r="B11453" s="4" t="s">
        <v>14403</v>
      </c>
      <c r="C11453" s="5" t="str">
        <f>IFERROR(__xludf.DUMMYFUNCTION("GOOGLETRANSLATE(B11453,""en"",""zh-CN"")"),"带有栗色短裤的摔跤手将黑人猛撞在地板上。")</f>
        <v>带有栗色短裤的摔跤手将黑人猛撞在地板上。</v>
      </c>
    </row>
    <row r="11454">
      <c r="A11454" s="4" t="s">
        <v>14404</v>
      </c>
      <c r="B11454" s="4" t="s">
        <v>14405</v>
      </c>
      <c r="C11454" s="5" t="str">
        <f>IFERROR(__xludf.DUMMYFUNCTION("GOOGLETRANSLATE(B11454,""en"",""zh-CN"")"),"有一个男人坐在他身后的奥运会徽标，谈论运动。")</f>
        <v>有一个男人坐在他身后的奥运会徽标，谈论运动。</v>
      </c>
    </row>
    <row r="11455">
      <c r="A11455" s="4" t="s">
        <v>14404</v>
      </c>
      <c r="B11455" s="4" t="s">
        <v>14406</v>
      </c>
      <c r="C11455" s="5" t="str">
        <f>IFERROR(__xludf.DUMMYFUNCTION("GOOGLETRANSLATE(B11455,""en"",""zh-CN"")"),"显示了许多不同年龄段的人的组照片。")</f>
        <v>显示了许多不同年龄段的人的组照片。</v>
      </c>
    </row>
    <row r="11456">
      <c r="A11456" s="4" t="s">
        <v>14404</v>
      </c>
      <c r="B11456" s="6" t="s">
        <v>14407</v>
      </c>
      <c r="C11456" s="5" t="str">
        <f>IFERROR(__xludf.DUMMYFUNCTION("GOOGLETRANSLATE(B11456,""en"",""zh-CN"")"),"有些人在阳光明媚的日子里在沙滩上玩海滩凌空球，几个人看着它们。")</f>
        <v>有些人在阳光明媚的日子里在沙滩上玩海滩凌空球，几个人看着它们。</v>
      </c>
    </row>
    <row r="11457">
      <c r="A11457" s="4" t="s">
        <v>14404</v>
      </c>
      <c r="B11457" s="4" t="s">
        <v>14408</v>
      </c>
      <c r="C11457" s="5" t="str">
        <f>IFERROR(__xludf.DUMMYFUNCTION("GOOGLETRANSLATE(B11457,""en"",""zh-CN"")"),"其中一名球员用拳头将球击中了对手。")</f>
        <v>其中一名球员用拳头将球击中了对手。</v>
      </c>
    </row>
    <row r="11458">
      <c r="A11458" s="4" t="s">
        <v>14404</v>
      </c>
      <c r="B11458" s="4" t="s">
        <v>14409</v>
      </c>
      <c r="C11458" s="5" t="str">
        <f>IFERROR(__xludf.DUMMYFUNCTION("GOOGLETRANSLATE(B11458,""en"",""zh-CN"")"),"另一个球员通过将球踢到网上来返回球。")</f>
        <v>另一个球员通过将球踢到网上来返回球。</v>
      </c>
    </row>
    <row r="11459">
      <c r="A11459" s="4" t="s">
        <v>14404</v>
      </c>
      <c r="B11459" s="4" t="s">
        <v>14410</v>
      </c>
      <c r="C11459" s="5" t="str">
        <f>IFERROR(__xludf.DUMMYFUNCTION("GOOGLETRANSLATE(B11459,""en"",""zh-CN"")"),"球员们通过将球撞到网上，继续打球。")</f>
        <v>球员们通过将球撞到网上，继续打球。</v>
      </c>
    </row>
    <row r="11460">
      <c r="A11460" s="4" t="s">
        <v>14411</v>
      </c>
      <c r="B11460" s="6" t="s">
        <v>14412</v>
      </c>
      <c r="C11460" s="5" t="str">
        <f>IFERROR(__xludf.DUMMYFUNCTION("GOOGLETRANSLATE(B11460,""en"",""zh-CN"")"),"一个开放的田野被雪覆盖，然后突然在桌子上出现一只大熊，然后放入盒子里。")</f>
        <v>一个开放的田野被雪覆盖，然后突然在桌子上出现一只大熊，然后放入盒子里。</v>
      </c>
    </row>
    <row r="11461">
      <c r="A11461" s="4" t="s">
        <v>14411</v>
      </c>
      <c r="B11461" s="4" t="s">
        <v>14413</v>
      </c>
      <c r="C11461" s="5" t="str">
        <f>IFERROR(__xludf.DUMMYFUNCTION("GOOGLETRANSLATE(B11461,""en"",""zh-CN"")"),"然后，玛莎·斯图尔特（Martha Stewart）开始录制盒子。")</f>
        <v>然后，玛莎·斯图尔特（Martha Stewart）开始录制盒子。</v>
      </c>
    </row>
    <row r="11462">
      <c r="A11462" s="4" t="s">
        <v>14411</v>
      </c>
      <c r="B11462" s="6" t="s">
        <v>14414</v>
      </c>
      <c r="C11462" s="5" t="str">
        <f>IFERROR(__xludf.DUMMYFUNCTION("GOOGLETRANSLATE(B11462,""en"",""zh-CN"")"),"然后将盒子放在柜台的顶部，并将包裹纸放在两端，盒子上约六英寸。")</f>
        <v>然后将盒子放在柜台的顶部，并将包裹纸放在两端，盒子上约六英寸。</v>
      </c>
    </row>
    <row r="11463">
      <c r="A11463" s="4" t="s">
        <v>14411</v>
      </c>
      <c r="B11463" s="4" t="s">
        <v>14415</v>
      </c>
      <c r="C11463" s="5" t="str">
        <f>IFERROR(__xludf.DUMMYFUNCTION("GOOGLETRANSLATE(B11463,""en"",""zh-CN"")"),"然后将更多的包裹纸拉出，并将其包裹在中间的现在盖盒子上。")</f>
        <v>然后将更多的包裹纸拉出，并将其包裹在中间的现在盖盒子上。</v>
      </c>
    </row>
    <row r="11464">
      <c r="A11464" s="4" t="s">
        <v>14411</v>
      </c>
      <c r="B11464" s="4" t="s">
        <v>14416</v>
      </c>
      <c r="C11464" s="5" t="str">
        <f>IFERROR(__xludf.DUMMYFUNCTION("GOOGLETRANSLATE(B11464,""en"",""zh-CN"")"),"被录音后，将几根红色闪光弓放在包装纸的顶部。")</f>
        <v>被录音后，将几根红色闪光弓放在包装纸的顶部。</v>
      </c>
    </row>
    <row r="11465">
      <c r="A11465" s="4" t="s">
        <v>14411</v>
      </c>
      <c r="B11465" s="4" t="s">
        <v>14417</v>
      </c>
      <c r="C11465" s="5" t="str">
        <f>IFERROR(__xludf.DUMMYFUNCTION("GOOGLETRANSLATE(B11465,""en"",""zh-CN"")"),"在柜台上，出现了更多的说唱纸和管。")</f>
        <v>在柜台上，出现了更多的说唱纸和管。</v>
      </c>
    </row>
    <row r="11466">
      <c r="A11466" s="4" t="s">
        <v>14411</v>
      </c>
      <c r="B11466" s="4" t="s">
        <v>14418</v>
      </c>
      <c r="C11466" s="5" t="str">
        <f>IFERROR(__xludf.DUMMYFUNCTION("GOOGLETRANSLATE(B11466,""en"",""zh-CN"")"),"然后将袜子放在管中，并用银包裹纸覆盖。")</f>
        <v>然后将袜子放在管中，并用银包裹纸覆盖。</v>
      </c>
    </row>
    <row r="11467">
      <c r="A11467" s="4" t="s">
        <v>14411</v>
      </c>
      <c r="B11467" s="6" t="s">
        <v>14419</v>
      </c>
      <c r="C11467" s="5" t="str">
        <f>IFERROR(__xludf.DUMMYFUNCTION("GOOGLETRANSLATE(B11467,""en"",""zh-CN"")"),"然后，该名女子将圆形的物体拿起，并用铅笔对其进行跟踪，并在其中间弯曲。")</f>
        <v>然后，该名女子将圆形的物体拿起，并用铅笔对其进行跟踪，并在其中间弯曲。</v>
      </c>
    </row>
    <row r="11468">
      <c r="A11468" s="4" t="s">
        <v>14411</v>
      </c>
      <c r="B11468" s="6" t="s">
        <v>14420</v>
      </c>
      <c r="C11468" s="5" t="str">
        <f>IFERROR(__xludf.DUMMYFUNCTION("GOOGLETRANSLATE(B11468,""en"",""zh-CN"")"),"切掉后，将它们放在试管的末端，并堆叠在一起，以产生火木的幻觉。")</f>
        <v>切掉后，将它们放在试管的末端，并堆叠在一起，以产生火木的幻觉。</v>
      </c>
    </row>
    <row r="11469">
      <c r="A11469" s="4" t="s">
        <v>14421</v>
      </c>
      <c r="B11469" s="6" t="s">
        <v>14422</v>
      </c>
      <c r="C11469" s="5" t="str">
        <f>IFERROR(__xludf.DUMMYFUNCTION("GOOGLETRANSLATE(B11469,""en"",""zh-CN"")"),"一群孩子在充气室是充气弹跳平台的充气室中互相扔球。")</f>
        <v>一群孩子在充气室是充气弹跳平台的充气室中互相扔球。</v>
      </c>
    </row>
    <row r="11470">
      <c r="A11470" s="4" t="s">
        <v>14421</v>
      </c>
      <c r="B11470" s="6" t="s">
        <v>14423</v>
      </c>
      <c r="C11470" s="5" t="str">
        <f>IFERROR(__xludf.DUMMYFUNCTION("GOOGLETRANSLATE(B11470,""en"",""zh-CN"")"),"当球飞到垫子的侧面时，房间右侧的孩子们向房间左侧的孩子们扔了球，以击中他们。")</f>
        <v>当球飞到垫子的侧面时，房间右侧的孩子们向房间左侧的孩子们扔了球，以击中他们。</v>
      </c>
    </row>
    <row r="11471">
      <c r="A11471" s="4" t="s">
        <v>14421</v>
      </c>
      <c r="B11471" s="6" t="s">
        <v>14424</v>
      </c>
      <c r="C11471" s="5" t="str">
        <f>IFERROR(__xludf.DUMMYFUNCTION("GOOGLETRANSLATE(B11471,""en"",""zh-CN"")"),"孩子们向蓝色的T恤扔了一个孩子，沿着弹跳室的最右角撤退，试图避免从另一侧向他投掷的球。")</f>
        <v>孩子们向蓝色的T恤扔了一个孩子，沿着弹跳室的最右角撤退，试图避免从另一侧向他投掷的球。</v>
      </c>
    </row>
    <row r="11472">
      <c r="A11472" s="4" t="s">
        <v>14425</v>
      </c>
      <c r="B11472" s="4" t="s">
        <v>14426</v>
      </c>
      <c r="C11472" s="5" t="str">
        <f>IFERROR(__xludf.DUMMYFUNCTION("GOOGLETRANSLATE(B11472,""en"",""zh-CN"")"),"看到一个小孩在拖把上拖着地板，并在房间的所有区域中移动。")</f>
        <v>看到一个小孩在拖把上拖着地板，并在房间的所有区域中移动。</v>
      </c>
    </row>
    <row r="11473">
      <c r="A11473" s="4" t="s">
        <v>14425</v>
      </c>
      <c r="B11473" s="4" t="s">
        <v>14427</v>
      </c>
      <c r="C11473" s="5" t="str">
        <f>IFERROR(__xludf.DUMMYFUNCTION("GOOGLETRANSLATE(B11473,""en"",""zh-CN"")"),"他停下来玩拖把，然后将盒子推回架子下。")</f>
        <v>他停下来玩拖把，然后将盒子推回架子下。</v>
      </c>
    </row>
    <row r="11474">
      <c r="A11474" s="4" t="s">
        <v>14428</v>
      </c>
      <c r="B11474" s="4" t="s">
        <v>14429</v>
      </c>
      <c r="C11474" s="5" t="str">
        <f>IFERROR(__xludf.DUMMYFUNCTION("GOOGLETRANSLATE(B11474,""en"",""zh-CN"")"),"穿着黑色衬衫的女人在房间里跳舞。")</f>
        <v>穿着黑色衬衫的女人在房间里跳舞。</v>
      </c>
    </row>
    <row r="11475">
      <c r="A11475" s="4" t="s">
        <v>14428</v>
      </c>
      <c r="B11475" s="4" t="s">
        <v>14430</v>
      </c>
      <c r="C11475" s="5" t="str">
        <f>IFERROR(__xludf.DUMMYFUNCTION("GOOGLETRANSLATE(B11475,""en"",""zh-CN"")"),"她手表旁边的一只小狗。")</f>
        <v>她手表旁边的一只小狗。</v>
      </c>
    </row>
    <row r="11476">
      <c r="A11476" s="4" t="s">
        <v>14428</v>
      </c>
      <c r="B11476" s="4" t="s">
        <v>14431</v>
      </c>
      <c r="C11476" s="5" t="str">
        <f>IFERROR(__xludf.DUMMYFUNCTION("GOOGLETRANSLATE(B11476,""en"",""zh-CN"")"),"她在最后拍了拍手。")</f>
        <v>她在最后拍了拍手。</v>
      </c>
    </row>
    <row r="11477">
      <c r="A11477" s="4" t="s">
        <v>14432</v>
      </c>
      <c r="B11477" s="4" t="s">
        <v>14433</v>
      </c>
      <c r="C11477" s="5" t="str">
        <f>IFERROR(__xludf.DUMMYFUNCTION("GOOGLETRANSLATE(B11477,""en"",""zh-CN"")"),"一群人去打保龄球馆，失败了。")</f>
        <v>一群人去打保龄球馆，失败了。</v>
      </c>
    </row>
    <row r="11478">
      <c r="A11478" s="4" t="s">
        <v>14432</v>
      </c>
      <c r="B11478" s="4" t="s">
        <v>14434</v>
      </c>
      <c r="C11478" s="5" t="str">
        <f>IFERROR(__xludf.DUMMYFUNCTION("GOOGLETRANSLATE(B11478,""en"",""zh-CN"")"),"一个女人与别针说话，并弄清楚了销钉是如何设置和更换的。")</f>
        <v>一个女人与别针说话，并弄清楚了销钉是如何设置和更换的。</v>
      </c>
    </row>
    <row r="11479">
      <c r="A11479" s="4" t="s">
        <v>14435</v>
      </c>
      <c r="B11479" s="6" t="s">
        <v>14436</v>
      </c>
      <c r="C11479" s="5" t="str">
        <f>IFERROR(__xludf.DUMMYFUNCTION("GOOGLETRANSLATE(B11479,""en"",""zh-CN"")"),"看到一小群人坐在桌子旁边，同时使用水烟和蒸气笔。")</f>
        <v>看到一小群人坐在桌子旁边，同时使用水烟和蒸气笔。</v>
      </c>
    </row>
    <row r="11480">
      <c r="A11480" s="4" t="s">
        <v>14435</v>
      </c>
      <c r="B11480" s="6" t="s">
        <v>14437</v>
      </c>
      <c r="C11480" s="5" t="str">
        <f>IFERROR(__xludf.DUMMYFUNCTION("GOOGLETRANSLATE(B11480,""en"",""zh-CN"")"),"当人们开始炫耀自己的身体并在房间周围播放时，这些人继续吸烟并看着相机。")</f>
        <v>当人们开始炫耀自己的身体并在房间周围播放时，这些人继续吸烟并看着相机。</v>
      </c>
    </row>
    <row r="11481">
      <c r="A11481" s="4" t="s">
        <v>14438</v>
      </c>
      <c r="B11481" s="6" t="s">
        <v>14439</v>
      </c>
      <c r="C11481" s="5" t="str">
        <f>IFERROR(__xludf.DUMMYFUNCTION("GOOGLETRANSLATE(B11481,""en"",""zh-CN"")"),"关于如何包装礼物的教程，首先，您将能动纸包装到足够的包装纸上，然后将礼物放在其顶部，以确保它的尺寸不错。")</f>
        <v>关于如何包装礼物的教程，首先，您将能动纸包装到足够的包装纸上，然后将礼物放在其顶部，以确保它的尺寸不错。</v>
      </c>
    </row>
    <row r="11482">
      <c r="A11482" s="4" t="s">
        <v>14438</v>
      </c>
      <c r="B11482" s="4" t="s">
        <v>14440</v>
      </c>
      <c r="C11482" s="5" t="str">
        <f>IFERROR(__xludf.DUMMYFUNCTION("GOOGLETRANSLATE(B11482,""en"",""zh-CN"")"),"然后，您将包装纸的一个角落折叠成三角形，然后反复按下。")</f>
        <v>然后，您将包装纸的一个角落折叠成三角形，然后反复按下。</v>
      </c>
    </row>
    <row r="11483">
      <c r="A11483" s="4" t="s">
        <v>14438</v>
      </c>
      <c r="B11483" s="4" t="s">
        <v>14441</v>
      </c>
      <c r="C11483" s="5" t="str">
        <f>IFERROR(__xludf.DUMMYFUNCTION("GOOGLETRANSLATE(B11483,""en"",""zh-CN"")"),"然后，您会切割边缘和胶带，使包装的外部粘住。")</f>
        <v>然后，您会切割边缘和胶带，使包装的外部粘住。</v>
      </c>
    </row>
    <row r="11484">
      <c r="A11484" s="4" t="s">
        <v>14438</v>
      </c>
      <c r="B11484" s="6" t="s">
        <v>14442</v>
      </c>
      <c r="C11484" s="5" t="str">
        <f>IFERROR(__xludf.DUMMYFUNCTION("GOOGLETRANSLATE(B11484,""en"",""zh-CN"")"),"最后，您将礼物放在纸上，然后将纸张折叠得很好，然后将其粘住，并有一个漂亮的礼物。")</f>
        <v>最后，您将礼物放在纸上，然后将纸张折叠得很好，然后将其粘住，并有一个漂亮的礼物。</v>
      </c>
    </row>
    <row r="11485">
      <c r="A11485" s="4" t="s">
        <v>14443</v>
      </c>
      <c r="B11485" s="6" t="s">
        <v>14444</v>
      </c>
      <c r="C11485" s="5" t="str">
        <f>IFERROR(__xludf.DUMMYFUNCTION("GOOGLETRANSLATE(B11485,""en"",""zh-CN"")"),"视频的开头显示了各种男人的图片，然后显示了几行文本。")</f>
        <v>视频的开头显示了各种男人的图片，然后显示了几行文本。</v>
      </c>
    </row>
    <row r="11486">
      <c r="A11486" s="4" t="s">
        <v>14443</v>
      </c>
      <c r="B11486" s="4" t="s">
        <v>14445</v>
      </c>
      <c r="C11486" s="5" t="str">
        <f>IFERROR(__xludf.DUMMYFUNCTION("GOOGLETRANSLATE(B11486,""en"",""zh-CN"")"),"然后看到这些人在拯救一些守门员和守门员的同时将足球踢进进球。")</f>
        <v>然后看到这些人在拯救一些守门员和守门员的同时将足球踢进进球。</v>
      </c>
    </row>
    <row r="11487">
      <c r="A11487" s="4" t="s">
        <v>14446</v>
      </c>
      <c r="B11487" s="6" t="s">
        <v>14447</v>
      </c>
      <c r="C11487" s="5" t="str">
        <f>IFERROR(__xludf.DUMMYFUNCTION("GOOGLETRANSLATE(B11487,""en"",""zh-CN"")"),"看到一个男人在玩小提琴，而相机周围的整个镜头上下移动手臂。")</f>
        <v>看到一个男人在玩小提琴，而相机周围的整个镜头上下移动手臂。</v>
      </c>
    </row>
    <row r="11488">
      <c r="A11488" s="4" t="s">
        <v>14446</v>
      </c>
      <c r="B11488" s="6" t="s">
        <v>14448</v>
      </c>
      <c r="C11488" s="5" t="str">
        <f>IFERROR(__xludf.DUMMYFUNCTION("GOOGLETRANSLATE(B11488,""en"",""zh-CN"")"),"该男子继续踢球，而其他人则在他身后玩耍，小提琴手在演奏和观看观众。")</f>
        <v>该男子继续踢球，而其他人则在他身后玩耍，小提琴手在演奏和观看观众。</v>
      </c>
    </row>
    <row r="11489">
      <c r="A11489" s="4" t="s">
        <v>14449</v>
      </c>
      <c r="B11489" s="6" t="s">
        <v>14450</v>
      </c>
      <c r="C11489" s="5" t="str">
        <f>IFERROR(__xludf.DUMMYFUNCTION("GOOGLETRANSLATE(B11489,""en"",""zh-CN"")"),"看到一群人在室内领域踢足球比赛，而一群人则在侧面观看。")</f>
        <v>看到一群人在室内领域踢足球比赛，而一群人则在侧面观看。</v>
      </c>
    </row>
    <row r="11490">
      <c r="A11490" s="4" t="s">
        <v>14449</v>
      </c>
      <c r="B11490" s="6" t="s">
        <v>14451</v>
      </c>
      <c r="C11490" s="5" t="str">
        <f>IFERROR(__xludf.DUMMYFUNCTION("GOOGLETRANSLATE(B11490,""en"",""zh-CN"")"),"人们在看台上表现出战斗，球员们四处走动，看着战斗，护理人员将一个人带走。")</f>
        <v>人们在看台上表现出战斗，球员们四处走动，看着战斗，护理人员将一个人带走。</v>
      </c>
    </row>
    <row r="11491">
      <c r="A11491" s="4" t="s">
        <v>14452</v>
      </c>
      <c r="B11491" s="4" t="s">
        <v>14453</v>
      </c>
      <c r="C11491" s="5" t="str">
        <f>IFERROR(__xludf.DUMMYFUNCTION("GOOGLETRANSLATE(B11491,""en"",""zh-CN"")"),"带有文本的屏幕提供了事件的详细信息。")</f>
        <v>带有文本的屏幕提供了事件的详细信息。</v>
      </c>
    </row>
    <row r="11492">
      <c r="A11492" s="4" t="s">
        <v>14452</v>
      </c>
      <c r="B11492" s="4" t="s">
        <v>14454</v>
      </c>
      <c r="C11492" s="5" t="str">
        <f>IFERROR(__xludf.DUMMYFUNCTION("GOOGLETRANSLATE(B11492,""en"",""zh-CN"")"),"在强烈的面部表情中看到男孩的脸被近距离观察。")</f>
        <v>在强烈的面部表情中看到男孩的脸被近距离观察。</v>
      </c>
    </row>
    <row r="11493">
      <c r="A11493" s="4" t="s">
        <v>14452</v>
      </c>
      <c r="B11493" s="4" t="s">
        <v>14455</v>
      </c>
      <c r="C11493" s="5" t="str">
        <f>IFERROR(__xludf.DUMMYFUNCTION("GOOGLETRANSLATE(B11493,""en"",""zh-CN"")"),"两个男孩玩一场激烈的桌上足球比赛。")</f>
        <v>两个男孩玩一场激烈的桌上足球比赛。</v>
      </c>
    </row>
    <row r="11494">
      <c r="A11494" s="4" t="s">
        <v>14452</v>
      </c>
      <c r="B11494" s="4" t="s">
        <v>14456</v>
      </c>
      <c r="C11494" s="5" t="str">
        <f>IFERROR(__xludf.DUMMYFUNCTION("GOOGLETRANSLATE(B11494,""en"",""zh-CN"")"),"这个男孩赢得了比赛，另一个男孩用一把乒乓球比赛击中了他。")</f>
        <v>这个男孩赢得了比赛，另一个男孩用一把乒乓球比赛击中了他。</v>
      </c>
    </row>
    <row r="11495">
      <c r="A11495" s="4" t="s">
        <v>14457</v>
      </c>
      <c r="B11495" s="4" t="s">
        <v>14458</v>
      </c>
      <c r="C11495" s="5" t="str">
        <f>IFERROR(__xludf.DUMMYFUNCTION("GOOGLETRANSLATE(B11495,""en"",""zh-CN"")"),"一个男人在他的前院来回割草。")</f>
        <v>一个男人在他的前院来回割草。</v>
      </c>
    </row>
    <row r="11496">
      <c r="A11496" s="4" t="s">
        <v>14457</v>
      </c>
      <c r="B11496" s="4" t="s">
        <v>14459</v>
      </c>
      <c r="C11496" s="5" t="str">
        <f>IFERROR(__xludf.DUMMYFUNCTION("GOOGLETRANSLATE(B11496,""en"",""zh-CN"")"),"然后，该视频向他展示了与第一个位置不同的位置割草。")</f>
        <v>然后，该视频向他展示了与第一个位置不同的位置割草。</v>
      </c>
    </row>
    <row r="11497">
      <c r="A11497" s="4" t="s">
        <v>14460</v>
      </c>
      <c r="B11497" s="6" t="s">
        <v>14461</v>
      </c>
      <c r="C11497" s="5" t="str">
        <f>IFERROR(__xludf.DUMMYFUNCTION("GOOGLETRANSLATE(B11497,""en"",""zh-CN"")"),"看到一个男人站在一组重物后面，指向他的身体时，在相机上说话。")</f>
        <v>看到一个男人站在一组重物后面，指向他的身体时，在相机上说话。</v>
      </c>
    </row>
    <row r="11498">
      <c r="A11498" s="4" t="s">
        <v>14460</v>
      </c>
      <c r="B11498" s="4" t="s">
        <v>14462</v>
      </c>
      <c r="C11498" s="5" t="str">
        <f>IFERROR(__xludf.DUMMYFUNCTION("GOOGLETRANSLATE(B11498,""en"",""zh-CN"")"),"然后，该男子弯下腰，抓住酒吧，同时仍在与相机交谈。")</f>
        <v>然后，该男子弯下腰，抓住酒吧，同时仍在与相机交谈。</v>
      </c>
    </row>
    <row r="11499">
      <c r="A11499" s="4" t="s">
        <v>14460</v>
      </c>
      <c r="B11499" s="4" t="s">
        <v>14463</v>
      </c>
      <c r="C11499" s="5" t="str">
        <f>IFERROR(__xludf.DUMMYFUNCTION("GOOGLETRANSLATE(B11499,""en"",""zh-CN"")"),"该男子在仍在与相机交谈的同时再次向下抬起酒吧。")</f>
        <v>该男子在仍在与相机交谈的同时再次向下抬起酒吧。</v>
      </c>
    </row>
    <row r="11500">
      <c r="A11500" s="4" t="s">
        <v>14464</v>
      </c>
      <c r="B11500" s="4" t="s">
        <v>14465</v>
      </c>
      <c r="C11500" s="5" t="str">
        <f>IFERROR(__xludf.DUMMYFUNCTION("GOOGLETRANSLATE(B11500,""en"",""zh-CN"")"),"一个穿着白色燕尾服的男人被一个穿着婚纱的女人带到了皮纳塔。")</f>
        <v>一个穿着白色燕尾服的男人被一个穿着婚纱的女人带到了皮纳塔。</v>
      </c>
    </row>
    <row r="11501">
      <c r="A11501" s="4" t="s">
        <v>14464</v>
      </c>
      <c r="B11501" s="4" t="s">
        <v>14466</v>
      </c>
      <c r="C11501" s="5" t="str">
        <f>IFERROR(__xludf.DUMMYFUNCTION("GOOGLETRANSLATE(B11501,""en"",""zh-CN"")"),"他击中了不断上下移动的Pinata。")</f>
        <v>他击中了不断上下移动的Pinata。</v>
      </c>
    </row>
    <row r="11502">
      <c r="A11502" s="4" t="s">
        <v>14467</v>
      </c>
      <c r="B11502" s="4" t="s">
        <v>14468</v>
      </c>
      <c r="C11502" s="5" t="str">
        <f>IFERROR(__xludf.DUMMYFUNCTION("GOOGLETRANSLATE(B11502,""en"",""zh-CN"")"),"一个男人在商店里工作。")</f>
        <v>一个男人在商店里工作。</v>
      </c>
    </row>
    <row r="11503">
      <c r="A11503" s="4" t="s">
        <v>14467</v>
      </c>
      <c r="B11503" s="4" t="s">
        <v>14469</v>
      </c>
      <c r="C11503" s="5" t="str">
        <f>IFERROR(__xludf.DUMMYFUNCTION("GOOGLETRANSLATE(B11503,""en"",""zh-CN"")"),"他将轮胎翻到一块设备上。")</f>
        <v>他将轮胎翻到一块设备上。</v>
      </c>
    </row>
    <row r="11504">
      <c r="A11504" s="4" t="s">
        <v>14467</v>
      </c>
      <c r="B11504" s="4" t="s">
        <v>14470</v>
      </c>
      <c r="C11504" s="5" t="str">
        <f>IFERROR(__xludf.DUMMYFUNCTION("GOOGLETRANSLATE(B11504,""en"",""zh-CN"")"),"他展示了如何将轮胎安装到设备上。")</f>
        <v>他展示了如何将轮胎安装到设备上。</v>
      </c>
    </row>
    <row r="11505">
      <c r="A11505" s="4" t="s">
        <v>14471</v>
      </c>
      <c r="B11505" s="4" t="s">
        <v>14472</v>
      </c>
      <c r="C11505" s="5" t="str">
        <f>IFERROR(__xludf.DUMMYFUNCTION("GOOGLETRANSLATE(B11505,""en"",""zh-CN"")"),"一个女人在办公室里说话。")</f>
        <v>一个女人在办公室里说话。</v>
      </c>
    </row>
    <row r="11506">
      <c r="A11506" s="4" t="s">
        <v>14471</v>
      </c>
      <c r="B11506" s="4" t="s">
        <v>14473</v>
      </c>
      <c r="C11506" s="5" t="str">
        <f>IFERROR(__xludf.DUMMYFUNCTION("GOOGLETRANSLATE(B11506,""en"",""zh-CN"")"),"她被证明给一个老年妇女进行面部治疗。")</f>
        <v>她被证明给一个老年妇女进行面部治疗。</v>
      </c>
    </row>
    <row r="11507">
      <c r="A11507" s="4" t="s">
        <v>14471</v>
      </c>
      <c r="B11507" s="4" t="s">
        <v>14474</v>
      </c>
      <c r="C11507" s="5" t="str">
        <f>IFERROR(__xludf.DUMMYFUNCTION("GOOGLETRANSLATE(B11507,""en"",""zh-CN"")"),"她用物质和乳液擦拭面部。")</f>
        <v>她用物质和乳液擦拭面部。</v>
      </c>
    </row>
    <row r="11508">
      <c r="A11508" s="4" t="s">
        <v>14475</v>
      </c>
      <c r="B11508" s="4" t="s">
        <v>14476</v>
      </c>
      <c r="C11508" s="5" t="str">
        <f>IFERROR(__xludf.DUMMYFUNCTION("GOOGLETRANSLATE(B11508,""en"",""zh-CN"")"),"穿着黑色连衣裙的女人正在舞台上玩袋子管。")</f>
        <v>穿着黑色连衣裙的女人正在舞台上玩袋子管。</v>
      </c>
    </row>
    <row r="11509">
      <c r="A11509" s="4" t="s">
        <v>14475</v>
      </c>
      <c r="B11509" s="4" t="s">
        <v>14477</v>
      </c>
      <c r="C11509" s="5" t="str">
        <f>IFERROR(__xludf.DUMMYFUNCTION("GOOGLETRANSLATE(B11509,""en"",""zh-CN"")"),"“ Ilbo”一词在红色字体中，并在屏幕的左侧向下滚动。")</f>
        <v>“ Ilbo”一词在红色字体中，并在屏幕的左侧向下滚动。</v>
      </c>
    </row>
    <row r="11510">
      <c r="A11510" s="4" t="s">
        <v>14475</v>
      </c>
      <c r="B11510" s="4" t="s">
        <v>14478</v>
      </c>
      <c r="C11510" s="5" t="str">
        <f>IFERROR(__xludf.DUMMYFUNCTION("GOOGLETRANSLATE(B11510,""en"",""zh-CN"")"),"相机放大了女人的手指。")</f>
        <v>相机放大了女人的手指。</v>
      </c>
    </row>
    <row r="11511">
      <c r="A11511" s="4" t="s">
        <v>14475</v>
      </c>
      <c r="B11511" s="4" t="s">
        <v>14479</v>
      </c>
      <c r="C11511" s="5" t="str">
        <f>IFERROR(__xludf.DUMMYFUNCTION("GOOGLETRANSLATE(B11511,""en"",""zh-CN"")"),"相机转向弹钢琴的人。")</f>
        <v>相机转向弹钢琴的人。</v>
      </c>
    </row>
    <row r="11512">
      <c r="A11512" s="4" t="s">
        <v>14475</v>
      </c>
      <c r="B11512" s="4" t="s">
        <v>14480</v>
      </c>
      <c r="C11512" s="5" t="str">
        <f>IFERROR(__xludf.DUMMYFUNCTION("GOOGLETRANSLATE(B11512,""en"",""zh-CN"")"),"乐队还在背景中演奏乐器。")</f>
        <v>乐队还在背景中演奏乐器。</v>
      </c>
    </row>
    <row r="11513">
      <c r="A11513" s="4" t="s">
        <v>14475</v>
      </c>
      <c r="B11513" s="4" t="s">
        <v>14481</v>
      </c>
      <c r="C11513" s="5" t="str">
        <f>IFERROR(__xludf.DUMMYFUNCTION("GOOGLETRANSLATE(B11513,""en"",""zh-CN"")"),"摄像机放大了女人玩袋管的脸。")</f>
        <v>摄像机放大了女人玩袋管的脸。</v>
      </c>
    </row>
    <row r="11514">
      <c r="A11514" s="4" t="s">
        <v>14475</v>
      </c>
      <c r="B11514" s="4" t="s">
        <v>14482</v>
      </c>
      <c r="C11514" s="5" t="str">
        <f>IFERROR(__xludf.DUMMYFUNCTION("GOOGLETRANSLATE(B11514,""en"",""zh-CN"")"),"女人结束了演奏和听众的掌声。")</f>
        <v>女人结束了演奏和听众的掌声。</v>
      </c>
    </row>
    <row r="11515">
      <c r="A11515" s="4" t="s">
        <v>14483</v>
      </c>
      <c r="B11515" s="4" t="s">
        <v>14484</v>
      </c>
      <c r="C11515" s="5" t="str">
        <f>IFERROR(__xludf.DUMMYFUNCTION("GOOGLETRANSLATE(B11515,""en"",""zh-CN"")"),"一个男孩坐在他的房间里，后面。")</f>
        <v>一个男孩坐在他的房间里，后面。</v>
      </c>
    </row>
    <row r="11516">
      <c r="A11516" s="4" t="s">
        <v>14483</v>
      </c>
      <c r="B11516" s="4" t="s">
        <v>14485</v>
      </c>
      <c r="C11516" s="5" t="str">
        <f>IFERROR(__xludf.DUMMYFUNCTION("GOOGLETRANSLATE(B11516,""en"",""zh-CN"")"),"他轻轻地弹鼓和cy。")</f>
        <v>他轻轻地弹鼓和cy。</v>
      </c>
    </row>
    <row r="11517">
      <c r="A11517" s="4" t="s">
        <v>14483</v>
      </c>
      <c r="B11517" s="4" t="s">
        <v>14486</v>
      </c>
      <c r="C11517" s="5" t="str">
        <f>IFERROR(__xludf.DUMMYFUNCTION("GOOGLETRANSLATE(B11517,""en"",""zh-CN"")"),"随着他建立信心，他加快了节奏和力量。")</f>
        <v>随着他建立信心，他加快了节奏和力量。</v>
      </c>
    </row>
    <row r="11518">
      <c r="A11518" s="4" t="s">
        <v>14487</v>
      </c>
      <c r="B11518" s="4" t="s">
        <v>14488</v>
      </c>
      <c r="C11518" s="5" t="str">
        <f>IFERROR(__xludf.DUMMYFUNCTION("GOOGLETRANSLATE(B11518,""en"",""zh-CN"")"),"一个家伙站在海滩上飞翔。")</f>
        <v>一个家伙站在海滩上飞翔。</v>
      </c>
    </row>
    <row r="11519">
      <c r="A11519" s="4" t="s">
        <v>14487</v>
      </c>
      <c r="B11519" s="4" t="s">
        <v>14489</v>
      </c>
      <c r="C11519" s="5" t="str">
        <f>IFERROR(__xludf.DUMMYFUNCTION("GOOGLETRANSLATE(B11519,""en"",""zh-CN"")"),"那个家伙不断地移开风筝的位置。")</f>
        <v>那个家伙不断地移开风筝的位置。</v>
      </c>
    </row>
    <row r="11520">
      <c r="A11520" s="4" t="s">
        <v>14487</v>
      </c>
      <c r="B11520" s="4" t="s">
        <v>14490</v>
      </c>
      <c r="C11520" s="5" t="str">
        <f>IFERROR(__xludf.DUMMYFUNCTION("GOOGLETRANSLATE(B11520,""en"",""zh-CN"")"),"一个人接近那个家伙。")</f>
        <v>一个人接近那个家伙。</v>
      </c>
    </row>
    <row r="11521">
      <c r="A11521" s="4" t="s">
        <v>14491</v>
      </c>
      <c r="B11521" s="4" t="s">
        <v>14492</v>
      </c>
      <c r="C11521" s="5" t="str">
        <f>IFERROR(__xludf.DUMMYFUNCTION("GOOGLETRANSLATE(B11521,""en"",""zh-CN"")"),"一个男人穿着防护装备。")</f>
        <v>一个男人穿着防护装备。</v>
      </c>
    </row>
    <row r="11522">
      <c r="A11522" s="4" t="s">
        <v>14491</v>
      </c>
      <c r="B11522" s="4" t="s">
        <v>14493</v>
      </c>
      <c r="C11522" s="5" t="str">
        <f>IFERROR(__xludf.DUMMYFUNCTION("GOOGLETRANSLATE(B11522,""en"",""zh-CN"")"),"他正在使用焊工并在金属上工作时创造出明亮的光线。")</f>
        <v>他正在使用焊工并在金属上工作时创造出明亮的光线。</v>
      </c>
    </row>
    <row r="11523">
      <c r="A11523" s="4" t="s">
        <v>14491</v>
      </c>
      <c r="B11523" s="4" t="s">
        <v>14494</v>
      </c>
      <c r="C11523" s="5" t="str">
        <f>IFERROR(__xludf.DUMMYFUNCTION("GOOGLETRANSLATE(B11523,""en"",""zh-CN"")"),"完成后，他停下来看着相机，炫耀完整的焊接。")</f>
        <v>完成后，他停下来看着相机，炫耀完整的焊接。</v>
      </c>
    </row>
    <row r="11524">
      <c r="A11524" s="4" t="s">
        <v>14495</v>
      </c>
      <c r="B11524" s="4" t="s">
        <v>14496</v>
      </c>
      <c r="C11524" s="5" t="str">
        <f>IFERROR(__xludf.DUMMYFUNCTION("GOOGLETRANSLATE(B11524,""en"",""zh-CN"")"),"显示了一个大型户外运动场。")</f>
        <v>显示了一个大型户外运动场。</v>
      </c>
    </row>
    <row r="11525">
      <c r="A11525" s="4" t="s">
        <v>14495</v>
      </c>
      <c r="B11525" s="4" t="s">
        <v>14497</v>
      </c>
      <c r="C11525" s="5" t="str">
        <f>IFERROR(__xludf.DUMMYFUNCTION("GOOGLETRANSLATE(B11525,""en"",""zh-CN"")"),"一个人跑步并做一个成功的撑竿跳高。")</f>
        <v>一个人跑步并做一个成功的撑竿跳高。</v>
      </c>
    </row>
    <row r="11526">
      <c r="A11526" s="4" t="s">
        <v>14495</v>
      </c>
      <c r="B11526" s="4" t="s">
        <v>14498</v>
      </c>
      <c r="C11526" s="5" t="str">
        <f>IFERROR(__xludf.DUMMYFUNCTION("GOOGLETRANSLATE(B11526,""en"",""zh-CN"")"),"他从垫子站起来，捡起杆子。")</f>
        <v>他从垫子站起来，捡起杆子。</v>
      </c>
    </row>
    <row r="11527">
      <c r="A11527" s="4" t="s">
        <v>14499</v>
      </c>
      <c r="B11527" s="4" t="s">
        <v>14500</v>
      </c>
      <c r="C11527" s="5" t="str">
        <f>IFERROR(__xludf.DUMMYFUNCTION("GOOGLETRANSLATE(B11527,""en"",""zh-CN"")"),"相机在公园以及湖泊和一个男人在相机上说话。")</f>
        <v>相机在公园以及湖泊和一个男人在相机上说话。</v>
      </c>
    </row>
    <row r="11528">
      <c r="A11528" s="4" t="s">
        <v>14499</v>
      </c>
      <c r="B11528" s="6" t="s">
        <v>14501</v>
      </c>
      <c r="C11528" s="5" t="str">
        <f>IFERROR(__xludf.DUMMYFUNCTION("GOOGLETRANSLATE(B11528,""en"",""zh-CN"")"),"摄像头朝着装满物体的独木舟周围摇晃，并通向男人，然后向相机说话。")</f>
        <v>摄像头朝着装满物体的独木舟周围摇晃，并通向男人，然后向相机说话。</v>
      </c>
    </row>
    <row r="11529">
      <c r="A11529" s="4" t="s">
        <v>14499</v>
      </c>
      <c r="B11529" s="4" t="s">
        <v>14502</v>
      </c>
      <c r="C11529" s="5" t="str">
        <f>IFERROR(__xludf.DUMMYFUNCTION("GOOGLETRANSLATE(B11529,""en"",""zh-CN"")"),"在附近的动物以及男人和女人在相机上说话。")</f>
        <v>在附近的动物以及男人和女人在相机上说话。</v>
      </c>
    </row>
    <row r="11530">
      <c r="A11530" s="4" t="s">
        <v>14503</v>
      </c>
      <c r="B11530" s="4" t="s">
        <v>14504</v>
      </c>
      <c r="C11530" s="5" t="str">
        <f>IFERROR(__xludf.DUMMYFUNCTION("GOOGLETRANSLATE(B11530,""en"",""zh-CN"")"),"人们在海滩上打排球。")</f>
        <v>人们在海滩上打排球。</v>
      </c>
    </row>
    <row r="11531">
      <c r="A11531" s="4" t="s">
        <v>14503</v>
      </c>
      <c r="B11531" s="4" t="s">
        <v>14505</v>
      </c>
      <c r="C11531" s="5" t="str">
        <f>IFERROR(__xludf.DUMMYFUNCTION("GOOGLETRANSLATE(B11531,""en"",""zh-CN"")"),"一个女孩跌倒在沙滩上。")</f>
        <v>一个女孩跌倒在沙滩上。</v>
      </c>
    </row>
    <row r="11532">
      <c r="A11532" s="4" t="s">
        <v>14503</v>
      </c>
      <c r="B11532" s="4" t="s">
        <v>14506</v>
      </c>
      <c r="C11532" s="5" t="str">
        <f>IFERROR(__xludf.DUMMYFUNCTION("GOOGLETRANSLATE(B11532,""en"",""zh-CN"")"),"一个女孩举起双手。")</f>
        <v>一个女孩举起双手。</v>
      </c>
    </row>
    <row r="11533">
      <c r="A11533" s="4" t="s">
        <v>14507</v>
      </c>
      <c r="B11533" s="6" t="s">
        <v>14508</v>
      </c>
      <c r="C11533" s="5" t="str">
        <f>IFERROR(__xludf.DUMMYFUNCTION("GOOGLETRANSLATE(B11533,""en"",""zh-CN"")"),"屏幕上两次出现黑色屏幕，黑色文字出现，然后在淡出屏幕上滚动滚动。")</f>
        <v>屏幕上两次出现黑色屏幕，黑色文字出现，然后在淡出屏幕上滚动滚动。</v>
      </c>
    </row>
    <row r="11534">
      <c r="A11534" s="4" t="s">
        <v>14507</v>
      </c>
      <c r="B11534" s="4" t="s">
        <v>14509</v>
      </c>
      <c r="C11534" s="5" t="str">
        <f>IFERROR(__xludf.DUMMYFUNCTION("GOOGLETRANSLATE(B11534,""en"",""zh-CN"")"),"生命背心的三个孩子和两名监督成年人正在木筏上等待漂流。")</f>
        <v>生命背心的三个孩子和两名监督成年人正在木筏上等待漂流。</v>
      </c>
    </row>
    <row r="11535">
      <c r="A11535" s="4" t="s">
        <v>14507</v>
      </c>
      <c r="B11535" s="4" t="s">
        <v>14510</v>
      </c>
      <c r="C11535" s="5" t="str">
        <f>IFERROR(__xludf.DUMMYFUNCTION("GOOGLETRANSLATE(B11535,""en"",""zh-CN"")"),"该小组在河流上漂流，所有的颠簸和水飞溅。")</f>
        <v>该小组在河流上漂流，所有的颠簸和水飞溅。</v>
      </c>
    </row>
    <row r="11536">
      <c r="A11536" s="4" t="s">
        <v>14507</v>
      </c>
      <c r="B11536" s="4" t="s">
        <v>14511</v>
      </c>
      <c r="C11536" s="5" t="str">
        <f>IFERROR(__xludf.DUMMYFUNCTION("GOOGLETRANSLATE(B11536,""en"",""zh-CN"")"),"屏幕上有一个黄色文字显示它们所在的位置。")</f>
        <v>屏幕上有一个黄色文字显示它们所在的位置。</v>
      </c>
    </row>
    <row r="11537">
      <c r="A11537" s="4" t="s">
        <v>14507</v>
      </c>
      <c r="B11537" s="4" t="s">
        <v>14512</v>
      </c>
      <c r="C11537" s="5" t="str">
        <f>IFERROR(__xludf.DUMMYFUNCTION("GOOGLETRANSLATE(B11537,""en"",""zh-CN"")"),"孩子们在目的地，一个年轻女孩接近凸轮并在其中挥手。")</f>
        <v>孩子们在目的地，一个年轻女孩接近凸轮并在其中挥手。</v>
      </c>
    </row>
    <row r="11538">
      <c r="A11538" s="4" t="s">
        <v>14507</v>
      </c>
      <c r="B11538" s="6" t="s">
        <v>14513</v>
      </c>
      <c r="C11538" s="5" t="str">
        <f>IFERROR(__xludf.DUMMYFUNCTION("GOOGLETRANSLATE(B11538,""en"",""zh-CN"")"),"出现一个白色屏幕，两个单词在sceeen的顶部出现一个黄色，屏幕的底部为蓝色，然后两者都从屏幕上移开。")</f>
        <v>出现一个白色屏幕，两个单词在sceeen的顶部出现一个黄色，屏幕的底部为蓝色，然后两者都从屏幕上移开。</v>
      </c>
    </row>
    <row r="11539">
      <c r="A11539" s="4" t="s">
        <v>14514</v>
      </c>
      <c r="B11539" s="4" t="s">
        <v>14515</v>
      </c>
      <c r="C11539" s="5" t="str">
        <f>IFERROR(__xludf.DUMMYFUNCTION("GOOGLETRANSLATE(B11539,""en"",""zh-CN"")"),"一个女人在拿着麦克风时在舞台上与一个小女孩说话。")</f>
        <v>一个女人在拿着麦克风时在舞台上与一个小女孩说话。</v>
      </c>
    </row>
    <row r="11540">
      <c r="A11540" s="4" t="s">
        <v>14514</v>
      </c>
      <c r="B11540" s="4" t="s">
        <v>14516</v>
      </c>
      <c r="C11540" s="5" t="str">
        <f>IFERROR(__xludf.DUMMYFUNCTION("GOOGLETRANSLATE(B11540,""en"",""zh-CN"")"),"这个女孩说麦克风，然后表演芭蕾舞。")</f>
        <v>这个女孩说麦克风，然后表演芭蕾舞。</v>
      </c>
    </row>
    <row r="11541">
      <c r="A11541" s="4" t="s">
        <v>14514</v>
      </c>
      <c r="B11541" s="4" t="s">
        <v>14517</v>
      </c>
      <c r="C11541" s="5" t="str">
        <f>IFERROR(__xludf.DUMMYFUNCTION("GOOGLETRANSLATE(B11541,""en"",""zh-CN"")"),"她在舞台上为观众跳舞。")</f>
        <v>她在舞台上为观众跳舞。</v>
      </c>
    </row>
    <row r="11542">
      <c r="A11542" s="4" t="s">
        <v>14514</v>
      </c>
      <c r="B11542" s="4" t="s">
        <v>14518</v>
      </c>
      <c r="C11542" s="5" t="str">
        <f>IFERROR(__xludf.DUMMYFUNCTION("GOOGLETRANSLATE(B11542,""en"",""zh-CN"")"),"完成表演时，她跌倒了一条膝盖。")</f>
        <v>完成表演时，她跌倒了一条膝盖。</v>
      </c>
    </row>
    <row r="11543">
      <c r="A11543" s="4" t="s">
        <v>14519</v>
      </c>
      <c r="B11543" s="4" t="s">
        <v>14520</v>
      </c>
      <c r="C11543" s="5" t="str">
        <f>IFERROR(__xludf.DUMMYFUNCTION("GOOGLETRANSLATE(B11543,""en"",""zh-CN"")"),"一个人搅动一大碗柠檬水。")</f>
        <v>一个人搅动一大碗柠檬水。</v>
      </c>
    </row>
    <row r="11544">
      <c r="A11544" s="4" t="s">
        <v>14519</v>
      </c>
      <c r="B11544" s="4" t="s">
        <v>14521</v>
      </c>
      <c r="C11544" s="5" t="str">
        <f>IFERROR(__xludf.DUMMYFUNCTION("GOOGLETRANSLATE(B11544,""en"",""zh-CN"")"),"一个女人正在砍土豆。")</f>
        <v>一个女人正在砍土豆。</v>
      </c>
    </row>
    <row r="11545">
      <c r="A11545" s="4" t="s">
        <v>14519</v>
      </c>
      <c r="B11545" s="4" t="s">
        <v>14522</v>
      </c>
      <c r="C11545" s="5" t="str">
        <f>IFERROR(__xludf.DUMMYFUNCTION("GOOGLETRANSLATE(B11545,""en"",""zh-CN"")"),"她将土豆加到一大锅水中。")</f>
        <v>她将土豆加到一大锅水中。</v>
      </c>
    </row>
    <row r="11546">
      <c r="A11546" s="4" t="s">
        <v>14519</v>
      </c>
      <c r="B11546" s="4" t="s">
        <v>14523</v>
      </c>
      <c r="C11546" s="5" t="str">
        <f>IFERROR(__xludf.DUMMYFUNCTION("GOOGLETRANSLATE(B11546,""en"",""zh-CN"")"),"她将柠檬和生菜和黄瓜添加到碗中。")</f>
        <v>她将柠檬和生菜和黄瓜添加到碗中。</v>
      </c>
    </row>
    <row r="11547">
      <c r="A11547" s="4" t="s">
        <v>14519</v>
      </c>
      <c r="B11547" s="4" t="s">
        <v>14524</v>
      </c>
      <c r="C11547" s="5" t="str">
        <f>IFERROR(__xludf.DUMMYFUNCTION("GOOGLETRANSLATE(B11547,""en"",""zh-CN"")"),"她将所有这些混合在一起。")</f>
        <v>她将所有这些混合在一起。</v>
      </c>
    </row>
    <row r="11548">
      <c r="A11548" s="4" t="s">
        <v>14525</v>
      </c>
      <c r="B11548" s="4" t="s">
        <v>14526</v>
      </c>
      <c r="C11548" s="5" t="str">
        <f>IFERROR(__xludf.DUMMYFUNCTION("GOOGLETRANSLATE(B11548,""en"",""zh-CN"")"),"我们看到一个男人指示另一个男人射击箭。")</f>
        <v>我们看到一个男人指示另一个男人射击箭。</v>
      </c>
    </row>
    <row r="11549">
      <c r="A11549" s="4" t="s">
        <v>14525</v>
      </c>
      <c r="B11549" s="4" t="s">
        <v>14527</v>
      </c>
      <c r="C11549" s="5" t="str">
        <f>IFERROR(__xludf.DUMMYFUNCTION("GOOGLETRANSLATE(B11549,""en"",""zh-CN"")"),"男人首先错过了。")</f>
        <v>男人首先错过了。</v>
      </c>
    </row>
    <row r="11550">
      <c r="A11550" s="4" t="s">
        <v>14525</v>
      </c>
      <c r="B11550" s="4" t="s">
        <v>14528</v>
      </c>
      <c r="C11550" s="5" t="str">
        <f>IFERROR(__xludf.DUMMYFUNCTION("GOOGLETRANSLATE(B11550,""en"",""zh-CN"")"),"该男子加载另一支箭头。")</f>
        <v>该男子加载另一支箭头。</v>
      </c>
    </row>
    <row r="11551">
      <c r="A11551" s="4" t="s">
        <v>14525</v>
      </c>
      <c r="B11551" s="4" t="s">
        <v>14529</v>
      </c>
      <c r="C11551" s="5" t="str">
        <f>IFERROR(__xludf.DUMMYFUNCTION("GOOGLETRANSLATE(B11551,""en"",""zh-CN"")"),"我们看到了背景前的目标。")</f>
        <v>我们看到了背景前的目标。</v>
      </c>
    </row>
    <row r="11552">
      <c r="A11552" s="4" t="s">
        <v>14525</v>
      </c>
      <c r="B11552" s="4" t="s">
        <v>14530</v>
      </c>
      <c r="C11552" s="5" t="str">
        <f>IFERROR(__xludf.DUMMYFUNCTION("GOOGLETRANSLATE(B11552,""en"",""zh-CN"")"),"该男子击中了背景，它崩溃了。")</f>
        <v>该男子击中了背景，它崩溃了。</v>
      </c>
    </row>
    <row r="11553">
      <c r="A11553" s="4" t="s">
        <v>14525</v>
      </c>
      <c r="B11553" s="4" t="s">
        <v>14531</v>
      </c>
      <c r="C11553" s="5" t="str">
        <f>IFERROR(__xludf.DUMMYFUNCTION("GOOGLETRANSLATE(B11553,""en"",""zh-CN"")"),"人们都站在笑周围。")</f>
        <v>人们都站在笑周围。</v>
      </c>
    </row>
    <row r="11554">
      <c r="A11554" s="4" t="s">
        <v>14525</v>
      </c>
      <c r="B11554" s="4" t="s">
        <v>14532</v>
      </c>
      <c r="C11554" s="5" t="str">
        <f>IFERROR(__xludf.DUMMYFUNCTION("GOOGLETRANSLATE(B11554,""en"",""zh-CN"")"),"讲师走到目标。")</f>
        <v>讲师走到目标。</v>
      </c>
    </row>
    <row r="11555">
      <c r="A11555" s="4" t="s">
        <v>14533</v>
      </c>
      <c r="B11555" s="4" t="s">
        <v>14534</v>
      </c>
      <c r="C11555" s="5" t="str">
        <f>IFERROR(__xludf.DUMMYFUNCTION("GOOGLETRANSLATE(B11555,""en"",""zh-CN"")"),"一对滑雪板显示出一堆烟雾。")</f>
        <v>一对滑雪板显示出一堆烟雾。</v>
      </c>
    </row>
    <row r="11556">
      <c r="A11556" s="4" t="s">
        <v>14533</v>
      </c>
      <c r="B11556" s="4" t="s">
        <v>14535</v>
      </c>
      <c r="C11556" s="5" t="str">
        <f>IFERROR(__xludf.DUMMYFUNCTION("GOOGLETRANSLATE(B11556,""en"",""zh-CN"")"),"一个人正在雕刻设计，将它们烧成木头。")</f>
        <v>一个人正在雕刻设计，将它们烧成木头。</v>
      </c>
    </row>
    <row r="11557">
      <c r="A11557" s="4" t="s">
        <v>14533</v>
      </c>
      <c r="B11557" s="4" t="s">
        <v>14536</v>
      </c>
      <c r="C11557" s="5" t="str">
        <f>IFERROR(__xludf.DUMMYFUNCTION("GOOGLETRANSLATE(B11557,""en"",""zh-CN"")"),"然后，他在木板上耙一枚铁，设置图像。")</f>
        <v>然后，他在木板上耙一枚铁，设置图像。</v>
      </c>
    </row>
    <row r="11558">
      <c r="A11558" s="4" t="s">
        <v>14537</v>
      </c>
      <c r="B11558" s="6" t="s">
        <v>14538</v>
      </c>
      <c r="C11558" s="5" t="str">
        <f>IFERROR(__xludf.DUMMYFUNCTION("GOOGLETRANSLATE(B11558,""en"",""zh-CN"")"),"看到一个男人说话，迈克（Mike）过渡到啤酒乒乓球以及玩耍的人的特写。")</f>
        <v>看到一个男人说话，迈克（Mike）过渡到啤酒乒乓球以及玩耍的人的特写。</v>
      </c>
    </row>
    <row r="11559">
      <c r="A11559" s="4" t="s">
        <v>14537</v>
      </c>
      <c r="B11559" s="6" t="s">
        <v>14539</v>
      </c>
      <c r="C11559" s="5" t="str">
        <f>IFERROR(__xludf.DUMMYFUNCTION("GOOGLETRANSLATE(B11559,""en"",""zh-CN"")"),"倒了啤酒，人们在摇滚，纸，剪刀，交易和计算机屏幕上播放啤酒。")</f>
        <v>倒了啤酒，人们在摇滚，纸，剪刀，交易和计算机屏幕上播放啤酒。</v>
      </c>
    </row>
    <row r="11560">
      <c r="A11560" s="4" t="s">
        <v>14537</v>
      </c>
      <c r="B11560" s="6" t="s">
        <v>14540</v>
      </c>
      <c r="C11560" s="5" t="str">
        <f>IFERROR(__xludf.DUMMYFUNCTION("GOOGLETRANSLATE(B11560,""en"",""zh-CN"")"),"越来越多的人在在相机上采访并在房间里走来走去时，会在玩啤酒乒乓球。")</f>
        <v>越来越多的人在在相机上采访并在房间里走来走去时，会在玩啤酒乒乓球。</v>
      </c>
    </row>
    <row r="11561">
      <c r="A11561" s="4" t="s">
        <v>14537</v>
      </c>
      <c r="B11561" s="6" t="s">
        <v>14541</v>
      </c>
      <c r="C11561" s="5" t="str">
        <f>IFERROR(__xludf.DUMMYFUNCTION("GOOGLETRANSLATE(B11561,""en"",""zh-CN"")"),"还显示了一些人跳舞，打乒乓球，战斗和互相交谈的镜头。")</f>
        <v>还显示了一些人跳舞，打乒乓球，战斗和互相交谈的镜头。</v>
      </c>
    </row>
    <row r="11562">
      <c r="A11562" s="4" t="s">
        <v>14542</v>
      </c>
      <c r="B11562" s="6" t="s">
        <v>14543</v>
      </c>
      <c r="C11562" s="5" t="str">
        <f>IFERROR(__xludf.DUMMYFUNCTION("GOOGLETRANSLATE(B11562,""en"",""zh-CN"")"),"看到两个人在相机上说话，并陷入了几个彼此打排球的人。")</f>
        <v>看到两个人在相机上说话，并陷入了几个彼此打排球的人。</v>
      </c>
    </row>
    <row r="11563">
      <c r="A11563" s="4" t="s">
        <v>14542</v>
      </c>
      <c r="B11563" s="6" t="s">
        <v>14544</v>
      </c>
      <c r="C11563" s="5" t="str">
        <f>IFERROR(__xludf.DUMMYFUNCTION("GOOGLETRANSLATE(B11563,""en"",""zh-CN"")"),"人们继续参加这项运动，而其他人则与相机交谈，并在侧面观看，彼此高五。")</f>
        <v>人们继续参加这项运动，而其他人则与相机交谈，并在侧面观看，彼此高五。</v>
      </c>
    </row>
    <row r="11564">
      <c r="A11564" s="4" t="s">
        <v>14545</v>
      </c>
      <c r="B11564" s="4" t="s">
        <v>14546</v>
      </c>
      <c r="C11564" s="5" t="str">
        <f>IFERROR(__xludf.DUMMYFUNCTION("GOOGLETRANSLATE(B11564,""en"",""zh-CN"")"),"一个男人沿着裸露的田野走动，而一个女人在他旁边走来走去。")</f>
        <v>一个男人沿着裸露的田野走动，而一个女人在他旁边走来走去。</v>
      </c>
    </row>
    <row r="11565">
      <c r="A11565" s="4" t="s">
        <v>14545</v>
      </c>
      <c r="B11565" s="4" t="s">
        <v>14547</v>
      </c>
      <c r="C11565" s="5" t="str">
        <f>IFERROR(__xludf.DUMMYFUNCTION("GOOGLETRANSLATE(B11565,""en"",""zh-CN"")"),"他回去，第四准备跳跃，最终跳过一根杆子。")</f>
        <v>他回去，第四准备跳跃，最终跳过一根杆子。</v>
      </c>
    </row>
    <row r="11566">
      <c r="A11566" s="4" t="s">
        <v>14545</v>
      </c>
      <c r="B11566" s="4" t="s">
        <v>14548</v>
      </c>
      <c r="C11566" s="5" t="str">
        <f>IFERROR(__xludf.DUMMYFUNCTION("GOOGLETRANSLATE(B11566,""en"",""zh-CN"")"),"一个女孩为他鼓掌，同样的举动再次以慢动作显示。")</f>
        <v>一个女孩为他鼓掌，同样的举动再次以慢动作显示。</v>
      </c>
    </row>
    <row r="11567">
      <c r="A11567" s="4" t="s">
        <v>14549</v>
      </c>
      <c r="B11567" s="4" t="s">
        <v>14550</v>
      </c>
      <c r="C11567" s="5" t="str">
        <f>IFERROR(__xludf.DUMMYFUNCTION("GOOGLETRANSLATE(B11567,""en"",""zh-CN"")"),"视频显示了如何清理汽车的雪。")</f>
        <v>视频显示了如何清理汽车的雪。</v>
      </c>
    </row>
    <row r="11568">
      <c r="A11568" s="4" t="s">
        <v>14549</v>
      </c>
      <c r="B11568" s="4" t="s">
        <v>14551</v>
      </c>
      <c r="C11568" s="5" t="str">
        <f>IFERROR(__xludf.DUMMYFUNCTION("GOOGLETRANSLATE(B11568,""en"",""zh-CN"")"),"一个人折叠一块蓝色布，将其整齐地包裹在雪刷上。")</f>
        <v>一个人折叠一块蓝色布，将其整齐地包裹在雪刷上。</v>
      </c>
    </row>
    <row r="11569">
      <c r="A11569" s="4" t="s">
        <v>14549</v>
      </c>
      <c r="B11569" s="4" t="s">
        <v>14552</v>
      </c>
      <c r="C11569" s="5" t="str">
        <f>IFERROR(__xludf.DUMMYFUNCTION("GOOGLETRANSLATE(B11569,""en"",""zh-CN"")"),"然后，他用刷子轻轻擦拭车辆。")</f>
        <v>然后，他用刷子轻轻擦拭车辆。</v>
      </c>
    </row>
    <row r="11570">
      <c r="A11570" s="4" t="s">
        <v>14549</v>
      </c>
      <c r="B11570" s="4" t="s">
        <v>14553</v>
      </c>
      <c r="C11570" s="5" t="str">
        <f>IFERROR(__xludf.DUMMYFUNCTION("GOOGLETRANSLATE(B11570,""en"",""zh-CN"")"),"视频以汽车商店的广告结尾。")</f>
        <v>视频以汽车商店的广告结尾。</v>
      </c>
    </row>
    <row r="11571">
      <c r="A11571" s="4" t="s">
        <v>14554</v>
      </c>
      <c r="B11571" s="4" t="s">
        <v>14555</v>
      </c>
      <c r="C11571" s="5" t="str">
        <f>IFERROR(__xludf.DUMMYFUNCTION("GOOGLETRANSLATE(B11571,""en"",""zh-CN"")"),"一位怀孕的女士准备一个南瓜进行装饰和雕刻。")</f>
        <v>一位怀孕的女士准备一个南瓜进行装饰和雕刻。</v>
      </c>
    </row>
    <row r="11572">
      <c r="A11572" s="4" t="s">
        <v>14554</v>
      </c>
      <c r="B11572" s="4" t="s">
        <v>14556</v>
      </c>
      <c r="C11572" s="5" t="str">
        <f>IFERROR(__xludf.DUMMYFUNCTION("GOOGLETRANSLATE(B11572,""en"",""zh-CN"")"),"女士将蜡纸放在南瓜上，并在蜡纸图上戳孔。")</f>
        <v>女士将蜡纸放在南瓜上，并在蜡纸图上戳孔。</v>
      </c>
    </row>
    <row r="11573">
      <c r="A11573" s="4" t="s">
        <v>14554</v>
      </c>
      <c r="B11573" s="6" t="s">
        <v>14557</v>
      </c>
      <c r="C11573" s="5" t="str">
        <f>IFERROR(__xludf.DUMMYFUNCTION("GOOGLETRANSLATE(B11573,""en"",""zh-CN"")"),"那位女士取出蜡纸，然后剪掉嘴和眼睛的孔跟踪，并用蜡纸上的孔孔露出来。")</f>
        <v>那位女士取出蜡纸，然后剪掉嘴和眼睛的孔跟踪，并用蜡纸上的孔孔露出来。</v>
      </c>
    </row>
    <row r="11574">
      <c r="A11574" s="4" t="s">
        <v>14554</v>
      </c>
      <c r="B11574" s="4" t="s">
        <v>14558</v>
      </c>
      <c r="C11574" s="5" t="str">
        <f>IFERROR(__xludf.DUMMYFUNCTION("GOOGLETRANSLATE(B11574,""en"",""zh-CN"")"),"显示完整的雕刻南瓜。")</f>
        <v>显示完整的雕刻南瓜。</v>
      </c>
    </row>
    <row r="11575">
      <c r="A11575" s="4" t="s">
        <v>14559</v>
      </c>
      <c r="B11575" s="6" t="s">
        <v>14560</v>
      </c>
      <c r="C11575" s="5" t="str">
        <f>IFERROR(__xludf.DUMMYFUNCTION("GOOGLETRANSLATE(B11575,""en"",""zh-CN"")"),"看到几只水肺潜水员在海洋周围游泳，而鲨鱼在下面四处移动。")</f>
        <v>看到几只水肺潜水员在海洋周围游泳，而鲨鱼在下面四处移动。</v>
      </c>
    </row>
    <row r="11576">
      <c r="A11576" s="4" t="s">
        <v>14559</v>
      </c>
      <c r="B11576" s="6" t="s">
        <v>14561</v>
      </c>
      <c r="C11576" s="5" t="str">
        <f>IFERROR(__xludf.DUMMYFUNCTION("GOOGLETRANSLATE(B11576,""en"",""zh-CN"")"),"相机不断跟随鲨鱼在水周围，水肺潜水员在移动时相互互动。")</f>
        <v>相机不断跟随鲨鱼在水周围，水肺潜水员在移动时相互互动。</v>
      </c>
    </row>
    <row r="11577">
      <c r="A11577" s="4" t="s">
        <v>14562</v>
      </c>
      <c r="B11577" s="6" t="s">
        <v>14563</v>
      </c>
      <c r="C11577" s="5" t="str">
        <f>IFERROR(__xludf.DUMMYFUNCTION("GOOGLETRANSLATE(B11577,""en"",""zh-CN"")"),"出现了一个蓝色的屏幕，左侧有一个透明的瓶子将液体倒入透明的马提尼酒玻璃中，屏幕左侧出现了白色单词，上面说“女孩混合饮料dot com com com com notre dame pick-me-up to stacey''。")</f>
        <v>出现了一个蓝色的屏幕，左侧有一个透明的瓶子将液体倒入透明的马提尼酒玻璃中，屏幕左侧出现了白色单词，上面说“女孩混合饮料dot com com com com notre dame pick-me-up to stacey''。</v>
      </c>
    </row>
    <row r="11578">
      <c r="A11578" s="4" t="s">
        <v>14562</v>
      </c>
      <c r="B11578" s="6" t="s">
        <v>14564</v>
      </c>
      <c r="C11578" s="5" t="str">
        <f>IFERROR(__xludf.DUMMYFUNCTION("GOOGLETRANSLATE(B11578,""en"",""zh-CN"")"),"一个穿着全黑的黑发女人站在酒吧里说话，她捡起一个清晰的水杯，将冰放入其中，并在谈论它们时触摸她要使用的所有食材。")</f>
        <v>一个穿着全黑的黑发女人站在酒吧里说话，她捡起一个清晰的水杯，将冰放入其中，并在谈论它们时触摸她要使用的所有食材。</v>
      </c>
    </row>
    <row r="11579">
      <c r="A11579" s="4" t="s">
        <v>14562</v>
      </c>
      <c r="B11579" s="6" t="s">
        <v>14565</v>
      </c>
      <c r="C11579" s="5" t="str">
        <f>IFERROR(__xludf.DUMMYFUNCTION("GOOGLETRANSLATE(B11579,""en"",""zh-CN"")"),"然后，女人开始将每种酒精测量到一个射击玻璃杯中，将它们倒入杯子中，从透明瓶中喷出液体，将液体从罐子里倒入杯子中，将汁液从盒子里倒入杯子中，然后将其倒入杯子中，然后在杯子中添加一根吸管，然后将杯子推到柜台的前面。")</f>
        <v>然后，女人开始将每种酒精测量到一个射击玻璃杯中，将它们倒入杯子中，从透明瓶中喷出液体，将液体从罐子里倒入杯子中，将汁液从盒子里倒入杯子中，然后将其倒入杯子中，然后在杯子中添加一根吸管，然后将杯子推到柜台的前面。</v>
      </c>
    </row>
    <row r="11580">
      <c r="A11580" s="4" t="s">
        <v>14562</v>
      </c>
      <c r="B11580" s="6" t="s">
        <v>14566</v>
      </c>
      <c r="C11580" s="5" t="str">
        <f>IFERROR(__xludf.DUMMYFUNCTION("GOOGLETRANSLATE(B11580,""en"",""zh-CN"")"),"在整个过程中，她一直在制作饮料，网站会不时在屏幕底部弹出，然后出现在较厚条纹的红色对角线背景和中间的网站读取www dot girls makingmakingrinks dot com上，出现了遥远的屏幕。 。")</f>
        <v>在整个过程中，她一直在制作饮料，网站会不时在屏幕底部弹出，然后出现在较厚条纹的红色对角线背景和中间的网站读取www dot girls makingmakingrinks dot com上，出现了遥远的屏幕。 。</v>
      </c>
    </row>
    <row r="11581">
      <c r="A11581" s="4" t="s">
        <v>14567</v>
      </c>
      <c r="B11581" s="4" t="s">
        <v>14568</v>
      </c>
      <c r="C11581" s="5" t="str">
        <f>IFERROR(__xludf.DUMMYFUNCTION("GOOGLETRANSLATE(B11581,""en"",""zh-CN"")"),"一个女人站在柜台后面，锐化刀。")</f>
        <v>一个女人站在柜台后面，锐化刀。</v>
      </c>
    </row>
    <row r="11582">
      <c r="A11582" s="4" t="s">
        <v>14567</v>
      </c>
      <c r="B11582" s="4" t="s">
        <v>14569</v>
      </c>
      <c r="C11582" s="5" t="str">
        <f>IFERROR(__xludf.DUMMYFUNCTION("GOOGLETRANSLATE(B11582,""en"",""zh-CN"")"),"她将水倒在刀片上，并继续锐化刀。")</f>
        <v>她将水倒在刀片上，并继续锐化刀。</v>
      </c>
    </row>
    <row r="11583">
      <c r="A11583" s="4" t="s">
        <v>14567</v>
      </c>
      <c r="B11583" s="4" t="s">
        <v>14570</v>
      </c>
      <c r="C11583" s="5" t="str">
        <f>IFERROR(__xludf.DUMMYFUNCTION("GOOGLETRANSLATE(B11583,""en"",""zh-CN"")"),"她拿起一把刀刀并削减刀。")</f>
        <v>她拿起一把刀刀并削减刀。</v>
      </c>
    </row>
    <row r="11584">
      <c r="A11584" s="4" t="s">
        <v>14571</v>
      </c>
      <c r="B11584" s="4" t="s">
        <v>14572</v>
      </c>
      <c r="C11584" s="5" t="str">
        <f>IFERROR(__xludf.DUMMYFUNCTION("GOOGLETRANSLATE(B11584,""en"",""zh-CN"")"),"男人出现在一个带公牛的田野中，“斗牛老挝”一词出现在屏幕上。")</f>
        <v>男人出现在一个带公牛的田野中，“斗牛老挝”一词出现在屏幕上。</v>
      </c>
    </row>
    <row r="11585">
      <c r="A11585" s="4" t="s">
        <v>14571</v>
      </c>
      <c r="B11585" s="4" t="s">
        <v>14573</v>
      </c>
      <c r="C11585" s="5" t="str">
        <f>IFERROR(__xludf.DUMMYFUNCTION("GOOGLETRANSLATE(B11585,""en"",""zh-CN"")"),"这些人聚集在两头公牛的田野周围。")</f>
        <v>这些人聚集在两头公牛的田野周围。</v>
      </c>
    </row>
    <row r="11586">
      <c r="A11586" s="4" t="s">
        <v>14571</v>
      </c>
      <c r="B11586" s="4" t="s">
        <v>14574</v>
      </c>
      <c r="C11586" s="5" t="str">
        <f>IFERROR(__xludf.DUMMYFUNCTION("GOOGLETRANSLATE(B11586,""en"",""zh-CN"")"),"人们鼓励公牛在人民看着时用角战斗。")</f>
        <v>人们鼓励公牛在人民看着时用角战斗。</v>
      </c>
    </row>
    <row r="11587">
      <c r="A11587" s="4" t="s">
        <v>14575</v>
      </c>
      <c r="B11587" s="4" t="s">
        <v>14576</v>
      </c>
      <c r="C11587" s="5" t="str">
        <f>IFERROR(__xludf.DUMMYFUNCTION("GOOGLETRANSLATE(B11587,""en"",""zh-CN"")"),"一个小婴儿在房间里撞到了一个邦戈。")</f>
        <v>一个小婴儿在房间里撞到了一个邦戈。</v>
      </c>
    </row>
    <row r="11588">
      <c r="A11588" s="4" t="s">
        <v>14575</v>
      </c>
      <c r="B11588" s="4" t="s">
        <v>14577</v>
      </c>
      <c r="C11588" s="5" t="str">
        <f>IFERROR(__xludf.DUMMYFUNCTION("GOOGLETRANSLATE(B11588,""en"",""zh-CN"")"),"婴儿停下来，把东西从他的手上拿走。")</f>
        <v>婴儿停下来，把东西从他的手上拿走。</v>
      </c>
    </row>
    <row r="11589">
      <c r="A11589" s="4" t="s">
        <v>14575</v>
      </c>
      <c r="B11589" s="4" t="s">
        <v>14578</v>
      </c>
      <c r="C11589" s="5" t="str">
        <f>IFERROR(__xludf.DUMMYFUNCTION("GOOGLETRANSLATE(B11589,""en"",""zh-CN"")"),"婴儿回到鼓。")</f>
        <v>婴儿回到鼓。</v>
      </c>
    </row>
    <row r="11590">
      <c r="A11590" s="4" t="s">
        <v>14579</v>
      </c>
      <c r="B11590" s="4" t="s">
        <v>14580</v>
      </c>
      <c r="C11590" s="5" t="str">
        <f>IFERROR(__xludf.DUMMYFUNCTION("GOOGLETRANSLATE(B11590,""en"",""zh-CN"")"),"我们看到一家餐厅的外面，底部有像雪这样的雪。")</f>
        <v>我们看到一家餐厅的外面，底部有像雪这样的雪。</v>
      </c>
    </row>
    <row r="11591">
      <c r="A11591" s="4" t="s">
        <v>14579</v>
      </c>
      <c r="B11591" s="4" t="s">
        <v>14581</v>
      </c>
      <c r="C11591" s="5" t="str">
        <f>IFERROR(__xludf.DUMMYFUNCTION("GOOGLETRANSLATE(B11591,""en"",""zh-CN"")"),"我们看到酒吧里的男人，一个人说话麦克风。")</f>
        <v>我们看到酒吧里的男人，一个人说话麦克风。</v>
      </c>
    </row>
    <row r="11592">
      <c r="A11592" s="4" t="s">
        <v>14579</v>
      </c>
      <c r="B11592" s="4" t="s">
        <v>14582</v>
      </c>
      <c r="C11592" s="5" t="str">
        <f>IFERROR(__xludf.DUMMYFUNCTION("GOOGLETRANSLATE(B11592,""en"",""zh-CN"")"),"然后，我们看到女士们在一群男子身上玩啤酒乒乓球。")</f>
        <v>然后，我们看到女士们在一群男子身上玩啤酒乒乓球。</v>
      </c>
    </row>
    <row r="11593">
      <c r="A11593" s="4" t="s">
        <v>14579</v>
      </c>
      <c r="B11593" s="6" t="s">
        <v>14583</v>
      </c>
      <c r="C11593" s="5" t="str">
        <f>IFERROR(__xludf.DUMMYFUNCTION("GOOGLETRANSLATE(B11593,""en"",""zh-CN"")"),"当一个男人站在他们身后拿着摄像头的人身后，两支男子一起玩啤酒乒乓球。")</f>
        <v>当一个男人站在他们身后拿着摄像头的人身后，两支男子一起玩啤酒乒乓球。</v>
      </c>
    </row>
    <row r="11594">
      <c r="A11594" s="4" t="s">
        <v>14579</v>
      </c>
      <c r="B11594" s="4" t="s">
        <v>14584</v>
      </c>
      <c r="C11594" s="5" t="str">
        <f>IFERROR(__xludf.DUMMYFUNCTION("GOOGLETRANSLATE(B11594,""en"",""zh-CN"")"),"我们切换并看到房间里的其他团队在玩耍，并看到两名女士说话。")</f>
        <v>我们切换并看到房间里的其他团队在玩耍，并看到两名女士说话。</v>
      </c>
    </row>
    <row r="11595">
      <c r="A11595" s="4" t="s">
        <v>14579</v>
      </c>
      <c r="B11595" s="4" t="s">
        <v>14585</v>
      </c>
      <c r="C11595" s="5" t="str">
        <f>IFERROR(__xludf.DUMMYFUNCTION("GOOGLETRANSLATE(B11595,""en"",""zh-CN"")"),"然后，我们看到一位女士把球扔在桌子上。")</f>
        <v>然后，我们看到一位女士把球扔在桌子上。</v>
      </c>
    </row>
    <row r="11596">
      <c r="A11596" s="4" t="s">
        <v>14579</v>
      </c>
      <c r="B11596" s="4" t="s">
        <v>3608</v>
      </c>
      <c r="C11596" s="5" t="str">
        <f>IFERROR(__xludf.DUMMYFUNCTION("GOOGLETRANSLATE(B11596,""en"",""zh-CN"")"),"我们看到结尾屏幕。")</f>
        <v>我们看到结尾屏幕。</v>
      </c>
    </row>
    <row r="11597">
      <c r="A11597" s="4" t="s">
        <v>14586</v>
      </c>
      <c r="B11597" s="4" t="s">
        <v>14587</v>
      </c>
      <c r="C11597" s="5" t="str">
        <f>IFERROR(__xludf.DUMMYFUNCTION("GOOGLETRANSLATE(B11597,""en"",""zh-CN"")"),"屏幕上显示了法院的图纸。")</f>
        <v>屏幕上显示了法院的图纸。</v>
      </c>
    </row>
    <row r="11598">
      <c r="A11598" s="4" t="s">
        <v>14586</v>
      </c>
      <c r="B11598" s="4" t="s">
        <v>14588</v>
      </c>
      <c r="C11598" s="5" t="str">
        <f>IFERROR(__xludf.DUMMYFUNCTION("GOOGLETRANSLATE(B11598,""en"",""zh-CN"")"),"我们在室外领域看到了一场足球比赛。")</f>
        <v>我们在室外领域看到了一场足球比赛。</v>
      </c>
    </row>
    <row r="11599">
      <c r="A11599" s="4" t="s">
        <v>14586</v>
      </c>
      <c r="B11599" s="4" t="s">
        <v>14589</v>
      </c>
      <c r="C11599" s="5" t="str">
        <f>IFERROR(__xludf.DUMMYFUNCTION("GOOGLETRANSLATE(B11599,""en"",""zh-CN"")"),"这些人互相踢球。")</f>
        <v>这些人互相踢球。</v>
      </c>
    </row>
    <row r="11600">
      <c r="A11600" s="4" t="s">
        <v>14586</v>
      </c>
      <c r="B11600" s="4" t="s">
        <v>14590</v>
      </c>
      <c r="C11600" s="5" t="str">
        <f>IFERROR(__xludf.DUMMYFUNCTION("GOOGLETRANSLATE(B11600,""en"",""zh-CN"")"),"他们试图使球进入对立的目标。")</f>
        <v>他们试图使球进入对立的目标。</v>
      </c>
    </row>
    <row r="11601">
      <c r="A11601" s="4" t="s">
        <v>14591</v>
      </c>
      <c r="B11601" s="4" t="s">
        <v>14592</v>
      </c>
      <c r="C11601" s="5" t="str">
        <f>IFERROR(__xludf.DUMMYFUNCTION("GOOGLETRANSLATE(B11601,""en"",""zh-CN"")"),"两名摔跤手在摔跤戒指内的桌子上相遇。")</f>
        <v>两名摔跤手在摔跤戒指内的桌子上相遇。</v>
      </c>
    </row>
    <row r="11602">
      <c r="A11602" s="4" t="s">
        <v>14591</v>
      </c>
      <c r="B11602" s="4" t="s">
        <v>14593</v>
      </c>
      <c r="C11602" s="5" t="str">
        <f>IFERROR(__xludf.DUMMYFUNCTION("GOOGLETRANSLATE(B11602,""en"",""zh-CN"")"),"他们坐在桌子旁，握住彼此的手，准备摔跤。")</f>
        <v>他们坐在桌子旁，握住彼此的手，准备摔跤。</v>
      </c>
    </row>
    <row r="11603">
      <c r="A11603" s="4" t="s">
        <v>14591</v>
      </c>
      <c r="B11603" s="4" t="s">
        <v>14594</v>
      </c>
      <c r="C11603" s="5" t="str">
        <f>IFERROR(__xludf.DUMMYFUNCTION("GOOGLETRANSLATE(B11603,""en"",""zh-CN"")"),"男人努力互相击败，每一侧都努力推动。")</f>
        <v>男人努力互相击败，每一侧都努力推动。</v>
      </c>
    </row>
    <row r="11604">
      <c r="A11604" s="4" t="s">
        <v>14591</v>
      </c>
      <c r="B11604" s="4" t="s">
        <v>14595</v>
      </c>
      <c r="C11604" s="5" t="str">
        <f>IFERROR(__xludf.DUMMYFUNCTION("GOOGLETRANSLATE(B11604,""en"",""zh-CN"")"),"一个胜利，然后他们站起来，开始在戒指内战斗。")</f>
        <v>一个胜利，然后他们站起来，开始在戒指内战斗。</v>
      </c>
    </row>
    <row r="11605">
      <c r="A11605" s="4" t="s">
        <v>14591</v>
      </c>
      <c r="B11605" s="4" t="s">
        <v>14596</v>
      </c>
      <c r="C11605" s="5" t="str">
        <f>IFERROR(__xludf.DUMMYFUNCTION("GOOGLETRANSLATE(B11605,""en"",""zh-CN"")"),"一个被踢出戒指，使巨人成为胜利者。")</f>
        <v>一个被踢出戒指，使巨人成为胜利者。</v>
      </c>
    </row>
    <row r="11606">
      <c r="A11606" s="4" t="s">
        <v>14597</v>
      </c>
      <c r="B11606" s="4" t="s">
        <v>14598</v>
      </c>
      <c r="C11606" s="5" t="str">
        <f>IFERROR(__xludf.DUMMYFUNCTION("GOOGLETRANSLATE(B11606,""en"",""zh-CN"")"),"一只狗在湖边奔跑。")</f>
        <v>一只狗在湖边奔跑。</v>
      </c>
    </row>
    <row r="11607">
      <c r="A11607" s="4" t="s">
        <v>14597</v>
      </c>
      <c r="B11607" s="4" t="s">
        <v>14599</v>
      </c>
      <c r="C11607" s="5" t="str">
        <f>IFERROR(__xludf.DUMMYFUNCTION("GOOGLETRANSLATE(B11607,""en"",""zh-CN"")"),"一个男人在船后醒来。")</f>
        <v>一个男人在船后醒来。</v>
      </c>
    </row>
    <row r="11608">
      <c r="A11608" s="4" t="s">
        <v>14597</v>
      </c>
      <c r="B11608" s="4" t="s">
        <v>14600</v>
      </c>
      <c r="C11608" s="5" t="str">
        <f>IFERROR(__xludf.DUMMYFUNCTION("GOOGLETRANSLATE(B11608,""en"",""zh-CN"")"),"一个人坐在水中。")</f>
        <v>一个人坐在水中。</v>
      </c>
    </row>
    <row r="11609">
      <c r="A11609" s="4" t="s">
        <v>14601</v>
      </c>
      <c r="B11609" s="4" t="s">
        <v>14602</v>
      </c>
      <c r="C11609" s="5" t="str">
        <f>IFERROR(__xludf.DUMMYFUNCTION("GOOGLETRANSLATE(B11609,""en"",""zh-CN"")"),"一个人正在海洋骑水艇。")</f>
        <v>一个人正在海洋骑水艇。</v>
      </c>
    </row>
    <row r="11610">
      <c r="A11610" s="4" t="s">
        <v>14601</v>
      </c>
      <c r="B11610" s="4" t="s">
        <v>14603</v>
      </c>
      <c r="C11610" s="5" t="str">
        <f>IFERROR(__xludf.DUMMYFUNCTION("GOOGLETRANSLATE(B11610,""en"",""zh-CN"")"),"在他旁边，一个男人在冲浪板上。")</f>
        <v>在他旁边，一个男人在冲浪板上。</v>
      </c>
    </row>
    <row r="11611">
      <c r="A11611" s="4" t="s">
        <v>14601</v>
      </c>
      <c r="B11611" s="4" t="s">
        <v>14604</v>
      </c>
      <c r="C11611" s="5" t="str">
        <f>IFERROR(__xludf.DUMMYFUNCTION("GOOGLETRANSLATE(B11611,""en"",""zh-CN"")"),"冲浪板上的那个人越来越快，让他醒来。")</f>
        <v>冲浪板上的那个人越来越快，让他醒来。</v>
      </c>
    </row>
    <row r="11612">
      <c r="A11612" s="4" t="s">
        <v>14605</v>
      </c>
      <c r="B11612" s="4" t="s">
        <v>14606</v>
      </c>
      <c r="C11612" s="5" t="str">
        <f>IFERROR(__xludf.DUMMYFUNCTION("GOOGLETRANSLATE(B11612,""en"",""zh-CN"")"),"一小群人在一个大型体育馆里互相玩游戏。")</f>
        <v>一小群人在一个大型体育馆里互相玩游戏。</v>
      </c>
    </row>
    <row r="11613">
      <c r="A11613" s="4" t="s">
        <v>14605</v>
      </c>
      <c r="B11613" s="6" t="s">
        <v>14607</v>
      </c>
      <c r="C11613" s="5" t="str">
        <f>IFERROR(__xludf.DUMMYFUNCTION("GOOGLETRANSLATE(B11613,""en"",""zh-CN"")"),"许多人在场外观看，人们通过了一个坏手套，彼此之间第四。")</f>
        <v>许多人在场外观看，人们通过了一个坏手套，彼此之间第四。</v>
      </c>
    </row>
    <row r="11614">
      <c r="A11614" s="4" t="s">
        <v>14608</v>
      </c>
      <c r="B11614" s="4" t="s">
        <v>14609</v>
      </c>
      <c r="C11614" s="5" t="str">
        <f>IFERROR(__xludf.DUMMYFUNCTION("GOOGLETRANSLATE(B11614,""en"",""zh-CN"")"),"一个穿着黑色Speedo的男人站在潜水板上，双手放在他的两侧。")</f>
        <v>一个穿着黑色Speedo的男人站在潜水板上，双手放在他的两侧。</v>
      </c>
    </row>
    <row r="11615">
      <c r="A11615" s="4" t="s">
        <v>14608</v>
      </c>
      <c r="B11615" s="4" t="s">
        <v>14610</v>
      </c>
      <c r="C11615" s="5" t="str">
        <f>IFERROR(__xludf.DUMMYFUNCTION("GOOGLETRANSLATE(B11615,""en"",""zh-CN"")"),"然后，他开始跑步，并进行了两个啤酒花以达到董事会的尽头。")</f>
        <v>然后，他开始跑步，并进行了两个啤酒花以达到董事会的尽头。</v>
      </c>
    </row>
    <row r="11616">
      <c r="A11616" s="4" t="s">
        <v>14608</v>
      </c>
      <c r="B11616" s="6" t="s">
        <v>14611</v>
      </c>
      <c r="C11616" s="5" t="str">
        <f>IFERROR(__xludf.DUMMYFUNCTION("GOOGLETRANSLATE(B11616,""en"",""zh-CN"")"),"最终，他在潜水板的尽头，当侧面的人群看着人群时，他会翻转到水中。")</f>
        <v>最终，他在潜水板的尽头，当侧面的人群看着人群时，他会翻转到水中。</v>
      </c>
    </row>
    <row r="11617">
      <c r="A11617" s="4" t="s">
        <v>14612</v>
      </c>
      <c r="B11617" s="4" t="s">
        <v>14613</v>
      </c>
      <c r="C11617" s="5" t="str">
        <f>IFERROR(__xludf.DUMMYFUNCTION("GOOGLETRANSLATE(B11617,""en"",""zh-CN"")"),"看到一大批人在玩曲棍网兜球的比赛中奔跑。")</f>
        <v>看到一大批人在玩曲棍网兜球的比赛中奔跑。</v>
      </c>
    </row>
    <row r="11618">
      <c r="A11618" s="4" t="s">
        <v>14612</v>
      </c>
      <c r="B11618" s="4" t="s">
        <v>14614</v>
      </c>
      <c r="C11618" s="5" t="str">
        <f>IFERROR(__xludf.DUMMYFUNCTION("GOOGLETRANSLATE(B11618,""en"",""zh-CN"")"),"人们在整个场上击球，而裁判则看着他们在侧面。")</f>
        <v>人们在整个场上击球，而裁判则看着他们在侧面。</v>
      </c>
    </row>
    <row r="11619">
      <c r="A11619" s="4" t="s">
        <v>14612</v>
      </c>
      <c r="B11619" s="4" t="s">
        <v>14615</v>
      </c>
      <c r="C11619" s="5" t="str">
        <f>IFERROR(__xludf.DUMMYFUNCTION("GOOGLETRANSLATE(B11619,""en"",""zh-CN"")"),"当相机向后移动时，小组继续一起玩。")</f>
        <v>当相机向后移动时，小组继续一起玩。</v>
      </c>
    </row>
    <row r="11620">
      <c r="A11620" s="4" t="s">
        <v>14616</v>
      </c>
      <c r="B11620" s="4" t="s">
        <v>14617</v>
      </c>
      <c r="C11620" s="5" t="str">
        <f>IFERROR(__xludf.DUMMYFUNCTION("GOOGLETRANSLATE(B11620,""en"",""zh-CN"")"),"看到一个大风筝在海滩上飞行，人们在侧面徘徊。")</f>
        <v>看到一个大风筝在海滩上飞行，人们在侧面徘徊。</v>
      </c>
    </row>
    <row r="11621">
      <c r="A11621" s="4" t="s">
        <v>14616</v>
      </c>
      <c r="B11621" s="4" t="s">
        <v>14618</v>
      </c>
      <c r="C11621" s="5" t="str">
        <f>IFERROR(__xludf.DUMMYFUNCTION("GOOGLETRANSLATE(B11621,""en"",""zh-CN"")"),"看到一个男人驾驶大型风筝，而其他人则看着他在侧面。")</f>
        <v>看到一个男人驾驶大型风筝，而其他人则看着他在侧面。</v>
      </c>
    </row>
    <row r="11622">
      <c r="A11622" s="4" t="s">
        <v>14616</v>
      </c>
      <c r="B11622" s="4" t="s">
        <v>14619</v>
      </c>
      <c r="C11622" s="5" t="str">
        <f>IFERROR(__xludf.DUMMYFUNCTION("GOOGLETRANSLATE(B11622,""en"",""zh-CN"")"),"另一个风筝在他的旁边飞了起来，并导致了海洋的表演。")</f>
        <v>另一个风筝在他的旁边飞了起来，并导致了海洋的表演。</v>
      </c>
    </row>
    <row r="11623">
      <c r="A11623" s="4" t="s">
        <v>14620</v>
      </c>
      <c r="B11623" s="6" t="s">
        <v>14621</v>
      </c>
      <c r="C11623" s="5" t="str">
        <f>IFERROR(__xludf.DUMMYFUNCTION("GOOGLETRANSLATE(B11623,""en"",""zh-CN"")"),"看到一个小男孩在脱下衬衫并望向远处的同时，绕着一个小男孩伸展。")</f>
        <v>看到一个小男孩在脱下衬衫并望向远处的同时，绕着一个小男孩伸展。</v>
      </c>
    </row>
    <row r="11624">
      <c r="A11624" s="4" t="s">
        <v>14620</v>
      </c>
      <c r="B11624" s="4" t="s">
        <v>14622</v>
      </c>
      <c r="C11624" s="5" t="str">
        <f>IFERROR(__xludf.DUMMYFUNCTION("GOOGLETRANSLATE(B11624,""en"",""zh-CN"")"),"然后，这个男孩开始在大批人群面前表演各种武术。")</f>
        <v>然后，这个男孩开始在大批人群面前表演各种武术。</v>
      </c>
    </row>
    <row r="11625">
      <c r="A11625" s="4" t="s">
        <v>14620</v>
      </c>
      <c r="B11625" s="4" t="s">
        <v>14623</v>
      </c>
      <c r="C11625" s="5" t="str">
        <f>IFERROR(__xludf.DUMMYFUNCTION("GOOGLETRANSLATE(B11625,""en"",""zh-CN"")"),"这个男孩继续踢和旋转，同时鞠躬。")</f>
        <v>这个男孩继续踢和旋转，同时鞠躬。</v>
      </c>
    </row>
    <row r="11626">
      <c r="A11626" s="4" t="s">
        <v>14624</v>
      </c>
      <c r="B11626" s="6" t="s">
        <v>14625</v>
      </c>
      <c r="C11626" s="5" t="str">
        <f>IFERROR(__xludf.DUMMYFUNCTION("GOOGLETRANSLATE(B11626,""en"",""zh-CN"")"),"汽车广告始于许多人洗车，因为它穿过专业的洗车。")</f>
        <v>汽车广告始于许多人洗车，因为它穿过专业的洗车。</v>
      </c>
    </row>
    <row r="11627">
      <c r="A11627" s="4" t="s">
        <v>14624</v>
      </c>
      <c r="B11627" s="4" t="s">
        <v>14626</v>
      </c>
      <c r="C11627" s="5" t="str">
        <f>IFERROR(__xludf.DUMMYFUNCTION("GOOGLETRANSLATE(B11627,""en"",""zh-CN"")"),"人们站在一个小组中，在镜头前挥舞着抹布，好像说再见。")</f>
        <v>人们站在一个小组中，在镜头前挥舞着抹布，好像说再见。</v>
      </c>
    </row>
    <row r="11628">
      <c r="A11628" s="4" t="s">
        <v>14624</v>
      </c>
      <c r="B11628" s="4" t="s">
        <v>14627</v>
      </c>
      <c r="C11628" s="5" t="str">
        <f>IFERROR(__xludf.DUMMYFUNCTION("GOOGLETRANSLATE(B11628,""en"",""zh-CN"")"),"然后，它切入了最终屏幕，广告服务的名称。")</f>
        <v>然后，它切入了最终屏幕，广告服务的名称。</v>
      </c>
    </row>
    <row r="11629">
      <c r="A11629" s="4" t="s">
        <v>14628</v>
      </c>
      <c r="B11629" s="4" t="s">
        <v>14629</v>
      </c>
      <c r="C11629" s="5" t="str">
        <f>IFERROR(__xludf.DUMMYFUNCTION("GOOGLETRANSLATE(B11629,""en"",""zh-CN"")"),"一名警察非常缓慢地骑马。")</f>
        <v>一名警察非常缓慢地骑马。</v>
      </c>
    </row>
    <row r="11630">
      <c r="A11630" s="4" t="s">
        <v>14628</v>
      </c>
      <c r="B11630" s="4" t="s">
        <v>14630</v>
      </c>
      <c r="C11630" s="5" t="str">
        <f>IFERROR(__xludf.DUMMYFUNCTION("GOOGLETRANSLATE(B11630,""en"",""zh-CN"")"),"许多旁观者正在漫步，汽车正在穿过并随便前进。")</f>
        <v>许多旁观者正在漫步，汽车正在穿过并随便前进。</v>
      </c>
    </row>
    <row r="11631">
      <c r="A11631" s="4" t="s">
        <v>14628</v>
      </c>
      <c r="B11631" s="6" t="s">
        <v>14631</v>
      </c>
      <c r="C11631" s="5" t="str">
        <f>IFERROR(__xludf.DUMMYFUNCTION("GOOGLETRANSLATE(B11631,""en"",""zh-CN"")"),"这只是正常的一天，骑在街上保护服务，确保没有犯罪。")</f>
        <v>这只是正常的一天，骑在街上保护服务，确保没有犯罪。</v>
      </c>
    </row>
    <row r="11632">
      <c r="A11632" s="4" t="s">
        <v>14628</v>
      </c>
      <c r="B11632" s="4" t="s">
        <v>14632</v>
      </c>
      <c r="C11632" s="5" t="str">
        <f>IFERROR(__xludf.DUMMYFUNCTION("GOOGLETRANSLATE(B11632,""en"",""zh-CN"")"),"他用一只手之一骑着枪，另一只骑着马。")</f>
        <v>他用一只手之一骑着枪，另一只骑着马。</v>
      </c>
    </row>
    <row r="11633">
      <c r="A11633" s="4" t="s">
        <v>14633</v>
      </c>
      <c r="B11633" s="4" t="s">
        <v>14634</v>
      </c>
      <c r="C11633" s="5" t="str">
        <f>IFERROR(__xludf.DUMMYFUNCTION("GOOGLETRANSLATE(B11633,""en"",""zh-CN"")"),"我们看到一个绿色的打开屏幕。")</f>
        <v>我们看到一个绿色的打开屏幕。</v>
      </c>
    </row>
    <row r="11634">
      <c r="A11634" s="4" t="s">
        <v>14633</v>
      </c>
      <c r="B11634" s="4" t="s">
        <v>14635</v>
      </c>
      <c r="C11634" s="5" t="str">
        <f>IFERROR(__xludf.DUMMYFUNCTION("GOOGLETRANSLATE(B11634,""en"",""zh-CN"")"),"我们看到一头女士的头发。")</f>
        <v>我们看到一头女士的头发。</v>
      </c>
    </row>
    <row r="11635">
      <c r="A11635" s="4" t="s">
        <v>14633</v>
      </c>
      <c r="B11635" s="4" t="s">
        <v>14636</v>
      </c>
      <c r="C11635" s="5" t="str">
        <f>IFERROR(__xludf.DUMMYFUNCTION("GOOGLETRANSLATE(B11635,""en"",""zh-CN"")"),"一位女士坐在沙发上说话。")</f>
        <v>一位女士坐在沙发上说话。</v>
      </c>
    </row>
    <row r="11636">
      <c r="A11636" s="4" t="s">
        <v>14633</v>
      </c>
      <c r="B11636" s="4" t="s">
        <v>14637</v>
      </c>
      <c r="C11636" s="5" t="str">
        <f>IFERROR(__xludf.DUMMYFUNCTION("GOOGLETRANSLATE(B11636,""en"",""zh-CN"")"),"我们看到一位女士在她的头发上放了一个滚筒。")</f>
        <v>我们看到一位女士在她的头发上放了一个滚筒。</v>
      </c>
    </row>
    <row r="11637">
      <c r="A11637" s="4" t="s">
        <v>14633</v>
      </c>
      <c r="B11637" s="4" t="s">
        <v>14638</v>
      </c>
      <c r="C11637" s="5" t="str">
        <f>IFERROR(__xludf.DUMMYFUNCTION("GOOGLETRANSLATE(B11637,""en"",""zh-CN"")"),"然后，我们看到成品。")</f>
        <v>然后，我们看到成品。</v>
      </c>
    </row>
    <row r="11638">
      <c r="A11638" s="4" t="s">
        <v>14639</v>
      </c>
      <c r="B11638" s="4" t="s">
        <v>14640</v>
      </c>
      <c r="C11638" s="5" t="str">
        <f>IFERROR(__xludf.DUMMYFUNCTION("GOOGLETRANSLATE(B11638,""en"",""zh-CN"")"),"一个人打开相机。")</f>
        <v>一个人打开相机。</v>
      </c>
    </row>
    <row r="11639">
      <c r="A11639" s="4" t="s">
        <v>14639</v>
      </c>
      <c r="B11639" s="4" t="s">
        <v>14641</v>
      </c>
      <c r="C11639" s="5" t="str">
        <f>IFERROR(__xludf.DUMMYFUNCTION("GOOGLETRANSLATE(B11639,""en"",""zh-CN"")"),"穿着黑色衬衫的男人蹲在沙发上和抽烟的水烟上。")</f>
        <v>穿着黑色衬衫的男人蹲在沙发上和抽烟的水烟上。</v>
      </c>
    </row>
    <row r="11640">
      <c r="A11640" s="4" t="s">
        <v>14639</v>
      </c>
      <c r="B11640" s="4" t="s">
        <v>14642</v>
      </c>
      <c r="C11640" s="5" t="str">
        <f>IFERROR(__xludf.DUMMYFUNCTION("GOOGLETRANSLATE(B11640,""en"",""zh-CN"")"),"该男子试图吹烟环。")</f>
        <v>该男子试图吹烟环。</v>
      </c>
    </row>
    <row r="11641">
      <c r="A11641" s="4" t="s">
        <v>14639</v>
      </c>
      <c r="B11641" s="4" t="s">
        <v>14643</v>
      </c>
      <c r="C11641" s="5" t="str">
        <f>IFERROR(__xludf.DUMMYFUNCTION("GOOGLETRANSLATE(B11641,""en"",""zh-CN"")"),"该男子直接在相机上吹烟。")</f>
        <v>该男子直接在相机上吹烟。</v>
      </c>
    </row>
    <row r="11642">
      <c r="A11642" s="4" t="s">
        <v>14639</v>
      </c>
      <c r="B11642" s="4" t="s">
        <v>14644</v>
      </c>
      <c r="C11642" s="5" t="str">
        <f>IFERROR(__xludf.DUMMYFUNCTION("GOOGLETRANSLATE(B11642,""en"",""zh-CN"")"),"该男子再次继续在相机上直接吹烟。")</f>
        <v>该男子再次继续在相机上直接吹烟。</v>
      </c>
    </row>
    <row r="11643">
      <c r="A11643" s="4" t="s">
        <v>14639</v>
      </c>
      <c r="B11643" s="4" t="s">
        <v>14645</v>
      </c>
      <c r="C11643" s="5" t="str">
        <f>IFERROR(__xludf.DUMMYFUNCTION("GOOGLETRANSLATE(B11643,""en"",""zh-CN"")"),"该男子伸手将相机关闭。")</f>
        <v>该男子伸手将相机关闭。</v>
      </c>
    </row>
    <row r="11644">
      <c r="A11644" s="4" t="s">
        <v>14646</v>
      </c>
      <c r="B11644" s="4" t="s">
        <v>14647</v>
      </c>
      <c r="C11644" s="5" t="str">
        <f>IFERROR(__xludf.DUMMYFUNCTION("GOOGLETRANSLATE(B11644,""en"",""zh-CN"")"),"相机放大以显示汽车的前轮。")</f>
        <v>相机放大以显示汽车的前轮。</v>
      </c>
    </row>
    <row r="11645">
      <c r="A11645" s="4" t="s">
        <v>14646</v>
      </c>
      <c r="B11645" s="4" t="s">
        <v>14648</v>
      </c>
      <c r="C11645" s="5" t="str">
        <f>IFERROR(__xludf.DUMMYFUNCTION("GOOGLETRANSLATE(B11645,""en"",""zh-CN"")"),"摄像头放大，向男人展示了用肥皂喷洒汽车的人。")</f>
        <v>摄像头放大，向男人展示了用肥皂喷洒汽车的人。</v>
      </c>
    </row>
    <row r="11646">
      <c r="A11646" s="4" t="s">
        <v>14646</v>
      </c>
      <c r="B11646" s="6" t="s">
        <v>14649</v>
      </c>
      <c r="C11646" s="5" t="str">
        <f>IFERROR(__xludf.DUMMYFUNCTION("GOOGLETRANSLATE(B11646,""en"",""zh-CN"")"),"相机再次放大，显示肥皂从汽车的后部延伸，然后摄像机移动以显示汽车的左侧。")</f>
        <v>相机再次放大，显示肥皂从汽车的后部延伸，然后摄像机移动以显示汽车的左侧。</v>
      </c>
    </row>
    <row r="11647">
      <c r="A11647" s="4" t="s">
        <v>14646</v>
      </c>
      <c r="B11647" s="4" t="s">
        <v>14650</v>
      </c>
      <c r="C11647" s="5" t="str">
        <f>IFERROR(__xludf.DUMMYFUNCTION("GOOGLETRANSLATE(B11647,""en"",""zh-CN"")"),"然后两个人在汽车上喷水以洗净肥皂。")</f>
        <v>然后两个人在汽车上喷水以洗净肥皂。</v>
      </c>
    </row>
    <row r="11648">
      <c r="A11648" s="4" t="s">
        <v>14651</v>
      </c>
      <c r="B11648" s="4" t="s">
        <v>14652</v>
      </c>
      <c r="C11648" s="5" t="str">
        <f>IFERROR(__xludf.DUMMYFUNCTION("GOOGLETRANSLATE(B11648,""en"",""zh-CN"")"),"一个女人走到房间的中间。")</f>
        <v>一个女人走到房间的中间。</v>
      </c>
    </row>
    <row r="11649">
      <c r="A11649" s="4" t="s">
        <v>14651</v>
      </c>
      <c r="B11649" s="4" t="s">
        <v>14653</v>
      </c>
      <c r="C11649" s="5" t="str">
        <f>IFERROR(__xludf.DUMMYFUNCTION("GOOGLETRANSLATE(B11649,""en"",""zh-CN"")"),"她表演肚皮舞动作。")</f>
        <v>她表演肚皮舞动作。</v>
      </c>
    </row>
    <row r="11650">
      <c r="A11650" s="4" t="s">
        <v>14651</v>
      </c>
      <c r="B11650" s="4" t="s">
        <v>14654</v>
      </c>
      <c r="C11650" s="5" t="str">
        <f>IFERROR(__xludf.DUMMYFUNCTION("GOOGLETRANSLATE(B11650,""en"",""zh-CN"")"),"她伸出手指，完成跳舞。")</f>
        <v>她伸出手指，完成跳舞。</v>
      </c>
    </row>
    <row r="11651">
      <c r="A11651" s="4" t="s">
        <v>14655</v>
      </c>
      <c r="B11651" s="4" t="s">
        <v>14656</v>
      </c>
      <c r="C11651" s="5" t="str">
        <f>IFERROR(__xludf.DUMMYFUNCTION("GOOGLETRANSLATE(B11651,""en"",""zh-CN"")"),"一个女人旋转着一个蒙上眼睛的人，将棍棒拿着棍子在piñata的前面。")</f>
        <v>一个女人旋转着一个蒙上眼睛的人，将棍棒拿着棍子在piñata的前面。</v>
      </c>
    </row>
    <row r="11652">
      <c r="A11652" s="4" t="s">
        <v>14655</v>
      </c>
      <c r="B11652" s="4" t="s">
        <v>14657</v>
      </c>
      <c r="C11652" s="5" t="str">
        <f>IFERROR(__xludf.DUMMYFUNCTION("GOOGLETRANSLATE(B11652,""en"",""zh-CN"")"),"然后，当Piñata移动时，该人击中了强者。")</f>
        <v>然后，当Piñata移动时，该人击中了强者。</v>
      </c>
    </row>
    <row r="11653">
      <c r="A11653" s="4" t="s">
        <v>14655</v>
      </c>
      <c r="B11653" s="4" t="s">
        <v>14658</v>
      </c>
      <c r="C11653" s="5" t="str">
        <f>IFERROR(__xludf.DUMMYFUNCTION("GOOGLETRANSLATE(B11653,""en"",""zh-CN"")"),"这个人笑了，女人接近她。")</f>
        <v>这个人笑了，女人接近她。</v>
      </c>
    </row>
    <row r="11654">
      <c r="A11654" s="4" t="s">
        <v>14659</v>
      </c>
      <c r="B11654" s="4" t="s">
        <v>14660</v>
      </c>
      <c r="C11654" s="5" t="str">
        <f>IFERROR(__xludf.DUMMYFUNCTION("GOOGLETRANSLATE(B11654,""en"",""zh-CN"")"),"显示了有关如何清洁跑步尖峰的视频的介绍。")</f>
        <v>显示了有关如何清洁跑步尖峰的视频的介绍。</v>
      </c>
    </row>
    <row r="11655">
      <c r="A11655" s="4" t="s">
        <v>14659</v>
      </c>
      <c r="B11655" s="4" t="s">
        <v>14661</v>
      </c>
      <c r="C11655" s="5" t="str">
        <f>IFERROR(__xludf.DUMMYFUNCTION("GOOGLETRANSLATE(B11655,""en"",""zh-CN"")"),"一个人解释说，他会在尖峰上显示污垢时清理尖峰。")</f>
        <v>一个人解释说，他会在尖峰上显示污垢时清理尖峰。</v>
      </c>
    </row>
    <row r="11656">
      <c r="A11656" s="4" t="s">
        <v>14659</v>
      </c>
      <c r="B11656" s="4" t="s">
        <v>14662</v>
      </c>
      <c r="C11656" s="5" t="str">
        <f>IFERROR(__xludf.DUMMYFUNCTION("GOOGLETRANSLATE(B11656,""en"",""zh-CN"")"),"他首先将泥浆从尖峰上刷入水槽。")</f>
        <v>他首先将泥浆从尖峰上刷入水槽。</v>
      </c>
    </row>
    <row r="11657">
      <c r="A11657" s="4" t="s">
        <v>14659</v>
      </c>
      <c r="B11657" s="4" t="s">
        <v>14663</v>
      </c>
      <c r="C11657" s="5" t="str">
        <f>IFERROR(__xludf.DUMMYFUNCTION("GOOGLETRANSLATE(B11657,""en"",""zh-CN"")"),"他将少量的水放入水槽中，并继续擦洗。")</f>
        <v>他将少量的水放入水槽中，并继续擦洗。</v>
      </c>
    </row>
    <row r="11658">
      <c r="A11658" s="4" t="s">
        <v>14659</v>
      </c>
      <c r="B11658" s="4" t="s">
        <v>14664</v>
      </c>
      <c r="C11658" s="5" t="str">
        <f>IFERROR(__xludf.DUMMYFUNCTION("GOOGLETRANSLATE(B11658,""en"",""zh-CN"")"),"他将它们从水槽中带出来，并将一些报纸放入节目中，以帮助他们干燥。")</f>
        <v>他将它们从水槽中带出来，并将一些报纸放入节目中，以帮助他们干燥。</v>
      </c>
    </row>
    <row r="11659">
      <c r="A11659" s="4" t="s">
        <v>14665</v>
      </c>
      <c r="B11659" s="4" t="s">
        <v>14666</v>
      </c>
      <c r="C11659" s="5" t="str">
        <f>IFERROR(__xludf.DUMMYFUNCTION("GOOGLETRANSLATE(B11659,""en"",""zh-CN"")"),"一个人使用吸尘器软管与狗一起玩。")</f>
        <v>一个人使用吸尘器软管与狗一起玩。</v>
      </c>
    </row>
    <row r="11660">
      <c r="A11660" s="4" t="s">
        <v>14665</v>
      </c>
      <c r="B11660" s="4" t="s">
        <v>14667</v>
      </c>
      <c r="C11660" s="5" t="str">
        <f>IFERROR(__xludf.DUMMYFUNCTION("GOOGLETRANSLATE(B11660,""en"",""zh-CN"")"),"相机切换到狗的更多侧视图。")</f>
        <v>相机切换到狗的更多侧视图。</v>
      </c>
    </row>
    <row r="11661">
      <c r="A11661" s="4" t="s">
        <v>14665</v>
      </c>
      <c r="B11661" s="4" t="s">
        <v>14668</v>
      </c>
      <c r="C11661" s="5" t="str">
        <f>IFERROR(__xludf.DUMMYFUNCTION("GOOGLETRANSLATE(B11661,""en"",""zh-CN"")"),"相机切换到狗的更自面的视图。")</f>
        <v>相机切换到狗的更自面的视图。</v>
      </c>
    </row>
    <row r="11662">
      <c r="A11662" s="4" t="s">
        <v>14669</v>
      </c>
      <c r="B11662" s="4" t="s">
        <v>14670</v>
      </c>
      <c r="C11662" s="5" t="str">
        <f>IFERROR(__xludf.DUMMYFUNCTION("GOOGLETRANSLATE(B11662,""en"",""zh-CN"")"),"一个人将海绵浸入水桶中。")</f>
        <v>一个人将海绵浸入水桶中。</v>
      </c>
    </row>
    <row r="11663">
      <c r="A11663" s="4" t="s">
        <v>14669</v>
      </c>
      <c r="B11663" s="4" t="s">
        <v>14671</v>
      </c>
      <c r="C11663" s="5" t="str">
        <f>IFERROR(__xludf.DUMMYFUNCTION("GOOGLETRANSLATE(B11663,""en"",""zh-CN"")"),"他用海绵在一个男孩上擦拭黑泥。")</f>
        <v>他用海绵在一个男孩上擦拭黑泥。</v>
      </c>
    </row>
    <row r="11664">
      <c r="A11664" s="4" t="s">
        <v>14669</v>
      </c>
      <c r="B11664" s="4" t="s">
        <v>14672</v>
      </c>
      <c r="C11664" s="5" t="str">
        <f>IFERROR(__xludf.DUMMYFUNCTION("GOOGLETRANSLATE(B11664,""en"",""zh-CN"")"),"其他人正在覆盖油漆的人。")</f>
        <v>其他人正在覆盖油漆的人。</v>
      </c>
    </row>
    <row r="11665">
      <c r="A11665" s="4" t="s">
        <v>14669</v>
      </c>
      <c r="B11665" s="4" t="s">
        <v>14673</v>
      </c>
      <c r="C11665" s="5" t="str">
        <f>IFERROR(__xludf.DUMMYFUNCTION("GOOGLETRANSLATE(B11665,""en"",""zh-CN"")"),"他们正在为西班牙公牛的奔跑做准备。")</f>
        <v>他们正在为西班牙公牛的奔跑做准备。</v>
      </c>
    </row>
    <row r="11666">
      <c r="A11666" s="4" t="s">
        <v>14674</v>
      </c>
      <c r="B11666" s="4" t="s">
        <v>14675</v>
      </c>
      <c r="C11666" s="5" t="str">
        <f>IFERROR(__xludf.DUMMYFUNCTION("GOOGLETRANSLATE(B11666,""en"",""zh-CN"")"),"我们在白色上看到了标题屏幕。")</f>
        <v>我们在白色上看到了标题屏幕。</v>
      </c>
    </row>
    <row r="11667">
      <c r="A11667" s="4" t="s">
        <v>14674</v>
      </c>
      <c r="B11667" s="4" t="s">
        <v>14676</v>
      </c>
      <c r="C11667" s="5" t="str">
        <f>IFERROR(__xludf.DUMMYFUNCTION("GOOGLETRANSLATE(B11667,""en"",""zh-CN"")"),"一位女士的蛋糕倒过来，她放回托盘中。")</f>
        <v>一位女士的蛋糕倒过来，她放回托盘中。</v>
      </c>
    </row>
    <row r="11668">
      <c r="A11668" s="4" t="s">
        <v>14674</v>
      </c>
      <c r="B11668" s="4" t="s">
        <v>14677</v>
      </c>
      <c r="C11668" s="5" t="str">
        <f>IFERROR(__xludf.DUMMYFUNCTION("GOOGLETRANSLATE(B11668,""en"",""zh-CN"")"),"女士将蛋糕的一部分切成薄片，然后再次翻转。")</f>
        <v>女士将蛋糕的一部分切成薄片，然后再次翻转。</v>
      </c>
    </row>
    <row r="11669">
      <c r="A11669" s="4" t="s">
        <v>14674</v>
      </c>
      <c r="B11669" s="4" t="s">
        <v>14678</v>
      </c>
      <c r="C11669" s="5" t="str">
        <f>IFERROR(__xludf.DUMMYFUNCTION("GOOGLETRANSLATE(B11669,""en"",""zh-CN"")"),"女士切断了蛋糕的边缘。")</f>
        <v>女士切断了蛋糕的边缘。</v>
      </c>
    </row>
    <row r="11670">
      <c r="A11670" s="4" t="s">
        <v>14674</v>
      </c>
      <c r="B11670" s="4" t="s">
        <v>14679</v>
      </c>
      <c r="C11670" s="5" t="str">
        <f>IFERROR(__xludf.DUMMYFUNCTION("GOOGLETRANSLATE(B11670,""en"",""zh-CN"")"),"那位女士移动了一切，并将其带回。")</f>
        <v>那位女士移动了一切，并将其带回。</v>
      </c>
    </row>
    <row r="11671">
      <c r="A11671" s="4" t="s">
        <v>14674</v>
      </c>
      <c r="B11671" s="4" t="s">
        <v>1380</v>
      </c>
      <c r="C11671" s="5" t="str">
        <f>IFERROR(__xludf.DUMMYFUNCTION("GOOGLETRANSLATE(B11671,""en"",""zh-CN"")"),"然后，我们看到结局。")</f>
        <v>然后，我们看到结局。</v>
      </c>
    </row>
    <row r="11672">
      <c r="A11672" s="4" t="s">
        <v>14680</v>
      </c>
      <c r="B11672" s="4" t="s">
        <v>14681</v>
      </c>
      <c r="C11672" s="5" t="str">
        <f>IFERROR(__xludf.DUMMYFUNCTION("GOOGLETRANSLATE(B11672,""en"",""zh-CN"")"),"看到一个男人在公共区域的树篱旁边走路，旁边有一只狗。")</f>
        <v>看到一个男人在公共区域的树篱旁边走路，旁边有一只狗。</v>
      </c>
    </row>
    <row r="11673">
      <c r="A11673" s="4" t="s">
        <v>14680</v>
      </c>
      <c r="B11673" s="4" t="s">
        <v>14682</v>
      </c>
      <c r="C11673" s="5" t="str">
        <f>IFERROR(__xludf.DUMMYFUNCTION("GOOGLETRANSLATE(B11673,""en"",""zh-CN"")"),"看到狗在两条腿上行走，最后跳下来。")</f>
        <v>看到狗在两条腿上行走，最后跳下来。</v>
      </c>
    </row>
    <row r="11674">
      <c r="A11674" s="4" t="s">
        <v>14683</v>
      </c>
      <c r="B11674" s="4" t="s">
        <v>14684</v>
      </c>
      <c r="C11674" s="5" t="str">
        <f>IFERROR(__xludf.DUMMYFUNCTION("GOOGLETRANSLATE(B11674,""en"",""zh-CN"")"),"有人在用胶带绘制并将其切出。")</f>
        <v>有人在用胶带绘制并将其切出。</v>
      </c>
    </row>
    <row r="11675">
      <c r="A11675" s="4" t="s">
        <v>14683</v>
      </c>
      <c r="B11675" s="4" t="s">
        <v>14685</v>
      </c>
      <c r="C11675" s="5" t="str">
        <f>IFERROR(__xludf.DUMMYFUNCTION("GOOGLETRANSLATE(B11675,""en"",""zh-CN"")"),"他们将油漆刷浸入油漆中，然后将其放在海绵上。")</f>
        <v>他们将油漆刷浸入油漆中，然后将其放在海绵上。</v>
      </c>
    </row>
    <row r="11676">
      <c r="A11676" s="4" t="s">
        <v>14683</v>
      </c>
      <c r="B11676" s="4" t="s">
        <v>14686</v>
      </c>
      <c r="C11676" s="5" t="str">
        <f>IFERROR(__xludf.DUMMYFUNCTION("GOOGLETRANSLATE(B11676,""en"",""zh-CN"")"),"他们把它放在指甲上，穿上面漆。")</f>
        <v>他们把它放在指甲上，穿上面漆。</v>
      </c>
    </row>
    <row r="11677">
      <c r="A11677" s="4" t="s">
        <v>14683</v>
      </c>
      <c r="B11677" s="4" t="s">
        <v>14687</v>
      </c>
      <c r="C11677" s="5" t="str">
        <f>IFERROR(__xludf.DUMMYFUNCTION("GOOGLETRANSLATE(B11677,""en"",""zh-CN"")"),"他们将闪光戴在指甲上。")</f>
        <v>他们将闪光戴在指甲上。</v>
      </c>
    </row>
    <row r="11678">
      <c r="A11678" s="4" t="s">
        <v>14688</v>
      </c>
      <c r="B11678" s="4" t="s">
        <v>14689</v>
      </c>
      <c r="C11678" s="5" t="str">
        <f>IFERROR(__xludf.DUMMYFUNCTION("GOOGLETRANSLATE(B11678,""en"",""zh-CN"")"),"一个年轻的女孩有几个人睁开眼睛，而另一个女孩则试图放置隐形眼镜。")</f>
        <v>一个年轻的女孩有几个人睁开眼睛，而另一个女孩则试图放置隐形眼镜。</v>
      </c>
    </row>
    <row r="11679">
      <c r="A11679" s="4" t="s">
        <v>14688</v>
      </c>
      <c r="B11679" s="4" t="s">
        <v>14690</v>
      </c>
      <c r="C11679" s="5" t="str">
        <f>IFERROR(__xludf.DUMMYFUNCTION("GOOGLETRANSLATE(B11679,""en"",""zh-CN"")"),"他们一开始就无法将镜头放在眼中，然后一遍又一遍地尝试。")</f>
        <v>他们一开始就无法将镜头放在眼中，然后一遍又一遍地尝试。</v>
      </c>
    </row>
    <row r="11680">
      <c r="A11680" s="4" t="s">
        <v>14688</v>
      </c>
      <c r="B11680" s="4" t="s">
        <v>14691</v>
      </c>
      <c r="C11680" s="5" t="str">
        <f>IFERROR(__xludf.DUMMYFUNCTION("GOOGLETRANSLATE(B11680,""en"",""zh-CN"")"),"他们最终成功地拿到了镜头，但是当她笑着时，女孩站起来。")</f>
        <v>他们最终成功地拿到了镜头，但是当她笑着时，女孩站起来。</v>
      </c>
    </row>
    <row r="11681">
      <c r="A11681" s="4" t="s">
        <v>14692</v>
      </c>
      <c r="B11681" s="4" t="s">
        <v>14693</v>
      </c>
      <c r="C11681" s="5" t="str">
        <f>IFERROR(__xludf.DUMMYFUNCTION("GOOGLETRANSLATE(B11681,""en"",""zh-CN"")"),"人们在室内竞技场骑马。")</f>
        <v>人们在室内竞技场骑马。</v>
      </c>
    </row>
    <row r="11682">
      <c r="A11682" s="4" t="s">
        <v>14692</v>
      </c>
      <c r="B11682" s="4" t="s">
        <v>14694</v>
      </c>
      <c r="C11682" s="5" t="str">
        <f>IFERROR(__xludf.DUMMYFUNCTION("GOOGLETRANSLATE(B11682,""en"",""zh-CN"")"),"人们坐在舞台外看着他们。")</f>
        <v>人们坐在舞台外看着他们。</v>
      </c>
    </row>
    <row r="11683">
      <c r="A11683" s="4" t="s">
        <v>14692</v>
      </c>
      <c r="B11683" s="4" t="s">
        <v>14695</v>
      </c>
      <c r="C11683" s="5" t="str">
        <f>IFERROR(__xludf.DUMMYFUNCTION("GOOGLETRANSLATE(B11683,""en"",""zh-CN"")"),"他们停止了马，女孩转过身。")</f>
        <v>他们停止了马，女孩转过身。</v>
      </c>
    </row>
    <row r="11684">
      <c r="A11684" s="4" t="s">
        <v>14696</v>
      </c>
      <c r="B11684" s="6" t="s">
        <v>14697</v>
      </c>
      <c r="C11684" s="5" t="str">
        <f>IFERROR(__xludf.DUMMYFUNCTION("GOOGLETRANSLATE(B11684,""en"",""zh-CN"")"),"一个男人和一个女人坐在餐厅里，女性是雇员，男人是普通客户。")</f>
        <v>一个男人和一个女人坐在餐厅里，女性是雇员，男人是普通客户。</v>
      </c>
    </row>
    <row r="11685">
      <c r="A11685" s="4" t="s">
        <v>14696</v>
      </c>
      <c r="B11685" s="4" t="s">
        <v>14698</v>
      </c>
      <c r="C11685" s="5" t="str">
        <f>IFERROR(__xludf.DUMMYFUNCTION("GOOGLETRANSLATE(B11685,""en"",""zh-CN"")"),"他抓啤酒，然后亲吻女孩。")</f>
        <v>他抓啤酒，然后亲吻女孩。</v>
      </c>
    </row>
    <row r="11686">
      <c r="A11686" s="4" t="s">
        <v>14696</v>
      </c>
      <c r="B11686" s="6" t="s">
        <v>14699</v>
      </c>
      <c r="C11686" s="5" t="str">
        <f>IFERROR(__xludf.DUMMYFUNCTION("GOOGLETRANSLATE(B11686,""en"",""zh-CN"")"),"他又尝试了三次，他取得了成功，但第三个女孩是偶然的，她击中了这个男人，并对它非常沮丧。")</f>
        <v>他又尝试了三次，他取得了成功，但第三个女孩是偶然的，她击中了这个男人，并对它非常沮丧。</v>
      </c>
    </row>
    <row r="11687">
      <c r="A11687" s="4" t="s">
        <v>14696</v>
      </c>
      <c r="B11687" s="4" t="s">
        <v>14700</v>
      </c>
      <c r="C11687" s="5" t="str">
        <f>IFERROR(__xludf.DUMMYFUNCTION("GOOGLETRANSLATE(B11687,""en"",""zh-CN"")"),"雄性再次这样做，餐厅里的更多女孩开始亲吻他。")</f>
        <v>雄性再次这样做，餐厅里的更多女孩开始亲吻他。</v>
      </c>
    </row>
    <row r="11688">
      <c r="A11688" s="4" t="s">
        <v>14701</v>
      </c>
      <c r="B11688" s="4" t="s">
        <v>14702</v>
      </c>
      <c r="C11688" s="5" t="str">
        <f>IFERROR(__xludf.DUMMYFUNCTION("GOOGLETRANSLATE(B11688,""en"",""zh-CN"")"),"游泳池里有一个男人在打水球。")</f>
        <v>游泳池里有一个男人在打水球。</v>
      </c>
    </row>
    <row r="11689">
      <c r="A11689" s="4" t="s">
        <v>14701</v>
      </c>
      <c r="B11689" s="4" t="s">
        <v>14703</v>
      </c>
      <c r="C11689" s="5" t="str">
        <f>IFERROR(__xludf.DUMMYFUNCTION("GOOGLETRANSLATE(B11689,""en"",""zh-CN"")"),"他在游泳池里用黄球和另外两个人在玩水马球。")</f>
        <v>他在游泳池里用黄球和另外两个人在玩水马球。</v>
      </c>
    </row>
    <row r="11690">
      <c r="A11690" s="4" t="s">
        <v>14701</v>
      </c>
      <c r="B11690" s="4" t="s">
        <v>14704</v>
      </c>
      <c r="C11690" s="5" t="str">
        <f>IFERROR(__xludf.DUMMYFUNCTION("GOOGLETRANSLATE(B11690,""en"",""zh-CN"")"),"他把球扔到了，人们坐在游泳池旁，看着他大声打气。")</f>
        <v>他把球扔到了，人们坐在游泳池旁，看着他大声打气。</v>
      </c>
    </row>
    <row r="11691">
      <c r="A11691" s="4" t="s">
        <v>14705</v>
      </c>
      <c r="B11691" s="4" t="s">
        <v>14706</v>
      </c>
      <c r="C11691" s="5" t="str">
        <f>IFERROR(__xludf.DUMMYFUNCTION("GOOGLETRANSLATE(B11691,""en"",""zh-CN"")"),"看到两个男人戴着拳击手套，互相踢拳。")</f>
        <v>看到两个男人戴着拳击手套，互相踢拳。</v>
      </c>
    </row>
    <row r="11692">
      <c r="A11692" s="4" t="s">
        <v>14705</v>
      </c>
      <c r="B11692" s="6" t="s">
        <v>14707</v>
      </c>
      <c r="C11692" s="5" t="str">
        <f>IFERROR(__xludf.DUMMYFUNCTION("GOOGLETRANSLATE(B11692,""en"",""zh-CN"")"),"这些人继续互相回去，彼此第四，视频结束时出现了文字。")</f>
        <v>这些人继续互相回去，彼此第四，视频结束时出现了文字。</v>
      </c>
    </row>
    <row r="11693">
      <c r="A11693" s="4" t="s">
        <v>14708</v>
      </c>
      <c r="B11693" s="4" t="s">
        <v>14709</v>
      </c>
      <c r="C11693" s="5" t="str">
        <f>IFERROR(__xludf.DUMMYFUNCTION("GOOGLETRANSLATE(B11693,""en"",""zh-CN"")"),"一个男孩碰到射门并踢足球。")</f>
        <v>一个男孩碰到射门并踢足球。</v>
      </c>
    </row>
    <row r="11694">
      <c r="A11694" s="4" t="s">
        <v>14708</v>
      </c>
      <c r="B11694" s="4" t="s">
        <v>14710</v>
      </c>
      <c r="C11694" s="5" t="str">
        <f>IFERROR(__xludf.DUMMYFUNCTION("GOOGLETRANSLATE(B11694,""en"",""zh-CN"")"),"球向公园里的人群徽标。")</f>
        <v>球向公园里的人群徽标。</v>
      </c>
    </row>
    <row r="11695">
      <c r="A11695" s="4" t="s">
        <v>14708</v>
      </c>
      <c r="B11695" s="4" t="s">
        <v>14711</v>
      </c>
      <c r="C11695" s="5" t="str">
        <f>IFERROR(__xludf.DUMMYFUNCTION("GOOGLETRANSLATE(B11695,""en"",""zh-CN"")"),"很少有其他男孩试图抓住动球。")</f>
        <v>很少有其他男孩试图抓住动球。</v>
      </c>
    </row>
    <row r="11696">
      <c r="A11696" s="4" t="s">
        <v>14708</v>
      </c>
      <c r="B11696" s="4" t="s">
        <v>14712</v>
      </c>
      <c r="C11696" s="5" t="str">
        <f>IFERROR(__xludf.DUMMYFUNCTION("GOOGLETRANSLATE(B11696,""en"",""zh-CN"")"),"一个男孩最终将球踢向相机。")</f>
        <v>一个男孩最终将球踢向相机。</v>
      </c>
    </row>
    <row r="11697">
      <c r="A11697" s="4" t="s">
        <v>14708</v>
      </c>
      <c r="B11697" s="6" t="s">
        <v>14713</v>
      </c>
      <c r="C11697" s="5" t="str">
        <f>IFERROR(__xludf.DUMMYFUNCTION("GOOGLETRANSLATE(B11697,""en"",""zh-CN"")"),"一个女孩从场边进来，将球踢回到男孩的人群中，孩子们继续踢球。")</f>
        <v>一个女孩从场边进来，将球踢回到男孩的人群中，孩子们继续踢球。</v>
      </c>
    </row>
    <row r="11698">
      <c r="A11698" s="4" t="s">
        <v>14714</v>
      </c>
      <c r="B11698" s="6" t="s">
        <v>14715</v>
      </c>
      <c r="C11698" s="5" t="str">
        <f>IFERROR(__xludf.DUMMYFUNCTION("GOOGLETRANSLATE(B11698,""en"",""zh-CN"")"),"一个男人和一个女人坐在桌子上，嘴里有香烟，双臂彼此交叉。")</f>
        <v>一个男人和一个女人坐在桌子上，嘴里有香烟，双臂彼此交叉。</v>
      </c>
    </row>
    <row r="11699">
      <c r="A11699" s="4" t="s">
        <v>14714</v>
      </c>
      <c r="B11699" s="4" t="s">
        <v>14716</v>
      </c>
      <c r="C11699" s="5" t="str">
        <f>IFERROR(__xludf.DUMMYFUNCTION("GOOGLETRANSLATE(B11699,""en"",""zh-CN"")"),"他们开始手臂摔跤，那个带着香烟的女孩击败了男人。")</f>
        <v>他们开始手臂摔跤，那个带着香烟的女孩击败了男人。</v>
      </c>
    </row>
    <row r="11700">
      <c r="A11700" s="4" t="s">
        <v>14717</v>
      </c>
      <c r="B11700" s="4" t="s">
        <v>14718</v>
      </c>
      <c r="C11700" s="5" t="str">
        <f>IFERROR(__xludf.DUMMYFUNCTION("GOOGLETRANSLATE(B11700,""en"",""zh-CN"")"),"看到一个人向下移动一组楼梯，并伸出各种测量物品。")</f>
        <v>看到一个人向下移动一组楼梯，并伸出各种测量物品。</v>
      </c>
    </row>
    <row r="11701">
      <c r="A11701" s="4" t="s">
        <v>14717</v>
      </c>
      <c r="B11701" s="4" t="s">
        <v>14719</v>
      </c>
      <c r="C11701" s="5" t="str">
        <f>IFERROR(__xludf.DUMMYFUNCTION("GOOGLETRANSLATE(B11701,""en"",""zh-CN"")"),"该男子跪下，开始将地毯放在地板上以及楼梯上。")</f>
        <v>该男子跪下，开始将地毯放在地板上以及楼梯上。</v>
      </c>
    </row>
    <row r="11702">
      <c r="A11702" s="4" t="s">
        <v>14717</v>
      </c>
      <c r="B11702" s="4" t="s">
        <v>14720</v>
      </c>
      <c r="C11702" s="5" t="str">
        <f>IFERROR(__xludf.DUMMYFUNCTION("GOOGLETRANSLATE(B11702,""en"",""zh-CN"")"),"那个人完成了地毯，相机放大了他的作品。")</f>
        <v>那个人完成了地毯，相机放大了他的作品。</v>
      </c>
    </row>
    <row r="11703">
      <c r="A11703" s="4" t="s">
        <v>14721</v>
      </c>
      <c r="B11703" s="4" t="s">
        <v>14722</v>
      </c>
      <c r="C11703" s="5" t="str">
        <f>IFERROR(__xludf.DUMMYFUNCTION("GOOGLETRANSLATE(B11703,""en"",""zh-CN"")"),"一个坐着的人看着剪贴板。")</f>
        <v>一个坐着的人看着剪贴板。</v>
      </c>
    </row>
    <row r="11704">
      <c r="A11704" s="4" t="s">
        <v>14721</v>
      </c>
      <c r="B11704" s="4" t="s">
        <v>14723</v>
      </c>
      <c r="C11704" s="5" t="str">
        <f>IFERROR(__xludf.DUMMYFUNCTION("GOOGLETRANSLATE(B11704,""en"",""zh-CN"")"),"该男子开始从大管道上吸烟。")</f>
        <v>该男子开始从大管道上吸烟。</v>
      </c>
    </row>
    <row r="11705">
      <c r="A11705" s="4" t="s">
        <v>14721</v>
      </c>
      <c r="B11705" s="4" t="s">
        <v>14724</v>
      </c>
      <c r="C11705" s="5" t="str">
        <f>IFERROR(__xludf.DUMMYFUNCTION("GOOGLETRANSLATE(B11705,""en"",""zh-CN"")"),"摄像机向下平移以显示桌子上的各种物品。")</f>
        <v>摄像机向下平移以显示桌子上的各种物品。</v>
      </c>
    </row>
    <row r="11706">
      <c r="A11706" s="4" t="s">
        <v>14721</v>
      </c>
      <c r="B11706" s="4" t="s">
        <v>14725</v>
      </c>
      <c r="C11706" s="5" t="str">
        <f>IFERROR(__xludf.DUMMYFUNCTION("GOOGLETRANSLATE(B11706,""en"",""zh-CN"")"),"摄像机倒回到男人身上。")</f>
        <v>摄像机倒回到男人身上。</v>
      </c>
    </row>
    <row r="11707">
      <c r="A11707" s="4" t="s">
        <v>14726</v>
      </c>
      <c r="B11707" s="6" t="s">
        <v>14727</v>
      </c>
      <c r="C11707" s="5" t="str">
        <f>IFERROR(__xludf.DUMMYFUNCTION("GOOGLETRANSLATE(B11707,""en"",""zh-CN"")"),"人们在河中的船上航行，一个人拉一串，一群人准备进行水滑雪。")</f>
        <v>人们在河中的船上航行，一个人拉一串，一群人准备进行水滑雪。</v>
      </c>
    </row>
    <row r="11708">
      <c r="A11708" s="4" t="s">
        <v>14726</v>
      </c>
      <c r="B11708" s="4" t="s">
        <v>14728</v>
      </c>
      <c r="C11708" s="5" t="str">
        <f>IFERROR(__xludf.DUMMYFUNCTION("GOOGLETRANSLATE(B11708,""en"",""zh-CN"")"),"然后，当人们观看时，船后水滑雪。")</f>
        <v>然后，当人们观看时，船后水滑雪。</v>
      </c>
    </row>
    <row r="11709">
      <c r="A11709" s="4" t="s">
        <v>14726</v>
      </c>
      <c r="B11709" s="4" t="s">
        <v>14729</v>
      </c>
      <c r="C11709" s="5" t="str">
        <f>IFERROR(__xludf.DUMMYFUNCTION("GOOGLETRANSLATE(B11709,""en"",""zh-CN"")"),"该人落入水中，但再次站立，继续进行滑雪。")</f>
        <v>该人落入水中，但再次站立，继续进行滑雪。</v>
      </c>
    </row>
    <row r="11710">
      <c r="A11710" s="4" t="s">
        <v>14726</v>
      </c>
      <c r="B11710" s="4" t="s">
        <v>14730</v>
      </c>
      <c r="C11710" s="5" t="str">
        <f>IFERROR(__xludf.DUMMYFUNCTION("GOOGLETRANSLATE(B11710,""en"",""zh-CN"")"),"一条船出现在该人后面的河中，而人滑雪。")</f>
        <v>一条船出现在该人后面的河中，而人滑雪。</v>
      </c>
    </row>
    <row r="11711">
      <c r="A11711" s="4" t="s">
        <v>14726</v>
      </c>
      <c r="B11711" s="4" t="s">
        <v>14731</v>
      </c>
      <c r="C11711" s="5" t="str">
        <f>IFERROR(__xludf.DUMMYFUNCTION("GOOGLETRANSLATE(B11711,""en"",""zh-CN"")"),"这个人再次倒在水中，船上的人们笑了，一个人确实竖起了拇指。")</f>
        <v>这个人再次倒在水中，船上的人们笑了，一个人确实竖起了拇指。</v>
      </c>
    </row>
    <row r="11712">
      <c r="A11712" s="4" t="s">
        <v>14732</v>
      </c>
      <c r="B11712" s="4" t="s">
        <v>14733</v>
      </c>
      <c r="C11712" s="5" t="str">
        <f>IFERROR(__xludf.DUMMYFUNCTION("GOOGLETRANSLATE(B11712,""en"",""zh-CN"")"),"一个有跳绳的女孩穿着运动短裤和一件T恤，拿着跳绳。")</f>
        <v>一个有跳绳的女孩穿着运动短裤和一件T恤，拿着跳绳。</v>
      </c>
    </row>
    <row r="11713">
      <c r="A11713" s="4" t="s">
        <v>14732</v>
      </c>
      <c r="B11713" s="6" t="s">
        <v>14734</v>
      </c>
      <c r="C11713" s="5" t="str">
        <f>IFERROR(__xludf.DUMMYFUNCTION("GOOGLETRANSLATE(B11713,""en"",""zh-CN"")"),"她开始预先进行复杂的特技表演，例如在跳绳时手工架，翻转和拆分。")</f>
        <v>她开始预先进行复杂的特技表演，例如在跳绳时手工架，翻转和拆分。</v>
      </c>
    </row>
    <row r="11714">
      <c r="A11714" s="4" t="s">
        <v>14732</v>
      </c>
      <c r="B11714" s="6" t="s">
        <v>14735</v>
      </c>
      <c r="C11714" s="5" t="str">
        <f>IFERROR(__xludf.DUMMYFUNCTION("GOOGLETRANSLATE(B11714,""en"",""zh-CN"")"),"当她放下跳绳，然后捡起它以恢复自己的表演时，她有短暂的不幸。")</f>
        <v>当她放下跳绳，然后捡起它以恢复自己的表演时，她有短暂的不幸。</v>
      </c>
    </row>
    <row r="11715">
      <c r="A11715" s="4" t="s">
        <v>14732</v>
      </c>
      <c r="B11715" s="6" t="s">
        <v>14736</v>
      </c>
      <c r="C11715" s="5" t="str">
        <f>IFERROR(__xludf.DUMMYFUNCTION("GOOGLETRANSLATE(B11715,""en"",""zh-CN"")"),"许多人坐在场边，有些人看着观众，有些是法官，有些正在拍摄活动。")</f>
        <v>许多人坐在场边，有些人看着观众，有些是法官，有些正在拍摄活动。</v>
      </c>
    </row>
    <row r="11716">
      <c r="A11716" s="4" t="s">
        <v>14737</v>
      </c>
      <c r="B11716" s="4" t="s">
        <v>14738</v>
      </c>
      <c r="C11716" s="5" t="str">
        <f>IFERROR(__xludf.DUMMYFUNCTION("GOOGLETRANSLATE(B11716,""en"",""zh-CN"")"),"一个相机在大院子周围摇晃，向两个人展示了一个木制的吧台。")</f>
        <v>一个相机在大院子周围摇晃，向两个人展示了一个木制的吧台。</v>
      </c>
    </row>
    <row r="11717">
      <c r="A11717" s="4" t="s">
        <v>14737</v>
      </c>
      <c r="B11717" s="4" t="s">
        <v>14739</v>
      </c>
      <c r="C11717" s="5" t="str">
        <f>IFERROR(__xludf.DUMMYFUNCTION("GOOGLETRANSLATE(B11717,""en"",""zh-CN"")"),"然后，一个人踩在酒吧上，然后开始使用工具来减少树篱。")</f>
        <v>然后，一个人踩在酒吧上，然后开始使用工具来减少树篱。</v>
      </c>
    </row>
    <row r="11718">
      <c r="A11718" s="4" t="s">
        <v>14737</v>
      </c>
      <c r="B11718" s="4" t="s">
        <v>14740</v>
      </c>
      <c r="C11718" s="5" t="str">
        <f>IFERROR(__xludf.DUMMYFUNCTION("GOOGLETRANSLATE(B11718,""en"",""zh-CN"")"),"该男子回头看着相机说话，男人将酒吧移动。")</f>
        <v>该男子回头看着相机说话，男人将酒吧移动。</v>
      </c>
    </row>
    <row r="11719">
      <c r="A11719" s="4" t="s">
        <v>14741</v>
      </c>
      <c r="B11719" s="4" t="s">
        <v>14742</v>
      </c>
      <c r="C11719" s="5" t="str">
        <f>IFERROR(__xludf.DUMMYFUNCTION("GOOGLETRANSLATE(B11719,""en"",""zh-CN"")"),"我们看到一个在健身房里拿着跳绳的家伙。")</f>
        <v>我们看到一个在健身房里拿着跳绳的家伙。</v>
      </c>
    </row>
    <row r="11720">
      <c r="A11720" s="4" t="s">
        <v>14741</v>
      </c>
      <c r="B11720" s="4" t="s">
        <v>14743</v>
      </c>
      <c r="C11720" s="5" t="str">
        <f>IFERROR(__xludf.DUMMYFUNCTION("GOOGLETRANSLATE(B11720,""en"",""zh-CN"")"),"这个家伙做了一个跳绳。")</f>
        <v>这个家伙做了一个跳绳。</v>
      </c>
    </row>
    <row r="11721">
      <c r="A11721" s="4" t="s">
        <v>14741</v>
      </c>
      <c r="B11721" s="4" t="s">
        <v>14744</v>
      </c>
      <c r="C11721" s="5" t="str">
        <f>IFERROR(__xludf.DUMMYFUNCTION("GOOGLETRANSLATE(B11721,""en"",""zh-CN"")"),"那家伙用绳子翻转。")</f>
        <v>那家伙用绳子翻转。</v>
      </c>
    </row>
    <row r="11722">
      <c r="A11722" s="4" t="s">
        <v>14741</v>
      </c>
      <c r="B11722" s="4" t="s">
        <v>14745</v>
      </c>
      <c r="C11722" s="5" t="str">
        <f>IFERROR(__xludf.DUMMYFUNCTION("GOOGLETRANSLATE(B11722,""en"",""zh-CN"")"),"那家伙做了两个俯卧撑。")</f>
        <v>那家伙做了两个俯卧撑。</v>
      </c>
    </row>
    <row r="11723">
      <c r="A11723" s="4" t="s">
        <v>14741</v>
      </c>
      <c r="B11723" s="4" t="s">
        <v>14746</v>
      </c>
      <c r="C11723" s="5" t="str">
        <f>IFERROR(__xludf.DUMMYFUNCTION("GOOGLETRANSLATE(B11723,""en"",""zh-CN"")"),"伙计们的腿被绳子夹在绳子上。")</f>
        <v>伙计们的腿被绳子夹在绳子上。</v>
      </c>
    </row>
    <row r="11724">
      <c r="A11724" s="4" t="s">
        <v>14741</v>
      </c>
      <c r="B11724" s="4" t="s">
        <v>14747</v>
      </c>
      <c r="C11724" s="5" t="str">
        <f>IFERROR(__xludf.DUMMYFUNCTION("GOOGLETRANSLATE(B11724,""en"",""zh-CN"")"),"那家伙跳高了，绳子再次纠结。")</f>
        <v>那家伙跳高了，绳子再次纠结。</v>
      </c>
    </row>
    <row r="11725">
      <c r="A11725" s="4" t="s">
        <v>14741</v>
      </c>
      <c r="B11725" s="4" t="s">
        <v>14748</v>
      </c>
      <c r="C11725" s="5" t="str">
        <f>IFERROR(__xludf.DUMMYFUNCTION("GOOGLETRANSLATE(B11725,""en"",""zh-CN"")"),"那家伙结束并躺在地上。")</f>
        <v>那家伙结束并躺在地上。</v>
      </c>
    </row>
    <row r="11726">
      <c r="A11726" s="4" t="s">
        <v>14741</v>
      </c>
      <c r="B11726" s="4" t="s">
        <v>14749</v>
      </c>
      <c r="C11726" s="5" t="str">
        <f>IFERROR(__xludf.DUMMYFUNCTION("GOOGLETRANSLATE(B11726,""en"",""zh-CN"")"),"那家伙站起来走开。")</f>
        <v>那家伙站起来走开。</v>
      </c>
    </row>
    <row r="11727">
      <c r="A11727" s="4" t="s">
        <v>14750</v>
      </c>
      <c r="B11727" s="4" t="s">
        <v>14751</v>
      </c>
      <c r="C11727" s="5" t="str">
        <f>IFERROR(__xludf.DUMMYFUNCTION("GOOGLETRANSLATE(B11727,""en"",""zh-CN"")"),"一个女人在跳水板上摆姿势。")</f>
        <v>一个女人在跳水板上摆姿势。</v>
      </c>
    </row>
    <row r="11728">
      <c r="A11728" s="4" t="s">
        <v>14750</v>
      </c>
      <c r="B11728" s="4" t="s">
        <v>14752</v>
      </c>
      <c r="C11728" s="5" t="str">
        <f>IFERROR(__xludf.DUMMYFUNCTION("GOOGLETRANSLATE(B11728,""en"",""zh-CN"")"),"她在一个观看小组面前的水中向后涌入水中。")</f>
        <v>她在一个观看小组面前的水中向后涌入水中。</v>
      </c>
    </row>
    <row r="11729">
      <c r="A11729" s="4" t="s">
        <v>14753</v>
      </c>
      <c r="B11729" s="4" t="s">
        <v>14754</v>
      </c>
      <c r="C11729" s="5" t="str">
        <f>IFERROR(__xludf.DUMMYFUNCTION("GOOGLETRANSLATE(B11729,""en"",""zh-CN"")"),"我们在俱乐部的一个舞池上看到一对夫妇跳舞。")</f>
        <v>我们在俱乐部的一个舞池上看到一对夫妇跳舞。</v>
      </c>
    </row>
    <row r="11730">
      <c r="A11730" s="4" t="s">
        <v>14753</v>
      </c>
      <c r="B11730" s="4" t="s">
        <v>14755</v>
      </c>
      <c r="C11730" s="5" t="str">
        <f>IFERROR(__xludf.DUMMYFUNCTION("GOOGLETRANSLATE(B11730,""en"",""zh-CN"")"),"我们看到一个男人看着镜头，一群人走过去，他的嘴张开了。")</f>
        <v>我们看到一个男人看着镜头，一群人走过去，他的嘴张开了。</v>
      </c>
    </row>
    <row r="11731">
      <c r="A11731" s="4" t="s">
        <v>14753</v>
      </c>
      <c r="B11731" s="4" t="s">
        <v>14756</v>
      </c>
      <c r="C11731" s="5" t="str">
        <f>IFERROR(__xludf.DUMMYFUNCTION("GOOGLETRANSLATE(B11731,""en"",""zh-CN"")"),"一个穿着黑色衬衫的男人走过相机，站着片刻。")</f>
        <v>一个穿着黑色衬衫的男人走过相机，站着片刻。</v>
      </c>
    </row>
    <row r="11732">
      <c r="A11732" s="4" t="s">
        <v>14753</v>
      </c>
      <c r="B11732" s="4" t="s">
        <v>14757</v>
      </c>
      <c r="C11732" s="5" t="str">
        <f>IFERROR(__xludf.DUMMYFUNCTION("GOOGLETRANSLATE(B11732,""en"",""zh-CN"")"),"那位夫人的shimmy's，向下弯腰，向上抬起。")</f>
        <v>那位夫人的shimmy's，向下弯腰，向上抬起。</v>
      </c>
    </row>
    <row r="11733">
      <c r="A11733" s="4" t="s">
        <v>14753</v>
      </c>
      <c r="B11733" s="4" t="s">
        <v>14758</v>
      </c>
      <c r="C11733" s="5" t="str">
        <f>IFERROR(__xludf.DUMMYFUNCTION("GOOGLETRANSLATE(B11733,""en"",""zh-CN"")"),"男人浸入女人和镜头的微笑。")</f>
        <v>男人浸入女人和镜头的微笑。</v>
      </c>
    </row>
    <row r="11734">
      <c r="A11734" s="4" t="s">
        <v>14759</v>
      </c>
      <c r="B11734" s="6" t="s">
        <v>14760</v>
      </c>
      <c r="C11734" s="5" t="str">
        <f>IFERROR(__xludf.DUMMYFUNCTION("GOOGLETRANSLATE(B11734,""en"",""zh-CN"")"),"看到一小群人在户外竞技场周围奔跑，彼此打彩弹。")</f>
        <v>看到一小群人在户外竞技场周围奔跑，彼此打彩弹。</v>
      </c>
    </row>
    <row r="11735">
      <c r="A11735" s="4" t="s">
        <v>14759</v>
      </c>
      <c r="B11735" s="6" t="s">
        <v>14761</v>
      </c>
      <c r="C11735" s="5" t="str">
        <f>IFERROR(__xludf.DUMMYFUNCTION("GOOGLETRANSLATE(B11735,""en"",""zh-CN"")"),"一个人向前奔跑，周围有一团众多烟雾，一个人在空中挥舞着手臂，而另一个人则有所帮助。")</f>
        <v>一个人向前奔跑，周围有一团众多烟雾，一个人在空中挥舞着手臂，而另一个人则有所帮助。</v>
      </c>
    </row>
    <row r="11736">
      <c r="A11736" s="4" t="s">
        <v>14762</v>
      </c>
      <c r="B11736" s="4" t="s">
        <v>14763</v>
      </c>
      <c r="C11736" s="5" t="str">
        <f>IFERROR(__xludf.DUMMYFUNCTION("GOOGLETRANSLATE(B11736,""en"",""zh-CN"")"),"人们正坐在椅子上打鼓。")</f>
        <v>人们正坐在椅子上打鼓。</v>
      </c>
    </row>
    <row r="11737">
      <c r="A11737" s="4" t="s">
        <v>14762</v>
      </c>
      <c r="B11737" s="4" t="s">
        <v>14764</v>
      </c>
      <c r="C11737" s="5" t="str">
        <f>IFERROR(__xludf.DUMMYFUNCTION("GOOGLETRANSLATE(B11737,""en"",""zh-CN"")"),"人们在人行道上走过。")</f>
        <v>人们在人行道上走过。</v>
      </c>
    </row>
    <row r="11738">
      <c r="A11738" s="4" t="s">
        <v>14762</v>
      </c>
      <c r="B11738" s="4" t="s">
        <v>14765</v>
      </c>
      <c r="C11738" s="5" t="str">
        <f>IFERROR(__xludf.DUMMYFUNCTION("GOOGLETRANSLATE(B11738,""en"",""zh-CN"")"),"一个推销婴儿车的人走在他们身后。")</f>
        <v>一个推销婴儿车的人走在他们身后。</v>
      </c>
    </row>
    <row r="11739">
      <c r="A11739" s="4" t="s">
        <v>14766</v>
      </c>
      <c r="B11739" s="4" t="s">
        <v>14767</v>
      </c>
      <c r="C11739" s="5" t="str">
        <f>IFERROR(__xludf.DUMMYFUNCTION("GOOGLETRANSLATE(B11739,""en"",""zh-CN"")"),"一只猫站在桌子上被抚摸。")</f>
        <v>一只猫站在桌子上被抚摸。</v>
      </c>
    </row>
    <row r="11740">
      <c r="A11740" s="4" t="s">
        <v>14766</v>
      </c>
      <c r="B11740" s="4" t="s">
        <v>14768</v>
      </c>
      <c r="C11740" s="5" t="str">
        <f>IFERROR(__xludf.DUMMYFUNCTION("GOOGLETRANSLATE(B11740,""en"",""zh-CN"")"),"一个人拿起猫的爪子，开始剪指甲。")</f>
        <v>一个人拿起猫的爪子，开始剪指甲。</v>
      </c>
    </row>
    <row r="11741">
      <c r="A11741" s="4" t="s">
        <v>14766</v>
      </c>
      <c r="B11741" s="4" t="s">
        <v>14769</v>
      </c>
      <c r="C11741" s="5" t="str">
        <f>IFERROR(__xludf.DUMMYFUNCTION("GOOGLETRANSLATE(B11741,""en"",""zh-CN"")"),"该人捡起猫来夹住他们的​​后爪。")</f>
        <v>该人捡起猫来夹住他们的​​后爪。</v>
      </c>
    </row>
    <row r="11742">
      <c r="A11742" s="4" t="s">
        <v>14766</v>
      </c>
      <c r="B11742" s="4" t="s">
        <v>14770</v>
      </c>
      <c r="C11742" s="5" t="str">
        <f>IFERROR(__xludf.DUMMYFUNCTION("GOOGLETRANSLATE(B11742,""en"",""zh-CN"")"),"该人在剪指甲后宠物宠物。")</f>
        <v>该人在剪指甲后宠物宠物。</v>
      </c>
    </row>
    <row r="11743">
      <c r="A11743" s="4" t="s">
        <v>14771</v>
      </c>
      <c r="B11743" s="4" t="s">
        <v>14772</v>
      </c>
      <c r="C11743" s="5" t="str">
        <f>IFERROR(__xludf.DUMMYFUNCTION("GOOGLETRANSLATE(B11743,""en"",""zh-CN"")"),"看到一个女人看着相机，然后哭着拥抱一群人。")</f>
        <v>看到一个女人看着相机，然后哭着拥抱一群人。</v>
      </c>
    </row>
    <row r="11744">
      <c r="A11744" s="4" t="s">
        <v>14771</v>
      </c>
      <c r="B11744" s="6" t="s">
        <v>14773</v>
      </c>
      <c r="C11744" s="5" t="str">
        <f>IFERROR(__xludf.DUMMYFUNCTION("GOOGLETRANSLATE(B11744,""en"",""zh-CN"")"),"显示了玩洗牌板的人的镜头，后面是人们庆祝的人和对镜头说话的女人。")</f>
        <v>显示了玩洗牌板的人的镜头，后面是人们庆祝的人和对镜头说话的女人。</v>
      </c>
    </row>
    <row r="11745">
      <c r="A11745" s="4" t="s">
        <v>14771</v>
      </c>
      <c r="B11745" s="4" t="s">
        <v>14774</v>
      </c>
      <c r="C11745" s="5" t="str">
        <f>IFERROR(__xludf.DUMMYFUNCTION("GOOGLETRANSLATE(B11745,""en"",""zh-CN"")"),"展示了更多的庆祝镜头，队友都互相拥抱。")</f>
        <v>展示了更多的庆祝镜头，队友都互相拥抱。</v>
      </c>
    </row>
    <row r="11746">
      <c r="A11746" s="4" t="s">
        <v>14775</v>
      </c>
      <c r="B11746" s="4" t="s">
        <v>14776</v>
      </c>
      <c r="C11746" s="5" t="str">
        <f>IFERROR(__xludf.DUMMYFUNCTION("GOOGLETRANSLATE(B11746,""en"",""zh-CN"")"),"一个小男孩站在草地上，在皮纳塔（Pinata）挥舞着蝙蝠。")</f>
        <v>一个小男孩站在草地上，在皮纳塔（Pinata）挥舞着蝙蝠。</v>
      </c>
    </row>
    <row r="11747">
      <c r="A11747" s="4" t="s">
        <v>14775</v>
      </c>
      <c r="B11747" s="4" t="s">
        <v>14777</v>
      </c>
      <c r="C11747" s="5" t="str">
        <f>IFERROR(__xludf.DUMMYFUNCTION("GOOGLETRANSLATE(B11747,""en"",""zh-CN"")"),"人们在看男孩。")</f>
        <v>人们在看男孩。</v>
      </c>
    </row>
    <row r="11748">
      <c r="A11748" s="4" t="s">
        <v>14775</v>
      </c>
      <c r="B11748" s="4" t="s">
        <v>14778</v>
      </c>
      <c r="C11748" s="5" t="str">
        <f>IFERROR(__xludf.DUMMYFUNCTION("GOOGLETRANSLATE(B11748,""en"",""zh-CN"")"),"一个穿着蓝色泳衣的女孩拿着蝙蝠，开始在皮纳塔（Pinata）摇摆。")</f>
        <v>一个穿着蓝色泳衣的女孩拿着蝙蝠，开始在皮纳塔（Pinata）摇摆。</v>
      </c>
    </row>
    <row r="11749">
      <c r="A11749" s="4" t="s">
        <v>14779</v>
      </c>
      <c r="B11749" s="4" t="s">
        <v>14780</v>
      </c>
      <c r="C11749" s="5" t="str">
        <f>IFERROR(__xludf.DUMMYFUNCTION("GOOGLETRANSLATE(B11749,""en"",""zh-CN"")"),"我们看到了GoPro和标题卡。")</f>
        <v>我们看到了GoPro和标题卡。</v>
      </c>
    </row>
    <row r="11750">
      <c r="A11750" s="4" t="s">
        <v>14779</v>
      </c>
      <c r="B11750" s="6" t="s">
        <v>14781</v>
      </c>
      <c r="C11750" s="5" t="str">
        <f>IFERROR(__xludf.DUMMYFUNCTION("GOOGLETRANSLATE(B11750,""en"",""zh-CN"")"),"我们看到水和一条船上的船上骑着水，穿上湿西装并进入水。")</f>
        <v>我们看到水和一条船上的船上骑着水，穿上湿西装并进入水。</v>
      </c>
    </row>
    <row r="11751">
      <c r="A11751" s="4" t="s">
        <v>14779</v>
      </c>
      <c r="B11751" s="4" t="s">
        <v>14782</v>
      </c>
      <c r="C11751" s="5" t="str">
        <f>IFERROR(__xludf.DUMMYFUNCTION("GOOGLETRANSLATE(B11751,""en"",""zh-CN"")"),"我们看到水下游泳。")</f>
        <v>我们看到水下游泳。</v>
      </c>
    </row>
    <row r="11752">
      <c r="A11752" s="4" t="s">
        <v>14779</v>
      </c>
      <c r="B11752" s="4" t="s">
        <v>14783</v>
      </c>
      <c r="C11752" s="5" t="str">
        <f>IFERROR(__xludf.DUMMYFUNCTION("GOOGLETRANSLATE(B11752,""en"",""zh-CN"")"),"一个人在裂缝中游泳。")</f>
        <v>一个人在裂缝中游泳。</v>
      </c>
    </row>
    <row r="11753">
      <c r="A11753" s="4" t="s">
        <v>14779</v>
      </c>
      <c r="B11753" s="4" t="s">
        <v>14784</v>
      </c>
      <c r="C11753" s="5" t="str">
        <f>IFERROR(__xludf.DUMMYFUNCTION("GOOGLETRANSLATE(B11753,""en"",""zh-CN"")"),"我们在岩石上看到一只动物。")</f>
        <v>我们在岩石上看到一只动物。</v>
      </c>
    </row>
    <row r="11754">
      <c r="A11754" s="4" t="s">
        <v>14779</v>
      </c>
      <c r="B11754" s="4" t="s">
        <v>14785</v>
      </c>
      <c r="C11754" s="5" t="str">
        <f>IFERROR(__xludf.DUMMYFUNCTION("GOOGLETRANSLATE(B11754,""en"",""zh-CN"")"),"我们看到了船的一部分。")</f>
        <v>我们看到了船的一部分。</v>
      </c>
    </row>
    <row r="11755">
      <c r="A11755" s="4" t="s">
        <v>14779</v>
      </c>
      <c r="B11755" s="4" t="s">
        <v>14786</v>
      </c>
      <c r="C11755" s="5" t="str">
        <f>IFERROR(__xludf.DUMMYFUNCTION("GOOGLETRANSLATE(B11755,""en"",""zh-CN"")"),"我们显示了各种海洋生物。")</f>
        <v>我们显示了各种海洋生物。</v>
      </c>
    </row>
    <row r="11756">
      <c r="A11756" s="4" t="s">
        <v>14779</v>
      </c>
      <c r="B11756" s="4" t="s">
        <v>14787</v>
      </c>
      <c r="C11756" s="5" t="str">
        <f>IFERROR(__xludf.DUMMYFUNCTION("GOOGLETRANSLATE(B11756,""en"",""zh-CN"")"),"我们看到船附近的人。")</f>
        <v>我们看到船附近的人。</v>
      </c>
    </row>
    <row r="11757">
      <c r="A11757" s="4" t="s">
        <v>14779</v>
      </c>
      <c r="B11757" s="4" t="s">
        <v>14788</v>
      </c>
      <c r="C11757" s="5" t="str">
        <f>IFERROR(__xludf.DUMMYFUNCTION("GOOGLETRANSLATE(B11757,""en"",""zh-CN"")"),"人们拿着大型海拔。")</f>
        <v>人们拿着大型海拔。</v>
      </c>
    </row>
    <row r="11758">
      <c r="A11758" s="4" t="s">
        <v>14779</v>
      </c>
      <c r="B11758" s="4" t="s">
        <v>14789</v>
      </c>
      <c r="C11758" s="5" t="str">
        <f>IFERROR(__xludf.DUMMYFUNCTION("GOOGLETRANSLATE(B11758,""en"",""zh-CN"")"),"我们看到地面上有一只大大的水下海龟。")</f>
        <v>我们看到地面上有一只大大的水下海龟。</v>
      </c>
    </row>
    <row r="11759">
      <c r="A11759" s="4" t="s">
        <v>14779</v>
      </c>
      <c r="B11759" s="4" t="s">
        <v>14790</v>
      </c>
      <c r="C11759" s="5" t="str">
        <f>IFERROR(__xludf.DUMMYFUNCTION("GOOGLETRANSLATE(B11759,""en"",""zh-CN"")"),"气泡漂浮到表面，视频结束。")</f>
        <v>气泡漂浮到表面，视频结束。</v>
      </c>
    </row>
    <row r="11760">
      <c r="A11760" s="4" t="s">
        <v>14791</v>
      </c>
      <c r="B11760" s="6" t="s">
        <v>14792</v>
      </c>
      <c r="C11760" s="5" t="str">
        <f>IFERROR(__xludf.DUMMYFUNCTION("GOOGLETRANSLATE(B11760,""en"",""zh-CN"")"),"出现了一个带有白色单词的黑色介绍屏幕，并指出了他们要制作的位置，人和蛋糕。")</f>
        <v>出现了一个带有白色单词的黑色介绍屏幕，并指出了他们要制作的位置，人和蛋糕。</v>
      </c>
    </row>
    <row r="11761">
      <c r="A11761" s="4" t="s">
        <v>14791</v>
      </c>
      <c r="B11761" s="6" t="s">
        <v>14793</v>
      </c>
      <c r="C11761" s="5" t="str">
        <f>IFERROR(__xludf.DUMMYFUNCTION("GOOGLETRANSLATE(B11761,""en"",""zh-CN"")"),"一个穿着红色围裙的男人和女人出现在厨房里，前面有一个白色厨房援助搅拌机，屏幕上的横幅显示了所有食材。")</f>
        <v>一个穿着红色围裙的男人和女人出现在厨房里，前面有一个白色厨房援助搅拌机，屏幕上的横幅显示了所有食材。</v>
      </c>
    </row>
    <row r="11762">
      <c r="A11762" s="4" t="s">
        <v>14791</v>
      </c>
      <c r="B11762" s="6" t="s">
        <v>14794</v>
      </c>
      <c r="C11762" s="5" t="str">
        <f>IFERROR(__xludf.DUMMYFUNCTION("GOOGLETRANSLATE(B11762,""en"",""zh-CN"")"),"然后，视图从上方变为镜头，以显示男人在做什么，并且屏幕上的横幅仍在显示所使用的成分。")</f>
        <v>然后，视图从上方变为镜头，以显示男人在做什么，并且屏幕上的横幅仍在显示所使用的成分。</v>
      </c>
    </row>
    <row r="11763">
      <c r="A11763" s="4" t="s">
        <v>14791</v>
      </c>
      <c r="B11763" s="4" t="s">
        <v>14795</v>
      </c>
      <c r="C11763" s="5" t="str">
        <f>IFERROR(__xludf.DUMMYFUNCTION("GOOGLETRANSLATE(B11763,""en"",""zh-CN"")"),"当男人混合成分时，视图从前角变为顶角。")</f>
        <v>当男人混合成分时，视图从前角变为顶角。</v>
      </c>
    </row>
    <row r="11764">
      <c r="A11764" s="4" t="s">
        <v>14791</v>
      </c>
      <c r="B11764" s="6" t="s">
        <v>14796</v>
      </c>
      <c r="C11764" s="5" t="str">
        <f>IFERROR(__xludf.DUMMYFUNCTION("GOOGLETRANSLATE(B11764,""en"",""zh-CN"")"),"然后，视图变回了前景，该人将厨房的援助移到侧面，从他们身后的柜台上抓住，烤蛋糕和一块盘子上放着一块蛋糕。")</f>
        <v>然后，视图变回了前景，该人将厨房的援助移到侧面，从他们身后的柜台上抓住，烤蛋糕和一块盘子上放着一块蛋糕。</v>
      </c>
    </row>
    <row r="11765">
      <c r="A11765" s="4" t="s">
        <v>14791</v>
      </c>
      <c r="B11765" s="6" t="s">
        <v>14797</v>
      </c>
      <c r="C11765" s="5" t="str">
        <f>IFERROR(__xludf.DUMMYFUNCTION("GOOGLETRANSLATE(B11765,""en"",""zh-CN"")"),"该手段包括一张男人和女人在一起的照片，他们的名字，他们制作的蛋糕的名字，地址和播出的新闻台。")</f>
        <v>该手段包括一张男人和女人在一起的照片，他们的名字，他们制作的蛋糕的名字，地址和播出的新闻台。</v>
      </c>
    </row>
    <row r="11766">
      <c r="A11766" s="4" t="s">
        <v>14791</v>
      </c>
      <c r="B11766" s="4" t="s">
        <v>14798</v>
      </c>
      <c r="C11766" s="5" t="str">
        <f>IFERROR(__xludf.DUMMYFUNCTION("GOOGLETRANSLATE(B11766,""en"",""zh-CN"")"),"然后，积分开始用白色字母在黑屏上从底部到顶部滚动。")</f>
        <v>然后，积分开始用白色字母在黑屏上从底部到顶部滚动。</v>
      </c>
    </row>
    <row r="11767">
      <c r="A11767" s="4" t="s">
        <v>14799</v>
      </c>
      <c r="B11767" s="4" t="s">
        <v>14800</v>
      </c>
      <c r="C11767" s="5" t="str">
        <f>IFERROR(__xludf.DUMMYFUNCTION("GOOGLETRANSLATE(B11767,""en"",""zh-CN"")"),"一群人正在踢足球。")</f>
        <v>一群人正在踢足球。</v>
      </c>
    </row>
    <row r="11768">
      <c r="A11768" s="4" t="s">
        <v>14799</v>
      </c>
      <c r="B11768" s="4" t="s">
        <v>14801</v>
      </c>
      <c r="C11768" s="5" t="str">
        <f>IFERROR(__xludf.DUMMYFUNCTION("GOOGLETRANSLATE(B11768,""en"",""zh-CN"")"),"一名球员将球踢入进球，然后才能进入对手进球。")</f>
        <v>一名球员将球踢入进球，然后才能进入对手进球。</v>
      </c>
    </row>
    <row r="11769">
      <c r="A11769" s="4" t="s">
        <v>14799</v>
      </c>
      <c r="B11769" s="4" t="s">
        <v>14802</v>
      </c>
      <c r="C11769" s="5" t="str">
        <f>IFERROR(__xludf.DUMMYFUNCTION("GOOGLETRANSLATE(B11769,""en"",""zh-CN"")"),"他们继续为球而战。")</f>
        <v>他们继续为球而战。</v>
      </c>
    </row>
    <row r="11770">
      <c r="A11770" s="4" t="s">
        <v>14803</v>
      </c>
      <c r="B11770" s="6" t="s">
        <v>14804</v>
      </c>
      <c r="C11770" s="5" t="str">
        <f>IFERROR(__xludf.DUMMYFUNCTION("GOOGLETRANSLATE(B11770,""en"",""zh-CN"")"),"一位穿着白色条纹的女士衬衫站在一个小男孩旁边，他们站在柜台上，切开面包的侧面，将面包撒在塑料上，切成面包的侧面，放肉在面包上切碎奶酪，将面包卷成塑料。")</f>
        <v>一位穿着白色条纹的女士衬衫站在一个小男孩旁边，他们站在柜台上，切开面包的侧面，将面包撒在塑料上，切成面包的侧面，放肉在面包上切碎奶酪，将面包卷成塑料。</v>
      </c>
    </row>
    <row r="11771">
      <c r="A11771" s="4" t="s">
        <v>14803</v>
      </c>
      <c r="B11771" s="4" t="s">
        <v>14805</v>
      </c>
      <c r="C11771" s="5" t="str">
        <f>IFERROR(__xludf.DUMMYFUNCTION("GOOGLETRANSLATE(B11771,""en"",""zh-CN"")"),"女人用面包将塑料切成薄片，然后将其放入矩形板中。")</f>
        <v>女人用面包将塑料切成薄片，然后将其放入矩形板中。</v>
      </c>
    </row>
    <row r="11772">
      <c r="A11772" s="4" t="s">
        <v>14806</v>
      </c>
      <c r="B11772" s="4" t="s">
        <v>14807</v>
      </c>
      <c r="C11772" s="5" t="str">
        <f>IFERROR(__xludf.DUMMYFUNCTION("GOOGLETRANSLATE(B11772,""en"",""zh-CN"")"),"一个女人坐在椅子上扮演手风琴。")</f>
        <v>一个女人坐在椅子上扮演手风琴。</v>
      </c>
    </row>
    <row r="11773">
      <c r="A11773" s="4" t="s">
        <v>14806</v>
      </c>
      <c r="B11773" s="4" t="s">
        <v>14808</v>
      </c>
      <c r="C11773" s="5" t="str">
        <f>IFERROR(__xludf.DUMMYFUNCTION("GOOGLETRANSLATE(B11773,""en"",""zh-CN"")"),"她停止玩耍并放下手臂。")</f>
        <v>她停止玩耍并放下手臂。</v>
      </c>
    </row>
    <row r="11774">
      <c r="A11774" s="4" t="s">
        <v>14806</v>
      </c>
      <c r="B11774" s="4" t="s">
        <v>14809</v>
      </c>
      <c r="C11774" s="5" t="str">
        <f>IFERROR(__xludf.DUMMYFUNCTION("GOOGLETRANSLATE(B11774,""en"",""zh-CN"")"),"单词闪烁到屏幕上。")</f>
        <v>单词闪烁到屏幕上。</v>
      </c>
    </row>
    <row r="11775">
      <c r="A11775" s="4" t="s">
        <v>14810</v>
      </c>
      <c r="B11775" s="4" t="s">
        <v>14811</v>
      </c>
      <c r="C11775" s="5" t="str">
        <f>IFERROR(__xludf.DUMMYFUNCTION("GOOGLETRANSLATE(B11775,""en"",""zh-CN"")"),"一个人脸朝下躺着时，用剃须刀剃光了一个男人的后腿。")</f>
        <v>一个人脸朝下躺着时，用剃须刀剃光了一个男人的后腿。</v>
      </c>
    </row>
    <row r="11776">
      <c r="A11776" s="4" t="s">
        <v>14810</v>
      </c>
      <c r="B11776" s="4" t="s">
        <v>14812</v>
      </c>
      <c r="C11776" s="5" t="str">
        <f>IFERROR(__xludf.DUMMYFUNCTION("GOOGLETRANSLATE(B11776,""en"",""zh-CN"")"),"然后那个男人朝上转身，这个人开始剃光腿。")</f>
        <v>然后那个男人朝上转身，这个人开始剃光腿。</v>
      </c>
    </row>
    <row r="11777">
      <c r="A11777" s="4" t="s">
        <v>14810</v>
      </c>
      <c r="B11777" s="6" t="s">
        <v>14813</v>
      </c>
      <c r="C11777" s="5" t="str">
        <f>IFERROR(__xludf.DUMMYFUNCTION("GOOGLETRANSLATE(B11777,""en"",""zh-CN"")"),"之后，该人在腿上使用一台机器，然后一张图片在剃须之前和之后显示腿。")</f>
        <v>之后，该人在腿上使用一台机器，然后一张图片在剃须之前和之后显示腿。</v>
      </c>
    </row>
    <row r="11778">
      <c r="A11778" s="4" t="s">
        <v>14814</v>
      </c>
      <c r="B11778" s="4" t="s">
        <v>14815</v>
      </c>
      <c r="C11778" s="5" t="str">
        <f>IFERROR(__xludf.DUMMYFUNCTION("GOOGLETRANSLATE(B11778,""en"",""zh-CN"")"),"围栏后面的一个女人看着一群球员。")</f>
        <v>围栏后面的一个女人看着一群球员。</v>
      </c>
    </row>
    <row r="11779">
      <c r="A11779" s="4" t="s">
        <v>14814</v>
      </c>
      <c r="B11779" s="4" t="s">
        <v>14816</v>
      </c>
      <c r="C11779" s="5" t="str">
        <f>IFERROR(__xludf.DUMMYFUNCTION("GOOGLETRANSLATE(B11779,""en"",""zh-CN"")"),"一位老太太经过那个女人的身后。")</f>
        <v>一位老太太经过那个女人的身后。</v>
      </c>
    </row>
    <row r="11780">
      <c r="A11780" s="4" t="s">
        <v>14814</v>
      </c>
      <c r="B11780" s="4" t="s">
        <v>14817</v>
      </c>
      <c r="C11780" s="5" t="str">
        <f>IFERROR(__xludf.DUMMYFUNCTION("GOOGLETRANSLATE(B11780,""en"",""zh-CN"")"),"人们在一个田野里打球。")</f>
        <v>人们在一个田野里打球。</v>
      </c>
    </row>
    <row r="11781">
      <c r="A11781" s="4" t="s">
        <v>14818</v>
      </c>
      <c r="B11781" s="4" t="s">
        <v>14819</v>
      </c>
      <c r="C11781" s="5" t="str">
        <f>IFERROR(__xludf.DUMMYFUNCTION("GOOGLETRANSLATE(B11781,""en"",""zh-CN"")"),"一个人将轮胎放在机器上，然后旋转rime。")</f>
        <v>一个人将轮胎放在机器上，然后旋转rime。</v>
      </c>
    </row>
    <row r="11782">
      <c r="A11782" s="4" t="s">
        <v>14818</v>
      </c>
      <c r="B11782" s="4" t="s">
        <v>14820</v>
      </c>
      <c r="C11782" s="5" t="str">
        <f>IFERROR(__xludf.DUMMYFUNCTION("GOOGLETRANSLATE(B11782,""en"",""zh-CN"")"),"然后，该男子使用工具将rime放松，然后机器卸下橡胶轮胎。")</f>
        <v>然后，该男子使用工具将rime放松，然后机器卸下橡胶轮胎。</v>
      </c>
    </row>
    <row r="11783">
      <c r="A11783" s="4" t="s">
        <v>14818</v>
      </c>
      <c r="B11783" s="6" t="s">
        <v>14821</v>
      </c>
      <c r="C11783" s="5" t="str">
        <f>IFERROR(__xludf.DUMMYFUNCTION("GOOGLETRANSLATE(B11783,""en"",""zh-CN"")"),"之后，该男子涂胶并刷轮胎，然后使用机器将橡胶轮胎放在轮辋中。")</f>
        <v>之后，该男子涂胶并刷轮胎，然后使用机器将橡胶轮胎放在轮辋中。</v>
      </c>
    </row>
    <row r="11784">
      <c r="A11784" s="4" t="s">
        <v>14822</v>
      </c>
      <c r="B11784" s="4" t="s">
        <v>14823</v>
      </c>
      <c r="C11784" s="5" t="str">
        <f>IFERROR(__xludf.DUMMYFUNCTION("GOOGLETRANSLATE(B11784,""en"",""zh-CN"")"),"几个人在户外，其中一个是在滑板上骑马和表演技巧。")</f>
        <v>几个人在户外，其中一个是在滑板上骑马和表演技巧。</v>
      </c>
    </row>
    <row r="11785">
      <c r="A11785" s="4" t="s">
        <v>14822</v>
      </c>
      <c r="B11785" s="6" t="s">
        <v>14824</v>
      </c>
      <c r="C11785" s="5" t="str">
        <f>IFERROR(__xludf.DUMMYFUNCTION("GOOGLETRANSLATE(B11785,""en"",""zh-CN"")"),"该男子进入另一个男人面前的一群人，然后在街上骑着滑板的街上显示了另一个人。")</f>
        <v>该男子进入另一个男人面前的一群人，然后在街上骑着滑板的街上显示了另一个人。</v>
      </c>
    </row>
    <row r="11786">
      <c r="A11786" s="4" t="s">
        <v>14822</v>
      </c>
      <c r="B11786" s="4" t="s">
        <v>14825</v>
      </c>
      <c r="C11786" s="5" t="str">
        <f>IFERROR(__xludf.DUMMYFUNCTION("GOOGLETRANSLATE(B11786,""en"",""zh-CN"")"),"他们在走时执行几个技巧和翻转。")</f>
        <v>他们在走时执行几个技巧和翻转。</v>
      </c>
    </row>
    <row r="11787">
      <c r="A11787" s="4" t="s">
        <v>14822</v>
      </c>
      <c r="B11787" s="4" t="s">
        <v>14826</v>
      </c>
      <c r="C11787" s="5" t="str">
        <f>IFERROR(__xludf.DUMMYFUNCTION("GOOGLETRANSLATE(B11787,""en"",""zh-CN"")"),"当获胜者宣布时，人们鼓掌。")</f>
        <v>当获胜者宣布时，人们鼓掌。</v>
      </c>
    </row>
    <row r="11788">
      <c r="A11788" s="4" t="s">
        <v>14827</v>
      </c>
      <c r="B11788" s="4" t="s">
        <v>14828</v>
      </c>
      <c r="C11788" s="5" t="str">
        <f>IFERROR(__xludf.DUMMYFUNCTION("GOOGLETRANSLATE(B11788,""en"",""zh-CN"")"),"男人多次举起重量的重物。")</f>
        <v>男人多次举起重量的重物。</v>
      </c>
    </row>
    <row r="11789">
      <c r="A11789" s="4" t="s">
        <v>14827</v>
      </c>
      <c r="B11789" s="4" t="s">
        <v>14829</v>
      </c>
      <c r="C11789" s="5" t="str">
        <f>IFERROR(__xludf.DUMMYFUNCTION("GOOGLETRANSLATE(B11789,""en"",""zh-CN"")"),"一个穿着蓝色衬衫的男人正在看着其中一个男人。")</f>
        <v>一个穿着蓝色衬衫的男人正在看着其中一个男人。</v>
      </c>
    </row>
    <row r="11790">
      <c r="A11790" s="4" t="s">
        <v>14827</v>
      </c>
      <c r="B11790" s="4" t="s">
        <v>14830</v>
      </c>
      <c r="C11790" s="5" t="str">
        <f>IFERROR(__xludf.DUMMYFUNCTION("GOOGLETRANSLATE(B11790,""en"",""zh-CN"")"),"穿着灰色衬衫的男人正在模仿那个举重的人。")</f>
        <v>穿着灰色衬衫的男人正在模仿那个举重的人。</v>
      </c>
    </row>
    <row r="11791">
      <c r="A11791" s="4" t="s">
        <v>14831</v>
      </c>
      <c r="B11791" s="6" t="s">
        <v>14832</v>
      </c>
      <c r="C11791" s="5" t="str">
        <f>IFERROR(__xludf.DUMMYFUNCTION("GOOGLETRANSLATE(B11791,""en"",""zh-CN"")"),"看到一大批孩子在球场上练习篮球训练，并迅速将球传给彼此。")</f>
        <v>看到一大批孩子在球场上练习篮球训练，并迅速将球传给彼此。</v>
      </c>
    </row>
    <row r="11792">
      <c r="A11792" s="4" t="s">
        <v>14831</v>
      </c>
      <c r="B11792" s="6" t="s">
        <v>14833</v>
      </c>
      <c r="C11792" s="5" t="str">
        <f>IFERROR(__xludf.DUMMYFUNCTION("GOOGLETRANSLATE(B11792,""en"",""zh-CN"")"),"几个男孩在仍然互相交谈的同时，教练搬进来与男孩说话。")</f>
        <v>几个男孩在仍然互相交谈的同时，教练搬进来与男孩说话。</v>
      </c>
    </row>
    <row r="11793">
      <c r="A11793" s="4" t="s">
        <v>14831</v>
      </c>
      <c r="B11793" s="4" t="s">
        <v>14834</v>
      </c>
      <c r="C11793" s="5" t="str">
        <f>IFERROR(__xludf.DUMMYFUNCTION("GOOGLETRANSLATE(B11793,""en"",""zh-CN"")"),"他走开了，男孩们展示了更多的演习。")</f>
        <v>他走开了，男孩们展示了更多的演习。</v>
      </c>
    </row>
    <row r="11794">
      <c r="A11794" s="4" t="s">
        <v>14835</v>
      </c>
      <c r="B11794" s="4" t="s">
        <v>14836</v>
      </c>
      <c r="C11794" s="5" t="str">
        <f>IFERROR(__xludf.DUMMYFUNCTION("GOOGLETRANSLATE(B11794,""en"",""zh-CN"")"),"显示了几个植物的近距离，一个男人走进框架并与相机交谈。")</f>
        <v>显示了几个植物的近距离，一个男人走进框架并与相机交谈。</v>
      </c>
    </row>
    <row r="11795">
      <c r="A11795" s="4" t="s">
        <v>14835</v>
      </c>
      <c r="B11795" s="6" t="s">
        <v>14837</v>
      </c>
      <c r="C11795" s="5" t="str">
        <f>IFERROR(__xludf.DUMMYFUNCTION("GOOGLETRANSLATE(B11795,""en"",""zh-CN"")"),"该男子在指向相机时继续讲话，并开始铺设覆盖物以将植物铺在各个植物上。")</f>
        <v>该男子在指向相机时继续讲话，并开始铺设覆盖物以将植物铺在各个植物上。</v>
      </c>
    </row>
    <row r="11796">
      <c r="A11796" s="4" t="s">
        <v>14835</v>
      </c>
      <c r="B11796" s="4" t="s">
        <v>14838</v>
      </c>
      <c r="C11796" s="5" t="str">
        <f>IFERROR(__xludf.DUMMYFUNCTION("GOOGLETRANSLATE(B11796,""en"",""zh-CN"")"),"该男子继续通过浇水所有植物，将污垢推到四处乱逛并结束。")</f>
        <v>该男子继续通过浇水所有植物，将污垢推到四处乱逛并结束。</v>
      </c>
    </row>
    <row r="11797">
      <c r="A11797" s="4" t="s">
        <v>14839</v>
      </c>
      <c r="B11797" s="6" t="s">
        <v>14840</v>
      </c>
      <c r="C11797" s="5" t="str">
        <f>IFERROR(__xludf.DUMMYFUNCTION("GOOGLETRANSLATE(B11797,""en"",""zh-CN"")"),"介绍是一个白色屏幕，左上方的网站出现了“ Howcast Original”，然后出现了另一组描述该课程的单词，并读出“ Vibrato初学者小提琴课”。")</f>
        <v>介绍是一个白色屏幕，左上方的网站出现了“ Howcast Original”，然后出现了另一组描述该课程的单词，并读出“ Vibrato初学者小提琴课”。</v>
      </c>
    </row>
    <row r="11798">
      <c r="A11798" s="4" t="s">
        <v>14839</v>
      </c>
      <c r="B11798" s="6" t="s">
        <v>14841</v>
      </c>
      <c r="C11798" s="5" t="str">
        <f>IFERROR(__xludf.DUMMYFUNCTION("GOOGLETRANSLATE(B11798,""en"",""zh-CN"")"),"一个叫朱莉·阿特兹特·贝克尔（Julie Artzt Becker）的女人拿着小提琴坐在蓝屏前坐着说话。")</f>
        <v>一个叫朱莉·阿特兹特·贝克尔（Julie Artzt Becker）的女人拿着小提琴坐在蓝屏前坐着说话。</v>
      </c>
    </row>
    <row r="11799">
      <c r="A11799" s="4" t="s">
        <v>14839</v>
      </c>
      <c r="B11799" s="4" t="s">
        <v>14842</v>
      </c>
      <c r="C11799" s="5" t="str">
        <f>IFERROR(__xludf.DUMMYFUNCTION("GOOGLETRANSLATE(B11799,""en"",""zh-CN"")"),"那个女人把小提琴放到下巴，继续说话。")</f>
        <v>那个女人把小提琴放到下巴，继续说话。</v>
      </c>
    </row>
    <row r="11800">
      <c r="A11800" s="4" t="s">
        <v>14839</v>
      </c>
      <c r="B11800" s="6" t="s">
        <v>14843</v>
      </c>
      <c r="C11800" s="5" t="str">
        <f>IFERROR(__xludf.DUMMYFUNCTION("GOOGLETRANSLATE(B11800,""en"",""zh-CN"")"),"那个女人然后将手指放在弦上，另一只手抚摸着绳子上的手指，并时不时地将弓上的弓伸到她的弦上。")</f>
        <v>那个女人然后将手指放在弦上，另一只手抚摸着绳子上的手指，并时不时地将弓上的弓伸到她的弦上。</v>
      </c>
    </row>
    <row r="11801">
      <c r="A11801" s="4" t="s">
        <v>14839</v>
      </c>
      <c r="B11801" s="6" t="s">
        <v>14844</v>
      </c>
      <c r="C11801" s="5" t="str">
        <f>IFERROR(__xludf.DUMMYFUNCTION("GOOGLETRANSLATE(B11801,""en"",""zh-CN"")"),"该女士在整个视频中讲话，因为她正在展示自己的动作或指向手指动作。")</f>
        <v>该女士在整个视频中讲话，因为她正在展示自己的动作或指向手指动作。</v>
      </c>
    </row>
    <row r="11802">
      <c r="A11802" s="4" t="s">
        <v>14839</v>
      </c>
      <c r="B11802" s="6" t="s">
        <v>14845</v>
      </c>
      <c r="C11802" s="5" t="str">
        <f>IFERROR(__xludf.DUMMYFUNCTION("GOOGLETRANSLATE(B11802,""en"",""zh-CN"")"),"最终，女人停止说话，并以微笑和“ Howcast Original”一词出现在白屏上。")</f>
        <v>最终，女人停止说话，并以微笑和“ Howcast Original”一词出现在白屏上。</v>
      </c>
    </row>
    <row r="11803">
      <c r="A11803" s="4" t="s">
        <v>14846</v>
      </c>
      <c r="B11803" s="4" t="s">
        <v>14847</v>
      </c>
      <c r="C11803" s="5" t="str">
        <f>IFERROR(__xludf.DUMMYFUNCTION("GOOGLETRANSLATE(B11803,""en"",""zh-CN"")"),"两个人在外面以亚洲艺术形式战斗。")</f>
        <v>两个人在外面以亚洲艺术形式战斗。</v>
      </c>
    </row>
    <row r="11804">
      <c r="A11804" s="4" t="s">
        <v>14846</v>
      </c>
      <c r="B11804" s="4" t="s">
        <v>14848</v>
      </c>
      <c r="C11804" s="5" t="str">
        <f>IFERROR(__xludf.DUMMYFUNCTION("GOOGLETRANSLATE(B11804,""en"",""zh-CN"")"),"他们在整个过程中都在挥动和命中，并互相踢。")</f>
        <v>他们在整个过程中都在挥动和命中，并互相踢。</v>
      </c>
    </row>
    <row r="11805">
      <c r="A11805" s="4" t="s">
        <v>14849</v>
      </c>
      <c r="B11805" s="4" t="s">
        <v>14850</v>
      </c>
      <c r="C11805" s="5" t="str">
        <f>IFERROR(__xludf.DUMMYFUNCTION("GOOGLETRANSLATE(B11805,""en"",""zh-CN"")"),"一个男人站在小桌子前的厨房里。")</f>
        <v>一个男人站在小桌子前的厨房里。</v>
      </c>
    </row>
    <row r="11806">
      <c r="A11806" s="4" t="s">
        <v>14849</v>
      </c>
      <c r="B11806" s="4" t="s">
        <v>14851</v>
      </c>
      <c r="C11806" s="5" t="str">
        <f>IFERROR(__xludf.DUMMYFUNCTION("GOOGLETRANSLATE(B11806,""en"",""zh-CN"")"),"他展示并谈论橄榄油和柠檬汁。")</f>
        <v>他展示并谈论橄榄油和柠檬汁。</v>
      </c>
    </row>
    <row r="11807">
      <c r="A11807" s="4" t="s">
        <v>14849</v>
      </c>
      <c r="B11807" s="4" t="s">
        <v>14852</v>
      </c>
      <c r="C11807" s="5" t="str">
        <f>IFERROR(__xludf.DUMMYFUNCTION("GOOGLETRANSLATE(B11807,""en"",""zh-CN"")"),"他使用这些物品清洁和抛光刮擦桌。")</f>
        <v>他使用这些物品清洁和抛光刮擦桌。</v>
      </c>
    </row>
    <row r="11808">
      <c r="A11808" s="4" t="s">
        <v>14853</v>
      </c>
      <c r="B11808" s="4" t="s">
        <v>14854</v>
      </c>
      <c r="C11808" s="5" t="str">
        <f>IFERROR(__xludf.DUMMYFUNCTION("GOOGLETRANSLATE(B11808,""en"",""zh-CN"")"),"介绍将用刷子将头发从大狗中推开进入女人。")</f>
        <v>介绍将用刷子将头发从大狗中推开进入女人。</v>
      </c>
    </row>
    <row r="11809">
      <c r="A11809" s="4" t="s">
        <v>14853</v>
      </c>
      <c r="B11809" s="6" t="s">
        <v>14855</v>
      </c>
      <c r="C11809" s="5" t="str">
        <f>IFERROR(__xludf.DUMMYFUNCTION("GOOGLETRANSLATE(B11809,""en"",""zh-CN"")"),"她继续刷几只狗，并给他们宠物，然后坐下来抚摸它们。")</f>
        <v>她继续刷几只狗，并给他们宠物，然后坐下来抚摸它们。</v>
      </c>
    </row>
    <row r="11810">
      <c r="A11810" s="4" t="s">
        <v>14856</v>
      </c>
      <c r="B11810" s="4" t="s">
        <v>14857</v>
      </c>
      <c r="C11810" s="5" t="str">
        <f>IFERROR(__xludf.DUMMYFUNCTION("GOOGLETRANSLATE(B11810,""en"",""zh-CN"")"),"一个戴着眼镜的男人在相机上说话。")</f>
        <v>一个戴着眼镜的男人在相机上说话。</v>
      </c>
    </row>
    <row r="11811">
      <c r="A11811" s="4" t="s">
        <v>14856</v>
      </c>
      <c r="B11811" s="4" t="s">
        <v>14858</v>
      </c>
      <c r="C11811" s="5" t="str">
        <f>IFERROR(__xludf.DUMMYFUNCTION("GOOGLETRANSLATE(B11811,""en"",""zh-CN"")"),"他在脖子上展示了一把钥匙，并指向小号。")</f>
        <v>他在脖子上展示了一把钥匙，并指向小号。</v>
      </c>
    </row>
    <row r="11812">
      <c r="A11812" s="4" t="s">
        <v>14856</v>
      </c>
      <c r="B11812" s="6" t="s">
        <v>14859</v>
      </c>
      <c r="C11812" s="5" t="str">
        <f>IFERROR(__xludf.DUMMYFUNCTION("GOOGLETRANSLATE(B11812,""en"",""zh-CN"")"),"他将钥匙贴在小号上，并继续讲话并展示小号的重要特征。")</f>
        <v>他将钥匙贴在小号上，并继续讲话并展示小号的重要特征。</v>
      </c>
    </row>
    <row r="11813">
      <c r="A11813" s="4" t="s">
        <v>14860</v>
      </c>
      <c r="B11813" s="4" t="s">
        <v>14861</v>
      </c>
      <c r="C11813" s="5" t="str">
        <f>IFERROR(__xludf.DUMMYFUNCTION("GOOGLETRANSLATE(B11813,""en"",""zh-CN"")"),"看到两个人修理汽车并更换车辆上的轮胎。")</f>
        <v>看到两个人修理汽车并更换车辆上的轮胎。</v>
      </c>
    </row>
    <row r="11814">
      <c r="A11814" s="4" t="s">
        <v>14860</v>
      </c>
      <c r="B11814" s="4" t="s">
        <v>14862</v>
      </c>
      <c r="C11814" s="5" t="str">
        <f>IFERROR(__xludf.DUMMYFUNCTION("GOOGLETRANSLATE(B11814,""en"",""zh-CN"")"),"另一个人走进框架，还有其他几个记录事件的人。")</f>
        <v>另一个人走进框架，还有其他几个记录事件的人。</v>
      </c>
    </row>
    <row r="11815">
      <c r="A11815" s="4" t="s">
        <v>14860</v>
      </c>
      <c r="B11815" s="4" t="s">
        <v>14863</v>
      </c>
      <c r="C11815" s="5" t="str">
        <f>IFERROR(__xludf.DUMMYFUNCTION("GOOGLETRANSLATE(B11815,""en"",""zh-CN"")"),"一个人爬上汽车，与每个人看着。")</f>
        <v>一个人爬上汽车，与每个人看着。</v>
      </c>
    </row>
    <row r="11816">
      <c r="A11816" s="4" t="s">
        <v>14864</v>
      </c>
      <c r="B11816" s="4" t="s">
        <v>14865</v>
      </c>
      <c r="C11816" s="5" t="str">
        <f>IFERROR(__xludf.DUMMYFUNCTION("GOOGLETRANSLATE(B11816,""en"",""zh-CN"")"),"一个人拿着红叶吹风机。")</f>
        <v>一个人拿着红叶吹风机。</v>
      </c>
    </row>
    <row r="11817">
      <c r="A11817" s="4" t="s">
        <v>14864</v>
      </c>
      <c r="B11817" s="4" t="s">
        <v>14866</v>
      </c>
      <c r="C11817" s="5" t="str">
        <f>IFERROR(__xludf.DUMMYFUNCTION("GOOGLETRANSLATE(B11817,""en"",""zh-CN"")"),"他们开始在院子里吹树叶。")</f>
        <v>他们开始在院子里吹树叶。</v>
      </c>
    </row>
    <row r="11818">
      <c r="A11818" s="4" t="s">
        <v>14864</v>
      </c>
      <c r="B11818" s="4" t="s">
        <v>14867</v>
      </c>
      <c r="C11818" s="5" t="str">
        <f>IFERROR(__xludf.DUMMYFUNCTION("GOOGLETRANSLATE(B11818,""en"",""zh-CN"")"),"他们再次显示叶子。")</f>
        <v>他们再次显示叶子。</v>
      </c>
    </row>
    <row r="11819">
      <c r="A11819" s="4" t="s">
        <v>14868</v>
      </c>
      <c r="B11819" s="6" t="s">
        <v>14869</v>
      </c>
      <c r="C11819" s="5" t="str">
        <f>IFERROR(__xludf.DUMMYFUNCTION("GOOGLETRANSLATE(B11819,""en"",""zh-CN"")"),"当女孩蒙住眼睛，人们坐在她的手表周围时，看到一个年长的男人和年轻女人在棍子上旋转。")</f>
        <v>当女孩蒙住眼睛，人们坐在她的手表周围时，看到一个年长的男人和年轻女人在棍子上旋转。</v>
      </c>
    </row>
    <row r="11820">
      <c r="A11820" s="4" t="s">
        <v>14868</v>
      </c>
      <c r="B11820" s="6" t="s">
        <v>14870</v>
      </c>
      <c r="C11820" s="5" t="str">
        <f>IFERROR(__xludf.DUMMYFUNCTION("GOOGLETRANSLATE(B11820,""en"",""zh-CN"")"),"然后，女孩将棍棒摇摆在空中，瞄准Pinata，并撞到物体几次。")</f>
        <v>然后，女孩将棍棒摇摆在空中，瞄准Pinata，并撞到物体几次。</v>
      </c>
    </row>
    <row r="11821">
      <c r="A11821" s="4" t="s">
        <v>14868</v>
      </c>
      <c r="B11821" s="4" t="s">
        <v>14871</v>
      </c>
      <c r="C11821" s="5" t="str">
        <f>IFERROR(__xludf.DUMMYFUNCTION("GOOGLETRANSLATE(B11821,""en"",""zh-CN"")"),"她继续在空中摇摆，直到最后击中它。")</f>
        <v>她继续在空中摇摆，直到最后击中它。</v>
      </c>
    </row>
    <row r="11822">
      <c r="A11822" s="4" t="s">
        <v>14872</v>
      </c>
      <c r="B11822" s="4" t="s">
        <v>14873</v>
      </c>
      <c r="C11822" s="5" t="str">
        <f>IFERROR(__xludf.DUMMYFUNCTION("GOOGLETRANSLATE(B11822,""en"",""zh-CN"")"),"有些人在山上滑雪，互相跟随。")</f>
        <v>有些人在山上滑雪，互相跟随。</v>
      </c>
    </row>
    <row r="11823">
      <c r="A11823" s="4" t="s">
        <v>14872</v>
      </c>
      <c r="B11823" s="4" t="s">
        <v>14874</v>
      </c>
      <c r="C11823" s="5" t="str">
        <f>IFERROR(__xludf.DUMMYFUNCTION("GOOGLETRANSLATE(B11823,""en"",""zh-CN"")"),"他们以更快，更快的速度完成结束，直到完成为止。")</f>
        <v>他们以更快，更快的速度完成结束，直到完成为止。</v>
      </c>
    </row>
    <row r="11824">
      <c r="A11824" s="4" t="s">
        <v>14875</v>
      </c>
      <c r="B11824" s="6" t="s">
        <v>14876</v>
      </c>
      <c r="C11824" s="5" t="str">
        <f>IFERROR(__xludf.DUMMYFUNCTION("GOOGLETRANSLATE(B11824,""en"",""zh-CN"")"),"许多男人站在一个泥土上的户外，有两支球队站在绳子上，而很多人则站在周围看着他们。")</f>
        <v>许多男人站在一个泥土上的户外，有两支球队站在绳子上，而很多人则站在周围看着他们。</v>
      </c>
    </row>
    <row r="11825">
      <c r="A11825" s="4" t="s">
        <v>14875</v>
      </c>
      <c r="B11825" s="6" t="s">
        <v>14877</v>
      </c>
      <c r="C11825" s="5" t="str">
        <f>IFERROR(__xludf.DUMMYFUNCTION("GOOGLETRANSLATE(B11825,""en"",""zh-CN"")"),"穿着黄色和蓝色衬衫的男人拿起绳子，正处于拖拉战争的位置。")</f>
        <v>穿着黄色和蓝色衬衫的男人拿起绳子，正处于拖拉战争的位置。</v>
      </c>
    </row>
    <row r="11826">
      <c r="A11826" s="4" t="s">
        <v>14875</v>
      </c>
      <c r="B11826" s="6" t="s">
        <v>14878</v>
      </c>
      <c r="C11826" s="5" t="str">
        <f>IFERROR(__xludf.DUMMYFUNCTION("GOOGLETRANSLATE(B11826,""en"",""zh-CN"")"),"突然，当其他男人指示他们时，人们突然开始拉绳子，观众在欢呼。")</f>
        <v>突然，当其他男人指示他们时，人们突然开始拉绳子，观众在欢呼。</v>
      </c>
    </row>
    <row r="11827">
      <c r="A11827" s="4" t="s">
        <v>14875</v>
      </c>
      <c r="B11827" s="6" t="s">
        <v>14879</v>
      </c>
      <c r="C11827" s="5" t="str">
        <f>IFERROR(__xludf.DUMMYFUNCTION("GOOGLETRANSLATE(B11827,""en"",""zh-CN"")"),"穿着黄色和蓝色衬衫的男人很容易拉绳子，而周围的人欢呼雀跃。")</f>
        <v>穿着黄色和蓝色衬衫的男人很容易拉绳子，而周围的人欢呼雀跃。</v>
      </c>
    </row>
    <row r="11828">
      <c r="A11828" s="4" t="s">
        <v>14880</v>
      </c>
      <c r="B11828" s="4" t="s">
        <v>14881</v>
      </c>
      <c r="C11828" s="5" t="str">
        <f>IFERROR(__xludf.DUMMYFUNCTION("GOOGLETRANSLATE(B11828,""en"",""zh-CN"")"),"香烟放在桌子上。")</f>
        <v>香烟放在桌子上。</v>
      </c>
    </row>
    <row r="11829">
      <c r="A11829" s="4" t="s">
        <v>14880</v>
      </c>
      <c r="B11829" s="4" t="s">
        <v>14882</v>
      </c>
      <c r="C11829" s="5" t="str">
        <f>IFERROR(__xludf.DUMMYFUNCTION("GOOGLETRANSLATE(B11829,""en"",""zh-CN"")"),"有人将卡片上的卡上桌上。")</f>
        <v>有人将卡片上的卡上桌上。</v>
      </c>
    </row>
    <row r="11830">
      <c r="A11830" s="4" t="s">
        <v>14880</v>
      </c>
      <c r="B11830" s="4" t="s">
        <v>14883</v>
      </c>
      <c r="C11830" s="5" t="str">
        <f>IFERROR(__xludf.DUMMYFUNCTION("GOOGLETRANSLATE(B11830,""en"",""zh-CN"")"),"一个男人在他们身后推一根扫帚。")</f>
        <v>一个男人在他们身后推一根扫帚。</v>
      </c>
    </row>
    <row r="11831">
      <c r="A11831" s="4" t="s">
        <v>14880</v>
      </c>
      <c r="B11831" s="4" t="s">
        <v>14884</v>
      </c>
      <c r="C11831" s="5" t="str">
        <f>IFERROR(__xludf.DUMMYFUNCTION("GOOGLETRANSLATE(B11831,""en"",""zh-CN"")"),"他们继续在桌子上打牌。")</f>
        <v>他们继续在桌子上打牌。</v>
      </c>
    </row>
    <row r="11832">
      <c r="A11832" s="4" t="s">
        <v>14885</v>
      </c>
      <c r="B11832" s="4" t="s">
        <v>14886</v>
      </c>
      <c r="C11832" s="5" t="str">
        <f>IFERROR(__xludf.DUMMYFUNCTION("GOOGLETRANSLATE(B11832,""en"",""zh-CN"")"),"一个视频导致一个男人与狗一起表演技巧的几个剪辑。")</f>
        <v>一个视频导致一个男人与狗一起表演技巧的几个剪辑。</v>
      </c>
    </row>
    <row r="11833">
      <c r="A11833" s="4" t="s">
        <v>14885</v>
      </c>
      <c r="B11833" s="6" t="s">
        <v>14887</v>
      </c>
      <c r="C11833" s="5" t="str">
        <f>IFERROR(__xludf.DUMMYFUNCTION("GOOGLETRANSLATE(B11833,""en"",""zh-CN"")"),"当摄像机从几个角度捕捉到他时，该男子继续与狗一起表演技巧，而其他人则与狗一起做技巧。")</f>
        <v>当摄像机从几个角度捕捉到他时，该男子继续与狗一起表演技巧，而其他人则与狗一起做技巧。</v>
      </c>
    </row>
    <row r="11834">
      <c r="A11834" s="4" t="s">
        <v>14888</v>
      </c>
      <c r="B11834" s="4" t="s">
        <v>14889</v>
      </c>
      <c r="C11834" s="5" t="str">
        <f>IFERROR(__xludf.DUMMYFUNCTION("GOOGLETRANSLATE(B11834,""en"",""zh-CN"")"),"一个小女孩走进浴室，开始与镜头交谈。")</f>
        <v>一个小女孩走进浴室，开始与镜头交谈。</v>
      </c>
    </row>
    <row r="11835">
      <c r="A11835" s="4" t="s">
        <v>14888</v>
      </c>
      <c r="B11835" s="4" t="s">
        <v>14890</v>
      </c>
      <c r="C11835" s="5" t="str">
        <f>IFERROR(__xludf.DUMMYFUNCTION("GOOGLETRANSLATE(B11835,""en"",""zh-CN"")"),"浴室变成了工厂。")</f>
        <v>浴室变成了工厂。</v>
      </c>
    </row>
    <row r="11836">
      <c r="A11836" s="4" t="s">
        <v>14888</v>
      </c>
      <c r="B11836" s="4" t="s">
        <v>14891</v>
      </c>
      <c r="C11836" s="5" t="str">
        <f>IFERROR(__xludf.DUMMYFUNCTION("GOOGLETRANSLATE(B11836,""en"",""zh-CN"")"),"这个女孩捡起牙刷，继续说话。")</f>
        <v>这个女孩捡起牙刷，继续说话。</v>
      </c>
    </row>
    <row r="11837">
      <c r="A11837" s="4" t="s">
        <v>14888</v>
      </c>
      <c r="B11837" s="4" t="s">
        <v>14892</v>
      </c>
      <c r="C11837" s="5" t="str">
        <f>IFERROR(__xludf.DUMMYFUNCTION("GOOGLETRANSLATE(B11837,""en"",""zh-CN"")"),"将牙膏应用于牙刷。")</f>
        <v>将牙膏应用于牙刷。</v>
      </c>
    </row>
    <row r="11838">
      <c r="A11838" s="4" t="s">
        <v>14888</v>
      </c>
      <c r="B11838" s="4" t="s">
        <v>14893</v>
      </c>
      <c r="C11838" s="5" t="str">
        <f>IFERROR(__xludf.DUMMYFUNCTION("GOOGLETRANSLATE(B11838,""en"",""zh-CN"")"),"女孩刷牙，工厂换回了浴室。")</f>
        <v>女孩刷牙，工厂换回了浴室。</v>
      </c>
    </row>
    <row r="11839">
      <c r="A11839" s="4" t="s">
        <v>14894</v>
      </c>
      <c r="B11839" s="4" t="s">
        <v>14895</v>
      </c>
      <c r="C11839" s="5" t="str">
        <f>IFERROR(__xludf.DUMMYFUNCTION("GOOGLETRANSLATE(B11839,""en"",""zh-CN"")"),"一个男人正在用麦克风说话。")</f>
        <v>一个男人正在用麦克风说话。</v>
      </c>
    </row>
    <row r="11840">
      <c r="A11840" s="4" t="s">
        <v>14894</v>
      </c>
      <c r="B11840" s="4" t="s">
        <v>14896</v>
      </c>
      <c r="C11840" s="5" t="str">
        <f>IFERROR(__xludf.DUMMYFUNCTION("GOOGLETRANSLATE(B11840,""en"",""zh-CN"")"),"一个穿着黑色斗篷的男人剃了胡须。")</f>
        <v>一个穿着黑色斗篷的男人剃了胡须。</v>
      </c>
    </row>
    <row r="11841">
      <c r="A11841" s="4" t="s">
        <v>14894</v>
      </c>
      <c r="B11841" s="4" t="s">
        <v>14897</v>
      </c>
      <c r="C11841" s="5" t="str">
        <f>IFERROR(__xludf.DUMMYFUNCTION("GOOGLETRANSLATE(B11841,""en"",""zh-CN"")"),"一个人把白毛巾放在男人的脸上。")</f>
        <v>一个人把白毛巾放在男人的脸上。</v>
      </c>
    </row>
    <row r="11842">
      <c r="A11842" s="4" t="s">
        <v>14894</v>
      </c>
      <c r="B11842" s="4" t="s">
        <v>14898</v>
      </c>
      <c r="C11842" s="5" t="str">
        <f>IFERROR(__xludf.DUMMYFUNCTION("GOOGLETRANSLATE(B11842,""en"",""zh-CN"")"),"他把剃须膏放在男人的脸上。")</f>
        <v>他把剃须膏放在男人的脸上。</v>
      </c>
    </row>
    <row r="11843">
      <c r="A11843" s="4" t="s">
        <v>14894</v>
      </c>
      <c r="B11843" s="4" t="s">
        <v>14899</v>
      </c>
      <c r="C11843" s="5" t="str">
        <f>IFERROR(__xludf.DUMMYFUNCTION("GOOGLETRANSLATE(B11843,""en"",""zh-CN"")"),"然后，他再次将毛巾放在男人的脸上。")</f>
        <v>然后，他再次将毛巾放在男人的脸上。</v>
      </c>
    </row>
    <row r="11844">
      <c r="A11844" s="4" t="s">
        <v>14894</v>
      </c>
      <c r="B11844" s="4" t="s">
        <v>14900</v>
      </c>
      <c r="C11844" s="5" t="str">
        <f>IFERROR(__xludf.DUMMYFUNCTION("GOOGLETRANSLATE(B11844,""en"",""zh-CN"")"),"然后，他用剃刀剃了胡子。")</f>
        <v>然后，他用剃刀剃了胡子。</v>
      </c>
    </row>
    <row r="11845">
      <c r="A11845" s="4" t="s">
        <v>14894</v>
      </c>
      <c r="B11845" s="4" t="s">
        <v>14901</v>
      </c>
      <c r="C11845" s="5" t="str">
        <f>IFERROR(__xludf.DUMMYFUNCTION("GOOGLETRANSLATE(B11845,""en"",""zh-CN"")"),"该男子再次在另一个男人的脸上放了一条毛巾。")</f>
        <v>该男子再次在另一个男人的脸上放了一条毛巾。</v>
      </c>
    </row>
    <row r="11846">
      <c r="A11846" s="4" t="s">
        <v>14894</v>
      </c>
      <c r="B11846" s="4" t="s">
        <v>14902</v>
      </c>
      <c r="C11846" s="5" t="str">
        <f>IFERROR(__xludf.DUMMYFUNCTION("GOOGLETRANSLATE(B11846,""en"",""zh-CN"")"),"他脱下斗篷，站起来。")</f>
        <v>他脱下斗篷，站起来。</v>
      </c>
    </row>
    <row r="11847">
      <c r="A11847" s="4" t="s">
        <v>14903</v>
      </c>
      <c r="B11847" s="4" t="s">
        <v>14904</v>
      </c>
      <c r="C11847" s="5" t="str">
        <f>IFERROR(__xludf.DUMMYFUNCTION("GOOGLETRANSLATE(B11847,""en"",""zh-CN"")"),"几场在宴会厅的地板上跳舞，人们坐在附近的桌子旁。")</f>
        <v>几场在宴会厅的地板上跳舞，人们坐在附近的桌子旁。</v>
      </c>
    </row>
    <row r="11848">
      <c r="A11848" s="4" t="s">
        <v>14903</v>
      </c>
      <c r="B11848" s="4" t="s">
        <v>14905</v>
      </c>
      <c r="C11848" s="5" t="str">
        <f>IFERROR(__xludf.DUMMYFUNCTION("GOOGLETRANSLATE(B11848,""en"",""zh-CN"")"),"附近的人们为这对夫妇拍照。")</f>
        <v>附近的人们为这对夫妇拍照。</v>
      </c>
    </row>
    <row r="11849">
      <c r="A11849" s="4" t="s">
        <v>14903</v>
      </c>
      <c r="B11849" s="4" t="s">
        <v>14906</v>
      </c>
      <c r="C11849" s="5" t="str">
        <f>IFERROR(__xludf.DUMMYFUNCTION("GOOGLETRANSLATE(B11849,""en"",""zh-CN"")"),"这对夫妇结束了舞池。")</f>
        <v>这对夫妇结束了舞池。</v>
      </c>
    </row>
    <row r="11850">
      <c r="A11850" s="4" t="s">
        <v>14907</v>
      </c>
      <c r="B11850" s="4" t="s">
        <v>14908</v>
      </c>
      <c r="C11850" s="5" t="str">
        <f>IFERROR(__xludf.DUMMYFUNCTION("GOOGLETRANSLATE(B11850,""en"",""zh-CN"")"),"一个年轻的女孩展示他的长发直到腰。")</f>
        <v>一个年轻的女孩展示他的长发直到腰。</v>
      </c>
    </row>
    <row r="11851">
      <c r="A11851" s="4" t="s">
        <v>14907</v>
      </c>
      <c r="B11851" s="4" t="s">
        <v>14909</v>
      </c>
      <c r="C11851" s="5" t="str">
        <f>IFERROR(__xludf.DUMMYFUNCTION("GOOGLETRANSLATE(B11851,""en"",""zh-CN"")"),"然后，美发师缩短了年轻女孩的头发。")</f>
        <v>然后，美发师缩短了年轻女孩的头发。</v>
      </c>
    </row>
    <row r="11852">
      <c r="A11852" s="4" t="s">
        <v>14907</v>
      </c>
      <c r="B11852" s="4" t="s">
        <v>14910</v>
      </c>
      <c r="C11852" s="5" t="str">
        <f>IFERROR(__xludf.DUMMYFUNCTION("GOOGLETRANSLATE(B11852,""en"",""zh-CN"")"),"之后，女孩展示了她的短发和两个辫子。")</f>
        <v>之后，女孩展示了她的短发和两个辫子。</v>
      </c>
    </row>
    <row r="11853">
      <c r="A11853" s="4" t="s">
        <v>14911</v>
      </c>
      <c r="B11853" s="4" t="s">
        <v>14912</v>
      </c>
      <c r="C11853" s="5" t="str">
        <f>IFERROR(__xludf.DUMMYFUNCTION("GOOGLETRANSLATE(B11853,""en"",""zh-CN"")"),"有一个穿着蓝色田径西装的人演示了如何使用划船机。")</f>
        <v>有一个穿着蓝色田径西装的人演示了如何使用划船机。</v>
      </c>
    </row>
    <row r="11854">
      <c r="A11854" s="4" t="s">
        <v>14911</v>
      </c>
      <c r="B11854" s="4" t="s">
        <v>14913</v>
      </c>
      <c r="C11854" s="5" t="str">
        <f>IFERROR(__xludf.DUMMYFUNCTION("GOOGLETRANSLATE(B11854,""en"",""zh-CN"")"),"他坐在机器的酒吧上，将脚固定在脚上。")</f>
        <v>他坐在机器的酒吧上，将脚固定在脚上。</v>
      </c>
    </row>
    <row r="11855">
      <c r="A11855" s="4" t="s">
        <v>14911</v>
      </c>
      <c r="B11855" s="4" t="s">
        <v>14914</v>
      </c>
      <c r="C11855" s="5" t="str">
        <f>IFERROR(__xludf.DUMMYFUNCTION("GOOGLETRANSLATE(B11855,""en"",""zh-CN"")"),"然后，他首先将绳索拉向胸部，同时拉直双腿。")</f>
        <v>然后，他首先将绳索拉向胸部，同时拉直双腿。</v>
      </c>
    </row>
    <row r="11856">
      <c r="A11856" s="4" t="s">
        <v>14911</v>
      </c>
      <c r="B11856" s="4" t="s">
        <v>14915</v>
      </c>
      <c r="C11856" s="5" t="str">
        <f>IFERROR(__xludf.DUMMYFUNCTION("GOOGLETRANSLATE(B11856,""en"",""zh-CN"")"),"然后，他继续在来回运动中使用机器。")</f>
        <v>然后，他继续在来回运动中使用机器。</v>
      </c>
    </row>
    <row r="11857">
      <c r="A11857" s="4" t="s">
        <v>14911</v>
      </c>
      <c r="B11857" s="4" t="s">
        <v>14916</v>
      </c>
      <c r="C11857" s="5" t="str">
        <f>IFERROR(__xludf.DUMMYFUNCTION("GOOGLETRANSLATE(B11857,""en"",""zh-CN"")"),"然后通过释放绳索并向后倾斜来安息。")</f>
        <v>然后通过释放绳索并向后倾斜来安息。</v>
      </c>
    </row>
    <row r="11858">
      <c r="A11858" s="4" t="s">
        <v>14917</v>
      </c>
      <c r="B11858" s="6" t="s">
        <v>14918</v>
      </c>
      <c r="C11858" s="5" t="str">
        <f>IFERROR(__xludf.DUMMYFUNCTION("GOOGLETRANSLATE(B11858,""en"",""zh-CN"")"),"显示了运动鞋的特写，后面是一个人打开水龙头并让水在鞋子上奔跑。")</f>
        <v>显示了运动鞋的特写，后面是一个人打开水龙头并让水在鞋子上奔跑。</v>
      </c>
    </row>
    <row r="11859">
      <c r="A11859" s="4" t="s">
        <v>14917</v>
      </c>
      <c r="B11859" s="6" t="s">
        <v>14919</v>
      </c>
      <c r="C11859" s="5" t="str">
        <f>IFERROR(__xludf.DUMMYFUNCTION("GOOGLETRANSLATE(B11859,""en"",""zh-CN"")"),"然后，该人将表演抛光剂，并开始用牙刷擦洗鞋子，同时仍在水下运行。")</f>
        <v>然后，该人将表演抛光剂，并开始用牙刷擦洗鞋子，同时仍在水下运行。</v>
      </c>
    </row>
    <row r="11860">
      <c r="A11860" s="4" t="s">
        <v>14917</v>
      </c>
      <c r="B11860" s="4" t="s">
        <v>14920</v>
      </c>
      <c r="C11860" s="5" t="str">
        <f>IFERROR(__xludf.DUMMYFUNCTION("GOOGLETRANSLATE(B11860,""en"",""zh-CN"")"),"该人关闭水，并在水槽里呈现鞋子。")</f>
        <v>该人关闭水，并在水槽里呈现鞋子。</v>
      </c>
    </row>
    <row r="11861">
      <c r="A11861" s="4" t="s">
        <v>14921</v>
      </c>
      <c r="B11861" s="4" t="s">
        <v>14922</v>
      </c>
      <c r="C11861" s="5" t="str">
        <f>IFERROR(__xludf.DUMMYFUNCTION("GOOGLETRANSLATE(B11861,""en"",""zh-CN"")"),"一个女人跳上两个酒吧，做一个体操例行。")</f>
        <v>一个女人跳上两个酒吧，做一个体操例行。</v>
      </c>
    </row>
    <row r="11862">
      <c r="A11862" s="4" t="s">
        <v>14921</v>
      </c>
      <c r="B11862" s="4" t="s">
        <v>14923</v>
      </c>
      <c r="C11862" s="5" t="str">
        <f>IFERROR(__xludf.DUMMYFUNCTION("GOOGLETRANSLATE(B11862,""en"",""zh-CN"")"),"观众看着她的表演。")</f>
        <v>观众看着她的表演。</v>
      </c>
    </row>
    <row r="11863">
      <c r="A11863" s="4" t="s">
        <v>14921</v>
      </c>
      <c r="B11863" s="4" t="s">
        <v>14924</v>
      </c>
      <c r="C11863" s="5" t="str">
        <f>IFERROR(__xludf.DUMMYFUNCTION("GOOGLETRANSLATE(B11863,""en"",""zh-CN"")"),"她跳下酒吧，双手在空中降落在垫子上。")</f>
        <v>她跳下酒吧，双手在空中降落在垫子上。</v>
      </c>
    </row>
    <row r="11864">
      <c r="A11864" s="4" t="s">
        <v>14921</v>
      </c>
      <c r="B11864" s="4" t="s">
        <v>14925</v>
      </c>
      <c r="C11864" s="5" t="str">
        <f>IFERROR(__xludf.DUMMYFUNCTION("GOOGLETRANSLATE(B11864,""en"",""zh-CN"")"),"显示了她的表现的重播。")</f>
        <v>显示了她的表现的重播。</v>
      </c>
    </row>
    <row r="11865">
      <c r="A11865" s="4" t="s">
        <v>14921</v>
      </c>
      <c r="B11865" s="4" t="s">
        <v>14926</v>
      </c>
      <c r="C11865" s="5" t="str">
        <f>IFERROR(__xludf.DUMMYFUNCTION("GOOGLETRANSLATE(B11865,""en"",""zh-CN"")"),"然后在屏幕上显示单词。")</f>
        <v>然后在屏幕上显示单词。</v>
      </c>
    </row>
    <row r="11866">
      <c r="A11866" s="4" t="s">
        <v>14927</v>
      </c>
      <c r="B11866" s="4" t="s">
        <v>14928</v>
      </c>
      <c r="C11866" s="5" t="str">
        <f>IFERROR(__xludf.DUMMYFUNCTION("GOOGLETRANSLATE(B11866,""en"",""zh-CN"")"),"两个男人在一个房间里玩南瓜。")</f>
        <v>两个男人在一个房间里玩南瓜。</v>
      </c>
    </row>
    <row r="11867">
      <c r="A11867" s="4" t="s">
        <v>14927</v>
      </c>
      <c r="B11867" s="4" t="s">
        <v>14929</v>
      </c>
      <c r="C11867" s="5" t="str">
        <f>IFERROR(__xludf.DUMMYFUNCTION("GOOGLETRANSLATE(B11867,""en"",""zh-CN"")"),"一名球员去找球，将球扔给他的伴侣。")</f>
        <v>一名球员去找球，将球扔给他的伴侣。</v>
      </c>
    </row>
    <row r="11868">
      <c r="A11868" s="4" t="s">
        <v>14927</v>
      </c>
      <c r="B11868" s="4" t="s">
        <v>14930</v>
      </c>
      <c r="C11868" s="5" t="str">
        <f>IFERROR(__xludf.DUMMYFUNCTION("GOOGLETRANSLATE(B11868,""en"",""zh-CN"")"),"然后，这两个男人继续打壁球。")</f>
        <v>然后，这两个男人继续打壁球。</v>
      </c>
    </row>
    <row r="11869">
      <c r="A11869" s="4" t="s">
        <v>14927</v>
      </c>
      <c r="B11869" s="4" t="s">
        <v>14931</v>
      </c>
      <c r="C11869" s="5" t="str">
        <f>IFERROR(__xludf.DUMMYFUNCTION("GOOGLETRANSLATE(B11869,""en"",""zh-CN"")"),"一个男人从地板上捡起一个球，继续南瓜。")</f>
        <v>一个男人从地板上捡起一个球，继续南瓜。</v>
      </c>
    </row>
    <row r="11870">
      <c r="A11870" s="4" t="s">
        <v>14932</v>
      </c>
      <c r="B11870" s="6" t="s">
        <v>14933</v>
      </c>
      <c r="C11870" s="5" t="str">
        <f>IFERROR(__xludf.DUMMYFUNCTION("GOOGLETRANSLATE(B11870,""en"",""zh-CN"")"),"两组人在树林皮划艇的中间，被大岩石包围的充满活力的白水。")</f>
        <v>两组人在树林皮划艇的中间，被大岩石包围的充满活力的白水。</v>
      </c>
    </row>
    <row r="11871">
      <c r="A11871" s="4" t="s">
        <v>14932</v>
      </c>
      <c r="B11871" s="6" t="s">
        <v>14934</v>
      </c>
      <c r="C11871" s="5" t="str">
        <f>IFERROR(__xludf.DUMMYFUNCTION("GOOGLETRANSLATE(B11871,""en"",""zh-CN"")"),"他们开始向左移动，跌落在大岩石的第一山上，在角落相遇，开始说话。")</f>
        <v>他们开始向左移动，跌落在大岩石的第一山上，在角落相遇，开始说话。</v>
      </c>
    </row>
    <row r="11872">
      <c r="A11872" s="4" t="s">
        <v>14932</v>
      </c>
      <c r="B11872" s="6" t="s">
        <v>14935</v>
      </c>
      <c r="C11872" s="5" t="str">
        <f>IFERROR(__xludf.DUMMYFUNCTION("GOOGLETRANSLATE(B11872,""en"",""zh-CN"")"),"第二个人开始划皮艇，猛烈地沿着下一个陡峭的岩石山上等待。")</f>
        <v>第二个人开始划皮艇，猛烈地沿着下一个陡峭的岩石山上等待。</v>
      </c>
    </row>
    <row r="11873">
      <c r="A11873" s="4" t="s">
        <v>14932</v>
      </c>
      <c r="B11873" s="4" t="s">
        <v>14936</v>
      </c>
      <c r="C11873" s="5" t="str">
        <f>IFERROR(__xludf.DUMMYFUNCTION("GOOGLETRANSLATE(B11873,""en"",""zh-CN"")"),"不久之后，穿着蓝色外套的男人穿着西服，并在他们身后。")</f>
        <v>不久之后，穿着蓝色外套的男人穿着西服，并在他们身后。</v>
      </c>
    </row>
    <row r="11874">
      <c r="A11874" s="4" t="s">
        <v>14932</v>
      </c>
      <c r="B11874" s="6" t="s">
        <v>14937</v>
      </c>
      <c r="C11874" s="5" t="str">
        <f>IFERROR(__xludf.DUMMYFUNCTION("GOOGLETRANSLATE(B11874,""en"",""zh-CN"")"),"最后，他们在森林中拍了两张照片，因为背部在一个棕色的标志附近，白色的单词读了大瀑布。")</f>
        <v>最后，他们在森林中拍了两张照片，因为背部在一个棕色的标志附近，白色的单词读了大瀑布。</v>
      </c>
    </row>
    <row r="11875">
      <c r="A11875" s="4" t="s">
        <v>14938</v>
      </c>
      <c r="B11875" s="4" t="s">
        <v>14939</v>
      </c>
      <c r="C11875" s="5" t="str">
        <f>IFERROR(__xludf.DUMMYFUNCTION("GOOGLETRANSLATE(B11875,""en"",""zh-CN"")"),"该人正在挤压柠檬。")</f>
        <v>该人正在挤压柠檬。</v>
      </c>
    </row>
    <row r="11876">
      <c r="A11876" s="4" t="s">
        <v>14938</v>
      </c>
      <c r="B11876" s="4" t="s">
        <v>14940</v>
      </c>
      <c r="C11876" s="5" t="str">
        <f>IFERROR(__xludf.DUMMYFUNCTION("GOOGLETRANSLATE(B11876,""en"",""zh-CN"")"),"该人将柠檬倒入白色喷雾瓶中，然后加水。")</f>
        <v>该人将柠檬倒入白色喷雾瓶中，然后加水。</v>
      </c>
    </row>
    <row r="11877">
      <c r="A11877" s="4" t="s">
        <v>14938</v>
      </c>
      <c r="B11877" s="4" t="s">
        <v>14941</v>
      </c>
      <c r="C11877" s="5" t="str">
        <f>IFERROR(__xludf.DUMMYFUNCTION("GOOGLETRANSLATE(B11877,""en"",""zh-CN"")"),"该人将柠檬汁喷在弓上，然后用海绵擦碗。")</f>
        <v>该人将柠檬汁喷在弓上，然后用海绵擦碗。</v>
      </c>
    </row>
    <row r="11878">
      <c r="A11878" s="4" t="s">
        <v>14942</v>
      </c>
      <c r="B11878" s="4" t="s">
        <v>14943</v>
      </c>
      <c r="C11878" s="5" t="str">
        <f>IFERROR(__xludf.DUMMYFUNCTION("GOOGLETRANSLATE(B11878,""en"",""zh-CN"")"),"一名运动员在体育场发射标枪。")</f>
        <v>一名运动员在体育场发射标枪。</v>
      </c>
    </row>
    <row r="11879">
      <c r="A11879" s="4" t="s">
        <v>14942</v>
      </c>
      <c r="B11879" s="4" t="s">
        <v>14944</v>
      </c>
      <c r="C11879" s="5" t="str">
        <f>IFERROR(__xludf.DUMMYFUNCTION("GOOGLETRANSLATE(B11879,""en"",""zh-CN"")"),"标枪在空中飞翔，登陆绿色轨道，然后一个人朝它奔跑。")</f>
        <v>标枪在空中飞翔，登陆绿色轨道，然后一个人朝它奔跑。</v>
      </c>
    </row>
    <row r="11880">
      <c r="A11880" s="4" t="s">
        <v>14942</v>
      </c>
      <c r="B11880" s="4" t="s">
        <v>14945</v>
      </c>
      <c r="C11880" s="5" t="str">
        <f>IFERROR(__xludf.DUMMYFUNCTION("GOOGLETRANSLATE(B11880,""en"",""zh-CN"")"),"运动员走着双手行走，拍了手。")</f>
        <v>运动员走着双手行走，拍了手。</v>
      </c>
    </row>
    <row r="11881">
      <c r="A11881" s="4" t="s">
        <v>14942</v>
      </c>
      <c r="B11881" s="4" t="s">
        <v>14946</v>
      </c>
      <c r="C11881" s="5" t="str">
        <f>IFERROR(__xludf.DUMMYFUNCTION("GOOGLETRANSLATE(B11881,""en"",""zh-CN"")"),"摄影师电影《运动员》。")</f>
        <v>摄影师电影《运动员》。</v>
      </c>
    </row>
    <row r="11882">
      <c r="A11882" s="4" t="s">
        <v>14942</v>
      </c>
      <c r="B11882" s="4" t="s">
        <v>14947</v>
      </c>
      <c r="C11882" s="5" t="str">
        <f>IFERROR(__xludf.DUMMYFUNCTION("GOOGLETRANSLATE(B11882,""en"",""zh-CN"")"),"体操运动员在体育场发射了标枪。")</f>
        <v>体操运动员在体育场发射了标枪。</v>
      </c>
    </row>
    <row r="11883">
      <c r="A11883" s="4" t="s">
        <v>14948</v>
      </c>
      <c r="B11883" s="6" t="s">
        <v>14949</v>
      </c>
      <c r="C11883" s="5" t="str">
        <f>IFERROR(__xludf.DUMMYFUNCTION("GOOGLETRANSLATE(B11883,""en"",""zh-CN"")"),"几张图片显示了人们在鞋子上使用抹布和刷子在各个地方为其他地方闪耀鞋子的照片。")</f>
        <v>几张图片显示了人们在鞋子上使用抹布和刷子在各个地方为其他地方闪耀鞋子的照片。</v>
      </c>
    </row>
    <row r="11884">
      <c r="A11884" s="4" t="s">
        <v>14948</v>
      </c>
      <c r="B11884" s="6" t="s">
        <v>14950</v>
      </c>
      <c r="C11884" s="5" t="str">
        <f>IFERROR(__xludf.DUMMYFUNCTION("GOOGLETRANSLATE(B11884,""en"",""zh-CN"")"),"视频继续进行，还有更多的照片显示人们闪闪发光的鞋子和一个男人站着围裙。")</f>
        <v>视频继续进行，还有更多的照片显示人们闪闪发光的鞋子和一个男人站着围裙。</v>
      </c>
    </row>
    <row r="11885">
      <c r="A11885" s="4" t="s">
        <v>14951</v>
      </c>
      <c r="B11885" s="4" t="s">
        <v>14952</v>
      </c>
      <c r="C11885" s="5" t="str">
        <f>IFERROR(__xludf.DUMMYFUNCTION("GOOGLETRANSLATE(B11885,""en"",""zh-CN"")"),"带有红色标志的门覆盖了它。")</f>
        <v>带有红色标志的门覆盖了它。</v>
      </c>
    </row>
    <row r="11886">
      <c r="A11886" s="4" t="s">
        <v>14951</v>
      </c>
      <c r="B11886" s="4" t="s">
        <v>14953</v>
      </c>
      <c r="C11886" s="5" t="str">
        <f>IFERROR(__xludf.DUMMYFUNCTION("GOOGLETRANSLATE(B11886,""en"",""zh-CN"")"),"一名消防员跑到外面，带着板子。")</f>
        <v>一名消防员跑到外面，带着板子。</v>
      </c>
    </row>
    <row r="11887">
      <c r="A11887" s="4" t="s">
        <v>14951</v>
      </c>
      <c r="B11887" s="4" t="s">
        <v>14954</v>
      </c>
      <c r="C11887" s="5" t="str">
        <f>IFERROR(__xludf.DUMMYFUNCTION("GOOGLETRANSLATE(B11887,""en"",""zh-CN"")"),"他沿着汽车后面的道路划着路，转身掉下来，跌倒了几次。")</f>
        <v>他沿着汽车后面的道路划着路，转身掉下来，跌倒了几次。</v>
      </c>
    </row>
    <row r="11888">
      <c r="A11888" s="4" t="s">
        <v>14955</v>
      </c>
      <c r="B11888" s="4" t="s">
        <v>14956</v>
      </c>
      <c r="C11888" s="5" t="str">
        <f>IFERROR(__xludf.DUMMYFUNCTION("GOOGLETRANSLATE(B11888,""en"",""zh-CN"")"),"一个穿着紫色上衣的女孩坐在栅栏柱上，因为她刷了一匹马，该马被绑在篱笆上。")</f>
        <v>一个穿着紫色上衣的女孩坐在栅栏柱上，因为她刷了一匹马，该马被绑在篱笆上。</v>
      </c>
    </row>
    <row r="11889">
      <c r="A11889" s="4" t="s">
        <v>14955</v>
      </c>
      <c r="B11889" s="4" t="s">
        <v>14957</v>
      </c>
      <c r="C11889" s="5" t="str">
        <f>IFERROR(__xludf.DUMMYFUNCTION("GOOGLETRANSLATE(B11889,""en"",""zh-CN"")"),"女孩站在篱笆柱上，伸手刷马鬃毛。")</f>
        <v>女孩站在篱笆柱上，伸手刷马鬃毛。</v>
      </c>
    </row>
    <row r="11890">
      <c r="A11890" s="4" t="s">
        <v>14955</v>
      </c>
      <c r="B11890" s="6" t="s">
        <v>14958</v>
      </c>
      <c r="C11890" s="5" t="str">
        <f>IFERROR(__xludf.DUMMYFUNCTION("GOOGLETRANSLATE(B11890,""en"",""zh-CN"")"),"女孩继续站在篱笆柱上，靠在马背上，当她对着镜头微笑时，刷了马的后部。")</f>
        <v>女孩继续站在篱笆柱上，靠在马背上，当她对着镜头微笑时，刷了马的后部。</v>
      </c>
    </row>
    <row r="11891">
      <c r="A11891" s="4" t="s">
        <v>14955</v>
      </c>
      <c r="B11891" s="4" t="s">
        <v>14959</v>
      </c>
      <c r="C11891" s="5" t="str">
        <f>IFERROR(__xludf.DUMMYFUNCTION("GOOGLETRANSLATE(B11891,""en"",""zh-CN"")"),"当女孩继续刷马的脖子和鬃毛时，她将马向后。")</f>
        <v>当女孩继续刷马的脖子和鬃毛时，她将马向后。</v>
      </c>
    </row>
    <row r="11892">
      <c r="A11892" s="4" t="s">
        <v>14955</v>
      </c>
      <c r="B11892" s="6" t="s">
        <v>14960</v>
      </c>
      <c r="C11892" s="5" t="str">
        <f>IFERROR(__xludf.DUMMYFUNCTION("GOOGLETRANSLATE(B11892,""en"",""zh-CN"")"),"紫色上衣中的女孩卸下了马，站在栅栏哨所里，​​刷马后四分之一。")</f>
        <v>紫色上衣中的女孩卸下了马，站在栅栏哨所里，​​刷马后四分之一。</v>
      </c>
    </row>
    <row r="11893">
      <c r="A11893" s="4" t="s">
        <v>14961</v>
      </c>
      <c r="B11893" s="6" t="s">
        <v>14962</v>
      </c>
      <c r="C11893" s="5" t="str">
        <f>IFERROR(__xludf.DUMMYFUNCTION("GOOGLETRANSLATE(B11893,""en"",""zh-CN"")"),"各种成分的图片都显示在屏幕上的文字，并导致妇女洗涤和剥柠檬。")</f>
        <v>各种成分的图片都显示在屏幕上的文字，并导致妇女洗涤和剥柠檬。</v>
      </c>
    </row>
    <row r="11894">
      <c r="A11894" s="4" t="s">
        <v>14961</v>
      </c>
      <c r="B11894" s="4" t="s">
        <v>14963</v>
      </c>
      <c r="C11894" s="5" t="str">
        <f>IFERROR(__xludf.DUMMYFUNCTION("GOOGLETRANSLATE(B11894,""en"",""zh-CN"")"),"她将柠檬卷在桌子上，将它们切成一半。")</f>
        <v>她将柠檬卷在桌子上，将它们切成一半。</v>
      </c>
    </row>
    <row r="11895">
      <c r="A11895" s="4" t="s">
        <v>14961</v>
      </c>
      <c r="B11895" s="4" t="s">
        <v>14964</v>
      </c>
      <c r="C11895" s="5" t="str">
        <f>IFERROR(__xludf.DUMMYFUNCTION("GOOGLETRANSLATE(B11895,""en"",""zh-CN"")"),"然后，她将柠檬汁榨汁，然后将混合物倒入一个用糖的大锅中。")</f>
        <v>然后，她将柠檬汁榨汁，然后将混合物倒入一个用糖的大锅中。</v>
      </c>
    </row>
    <row r="11896">
      <c r="A11896" s="4" t="s">
        <v>14961</v>
      </c>
      <c r="B11896" s="4" t="s">
        <v>14965</v>
      </c>
      <c r="C11896" s="5" t="str">
        <f>IFERROR(__xludf.DUMMYFUNCTION("GOOGLETRANSLATE(B11896,""en"",""zh-CN"")"),"她将锅里煮沸，将最终结果倒入几杯眼镜中，最后享受了一口。")</f>
        <v>她将锅里煮沸，将最终结果倒入几杯眼镜中，最后享受了一口。</v>
      </c>
    </row>
    <row r="11897">
      <c r="A11897" s="4" t="s">
        <v>14966</v>
      </c>
      <c r="B11897" s="4" t="s">
        <v>14967</v>
      </c>
      <c r="C11897" s="5" t="str">
        <f>IFERROR(__xludf.DUMMYFUNCTION("GOOGLETRANSLATE(B11897,""en"",""zh-CN"")"),"显示了野猪的毛刷，然后显示了如何剃须的视频DVD。")</f>
        <v>显示了野猪的毛刷，然后显示了如何剃须的视频DVD。</v>
      </c>
    </row>
    <row r="11898">
      <c r="A11898" s="4" t="s">
        <v>14966</v>
      </c>
      <c r="B11898" s="4" t="s">
        <v>14968</v>
      </c>
      <c r="C11898" s="5" t="str">
        <f>IFERROR(__xludf.DUMMYFUNCTION("GOOGLETRANSLATE(B11898,""en"",""zh-CN"")"),"一个男人躺在脸上，泡沫在他的脸上，而理发师剃了胡须。")</f>
        <v>一个男人躺在脸上，泡沫在他的脸上，而理发师剃了胡须。</v>
      </c>
    </row>
    <row r="11899">
      <c r="A11899" s="4" t="s">
        <v>14966</v>
      </c>
      <c r="B11899" s="4" t="s">
        <v>14969</v>
      </c>
      <c r="C11899" s="5" t="str">
        <f>IFERROR(__xludf.DUMMYFUNCTION("GOOGLETRANSLATE(B11899,""en"",""zh-CN"")"),"然后，那个男人也散发出头，并用直剃须刀剃光它。")</f>
        <v>然后，那个男人也散发出头，并用直剃须刀剃光它。</v>
      </c>
    </row>
    <row r="11900">
      <c r="A11900" s="4" t="s">
        <v>14966</v>
      </c>
      <c r="B11900" s="4" t="s">
        <v>14970</v>
      </c>
      <c r="C11900" s="5" t="str">
        <f>IFERROR(__xludf.DUMMYFUNCTION("GOOGLETRANSLATE(B11900,""en"",""zh-CN"")"),"再次显示DVD的图像。")</f>
        <v>再次显示DVD的图像。</v>
      </c>
    </row>
    <row r="11901">
      <c r="A11901" s="4" t="s">
        <v>14971</v>
      </c>
      <c r="B11901" s="4" t="s">
        <v>14972</v>
      </c>
      <c r="C11901" s="5" t="str">
        <f>IFERROR(__xludf.DUMMYFUNCTION("GOOGLETRANSLATE(B11901,""en"",""zh-CN"")"),"一只男人和一只狗站在一个被一群人包围的田野里。")</f>
        <v>一只男人和一只狗站在一个被一群人包围的田野里。</v>
      </c>
    </row>
    <row r="11902">
      <c r="A11902" s="4" t="s">
        <v>14971</v>
      </c>
      <c r="B11902" s="4" t="s">
        <v>14973</v>
      </c>
      <c r="C11902" s="5" t="str">
        <f>IFERROR(__xludf.DUMMYFUNCTION("GOOGLETRANSLATE(B11902,""en"",""zh-CN"")"),"狗继续前进，然后看到那个男人走出田野。")</f>
        <v>狗继续前进，然后看到那个男人走出田野。</v>
      </c>
    </row>
    <row r="11903">
      <c r="A11903" s="4" t="s">
        <v>14971</v>
      </c>
      <c r="B11903" s="6" t="s">
        <v>14974</v>
      </c>
      <c r="C11903" s="5" t="str">
        <f>IFERROR(__xludf.DUMMYFUNCTION("GOOGLETRANSLATE(B11903,""en"",""zh-CN"")"),"但是，一位女士仍然存在，她和她的狗开始在Purina Dog Challenge上做飞盘和窍门。")</f>
        <v>但是，一位女士仍然存在，她和她的狗开始在Purina Dog Challenge上做飞盘和窍门。</v>
      </c>
    </row>
    <row r="11904">
      <c r="A11904" s="4" t="s">
        <v>14975</v>
      </c>
      <c r="B11904" s="4" t="s">
        <v>14976</v>
      </c>
      <c r="C11904" s="5" t="str">
        <f>IFERROR(__xludf.DUMMYFUNCTION("GOOGLETRANSLATE(B11904,""en"",""zh-CN"")"),"一个人滑雪在前面的冰川。")</f>
        <v>一个人滑雪在前面的冰川。</v>
      </c>
    </row>
    <row r="11905">
      <c r="A11905" s="4" t="s">
        <v>14975</v>
      </c>
      <c r="B11905" s="4" t="s">
        <v>14977</v>
      </c>
      <c r="C11905" s="5" t="str">
        <f>IFERROR(__xludf.DUMMYFUNCTION("GOOGLETRANSLATE(B11905,""en"",""zh-CN"")"),"该男子在冷水中看着印章和一条鲸鱼。")</f>
        <v>该男子在冷水中看着印章和一条鲸鱼。</v>
      </c>
    </row>
    <row r="11906">
      <c r="A11906" s="4" t="s">
        <v>14975</v>
      </c>
      <c r="B11906" s="4" t="s">
        <v>14978</v>
      </c>
      <c r="C11906" s="5" t="str">
        <f>IFERROR(__xludf.DUMMYFUNCTION("GOOGLETRANSLATE(B11906,""en"",""zh-CN"")"),"该人在水中滑水，拿着一条绳子被船拉。")</f>
        <v>该人在水中滑水，拿着一条绳子被船拉。</v>
      </c>
    </row>
    <row r="11907">
      <c r="A11907" s="4" t="s">
        <v>14975</v>
      </c>
      <c r="B11907" s="4" t="s">
        <v>14979</v>
      </c>
      <c r="C11907" s="5" t="str">
        <f>IFERROR(__xludf.DUMMYFUNCTION("GOOGLETRANSLATE(B11907,""en"",""zh-CN"")"),"该男子弯腰穿过冰川，然后他越过冰山。")</f>
        <v>该男子弯腰穿过冰川，然后他越过冰山。</v>
      </c>
    </row>
    <row r="11908">
      <c r="A11908" s="4" t="s">
        <v>14975</v>
      </c>
      <c r="B11908" s="4" t="s">
        <v>14980</v>
      </c>
      <c r="C11908" s="5" t="str">
        <f>IFERROR(__xludf.DUMMYFUNCTION("GOOGLETRANSLATE(B11908,""en"",""zh-CN"")"),"鲸鱼在海洋中游泳。")</f>
        <v>鲸鱼在海洋中游泳。</v>
      </c>
    </row>
    <row r="11909">
      <c r="A11909" s="4" t="s">
        <v>14975</v>
      </c>
      <c r="B11909" s="4" t="s">
        <v>14981</v>
      </c>
      <c r="C11909" s="5" t="str">
        <f>IFERROR(__xludf.DUMMYFUNCTION("GOOGLETRANSLATE(B11909,""en"",""zh-CN"")"),"之后，该男子越过冰山和旋转，然后滑雪在大冰山上。")</f>
        <v>之后，该男子越过冰山和旋转，然后滑雪在大冰山上。</v>
      </c>
    </row>
    <row r="11910">
      <c r="A11910" s="4" t="s">
        <v>14975</v>
      </c>
      <c r="B11910" s="4" t="s">
        <v>14982</v>
      </c>
      <c r="C11910" s="5" t="str">
        <f>IFERROR(__xludf.DUMMYFUNCTION("GOOGLETRANSLATE(B11910,""en"",""zh-CN"")"),"该男子从冰山滑落并掉入水中，人们站着看冰山瀑布。")</f>
        <v>该男子从冰山滑落并掉入水中，人们站着看冰山瀑布。</v>
      </c>
    </row>
    <row r="11911">
      <c r="A11911" s="4" t="s">
        <v>14983</v>
      </c>
      <c r="B11911" s="4" t="s">
        <v>14984</v>
      </c>
      <c r="C11911" s="5" t="str">
        <f>IFERROR(__xludf.DUMMYFUNCTION("GOOGLETRANSLATE(B11911,""en"",""zh-CN"")"),"单板滑雪者为如何跳跃提供了一个教程。")</f>
        <v>单板滑雪者为如何跳跃提供了一个教程。</v>
      </c>
    </row>
    <row r="11912">
      <c r="A11912" s="4" t="s">
        <v>14983</v>
      </c>
      <c r="B11912" s="4" t="s">
        <v>14985</v>
      </c>
      <c r="C11912" s="5" t="str">
        <f>IFERROR(__xludf.DUMMYFUNCTION("GOOGLETRANSLATE(B11912,""en"",""zh-CN"")"),"一些技术以四个部分显示。")</f>
        <v>一些技术以四个部分显示。</v>
      </c>
    </row>
    <row r="11913">
      <c r="A11913" s="4" t="s">
        <v>14986</v>
      </c>
      <c r="B11913" s="4" t="s">
        <v>14987</v>
      </c>
      <c r="C11913" s="5" t="str">
        <f>IFERROR(__xludf.DUMMYFUNCTION("GOOGLETRANSLATE(B11913,""en"",""zh-CN"")"),"介绍进入屏幕，引入了有关HO攀登岩石的视频。")</f>
        <v>介绍进入屏幕，引入了有关HO攀登岩石的视频。</v>
      </c>
    </row>
    <row r="11914">
      <c r="A11914" s="4" t="s">
        <v>14986</v>
      </c>
      <c r="B11914" s="4" t="s">
        <v>14988</v>
      </c>
      <c r="C11914" s="5" t="str">
        <f>IFERROR(__xludf.DUMMYFUNCTION("GOOGLETRANSLATE(B11914,""en"",""zh-CN"")"),"一个男人出现在屏幕上，悬挂在安全带上，以提供一些指示。")</f>
        <v>一个男人出现在屏幕上，悬挂在安全带上，以提供一些指示。</v>
      </c>
    </row>
    <row r="11915">
      <c r="A11915" s="4" t="s">
        <v>14986</v>
      </c>
      <c r="B11915" s="4" t="s">
        <v>14989</v>
      </c>
      <c r="C11915" s="5" t="str">
        <f>IFERROR(__xludf.DUMMYFUNCTION("GOOGLETRANSLATE(B11915,""en"",""zh-CN"")"),"当他继续叙述时，视频削减了他的爬墙。")</f>
        <v>当他继续叙述时，视频削减了他的爬墙。</v>
      </c>
    </row>
    <row r="11916">
      <c r="A11916" s="4" t="s">
        <v>14986</v>
      </c>
      <c r="B11916" s="4" t="s">
        <v>14990</v>
      </c>
      <c r="C11916" s="5" t="str">
        <f>IFERROR(__xludf.DUMMYFUNCTION("GOOGLETRANSLATE(B11916,""en"",""zh-CN"")"),"该视频将绿色衬衫的另一个人剪下来，得到帮助，试图爬墙。")</f>
        <v>该视频将绿色衬衫的另一个人剪下来，得到帮助，试图爬墙。</v>
      </c>
    </row>
    <row r="11917">
      <c r="A11917" s="4" t="s">
        <v>14986</v>
      </c>
      <c r="B11917" s="4" t="s">
        <v>14991</v>
      </c>
      <c r="C11917" s="5" t="str">
        <f>IFERROR(__xludf.DUMMYFUNCTION("GOOGLETRANSLATE(B11917,""en"",""zh-CN"")"),"该视频显示了一个分开的屏幕，有两个人攀登墙壁的景色。")</f>
        <v>该视频显示了一个分开的屏幕，有两个人攀登墙壁的景色。</v>
      </c>
    </row>
    <row r="11918">
      <c r="A11918" s="4" t="s">
        <v>14986</v>
      </c>
      <c r="B11918" s="4" t="s">
        <v>14992</v>
      </c>
      <c r="C11918" s="5" t="str">
        <f>IFERROR(__xludf.DUMMYFUNCTION("GOOGLETRANSLATE(B11918,""en"",""zh-CN"")"),"然后，显示一个女人试图爬墙。")</f>
        <v>然后，显示一个女人试图爬墙。</v>
      </c>
    </row>
    <row r="11919">
      <c r="A11919" s="4" t="s">
        <v>14986</v>
      </c>
      <c r="B11919" s="4" t="s">
        <v>14993</v>
      </c>
      <c r="C11919" s="5" t="str">
        <f>IFERROR(__xludf.DUMMYFUNCTION("GOOGLETRANSLATE(B11919,""en"",""zh-CN"")"),"视频末尾的屏幕上显示了警告。")</f>
        <v>视频末尾的屏幕上显示了警告。</v>
      </c>
    </row>
    <row r="11920">
      <c r="A11920" s="4" t="s">
        <v>14994</v>
      </c>
      <c r="B11920" s="4" t="s">
        <v>14995</v>
      </c>
      <c r="C11920" s="5" t="str">
        <f>IFERROR(__xludf.DUMMYFUNCTION("GOOGLETRANSLATE(B11920,""en"",""zh-CN"")"),"我们在黑屏上看到了开头的积分。")</f>
        <v>我们在黑屏上看到了开头的积分。</v>
      </c>
    </row>
    <row r="11921">
      <c r="A11921" s="4" t="s">
        <v>14994</v>
      </c>
      <c r="B11921" s="4" t="s">
        <v>14996</v>
      </c>
      <c r="C11921" s="5" t="str">
        <f>IFERROR(__xludf.DUMMYFUNCTION("GOOGLETRANSLATE(B11921,""en"",""zh-CN"")"),"然后，我们看到一个男人在车库里指导一个男人并与镜头交谈。")</f>
        <v>然后，我们看到一个男人在车库里指导一个男人并与镜头交谈。</v>
      </c>
    </row>
    <row r="11922">
      <c r="A11922" s="4" t="s">
        <v>14994</v>
      </c>
      <c r="B11922" s="4" t="s">
        <v>14997</v>
      </c>
      <c r="C11922" s="5" t="str">
        <f>IFERROR(__xludf.DUMMYFUNCTION("GOOGLETRANSLATE(B11922,""en"",""zh-CN"")"),"灰色的那个人跪在蓝色垫子上。")</f>
        <v>灰色的那个人跪在蓝色垫子上。</v>
      </c>
    </row>
    <row r="11923">
      <c r="A11923" s="4" t="s">
        <v>14994</v>
      </c>
      <c r="B11923" s="4" t="s">
        <v>14998</v>
      </c>
      <c r="C11923" s="5" t="str">
        <f>IFERROR(__xludf.DUMMYFUNCTION("GOOGLETRANSLATE(B11923,""en"",""zh-CN"")"),"这个人站着并屈膝。")</f>
        <v>这个人站着并屈膝。</v>
      </c>
    </row>
    <row r="11924">
      <c r="A11924" s="4" t="s">
        <v>14994</v>
      </c>
      <c r="B11924" s="4" t="s">
        <v>14999</v>
      </c>
      <c r="C11924" s="5" t="str">
        <f>IFERROR(__xludf.DUMMYFUNCTION("GOOGLETRANSLATE(B11924,""en"",""zh-CN"")"),"跪着的人再次站起来。")</f>
        <v>跪着的人再次站起来。</v>
      </c>
    </row>
    <row r="11925">
      <c r="A11925" s="4" t="s">
        <v>14994</v>
      </c>
      <c r="B11925" s="4" t="s">
        <v>15000</v>
      </c>
      <c r="C11925" s="5" t="str">
        <f>IFERROR(__xludf.DUMMYFUNCTION("GOOGLETRANSLATE(B11925,""en"",""zh-CN"")"),"我们看到一个标题屏幕，看到跪着的人拿着一台他拉下和向下的机器。")</f>
        <v>我们看到一个标题屏幕，看到跪着的人拿着一台他拉下和向下的机器。</v>
      </c>
    </row>
    <row r="11926">
      <c r="A11926" s="4" t="s">
        <v>14994</v>
      </c>
      <c r="B11926" s="4" t="s">
        <v>15001</v>
      </c>
      <c r="C11926" s="5" t="str">
        <f>IFERROR(__xludf.DUMMYFUNCTION("GOOGLETRANSLATE(B11926,""en"",""zh-CN"")"),"他释放了电线，视频运行中的积分。")</f>
        <v>他释放了电线，视频运行中的积分。</v>
      </c>
    </row>
    <row r="11927">
      <c r="A11927" s="4" t="s">
        <v>15002</v>
      </c>
      <c r="B11927" s="4" t="s">
        <v>15003</v>
      </c>
      <c r="C11927" s="5" t="str">
        <f>IFERROR(__xludf.DUMMYFUNCTION("GOOGLETRANSLATE(B11927,""en"",""zh-CN"")"),"小孩的孩子站在一个与镜头交谈并制作柠檬水的Ouse面前。")</f>
        <v>小孩的孩子站在一个与镜头交谈并制作柠檬水的Ouse面前。</v>
      </c>
    </row>
    <row r="11928">
      <c r="A11928" s="4" t="s">
        <v>15002</v>
      </c>
      <c r="B11928" s="6" t="s">
        <v>15004</v>
      </c>
      <c r="C11928" s="5" t="str">
        <f>IFERROR(__xludf.DUMMYFUNCTION("GOOGLETRANSLATE(B11928,""en"",""zh-CN"")"),"这个孩子打开锅并抓住糖，然后倒入一杯水，柠檬汁，然后将其与勺子混合。")</f>
        <v>这个孩子打开锅并抓住糖，然后倒入一杯水，柠檬汁，然后将其与勺子混合。</v>
      </c>
    </row>
    <row r="11929">
      <c r="A11929" s="4" t="s">
        <v>15005</v>
      </c>
      <c r="B11929" s="4" t="s">
        <v>15006</v>
      </c>
      <c r="C11929" s="5" t="str">
        <f>IFERROR(__xludf.DUMMYFUNCTION("GOOGLETRANSLATE(B11929,""en"",""zh-CN"")"),"看到一个男人准备好准备着一套风笛，并开始为相机弹奏。")</f>
        <v>看到一个男人准备好准备着一套风笛，并开始为相机弹奏。</v>
      </c>
    </row>
    <row r="11930">
      <c r="A11930" s="4" t="s">
        <v>15005</v>
      </c>
      <c r="B11930" s="4" t="s">
        <v>15007</v>
      </c>
      <c r="C11930" s="5" t="str">
        <f>IFERROR(__xludf.DUMMYFUNCTION("GOOGLETRANSLATE(B11930,""en"",""zh-CN"")"),"该男子继续演奏，然后停下来看相机。")</f>
        <v>该男子继续演奏，然后停下来看相机。</v>
      </c>
    </row>
    <row r="11931">
      <c r="A11931" s="4" t="s">
        <v>15008</v>
      </c>
      <c r="B11931" s="4" t="s">
        <v>15009</v>
      </c>
      <c r="C11931" s="5" t="str">
        <f>IFERROR(__xludf.DUMMYFUNCTION("GOOGLETRANSLATE(B11931,""en"",""zh-CN"")"),"蓝色和白色形状和黑色单词在屏幕上闪烁的白色屏幕。")</f>
        <v>蓝色和白色形状和黑色单词在屏幕上闪烁的白色屏幕。</v>
      </c>
    </row>
    <row r="11932">
      <c r="A11932" s="4" t="s">
        <v>15008</v>
      </c>
      <c r="B11932" s="6" t="s">
        <v>15010</v>
      </c>
      <c r="C11932" s="5" t="str">
        <f>IFERROR(__xludf.DUMMYFUNCTION("GOOGLETRANSLATE(B11932,""en"",""zh-CN"")"),"一个微笑的黑人在一个住宅厨房里，他戴着圣诞老人的帽子，将食材倒入一个大碗中。")</f>
        <v>一个微笑的黑人在一个住宅厨房里，他戴着圣诞老人的帽子，将食材倒入一个大碗中。</v>
      </c>
    </row>
    <row r="11933">
      <c r="A11933" s="4" t="s">
        <v>15008</v>
      </c>
      <c r="B11933" s="6" t="s">
        <v>15011</v>
      </c>
      <c r="C11933" s="5" t="str">
        <f>IFERROR(__xludf.DUMMYFUNCTION("GOOGLETRANSLATE(B11933,""en"",""zh-CN"")"),"一只手推动一个透明的碗，里面装满了黑暗的无花果，然后立即出现了一个切菜板，屏幕上的说明说要切断1磅无花果的茎并四分之一。")</f>
        <v>一只手推动一个透明的碗，里面装满了黑暗的无花果，然后立即出现了一个切菜板，屏幕上的说明说要切断1磅无花果的茎并四分之一。</v>
      </c>
    </row>
    <row r="11934">
      <c r="A11934" s="4" t="s">
        <v>15008</v>
      </c>
      <c r="B11934" s="6" t="s">
        <v>15012</v>
      </c>
      <c r="C11934" s="5" t="str">
        <f>IFERROR(__xludf.DUMMYFUNCTION("GOOGLETRANSLATE(B11934,""en"",""zh-CN"")"),"虽然显示了包括：1磅无花果，1磅的葡萄干，1磅樱桃，1磅醋栗，1磅李子，葡萄酒和安格斯托拉苦味的成分列表；他们都被倒入白色水桶中。")</f>
        <v>虽然显示了包括：1磅无花果，1磅的葡萄干，1磅樱桃，1磅醋栗，1磅李子，葡萄酒和安格斯托拉苦味的成分列表；他们都被倒入白色水桶中。</v>
      </c>
    </row>
    <row r="11935">
      <c r="A11935" s="4" t="s">
        <v>15008</v>
      </c>
      <c r="B11935" s="6" t="s">
        <v>15013</v>
      </c>
      <c r="C11935" s="5" t="str">
        <f>IFERROR(__xludf.DUMMYFUNCTION("GOOGLETRANSLATE(B11935,""en"",""zh-CN"")"),"搅拌立即开始，屏幕上的说明说，让它浸泡至少两个星期，最多30天。")</f>
        <v>搅拌立即开始，屏幕上的说明说，让它浸泡至少两个星期，最多30天。</v>
      </c>
    </row>
    <row r="11936">
      <c r="A11936" s="4" t="s">
        <v>15008</v>
      </c>
      <c r="B11936" s="4" t="s">
        <v>15014</v>
      </c>
      <c r="C11936" s="5" t="str">
        <f>IFERROR(__xludf.DUMMYFUNCTION("GOOGLETRANSLATE(B11936,""en"",""zh-CN"")"),"30天后，将内容物搅拌并放入食品加工机中，并变成糊状物。")</f>
        <v>30天后，将内容物搅拌并放入食品加工机中，并变成糊状物。</v>
      </c>
    </row>
    <row r="11937">
      <c r="A11937" s="4" t="s">
        <v>15008</v>
      </c>
      <c r="B11937" s="4" t="s">
        <v>15015</v>
      </c>
      <c r="C11937" s="5" t="str">
        <f>IFERROR(__xludf.DUMMYFUNCTION("GOOGLETRANSLATE(B11937,""en"",""zh-CN"")"),"该男子在10x3圆形蛋糕盘上油脂，并用羊皮纸覆盖。")</f>
        <v>该男子在10x3圆形蛋糕盘上油脂，并用羊皮纸覆盖。</v>
      </c>
    </row>
    <row r="11938">
      <c r="A11938" s="4" t="s">
        <v>15008</v>
      </c>
      <c r="B11938" s="6" t="s">
        <v>15016</v>
      </c>
      <c r="C11938" s="5" t="str">
        <f>IFERROR(__xludf.DUMMYFUNCTION("GOOGLETRANSLATE(B11938,""en"",""zh-CN"")"),"准备好清单和碗更多的成分，并倒入一个大金属锅中，并剧烈搅拌。")</f>
        <v>准备好清单和碗更多的成分，并倒入一个大金属锅中，并剧烈搅拌。</v>
      </c>
    </row>
    <row r="11939">
      <c r="A11939" s="4" t="s">
        <v>15008</v>
      </c>
      <c r="B11939" s="4" t="s">
        <v>15017</v>
      </c>
      <c r="C11939" s="5" t="str">
        <f>IFERROR(__xludf.DUMMYFUNCTION("GOOGLETRANSLATE(B11939,""en"",""zh-CN"")"),"出现了一个大的矩形金属锅，上面写着说，说用一锅热水填充。")</f>
        <v>出现了一个大的矩形金属锅，上面写着说，说用一锅热水填充。</v>
      </c>
    </row>
    <row r="11940">
      <c r="A11940" s="4" t="s">
        <v>15008</v>
      </c>
      <c r="B11940" s="6" t="s">
        <v>15018</v>
      </c>
      <c r="C11940" s="5" t="str">
        <f>IFERROR(__xludf.DUMMYFUNCTION("GOOGLETRANSLATE(B11940,""en"",""zh-CN"")"),"以前的圆形蛋糕盘出现了，并将搅拌的内容物倒入其中，并将其放入热水锅中，将它们都放入烤箱中。")</f>
        <v>以前的圆形蛋糕盘出现了，并将搅拌的内容物倒入其中，并将其放入热水锅中，将它们都放入烤箱中。</v>
      </c>
    </row>
    <row r="11941">
      <c r="A11941" s="4" t="s">
        <v>15008</v>
      </c>
      <c r="B11941" s="6" t="s">
        <v>15019</v>
      </c>
      <c r="C11941" s="5" t="str">
        <f>IFERROR(__xludf.DUMMYFUNCTION("GOOGLETRANSLATE(B11941,""en"",""zh-CN"")"),"烘烤并冷却后，将蛋糕放在玻璃上，切割并切成薄片的盘子上。")</f>
        <v>烘烤并冷却后，将蛋糕放在玻璃上，切割并切成薄片的盘子上。</v>
      </c>
    </row>
    <row r="11942">
      <c r="A11942" s="4" t="s">
        <v>15020</v>
      </c>
      <c r="B11942" s="4" t="s">
        <v>15021</v>
      </c>
      <c r="C11942" s="5" t="str">
        <f>IFERROR(__xludf.DUMMYFUNCTION("GOOGLETRANSLATE(B11942,""en"",""zh-CN"")"),"一个蒙住眼睛的男人用蝙蝠在皮纳塔（Pinata）摇摆，而其他人则从附近的座位上看。")</f>
        <v>一个蒙住眼睛的男人用蝙蝠在皮纳塔（Pinata）摇摆，而其他人则从附近的座位上看。</v>
      </c>
    </row>
    <row r="11943">
      <c r="A11943" s="4" t="s">
        <v>15020</v>
      </c>
      <c r="B11943" s="4" t="s">
        <v>15022</v>
      </c>
      <c r="C11943" s="5" t="str">
        <f>IFERROR(__xludf.DUMMYFUNCTION("GOOGLETRANSLATE(B11943,""en"",""zh-CN"")"),"该男子成功打破了皮纳塔。")</f>
        <v>该男子成功打破了皮纳塔。</v>
      </c>
    </row>
    <row r="11944">
      <c r="A11944" s="4" t="s">
        <v>15020</v>
      </c>
      <c r="B11944" s="4" t="s">
        <v>15023</v>
      </c>
      <c r="C11944" s="5" t="str">
        <f>IFERROR(__xludf.DUMMYFUNCTION("GOOGLETRANSLATE(B11944,""en"",""zh-CN"")"),"当其他一些人接近他时，该名男子删除了他的眼罩。")</f>
        <v>当其他一些人接近他时，该名男子删除了他的眼罩。</v>
      </c>
    </row>
    <row r="11945">
      <c r="A11945" s="4" t="s">
        <v>15024</v>
      </c>
      <c r="B11945" s="4" t="s">
        <v>15025</v>
      </c>
      <c r="C11945" s="5" t="str">
        <f>IFERROR(__xludf.DUMMYFUNCTION("GOOGLETRANSLATE(B11945,""en"",""zh-CN"")"),"两名男子进入壁球场参加一场壁球比赛。")</f>
        <v>两名男子进入壁球场参加一场壁球比赛。</v>
      </c>
    </row>
    <row r="11946">
      <c r="A11946" s="4" t="s">
        <v>15024</v>
      </c>
      <c r="B11946" s="4" t="s">
        <v>15026</v>
      </c>
      <c r="C11946" s="5" t="str">
        <f>IFERROR(__xludf.DUMMYFUNCTION("GOOGLETRANSLATE(B11946,""en"",""zh-CN"")"),"一个人穿着白衬衫，另一个男人穿着一件黑衬衫。")</f>
        <v>一个人穿着白衬衫，另一个男人穿着一件黑衬衫。</v>
      </c>
    </row>
    <row r="11947">
      <c r="A11947" s="4" t="s">
        <v>15024</v>
      </c>
      <c r="B11947" s="4" t="s">
        <v>15027</v>
      </c>
      <c r="C11947" s="5" t="str">
        <f>IFERROR(__xludf.DUMMYFUNCTION("GOOGLETRANSLATE(B11947,""en"",""zh-CN"")"),"当游戏进步时，每个人都从服务盒中开始比赛时开始玩。")</f>
        <v>当游戏进步时，每个人都从服务盒中开始比赛时开始玩。</v>
      </c>
    </row>
    <row r="11948">
      <c r="A11948" s="4" t="s">
        <v>15024</v>
      </c>
      <c r="B11948" s="4" t="s">
        <v>15028</v>
      </c>
      <c r="C11948" s="5" t="str">
        <f>IFERROR(__xludf.DUMMYFUNCTION("GOOGLETRANSLATE(B11948,""en"",""zh-CN"")"),"游戏以手握手和人群的浪潮结束。")</f>
        <v>游戏以手握手和人群的浪潮结束。</v>
      </c>
    </row>
    <row r="11949">
      <c r="A11949" s="4" t="s">
        <v>15024</v>
      </c>
      <c r="B11949" s="4" t="s">
        <v>15029</v>
      </c>
      <c r="C11949" s="5" t="str">
        <f>IFERROR(__xludf.DUMMYFUNCTION("GOOGLETRANSLATE(B11949,""en"",""zh-CN"")"),"当另一个男人进入法院时，一个粉红色上衣的女孩进入壁球场。")</f>
        <v>当另一个男人进入法院时，一个粉红色上衣的女孩进入壁球场。</v>
      </c>
    </row>
    <row r="11950">
      <c r="A11950" s="4" t="s">
        <v>15030</v>
      </c>
      <c r="B11950" s="4" t="s">
        <v>15031</v>
      </c>
      <c r="C11950" s="5" t="str">
        <f>IFERROR(__xludf.DUMMYFUNCTION("GOOGLETRANSLATE(B11950,""en"",""zh-CN"")"),"几张图片导致人们沿着独木舟和皮划艇沿着河上骑的人剪辑。")</f>
        <v>几张图片导致人们沿着独木舟和皮划艇沿着河上骑的人剪辑。</v>
      </c>
    </row>
    <row r="11951">
      <c r="A11951" s="4" t="s">
        <v>15030</v>
      </c>
      <c r="B11951" s="4" t="s">
        <v>15032</v>
      </c>
      <c r="C11951" s="5" t="str">
        <f>IFERROR(__xludf.DUMMYFUNCTION("GOOGLETRANSLATE(B11951,""en"",""zh-CN"")"),"几个人沿着粗糙的河流骑着骑行，同时骑着自己。")</f>
        <v>几个人沿着粗糙的河流骑着骑行，同时骑着自己。</v>
      </c>
    </row>
    <row r="11952">
      <c r="A11952" s="4" t="s">
        <v>15030</v>
      </c>
      <c r="B11952" s="6" t="s">
        <v>15033</v>
      </c>
      <c r="C11952" s="5" t="str">
        <f>IFERROR(__xludf.DUMMYFUNCTION("GOOGLETRANSLATE(B11952,""en"",""zh-CN"")"),"当相机跟随他们的动作时，人们继续沿着水推动自己。")</f>
        <v>当相机跟随他们的动作时，人们继续沿着水推动自己。</v>
      </c>
    </row>
    <row r="11953">
      <c r="A11953" s="4" t="s">
        <v>15034</v>
      </c>
      <c r="B11953" s="4" t="s">
        <v>15035</v>
      </c>
      <c r="C11953" s="5" t="str">
        <f>IFERROR(__xludf.DUMMYFUNCTION("GOOGLETRANSLATE(B11953,""en"",""zh-CN"")"),"妇女坐在外面的小椅子外面，用塑料浴缸手洗衣服。")</f>
        <v>妇女坐在外面的小椅子外面，用塑料浴缸手洗衣服。</v>
      </c>
    </row>
    <row r="11954">
      <c r="A11954" s="4" t="s">
        <v>15034</v>
      </c>
      <c r="B11954" s="4" t="s">
        <v>15036</v>
      </c>
      <c r="C11954" s="5" t="str">
        <f>IFERROR(__xludf.DUMMYFUNCTION("GOOGLETRANSLATE(B11954,""en"",""zh-CN"")"),"女士在木板上擦洗衣服。")</f>
        <v>女士在木板上擦洗衣服。</v>
      </c>
    </row>
    <row r="11955">
      <c r="A11955" s="4" t="s">
        <v>15034</v>
      </c>
      <c r="B11955" s="4" t="s">
        <v>15037</v>
      </c>
      <c r="C11955" s="5" t="str">
        <f>IFERROR(__xludf.DUMMYFUNCTION("GOOGLETRANSLATE(B11955,""en"",""zh-CN"")"),"那位女士从衣服上响起水，然后在洗涤后将其扔到一边。")</f>
        <v>那位女士从衣服上响起水，然后在洗涤后将其扔到一边。</v>
      </c>
    </row>
    <row r="11956">
      <c r="A11956" s="4" t="s">
        <v>15038</v>
      </c>
      <c r="B11956" s="4" t="s">
        <v>15039</v>
      </c>
      <c r="C11956" s="5" t="str">
        <f>IFERROR(__xludf.DUMMYFUNCTION("GOOGLETRANSLATE(B11956,""en"",""zh-CN"")"),"一个男孩在停车场滑冰。")</f>
        <v>一个男孩在停车场滑冰。</v>
      </c>
    </row>
    <row r="11957">
      <c r="A11957" s="4" t="s">
        <v>15038</v>
      </c>
      <c r="B11957" s="4" t="s">
        <v>15040</v>
      </c>
      <c r="C11957" s="5" t="str">
        <f>IFERROR(__xludf.DUMMYFUNCTION("GOOGLETRANSLATE(B11957,""en"",""zh-CN"")"),"他采取了多次动作，跳舞和说话。")</f>
        <v>他采取了多次动作，跳舞和说话。</v>
      </c>
    </row>
    <row r="11958">
      <c r="A11958" s="4" t="s">
        <v>15038</v>
      </c>
      <c r="B11958" s="4" t="s">
        <v>15041</v>
      </c>
      <c r="C11958" s="5" t="str">
        <f>IFERROR(__xludf.DUMMYFUNCTION("GOOGLETRANSLATE(B11958,""en"",""zh-CN"")"),"这个男孩在镶嵌溜冰鞋的停车场周围滑冰。")</f>
        <v>这个男孩在镶嵌溜冰鞋的停车场周围滑冰。</v>
      </c>
    </row>
    <row r="11959">
      <c r="A11959" s="4" t="s">
        <v>15042</v>
      </c>
      <c r="B11959" s="6" t="s">
        <v>15043</v>
      </c>
      <c r="C11959" s="5" t="str">
        <f>IFERROR(__xludf.DUMMYFUNCTION("GOOGLETRANSLATE(B11959,""en"",""zh-CN"")"),"看到一大批人在一个舞台上行走，一个男人在人群中说话，并互相跳舞。")</f>
        <v>看到一大批人在一个舞台上行走，一个男人在人群中说话，并互相跳舞。</v>
      </c>
    </row>
    <row r="11960">
      <c r="A11960" s="4" t="s">
        <v>15042</v>
      </c>
      <c r="B11960" s="4" t="s">
        <v>15044</v>
      </c>
      <c r="C11960" s="5" t="str">
        <f>IFERROR(__xludf.DUMMYFUNCTION("GOOGLETRANSLATE(B11960,""en"",""zh-CN"")"),"当相机从几个角度捕获它们时，人们继续一起跳舞。")</f>
        <v>当相机从几个角度捕获它们时，人们继续一起跳舞。</v>
      </c>
    </row>
    <row r="11961">
      <c r="A11961" s="4" t="s">
        <v>15045</v>
      </c>
      <c r="B11961" s="4" t="s">
        <v>15046</v>
      </c>
      <c r="C11961" s="5" t="str">
        <f>IFERROR(__xludf.DUMMYFUNCTION("GOOGLETRANSLATE(B11961,""en"",""zh-CN"")"),"相机专注于在港口环境中驾驶帆船的男人。")</f>
        <v>相机专注于在港口环境中驾驶帆船的男人。</v>
      </c>
    </row>
    <row r="11962">
      <c r="A11962" s="4" t="s">
        <v>15045</v>
      </c>
      <c r="B11962" s="4" t="s">
        <v>15047</v>
      </c>
      <c r="C11962" s="5" t="str">
        <f>IFERROR(__xludf.DUMMYFUNCTION("GOOGLETRANSLATE(B11962,""en"",""zh-CN"")"),"船的帆浸入水中。")</f>
        <v>船的帆浸入水中。</v>
      </c>
    </row>
    <row r="11963">
      <c r="A11963" s="4" t="s">
        <v>15045</v>
      </c>
      <c r="B11963" s="4" t="s">
        <v>15048</v>
      </c>
      <c r="C11963" s="5" t="str">
        <f>IFERROR(__xludf.DUMMYFUNCTION("GOOGLETRANSLATE(B11963,""en"",""zh-CN"")"),"该人权利帆船并继续。")</f>
        <v>该人权利帆船并继续。</v>
      </c>
    </row>
    <row r="11964">
      <c r="A11964" s="4" t="s">
        <v>15049</v>
      </c>
      <c r="B11964" s="4" t="s">
        <v>15050</v>
      </c>
      <c r="C11964" s="5" t="str">
        <f>IFERROR(__xludf.DUMMYFUNCTION("GOOGLETRANSLATE(B11964,""en"",""zh-CN"")"),"一个人在室内练习，他在跑步时进行跳跃的间隔。")</f>
        <v>一个人在室内练习，他在跑步时进行跳跃的间隔。</v>
      </c>
    </row>
    <row r="11965">
      <c r="A11965" s="4" t="s">
        <v>15049</v>
      </c>
      <c r="B11965" s="4" t="s">
        <v>15051</v>
      </c>
      <c r="C11965" s="5" t="str">
        <f>IFERROR(__xludf.DUMMYFUNCTION("GOOGLETRANSLATE(B11965,""en"",""zh-CN"")"),"一旦他降落在沙滩上，他就回去重新开始。")</f>
        <v>一旦他降落在沙滩上，他就回去重新开始。</v>
      </c>
    </row>
    <row r="11966">
      <c r="A11966" s="4" t="s">
        <v>15049</v>
      </c>
      <c r="B11966" s="4" t="s">
        <v>15052</v>
      </c>
      <c r="C11966" s="5" t="str">
        <f>IFERROR(__xludf.DUMMYFUNCTION("GOOGLETRANSLATE(B11966,""en"",""zh-CN"")"),"他每次从更远的地方开始进行一次。")</f>
        <v>他每次从更远的地方开始进行一次。</v>
      </c>
    </row>
    <row r="11967">
      <c r="A11967" s="4" t="s">
        <v>15049</v>
      </c>
      <c r="B11967" s="4" t="s">
        <v>15053</v>
      </c>
      <c r="C11967" s="5" t="str">
        <f>IFERROR(__xludf.DUMMYFUNCTION("GOOGLETRANSLATE(B11967,""en"",""zh-CN"")"),"然后练习结束了，完成了。")</f>
        <v>然后练习结束了，完成了。</v>
      </c>
    </row>
    <row r="11968">
      <c r="A11968" s="4" t="s">
        <v>15054</v>
      </c>
      <c r="B11968" s="4" t="s">
        <v>15055</v>
      </c>
      <c r="C11968" s="5" t="str">
        <f>IFERROR(__xludf.DUMMYFUNCTION("GOOGLETRANSLATE(B11968,""en"",""zh-CN"")"),"一辆货车沿着一条乡间小路行驶，用平坦的轮胎拉到道路的侧面。")</f>
        <v>一辆货车沿着一条乡间小路行驶，用平坦的轮胎拉到道路的侧面。</v>
      </c>
    </row>
    <row r="11969">
      <c r="A11969" s="4" t="s">
        <v>15054</v>
      </c>
      <c r="B11969" s="4" t="s">
        <v>15056</v>
      </c>
      <c r="C11969" s="5" t="str">
        <f>IFERROR(__xludf.DUMMYFUNCTION("GOOGLETRANSLATE(B11969,""en"",""zh-CN"")"),"驾驶员用手插孔摸索，感到沮丧。")</f>
        <v>驾驶员用手插孔摸索，感到沮丧。</v>
      </c>
    </row>
    <row r="11970">
      <c r="A11970" s="4" t="s">
        <v>15054</v>
      </c>
      <c r="B11970" s="4" t="s">
        <v>15057</v>
      </c>
      <c r="C11970" s="5" t="str">
        <f>IFERROR(__xludf.DUMMYFUNCTION("GOOGLETRANSLATE(B11970,""en"",""zh-CN"")"),"然后，驾驶员使用电动汽车插孔将车轮抬起。")</f>
        <v>然后，驾驶员使用电动汽车插孔将车轮抬起。</v>
      </c>
    </row>
    <row r="11971">
      <c r="A11971" s="4" t="s">
        <v>15054</v>
      </c>
      <c r="B11971" s="4" t="s">
        <v>15058</v>
      </c>
      <c r="C11971" s="5" t="str">
        <f>IFERROR(__xludf.DUMMYFUNCTION("GOOGLETRANSLATE(B11971,""en"",""zh-CN"")"),"女人插入电动钻头，并用它去除凸耳螺母。")</f>
        <v>女人插入电动钻头，并用它去除凸耳螺母。</v>
      </c>
    </row>
    <row r="11972">
      <c r="A11972" s="4" t="s">
        <v>15054</v>
      </c>
      <c r="B11972" s="4" t="s">
        <v>15059</v>
      </c>
      <c r="C11972" s="5" t="str">
        <f>IFERROR(__xludf.DUMMYFUNCTION("GOOGLETRANSLATE(B11972,""en"",""zh-CN"")"),"该名女子在汽车上放了一个新的轮胎，并将其固定在适当的位置。")</f>
        <v>该名女子在汽车上放了一个新的轮胎，并将其固定在适当的位置。</v>
      </c>
    </row>
    <row r="11973">
      <c r="A11973" s="4" t="s">
        <v>15054</v>
      </c>
      <c r="B11973" s="4" t="s">
        <v>15060</v>
      </c>
      <c r="C11973" s="5" t="str">
        <f>IFERROR(__xludf.DUMMYFUNCTION("GOOGLETRANSLATE(B11973,""en"",""zh-CN"")"),"女人降低了杰克的车轮。")</f>
        <v>女人降低了杰克的车轮。</v>
      </c>
    </row>
    <row r="11974">
      <c r="A11974" s="4" t="s">
        <v>15054</v>
      </c>
      <c r="B11974" s="4" t="s">
        <v>15061</v>
      </c>
      <c r="C11974" s="5" t="str">
        <f>IFERROR(__xludf.DUMMYFUNCTION("GOOGLETRANSLATE(B11974,""en"",""zh-CN"")"),"一个人指向工具箱中的不同工具。")</f>
        <v>一个人指向工具箱中的不同工具。</v>
      </c>
    </row>
    <row r="11975">
      <c r="A11975" s="4" t="s">
        <v>15054</v>
      </c>
      <c r="B11975" s="4" t="s">
        <v>15062</v>
      </c>
      <c r="C11975" s="5" t="str">
        <f>IFERROR(__xludf.DUMMYFUNCTION("GOOGLETRANSLATE(B11975,""en"",""zh-CN"")"),"该男子将充电器挂在汽车电池上。")</f>
        <v>该男子将充电器挂在汽车电池上。</v>
      </c>
    </row>
    <row r="11976">
      <c r="A11976" s="4" t="s">
        <v>15063</v>
      </c>
      <c r="B11976" s="4" t="s">
        <v>15064</v>
      </c>
      <c r="C11976" s="5" t="str">
        <f>IFERROR(__xludf.DUMMYFUNCTION("GOOGLETRANSLATE(B11976,""en"",""zh-CN"")"),"一个人跪在球上，握着杆。")</f>
        <v>一个人跪在球上，握着杆。</v>
      </c>
    </row>
    <row r="11977">
      <c r="A11977" s="4" t="s">
        <v>15063</v>
      </c>
      <c r="B11977" s="4" t="s">
        <v>15065</v>
      </c>
      <c r="C11977" s="5" t="str">
        <f>IFERROR(__xludf.DUMMYFUNCTION("GOOGLETRANSLATE(B11977,""en"",""zh-CN"")"),"那个男人将身体向前推，推了杆。")</f>
        <v>那个男人将身体向前推，推了杆。</v>
      </c>
    </row>
    <row r="11978">
      <c r="A11978" s="4" t="s">
        <v>15063</v>
      </c>
      <c r="B11978" s="4" t="s">
        <v>15066</v>
      </c>
      <c r="C11978" s="5" t="str">
        <f>IFERROR(__xludf.DUMMYFUNCTION("GOOGLETRANSLATE(B11978,""en"",""zh-CN"")"),"然后，该男子将自己的身体伸直，然后再次将身体向前。")</f>
        <v>然后，该男子将自己的身体伸直，然后再次将身体向前。</v>
      </c>
    </row>
    <row r="11979">
      <c r="A11979" s="4" t="s">
        <v>15067</v>
      </c>
      <c r="B11979" s="4" t="s">
        <v>15068</v>
      </c>
      <c r="C11979" s="5" t="str">
        <f>IFERROR(__xludf.DUMMYFUNCTION("GOOGLETRANSLATE(B11979,""en"",""zh-CN"")"),"一个女人用拖把擦白色瓷砖地板。")</f>
        <v>一个女人用拖把擦白色瓷砖地板。</v>
      </c>
    </row>
    <row r="11980">
      <c r="A11980" s="4" t="s">
        <v>15067</v>
      </c>
      <c r="B11980" s="6" t="s">
        <v>15069</v>
      </c>
      <c r="C11980" s="5" t="str">
        <f>IFERROR(__xludf.DUMMYFUNCTION("GOOGLETRANSLATE(B11980,""en"",""zh-CN"")"),"女人将拖把放在绿色的水桶中，然后将其放入过滤器中以挤出多余的水，然后在挤出水面并开始擦地板时，推开地板图手柄，在椅子下，椅子下方，沙发，地板上的液体。")</f>
        <v>女人将拖把放在绿色的水桶中，然后将其放入过滤器中以挤出多余的水，然后在挤出水面并开始擦地板时，推开地板图手柄，在椅子下，椅子下方，沙发，地板上的液体。</v>
      </c>
    </row>
    <row r="11981">
      <c r="A11981" s="4" t="s">
        <v>15070</v>
      </c>
      <c r="B11981" s="4" t="s">
        <v>15071</v>
      </c>
      <c r="C11981" s="5" t="str">
        <f>IFERROR(__xludf.DUMMYFUNCTION("GOOGLETRANSLATE(B11981,""en"",""zh-CN"")"),"黑人妇女在平衡梁上做例行。")</f>
        <v>黑人妇女在平衡梁上做例行。</v>
      </c>
    </row>
    <row r="11982">
      <c r="A11982" s="4" t="s">
        <v>15070</v>
      </c>
      <c r="B11982" s="4" t="s">
        <v>15072</v>
      </c>
      <c r="C11982" s="5" t="str">
        <f>IFERROR(__xludf.DUMMYFUNCTION("GOOGLETRANSLATE(B11982,""en"",""zh-CN"")"),"她旋转，跳，旋转和翻转。")</f>
        <v>她旋转，跳，旋转和翻转。</v>
      </c>
    </row>
    <row r="11983">
      <c r="A11983" s="4" t="s">
        <v>15070</v>
      </c>
      <c r="B11983" s="4" t="s">
        <v>15073</v>
      </c>
      <c r="C11983" s="5" t="str">
        <f>IFERROR(__xludf.DUMMYFUNCTION("GOOGLETRANSLATE(B11983,""en"",""zh-CN"")"),"她摔倒了，完成了她的日常工作，他们将拍手的观众卸下。")</f>
        <v>她摔倒了，完成了她的日常工作，他们将拍手的观众卸下。</v>
      </c>
    </row>
    <row r="11984">
      <c r="A11984" s="4" t="s">
        <v>15074</v>
      </c>
      <c r="B11984" s="4" t="s">
        <v>15075</v>
      </c>
      <c r="C11984" s="5" t="str">
        <f>IFERROR(__xludf.DUMMYFUNCTION("GOOGLETRANSLATE(B11984,""en"",""zh-CN"")"),"穿着水肺齿轮的船西装的人，然后跳入水中。")</f>
        <v>穿着水肺齿轮的船西装的人，然后跳入水中。</v>
      </c>
    </row>
    <row r="11985">
      <c r="A11985" s="4" t="s">
        <v>15074</v>
      </c>
      <c r="B11985" s="4" t="s">
        <v>15076</v>
      </c>
      <c r="C11985" s="5" t="str">
        <f>IFERROR(__xludf.DUMMYFUNCTION("GOOGLETRANSLATE(B11985,""en"",""zh-CN"")"),"水肺潜水员在洞穴区域游泳。")</f>
        <v>水肺潜水员在洞穴区域游泳。</v>
      </c>
    </row>
    <row r="11986">
      <c r="A11986" s="4" t="s">
        <v>15074</v>
      </c>
      <c r="B11986" s="4" t="s">
        <v>15077</v>
      </c>
      <c r="C11986" s="5" t="str">
        <f>IFERROR(__xludf.DUMMYFUNCTION("GOOGLETRANSLATE(B11986,""en"",""zh-CN"")"),"看到一个热带海滩。")</f>
        <v>看到一个热带海滩。</v>
      </c>
    </row>
    <row r="11987">
      <c r="A11987" s="4" t="s">
        <v>15074</v>
      </c>
      <c r="B11987" s="4" t="s">
        <v>15078</v>
      </c>
      <c r="C11987" s="5" t="str">
        <f>IFERROR(__xludf.DUMMYFUNCTION("GOOGLETRANSLATE(B11987,""en"",""zh-CN"")"),"海龟在海洋中放牧和游泳。")</f>
        <v>海龟在海洋中放牧和游泳。</v>
      </c>
    </row>
    <row r="11988">
      <c r="A11988" s="4" t="s">
        <v>15074</v>
      </c>
      <c r="B11988" s="4" t="s">
        <v>15079</v>
      </c>
      <c r="C11988" s="5" t="str">
        <f>IFERROR(__xludf.DUMMYFUNCTION("GOOGLETRANSLATE(B11988,""en"",""zh-CN"")"),"看到各种鱼在礁石上游泳。")</f>
        <v>看到各种鱼在礁石上游泳。</v>
      </c>
    </row>
    <row r="11989">
      <c r="A11989" s="4" t="s">
        <v>15074</v>
      </c>
      <c r="B11989" s="4" t="s">
        <v>15080</v>
      </c>
      <c r="C11989" s="5" t="str">
        <f>IFERROR(__xludf.DUMMYFUNCTION("GOOGLETRANSLATE(B11989,""en"",""zh-CN"")"),"麦田雷在礁石上在海洋中游泳。")</f>
        <v>麦田雷在礁石上在海洋中游泳。</v>
      </c>
    </row>
    <row r="11990">
      <c r="A11990" s="4" t="s">
        <v>15081</v>
      </c>
      <c r="B11990" s="4" t="s">
        <v>15082</v>
      </c>
      <c r="C11990" s="5" t="str">
        <f>IFERROR(__xludf.DUMMYFUNCTION("GOOGLETRANSLATE(B11990,""en"",""zh-CN"")"),"从外部显示纹身店。")</f>
        <v>从外部显示纹身店。</v>
      </c>
    </row>
    <row r="11991">
      <c r="A11991" s="4" t="s">
        <v>15081</v>
      </c>
      <c r="B11991" s="4" t="s">
        <v>15083</v>
      </c>
      <c r="C11991" s="5" t="str">
        <f>IFERROR(__xludf.DUMMYFUNCTION("GOOGLETRANSLATE(B11991,""en"",""zh-CN"")"),"墙上显示了一系列纹身选择。")</f>
        <v>墙上显示了一系列纹身选择。</v>
      </c>
    </row>
    <row r="11992">
      <c r="A11992" s="4" t="s">
        <v>15081</v>
      </c>
      <c r="B11992" s="4" t="s">
        <v>15084</v>
      </c>
      <c r="C11992" s="5" t="str">
        <f>IFERROR(__xludf.DUMMYFUNCTION("GOOGLETRANSLATE(B11992,""en"",""zh-CN"")"),"在一张纸上纹身显示艺术家的绘画和颜色。")</f>
        <v>在一张纸上纹身显示艺术家的绘画和颜色。</v>
      </c>
    </row>
    <row r="11993">
      <c r="A11993" s="4" t="s">
        <v>15085</v>
      </c>
      <c r="B11993" s="4" t="s">
        <v>15086</v>
      </c>
      <c r="C11993" s="5" t="str">
        <f>IFERROR(__xludf.DUMMYFUNCTION("GOOGLETRANSLATE(B11993,""en"",""zh-CN"")"),"一群人聚集在一座白雪皑皑的山上。")</f>
        <v>一群人聚集在一座白雪皑皑的山上。</v>
      </c>
    </row>
    <row r="11994">
      <c r="A11994" s="4" t="s">
        <v>15085</v>
      </c>
      <c r="B11994" s="4" t="s">
        <v>15087</v>
      </c>
      <c r="C11994" s="5" t="str">
        <f>IFERROR(__xludf.DUMMYFUNCTION("GOOGLETRANSLATE(B11994,""en"",""zh-CN"")"),"他们正在用插头走来走去。")</f>
        <v>他们正在用插头走来走去。</v>
      </c>
    </row>
    <row r="11995">
      <c r="A11995" s="4" t="s">
        <v>15085</v>
      </c>
      <c r="B11995" s="4" t="s">
        <v>15088</v>
      </c>
      <c r="C11995" s="5" t="str">
        <f>IFERROR(__xludf.DUMMYFUNCTION("GOOGLETRANSLATE(B11995,""en"",""zh-CN"")"),"他们沿着雪山的插入式交织。")</f>
        <v>他们沿着雪山的插入式交织。</v>
      </c>
    </row>
    <row r="11996">
      <c r="A11996" s="4" t="s">
        <v>15089</v>
      </c>
      <c r="B11996" s="6" t="s">
        <v>15090</v>
      </c>
      <c r="C11996" s="5" t="str">
        <f>IFERROR(__xludf.DUMMYFUNCTION("GOOGLETRANSLATE(B11996,""en"",""zh-CN"")"),"看到一个年轻的芭蕾舞演员戴着芭蕾舞短裙站在芭蕾舞团，表演各种芭蕾舞动作并移到地板上。")</f>
        <v>看到一个年轻的芭蕾舞演员戴着芭蕾舞短裙站在芭蕾舞团，表演各种芭蕾舞动作并移到地板上。</v>
      </c>
    </row>
    <row r="11997">
      <c r="A11997" s="4" t="s">
        <v>15089</v>
      </c>
      <c r="B11997" s="6" t="s">
        <v>15091</v>
      </c>
      <c r="C11997" s="5" t="str">
        <f>IFERROR(__xludf.DUMMYFUNCTION("GOOGLETRANSLATE(B11997,""en"",""zh-CN"")"),"她继续在地板跳舞周围移动，并导致她握着剃刀，并在腿上放乳液。")</f>
        <v>她继续在地板跳舞周围移动，并导致她握着剃刀，并在腿上放乳液。</v>
      </c>
    </row>
    <row r="11998">
      <c r="A11998" s="4" t="s">
        <v>15089</v>
      </c>
      <c r="B11998" s="4" t="s">
        <v>15092</v>
      </c>
      <c r="C11998" s="5" t="str">
        <f>IFERROR(__xludf.DUMMYFUNCTION("GOOGLETRANSLATE(B11998,""en"",""zh-CN"")"),"她在四处移动双腿时剃光双腿，并继续与剃须刀一起跳舞。")</f>
        <v>她在四处移动双腿时剃光双腿，并继续与剃须刀一起跳舞。</v>
      </c>
    </row>
    <row r="11999">
      <c r="A11999" s="4" t="s">
        <v>15093</v>
      </c>
      <c r="B11999" s="4" t="s">
        <v>15094</v>
      </c>
      <c r="C11999" s="5" t="str">
        <f>IFERROR(__xludf.DUMMYFUNCTION("GOOGLETRANSLATE(B11999,""en"",""zh-CN"")"),"一个人把球扔进杯子里。")</f>
        <v>一个人把球扔进杯子里。</v>
      </c>
    </row>
    <row r="12000">
      <c r="A12000" s="4" t="s">
        <v>15093</v>
      </c>
      <c r="B12000" s="4" t="s">
        <v>15095</v>
      </c>
      <c r="C12000" s="5" t="str">
        <f>IFERROR(__xludf.DUMMYFUNCTION("GOOGLETRANSLATE(B12000,""en"",""zh-CN"")"),"另一个男人把球扔进杯子里。")</f>
        <v>另一个男人把球扔进杯子里。</v>
      </c>
    </row>
    <row r="12001">
      <c r="A12001" s="4" t="s">
        <v>15093</v>
      </c>
      <c r="B12001" s="4" t="s">
        <v>15096</v>
      </c>
      <c r="C12001" s="5" t="str">
        <f>IFERROR(__xludf.DUMMYFUNCTION("GOOGLETRANSLATE(B12001,""en"",""zh-CN"")"),"这两个男人拿起一杯喝杯子。")</f>
        <v>这两个男人拿起一杯喝杯子。</v>
      </c>
    </row>
    <row r="12002">
      <c r="A12002" s="4" t="s">
        <v>15097</v>
      </c>
      <c r="B12002" s="4" t="s">
        <v>15098</v>
      </c>
      <c r="C12002" s="5" t="str">
        <f>IFERROR(__xludf.DUMMYFUNCTION("GOOGLETRANSLATE(B12002,""en"",""zh-CN"")"),"一个人站在电线前，戴上焊接头盔。")</f>
        <v>一个人站在电线前，戴上焊接头盔。</v>
      </c>
    </row>
    <row r="12003">
      <c r="A12003" s="4" t="s">
        <v>15097</v>
      </c>
      <c r="B12003" s="4" t="s">
        <v>15099</v>
      </c>
      <c r="C12003" s="5" t="str">
        <f>IFERROR(__xludf.DUMMYFUNCTION("GOOGLETRANSLATE(B12003,""en"",""zh-CN"")"),"他开始焊接房间的角落。")</f>
        <v>他开始焊接房间的角落。</v>
      </c>
    </row>
    <row r="12004">
      <c r="A12004" s="4" t="s">
        <v>15097</v>
      </c>
      <c r="B12004" s="4" t="s">
        <v>15100</v>
      </c>
      <c r="C12004" s="5" t="str">
        <f>IFERROR(__xludf.DUMMYFUNCTION("GOOGLETRANSLATE(B12004,""en"",""zh-CN"")"),"那个男人打磨了他焊接的角落。")</f>
        <v>那个男人打磨了他焊接的角落。</v>
      </c>
    </row>
    <row r="12005">
      <c r="A12005" s="4" t="s">
        <v>15097</v>
      </c>
      <c r="B12005" s="4" t="s">
        <v>15101</v>
      </c>
      <c r="C12005" s="5" t="str">
        <f>IFERROR(__xludf.DUMMYFUNCTION("GOOGLETRANSLATE(B12005,""en"",""zh-CN"")"),"他继续在同一角落焊接。")</f>
        <v>他继续在同一角落焊接。</v>
      </c>
    </row>
    <row r="12006">
      <c r="A12006" s="4" t="s">
        <v>15097</v>
      </c>
      <c r="B12006" s="4" t="s">
        <v>15102</v>
      </c>
      <c r="C12006" s="5" t="str">
        <f>IFERROR(__xludf.DUMMYFUNCTION("GOOGLETRANSLATE(B12006,""en"",""zh-CN"")"),"该男子将头盔抬起，并再次取代电线和沙子。")</f>
        <v>该男子将头盔抬起，并再次取代电线和沙子。</v>
      </c>
    </row>
    <row r="12007">
      <c r="A12007" s="4" t="s">
        <v>15097</v>
      </c>
      <c r="B12007" s="4" t="s">
        <v>15103</v>
      </c>
      <c r="C12007" s="5" t="str">
        <f>IFERROR(__xludf.DUMMYFUNCTION("GOOGLETRANSLATE(B12007,""en"",""zh-CN"")"),"他放下手套，展示他完成的焊缝。")</f>
        <v>他放下手套，展示他完成的焊缝。</v>
      </c>
    </row>
    <row r="12008">
      <c r="A12008" s="4" t="s">
        <v>15104</v>
      </c>
      <c r="B12008" s="4" t="s">
        <v>15105</v>
      </c>
      <c r="C12008" s="5" t="str">
        <f>IFERROR(__xludf.DUMMYFUNCTION("GOOGLETRANSLATE(B12008,""en"",""zh-CN"")"),"一个男人站在外面拿着一瓶防晒霜，然后说话。")</f>
        <v>一个男人站在外面拿着一瓶防晒霜，然后说话。</v>
      </c>
    </row>
    <row r="12009">
      <c r="A12009" s="4" t="s">
        <v>15104</v>
      </c>
      <c r="B12009" s="4" t="s">
        <v>15106</v>
      </c>
      <c r="C12009" s="5" t="str">
        <f>IFERROR(__xludf.DUMMYFUNCTION("GOOGLETRANSLATE(B12009,""en"",""zh-CN"")"),"他将防晒霜喷洒在手臂上，然后将其摩擦。")</f>
        <v>他将防晒霜喷洒在手臂上，然后将其摩擦。</v>
      </c>
    </row>
    <row r="12010">
      <c r="A12010" s="4" t="s">
        <v>15107</v>
      </c>
      <c r="B12010" s="4" t="s">
        <v>15108</v>
      </c>
      <c r="C12010" s="5" t="str">
        <f>IFERROR(__xludf.DUMMYFUNCTION("GOOGLETRANSLATE(B12010,""en"",""zh-CN"")"),"一个穿着蓝色衬衫的男人将保龄球扔下保龄球馆。")</f>
        <v>一个穿着蓝色衬衫的男人将保龄球扔下保龄球馆。</v>
      </c>
    </row>
    <row r="12011">
      <c r="A12011" s="4" t="s">
        <v>15107</v>
      </c>
      <c r="B12011" s="4" t="s">
        <v>15109</v>
      </c>
      <c r="C12011" s="5" t="str">
        <f>IFERROR(__xludf.DUMMYFUNCTION("GOOGLETRANSLATE(B12011,""en"",""zh-CN"")"),"球撞到了销钉和弹跳到毗邻的小巷中，也将销钉撞到那里。")</f>
        <v>球撞到了销钉和弹跳到毗邻的小巷中，也将销钉撞到那里。</v>
      </c>
    </row>
    <row r="12012">
      <c r="A12012" s="4" t="s">
        <v>15107</v>
      </c>
      <c r="B12012" s="4" t="s">
        <v>15110</v>
      </c>
      <c r="C12012" s="5" t="str">
        <f>IFERROR(__xludf.DUMMYFUNCTION("GOOGLETRANSLATE(B12012,""en"",""zh-CN"")"),"一个穿着红色衬衫的坐着的男人摇了摇头。")</f>
        <v>一个穿着红色衬衫的坐着的男人摇了摇头。</v>
      </c>
    </row>
    <row r="12013">
      <c r="A12013" s="4" t="s">
        <v>15107</v>
      </c>
      <c r="B12013" s="4" t="s">
        <v>15111</v>
      </c>
      <c r="C12013" s="5" t="str">
        <f>IFERROR(__xludf.DUMMYFUNCTION("GOOGLETRANSLATE(B12013,""en"",""zh-CN"")"),"穿着蓝色衬衫的男人向后走。")</f>
        <v>穿着蓝色衬衫的男人向后走。</v>
      </c>
    </row>
    <row r="12014">
      <c r="A12014" s="4" t="s">
        <v>15112</v>
      </c>
      <c r="B12014" s="4" t="s">
        <v>15113</v>
      </c>
      <c r="C12014" s="5" t="str">
        <f>IFERROR(__xludf.DUMMYFUNCTION("GOOGLETRANSLATE(B12014,""en"",""zh-CN"")"),"介绍出现在屏幕上，以获取有关冬季运动冰壶的视频。")</f>
        <v>介绍出现在屏幕上，以获取有关冬季运动冰壶的视频。</v>
      </c>
    </row>
    <row r="12015">
      <c r="A12015" s="4" t="s">
        <v>15112</v>
      </c>
      <c r="B12015" s="4" t="s">
        <v>15114</v>
      </c>
      <c r="C12015" s="5" t="str">
        <f>IFERROR(__xludf.DUMMYFUNCTION("GOOGLETRANSLATE(B12015,""en"",""zh-CN"")"),"当他们拍摄不同的射门并扫下冰时，卷发器AR显示出来。")</f>
        <v>当他们拍摄不同的射门并扫下冰时，卷发器AR显示出来。</v>
      </c>
    </row>
    <row r="12016">
      <c r="A12016" s="4" t="s">
        <v>15112</v>
      </c>
      <c r="B12016" s="4" t="s">
        <v>15115</v>
      </c>
      <c r="C12016" s="5" t="str">
        <f>IFERROR(__xludf.DUMMYFUNCTION("GOOGLETRANSLATE(B12016,""en"",""zh-CN"")"),"视频以结束信用和图形结尾。")</f>
        <v>视频以结束信用和图形结尾。</v>
      </c>
    </row>
    <row r="12017">
      <c r="A12017" s="4" t="s">
        <v>15116</v>
      </c>
      <c r="B12017" s="4" t="s">
        <v>15117</v>
      </c>
      <c r="C12017" s="5" t="str">
        <f>IFERROR(__xludf.DUMMYFUNCTION("GOOGLETRANSLATE(B12017,""en"",""zh-CN"")"),"一个人将雪从汽车侧面刮下来。")</f>
        <v>一个人将雪从汽车侧面刮下来。</v>
      </c>
    </row>
    <row r="12018">
      <c r="A12018" s="4" t="s">
        <v>15116</v>
      </c>
      <c r="B12018" s="4" t="s">
        <v>15118</v>
      </c>
      <c r="C12018" s="5" t="str">
        <f>IFERROR(__xludf.DUMMYFUNCTION("GOOGLETRANSLATE(B12018,""en"",""zh-CN"")"),"然后，他将雪从引擎盖上刮下来。")</f>
        <v>然后，他将雪从引擎盖上刮下来。</v>
      </c>
    </row>
    <row r="12019">
      <c r="A12019" s="4" t="s">
        <v>15116</v>
      </c>
      <c r="B12019" s="4" t="s">
        <v>15119</v>
      </c>
      <c r="C12019" s="5" t="str">
        <f>IFERROR(__xludf.DUMMYFUNCTION("GOOGLETRANSLATE(B12019,""en"",""zh-CN"")"),"然后，他移动到另一侧，去除了更多的雪。")</f>
        <v>然后，他移动到另一侧，去除了更多的雪。</v>
      </c>
    </row>
    <row r="12020">
      <c r="A12020" s="4" t="s">
        <v>15116</v>
      </c>
      <c r="B12020" s="4" t="s">
        <v>15120</v>
      </c>
      <c r="C12020" s="5" t="str">
        <f>IFERROR(__xludf.DUMMYFUNCTION("GOOGLETRANSLATE(B12020,""en"",""zh-CN"")"),"最后，他完成了清理汽车的清理工作。")</f>
        <v>最后，他完成了清理汽车的清理工作。</v>
      </c>
    </row>
    <row r="12021">
      <c r="A12021" s="4" t="s">
        <v>15121</v>
      </c>
      <c r="B12021" s="6" t="s">
        <v>15122</v>
      </c>
      <c r="C12021" s="5" t="str">
        <f>IFERROR(__xludf.DUMMYFUNCTION("GOOGLETRANSLATE(B12021,""en"",""zh-CN"")"),"一个小男婴坐在他的高椅子里，将叉子浸入成人握住的一杯巧克力牛奶中。")</f>
        <v>一个小男婴坐在他的高椅子里，将叉子浸入成人握住的一杯巧克力牛奶中。</v>
      </c>
    </row>
    <row r="12022">
      <c r="A12022" s="4" t="s">
        <v>15121</v>
      </c>
      <c r="B12022" s="4" t="s">
        <v>15123</v>
      </c>
      <c r="C12022" s="5" t="str">
        <f>IFERROR(__xludf.DUMMYFUNCTION("GOOGLETRANSLATE(B12022,""en"",""zh-CN"")"),"成年人在杯子中倾斜叉子并舔它。")</f>
        <v>成年人在杯子中倾斜叉子并舔它。</v>
      </c>
    </row>
    <row r="12023">
      <c r="A12023" s="4" t="s">
        <v>15121</v>
      </c>
      <c r="B12023" s="4" t="s">
        <v>15124</v>
      </c>
      <c r="C12023" s="5" t="str">
        <f>IFERROR(__xludf.DUMMYFUNCTION("GOOGLETRANSLATE(B12023,""en"",""zh-CN"")"),"然后他停了一分钟，开始玩叉子。")</f>
        <v>然后他停了一分钟，开始玩叉子。</v>
      </c>
    </row>
    <row r="12024">
      <c r="A12024" s="4" t="s">
        <v>15125</v>
      </c>
      <c r="B12024" s="6" t="s">
        <v>15126</v>
      </c>
      <c r="C12024" s="5" t="str">
        <f>IFERROR(__xludf.DUMMYFUNCTION("GOOGLETRANSLATE(B12024,""en"",""zh-CN"")"),"显示了一棵圣诞树，后面有几个人快速移动，悬挂着一套灯。")</f>
        <v>显示了一棵圣诞树，后面有几个人快速移动，悬挂着一套灯。</v>
      </c>
    </row>
    <row r="12025">
      <c r="A12025" s="4" t="s">
        <v>15125</v>
      </c>
      <c r="B12025" s="6" t="s">
        <v>15127</v>
      </c>
      <c r="C12025" s="5" t="str">
        <f>IFERROR(__xludf.DUMMYFUNCTION("GOOGLETRANSLATE(B12025,""en"",""zh-CN"")"),"人们在梯子上上下移动房屋，然后关闭灯光以查看。")</f>
        <v>人们在梯子上上下移动房屋，然后关闭灯光以查看。</v>
      </c>
    </row>
    <row r="12026">
      <c r="A12026" s="4" t="s">
        <v>15128</v>
      </c>
      <c r="B12026" s="6" t="s">
        <v>15129</v>
      </c>
      <c r="C12026" s="5" t="str">
        <f>IFERROR(__xludf.DUMMYFUNCTION("GOOGLETRANSLATE(B12026,""en"",""zh-CN"")"),"当他拿起一个杠铃大量重量的杠铃时，显示了一个非常强壮的男人的播放视频，他的胸口有点沉重。")</f>
        <v>当他拿起一个杠铃大量重量的杠铃时，显示了一个非常强壮的男人的播放视频，他的胸口有点沉重。</v>
      </c>
    </row>
    <row r="12027">
      <c r="A12027" s="4" t="s">
        <v>15128</v>
      </c>
      <c r="B12027" s="4" t="s">
        <v>15130</v>
      </c>
      <c r="C12027" s="5" t="str">
        <f>IFERROR(__xludf.DUMMYFUNCTION("GOOGLETRANSLATE(B12027,""en"",""zh-CN"")"),"然后，该男子站起来，将杠铃握在胸前。")</f>
        <v>然后，该男子站起来，将杠铃握在胸前。</v>
      </c>
    </row>
    <row r="12028">
      <c r="A12028" s="4" t="s">
        <v>15128</v>
      </c>
      <c r="B12028" s="6" t="s">
        <v>15131</v>
      </c>
      <c r="C12028" s="5" t="str">
        <f>IFERROR(__xludf.DUMMYFUNCTION("GOOGLETRANSLATE(B12028,""en"",""zh-CN"")"),"然后，该男子蹲下时试图将杠铃放在头上，但最终掉下了杠铃，然后看着他的手，好像他们失败了。")</f>
        <v>然后，该男子蹲下时试图将杠铃放在头上，但最终掉下了杠铃，然后看着他的手，好像他们失败了。</v>
      </c>
    </row>
    <row r="12029">
      <c r="A12029" s="4" t="s">
        <v>15132</v>
      </c>
      <c r="B12029" s="6" t="s">
        <v>15133</v>
      </c>
      <c r="C12029" s="5" t="str">
        <f>IFERROR(__xludf.DUMMYFUNCTION("GOOGLETRANSLATE(B12029,""en"",""zh-CN"")"),"保龄球主题介绍出现了一个特殊效果，中间的文字为“克里斯·哈德威克的全明星名人保龄球”。")</f>
        <v>保龄球主题介绍出现了一个特殊效果，中间的文字为“克里斯·哈德威克的全明星名人保龄球”。</v>
      </c>
    </row>
    <row r="12030">
      <c r="A12030" s="4" t="s">
        <v>15132</v>
      </c>
      <c r="B12030" s="6" t="s">
        <v>15134</v>
      </c>
      <c r="C12030" s="5" t="str">
        <f>IFERROR(__xludf.DUMMYFUNCTION("GOOGLETRANSLATE(B12030,""en"",""zh-CN"")"),"有四个男人在保龄球馆里摆姿势，所有人都穿着黄色衬衫，他们的团队名字叫“ Nerdist”。")</f>
        <v>有四个男人在保龄球馆里摆姿势，所有人都穿着黄色衬衫，他们的团队名字叫“ Nerdist”。</v>
      </c>
    </row>
    <row r="12031">
      <c r="A12031" s="4" t="s">
        <v>15132</v>
      </c>
      <c r="B12031" s="6" t="s">
        <v>15135</v>
      </c>
      <c r="C12031" s="5" t="str">
        <f>IFERROR(__xludf.DUMMYFUNCTION("GOOGLETRANSLATE(B12031,""en"",""zh-CN"")"),"接下来有4个人的小组，有3个男人和1名女性，而Team Text say的“ WWE超级巨星”。")</f>
        <v>接下来有4个人的小组，有3个男人和1名女性，而Team Text say的“ WWE超级巨星”。</v>
      </c>
    </row>
    <row r="12032">
      <c r="A12032" s="4" t="s">
        <v>15132</v>
      </c>
      <c r="B12032" s="6" t="s">
        <v>15136</v>
      </c>
      <c r="C12032" s="5" t="str">
        <f>IFERROR(__xludf.DUMMYFUNCTION("GOOGLETRANSLATE(B12032,""en"",""zh-CN"")"),"剪辑开始演奏，其中包括各种保龄球，交谈，展示保龄球，进行采访，闲逛，笑，玩耍，剃光面部头发，做俯卧撑，吃饭，互相喂食等。")</f>
        <v>剪辑开始演奏，其中包括各种保龄球，交谈，展示保龄球，进行采访，闲逛，笑，玩耍，剃光面部头发，做俯卧撑，吃饭，互相喂食等。</v>
      </c>
    </row>
    <row r="12033">
      <c r="A12033" s="4" t="s">
        <v>15132</v>
      </c>
      <c r="B12033" s="6" t="s">
        <v>15137</v>
      </c>
      <c r="C12033" s="5" t="str">
        <f>IFERROR(__xludf.DUMMYFUNCTION("GOOGLETRANSLATE(B12033,""en"",""zh-CN"")"),"屏幕上的大黄色单词出现了，它说“团队nerdist获胜！”整个团队起床并庆祝。")</f>
        <v>屏幕上的大黄色单词出现了，它说“团队nerdist获胜！”整个团队起床并庆祝。</v>
      </c>
    </row>
    <row r="12034">
      <c r="A12034" s="4" t="s">
        <v>15132</v>
      </c>
      <c r="B12034" s="6" t="s">
        <v>15138</v>
      </c>
      <c r="C12034" s="5" t="str">
        <f>IFERROR(__xludf.DUMMYFUNCTION("GOOGLETRANSLATE(B12034,""en"",""zh-CN"")"),"一个书呆子团队成员很高兴地向镜头讲话，然后另一支球队的不满意成员对相机说话。")</f>
        <v>一个书呆子团队成员很高兴地向镜头讲话，然后另一支球队的不满意成员对相机说话。</v>
      </c>
    </row>
    <row r="12035">
      <c r="A12035" s="4" t="s">
        <v>15139</v>
      </c>
      <c r="B12035" s="4" t="s">
        <v>15140</v>
      </c>
      <c r="C12035" s="5" t="str">
        <f>IFERROR(__xludf.DUMMYFUNCTION("GOOGLETRANSLATE(B12035,""en"",""zh-CN"")"),"我们在黑屏上看到标题卡。")</f>
        <v>我们在黑屏上看到标题卡。</v>
      </c>
    </row>
    <row r="12036">
      <c r="A12036" s="4" t="s">
        <v>15139</v>
      </c>
      <c r="B12036" s="4" t="s">
        <v>15141</v>
      </c>
      <c r="C12036" s="5" t="str">
        <f>IFERROR(__xludf.DUMMYFUNCTION("GOOGLETRANSLATE(B12036,""en"",""zh-CN"")"),"它更改为滑板执行技巧。")</f>
        <v>它更改为滑板执行技巧。</v>
      </c>
    </row>
    <row r="12037">
      <c r="A12037" s="4" t="s">
        <v>15139</v>
      </c>
      <c r="B12037" s="4" t="s">
        <v>15142</v>
      </c>
      <c r="C12037" s="5" t="str">
        <f>IFERROR(__xludf.DUMMYFUNCTION("GOOGLETRANSLATE(B12037,""en"",""zh-CN"")"),"我们看到摄影师拍照。")</f>
        <v>我们看到摄影师拍照。</v>
      </c>
    </row>
    <row r="12038">
      <c r="A12038" s="4" t="s">
        <v>15139</v>
      </c>
      <c r="B12038" s="4" t="s">
        <v>15143</v>
      </c>
      <c r="C12038" s="5" t="str">
        <f>IFERROR(__xludf.DUMMYFUNCTION("GOOGLETRANSLATE(B12038,""en"",""zh-CN"")"),"一个男人跳了起来的消防栓。")</f>
        <v>一个男人跳了起来的消防栓。</v>
      </c>
    </row>
    <row r="12039">
      <c r="A12039" s="4" t="s">
        <v>15139</v>
      </c>
      <c r="B12039" s="4" t="s">
        <v>15144</v>
      </c>
      <c r="C12039" s="5" t="str">
        <f>IFERROR(__xludf.DUMMYFUNCTION("GOOGLETRANSLATE(B12039,""en"",""zh-CN"")"),"我们看到一个男人靠近楼梯。")</f>
        <v>我们看到一个男人靠近楼梯。</v>
      </c>
    </row>
    <row r="12040">
      <c r="A12040" s="4" t="s">
        <v>15139</v>
      </c>
      <c r="B12040" s="4" t="s">
        <v>15145</v>
      </c>
      <c r="C12040" s="5" t="str">
        <f>IFERROR(__xludf.DUMMYFUNCTION("GOOGLETRANSLATE(B12040,""en"",""zh-CN"")"),"一个人骑着很多相机闪烁。")</f>
        <v>一个人骑着很多相机闪烁。</v>
      </c>
    </row>
    <row r="12041">
      <c r="A12041" s="4" t="s">
        <v>15139</v>
      </c>
      <c r="B12041" s="4" t="s">
        <v>15146</v>
      </c>
      <c r="C12041" s="5" t="str">
        <f>IFERROR(__xludf.DUMMYFUNCTION("GOOGLETRANSLATE(B12041,""en"",""zh-CN"")"),"相机减慢，场景结束。")</f>
        <v>相机减慢，场景结束。</v>
      </c>
    </row>
    <row r="12042">
      <c r="A12042" s="4" t="s">
        <v>15139</v>
      </c>
      <c r="B12042" s="4" t="s">
        <v>15147</v>
      </c>
      <c r="C12042" s="5" t="str">
        <f>IFERROR(__xludf.DUMMYFUNCTION("GOOGLETRANSLATE(B12042,""en"",""zh-CN"")"),"我们看到黑屏和积分。")</f>
        <v>我们看到黑屏和积分。</v>
      </c>
    </row>
    <row r="12043">
      <c r="A12043" s="4" t="s">
        <v>15148</v>
      </c>
      <c r="B12043" s="4" t="s">
        <v>15149</v>
      </c>
      <c r="C12043" s="5" t="str">
        <f>IFERROR(__xludf.DUMMYFUNCTION("GOOGLETRANSLATE(B12043,""en"",""zh-CN"")"),"一个年轻人跪在双腿上。")</f>
        <v>一个年轻人跪在双腿上。</v>
      </c>
    </row>
    <row r="12044">
      <c r="A12044" s="4" t="s">
        <v>15148</v>
      </c>
      <c r="B12044" s="6" t="s">
        <v>15150</v>
      </c>
      <c r="C12044" s="5" t="str">
        <f>IFERROR(__xludf.DUMMYFUNCTION("GOOGLETRANSLATE(B12044,""en"",""zh-CN"")"),"学生从跪下的位置跳来跳去，降落在一堆垫子上，然后降落在地面上。")</f>
        <v>学生从跪下的位置跳来跳去，降落在一堆垫子上，然后降落在地面上。</v>
      </c>
    </row>
    <row r="12045">
      <c r="A12045" s="4" t="s">
        <v>15151</v>
      </c>
      <c r="B12045" s="4" t="s">
        <v>15152</v>
      </c>
      <c r="C12045" s="5" t="str">
        <f>IFERROR(__xludf.DUMMYFUNCTION("GOOGLETRANSLATE(B12045,""en"",""zh-CN"")"),"人和狗在一条小径上行走。")</f>
        <v>人和狗在一条小径上行走。</v>
      </c>
    </row>
    <row r="12046">
      <c r="A12046" s="4" t="s">
        <v>15151</v>
      </c>
      <c r="B12046" s="4" t="s">
        <v>15153</v>
      </c>
      <c r="C12046" s="5" t="str">
        <f>IFERROR(__xludf.DUMMYFUNCTION("GOOGLETRANSLATE(B12046,""en"",""zh-CN"")"),"显示了灌木丛上的粉红色花朵。")</f>
        <v>显示了灌木丛上的粉红色花朵。</v>
      </c>
    </row>
    <row r="12047">
      <c r="A12047" s="4" t="s">
        <v>15151</v>
      </c>
      <c r="B12047" s="4" t="s">
        <v>15154</v>
      </c>
      <c r="C12047" s="5" t="str">
        <f>IFERROR(__xludf.DUMMYFUNCTION("GOOGLETRANSLATE(B12047,""en"",""zh-CN"")"),"人们在街上walking狗。")</f>
        <v>人们在街上walking狗。</v>
      </c>
    </row>
    <row r="12048">
      <c r="A12048" s="4" t="s">
        <v>15155</v>
      </c>
      <c r="B12048" s="4" t="s">
        <v>15156</v>
      </c>
      <c r="C12048" s="5" t="str">
        <f>IFERROR(__xludf.DUMMYFUNCTION("GOOGLETRANSLATE(B12048,""en"",""zh-CN"")"),"一头公牛在戒指上，看着外面的斗牛士。")</f>
        <v>一头公牛在戒指上，看着外面的斗牛士。</v>
      </c>
    </row>
    <row r="12049">
      <c r="A12049" s="4" t="s">
        <v>15155</v>
      </c>
      <c r="B12049" s="4" t="s">
        <v>15157</v>
      </c>
      <c r="C12049" s="5" t="str">
        <f>IFERROR(__xludf.DUMMYFUNCTION("GOOGLETRANSLATE(B12049,""en"",""zh-CN"")"),"一群战斗机在其后面走去。")</f>
        <v>一群战斗机在其后面走去。</v>
      </c>
    </row>
    <row r="12050">
      <c r="A12050" s="4" t="s">
        <v>15155</v>
      </c>
      <c r="B12050" s="6" t="s">
        <v>15158</v>
      </c>
      <c r="C12050" s="5" t="str">
        <f>IFERROR(__xludf.DUMMYFUNCTION("GOOGLETRANSLATE(B12050,""en"",""zh-CN"")"),"他们开始与公牛战斗，有时拉他的尾巴，挥舞着斗篷，让他充电。")</f>
        <v>他们开始与公牛战斗，有时拉他的尾巴，挥舞着斗篷，让他充电。</v>
      </c>
    </row>
    <row r="12051">
      <c r="A12051" s="4" t="s">
        <v>15159</v>
      </c>
      <c r="B12051" s="6" t="s">
        <v>15160</v>
      </c>
      <c r="C12051" s="5" t="str">
        <f>IFERROR(__xludf.DUMMYFUNCTION("GOOGLETRANSLATE(B12051,""en"",""zh-CN"")"),"看到一个男人在拿着网球球拍时在相机上说话，并开始将球撞到墙上。")</f>
        <v>看到一个男人在拿着网球球拍时在相机上说话，并开始将球撞到墙上。</v>
      </c>
    </row>
    <row r="12052">
      <c r="A12052" s="4" t="s">
        <v>15159</v>
      </c>
      <c r="B12052" s="4" t="s">
        <v>15161</v>
      </c>
      <c r="C12052" s="5" t="str">
        <f>IFERROR(__xludf.DUMMYFUNCTION("GOOGLETRANSLATE(B12052,""en"",""zh-CN"")"),"他继续对镜头说话，并过渡到他击球。")</f>
        <v>他继续对镜头说话，并过渡到他击球。</v>
      </c>
    </row>
    <row r="12053">
      <c r="A12053" s="4" t="s">
        <v>15162</v>
      </c>
      <c r="B12053" s="4" t="s">
        <v>15163</v>
      </c>
      <c r="C12053" s="5" t="str">
        <f>IFERROR(__xludf.DUMMYFUNCTION("GOOGLETRANSLATE(B12053,""en"",""zh-CN"")"),"一个穿着灰色汗衫的男人站在公交车站。")</f>
        <v>一个穿着灰色汗衫的男人站在公交车站。</v>
      </c>
    </row>
    <row r="12054">
      <c r="A12054" s="4" t="s">
        <v>15162</v>
      </c>
      <c r="B12054" s="4" t="s">
        <v>15164</v>
      </c>
      <c r="C12054" s="5" t="str">
        <f>IFERROR(__xludf.DUMMYFUNCTION("GOOGLETRANSLATE(B12054,""en"",""zh-CN"")"),"他开始在街道上垂下滚动，然后做技巧。")</f>
        <v>他开始在街道上垂下滚动，然后做技巧。</v>
      </c>
    </row>
    <row r="12055">
      <c r="A12055" s="4" t="s">
        <v>15162</v>
      </c>
      <c r="B12055" s="4" t="s">
        <v>15165</v>
      </c>
      <c r="C12055" s="5" t="str">
        <f>IFERROR(__xludf.DUMMYFUNCTION("GOOGLETRANSLATE(B12055,""en"",""zh-CN"")"),"该男子正在向后滑冰。")</f>
        <v>该男子正在向后滑冰。</v>
      </c>
    </row>
    <row r="12056">
      <c r="A12056" s="4" t="s">
        <v>15166</v>
      </c>
      <c r="B12056" s="4" t="s">
        <v>15167</v>
      </c>
      <c r="C12056" s="5" t="str">
        <f>IFERROR(__xludf.DUMMYFUNCTION("GOOGLETRANSLATE(B12056,""en"",""zh-CN"")"),"一个穿着黑色裤子的男人站在屋顶上，将一根长木钉在屋顶上。")</f>
        <v>一个穿着黑色裤子的男人站在屋顶上，将一根长木钉在屋顶上。</v>
      </c>
    </row>
    <row r="12057">
      <c r="A12057" s="4" t="s">
        <v>15166</v>
      </c>
      <c r="B12057" s="4" t="s">
        <v>15168</v>
      </c>
      <c r="C12057" s="5" t="str">
        <f>IFERROR(__xludf.DUMMYFUNCTION("GOOGLETRANSLATE(B12057,""en"",""zh-CN"")"),"一个穿着蓝色短裤的男人出现在右边，还在屋顶上钉住长木瓦。")</f>
        <v>一个穿着蓝色短裤的男人出现在右边，还在屋顶上钉住长木瓦。</v>
      </c>
    </row>
    <row r="12058">
      <c r="A12058" s="4" t="s">
        <v>15166</v>
      </c>
      <c r="B12058" s="6" t="s">
        <v>15169</v>
      </c>
      <c r="C12058" s="5" t="str">
        <f>IFERROR(__xludf.DUMMYFUNCTION("GOOGLETRANSLATE(B12058,""en"",""zh-CN"")"),"变焦穿着一条穿着长长的黑色裤子，他将带状疱疹钉在屋顶的外侧。")</f>
        <v>变焦穿着一条穿着长长的黑色裤子，他将带状疱疹钉在屋顶的外侧。</v>
      </c>
    </row>
    <row r="12059">
      <c r="A12059" s="4" t="s">
        <v>15170</v>
      </c>
      <c r="B12059" s="6" t="s">
        <v>15171</v>
      </c>
      <c r="C12059" s="5" t="str">
        <f>IFERROR(__xludf.DUMMYFUNCTION("GOOGLETRANSLATE(B12059,""en"",""zh-CN"")"),"当一个男人说麦克风时，看到一个女人在玩笛子，两个人在她身后弹钢琴。")</f>
        <v>当一个男人说麦克风时，看到一个女人在玩笛子，两个人在她身后弹钢琴。</v>
      </c>
    </row>
    <row r="12060">
      <c r="A12060" s="4" t="s">
        <v>15170</v>
      </c>
      <c r="B12060" s="4" t="s">
        <v>15172</v>
      </c>
      <c r="C12060" s="5" t="str">
        <f>IFERROR(__xludf.DUMMYFUNCTION("GOOGLETRANSLATE(B12060,""en"",""zh-CN"")"),"那个女人停下来与男人说话，男人从她身上拿走了笛子。")</f>
        <v>那个女人停下来与男人说话，男人从她身上拿走了笛子。</v>
      </c>
    </row>
    <row r="12061">
      <c r="A12061" s="4" t="s">
        <v>15170</v>
      </c>
      <c r="B12061" s="4" t="s">
        <v>15173</v>
      </c>
      <c r="C12061" s="5" t="str">
        <f>IFERROR(__xludf.DUMMYFUNCTION("GOOGLETRANSLATE(B12061,""en"",""zh-CN"")"),"该男子将长笛交给她，以踢和结束，以便与她交谈。")</f>
        <v>该男子将长笛交给她，以踢和结束，以便与她交谈。</v>
      </c>
    </row>
    <row r="12062">
      <c r="A12062" s="4" t="s">
        <v>15174</v>
      </c>
      <c r="B12062" s="4" t="s">
        <v>15175</v>
      </c>
      <c r="C12062" s="5" t="str">
        <f>IFERROR(__xludf.DUMMYFUNCTION("GOOGLETRANSLATE(B12062,""en"",""zh-CN"")"),"看到一个运动员沿着轨道奔跑。")</f>
        <v>看到一个运动员沿着轨道奔跑。</v>
      </c>
    </row>
    <row r="12063">
      <c r="A12063" s="4" t="s">
        <v>15174</v>
      </c>
      <c r="B12063" s="4" t="s">
        <v>15176</v>
      </c>
      <c r="C12063" s="5" t="str">
        <f>IFERROR(__xludf.DUMMYFUNCTION("GOOGLETRANSLATE(B12063,""en"",""zh-CN"")"),"看到越来越多的人从赛道上跑到一个坑中。")</f>
        <v>看到越来越多的人从赛道上跑到一个坑中。</v>
      </c>
    </row>
    <row r="12064">
      <c r="A12064" s="4" t="s">
        <v>15174</v>
      </c>
      <c r="B12064" s="4" t="s">
        <v>15177</v>
      </c>
      <c r="C12064" s="5" t="str">
        <f>IFERROR(__xludf.DUMMYFUNCTION("GOOGLETRANSLATE(B12064,""en"",""zh-CN"")"),"一个接一个的人跳。")</f>
        <v>一个接一个的人跳。</v>
      </c>
    </row>
    <row r="12065">
      <c r="A12065" s="4" t="s">
        <v>15178</v>
      </c>
      <c r="B12065" s="4" t="s">
        <v>15179</v>
      </c>
      <c r="C12065" s="5" t="str">
        <f>IFERROR(__xludf.DUMMYFUNCTION("GOOGLETRANSLATE(B12065,""en"",""zh-CN"")"),"穿着白色外套的新闻主播在镜头前交谈。")</f>
        <v>穿着白色外套的新闻主播在镜头前交谈。</v>
      </c>
    </row>
    <row r="12066">
      <c r="A12066" s="4" t="s">
        <v>15178</v>
      </c>
      <c r="B12066" s="4" t="s">
        <v>15180</v>
      </c>
      <c r="C12066" s="5" t="str">
        <f>IFERROR(__xludf.DUMMYFUNCTION("GOOGLETRANSLATE(B12066,""en"",""zh-CN"")"),"球员踢球并击球。")</f>
        <v>球员踢球并击球。</v>
      </c>
    </row>
    <row r="12067">
      <c r="A12067" s="4" t="s">
        <v>15178</v>
      </c>
      <c r="B12067" s="6" t="s">
        <v>15181</v>
      </c>
      <c r="C12067" s="5" t="str">
        <f>IFERROR(__xludf.DUMMYFUNCTION("GOOGLETRANSLATE(B12067,""en"",""zh-CN"")"),"球场上的两名球员开始争论并互相推动并打架，其中一名球员将球扔给了对方，球员开始追逐并互相推动，然后穿着蓝色制服的球队走开了。")</f>
        <v>球场上的两名球员开始争论并互相推动并打架，其中一名球员将球扔给了对方，球员开始追逐并互相推动，然后穿着蓝色制服的球队走开了。</v>
      </c>
    </row>
    <row r="12068">
      <c r="A12068" s="4" t="s">
        <v>15178</v>
      </c>
      <c r="B12068" s="4" t="s">
        <v>15182</v>
      </c>
      <c r="C12068" s="5" t="str">
        <f>IFERROR(__xludf.DUMMYFUNCTION("GOOGLETRANSLATE(B12068,""en"",""zh-CN"")"),"穿着白色制服的团队留在球场上并欢呼。")</f>
        <v>穿着白色制服的团队留在球场上并欢呼。</v>
      </c>
    </row>
    <row r="12069">
      <c r="A12069" s="4" t="s">
        <v>15183</v>
      </c>
      <c r="B12069" s="6" t="s">
        <v>15184</v>
      </c>
      <c r="C12069" s="5" t="str">
        <f>IFERROR(__xludf.DUMMYFUNCTION("GOOGLETRANSLATE(B12069,""en"",""zh-CN"")"),"展示了一个女人用手编织的女人，而背景中显示了各种猫的照片。")</f>
        <v>展示了一个女人用手编织的女人，而背景中显示了各种猫的照片。</v>
      </c>
    </row>
    <row r="12070">
      <c r="A12070" s="4" t="s">
        <v>15183</v>
      </c>
      <c r="B12070" s="6" t="s">
        <v>15185</v>
      </c>
      <c r="C12070" s="5" t="str">
        <f>IFERROR(__xludf.DUMMYFUNCTION("GOOGLETRANSLATE(B12070,""en"",""zh-CN"")"),"关于如何编织的文字在她的手继续移动以演示如何正确编织时出现。")</f>
        <v>关于如何编织的文字在她的手继续移动以演示如何正确编织时出现。</v>
      </c>
    </row>
    <row r="12071">
      <c r="A12071" s="4" t="s">
        <v>15186</v>
      </c>
      <c r="B12071" s="4" t="s">
        <v>15187</v>
      </c>
      <c r="C12071" s="5" t="str">
        <f>IFERROR(__xludf.DUMMYFUNCTION("GOOGLETRANSLATE(B12071,""en"",""zh-CN"")"),"一个女人说话并躺在地板上，然后她弯曲了双腿，两者都举起。")</f>
        <v>一个女人说话并躺在地板上，然后她弯曲了双腿，两者都举起。</v>
      </c>
    </row>
    <row r="12072">
      <c r="A12072" s="4" t="s">
        <v>15186</v>
      </c>
      <c r="B12072" s="4" t="s">
        <v>15188</v>
      </c>
      <c r="C12072" s="5" t="str">
        <f>IFERROR(__xludf.DUMMYFUNCTION("GOOGLETRANSLATE(B12072,""en"",""zh-CN"")"),"然后，女人将两条腿伸直。")</f>
        <v>然后，女人将两条腿伸直。</v>
      </c>
    </row>
    <row r="12073">
      <c r="A12073" s="4" t="s">
        <v>15186</v>
      </c>
      <c r="B12073" s="4" t="s">
        <v>15189</v>
      </c>
      <c r="C12073" s="5" t="str">
        <f>IFERROR(__xludf.DUMMYFUNCTION("GOOGLETRANSLATE(B12073,""en"",""zh-CN"")"),"之后，该女人只抬起一条腿，另一只腿休息在地板上弯曲。")</f>
        <v>之后，该女人只抬起一条腿，另一只腿休息在地板上弯曲。</v>
      </c>
    </row>
    <row r="12074">
      <c r="A12074" s="4" t="s">
        <v>15190</v>
      </c>
      <c r="B12074" s="4" t="s">
        <v>15191</v>
      </c>
      <c r="C12074" s="5" t="str">
        <f>IFERROR(__xludf.DUMMYFUNCTION("GOOGLETRANSLATE(B12074,""en"",""zh-CN"")"),"小男孩坐在蓝色皮划艇中，拿着桨。")</f>
        <v>小男孩坐在蓝色皮划艇中，拿着桨。</v>
      </c>
    </row>
    <row r="12075">
      <c r="A12075" s="4" t="s">
        <v>15190</v>
      </c>
      <c r="B12075" s="4" t="s">
        <v>15192</v>
      </c>
      <c r="C12075" s="5" t="str">
        <f>IFERROR(__xludf.DUMMYFUNCTION("GOOGLETRANSLATE(B12075,""en"",""zh-CN"")"),"然后显示其他人在水中划桨，有人站在岸上。")</f>
        <v>然后显示其他人在水中划桨，有人站在岸上。</v>
      </c>
    </row>
    <row r="12076">
      <c r="A12076" s="4" t="s">
        <v>15190</v>
      </c>
      <c r="B12076" s="4" t="s">
        <v>15193</v>
      </c>
      <c r="C12076" s="5" t="str">
        <f>IFERROR(__xludf.DUMMYFUNCTION("GOOGLETRANSLATE(B12076,""en"",""zh-CN"")"),"相机转过几次，以展示树木和天空。")</f>
        <v>相机转过几次，以展示树木和天空。</v>
      </c>
    </row>
    <row r="12077">
      <c r="A12077" s="4" t="s">
        <v>15194</v>
      </c>
      <c r="B12077" s="4" t="s">
        <v>15195</v>
      </c>
      <c r="C12077" s="5" t="str">
        <f>IFERROR(__xludf.DUMMYFUNCTION("GOOGLETRANSLATE(B12077,""en"",""zh-CN"")"),"一位女新闻女子正在新闻室与镜头交谈。")</f>
        <v>一位女新闻女子正在新闻室与镜头交谈。</v>
      </c>
    </row>
    <row r="12078">
      <c r="A12078" s="4" t="s">
        <v>15194</v>
      </c>
      <c r="B12078" s="4" t="s">
        <v>15196</v>
      </c>
      <c r="C12078" s="5" t="str">
        <f>IFERROR(__xludf.DUMMYFUNCTION("GOOGLETRANSLATE(B12078,""en"",""zh-CN"")"),"另一个女人展示了一系列清洁用品。")</f>
        <v>另一个女人展示了一系列清洁用品。</v>
      </c>
    </row>
    <row r="12079">
      <c r="A12079" s="4" t="s">
        <v>15194</v>
      </c>
      <c r="B12079" s="4" t="s">
        <v>15197</v>
      </c>
      <c r="C12079" s="5" t="str">
        <f>IFERROR(__xludf.DUMMYFUNCTION("GOOGLETRANSLATE(B12079,""en"",""zh-CN"")"),"她指示如何使用它们，但不要混合某些元素。")</f>
        <v>她指示如何使用它们，但不要混合某些元素。</v>
      </c>
    </row>
    <row r="12080">
      <c r="A12080" s="4" t="s">
        <v>15194</v>
      </c>
      <c r="B12080" s="4" t="s">
        <v>15198</v>
      </c>
      <c r="C12080" s="5" t="str">
        <f>IFERROR(__xludf.DUMMYFUNCTION("GOOGLETRANSLATE(B12080,""en"",""zh-CN"")"),"她将液体倒入杯子中，然后改成喷雾器瓶，以清洁厨房。")</f>
        <v>她将液体倒入杯子中，然后改成喷雾器瓶，以清洁厨房。</v>
      </c>
    </row>
    <row r="12081">
      <c r="A12081" s="4" t="s">
        <v>15199</v>
      </c>
      <c r="B12081" s="4" t="s">
        <v>15200</v>
      </c>
      <c r="C12081" s="5" t="str">
        <f>IFERROR(__xludf.DUMMYFUNCTION("GOOGLETRANSLATE(B12081,""en"",""zh-CN"")"),"一个男人用史密斯刀站在柜台上。")</f>
        <v>一个男人用史密斯刀站在柜台上。</v>
      </c>
    </row>
    <row r="12082">
      <c r="A12082" s="4" t="s">
        <v>15199</v>
      </c>
      <c r="B12082" s="4" t="s">
        <v>15201</v>
      </c>
      <c r="C12082" s="5" t="str">
        <f>IFERROR(__xludf.DUMMYFUNCTION("GOOGLETRANSLATE(B12082,""en"",""zh-CN"")"),"他演示了如何锐化刀。")</f>
        <v>他演示了如何锐化刀。</v>
      </c>
    </row>
    <row r="12083">
      <c r="A12083" s="4" t="s">
        <v>15199</v>
      </c>
      <c r="B12083" s="4" t="s">
        <v>15202</v>
      </c>
      <c r="C12083" s="5" t="str">
        <f>IFERROR(__xludf.DUMMYFUNCTION("GOOGLETRANSLATE(B12083,""en"",""zh-CN"")"),"他将油倒在锐化工具上，然后将刀子放在上面。")</f>
        <v>他将油倒在锐化工具上，然后将刀子放在上面。</v>
      </c>
    </row>
    <row r="12084">
      <c r="A12084" s="4" t="s">
        <v>15199</v>
      </c>
      <c r="B12084" s="4" t="s">
        <v>15203</v>
      </c>
      <c r="C12084" s="5" t="str">
        <f>IFERROR(__xludf.DUMMYFUNCTION("GOOGLETRANSLATE(B12084,""en"",""zh-CN"")"),"他清洁工具并将其放下。")</f>
        <v>他清洁工具并将其放下。</v>
      </c>
    </row>
    <row r="12085">
      <c r="A12085" s="4" t="s">
        <v>15204</v>
      </c>
      <c r="B12085" s="4" t="s">
        <v>15205</v>
      </c>
      <c r="C12085" s="5" t="str">
        <f>IFERROR(__xludf.DUMMYFUNCTION("GOOGLETRANSLATE(B12085,""en"",""zh-CN"")"),"一个红色的女人正站在桌子旁边解释一些事情。")</f>
        <v>一个红色的女人正站在桌子旁边解释一些事情。</v>
      </c>
    </row>
    <row r="12086">
      <c r="A12086" s="4" t="s">
        <v>15204</v>
      </c>
      <c r="B12086" s="4" t="s">
        <v>15206</v>
      </c>
      <c r="C12086" s="5" t="str">
        <f>IFERROR(__xludf.DUMMYFUNCTION("GOOGLETRANSLATE(B12086,""en"",""zh-CN"")"),"她把手放在圣诞树上，并更多地谈论它。")</f>
        <v>她把手放在圣诞树上，并更多地谈论它。</v>
      </c>
    </row>
    <row r="12087">
      <c r="A12087" s="4" t="s">
        <v>15204</v>
      </c>
      <c r="B12087" s="4" t="s">
        <v>15207</v>
      </c>
      <c r="C12087" s="5" t="str">
        <f>IFERROR(__xludf.DUMMYFUNCTION("GOOGLETRANSLATE(B12087,""en"",""zh-CN"")"),"她抓住了一些红色丝带，开始绑起来。")</f>
        <v>她抓住了一些红色丝带，开始绑起来。</v>
      </c>
    </row>
    <row r="12088">
      <c r="A12088" s="4" t="s">
        <v>15204</v>
      </c>
      <c r="B12088" s="4" t="s">
        <v>15208</v>
      </c>
      <c r="C12088" s="5" t="str">
        <f>IFERROR(__xludf.DUMMYFUNCTION("GOOGLETRANSLATE(B12088,""en"",""zh-CN"")"),"然后，她将其放在圣诞树上，并继续谈论它。")</f>
        <v>然后，她将其放在圣诞树上，并继续谈论它。</v>
      </c>
    </row>
    <row r="12089">
      <c r="A12089" s="4" t="s">
        <v>15209</v>
      </c>
      <c r="B12089" s="4" t="s">
        <v>15210</v>
      </c>
      <c r="C12089" s="5" t="str">
        <f>IFERROR(__xludf.DUMMYFUNCTION("GOOGLETRANSLATE(B12089,""en"",""zh-CN"")"),"发型造型工具以特写速度显示。")</f>
        <v>发型造型工具以特写速度显示。</v>
      </c>
    </row>
    <row r="12090">
      <c r="A12090" s="4" t="s">
        <v>15209</v>
      </c>
      <c r="B12090" s="4" t="s">
        <v>15211</v>
      </c>
      <c r="C12090" s="5" t="str">
        <f>IFERROR(__xludf.DUMMYFUNCTION("GOOGLETRANSLATE(B12090,""en"",""zh-CN"")"),"一个女人在街上走进沙龙。")</f>
        <v>一个女人在街上走进沙龙。</v>
      </c>
    </row>
    <row r="12091">
      <c r="A12091" s="4" t="s">
        <v>15209</v>
      </c>
      <c r="B12091" s="4" t="s">
        <v>15212</v>
      </c>
      <c r="C12091" s="5" t="str">
        <f>IFERROR(__xludf.DUMMYFUNCTION("GOOGLETRANSLATE(B12091,""en"",""zh-CN"")"),"女人与沙龙中的男人互动。")</f>
        <v>女人与沙龙中的男人互动。</v>
      </c>
    </row>
    <row r="12092">
      <c r="A12092" s="4" t="s">
        <v>15209</v>
      </c>
      <c r="B12092" s="4" t="s">
        <v>15213</v>
      </c>
      <c r="C12092" s="5" t="str">
        <f>IFERROR(__xludf.DUMMYFUNCTION("GOOGLETRANSLATE(B12092,""en"",""zh-CN"")"),"男人和女人一起看发型的照片。")</f>
        <v>男人和女人一起看发型的照片。</v>
      </c>
    </row>
    <row r="12093">
      <c r="A12093" s="4" t="s">
        <v>15209</v>
      </c>
      <c r="B12093" s="4" t="s">
        <v>15214</v>
      </c>
      <c r="C12093" s="5" t="str">
        <f>IFERROR(__xludf.DUMMYFUNCTION("GOOGLETRANSLATE(B12093,""en"",""zh-CN"")"),"显示了那个女人头发被剪和样式的场景。")</f>
        <v>显示了那个女人头发被剪和样式的场景。</v>
      </c>
    </row>
    <row r="12094">
      <c r="A12094" s="4" t="s">
        <v>15209</v>
      </c>
      <c r="B12094" s="4" t="s">
        <v>15215</v>
      </c>
      <c r="C12094" s="5" t="str">
        <f>IFERROR(__xludf.DUMMYFUNCTION("GOOGLETRANSLATE(B12094,""en"",""zh-CN"")"),"男人和女人在检查她的新风格时互动。")</f>
        <v>男人和女人在检查她的新风格时互动。</v>
      </c>
    </row>
    <row r="12095">
      <c r="A12095" s="4" t="s">
        <v>15209</v>
      </c>
      <c r="B12095" s="4" t="s">
        <v>15216</v>
      </c>
      <c r="C12095" s="5" t="str">
        <f>IFERROR(__xludf.DUMMYFUNCTION("GOOGLETRANSLATE(B12095,""en"",""zh-CN"")"),"显示了地板上的头发特写。")</f>
        <v>显示了地板上的头发特写。</v>
      </c>
    </row>
    <row r="12096">
      <c r="A12096" s="4" t="s">
        <v>15217</v>
      </c>
      <c r="B12096" s="6" t="s">
        <v>15218</v>
      </c>
      <c r="C12096" s="5" t="str">
        <f>IFERROR(__xludf.DUMMYFUNCTION("GOOGLETRANSLATE(B12096,""en"",""zh-CN"")"),"一个男人和女人正在与相机交谈，女孩向如何正确进行讨论演示。")</f>
        <v>一个男人和女人正在与相机交谈，女孩向如何正确进行讨论演示。</v>
      </c>
    </row>
    <row r="12097">
      <c r="A12097" s="4" t="s">
        <v>15217</v>
      </c>
      <c r="B12097" s="6" t="s">
        <v>15219</v>
      </c>
      <c r="C12097" s="5" t="str">
        <f>IFERROR(__xludf.DUMMYFUNCTION("GOOGLETRANSLATE(B12097,""en"",""zh-CN"")"),"其次，她展示了扔掉物品并将讨论如何进入空气的正确立场。")</f>
        <v>其次，她展示了扔掉物品并将讨论如何进入空气的正确立场。</v>
      </c>
    </row>
    <row r="12098">
      <c r="A12098" s="4" t="s">
        <v>15217</v>
      </c>
      <c r="B12098" s="4" t="s">
        <v>15220</v>
      </c>
      <c r="C12098" s="5" t="str">
        <f>IFERROR(__xludf.DUMMYFUNCTION("GOOGLETRANSLATE(B12098,""en"",""zh-CN"")"),"她展示了弯曲和旋转磁盘的旋转，并全力以赴。")</f>
        <v>她展示了弯曲和旋转磁盘的旋转，并全力以赴。</v>
      </c>
    </row>
    <row r="12099">
      <c r="A12099" s="4" t="s">
        <v>15217</v>
      </c>
      <c r="B12099" s="4" t="s">
        <v>15221</v>
      </c>
      <c r="C12099" s="5" t="str">
        <f>IFERROR(__xludf.DUMMYFUNCTION("GOOGLETRANSLATE(B12099,""en"",""zh-CN"")"),"然后，男人试图扔掉女人的做法，并试图抛出更多并变得更好。")</f>
        <v>然后，男人试图扔掉女人的做法，并试图抛出更多并变得更好。</v>
      </c>
    </row>
    <row r="12100">
      <c r="A12100" s="4" t="s">
        <v>15222</v>
      </c>
      <c r="B12100" s="4" t="s">
        <v>15223</v>
      </c>
      <c r="C12100" s="5" t="str">
        <f>IFERROR(__xludf.DUMMYFUNCTION("GOOGLETRANSLATE(B12100,""en"",""zh-CN"")"),"人们正坐在碰撞撞车的保险杠汽车中。")</f>
        <v>人们正坐在碰撞撞车的保险杠汽车中。</v>
      </c>
    </row>
    <row r="12101">
      <c r="A12101" s="4" t="s">
        <v>15222</v>
      </c>
      <c r="B12101" s="4" t="s">
        <v>15224</v>
      </c>
      <c r="C12101" s="5" t="str">
        <f>IFERROR(__xludf.DUMMYFUNCTION("GOOGLETRANSLATE(B12101,""en"",""zh-CN"")"),"他们停下来下车。")</f>
        <v>他们停下来下车。</v>
      </c>
    </row>
    <row r="12102">
      <c r="A12102" s="4" t="s">
        <v>15222</v>
      </c>
      <c r="B12102" s="4" t="s">
        <v>15225</v>
      </c>
      <c r="C12102" s="5" t="str">
        <f>IFERROR(__xludf.DUMMYFUNCTION("GOOGLETRANSLATE(B12102,""en"",""zh-CN"")"),"一件白衬衫的男孩和一个穿着蓝色衬衫的男孩走出去。")</f>
        <v>一件白衬衫的男孩和一个穿着蓝色衬衫的男孩走出去。</v>
      </c>
    </row>
    <row r="12103">
      <c r="A12103" s="4" t="s">
        <v>15226</v>
      </c>
      <c r="B12103" s="4" t="s">
        <v>15227</v>
      </c>
      <c r="C12103" s="5" t="str">
        <f>IFERROR(__xludf.DUMMYFUNCTION("GOOGLETRANSLATE(B12103,""en"",""zh-CN"")"),"看到一个女人坐在锻炼设备上，手臂和腿绑在锻炼设备上。")</f>
        <v>看到一个女人坐在锻炼设备上，手臂和腿绑在锻炼设备上。</v>
      </c>
    </row>
    <row r="12104">
      <c r="A12104" s="4" t="s">
        <v>15226</v>
      </c>
      <c r="B12104" s="4" t="s">
        <v>15228</v>
      </c>
      <c r="C12104" s="5" t="str">
        <f>IFERROR(__xludf.DUMMYFUNCTION("GOOGLETRANSLATE(B12104,""en"",""zh-CN"")"),"看到该名女子在期待时在机器上向后移动和第四名。")</f>
        <v>看到该名女子在期待时在机器上向后移动和第四名。</v>
      </c>
    </row>
    <row r="12105">
      <c r="A12105" s="4" t="s">
        <v>15226</v>
      </c>
      <c r="B12105" s="4" t="s">
        <v>15229</v>
      </c>
      <c r="C12105" s="5" t="str">
        <f>IFERROR(__xludf.DUMMYFUNCTION("GOOGLETRANSLATE(B12105,""en"",""zh-CN"")"),"当相机看着她的动作时，该名女子继续在机器上移动。")</f>
        <v>当相机看着她的动作时，该名女子继续在机器上移动。</v>
      </c>
    </row>
    <row r="12106">
      <c r="A12106" s="4" t="s">
        <v>15230</v>
      </c>
      <c r="B12106" s="4" t="s">
        <v>1487</v>
      </c>
      <c r="C12106" s="5" t="str">
        <f>IFERROR(__xludf.DUMMYFUNCTION("GOOGLETRANSLATE(B12106,""en"",""zh-CN"")"),"我们看到一个开放标题屏幕。")</f>
        <v>我们看到一个开放标题屏幕。</v>
      </c>
    </row>
    <row r="12107">
      <c r="A12107" s="4" t="s">
        <v>15230</v>
      </c>
      <c r="B12107" s="4" t="s">
        <v>15231</v>
      </c>
      <c r="C12107" s="5" t="str">
        <f>IFERROR(__xludf.DUMMYFUNCTION("GOOGLETRANSLATE(B12107,""en"",""zh-CN"")"),"一位女士炫耀她的指甲。")</f>
        <v>一位女士炫耀她的指甲。</v>
      </c>
    </row>
    <row r="12108">
      <c r="A12108" s="4" t="s">
        <v>15230</v>
      </c>
      <c r="B12108" s="4" t="s">
        <v>15232</v>
      </c>
      <c r="C12108" s="5" t="str">
        <f>IFERROR(__xludf.DUMMYFUNCTION("GOOGLETRANSLATE(B12108,""en"",""zh-CN"")"),"那位女士在指甲上放了一滴白色油漆。")</f>
        <v>那位女士在指甲上放了一滴白色油漆。</v>
      </c>
    </row>
    <row r="12109">
      <c r="A12109" s="4" t="s">
        <v>15230</v>
      </c>
      <c r="B12109" s="4" t="s">
        <v>15233</v>
      </c>
      <c r="C12109" s="5" t="str">
        <f>IFERROR(__xludf.DUMMYFUNCTION("GOOGLETRANSLATE(B12109,""en"",""zh-CN"")"),"这位女士使用牙签并将其拖入白色油漆。")</f>
        <v>这位女士使用牙签并将其拖入白色油漆。</v>
      </c>
    </row>
    <row r="12110">
      <c r="A12110" s="4" t="s">
        <v>15230</v>
      </c>
      <c r="B12110" s="4" t="s">
        <v>15234</v>
      </c>
      <c r="C12110" s="5" t="str">
        <f>IFERROR(__xludf.DUMMYFUNCTION("GOOGLETRANSLATE(B12110,""en"",""zh-CN"")"),"她以相同的过程来涂另一个指甲。")</f>
        <v>她以相同的过程来涂另一个指甲。</v>
      </c>
    </row>
    <row r="12111">
      <c r="A12111" s="4" t="s">
        <v>15230</v>
      </c>
      <c r="B12111" s="4" t="s">
        <v>15235</v>
      </c>
      <c r="C12111" s="5" t="str">
        <f>IFERROR(__xludf.DUMMYFUNCTION("GOOGLETRANSLATE(B12111,""en"",""zh-CN"")"),"这位女士向我们展示了她的指甲上的花朵设计。")</f>
        <v>这位女士向我们展示了她的指甲上的花朵设计。</v>
      </c>
    </row>
    <row r="12112">
      <c r="A12112" s="4" t="s">
        <v>15236</v>
      </c>
      <c r="B12112" s="4" t="s">
        <v>15237</v>
      </c>
      <c r="C12112" s="5" t="str">
        <f>IFERROR(__xludf.DUMMYFUNCTION("GOOGLETRANSLATE(B12112,""en"",""zh-CN"")"),"行进乐队位于田野中。")</f>
        <v>行进乐队位于田野中。</v>
      </c>
    </row>
    <row r="12113">
      <c r="A12113" s="4" t="s">
        <v>15236</v>
      </c>
      <c r="B12113" s="4" t="s">
        <v>15238</v>
      </c>
      <c r="C12113" s="5" t="str">
        <f>IFERROR(__xludf.DUMMYFUNCTION("GOOGLETRANSLATE(B12113,""en"",""zh-CN"")"),"然后乐队开始演奏乐器。")</f>
        <v>然后乐队开始演奏乐器。</v>
      </c>
    </row>
    <row r="12114">
      <c r="A12114" s="4" t="s">
        <v>15236</v>
      </c>
      <c r="B12114" s="4" t="s">
        <v>15239</v>
      </c>
      <c r="C12114" s="5" t="str">
        <f>IFERROR(__xludf.DUMMYFUNCTION("GOOGLETRANSLATE(B12114,""en"",""zh-CN"")"),"带有旗帜的女士上下移动旗帜，并在乐队演奏时旋转。")</f>
        <v>带有旗帜的女士上下移动旗帜，并在乐队演奏时旋转。</v>
      </c>
    </row>
    <row r="12115">
      <c r="A12115" s="4" t="s">
        <v>15240</v>
      </c>
      <c r="B12115" s="4" t="s">
        <v>15241</v>
      </c>
      <c r="C12115" s="5" t="str">
        <f>IFERROR(__xludf.DUMMYFUNCTION("GOOGLETRANSLATE(B12115,""en"",""zh-CN"")"),"看到一个男人站在外面拿着绳子，将其绑在树皮上。")</f>
        <v>看到一个男人站在外面拿着绳子，将其绑在树皮上。</v>
      </c>
    </row>
    <row r="12116">
      <c r="A12116" s="4" t="s">
        <v>15240</v>
      </c>
      <c r="B12116" s="4" t="s">
        <v>15242</v>
      </c>
      <c r="C12116" s="5" t="str">
        <f>IFERROR(__xludf.DUMMYFUNCTION("GOOGLETRANSLATE(B12116,""en"",""zh-CN"")"),"然后，他将日志铲在地面上，然后将其分成两个。")</f>
        <v>然后，他将日志铲在地面上，然后将其分成两个。</v>
      </c>
    </row>
    <row r="12117">
      <c r="A12117" s="4" t="s">
        <v>15243</v>
      </c>
      <c r="B12117" s="4" t="s">
        <v>15244</v>
      </c>
      <c r="C12117" s="5" t="str">
        <f>IFERROR(__xludf.DUMMYFUNCTION("GOOGLETRANSLATE(B12117,""en"",""zh-CN"")"),"显示一个人指向自行车轮胎，并使用钳子切割一根电线。")</f>
        <v>显示一个人指向自行车轮胎，并使用钳子切割一根电线。</v>
      </c>
    </row>
    <row r="12118">
      <c r="A12118" s="4" t="s">
        <v>15243</v>
      </c>
      <c r="B12118" s="6" t="s">
        <v>15245</v>
      </c>
      <c r="C12118" s="5" t="str">
        <f>IFERROR(__xludf.DUMMYFUNCTION("GOOGLETRANSLATE(B12118,""en"",""zh-CN"")"),"然后，他移动到周围的条，然后旋转轮子，然后戴着一根压在轮胎上的棍子。")</f>
        <v>然后，他移动到周围的条，然后旋转轮子，然后戴着一根压在轮胎上的棍子。</v>
      </c>
    </row>
    <row r="12119">
      <c r="A12119" s="4" t="s">
        <v>15243</v>
      </c>
      <c r="B12119" s="4" t="s">
        <v>15246</v>
      </c>
      <c r="C12119" s="5" t="str">
        <f>IFERROR(__xludf.DUMMYFUNCTION("GOOGLETRANSLATE(B12119,""en"",""zh-CN"")"),"他将管子推入轮胎，并使用设备调节电线。")</f>
        <v>他将管子推入轮胎，并使用设备调节电线。</v>
      </c>
    </row>
    <row r="12120">
      <c r="A12120" s="4" t="s">
        <v>15243</v>
      </c>
      <c r="B12120" s="4" t="s">
        <v>15247</v>
      </c>
      <c r="C12120" s="5" t="str">
        <f>IFERROR(__xludf.DUMMYFUNCTION("GOOGLETRANSLATE(B12120,""en"",""zh-CN"")"),"他对轮子进行了彻底的测试，并确保自行车准备就绪。")</f>
        <v>他对轮子进行了彻底的测试，并确保自行车准备就绪。</v>
      </c>
    </row>
    <row r="12121">
      <c r="A12121" s="4" t="s">
        <v>15248</v>
      </c>
      <c r="B12121" s="4" t="s">
        <v>15249</v>
      </c>
      <c r="C12121" s="5" t="str">
        <f>IFERROR(__xludf.DUMMYFUNCTION("GOOGLETRANSLATE(B12121,""en"",""zh-CN"")"),"一个女人在和相机说话。")</f>
        <v>一个女人在和相机说话。</v>
      </c>
    </row>
    <row r="12122">
      <c r="A12122" s="4" t="s">
        <v>15248</v>
      </c>
      <c r="B12122" s="4" t="s">
        <v>15250</v>
      </c>
      <c r="C12122" s="5" t="str">
        <f>IFERROR(__xludf.DUMMYFUNCTION("GOOGLETRANSLATE(B12122,""en"",""zh-CN"")"),"她捡起长笛并开始演奏。")</f>
        <v>她捡起长笛并开始演奏。</v>
      </c>
    </row>
    <row r="12123">
      <c r="A12123" s="4" t="s">
        <v>15248</v>
      </c>
      <c r="B12123" s="4" t="s">
        <v>15251</v>
      </c>
      <c r="C12123" s="5" t="str">
        <f>IFERROR(__xludf.DUMMYFUNCTION("GOOGLETRANSLATE(B12123,""en"",""zh-CN"")"),"她把烟道放在腿上，继续说话。")</f>
        <v>她把烟道放在腿上，继续说话。</v>
      </c>
    </row>
    <row r="12124">
      <c r="A12124" s="4" t="s">
        <v>15248</v>
      </c>
      <c r="B12124" s="4" t="s">
        <v>15252</v>
      </c>
      <c r="C12124" s="5" t="str">
        <f>IFERROR(__xludf.DUMMYFUNCTION("GOOGLETRANSLATE(B12124,""en"",""zh-CN"")"),"她把长笛放回嘴里，继续玩耍。")</f>
        <v>她把长笛放回嘴里，继续玩耍。</v>
      </c>
    </row>
    <row r="12125">
      <c r="A12125" s="4" t="s">
        <v>15248</v>
      </c>
      <c r="B12125" s="4" t="s">
        <v>15253</v>
      </c>
      <c r="C12125" s="5" t="str">
        <f>IFERROR(__xludf.DUMMYFUNCTION("GOOGLETRANSLATE(B12125,""en"",""zh-CN"")"),"她把长笛放回原处，点了点头。")</f>
        <v>她把长笛放回原处，点了点头。</v>
      </c>
    </row>
    <row r="12126">
      <c r="A12126" s="4" t="s">
        <v>15248</v>
      </c>
      <c r="B12126" s="4" t="s">
        <v>15254</v>
      </c>
      <c r="C12126" s="5" t="str">
        <f>IFERROR(__xludf.DUMMYFUNCTION("GOOGLETRANSLATE(B12126,""en"",""zh-CN"")"),"她把长笛放回嘴唇上，玩耍。")</f>
        <v>她把长笛放回嘴唇上，玩耍。</v>
      </c>
    </row>
    <row r="12127">
      <c r="A12127" s="4" t="s">
        <v>15255</v>
      </c>
      <c r="B12127" s="4" t="s">
        <v>15256</v>
      </c>
      <c r="C12127" s="5" t="str">
        <f>IFERROR(__xludf.DUMMYFUNCTION("GOOGLETRANSLATE(B12127,""en"",""zh-CN"")"),"一个人在船后滑雪。")</f>
        <v>一个人在船后滑雪。</v>
      </c>
    </row>
    <row r="12128">
      <c r="A12128" s="4" t="s">
        <v>15255</v>
      </c>
      <c r="B12128" s="4" t="s">
        <v>15257</v>
      </c>
      <c r="C12128" s="5" t="str">
        <f>IFERROR(__xludf.DUMMYFUNCTION("GOOGLETRANSLATE(B12128,""en"",""zh-CN"")"),"在他们身后的水中看到了另一艘船。")</f>
        <v>在他们身后的水中看到了另一艘船。</v>
      </c>
    </row>
    <row r="12129">
      <c r="A12129" s="4" t="s">
        <v>15255</v>
      </c>
      <c r="B12129" s="4" t="s">
        <v>15258</v>
      </c>
      <c r="C12129" s="5" t="str">
        <f>IFERROR(__xludf.DUMMYFUNCTION("GOOGLETRANSLATE(B12129,""en"",""zh-CN"")"),"他们在水中绕着黄锥。")</f>
        <v>他们在水中绕着黄锥。</v>
      </c>
    </row>
    <row r="12130">
      <c r="A12130" s="4" t="s">
        <v>15259</v>
      </c>
      <c r="B12130" s="4" t="s">
        <v>15260</v>
      </c>
      <c r="C12130" s="5" t="str">
        <f>IFERROR(__xludf.DUMMYFUNCTION("GOOGLETRANSLATE(B12130,""en"",""zh-CN"")"),"看到一个男人走在田野上，然后几个人跑回第四。")</f>
        <v>看到一个男人走在田野上，然后几个人跑回第四。</v>
      </c>
    </row>
    <row r="12131">
      <c r="A12131" s="4" t="s">
        <v>15259</v>
      </c>
      <c r="B12131" s="4" t="s">
        <v>15261</v>
      </c>
      <c r="C12131" s="5" t="str">
        <f>IFERROR(__xludf.DUMMYFUNCTION("GOOGLETRANSLATE(B12131,""en"",""zh-CN"")"),"这些人将球扔在院子里，继续在草地上上下跑。")</f>
        <v>这些人将球扔在院子里，继续在草地上上下跑。</v>
      </c>
    </row>
    <row r="12132">
      <c r="A12132" s="4" t="s">
        <v>15262</v>
      </c>
      <c r="B12132" s="4" t="s">
        <v>15263</v>
      </c>
      <c r="C12132" s="5" t="str">
        <f>IFERROR(__xludf.DUMMYFUNCTION("GOOGLETRANSLATE(B12132,""en"",""zh-CN"")"),"两对男人准备好盒子了。")</f>
        <v>两对男人准备好盒子了。</v>
      </c>
    </row>
    <row r="12133">
      <c r="A12133" s="4" t="s">
        <v>15262</v>
      </c>
      <c r="B12133" s="4" t="s">
        <v>15264</v>
      </c>
      <c r="C12133" s="5" t="str">
        <f>IFERROR(__xludf.DUMMYFUNCTION("GOOGLETRANSLATE(B12133,""en"",""zh-CN"")"),"两对男人都可以拳击。")</f>
        <v>两对男人都可以拳击。</v>
      </c>
    </row>
    <row r="12134">
      <c r="A12134" s="4" t="s">
        <v>15262</v>
      </c>
      <c r="B12134" s="4" t="s">
        <v>15265</v>
      </c>
      <c r="C12134" s="5" t="str">
        <f>IFERROR(__xludf.DUMMYFUNCTION("GOOGLETRANSLATE(B12134,""en"",""zh-CN"")"),"看到另一对男人在远处谈论和打手势。")</f>
        <v>看到另一对男人在远处谈论和打手势。</v>
      </c>
    </row>
    <row r="12135">
      <c r="A12135" s="4" t="s">
        <v>15262</v>
      </c>
      <c r="B12135" s="4" t="s">
        <v>15266</v>
      </c>
      <c r="C12135" s="5" t="str">
        <f>IFERROR(__xludf.DUMMYFUNCTION("GOOGLETRANSLATE(B12135,""en"",""zh-CN"")"),"主要的拳击手短暂休息。")</f>
        <v>主要的拳击手短暂休息。</v>
      </c>
    </row>
    <row r="12136">
      <c r="A12136" s="4" t="s">
        <v>15262</v>
      </c>
      <c r="B12136" s="4" t="s">
        <v>15267</v>
      </c>
      <c r="C12136" s="5" t="str">
        <f>IFERROR(__xludf.DUMMYFUNCTION("GOOGLETRANSLATE(B12136,""en"",""zh-CN"")"),"所有小组都停止拳击并开始交谈。")</f>
        <v>所有小组都停止拳击并开始交谈。</v>
      </c>
    </row>
    <row r="12137">
      <c r="A12137" s="4" t="s">
        <v>15262</v>
      </c>
      <c r="B12137" s="4" t="s">
        <v>15268</v>
      </c>
      <c r="C12137" s="5" t="str">
        <f>IFERROR(__xludf.DUMMYFUNCTION("GOOGLETRANSLATE(B12137,""en"",""zh-CN"")"),"其中一名男子开始悬挂在绳子上，向前和向后摆动。")</f>
        <v>其中一名男子开始悬挂在绳子上，向前和向后摆动。</v>
      </c>
    </row>
    <row r="12138">
      <c r="A12138" s="4" t="s">
        <v>15269</v>
      </c>
      <c r="B12138" s="4" t="s">
        <v>15270</v>
      </c>
      <c r="C12138" s="5" t="str">
        <f>IFERROR(__xludf.DUMMYFUNCTION("GOOGLETRANSLATE(B12138,""en"",""zh-CN"")"),"一个穿着黑色背心和黑色紧身裤的女人在垫子上仰卧起坐。")</f>
        <v>一个穿着黑色背心和黑色紧身裤的女人在垫子上仰卧起坐。</v>
      </c>
    </row>
    <row r="12139">
      <c r="A12139" s="4" t="s">
        <v>15269</v>
      </c>
      <c r="B12139" s="4" t="s">
        <v>15271</v>
      </c>
      <c r="C12139" s="5" t="str">
        <f>IFERROR(__xludf.DUMMYFUNCTION("GOOGLETRANSLATE(B12139,""en"",""zh-CN"")"),"她正在健身房的硬木地板上锻炼。")</f>
        <v>她正在健身房的硬木地板上锻炼。</v>
      </c>
    </row>
    <row r="12140">
      <c r="A12140" s="4" t="s">
        <v>15269</v>
      </c>
      <c r="B12140" s="4" t="s">
        <v>15272</v>
      </c>
      <c r="C12140" s="5" t="str">
        <f>IFERROR(__xludf.DUMMYFUNCTION("GOOGLETRANSLATE(B12140,""en"",""zh-CN"")"),"她继续做肚子。")</f>
        <v>她继续做肚子。</v>
      </c>
    </row>
    <row r="12141">
      <c r="A12141" s="4" t="s">
        <v>15273</v>
      </c>
      <c r="B12141" s="4" t="s">
        <v>15274</v>
      </c>
      <c r="C12141" s="5" t="str">
        <f>IFERROR(__xludf.DUMMYFUNCTION("GOOGLETRANSLATE(B12141,""en"",""zh-CN"")"),"介绍将进入秋水杯桌子的特写，并在桌子的几个规格周围铺设。")</f>
        <v>介绍将进入秋水杯桌子的特写，并在桌子的几个规格周围铺设。</v>
      </c>
    </row>
    <row r="12142">
      <c r="A12142" s="4" t="s">
        <v>15273</v>
      </c>
      <c r="B12142" s="6" t="s">
        <v>15275</v>
      </c>
      <c r="C12142" s="5" t="str">
        <f>IFERROR(__xludf.DUMMYFUNCTION("GOOGLETRANSLATE(B12142,""en"",""zh-CN"")"),"看到两个人互相玩耍，而相机在几个地方展示了桌子，男孩们互相扎根。")</f>
        <v>看到两个人互相玩耍，而相机在几个地方展示了桌子，男孩们互相扎根。</v>
      </c>
    </row>
    <row r="12143">
      <c r="A12143" s="4" t="s">
        <v>15276</v>
      </c>
      <c r="B12143" s="4" t="s">
        <v>15277</v>
      </c>
      <c r="C12143" s="5" t="str">
        <f>IFERROR(__xludf.DUMMYFUNCTION("GOOGLETRANSLATE(B12143,""en"",""zh-CN"")"),"使用硬墙上的几种工具显示了人们绘画的各种图片。")</f>
        <v>使用硬墙上的几种工具显示了人们绘画的各种图片。</v>
      </c>
    </row>
    <row r="12144">
      <c r="A12144" s="4" t="s">
        <v>15276</v>
      </c>
      <c r="B12144" s="4" t="s">
        <v>15278</v>
      </c>
      <c r="C12144" s="5" t="str">
        <f>IFERROR(__xludf.DUMMYFUNCTION("GOOGLETRANSLATE(B12144,""en"",""zh-CN"")"),"显示了更多的图片，其中显示了里面显示的各种文本图像的抹灰。")</f>
        <v>显示了更多的图片，其中显示了里面显示的各种文本图像的抹灰。</v>
      </c>
    </row>
    <row r="12145">
      <c r="A12145" s="4" t="s">
        <v>15279</v>
      </c>
      <c r="B12145" s="4" t="s">
        <v>15280</v>
      </c>
      <c r="C12145" s="5" t="str">
        <f>IFERROR(__xludf.DUMMYFUNCTION("GOOGLETRANSLATE(B12145,""en"",""zh-CN"")"),"一个男人正在桌子上组装自行车。")</f>
        <v>一个男人正在桌子上组装自行车。</v>
      </c>
    </row>
    <row r="12146">
      <c r="A12146" s="4" t="s">
        <v>15279</v>
      </c>
      <c r="B12146" s="4" t="s">
        <v>15281</v>
      </c>
      <c r="C12146" s="5" t="str">
        <f>IFERROR(__xludf.DUMMYFUNCTION("GOOGLETRANSLATE(B12146,""en"",""zh-CN"")"),"他正在将训练轮放在自行车的后轮上。")</f>
        <v>他正在将训练轮放在自行车的后轮上。</v>
      </c>
    </row>
    <row r="12147">
      <c r="A12147" s="4" t="s">
        <v>15279</v>
      </c>
      <c r="B12147" s="4" t="s">
        <v>15282</v>
      </c>
      <c r="C12147" s="5" t="str">
        <f>IFERROR(__xludf.DUMMYFUNCTION("GOOGLETRANSLATE(B12147,""en"",""zh-CN"")"),"他把前轮胎放在自行车上。")</f>
        <v>他把前轮胎放在自行车上。</v>
      </c>
    </row>
    <row r="12148">
      <c r="A12148" s="4" t="s">
        <v>15279</v>
      </c>
      <c r="B12148" s="4" t="s">
        <v>15283</v>
      </c>
      <c r="C12148" s="5" t="str">
        <f>IFERROR(__xludf.DUMMYFUNCTION("GOOGLETRANSLATE(B12148,""en"",""zh-CN"")"),"他把车把戴在自行车上。")</f>
        <v>他把车把戴在自行车上。</v>
      </c>
    </row>
    <row r="12149">
      <c r="A12149" s="4" t="s">
        <v>15279</v>
      </c>
      <c r="B12149" s="4" t="s">
        <v>15284</v>
      </c>
      <c r="C12149" s="5" t="str">
        <f>IFERROR(__xludf.DUMMYFUNCTION("GOOGLETRANSLATE(B12149,""en"",""zh-CN"")"),"他把踏板放在自行车上。")</f>
        <v>他把踏板放在自行车上。</v>
      </c>
    </row>
    <row r="12150">
      <c r="A12150" s="4" t="s">
        <v>15279</v>
      </c>
      <c r="B12150" s="4" t="s">
        <v>15285</v>
      </c>
      <c r="C12150" s="5" t="str">
        <f>IFERROR(__xludf.DUMMYFUNCTION("GOOGLETRANSLATE(B12150,""en"",""zh-CN"")"),"他把座位放在自行车上。")</f>
        <v>他把座位放在自行车上。</v>
      </c>
    </row>
    <row r="12151">
      <c r="A12151" s="4" t="s">
        <v>15286</v>
      </c>
      <c r="B12151" s="4" t="s">
        <v>15287</v>
      </c>
      <c r="C12151" s="5" t="str">
        <f>IFERROR(__xludf.DUMMYFUNCTION("GOOGLETRANSLATE(B12151,""en"",""zh-CN"")"),"一个男人挥舞着棒球棒。")</f>
        <v>一个男人挥舞着棒球棒。</v>
      </c>
    </row>
    <row r="12152">
      <c r="A12152" s="4" t="s">
        <v>15286</v>
      </c>
      <c r="B12152" s="4" t="s">
        <v>15288</v>
      </c>
      <c r="C12152" s="5" t="str">
        <f>IFERROR(__xludf.DUMMYFUNCTION("GOOGLETRANSLATE(B12152,""en"",""zh-CN"")"),"他击中了一个球，它上了一个屋顶。")</f>
        <v>他击中了一个球，它上了一个屋顶。</v>
      </c>
    </row>
    <row r="12153">
      <c r="A12153" s="4" t="s">
        <v>15286</v>
      </c>
      <c r="B12153" s="4" t="s">
        <v>15289</v>
      </c>
      <c r="C12153" s="5" t="str">
        <f>IFERROR(__xludf.DUMMYFUNCTION("GOOGLETRANSLATE(B12153,""en"",""zh-CN"")"),"一个男人在奔跑并扔球。")</f>
        <v>一个男人在奔跑并扔球。</v>
      </c>
    </row>
    <row r="12154">
      <c r="A12154" s="4" t="s">
        <v>15290</v>
      </c>
      <c r="B12154" s="4" t="s">
        <v>15291</v>
      </c>
      <c r="C12154" s="5" t="str">
        <f>IFERROR(__xludf.DUMMYFUNCTION("GOOGLETRANSLATE(B12154,""en"",""zh-CN"")"),"一个女人正在将酒精倒入一杯冰中。")</f>
        <v>一个女人正在将酒精倒入一杯冰中。</v>
      </c>
    </row>
    <row r="12155">
      <c r="A12155" s="4" t="s">
        <v>15290</v>
      </c>
      <c r="B12155" s="4" t="s">
        <v>15292</v>
      </c>
      <c r="C12155" s="5" t="str">
        <f>IFERROR(__xludf.DUMMYFUNCTION("GOOGLETRANSLATE(B12155,""en"",""zh-CN"")"),"她摇晃玻璃杯并将其放下。")</f>
        <v>她摇晃玻璃杯并将其放下。</v>
      </c>
    </row>
    <row r="12156">
      <c r="A12156" s="4" t="s">
        <v>15290</v>
      </c>
      <c r="B12156" s="4" t="s">
        <v>15293</v>
      </c>
      <c r="C12156" s="5" t="str">
        <f>IFERROR(__xludf.DUMMYFUNCTION("GOOGLETRANSLATE(B12156,""en"",""zh-CN"")"),"然后，她将其倒入另一杯玻璃杯中，然后粘在其中。")</f>
        <v>然后，她将其倒入另一杯玻璃杯中，然后粘在其中。</v>
      </c>
    </row>
    <row r="12157">
      <c r="A12157" s="4" t="s">
        <v>15290</v>
      </c>
      <c r="B12157" s="4" t="s">
        <v>15294</v>
      </c>
      <c r="C12157" s="5" t="str">
        <f>IFERROR(__xludf.DUMMYFUNCTION("GOOGLETRANSLATE(B12157,""en"",""zh-CN"")"),"她说话时举起饮料。")</f>
        <v>她说话时举起饮料。</v>
      </c>
    </row>
    <row r="12158">
      <c r="A12158" s="4" t="s">
        <v>15295</v>
      </c>
      <c r="B12158" s="6" t="s">
        <v>15296</v>
      </c>
      <c r="C12158" s="5" t="str">
        <f>IFERROR(__xludf.DUMMYFUNCTION("GOOGLETRANSLATE(B12158,""en"",""zh-CN"")"),"两组穿着制服的男子，一件穿着深色衬衫和一件白色衬衫的男子在室内排球场上比赛。")</f>
        <v>两组穿着制服的男子，一件穿着深色衬衫和一件白色衬衫的男子在室内排球场上比赛。</v>
      </c>
    </row>
    <row r="12159">
      <c r="A12159" s="4" t="s">
        <v>15295</v>
      </c>
      <c r="B12159" s="4" t="s">
        <v>15297</v>
      </c>
      <c r="C12159" s="5" t="str">
        <f>IFERROR(__xludf.DUMMYFUNCTION("GOOGLETRANSLATE(B12159,""en"",""zh-CN"")"),"黑暗的球衣穿着17次向地面潜水以拯救球。")</f>
        <v>黑暗的球衣穿着17次向地面潜水以拯救球。</v>
      </c>
    </row>
    <row r="12160">
      <c r="A12160" s="4" t="s">
        <v>15295</v>
      </c>
      <c r="B12160" s="6" t="s">
        <v>15298</v>
      </c>
      <c r="C12160" s="5" t="str">
        <f>IFERROR(__xludf.DUMMYFUNCTION("GOOGLETRANSLATE(B12160,""en"",""zh-CN"")"),"一名穿着深色衬衫的团队成员尖刺球，但它脱颖而出，较轻的衬衫欢呼雀跃，而那个尖叫球的家伙失望地弯腰。")</f>
        <v>一名穿着深色衬衫的团队成员尖刺球，但它脱颖而出，较轻的衬衫欢呼雀跃，而那个尖叫球的家伙失望地弯腰。</v>
      </c>
    </row>
    <row r="12161">
      <c r="A12161" s="4" t="s">
        <v>15299</v>
      </c>
      <c r="B12161" s="4" t="s">
        <v>15300</v>
      </c>
      <c r="C12161" s="5" t="str">
        <f>IFERROR(__xludf.DUMMYFUNCTION("GOOGLETRANSLATE(B12161,""en"",""zh-CN"")"),"两个真空较高，一个更短的真空。")</f>
        <v>两个真空较高，一个更短的真空。</v>
      </c>
    </row>
    <row r="12162">
      <c r="A12162" s="4" t="s">
        <v>15299</v>
      </c>
      <c r="B12162" s="6" t="s">
        <v>15301</v>
      </c>
      <c r="C12162" s="5" t="str">
        <f>IFERROR(__xludf.DUMMYFUNCTION("GOOGLETRANSLATE(B12162,""en"",""zh-CN"")"),"真空被用于地毯，木地板，拐角处，桌子下方和垃圾桶的侧面，然后是地毯。")</f>
        <v>真空被用于地毯，木地板，拐角处，桌子下方和垃圾桶的侧面，然后是地毯。</v>
      </c>
    </row>
    <row r="12163">
      <c r="A12163" s="4" t="s">
        <v>15299</v>
      </c>
      <c r="B12163" s="6" t="s">
        <v>15302</v>
      </c>
      <c r="C12163" s="5" t="str">
        <f>IFERROR(__xludf.DUMMYFUNCTION("GOOGLETRANSLATE(B12163,""en"",""zh-CN"")"),"一只手正在拉出管子，用管子真空楼梯和天花板的角落，然后一只手拿出管子，从透明管中扔掉了灰尘。")</f>
        <v>一只手正在拉出管子，用管子真空楼梯和天花板的角落，然后一只手拿出管子，从透明管中扔掉了灰尘。</v>
      </c>
    </row>
    <row r="12164">
      <c r="A12164" s="4" t="s">
        <v>15299</v>
      </c>
      <c r="B12164" s="4" t="s">
        <v>15303</v>
      </c>
      <c r="C12164" s="5" t="str">
        <f>IFERROR(__xludf.DUMMYFUNCTION("GOOGLETRANSLATE(B12164,""en"",""zh-CN"")"),"一个女人正在携带真空，并将其放入存储空间中。")</f>
        <v>一个女人正在携带真空，并将其放入存储空间中。</v>
      </c>
    </row>
    <row r="12165">
      <c r="A12165" s="4" t="s">
        <v>15299</v>
      </c>
      <c r="B12165" s="4" t="s">
        <v>15304</v>
      </c>
      <c r="C12165" s="5" t="str">
        <f>IFERROR(__xludf.DUMMYFUNCTION("GOOGLETRANSLATE(B12165,""en"",""zh-CN"")"),"一个女人在工厂行走，然后一个人用白色的床单画真空。")</f>
        <v>一个女人在工厂行走，然后一个人用白色的床单画真空。</v>
      </c>
    </row>
    <row r="12166">
      <c r="A12166" s="4" t="s">
        <v>15305</v>
      </c>
      <c r="B12166" s="4" t="s">
        <v>15306</v>
      </c>
      <c r="C12166" s="5" t="str">
        <f>IFERROR(__xludf.DUMMYFUNCTION("GOOGLETRANSLATE(B12166,""en"",""zh-CN"")"),"一个人熨烫一张牛皮纸。")</f>
        <v>一个人熨烫一张牛皮纸。</v>
      </c>
    </row>
    <row r="12167">
      <c r="A12167" s="4" t="s">
        <v>15305</v>
      </c>
      <c r="B12167" s="4" t="s">
        <v>15307</v>
      </c>
      <c r="C12167" s="5" t="str">
        <f>IFERROR(__xludf.DUMMYFUNCTION("GOOGLETRANSLATE(B12167,""en"",""zh-CN"")"),"该人将铁翻转到周围并继续熨烫。")</f>
        <v>该人将铁翻转到周围并继续熨烫。</v>
      </c>
    </row>
    <row r="12168">
      <c r="A12168" s="4" t="s">
        <v>15305</v>
      </c>
      <c r="B12168" s="4" t="s">
        <v>15308</v>
      </c>
      <c r="C12168" s="5" t="str">
        <f>IFERROR(__xludf.DUMMYFUNCTION("GOOGLETRANSLATE(B12168,""en"",""zh-CN"")"),"将熨烫的纸剥下来，将其放下。")</f>
        <v>将熨烫的纸剥下来，将其放下。</v>
      </c>
    </row>
    <row r="12169">
      <c r="A12169" s="4" t="s">
        <v>15305</v>
      </c>
      <c r="B12169" s="4" t="s">
        <v>15309</v>
      </c>
      <c r="C12169" s="5" t="str">
        <f>IFERROR(__xludf.DUMMYFUNCTION("GOOGLETRANSLATE(B12169,""en"",""zh-CN"")"),"该人将铁放在新的棕色纸上。")</f>
        <v>该人将铁放在新的棕色纸上。</v>
      </c>
    </row>
    <row r="12170">
      <c r="A12170" s="4" t="s">
        <v>15310</v>
      </c>
      <c r="B12170" s="4" t="s">
        <v>15311</v>
      </c>
      <c r="C12170" s="5" t="str">
        <f>IFERROR(__xludf.DUMMYFUNCTION("GOOGLETRANSLATE(B12170,""en"",""zh-CN"")"),"一群人看着比赛过去的几名跑步者。")</f>
        <v>一群人看着比赛过去的几名跑步者。</v>
      </c>
    </row>
    <row r="12171">
      <c r="A12171" s="4" t="s">
        <v>15310</v>
      </c>
      <c r="B12171" s="4" t="s">
        <v>15312</v>
      </c>
      <c r="C12171" s="5" t="str">
        <f>IFERROR(__xludf.DUMMYFUNCTION("GOOGLETRANSLATE(B12171,""en"",""zh-CN"")"),"他们都在慢跑，在比赛结束时进入。")</f>
        <v>他们都在慢跑，在比赛结束时进入。</v>
      </c>
    </row>
    <row r="12172">
      <c r="A12172" s="4" t="s">
        <v>15313</v>
      </c>
      <c r="B12172" s="4" t="s">
        <v>15314</v>
      </c>
      <c r="C12172" s="5" t="str">
        <f>IFERROR(__xludf.DUMMYFUNCTION("GOOGLETRANSLATE(B12172,""en"",""zh-CN"")"),"一只猫在浴室的女人的腿上。")</f>
        <v>一只猫在浴室的女人的腿上。</v>
      </c>
    </row>
    <row r="12173">
      <c r="A12173" s="4" t="s">
        <v>15313</v>
      </c>
      <c r="B12173" s="4" t="s">
        <v>15315</v>
      </c>
      <c r="C12173" s="5" t="str">
        <f>IFERROR(__xludf.DUMMYFUNCTION("GOOGLETRANSLATE(B12173,""en"",""zh-CN"")"),"她把毛巾拉到猫的头上。")</f>
        <v>她把毛巾拉到猫的头上。</v>
      </c>
    </row>
    <row r="12174">
      <c r="A12174" s="4" t="s">
        <v>15313</v>
      </c>
      <c r="B12174" s="4" t="s">
        <v>15316</v>
      </c>
      <c r="C12174" s="5" t="str">
        <f>IFERROR(__xludf.DUMMYFUNCTION("GOOGLETRANSLATE(B12174,""en"",""zh-CN"")"),"然后，她轻轻尝试一次夹住他的爪子。")</f>
        <v>然后，她轻轻尝试一次夹住他的爪子。</v>
      </c>
    </row>
    <row r="12175">
      <c r="A12175" s="4" t="s">
        <v>15317</v>
      </c>
      <c r="B12175" s="4" t="s">
        <v>15318</v>
      </c>
      <c r="C12175" s="5" t="str">
        <f>IFERROR(__xludf.DUMMYFUNCTION("GOOGLETRANSLATE(B12175,""en"",""zh-CN"")"),"一个女人正在用黄色海绵擦洗白色椅子。")</f>
        <v>一个女人正在用黄色海绵擦洗白色椅子。</v>
      </c>
    </row>
    <row r="12176">
      <c r="A12176" s="4" t="s">
        <v>15317</v>
      </c>
      <c r="B12176" s="4" t="s">
        <v>15319</v>
      </c>
      <c r="C12176" s="5" t="str">
        <f>IFERROR(__xludf.DUMMYFUNCTION("GOOGLETRANSLATE(B12176,""en"",""zh-CN"")"),"她现在正在将东西倒在抹布上，洗了白色的桌子。")</f>
        <v>她现在正在将东西倒在抹布上，洗了白色的桌子。</v>
      </c>
    </row>
    <row r="12177">
      <c r="A12177" s="4" t="s">
        <v>15317</v>
      </c>
      <c r="B12177" s="4" t="s">
        <v>15320</v>
      </c>
      <c r="C12177" s="5" t="str">
        <f>IFERROR(__xludf.DUMMYFUNCTION("GOOGLETRANSLATE(B12177,""en"",""zh-CN"")"),"她正在喷漆她刚洗过的椅子和桌子。")</f>
        <v>她正在喷漆她刚洗过的椅子和桌子。</v>
      </c>
    </row>
    <row r="12178">
      <c r="A12178" s="4" t="s">
        <v>15317</v>
      </c>
      <c r="B12178" s="4" t="s">
        <v>15321</v>
      </c>
      <c r="C12178" s="5" t="str">
        <f>IFERROR(__xludf.DUMMYFUNCTION("GOOGLETRANSLATE(B12178,""en"",""zh-CN"")"),"显示了成品家具。")</f>
        <v>显示了成品家具。</v>
      </c>
    </row>
    <row r="12179">
      <c r="A12179" s="4" t="s">
        <v>15322</v>
      </c>
      <c r="B12179" s="4" t="s">
        <v>15323</v>
      </c>
      <c r="C12179" s="5" t="str">
        <f>IFERROR(__xludf.DUMMYFUNCTION("GOOGLETRANSLATE(B12179,""en"",""zh-CN"")"),"一个小孩坐在鼓盘上演奏。")</f>
        <v>一个小孩坐在鼓盘上演奏。</v>
      </c>
    </row>
    <row r="12180">
      <c r="A12180" s="4" t="s">
        <v>15322</v>
      </c>
      <c r="B12180" s="4" t="s">
        <v>15324</v>
      </c>
      <c r="C12180" s="5" t="str">
        <f>IFERROR(__xludf.DUMMYFUNCTION("GOOGLETRANSLATE(B12180,""en"",""zh-CN"")"),"用他的脚做底座，然后像天然一样在军鼓上击鼓。")</f>
        <v>用他的脚做底座，然后像天然一样在军鼓上击鼓。</v>
      </c>
    </row>
    <row r="12181">
      <c r="A12181" s="4" t="s">
        <v>15322</v>
      </c>
      <c r="B12181" s="4" t="s">
        <v>15325</v>
      </c>
      <c r="C12181" s="5" t="str">
        <f>IFERROR(__xludf.DUMMYFUNCTION("GOOGLETRANSLATE(B12181,""en"",""zh-CN"")"),"一个女人和孩子一起弹钢琴。")</f>
        <v>一个女人和孩子一起弹钢琴。</v>
      </c>
    </row>
    <row r="12182">
      <c r="A12182" s="4" t="s">
        <v>15322</v>
      </c>
      <c r="B12182" s="4" t="s">
        <v>15326</v>
      </c>
      <c r="C12182" s="5" t="str">
        <f>IFERROR(__xludf.DUMMYFUNCTION("GOOGLETRANSLATE(B12182,""en"",""zh-CN"")"),"他们坐着很少的观众看着他们表演。")</f>
        <v>他们坐着很少的观众看着他们表演。</v>
      </c>
    </row>
    <row r="12183">
      <c r="A12183" s="4" t="s">
        <v>15327</v>
      </c>
      <c r="B12183" s="4" t="s">
        <v>15328</v>
      </c>
      <c r="C12183" s="5" t="str">
        <f>IFERROR(__xludf.DUMMYFUNCTION("GOOGLETRANSLATE(B12183,""en"",""zh-CN"")"),"一个穿着蓝色制服的男人正在与穿着全红色制服的男性作战。")</f>
        <v>一个穿着蓝色制服的男人正在与穿着全红色制服的男性作战。</v>
      </c>
    </row>
    <row r="12184">
      <c r="A12184" s="4" t="s">
        <v>15327</v>
      </c>
      <c r="B12184" s="4" t="s">
        <v>15329</v>
      </c>
      <c r="C12184" s="5" t="str">
        <f>IFERROR(__xludf.DUMMYFUNCTION("GOOGLETRANSLATE(B12184,""en"",""zh-CN"")"),"那个穿着红色的男人，把他捡起来，将他丢在摔跤比赛中。")</f>
        <v>那个穿着红色的男人，把他捡起来，将他丢在摔跤比赛中。</v>
      </c>
    </row>
    <row r="12185">
      <c r="A12185" s="4" t="s">
        <v>15327</v>
      </c>
      <c r="B12185" s="4" t="s">
        <v>15330</v>
      </c>
      <c r="C12185" s="5" t="str">
        <f>IFERROR(__xludf.DUMMYFUNCTION("GOOGLETRANSLATE(B12185,""en"",""zh-CN"")"),"之后，裁判摔倒并击倒了比赛末端的垫子。")</f>
        <v>之后，裁判摔倒并击倒了比赛末端的垫子。</v>
      </c>
    </row>
    <row r="12186">
      <c r="A12186" s="4" t="s">
        <v>15331</v>
      </c>
      <c r="B12186" s="4" t="s">
        <v>15332</v>
      </c>
      <c r="C12186" s="5" t="str">
        <f>IFERROR(__xludf.DUMMYFUNCTION("GOOGLETRANSLATE(B12186,""en"",""zh-CN"")"),"一个年轻的女人在微笑时说话。")</f>
        <v>一个年轻的女人在微笑时说话。</v>
      </c>
    </row>
    <row r="12187">
      <c r="A12187" s="4" t="s">
        <v>15331</v>
      </c>
      <c r="B12187" s="4" t="s">
        <v>15333</v>
      </c>
      <c r="C12187" s="5" t="str">
        <f>IFERROR(__xludf.DUMMYFUNCTION("GOOGLETRANSLATE(B12187,""en"",""zh-CN"")"),"她挤压了右眼的一侧，戳了一个隐形眼镜。")</f>
        <v>她挤压了右眼的一侧，戳了一个隐形眼镜。</v>
      </c>
    </row>
    <row r="12188">
      <c r="A12188" s="4" t="s">
        <v>15331</v>
      </c>
      <c r="B12188" s="4" t="s">
        <v>15334</v>
      </c>
      <c r="C12188" s="5" t="str">
        <f>IFERROR(__xludf.DUMMYFUNCTION("GOOGLETRANSLATE(B12188,""en"",""zh-CN"")"),"她移到左眼上，戳了一个隐形眼镜。")</f>
        <v>她移到左眼上，戳了一个隐形眼镜。</v>
      </c>
    </row>
    <row r="12189">
      <c r="A12189" s="4" t="s">
        <v>15335</v>
      </c>
      <c r="B12189" s="4" t="s">
        <v>15336</v>
      </c>
      <c r="C12189" s="5" t="str">
        <f>IFERROR(__xludf.DUMMYFUNCTION("GOOGLETRANSLATE(B12189,""en"",""zh-CN"")"),"一群女玩家走到教练后面的法庭上。")</f>
        <v>一群女玩家走到教练后面的法庭上。</v>
      </c>
    </row>
    <row r="12190">
      <c r="A12190" s="4" t="s">
        <v>15335</v>
      </c>
      <c r="B12190" s="4" t="s">
        <v>15337</v>
      </c>
      <c r="C12190" s="5" t="str">
        <f>IFERROR(__xludf.DUMMYFUNCTION("GOOGLETRANSLATE(B12190,""en"",""zh-CN"")"),"他们参加了曲棍球比赛，用蝙蝠为球而战。")</f>
        <v>他们参加了曲棍球比赛，用蝙蝠为球而战。</v>
      </c>
    </row>
    <row r="12191">
      <c r="A12191" s="4" t="s">
        <v>15335</v>
      </c>
      <c r="B12191" s="4" t="s">
        <v>15338</v>
      </c>
      <c r="C12191" s="5" t="str">
        <f>IFERROR(__xludf.DUMMYFUNCTION("GOOGLETRANSLATE(B12191,""en"",""zh-CN"")"),"女孩们用鲜花和拥抱庆祝自己的胜利。")</f>
        <v>女孩们用鲜花和拥抱庆祝自己的胜利。</v>
      </c>
    </row>
    <row r="12192">
      <c r="A12192" s="4" t="s">
        <v>15339</v>
      </c>
      <c r="B12192" s="4" t="s">
        <v>15340</v>
      </c>
      <c r="C12192" s="5" t="str">
        <f>IFERROR(__xludf.DUMMYFUNCTION("GOOGLETRANSLATE(B12192,""en"",""zh-CN"")"),"看到一名体操运动员站在他的手臂上站立，在木板上啤酒。")</f>
        <v>看到一名体操运动员站在他的手臂上站立，在木板上啤酒。</v>
      </c>
    </row>
    <row r="12193">
      <c r="A12193" s="4" t="s">
        <v>15339</v>
      </c>
      <c r="B12193" s="4" t="s">
        <v>15341</v>
      </c>
      <c r="C12193" s="5" t="str">
        <f>IFERROR(__xludf.DUMMYFUNCTION("GOOGLETRANSLATE(B12193,""en"",""zh-CN"")"),"然后，他开始四处旋转，而法官在侧面看着。")</f>
        <v>然后，他开始四处旋转，而法官在侧面看着。</v>
      </c>
    </row>
    <row r="12194">
      <c r="A12194" s="4" t="s">
        <v>15339</v>
      </c>
      <c r="B12194" s="4" t="s">
        <v>15342</v>
      </c>
      <c r="C12194" s="5" t="str">
        <f>IFERROR(__xludf.DUMMYFUNCTION("GOOGLETRANSLATE(B12194,""en"",""zh-CN"")"),"他继续例行工作，双臂跳下来。")</f>
        <v>他继续例行工作，双臂跳下来。</v>
      </c>
    </row>
    <row r="12195">
      <c r="A12195" s="4" t="s">
        <v>15343</v>
      </c>
      <c r="B12195" s="6" t="s">
        <v>15344</v>
      </c>
      <c r="C12195" s="5" t="str">
        <f>IFERROR(__xludf.DUMMYFUNCTION("GOOGLETRANSLATE(B12195,""en"",""zh-CN"")"),"一个新的细分市场导致一个女人在相机上说话并举起弓箭的剪辑。")</f>
        <v>一个新的细分市场导致一个女人在相机上说话并举起弓箭的剪辑。</v>
      </c>
    </row>
    <row r="12196">
      <c r="A12196" s="4" t="s">
        <v>15343</v>
      </c>
      <c r="B12196" s="4" t="s">
        <v>15345</v>
      </c>
      <c r="C12196" s="5" t="str">
        <f>IFERROR(__xludf.DUMMYFUNCTION("GOOGLETRANSLATE(B12196,""en"",""zh-CN"")"),"女孩在仍在与镜头说话并弯曲弓的同时射击弓。")</f>
        <v>女孩在仍在与镜头说话并弯曲弓的同时射击弓。</v>
      </c>
    </row>
    <row r="12197">
      <c r="A12197" s="4" t="s">
        <v>15343</v>
      </c>
      <c r="B12197" s="4" t="s">
        <v>15346</v>
      </c>
      <c r="C12197" s="5" t="str">
        <f>IFERROR(__xludf.DUMMYFUNCTION("GOOGLETRANSLATE(B12197,""en"",""zh-CN"")"),"她继续说话时继续说话，并向相机炫耀图片。")</f>
        <v>她继续说话时继续说话，并向相机炫耀图片。</v>
      </c>
    </row>
    <row r="12198">
      <c r="A12198" s="4" t="s">
        <v>15347</v>
      </c>
      <c r="B12198" s="4" t="s">
        <v>15348</v>
      </c>
      <c r="C12198" s="5" t="str">
        <f>IFERROR(__xludf.DUMMYFUNCTION("GOOGLETRANSLATE(B12198,""en"",""zh-CN"")"),"一个女孩坐在展位上时跳舞。")</f>
        <v>一个女孩坐在展位上时跳舞。</v>
      </c>
    </row>
    <row r="12199">
      <c r="A12199" s="4" t="s">
        <v>15347</v>
      </c>
      <c r="B12199" s="4" t="s">
        <v>15349</v>
      </c>
      <c r="C12199" s="5" t="str">
        <f>IFERROR(__xludf.DUMMYFUNCTION("GOOGLETRANSLATE(B12199,""en"",""zh-CN"")"),"女孩将食材混合在一起。")</f>
        <v>女孩将食材混合在一起。</v>
      </c>
    </row>
    <row r="12200">
      <c r="A12200" s="4" t="s">
        <v>15347</v>
      </c>
      <c r="B12200" s="4" t="s">
        <v>15350</v>
      </c>
      <c r="C12200" s="5" t="str">
        <f>IFERROR(__xludf.DUMMYFUNCTION("GOOGLETRANSLATE(B12200,""en"",""zh-CN"")"),"女孩在锅中添加干食材。")</f>
        <v>女孩在锅中添加干食材。</v>
      </c>
    </row>
    <row r="12201">
      <c r="A12201" s="4" t="s">
        <v>15347</v>
      </c>
      <c r="B12201" s="4" t="s">
        <v>15351</v>
      </c>
      <c r="C12201" s="5" t="str">
        <f>IFERROR(__xludf.DUMMYFUNCTION("GOOGLETRANSLATE(B12201,""en"",""zh-CN"")"),"女孩将番茄和鸡蛋从盘子加到锅中。")</f>
        <v>女孩将番茄和鸡蛋从盘子加到锅中。</v>
      </c>
    </row>
    <row r="12202">
      <c r="A12202" s="4" t="s">
        <v>15347</v>
      </c>
      <c r="B12202" s="4" t="s">
        <v>15352</v>
      </c>
      <c r="C12202" s="5" t="str">
        <f>IFERROR(__xludf.DUMMYFUNCTION("GOOGLETRANSLATE(B12202,""en"",""zh-CN"")"),"女孩们挥手告别，靠在展位上。")</f>
        <v>女孩们挥手告别，靠在展位上。</v>
      </c>
    </row>
    <row r="12203">
      <c r="A12203" s="4" t="s">
        <v>15353</v>
      </c>
      <c r="B12203" s="4" t="s">
        <v>15354</v>
      </c>
      <c r="C12203" s="5" t="str">
        <f>IFERROR(__xludf.DUMMYFUNCTION("GOOGLETRANSLATE(B12203,""en"",""zh-CN"")"),"在马球俱乐部外面有一匹棕色马。")</f>
        <v>在马球俱乐部外面有一匹棕色马。</v>
      </c>
    </row>
    <row r="12204">
      <c r="A12204" s="4" t="s">
        <v>15353</v>
      </c>
      <c r="B12204" s="4" t="s">
        <v>15355</v>
      </c>
      <c r="C12204" s="5" t="str">
        <f>IFERROR(__xludf.DUMMYFUNCTION("GOOGLETRANSLATE(B12204,""en"",""zh-CN"")"),"在活动中，有几个骑师在场上玩马球。")</f>
        <v>在活动中，有几个骑师在场上玩马球。</v>
      </c>
    </row>
    <row r="12205">
      <c r="A12205" s="4" t="s">
        <v>15353</v>
      </c>
      <c r="B12205" s="4" t="s">
        <v>15356</v>
      </c>
      <c r="C12205" s="5" t="str">
        <f>IFERROR(__xludf.DUMMYFUNCTION("GOOGLETRANSLATE(B12205,""en"",""zh-CN"")"),"还有几个观众站着观看活动。")</f>
        <v>还有几个观众站着观看活动。</v>
      </c>
    </row>
    <row r="12206">
      <c r="A12206" s="4" t="s">
        <v>15353</v>
      </c>
      <c r="B12206" s="4" t="s">
        <v>15357</v>
      </c>
      <c r="C12206" s="5" t="str">
        <f>IFERROR(__xludf.DUMMYFUNCTION("GOOGLETRANSLATE(B12206,""en"",""zh-CN"")"),"一位马球运动员正在赛马骑马。")</f>
        <v>一位马球运动员正在赛马骑马。</v>
      </c>
    </row>
    <row r="12207">
      <c r="A12207" s="4" t="s">
        <v>15353</v>
      </c>
      <c r="B12207" s="4" t="s">
        <v>15358</v>
      </c>
      <c r="C12207" s="5" t="str">
        <f>IFERROR(__xludf.DUMMYFUNCTION("GOOGLETRANSLATE(B12207,""en"",""zh-CN"")"),"Polo的另一场比赛发生在几个观众正在观看的地方。")</f>
        <v>Polo的另一场比赛发生在几个观众正在观看的地方。</v>
      </c>
    </row>
    <row r="12208">
      <c r="A12208" s="4" t="s">
        <v>15353</v>
      </c>
      <c r="B12208" s="4" t="s">
        <v>15359</v>
      </c>
      <c r="C12208" s="5" t="str">
        <f>IFERROR(__xludf.DUMMYFUNCTION("GOOGLETRANSLATE(B12208,""en"",""zh-CN"")"),"活动结束后，法官将奖励获奖者。")</f>
        <v>活动结束后，法官将奖励获奖者。</v>
      </c>
    </row>
    <row r="12209">
      <c r="A12209" s="4" t="s">
        <v>15353</v>
      </c>
      <c r="B12209" s="4" t="s">
        <v>15360</v>
      </c>
      <c r="C12209" s="5" t="str">
        <f>IFERROR(__xludf.DUMMYFUNCTION("GOOGLETRANSLATE(B12209,""en"",""zh-CN"")"),"该场上有一个英国旗帜高高的旗帜。")</f>
        <v>该场上有一个英国旗帜高高的旗帜。</v>
      </c>
    </row>
    <row r="12210">
      <c r="A12210" s="4" t="s">
        <v>15361</v>
      </c>
      <c r="B12210" s="4" t="s">
        <v>15362</v>
      </c>
      <c r="C12210" s="5" t="str">
        <f>IFERROR(__xludf.DUMMYFUNCTION("GOOGLETRANSLATE(B12210,""en"",""zh-CN"")"),"一名肚皮舞者从窗帘后面走到舞台上。")</f>
        <v>一名肚皮舞者从窗帘后面走到舞台上。</v>
      </c>
    </row>
    <row r="12211">
      <c r="A12211" s="4" t="s">
        <v>15361</v>
      </c>
      <c r="B12211" s="4" t="s">
        <v>15363</v>
      </c>
      <c r="C12211" s="5" t="str">
        <f>IFERROR(__xludf.DUMMYFUNCTION("GOOGLETRANSLATE(B12211,""en"",""zh-CN"")"),"肚皮舞者在舞台上跳舞，颤抖着她的臀部和身体。")</f>
        <v>肚皮舞者在舞台上跳舞，颤抖着她的臀部和身体。</v>
      </c>
    </row>
    <row r="12212">
      <c r="A12212" s="4" t="s">
        <v>15361</v>
      </c>
      <c r="B12212" s="4" t="s">
        <v>15364</v>
      </c>
      <c r="C12212" s="5" t="str">
        <f>IFERROR(__xludf.DUMMYFUNCTION("GOOGLETRANSLATE(B12212,""en"",""zh-CN"")"),"表演期间，肚皮舞者在圆圈中旋转。")</f>
        <v>表演期间，肚皮舞者在圆圈中旋转。</v>
      </c>
    </row>
    <row r="12213">
      <c r="A12213" s="4" t="s">
        <v>15361</v>
      </c>
      <c r="B12213" s="4" t="s">
        <v>15365</v>
      </c>
      <c r="C12213" s="5" t="str">
        <f>IFERROR(__xludf.DUMMYFUNCTION("GOOGLETRANSLATE(B12213,""en"",""zh-CN"")"),"舞者回到观众和舞蹈。")</f>
        <v>舞者回到观众和舞蹈。</v>
      </c>
    </row>
    <row r="12214">
      <c r="A12214" s="4" t="s">
        <v>15361</v>
      </c>
      <c r="B12214" s="4" t="s">
        <v>15366</v>
      </c>
      <c r="C12214" s="5" t="str">
        <f>IFERROR(__xludf.DUMMYFUNCTION("GOOGLETRANSLATE(B12214,""en"",""zh-CN"")"),"舞者在表演结束时鞠躬。")</f>
        <v>舞者在表演结束时鞠躬。</v>
      </c>
    </row>
    <row r="12215">
      <c r="A12215" s="4" t="s">
        <v>15367</v>
      </c>
      <c r="B12215" s="4" t="s">
        <v>15368</v>
      </c>
      <c r="C12215" s="5" t="str">
        <f>IFERROR(__xludf.DUMMYFUNCTION("GOOGLETRANSLATE(B12215,""en"",""zh-CN"")"),"有两个孩子在一辆小车里看着一个小孩子，拿着一根杆子击中了闪电麦昆·皮纳塔。")</f>
        <v>有两个孩子在一辆小车里看着一个小孩子，拿着一根杆子击中了闪电麦昆·皮纳塔。</v>
      </c>
    </row>
    <row r="12216">
      <c r="A12216" s="4" t="s">
        <v>15367</v>
      </c>
      <c r="B12216" s="4" t="s">
        <v>15369</v>
      </c>
      <c r="C12216" s="5" t="str">
        <f>IFERROR(__xludf.DUMMYFUNCTION("GOOGLETRANSLATE(B12216,""en"",""zh-CN"")"),"人们聚集在小孩子周围。")</f>
        <v>人们聚集在小孩子周围。</v>
      </c>
    </row>
    <row r="12217">
      <c r="A12217" s="4" t="s">
        <v>15370</v>
      </c>
      <c r="B12217" s="4" t="s">
        <v>15371</v>
      </c>
      <c r="C12217" s="5" t="str">
        <f>IFERROR(__xludf.DUMMYFUNCTION("GOOGLETRANSLATE(B12217,""en"",""zh-CN"")"),"有两个人谈论特技男子使用的高跷。")</f>
        <v>有两个人谈论特技男子使用的高跷。</v>
      </c>
    </row>
    <row r="12218">
      <c r="A12218" s="4" t="s">
        <v>15370</v>
      </c>
      <c r="B12218" s="4" t="s">
        <v>15372</v>
      </c>
      <c r="C12218" s="5" t="str">
        <f>IFERROR(__xludf.DUMMYFUNCTION("GOOGLETRANSLATE(B12218,""en"",""zh-CN"")"),"他们站在几家俱乐部和餐馆附近的街道上。")</f>
        <v>他们站在几家俱乐部和餐馆附近的街道上。</v>
      </c>
    </row>
    <row r="12219">
      <c r="A12219" s="4" t="s">
        <v>15370</v>
      </c>
      <c r="B12219" s="4" t="s">
        <v>15373</v>
      </c>
      <c r="C12219" s="5" t="str">
        <f>IFERROR(__xludf.DUMMYFUNCTION("GOOGLETRANSLATE(B12219,""en"",""zh-CN"")"),"其中一名男子正在证明如何在特技中使用高跷。")</f>
        <v>其中一名男子正在证明如何在特技中使用高跷。</v>
      </c>
    </row>
    <row r="12220">
      <c r="A12220" s="4" t="s">
        <v>15370</v>
      </c>
      <c r="B12220" s="6" t="s">
        <v>15374</v>
      </c>
      <c r="C12220" s="5" t="str">
        <f>IFERROR(__xludf.DUMMYFUNCTION("GOOGLETRANSLATE(B12220,""en"",""zh-CN"")"),"穿着白衬衫的那个家伙亨利（Henry）展示了他可以跳高高跷并表演特技表演。")</f>
        <v>穿着白衬衫的那个家伙亨利（Henry）展示了他可以跳高高跷并表演特技表演。</v>
      </c>
    </row>
    <row r="12221">
      <c r="A12221" s="4" t="s">
        <v>15370</v>
      </c>
      <c r="B12221" s="4" t="s">
        <v>15375</v>
      </c>
      <c r="C12221" s="5" t="str">
        <f>IFERROR(__xludf.DUMMYFUNCTION("GOOGLETRANSLATE(B12221,""en"",""zh-CN"")"),"他展示了许多技巧，说明他如何跳高和坐在长凳和桌子上。")</f>
        <v>他展示了许多技巧，说明他如何跳高和坐在长凳和桌子上。</v>
      </c>
    </row>
    <row r="12222">
      <c r="A12222" s="4" t="s">
        <v>15370</v>
      </c>
      <c r="B12222" s="4" t="s">
        <v>15376</v>
      </c>
      <c r="C12222" s="5" t="str">
        <f>IFERROR(__xludf.DUMMYFUNCTION("GOOGLETRANSLATE(B12222,""en"",""zh-CN"")"),"他展示了他如何在街道和公园里使用电源立管跳跃技巧。")</f>
        <v>他展示了他如何在街道和公园里使用电源立管跳跃技巧。</v>
      </c>
    </row>
    <row r="12223">
      <c r="A12223" s="4" t="s">
        <v>15377</v>
      </c>
      <c r="B12223" s="6" t="s">
        <v>15378</v>
      </c>
      <c r="C12223" s="5" t="str">
        <f>IFERROR(__xludf.DUMMYFUNCTION("GOOGLETRANSLATE(B12223,""en"",""zh-CN"")"),"看到一个女人在舞台上表演肚皮舞的例行活动，背景挂在背景上。")</f>
        <v>看到一个女人在舞台上表演肚皮舞的例行活动，背景挂在背景上。</v>
      </c>
    </row>
    <row r="12224">
      <c r="A12224" s="4" t="s">
        <v>15377</v>
      </c>
      <c r="B12224" s="4" t="s">
        <v>15379</v>
      </c>
      <c r="C12224" s="5" t="str">
        <f>IFERROR(__xludf.DUMMYFUNCTION("GOOGLETRANSLATE(B12224,""en"",""zh-CN"")"),"她继续表演例程，并通过旋转和摆姿势结束。")</f>
        <v>她继续表演例程，并通过旋转和摆姿势结束。</v>
      </c>
    </row>
    <row r="12225">
      <c r="A12225" s="4" t="s">
        <v>15380</v>
      </c>
      <c r="B12225" s="4" t="s">
        <v>15381</v>
      </c>
      <c r="C12225" s="5" t="str">
        <f>IFERROR(__xludf.DUMMYFUNCTION("GOOGLETRANSLATE(B12225,""en"",""zh-CN"")"),"看到一大批人站在周围，彼此微笑。")</f>
        <v>看到一大批人站在周围，彼此微笑。</v>
      </c>
    </row>
    <row r="12226">
      <c r="A12226" s="4" t="s">
        <v>15380</v>
      </c>
      <c r="B12226" s="4" t="s">
        <v>15382</v>
      </c>
      <c r="C12226" s="5" t="str">
        <f>IFERROR(__xludf.DUMMYFUNCTION("GOOGLETRANSLATE(B12226,""en"",""zh-CN"")"),"他们开始演奏一组鼓，而看到另一个男人弹钢琴。")</f>
        <v>他们开始演奏一组鼓，而看到另一个男人弹钢琴。</v>
      </c>
    </row>
    <row r="12227">
      <c r="A12227" s="4" t="s">
        <v>15380</v>
      </c>
      <c r="B12227" s="4" t="s">
        <v>15383</v>
      </c>
      <c r="C12227" s="5" t="str">
        <f>IFERROR(__xludf.DUMMYFUNCTION("GOOGLETRANSLATE(B12227,""en"",""zh-CN"")"),"越来越多的人在音乐上跳舞。")</f>
        <v>越来越多的人在音乐上跳舞。</v>
      </c>
    </row>
    <row r="12228">
      <c r="A12228" s="4" t="s">
        <v>15384</v>
      </c>
      <c r="B12228" s="6" t="s">
        <v>15385</v>
      </c>
      <c r="C12228" s="5" t="str">
        <f>IFERROR(__xludf.DUMMYFUNCTION("GOOGLETRANSLATE(B12228,""en"",""zh-CN"")"),"一位穿着白衬衫的女人站在金属水槽旁边，拿出两个白板，银色容器，过滤器，汤匙，并将其放在水槽旁边的金属容器上。")</f>
        <v>一位穿着白衬衫的女人站在金属水槽旁边，拿出两个白板，银色容器，过滤器，汤匙，并将其放在水槽旁边的金属容器上。</v>
      </c>
    </row>
    <row r="12229">
      <c r="A12229" s="4" t="s">
        <v>15384</v>
      </c>
      <c r="B12229" s="6" t="s">
        <v>15386</v>
      </c>
      <c r="C12229" s="5" t="str">
        <f>IFERROR(__xludf.DUMMYFUNCTION("GOOGLETRANSLATE(B12229,""en"",""zh-CN"")"),"然后，她将锅放在水槽中，放水，将液体肥皂放在海绵中，在盘子，盖子，容器，汤匙上擦拭。")</f>
        <v>然后，她将锅放在水槽中，放水，将液体肥皂放在海绵中，在盘子，盖子，容器，汤匙上擦拭。</v>
      </c>
    </row>
    <row r="12230">
      <c r="A12230" s="4" t="s">
        <v>15384</v>
      </c>
      <c r="B12230" s="6" t="s">
        <v>15387</v>
      </c>
      <c r="C12230" s="5" t="str">
        <f>IFERROR(__xludf.DUMMYFUNCTION("GOOGLETRANSLATE(B12230,""en"",""zh-CN"")"),"她用手擦了擦柜台，然后放了一个绿色篮子，冲洗盘子，盖子，容器，锅，然后将它们放在篮子里。")</f>
        <v>她用手擦了擦柜台，然后放了一个绿色篮子，冲洗盘子，盖子，容器，锅，然后将它们放在篮子里。</v>
      </c>
    </row>
    <row r="12231">
      <c r="A12231" s="4" t="s">
        <v>15388</v>
      </c>
      <c r="B12231" s="4" t="s">
        <v>15389</v>
      </c>
      <c r="C12231" s="5" t="str">
        <f>IFERROR(__xludf.DUMMYFUNCTION("GOOGLETRANSLATE(B12231,""en"",""zh-CN"")"),"一件蓝色衬衫的女人站在棕色马旁边。")</f>
        <v>一件蓝色衬衫的女人站在棕色马旁边。</v>
      </c>
    </row>
    <row r="12232">
      <c r="A12232" s="4" t="s">
        <v>15388</v>
      </c>
      <c r="B12232" s="4" t="s">
        <v>15390</v>
      </c>
      <c r="C12232" s="5" t="str">
        <f>IFERROR(__xludf.DUMMYFUNCTION("GOOGLETRANSLATE(B12232,""en"",""zh-CN"")"),"她抓住了马红铅。")</f>
        <v>她抓住了马红铅。</v>
      </c>
    </row>
    <row r="12233">
      <c r="A12233" s="4" t="s">
        <v>15388</v>
      </c>
      <c r="B12233" s="4" t="s">
        <v>15391</v>
      </c>
      <c r="C12233" s="5" t="str">
        <f>IFERROR(__xludf.DUMMYFUNCTION("GOOGLETRANSLATE(B12233,""en"",""zh-CN"")"),"她正在刷马的一面。")</f>
        <v>她正在刷马的一面。</v>
      </c>
    </row>
    <row r="12234">
      <c r="A12234" s="4" t="s">
        <v>15388</v>
      </c>
      <c r="B12234" s="4" t="s">
        <v>15392</v>
      </c>
      <c r="C12234" s="5" t="str">
        <f>IFERROR(__xludf.DUMMYFUNCTION("GOOGLETRANSLATE(B12234,""en"",""zh-CN"")"),"她远离马，弯腰。")</f>
        <v>她远离马，弯腰。</v>
      </c>
    </row>
    <row r="12235">
      <c r="A12235" s="4" t="s">
        <v>15388</v>
      </c>
      <c r="B12235" s="4" t="s">
        <v>15393</v>
      </c>
      <c r="C12235" s="5" t="str">
        <f>IFERROR(__xludf.DUMMYFUNCTION("GOOGLETRANSLATE(B12235,""en"",""zh-CN"")"),"她拿起更大的刷子，开始再次刷马。")</f>
        <v>她拿起更大的刷子，开始再次刷马。</v>
      </c>
    </row>
    <row r="12236">
      <c r="A12236" s="4" t="s">
        <v>15388</v>
      </c>
      <c r="B12236" s="4" t="s">
        <v>15394</v>
      </c>
      <c r="C12236" s="5" t="str">
        <f>IFERROR(__xludf.DUMMYFUNCTION("GOOGLETRANSLATE(B12236,""en"",""zh-CN"")"),"她正在刷马的脸和脖子。")</f>
        <v>她正在刷马的脸和脖子。</v>
      </c>
    </row>
    <row r="12237">
      <c r="A12237" s="4" t="s">
        <v>15388</v>
      </c>
      <c r="B12237" s="4" t="s">
        <v>15395</v>
      </c>
      <c r="C12237" s="5" t="str">
        <f>IFERROR(__xludf.DUMMYFUNCTION("GOOGLETRANSLATE(B12237,""en"",""zh-CN"")"),"她正在向下运动刷马前腿。")</f>
        <v>她正在向下运动刷马前腿。</v>
      </c>
    </row>
    <row r="12238">
      <c r="A12238" s="4" t="s">
        <v>15396</v>
      </c>
      <c r="B12238" s="4" t="s">
        <v>15397</v>
      </c>
      <c r="C12238" s="5" t="str">
        <f>IFERROR(__xludf.DUMMYFUNCTION("GOOGLETRANSLATE(B12238,""en"",""zh-CN"")"),"纹身沙龙显示了金属蓝色摩托车。")</f>
        <v>纹身沙龙显示了金属蓝色摩托车。</v>
      </c>
    </row>
    <row r="12239">
      <c r="A12239" s="4" t="s">
        <v>15396</v>
      </c>
      <c r="B12239" s="4" t="s">
        <v>15398</v>
      </c>
      <c r="C12239" s="5" t="str">
        <f>IFERROR(__xludf.DUMMYFUNCTION("GOOGLETRANSLATE(B12239,""en"",""zh-CN"")"),"有一个人坐在沙龙的柜台上。")</f>
        <v>有一个人坐在沙龙的柜台上。</v>
      </c>
    </row>
    <row r="12240">
      <c r="A12240" s="4" t="s">
        <v>15396</v>
      </c>
      <c r="B12240" s="4" t="s">
        <v>15399</v>
      </c>
      <c r="C12240" s="5" t="str">
        <f>IFERROR(__xludf.DUMMYFUNCTION("GOOGLETRANSLATE(B12240,""en"",""zh-CN"")"),"客户走进来，将孩子的照片交给纹身艺术家。")</f>
        <v>客户走进来，将孩子的照片交给纹身艺术家。</v>
      </c>
    </row>
    <row r="12241">
      <c r="A12241" s="4" t="s">
        <v>15396</v>
      </c>
      <c r="B12241" s="4" t="s">
        <v>15400</v>
      </c>
      <c r="C12241" s="5" t="str">
        <f>IFERROR(__xludf.DUMMYFUNCTION("GOOGLETRANSLATE(B12241,""en"",""zh-CN"")"),"纹身艺术家在纸上追踪孩子的照片。")</f>
        <v>纹身艺术家在纸上追踪孩子的照片。</v>
      </c>
    </row>
    <row r="12242">
      <c r="A12242" s="4" t="s">
        <v>15396</v>
      </c>
      <c r="B12242" s="4" t="s">
        <v>15401</v>
      </c>
      <c r="C12242" s="5" t="str">
        <f>IFERROR(__xludf.DUMMYFUNCTION("GOOGLETRANSLATE(B12242,""en"",""zh-CN"")"),"然后，他用酒精清洁了客户的手臂。")</f>
        <v>然后，他用酒精清洁了客户的手臂。</v>
      </c>
    </row>
    <row r="12243">
      <c r="A12243" s="4" t="s">
        <v>15396</v>
      </c>
      <c r="B12243" s="4" t="s">
        <v>15402</v>
      </c>
      <c r="C12243" s="5" t="str">
        <f>IFERROR(__xludf.DUMMYFUNCTION("GOOGLETRANSLATE(B12243,""en"",""zh-CN"")"),"艺术家戴着一双乳胶手套，开始纹身客户的手臂。")</f>
        <v>艺术家戴着一双乳胶手套，开始纹身客户的手臂。</v>
      </c>
    </row>
    <row r="12244">
      <c r="A12244" s="4" t="s">
        <v>15396</v>
      </c>
      <c r="B12244" s="6" t="s">
        <v>15403</v>
      </c>
      <c r="C12244" s="5" t="str">
        <f>IFERROR(__xludf.DUMMYFUNCTION("GOOGLETRANSLATE(B12244,""en"",""zh-CN"")"),"他在客户手臂上的图片中复制图像以及一些其他设计。")</f>
        <v>他在客户手臂上的图片中复制图像以及一些其他设计。</v>
      </c>
    </row>
    <row r="12245">
      <c r="A12245" s="4" t="s">
        <v>15396</v>
      </c>
      <c r="B12245" s="4" t="s">
        <v>15404</v>
      </c>
      <c r="C12245" s="5" t="str">
        <f>IFERROR(__xludf.DUMMYFUNCTION("GOOGLETRANSLATE(B12245,""en"",""zh-CN"")"),"然后，他在手机上拍摄了客户的纹身手臂的照片。")</f>
        <v>然后，他在手机上拍摄了客户的纹身手臂的照片。</v>
      </c>
    </row>
    <row r="12246">
      <c r="A12246" s="4" t="s">
        <v>15405</v>
      </c>
      <c r="B12246" s="6" t="s">
        <v>15406</v>
      </c>
      <c r="C12246" s="5" t="str">
        <f>IFERROR(__xludf.DUMMYFUNCTION("GOOGLETRANSLATE(B12246,""en"",""zh-CN"")"),"看到一大批人在游泳池周围游泳，而视频停下来炫耀球员。")</f>
        <v>看到一大批人在游泳池周围游泳，而视频停下来炫耀球员。</v>
      </c>
    </row>
    <row r="12247">
      <c r="A12247" s="4" t="s">
        <v>15405</v>
      </c>
      <c r="B12247" s="6" t="s">
        <v>15407</v>
      </c>
      <c r="C12247" s="5" t="str">
        <f>IFERROR(__xludf.DUMMYFUNCTION("GOOGLETRANSLATE(B12247,""en"",""zh-CN"")"),"摄像机继续在游泳池周围游泳的球员们挥舞着扔球，其他人则在场外做出反应。")</f>
        <v>摄像机继续在游泳池周围游泳的球员们挥舞着扔球，其他人则在场外做出反应。</v>
      </c>
    </row>
    <row r="12248">
      <c r="A12248" s="4" t="s">
        <v>15408</v>
      </c>
      <c r="B12248" s="4" t="s">
        <v>15409</v>
      </c>
      <c r="C12248" s="5" t="str">
        <f>IFERROR(__xludf.DUMMYFUNCTION("GOOGLETRANSLATE(B12248,""en"",""zh-CN"")"),"一个人跳入海洋，我们看到他们被拉在一条线上。")</f>
        <v>一个人跳入海洋，我们看到他们被拉在一条线上。</v>
      </c>
    </row>
    <row r="12249">
      <c r="A12249" s="4" t="s">
        <v>15408</v>
      </c>
      <c r="B12249" s="4" t="s">
        <v>15410</v>
      </c>
      <c r="C12249" s="5" t="str">
        <f>IFERROR(__xludf.DUMMYFUNCTION("GOOGLETRANSLATE(B12249,""en"",""zh-CN"")"),"我们在水下看到潜水员，并在船上看到海洋生物和人们。")</f>
        <v>我们在水下看到潜水员，并在船上看到海洋生物和人们。</v>
      </c>
    </row>
    <row r="12250">
      <c r="A12250" s="4" t="s">
        <v>15408</v>
      </c>
      <c r="B12250" s="4" t="s">
        <v>15411</v>
      </c>
      <c r="C12250" s="5" t="str">
        <f>IFERROR(__xludf.DUMMYFUNCTION("GOOGLETRANSLATE(B12250,""en"",""zh-CN"")"),"一个挂在头上的人从船上跳入水中。")</f>
        <v>一个挂在头上的人从船上跳入水中。</v>
      </c>
    </row>
    <row r="12251">
      <c r="A12251" s="4" t="s">
        <v>15408</v>
      </c>
      <c r="B12251" s="4" t="s">
        <v>15412</v>
      </c>
      <c r="C12251" s="5" t="str">
        <f>IFERROR(__xludf.DUMMYFUNCTION("GOOGLETRANSLATE(B12251,""en"",""zh-CN"")"),"两名男子挥手，我们看到海洋生物在船旁边游泳，其中包括一只海豚。")</f>
        <v>两名男子挥手，我们看到海洋生物在船旁边游泳，其中包括一只海豚。</v>
      </c>
    </row>
    <row r="12252">
      <c r="A12252" s="4" t="s">
        <v>15408</v>
      </c>
      <c r="B12252" s="4" t="s">
        <v>15413</v>
      </c>
      <c r="C12252" s="5" t="str">
        <f>IFERROR(__xludf.DUMMYFUNCTION("GOOGLETRANSLATE(B12252,""en"",""zh-CN"")"),"一位女士假装在水下时撞到头上，殴打一个男人。")</f>
        <v>一位女士假装在水下时撞到头上，殴打一个男人。</v>
      </c>
    </row>
    <row r="12253">
      <c r="A12253" s="4" t="s">
        <v>15408</v>
      </c>
      <c r="B12253" s="4" t="s">
        <v>777</v>
      </c>
      <c r="C12253" s="5" t="str">
        <f>IFERROR(__xludf.DUMMYFUNCTION("GOOGLETRANSLATE(B12253,""en"",""zh-CN"")"),"我们看到结尾标题屏幕。")</f>
        <v>我们看到结尾标题屏幕。</v>
      </c>
    </row>
    <row r="12254">
      <c r="A12254" s="4" t="s">
        <v>15414</v>
      </c>
      <c r="B12254" s="4" t="s">
        <v>15415</v>
      </c>
      <c r="C12254" s="5" t="str">
        <f>IFERROR(__xludf.DUMMYFUNCTION("GOOGLETRANSLATE(B12254,""en"",""zh-CN"")"),"一名穿着粉红色衬衫的女人冲向一条轨道，跳入沙子。")</f>
        <v>一名穿着粉红色衬衫的女人冲向一条轨道，跳入沙子。</v>
      </c>
    </row>
    <row r="12255">
      <c r="A12255" s="4" t="s">
        <v>15414</v>
      </c>
      <c r="B12255" s="4" t="s">
        <v>15416</v>
      </c>
      <c r="C12255" s="5" t="str">
        <f>IFERROR(__xludf.DUMMYFUNCTION("GOOGLETRANSLATE(B12255,""en"",""zh-CN"")"),"她的跳跃重播几次。")</f>
        <v>她的跳跃重播几次。</v>
      </c>
    </row>
    <row r="12256">
      <c r="A12256" s="4" t="s">
        <v>15414</v>
      </c>
      <c r="B12256" s="4" t="s">
        <v>15417</v>
      </c>
      <c r="C12256" s="5" t="str">
        <f>IFERROR(__xludf.DUMMYFUNCTION("GOOGLETRANSLATE(B12256,""en"",""zh-CN"")"),"她走到草地上。")</f>
        <v>她走到草地上。</v>
      </c>
    </row>
    <row r="12257">
      <c r="A12257" s="4" t="s">
        <v>15418</v>
      </c>
      <c r="B12257" s="6" t="s">
        <v>15419</v>
      </c>
      <c r="C12257" s="5" t="str">
        <f>IFERROR(__xludf.DUMMYFUNCTION("GOOGLETRANSLATE(B12257,""en"",""zh-CN"")"),"看到两名童子军站着并与一大批人交谈，并试图点燃比赛。")</f>
        <v>看到两名童子军站着并与一大批人交谈，并试图点燃比赛。</v>
      </c>
    </row>
    <row r="12258">
      <c r="A12258" s="4" t="s">
        <v>15418</v>
      </c>
      <c r="B12258" s="4" t="s">
        <v>15420</v>
      </c>
      <c r="C12258" s="5" t="str">
        <f>IFERROR(__xludf.DUMMYFUNCTION("GOOGLETRANSLATE(B12258,""en"",""zh-CN"")"),"一个人杯他的手，用氧气造成火焰，然后将火焰放入坑中。")</f>
        <v>一个人杯他的手，用氧气造成火焰，然后将火焰放入坑中。</v>
      </c>
    </row>
    <row r="12259">
      <c r="A12259" s="4" t="s">
        <v>15421</v>
      </c>
      <c r="B12259" s="4" t="s">
        <v>15422</v>
      </c>
      <c r="C12259" s="5" t="str">
        <f>IFERROR(__xludf.DUMMYFUNCTION("GOOGLETRANSLATE(B12259,""en"",""zh-CN"")"),"一个海滩上的女人在与镜头交谈。")</f>
        <v>一个海滩上的女人在与镜头交谈。</v>
      </c>
    </row>
    <row r="12260">
      <c r="A12260" s="4" t="s">
        <v>15421</v>
      </c>
      <c r="B12260" s="4" t="s">
        <v>15423</v>
      </c>
      <c r="C12260" s="5" t="str">
        <f>IFERROR(__xludf.DUMMYFUNCTION("GOOGLETRANSLATE(B12260,""en"",""zh-CN"")"),"摄像机来回奔波，以展示活动的其他恐怖分子在女子周围的活动。")</f>
        <v>摄像机来回奔波，以展示活动的其他恐怖分子在女子周围的活动。</v>
      </c>
    </row>
    <row r="12261">
      <c r="A12261" s="4" t="s">
        <v>15421</v>
      </c>
      <c r="B12261" s="4" t="s">
        <v>15424</v>
      </c>
      <c r="C12261" s="5" t="str">
        <f>IFERROR(__xludf.DUMMYFUNCTION("GOOGLETRANSLATE(B12261,""en"",""zh-CN"")"),"那个女人在海滩上倒了一桶沙子。")</f>
        <v>那个女人在海滩上倒了一桶沙子。</v>
      </c>
    </row>
    <row r="12262">
      <c r="A12262" s="4" t="s">
        <v>15421</v>
      </c>
      <c r="B12262" s="4" t="s">
        <v>15425</v>
      </c>
      <c r="C12262" s="5" t="str">
        <f>IFERROR(__xludf.DUMMYFUNCTION("GOOGLETRANSLATE(B12262,""en"",""zh-CN"")"),"女人将沙子和水结合在一个水桶中。")</f>
        <v>女人将沙子和水结合在一个水桶中。</v>
      </c>
    </row>
    <row r="12263">
      <c r="A12263" s="4" t="s">
        <v>15421</v>
      </c>
      <c r="B12263" s="4" t="s">
        <v>15426</v>
      </c>
      <c r="C12263" s="5" t="str">
        <f>IFERROR(__xludf.DUMMYFUNCTION("GOOGLETRANSLATE(B12263,""en"",""zh-CN"")"),"女人将混合物倒在海滩上。")</f>
        <v>女人将混合物倒在海滩上。</v>
      </c>
    </row>
    <row r="12264">
      <c r="A12264" s="4" t="s">
        <v>15427</v>
      </c>
      <c r="B12264" s="4" t="s">
        <v>15428</v>
      </c>
      <c r="C12264" s="5" t="str">
        <f>IFERROR(__xludf.DUMMYFUNCTION("GOOGLETRANSLATE(B12264,""en"",""zh-CN"")"),"看见一个女人站在锻炼自行车前面时在镜头上说话。")</f>
        <v>看见一个女人站在锻炼自行车前面时在镜头上说话。</v>
      </c>
    </row>
    <row r="12265">
      <c r="A12265" s="4" t="s">
        <v>15427</v>
      </c>
      <c r="B12265" s="4" t="s">
        <v>15429</v>
      </c>
      <c r="C12265" s="5" t="str">
        <f>IFERROR(__xludf.DUMMYFUNCTION("GOOGLETRANSLATE(B12265,""en"",""zh-CN"")"),"女人继续讲话，开始爬上自行车。")</f>
        <v>女人继续讲话，开始爬上自行车。</v>
      </c>
    </row>
    <row r="12266">
      <c r="A12266" s="4" t="s">
        <v>15427</v>
      </c>
      <c r="B12266" s="6" t="s">
        <v>15430</v>
      </c>
      <c r="C12266" s="5" t="str">
        <f>IFERROR(__xludf.DUMMYFUNCTION("GOOGLETRANSLATE(B12266,""en"",""zh-CN"")"),"坐着站立时，她骑着自行车旋转，女孩周围的相机摇着。")</f>
        <v>坐着站立时，她骑着自行车旋转，女孩周围的相机摇着。</v>
      </c>
    </row>
    <row r="12267">
      <c r="A12267" s="4" t="s">
        <v>15431</v>
      </c>
      <c r="B12267" s="6" t="s">
        <v>15432</v>
      </c>
      <c r="C12267" s="5" t="str">
        <f>IFERROR(__xludf.DUMMYFUNCTION("GOOGLETRANSLATE(B12267,""en"",""zh-CN"")"),"看到两个人在室内封闭的房间内奔跑，并用球拍撞到一个网球。")</f>
        <v>看到两个人在室内封闭的房间内奔跑，并用球拍撞到一个网球。</v>
      </c>
    </row>
    <row r="12268">
      <c r="A12268" s="4" t="s">
        <v>15431</v>
      </c>
      <c r="B12268" s="4" t="s">
        <v>15433</v>
      </c>
      <c r="C12268" s="5" t="str">
        <f>IFERROR(__xludf.DUMMYFUNCTION("GOOGLETRANSLATE(B12268,""en"",""zh-CN"")"),"这些人继续四处奔跑，将球从墙上击中。")</f>
        <v>这些人继续四处奔跑，将球从墙上击中。</v>
      </c>
    </row>
    <row r="12269">
      <c r="A12269" s="4" t="s">
        <v>15434</v>
      </c>
      <c r="B12269" s="4" t="s">
        <v>15435</v>
      </c>
      <c r="C12269" s="5" t="str">
        <f>IFERROR(__xludf.DUMMYFUNCTION("GOOGLETRANSLATE(B12269,""en"",""zh-CN"")"),"一个胖女人和一个瘦小的女人在美容院面对面的脸。")</f>
        <v>一个胖女人和一个瘦小的女人在美容院面对面的脸。</v>
      </c>
    </row>
    <row r="12270">
      <c r="A12270" s="4" t="s">
        <v>15434</v>
      </c>
      <c r="B12270" s="4" t="s">
        <v>15436</v>
      </c>
      <c r="C12270" s="5" t="str">
        <f>IFERROR(__xludf.DUMMYFUNCTION("GOOGLETRANSLATE(B12270,""en"",""zh-CN"")"),"胖女人说话，瘦女人洗净并把奶油放在她的脸上。")</f>
        <v>胖女人说话，瘦女人洗净并把奶油放在她的脸上。</v>
      </c>
    </row>
    <row r="12271">
      <c r="A12271" s="4" t="s">
        <v>15434</v>
      </c>
      <c r="B12271" s="4" t="s">
        <v>15437</v>
      </c>
      <c r="C12271" s="5" t="str">
        <f>IFERROR(__xludf.DUMMYFUNCTION("GOOGLETRANSLATE(B12271,""en"",""zh-CN"")"),"然后，胖女人将设备越过瘦女人的脸。")</f>
        <v>然后，胖女人将设备越过瘦女人的脸。</v>
      </c>
    </row>
    <row r="12272">
      <c r="A12272" s="4" t="s">
        <v>15438</v>
      </c>
      <c r="B12272" s="4" t="s">
        <v>15439</v>
      </c>
      <c r="C12272" s="5" t="str">
        <f>IFERROR(__xludf.DUMMYFUNCTION("GOOGLETRANSLATE(B12272,""en"",""zh-CN"")"),"看到一大批人站在一个体育馆里，前面有两个人。")</f>
        <v>看到一大批人站在一个体育馆里，前面有两个人。</v>
      </c>
    </row>
    <row r="12273">
      <c r="A12273" s="4" t="s">
        <v>15438</v>
      </c>
      <c r="B12273" s="4" t="s">
        <v>15440</v>
      </c>
      <c r="C12273" s="5" t="str">
        <f>IFERROR(__xludf.DUMMYFUNCTION("GOOGLETRANSLATE(B12273,""en"",""zh-CN"")"),"然后，该小组开始互相跳舞，并带入另一个大批人。")</f>
        <v>然后，该小组开始互相跳舞，并带入另一个大批人。</v>
      </c>
    </row>
    <row r="12274">
      <c r="A12274" s="4" t="s">
        <v>15438</v>
      </c>
      <c r="B12274" s="4" t="s">
        <v>15441</v>
      </c>
      <c r="C12274" s="5" t="str">
        <f>IFERROR(__xludf.DUMMYFUNCTION("GOOGLETRANSLATE(B12274,""en"",""zh-CN"")"),"人们看到人们在与镜头说话，并导致他们最终跳来跳去。")</f>
        <v>人们看到人们在与镜头说话，并导致他们最终跳来跳去。</v>
      </c>
    </row>
    <row r="12275">
      <c r="A12275" s="4" t="s">
        <v>15442</v>
      </c>
      <c r="B12275" s="4" t="s">
        <v>15443</v>
      </c>
      <c r="C12275" s="5" t="str">
        <f>IFERROR(__xludf.DUMMYFUNCTION("GOOGLETRANSLATE(B12275,""en"",""zh-CN"")"),"一个男人对摄像机说话，后者跟随他滑冰的介绍屏幕。")</f>
        <v>一个男人对摄像机说话，后者跟随他滑冰的介绍屏幕。</v>
      </c>
    </row>
    <row r="12276">
      <c r="A12276" s="4" t="s">
        <v>15442</v>
      </c>
      <c r="B12276" s="6" t="s">
        <v>15444</v>
      </c>
      <c r="C12276" s="5" t="str">
        <f>IFERROR(__xludf.DUMMYFUNCTION("GOOGLETRANSLATE(B12276,""en"",""zh-CN"")"),"他继续与镜头交谈，并在整个地区的董事会上执行各种技巧。")</f>
        <v>他继续与镜头交谈，并在整个地区的董事会上执行各种技巧。</v>
      </c>
    </row>
    <row r="12277">
      <c r="A12277" s="4" t="s">
        <v>15445</v>
      </c>
      <c r="B12277" s="4" t="s">
        <v>15446</v>
      </c>
      <c r="C12277" s="5" t="str">
        <f>IFERROR(__xludf.DUMMYFUNCTION("GOOGLETRANSLATE(B12277,""en"",""zh-CN"")"),"在视频的开头，这个人被显示出一个鼓，他说了几句话。")</f>
        <v>在视频的开头，这个人被显示出一个鼓，他说了几句话。</v>
      </c>
    </row>
    <row r="12278">
      <c r="A12278" s="4" t="s">
        <v>15445</v>
      </c>
      <c r="B12278" s="6" t="s">
        <v>15447</v>
      </c>
      <c r="C12278" s="5" t="str">
        <f>IFERROR(__xludf.DUMMYFUNCTION("GOOGLETRANSLATE(B12278,""en"",""zh-CN"")"),"然后，一个男人坐在他旁边，开始弹吉他，另一个男人慢慢地加入了打鼓。")</f>
        <v>然后，一个男人坐在他旁边，开始弹吉他，另一个男人慢慢地加入了打鼓。</v>
      </c>
    </row>
    <row r="12279">
      <c r="A12279" s="4" t="s">
        <v>15445</v>
      </c>
      <c r="B12279" s="6" t="s">
        <v>15448</v>
      </c>
      <c r="C12279" s="5" t="str">
        <f>IFERROR(__xludf.DUMMYFUNCTION("GOOGLETRANSLATE(B12279,""en"",""zh-CN"")"),"那个坐在鼓的人旁边的男人不仅弹吉他，而且他也在唱歌。")</f>
        <v>那个坐在鼓的人旁边的男人不仅弹吉他，而且他也在唱歌。</v>
      </c>
    </row>
    <row r="12280">
      <c r="A12280" s="4" t="s">
        <v>15449</v>
      </c>
      <c r="B12280" s="4" t="s">
        <v>15450</v>
      </c>
      <c r="C12280" s="5" t="str">
        <f>IFERROR(__xludf.DUMMYFUNCTION("GOOGLETRANSLATE(B12280,""en"",""zh-CN"")"),"我们看到一个男人在冰上行走。")</f>
        <v>我们看到一个男人在冰上行走。</v>
      </c>
    </row>
    <row r="12281">
      <c r="A12281" s="4" t="s">
        <v>15449</v>
      </c>
      <c r="B12281" s="4" t="s">
        <v>15451</v>
      </c>
      <c r="C12281" s="5" t="str">
        <f>IFERROR(__xludf.DUMMYFUNCTION("GOOGLETRANSLATE(B12281,""en"",""zh-CN"")"),"他移动一根棍子，从洞中拉出一条钓鱼线。")</f>
        <v>他移动一根棍子，从洞中拉出一条钓鱼线。</v>
      </c>
    </row>
    <row r="12282">
      <c r="A12282" s="4" t="s">
        <v>15449</v>
      </c>
      <c r="B12282" s="4" t="s">
        <v>15452</v>
      </c>
      <c r="C12282" s="5" t="str">
        <f>IFERROR(__xludf.DUMMYFUNCTION("GOOGLETRANSLATE(B12282,""en"",""zh-CN"")"),"该男子从洞里拉一条鱼。")</f>
        <v>该男子从洞里拉一条鱼。</v>
      </c>
    </row>
    <row r="12283">
      <c r="A12283" s="4" t="s">
        <v>15449</v>
      </c>
      <c r="B12283" s="4" t="s">
        <v>15453</v>
      </c>
      <c r="C12283" s="5" t="str">
        <f>IFERROR(__xludf.DUMMYFUNCTION("GOOGLETRANSLATE(B12283,""en"",""zh-CN"")"),"他捡起鱼，向我们展示了鱼。")</f>
        <v>他捡起鱼，向我们展示了鱼。</v>
      </c>
    </row>
    <row r="12284">
      <c r="A12284" s="4" t="s">
        <v>15449</v>
      </c>
      <c r="B12284" s="4" t="s">
        <v>15454</v>
      </c>
      <c r="C12284" s="5" t="str">
        <f>IFERROR(__xludf.DUMMYFUNCTION("GOOGLETRANSLATE(B12284,""en"",""zh-CN"")"),"然后，该男子将鱼扔回到洞中。")</f>
        <v>然后，该男子将鱼扔回到洞中。</v>
      </c>
    </row>
    <row r="12285">
      <c r="A12285" s="4" t="s">
        <v>15455</v>
      </c>
      <c r="B12285" s="4" t="s">
        <v>15456</v>
      </c>
      <c r="C12285" s="5" t="str">
        <f>IFERROR(__xludf.DUMMYFUNCTION("GOOGLETRANSLATE(B12285,""en"",""zh-CN"")"),"一个穿着黑色衣服的男人的女人一起躺在里面讨论例行公事。")</f>
        <v>一个穿着黑色衣服的男人的女人一起躺在里面讨论例行公事。</v>
      </c>
    </row>
    <row r="12286">
      <c r="A12286" s="4" t="s">
        <v>15455</v>
      </c>
      <c r="B12286" s="4" t="s">
        <v>15457</v>
      </c>
      <c r="C12286" s="5" t="str">
        <f>IFERROR(__xludf.DUMMYFUNCTION("GOOGLETRANSLATE(B12286,""en"",""zh-CN"")"),"那个女人开始跳舞，在男人看着时几次绕圈。")</f>
        <v>那个女人开始跳舞，在男人看着时几次绕圈。</v>
      </c>
    </row>
    <row r="12287">
      <c r="A12287" s="4" t="s">
        <v>15455</v>
      </c>
      <c r="B12287" s="6" t="s">
        <v>15458</v>
      </c>
      <c r="C12287" s="5" t="str">
        <f>IFERROR(__xludf.DUMMYFUNCTION("GOOGLETRANSLATE(B12287,""en"",""zh-CN"")"),"该名女子继续讨论例程，然后与她的伴侣牵手，他们开始一起跳舞。")</f>
        <v>该名女子继续讨论例程，然后与她的伴侣牵手，他们开始一起跳舞。</v>
      </c>
    </row>
    <row r="12288">
      <c r="A12288" s="4" t="s">
        <v>15459</v>
      </c>
      <c r="B12288" s="4" t="s">
        <v>15460</v>
      </c>
      <c r="C12288" s="5" t="str">
        <f>IFERROR(__xludf.DUMMYFUNCTION("GOOGLETRANSLATE(B12288,""en"",""zh-CN"")"),"一个女人在谈论如何制作沙拉。")</f>
        <v>一个女人在谈论如何制作沙拉。</v>
      </c>
    </row>
    <row r="12289">
      <c r="A12289" s="4" t="s">
        <v>15459</v>
      </c>
      <c r="B12289" s="4" t="s">
        <v>15461</v>
      </c>
      <c r="C12289" s="5" t="str">
        <f>IFERROR(__xludf.DUMMYFUNCTION("GOOGLETRANSLATE(B12289,""en"",""zh-CN"")"),"她将生菜分成较小的部分。")</f>
        <v>她将生菜分成较小的部分。</v>
      </c>
    </row>
    <row r="12290">
      <c r="A12290" s="4" t="s">
        <v>15462</v>
      </c>
      <c r="B12290" s="6" t="s">
        <v>15463</v>
      </c>
      <c r="C12290" s="5" t="str">
        <f>IFERROR(__xludf.DUMMYFUNCTION("GOOGLETRANSLATE(B12290,""en"",""zh-CN"")"),"看到一个男人和幼儿在男孩微笑着镜头时将割草机推到院子里。")</f>
        <v>看到一个男人和幼儿在男孩微笑着镜头时将割草机推到院子里。</v>
      </c>
    </row>
    <row r="12291">
      <c r="A12291" s="4" t="s">
        <v>15462</v>
      </c>
      <c r="B12291" s="6" t="s">
        <v>15464</v>
      </c>
      <c r="C12291" s="5" t="str">
        <f>IFERROR(__xludf.DUMMYFUNCTION("GOOGLETRANSLATE(B12291,""en"",""zh-CN"")"),"男人和男孩继续沿着院子推开割草机，同时停下来看相机。")</f>
        <v>男人和男孩继续沿着院子推开割草机，同时停下来看相机。</v>
      </c>
    </row>
    <row r="12292">
      <c r="A12292" s="4" t="s">
        <v>15465</v>
      </c>
      <c r="B12292" s="6" t="s">
        <v>15466</v>
      </c>
      <c r="C12292" s="5" t="str">
        <f>IFERROR(__xludf.DUMMYFUNCTION("GOOGLETRANSLATE(B12292,""en"",""zh-CN"")"),"制作黄油蛋糕所需的所有成分都在柜台上，有人指着每种成分并开始抓住它们。")</f>
        <v>制作黄油蛋糕所需的所有成分都在柜台上，有人指着每种成分并开始抓住它们。</v>
      </c>
    </row>
    <row r="12293">
      <c r="A12293" s="4" t="s">
        <v>15465</v>
      </c>
      <c r="B12293" s="4" t="s">
        <v>15467</v>
      </c>
      <c r="C12293" s="5" t="str">
        <f>IFERROR(__xludf.DUMMYFUNCTION("GOOGLETRANSLATE(B12293,""en"",""zh-CN"")"),"他们使用混合器将一些成分混合在一起。")</f>
        <v>他们使用混合器将一些成分混合在一起。</v>
      </c>
    </row>
    <row r="12294">
      <c r="A12294" s="4" t="s">
        <v>15465</v>
      </c>
      <c r="B12294" s="6" t="s">
        <v>15468</v>
      </c>
      <c r="C12294" s="5" t="str">
        <f>IFERROR(__xludf.DUMMYFUNCTION("GOOGLETRANSLATE(B12294,""en"",""zh-CN"")"),"他们一一将鸡蛋添加到一个混合器时，然后将其关闭，然后将其添加更多。")</f>
        <v>他们一一将鸡蛋添加到一个混合器时，然后将其关闭，然后将其添加更多。</v>
      </c>
    </row>
    <row r="12295">
      <c r="A12295" s="4" t="s">
        <v>15465</v>
      </c>
      <c r="B12295" s="6" t="s">
        <v>15469</v>
      </c>
      <c r="C12295" s="5" t="str">
        <f>IFERROR(__xludf.DUMMYFUNCTION("GOOGLETRANSLATE(B12295,""en"",""zh-CN"")"),"他们使用锅并将其放入底部，然后将混合物铲出，然后最终准备将其放入烤箱中烘烤。")</f>
        <v>他们使用锅并将其放入底部，然后将混合物铲出，然后最终准备将其放入烤箱中烘烤。</v>
      </c>
    </row>
    <row r="12296">
      <c r="A12296" s="4" t="s">
        <v>15470</v>
      </c>
      <c r="B12296" s="4" t="s">
        <v>15471</v>
      </c>
      <c r="C12296" s="5" t="str">
        <f>IFERROR(__xludf.DUMMYFUNCTION("GOOGLETRANSLATE(B12296,""en"",""zh-CN"")"),"看到裂缝的特写。")</f>
        <v>看到裂缝的特写。</v>
      </c>
    </row>
    <row r="12297">
      <c r="A12297" s="4" t="s">
        <v>15470</v>
      </c>
      <c r="B12297" s="4" t="s">
        <v>15472</v>
      </c>
      <c r="C12297" s="5" t="str">
        <f>IFERROR(__xludf.DUMMYFUNCTION("GOOGLETRANSLATE(B12297,""en"",""zh-CN"")"),"一个女人在外面，铲雪。")</f>
        <v>一个女人在外面，铲雪。</v>
      </c>
    </row>
    <row r="12298">
      <c r="A12298" s="4" t="s">
        <v>15470</v>
      </c>
      <c r="B12298" s="4" t="s">
        <v>15473</v>
      </c>
      <c r="C12298" s="5" t="str">
        <f>IFERROR(__xludf.DUMMYFUNCTION("GOOGLETRANSLATE(B12298,""en"",""zh-CN"")"),"一只狗在尝试帮助时摇晃尾巴。")</f>
        <v>一只狗在尝试帮助时摇晃尾巴。</v>
      </c>
    </row>
    <row r="12299">
      <c r="A12299" s="4" t="s">
        <v>15474</v>
      </c>
      <c r="B12299" s="4" t="s">
        <v>15475</v>
      </c>
      <c r="C12299" s="5" t="str">
        <f>IFERROR(__xludf.DUMMYFUNCTION("GOOGLETRANSLATE(B12299,""en"",""zh-CN"")"),"一群男人在大型田野里，骑着马球比赛。")</f>
        <v>一群男人在大型田野里，骑着马球比赛。</v>
      </c>
    </row>
    <row r="12300">
      <c r="A12300" s="4" t="s">
        <v>15474</v>
      </c>
      <c r="B12300" s="6" t="s">
        <v>15476</v>
      </c>
      <c r="C12300" s="5" t="str">
        <f>IFERROR(__xludf.DUMMYFUNCTION("GOOGLETRANSLATE(B12300,""en"",""zh-CN"")"),"第三名球员将球一直延伸到场地，然后他被另外四个人拖延。")</f>
        <v>第三名球员将球一直延伸到场地，然后他被另外四个人拖延。</v>
      </c>
    </row>
    <row r="12301">
      <c r="A12301" s="4" t="s">
        <v>15474</v>
      </c>
      <c r="B12301" s="6" t="s">
        <v>15477</v>
      </c>
      <c r="C12301" s="5" t="str">
        <f>IFERROR(__xludf.DUMMYFUNCTION("GOOGLETRANSLATE(B12301,""en"",""zh-CN"")"),"一旦他们离开了田野的尽头，他们都开始被裁判骑在马上跑回中间。")</f>
        <v>一旦他们离开了田野的尽头，他们都开始被裁判骑在马上跑回中间。</v>
      </c>
    </row>
    <row r="12302">
      <c r="A12302" s="4" t="s">
        <v>15478</v>
      </c>
      <c r="B12302" s="4" t="s">
        <v>15479</v>
      </c>
      <c r="C12302" s="5" t="str">
        <f>IFERROR(__xludf.DUMMYFUNCTION("GOOGLETRANSLATE(B12302,""en"",""zh-CN"")"),"显示了几张标志和景观的镜头，并导致绑住绳索的人。")</f>
        <v>显示了几张标志和景观的镜头，并导致绑住绳索的人。</v>
      </c>
    </row>
    <row r="12303">
      <c r="A12303" s="4" t="s">
        <v>15478</v>
      </c>
      <c r="B12303" s="6" t="s">
        <v>15480</v>
      </c>
      <c r="C12303" s="5" t="str">
        <f>IFERROR(__xludf.DUMMYFUNCTION("GOOGLETRANSLATE(B12303,""en"",""zh-CN"")"),"看到几个人四处徘徊，微笑着，并爬上一块岩石。")</f>
        <v>看到几个人四处徘徊，微笑着，并爬上一块岩石。</v>
      </c>
    </row>
    <row r="12304">
      <c r="A12304" s="4" t="s">
        <v>15478</v>
      </c>
      <c r="B12304" s="4" t="s">
        <v>15481</v>
      </c>
      <c r="C12304" s="5" t="str">
        <f>IFERROR(__xludf.DUMMYFUNCTION("GOOGLETRANSLATE(B12304,""en"",""zh-CN"")"),"看到越来越多的人爬上岩石以及一个男人爬下。")</f>
        <v>看到越来越多的人爬上岩石以及一个男人爬下。</v>
      </c>
    </row>
    <row r="12305">
      <c r="A12305" s="4" t="s">
        <v>15482</v>
      </c>
      <c r="B12305" s="4" t="s">
        <v>15483</v>
      </c>
      <c r="C12305" s="5" t="str">
        <f>IFERROR(__xludf.DUMMYFUNCTION("GOOGLETRANSLATE(B12305,""en"",""zh-CN"")"),"两人伸出双手开始手臂摔跤比赛。")</f>
        <v>两人伸出双手开始手臂摔跤比赛。</v>
      </c>
    </row>
    <row r="12306">
      <c r="A12306" s="4" t="s">
        <v>15482</v>
      </c>
      <c r="B12306" s="4" t="s">
        <v>15484</v>
      </c>
      <c r="C12306" s="5" t="str">
        <f>IFERROR(__xludf.DUMMYFUNCTION("GOOGLETRANSLATE(B12306,""en"",""zh-CN"")"),"女人参加坐在桌子旁的手臂摔跤比赛中比赛。")</f>
        <v>女人参加坐在桌子旁的手臂摔跤比赛中比赛。</v>
      </c>
    </row>
    <row r="12307">
      <c r="A12307" s="4" t="s">
        <v>15482</v>
      </c>
      <c r="B12307" s="4" t="s">
        <v>15485</v>
      </c>
      <c r="C12307" s="5" t="str">
        <f>IFERROR(__xludf.DUMMYFUNCTION("GOOGLETRANSLATE(B12307,""en"",""zh-CN"")"),"妇女用左手切开手和手臂摔跤。")</f>
        <v>妇女用左手切开手和手臂摔跤。</v>
      </c>
    </row>
    <row r="12308">
      <c r="A12308" s="4" t="s">
        <v>15482</v>
      </c>
      <c r="B12308" s="4" t="s">
        <v>15486</v>
      </c>
      <c r="C12308" s="5" t="str">
        <f>IFERROR(__xludf.DUMMYFUNCTION("GOOGLETRANSLATE(B12308,""en"",""zh-CN"")"),"女人们的双手重赛。")</f>
        <v>女人们的双手重赛。</v>
      </c>
    </row>
    <row r="12309">
      <c r="A12309" s="4" t="s">
        <v>15482</v>
      </c>
      <c r="B12309" s="4" t="s">
        <v>15487</v>
      </c>
      <c r="C12309" s="5" t="str">
        <f>IFERROR(__xludf.DUMMYFUNCTION("GOOGLETRANSLATE(B12309,""en"",""zh-CN"")"),"两名运动员弯曲了他们的手臂。")</f>
        <v>两名运动员弯曲了他们的手臂。</v>
      </c>
    </row>
    <row r="12310">
      <c r="A12310" s="4" t="s">
        <v>15488</v>
      </c>
      <c r="B12310" s="6" t="s">
        <v>15489</v>
      </c>
      <c r="C12310" s="5" t="str">
        <f>IFERROR(__xludf.DUMMYFUNCTION("GOOGLETRANSLATE(B12310,""en"",""zh-CN"")"),"有一个穿着黄色泳裤的潜水员正在从室内游泳池的潜水板上跳水。")</f>
        <v>有一个穿着黄色泳裤的潜水员正在从室内游泳池的潜水板上跳水。</v>
      </c>
    </row>
    <row r="12311">
      <c r="A12311" s="4" t="s">
        <v>15488</v>
      </c>
      <c r="B12311" s="6" t="s">
        <v>15490</v>
      </c>
      <c r="C12311" s="5" t="str">
        <f>IFERROR(__xludf.DUMMYFUNCTION("GOOGLETRANSLATE(B12311,""en"",""zh-CN"")"),"他几次跳下跳水板，因为其他一些人在游泳池里悠闲地游泳。")</f>
        <v>他几次跳下跳水板，因为其他一些人在游泳池里悠闲地游泳。</v>
      </c>
    </row>
    <row r="12312">
      <c r="A12312" s="4" t="s">
        <v>15488</v>
      </c>
      <c r="B12312" s="6" t="s">
        <v>15491</v>
      </c>
      <c r="C12312" s="5" t="str">
        <f>IFERROR(__xludf.DUMMYFUNCTION("GOOGLETRANSLATE(B12312,""en"",""zh-CN"")"),"当另一个年轻人看着他直接潜入游泳池时，他做了向后和向前的潜水。")</f>
        <v>当另一个年轻人看着他直接潜入游泳池时，他做了向后和向前的潜水。</v>
      </c>
    </row>
    <row r="12313">
      <c r="A12313" s="4" t="s">
        <v>15488</v>
      </c>
      <c r="B12313" s="4" t="s">
        <v>15492</v>
      </c>
      <c r="C12313" s="5" t="str">
        <f>IFERROR(__xludf.DUMMYFUNCTION("GOOGLETRANSLATE(B12313,""en"",""zh-CN"")"),"然后另一个年轻人从同一个潜水板上潜水。")</f>
        <v>然后另一个年轻人从同一个潜水板上潜水。</v>
      </c>
    </row>
    <row r="12314">
      <c r="A12314" s="4" t="s">
        <v>15488</v>
      </c>
      <c r="B12314" s="4" t="s">
        <v>15493</v>
      </c>
      <c r="C12314" s="5" t="str">
        <f>IFERROR(__xludf.DUMMYFUNCTION("GOOGLETRANSLATE(B12314,""en"",""zh-CN"")"),"他们俩都采取了前进的运动。")</f>
        <v>他们俩都采取了前进的运动。</v>
      </c>
    </row>
    <row r="12315">
      <c r="A12315" s="4" t="s">
        <v>15488</v>
      </c>
      <c r="B12315" s="4" t="s">
        <v>15494</v>
      </c>
      <c r="C12315" s="5" t="str">
        <f>IFERROR(__xludf.DUMMYFUNCTION("GOOGLETRANSLATE(B12315,""en"",""zh-CN"")"),"另一个潜水员上升得更高，然后潜入泳池。")</f>
        <v>另一个潜水员上升得更高，然后潜入泳池。</v>
      </c>
    </row>
    <row r="12316">
      <c r="A12316" s="4" t="s">
        <v>15495</v>
      </c>
      <c r="B12316" s="4" t="s">
        <v>15496</v>
      </c>
      <c r="C12316" s="5" t="str">
        <f>IFERROR(__xludf.DUMMYFUNCTION("GOOGLETRANSLATE(B12316,""en"",""zh-CN"")"),"看到一个年轻的女孩坐在相机前，并向相机展示了各种指甲对象。")</f>
        <v>看到一个年轻的女孩坐在相机前，并向相机展示了各种指甲对象。</v>
      </c>
    </row>
    <row r="12317">
      <c r="A12317" s="4" t="s">
        <v>15495</v>
      </c>
      <c r="B12317" s="6" t="s">
        <v>15497</v>
      </c>
      <c r="C12317" s="5" t="str">
        <f>IFERROR(__xludf.DUMMYFUNCTION("GOOGLETRANSLATE(B12317,""en"",""zh-CN"")"),"然后，她开始彻底绘画所有指甲，并用她和指甲的各种照片结束了视频。")</f>
        <v>然后，她开始彻底绘画所有指甲，并用她和指甲的各种照片结束了视频。</v>
      </c>
    </row>
    <row r="12318">
      <c r="A12318" s="4" t="s">
        <v>15498</v>
      </c>
      <c r="B12318" s="4" t="s">
        <v>15499</v>
      </c>
      <c r="C12318" s="5" t="str">
        <f>IFERROR(__xludf.DUMMYFUNCTION("GOOGLETRANSLATE(B12318,""en"",""zh-CN"")"),"一个穿着黄色衬衫的小男孩拿着黄色的荷叶边棍子。")</f>
        <v>一个穿着黄色衬衫的小男孩拿着黄色的荷叶边棍子。</v>
      </c>
    </row>
    <row r="12319">
      <c r="A12319" s="4" t="s">
        <v>15498</v>
      </c>
      <c r="B12319" s="6" t="s">
        <v>15500</v>
      </c>
      <c r="C12319" s="5" t="str">
        <f>IFERROR(__xludf.DUMMYFUNCTION("GOOGLETRANSLATE(B12319,""en"",""zh-CN"")"),"他试图击中蝙蝠侠皮纳塔（Pinata）悬挂，他错过了，然后他击中了他，他绕着皮纳塔（Pinata）击中了它。")</f>
        <v>他试图击中蝙蝠侠皮纳塔（Pinata）悬挂，他错过了，然后他击中了他，他绕着皮纳塔（Pinata）击中了它。</v>
      </c>
    </row>
    <row r="12320">
      <c r="A12320" s="4" t="s">
        <v>15501</v>
      </c>
      <c r="B12320" s="4" t="s">
        <v>15502</v>
      </c>
      <c r="C12320" s="5" t="str">
        <f>IFERROR(__xludf.DUMMYFUNCTION("GOOGLETRANSLATE(B12320,""en"",""zh-CN"")"),"一个人正在将雪地犁过雪。")</f>
        <v>一个人正在将雪地犁过雪。</v>
      </c>
    </row>
    <row r="12321">
      <c r="A12321" s="4" t="s">
        <v>15501</v>
      </c>
      <c r="B12321" s="4" t="s">
        <v>15503</v>
      </c>
      <c r="C12321" s="5" t="str">
        <f>IFERROR(__xludf.DUMMYFUNCTION("GOOGLETRANSLATE(B12321,""en"",""zh-CN"")"),"他们在人行道上清理一条路。")</f>
        <v>他们在人行道上清理一条路。</v>
      </c>
    </row>
    <row r="12322">
      <c r="A12322" s="4" t="s">
        <v>15501</v>
      </c>
      <c r="B12322" s="4" t="s">
        <v>15504</v>
      </c>
      <c r="C12322" s="5" t="str">
        <f>IFERROR(__xludf.DUMMYFUNCTION("GOOGLETRANSLATE(B12322,""en"",""zh-CN"")"),"一辆白色汽车在街上潜入。")</f>
        <v>一辆白色汽车在街上潜入。</v>
      </c>
    </row>
    <row r="12323">
      <c r="A12323" s="4" t="s">
        <v>15505</v>
      </c>
      <c r="B12323" s="6" t="s">
        <v>15506</v>
      </c>
      <c r="C12323" s="5" t="str">
        <f>IFERROR(__xludf.DUMMYFUNCTION("GOOGLETRANSLATE(B12323,""en"",""zh-CN"")"),"看到一小群人在树上看到另一个人将覆盖物拉入垃圾箱。")</f>
        <v>看到一小群人在树上看到另一个人将覆盖物拉入垃圾箱。</v>
      </c>
    </row>
    <row r="12324">
      <c r="A12324" s="4" t="s">
        <v>15505</v>
      </c>
      <c r="B12324" s="6" t="s">
        <v>15507</v>
      </c>
      <c r="C12324" s="5" t="str">
        <f>IFERROR(__xludf.DUMMYFUNCTION("GOOGLETRANSLATE(B12324,""en"",""zh-CN"")"),"他们继续从覆盖物中刮掉覆盖物，同时测量该区域，并割成一块草周围的草。")</f>
        <v>他们继续从覆盖物中刮掉覆盖物，同时测量该区域，并割成一块草周围的草。</v>
      </c>
    </row>
    <row r="12325">
      <c r="A12325" s="4" t="s">
        <v>15505</v>
      </c>
      <c r="B12325" s="4" t="s">
        <v>15508</v>
      </c>
      <c r="C12325" s="5" t="str">
        <f>IFERROR(__xludf.DUMMYFUNCTION("GOOGLETRANSLATE(B12325,""en"",""zh-CN"")"),"他们将更均匀的污垢铺开，而有些则在他们身后抓起袋子。")</f>
        <v>他们将更均匀的污垢铺开，而有些则在他们身后抓起袋子。</v>
      </c>
    </row>
    <row r="12326">
      <c r="A12326" s="4" t="s">
        <v>15509</v>
      </c>
      <c r="B12326" s="4" t="s">
        <v>15510</v>
      </c>
      <c r="C12326" s="5" t="str">
        <f>IFERROR(__xludf.DUMMYFUNCTION("GOOGLETRANSLATE(B12326,""en"",""zh-CN"")"),"一个人在锦鲤池中拿着咖啡杯。")</f>
        <v>一个人在锦鲤池中拿着咖啡杯。</v>
      </c>
    </row>
    <row r="12327">
      <c r="A12327" s="4" t="s">
        <v>15509</v>
      </c>
      <c r="B12327" s="4" t="s">
        <v>15511</v>
      </c>
      <c r="C12327" s="5" t="str">
        <f>IFERROR(__xludf.DUMMYFUNCTION("GOOGLETRANSLATE(B12327,""en"",""zh-CN"")"),"锦鲤向咖啡杯游泳。")</f>
        <v>锦鲤向咖啡杯游泳。</v>
      </c>
    </row>
    <row r="12328">
      <c r="A12328" s="4" t="s">
        <v>15512</v>
      </c>
      <c r="B12328" s="4" t="s">
        <v>15513</v>
      </c>
      <c r="C12328" s="5" t="str">
        <f>IFERROR(__xludf.DUMMYFUNCTION("GOOGLETRANSLATE(B12328,""en"",""zh-CN"")"),"一个女人在法庭上玩棍子。")</f>
        <v>一个女人在法庭上玩棍子。</v>
      </c>
    </row>
    <row r="12329">
      <c r="A12329" s="4" t="s">
        <v>15512</v>
      </c>
      <c r="B12329" s="4" t="s">
        <v>15514</v>
      </c>
      <c r="C12329" s="5" t="str">
        <f>IFERROR(__xludf.DUMMYFUNCTION("GOOGLETRANSLATE(B12329,""en"",""zh-CN"")"),"她在球场上击球。")</f>
        <v>她在球场上击球。</v>
      </c>
    </row>
    <row r="12330">
      <c r="A12330" s="4" t="s">
        <v>15512</v>
      </c>
      <c r="B12330" s="4" t="s">
        <v>15515</v>
      </c>
      <c r="C12330" s="5" t="str">
        <f>IFERROR(__xludf.DUMMYFUNCTION("GOOGLETRANSLATE(B12330,""en"",""zh-CN"")"),"她演示了如何挥杆和击球。")</f>
        <v>她演示了如何挥杆和击球。</v>
      </c>
    </row>
    <row r="12331">
      <c r="A12331" s="4" t="s">
        <v>15516</v>
      </c>
      <c r="B12331" s="4" t="s">
        <v>15517</v>
      </c>
      <c r="C12331" s="5" t="str">
        <f>IFERROR(__xludf.DUMMYFUNCTION("GOOGLETRANSLATE(B12331,""en"",""zh-CN"")"),"一个人跑到光束上，跳过了几次。")</f>
        <v>一个人跑到光束上，跳过了几次。</v>
      </c>
    </row>
    <row r="12332">
      <c r="A12332" s="4" t="s">
        <v>15516</v>
      </c>
      <c r="B12332" s="4" t="s">
        <v>15518</v>
      </c>
      <c r="C12332" s="5" t="str">
        <f>IFERROR(__xludf.DUMMYFUNCTION("GOOGLETRANSLATE(B12332,""en"",""zh-CN"")"),"他至少进行了六次尝试。")</f>
        <v>他至少进行了六次尝试。</v>
      </c>
    </row>
    <row r="12333">
      <c r="A12333" s="4" t="s">
        <v>15519</v>
      </c>
      <c r="B12333" s="4" t="s">
        <v>15520</v>
      </c>
      <c r="C12333" s="5" t="str">
        <f>IFERROR(__xludf.DUMMYFUNCTION("GOOGLETRANSLATE(B12333,""en"",""zh-CN"")"),"紧身连衣裤的女人一起跳舞。")</f>
        <v>紧身连衣裤的女人一起跳舞。</v>
      </c>
    </row>
    <row r="12334">
      <c r="A12334" s="4" t="s">
        <v>15519</v>
      </c>
      <c r="B12334" s="4" t="s">
        <v>15521</v>
      </c>
      <c r="C12334" s="5" t="str">
        <f>IFERROR(__xludf.DUMMYFUNCTION("GOOGLETRANSLATE(B12334,""en"",""zh-CN"")"),"女人跳入游泳池。")</f>
        <v>女人跳入游泳池。</v>
      </c>
    </row>
    <row r="12335">
      <c r="A12335" s="4" t="s">
        <v>15519</v>
      </c>
      <c r="B12335" s="4" t="s">
        <v>15522</v>
      </c>
      <c r="C12335" s="5" t="str">
        <f>IFERROR(__xludf.DUMMYFUNCTION("GOOGLETRANSLATE(B12335,""en"",""zh-CN"")"),"女人在游泳池中同步舞蹈。")</f>
        <v>女人在游泳池中同步舞蹈。</v>
      </c>
    </row>
    <row r="12336">
      <c r="A12336" s="4" t="s">
        <v>15519</v>
      </c>
      <c r="B12336" s="4" t="s">
        <v>15523</v>
      </c>
      <c r="C12336" s="5" t="str">
        <f>IFERROR(__xludf.DUMMYFUNCTION("GOOGLETRANSLATE(B12336,""en"",""zh-CN"")"),"播音员与相机交谈。")</f>
        <v>播音员与相机交谈。</v>
      </c>
    </row>
    <row r="12337">
      <c r="A12337" s="4" t="s">
        <v>15519</v>
      </c>
      <c r="B12337" s="4" t="s">
        <v>15524</v>
      </c>
      <c r="C12337" s="5" t="str">
        <f>IFERROR(__xludf.DUMMYFUNCTION("GOOGLETRANSLATE(B12337,""en"",""zh-CN"")"),"在泳池谈话的侧面的男人。")</f>
        <v>在泳池谈话的侧面的男人。</v>
      </c>
    </row>
    <row r="12338">
      <c r="A12338" s="4" t="s">
        <v>15519</v>
      </c>
      <c r="B12338" s="4" t="s">
        <v>15525</v>
      </c>
      <c r="C12338" s="5" t="str">
        <f>IFERROR(__xludf.DUMMYFUNCTION("GOOGLETRANSLATE(B12338,""en"",""zh-CN"")"),"男人在镜头上对话。")</f>
        <v>男人在镜头上对话。</v>
      </c>
    </row>
    <row r="12339">
      <c r="A12339" s="4" t="s">
        <v>15519</v>
      </c>
      <c r="B12339" s="4" t="s">
        <v>15526</v>
      </c>
      <c r="C12339" s="5" t="str">
        <f>IFERROR(__xludf.DUMMYFUNCTION("GOOGLETRANSLATE(B12339,""en"",""zh-CN"")"),"粉红色紧身连衣裤中的男人跳出游泳池。")</f>
        <v>粉红色紧身连衣裤中的男人跳出游泳池。</v>
      </c>
    </row>
    <row r="12340">
      <c r="A12340" s="4" t="s">
        <v>15527</v>
      </c>
      <c r="B12340" s="4" t="s">
        <v>15528</v>
      </c>
      <c r="C12340" s="5" t="str">
        <f>IFERROR(__xludf.DUMMYFUNCTION("GOOGLETRANSLATE(B12340,""en"",""zh-CN"")"),"一个男孩站在一个田野上，拿着射击。")</f>
        <v>一个男孩站在一个田野上，拿着射击。</v>
      </c>
    </row>
    <row r="12341">
      <c r="A12341" s="4" t="s">
        <v>15527</v>
      </c>
      <c r="B12341" s="4" t="s">
        <v>15529</v>
      </c>
      <c r="C12341" s="5" t="str">
        <f>IFERROR(__xludf.DUMMYFUNCTION("GOOGLETRANSLATE(B12341,""en"",""zh-CN"")"),"这个男孩开始旋转。")</f>
        <v>这个男孩开始旋转。</v>
      </c>
    </row>
    <row r="12342">
      <c r="A12342" s="4" t="s">
        <v>15527</v>
      </c>
      <c r="B12342" s="4" t="s">
        <v>15530</v>
      </c>
      <c r="C12342" s="5" t="str">
        <f>IFERROR(__xludf.DUMMYFUNCTION("GOOGLETRANSLATE(B12342,""en"",""zh-CN"")"),"男孩投掷了铅球。")</f>
        <v>男孩投掷了铅球。</v>
      </c>
    </row>
    <row r="12343">
      <c r="A12343" s="4" t="s">
        <v>15527</v>
      </c>
      <c r="B12343" s="4" t="s">
        <v>15531</v>
      </c>
      <c r="C12343" s="5" t="str">
        <f>IFERROR(__xludf.DUMMYFUNCTION("GOOGLETRANSLATE(B12343,""en"",""zh-CN"")"),"旋转并抛出了另一杆。")</f>
        <v>旋转并抛出了另一杆。</v>
      </c>
    </row>
    <row r="12344">
      <c r="A12344" s="4" t="s">
        <v>15532</v>
      </c>
      <c r="B12344" s="6" t="s">
        <v>15533</v>
      </c>
      <c r="C12344" s="5" t="str">
        <f>IFERROR(__xludf.DUMMYFUNCTION("GOOGLETRANSLATE(B12344,""en"",""zh-CN"")"),"家具翻新公司通过展示他们从事和使用的几种房屋和工具以及他们从事哪种类型的工作来宣传他们的服务。")</f>
        <v>家具翻新公司通过展示他们从事和使用的几种房屋和工具以及他们从事哪种类型的工作来宣传他们的服务。</v>
      </c>
    </row>
    <row r="12345">
      <c r="A12345" s="4" t="s">
        <v>15532</v>
      </c>
      <c r="B12345" s="4" t="s">
        <v>15534</v>
      </c>
      <c r="C12345" s="5" t="str">
        <f>IFERROR(__xludf.DUMMYFUNCTION("GOOGLETRANSLATE(B12345,""en"",""zh-CN"")"),"围裙中的一个人小心地将彩色物质放在盘子上。")</f>
        <v>围裙中的一个人小心地将彩色物质放在盘子上。</v>
      </c>
    </row>
    <row r="12346">
      <c r="A12346" s="4" t="s">
        <v>15532</v>
      </c>
      <c r="B12346" s="4" t="s">
        <v>15535</v>
      </c>
      <c r="C12346" s="5" t="str">
        <f>IFERROR(__xludf.DUMMYFUNCTION("GOOGLETRANSLATE(B12346,""en"",""zh-CN"")"),"该男子将两种不同彩色物质与油漆刷混合。")</f>
        <v>该男子将两种不同彩色物质与油漆刷混合。</v>
      </c>
    </row>
    <row r="12347">
      <c r="A12347" s="4" t="s">
        <v>15532</v>
      </c>
      <c r="B12347" s="6" t="s">
        <v>15536</v>
      </c>
      <c r="C12347" s="5" t="str">
        <f>IFERROR(__xludf.DUMMYFUNCTION("GOOGLETRANSLATE(B12347,""en"",""zh-CN"")"),"该男子小心地将油漆刷触摸到桌子上损坏的旧桌子着色部分。")</f>
        <v>该男子小心地将油漆刷触摸到桌子上损坏的旧桌子着色部分。</v>
      </c>
    </row>
    <row r="12348">
      <c r="A12348" s="4" t="s">
        <v>15532</v>
      </c>
      <c r="B12348" s="4" t="s">
        <v>15537</v>
      </c>
      <c r="C12348" s="5" t="str">
        <f>IFERROR(__xludf.DUMMYFUNCTION("GOOGLETRANSLATE(B12348,""en"",""zh-CN"")"),"一个在围裙中的另一个男人，面具遮住了一张旧桌子。")</f>
        <v>一个在围裙中的另一个男人，面具遮住了一张旧桌子。</v>
      </c>
    </row>
    <row r="12349">
      <c r="A12349" s="4" t="s">
        <v>15532</v>
      </c>
      <c r="B12349" s="4" t="s">
        <v>15538</v>
      </c>
      <c r="C12349" s="5" t="str">
        <f>IFERROR(__xludf.DUMMYFUNCTION("GOOGLETRANSLATE(B12349,""en"",""zh-CN"")"),"然后，该男子将抛光剂放在抹布上，然后抛光桌子。")</f>
        <v>然后，该男子将抛光剂放在抹布上，然后抛光桌子。</v>
      </c>
    </row>
    <row r="12350">
      <c r="A12350" s="4" t="s">
        <v>15532</v>
      </c>
      <c r="B12350" s="4" t="s">
        <v>15539</v>
      </c>
      <c r="C12350" s="5" t="str">
        <f>IFERROR(__xludf.DUMMYFUNCTION("GOOGLETRANSLATE(B12350,""en"",""zh-CN"")"),"该男子抛光了一张不同的旧桌子。")</f>
        <v>该男子抛光了一张不同的旧桌子。</v>
      </c>
    </row>
    <row r="12351">
      <c r="A12351" s="4" t="s">
        <v>15532</v>
      </c>
      <c r="B12351" s="4" t="s">
        <v>15540</v>
      </c>
      <c r="C12351" s="5" t="str">
        <f>IFERROR(__xludf.DUMMYFUNCTION("GOOGLETRANSLATE(B12351,""en"",""zh-CN"")"),"展示有关如何到达修复公司的信息。")</f>
        <v>展示有关如何到达修复公司的信息。</v>
      </c>
    </row>
    <row r="12352">
      <c r="A12352" s="4" t="s">
        <v>15541</v>
      </c>
      <c r="B12352" s="4" t="s">
        <v>15542</v>
      </c>
      <c r="C12352" s="5" t="str">
        <f>IFERROR(__xludf.DUMMYFUNCTION("GOOGLETRANSLATE(B12352,""en"",""zh-CN"")"),"看到一个女人站在一个坐在刷头发的女孩旁边。")</f>
        <v>看到一个女人站在一个坐在刷头发的女孩旁边。</v>
      </c>
    </row>
    <row r="12353">
      <c r="A12353" s="4" t="s">
        <v>15541</v>
      </c>
      <c r="B12353" s="4" t="s">
        <v>15543</v>
      </c>
      <c r="C12353" s="5" t="str">
        <f>IFERROR(__xludf.DUMMYFUNCTION("GOOGLETRANSLATE(B12353,""en"",""zh-CN"")"),"当女人继续刷头发时，一个男孩在侧面看。")</f>
        <v>当女人继续刷头发时，一个男孩在侧面看。</v>
      </c>
    </row>
    <row r="12354">
      <c r="A12354" s="4" t="s">
        <v>15541</v>
      </c>
      <c r="B12354" s="4" t="s">
        <v>15544</v>
      </c>
      <c r="C12354" s="5" t="str">
        <f>IFERROR(__xludf.DUMMYFUNCTION("GOOGLETRANSLATE(B12354,""en"",""zh-CN"")"),"那个女人在整个头发上跑刷时对女孩说话。")</f>
        <v>那个女人在整个头发上跑刷时对女孩说话。</v>
      </c>
    </row>
    <row r="12355">
      <c r="A12355" s="4" t="s">
        <v>15545</v>
      </c>
      <c r="B12355" s="6" t="s">
        <v>15546</v>
      </c>
      <c r="C12355" s="5" t="str">
        <f>IFERROR(__xludf.DUMMYFUNCTION("GOOGLETRANSLATE(B12355,""en"",""zh-CN"")"),"一个穿着黑色西装和穿着黑色连衣裙的女人穿着拉丁裔音乐的男人。")</f>
        <v>一个穿着黑色西装和穿着黑色连衣裙的女人穿着拉丁裔音乐的男人。</v>
      </c>
    </row>
    <row r="12356">
      <c r="A12356" s="4" t="s">
        <v>15545</v>
      </c>
      <c r="B12356" s="4" t="s">
        <v>15547</v>
      </c>
      <c r="C12356" s="5" t="str">
        <f>IFERROR(__xludf.DUMMYFUNCTION("GOOGLETRANSLATE(B12356,""en"",""zh-CN"")"),"他们正在结合球室跳舞和华尔兹。")</f>
        <v>他们正在结合球室跳舞和华尔兹。</v>
      </c>
    </row>
    <row r="12357">
      <c r="A12357" s="4" t="s">
        <v>15545</v>
      </c>
      <c r="B12357" s="6" t="s">
        <v>15548</v>
      </c>
      <c r="C12357" s="5" t="str">
        <f>IFERROR(__xludf.DUMMYFUNCTION("GOOGLETRANSLATE(B12357,""en"",""zh-CN"")"),"他们在一个城市的人行道上跳舞，那里有几个旁观者观察并看着他们跳舞。")</f>
        <v>他们在一个城市的人行道上跳舞，那里有几个旁观者观察并看着他们跳舞。</v>
      </c>
    </row>
    <row r="12358">
      <c r="A12358" s="4" t="s">
        <v>15545</v>
      </c>
      <c r="B12358" s="4" t="s">
        <v>15549</v>
      </c>
      <c r="C12358" s="5" t="str">
        <f>IFERROR(__xludf.DUMMYFUNCTION("GOOGLETRANSLATE(B12358,""en"",""zh-CN"")"),"他们继续与音乐舞蹈。")</f>
        <v>他们继续与音乐舞蹈。</v>
      </c>
    </row>
    <row r="12359">
      <c r="A12359" s="4" t="s">
        <v>15545</v>
      </c>
      <c r="B12359" s="4" t="s">
        <v>15550</v>
      </c>
      <c r="C12359" s="5" t="str">
        <f>IFERROR(__xludf.DUMMYFUNCTION("GOOGLETRANSLATE(B12359,""en"",""zh-CN"")"),"一群站在右边的人开始为他们鼓掌。")</f>
        <v>一群站在右边的人开始为他们鼓掌。</v>
      </c>
    </row>
    <row r="12360">
      <c r="A12360" s="4" t="s">
        <v>15545</v>
      </c>
      <c r="B12360" s="4" t="s">
        <v>15551</v>
      </c>
      <c r="C12360" s="5" t="str">
        <f>IFERROR(__xludf.DUMMYFUNCTION("GOOGLETRANSLATE(B12360,""en"",""zh-CN"")"),"随着音乐的播放，这对夫妇继续旋转并旋转，人群中的更多人为此表示赞赏。")</f>
        <v>随着音乐的播放，这对夫妇继续旋转并旋转，人群中的更多人为此表示赞赏。</v>
      </c>
    </row>
    <row r="12361">
      <c r="A12361" s="4" t="s">
        <v>15545</v>
      </c>
      <c r="B12361" s="4" t="s">
        <v>15552</v>
      </c>
      <c r="C12361" s="5" t="str">
        <f>IFERROR(__xludf.DUMMYFUNCTION("GOOGLETRANSLATE(B12361,""en"",""zh-CN"")"),"当音乐结束时，这位女士终于跳入男人的怀里。")</f>
        <v>当音乐结束时，这位女士终于跳入男人的怀里。</v>
      </c>
    </row>
    <row r="12362">
      <c r="A12362" s="4" t="s">
        <v>15545</v>
      </c>
      <c r="B12362" s="4" t="s">
        <v>15553</v>
      </c>
      <c r="C12362" s="5" t="str">
        <f>IFERROR(__xludf.DUMMYFUNCTION("GOOGLETRANSLATE(B12362,""en"",""zh-CN"")"),"人群在这对夫妇中大声欢呼和鼓掌。")</f>
        <v>人群在这对夫妇中大声欢呼和鼓掌。</v>
      </c>
    </row>
    <row r="12363">
      <c r="A12363" s="4" t="s">
        <v>15554</v>
      </c>
      <c r="B12363" s="6" t="s">
        <v>15555</v>
      </c>
      <c r="C12363" s="5" t="str">
        <f>IFERROR(__xludf.DUMMYFUNCTION("GOOGLETRANSLATE(B12363,""en"",""zh-CN"")"),"如何展示如何用黑豆，鹰嘴豆和肾结豆制作三种豆类沙拉。")</f>
        <v>如何展示如何用黑豆，鹰嘴豆和肾结豆制作三种豆类沙拉。</v>
      </c>
    </row>
    <row r="12364">
      <c r="A12364" s="4" t="s">
        <v>15554</v>
      </c>
      <c r="B12364" s="6" t="s">
        <v>15556</v>
      </c>
      <c r="C12364" s="5" t="str">
        <f>IFERROR(__xludf.DUMMYFUNCTION("GOOGLETRANSLATE(B12364,""en"",""zh-CN"")"),"主持人展示了切碎的大蒜，切碎的洋葱和切碎的红铃辣椒，以及切碎的欧芹和一茶匙小茴香。")</f>
        <v>主持人展示了切碎的大蒜，切碎的洋葱和切碎的红铃辣椒，以及切碎的欧芹和一茶匙小茴香。</v>
      </c>
    </row>
    <row r="12365">
      <c r="A12365" s="4" t="s">
        <v>15554</v>
      </c>
      <c r="B12365" s="4" t="s">
        <v>15557</v>
      </c>
      <c r="C12365" s="5" t="str">
        <f>IFERROR(__xludf.DUMMYFUNCTION("GOOGLETRANSLATE(B12365,""en"",""zh-CN"")"),"她还展示了诸如橄榄油，红酒醋和盐等敷料成分。")</f>
        <v>她还展示了诸如橄榄油，红酒醋和盐等敷料成分。</v>
      </c>
    </row>
    <row r="12366">
      <c r="A12366" s="4" t="s">
        <v>15554</v>
      </c>
      <c r="B12366" s="4" t="s">
        <v>15558</v>
      </c>
      <c r="C12366" s="5" t="str">
        <f>IFERROR(__xludf.DUMMYFUNCTION("GOOGLETRANSLATE(B12366,""en"",""zh-CN"")"),"然后，她取了一个大碗，开始将所有成分混合在一起。")</f>
        <v>然后，她取了一个大碗，开始将所有成分混合在一起。</v>
      </c>
    </row>
    <row r="12367">
      <c r="A12367" s="4" t="s">
        <v>15554</v>
      </c>
      <c r="B12367" s="4" t="s">
        <v>15559</v>
      </c>
      <c r="C12367" s="5" t="str">
        <f>IFERROR(__xludf.DUMMYFUNCTION("GOOGLETRANSLATE(B12367,""en"",""zh-CN"")"),"她将所有东西与三种类型的豆类混合在一起。")</f>
        <v>她将所有东西与三种类型的豆类混合在一起。</v>
      </c>
    </row>
    <row r="12368">
      <c r="A12368" s="4" t="s">
        <v>15554</v>
      </c>
      <c r="B12368" s="4" t="s">
        <v>15560</v>
      </c>
      <c r="C12368" s="5" t="str">
        <f>IFERROR(__xludf.DUMMYFUNCTION("GOOGLETRANSLATE(B12368,""en"",""zh-CN"")"),"她拿起大铲子，混合了一切。")</f>
        <v>她拿起大铲子，混合了一切。</v>
      </c>
    </row>
    <row r="12369">
      <c r="A12369" s="4" t="s">
        <v>15554</v>
      </c>
      <c r="B12369" s="4" t="s">
        <v>15561</v>
      </c>
      <c r="C12369" s="5" t="str">
        <f>IFERROR(__xludf.DUMMYFUNCTION("GOOGLETRANSLATE(B12369,""en"",""zh-CN"")"),"然后，她取了一些橄榄油和醋，将其混合在一起以进行调味料。")</f>
        <v>然后，她取了一些橄榄油和醋，将其混合在一起以进行调味料。</v>
      </c>
    </row>
    <row r="12370">
      <c r="A12370" s="4" t="s">
        <v>15554</v>
      </c>
      <c r="B12370" s="4" t="s">
        <v>15562</v>
      </c>
      <c r="C12370" s="5" t="str">
        <f>IFERROR(__xludf.DUMMYFUNCTION("GOOGLETRANSLATE(B12370,""en"",""zh-CN"")"),"她将沙拉倒入盘子里，顶部是沙拉酱。")</f>
        <v>她将沙拉倒入盘子里，顶部是沙拉酱。</v>
      </c>
    </row>
    <row r="12371">
      <c r="A12371" s="4" t="s">
        <v>15563</v>
      </c>
      <c r="B12371" s="6" t="s">
        <v>15564</v>
      </c>
      <c r="C12371" s="5" t="str">
        <f>IFERROR(__xludf.DUMMYFUNCTION("GOOGLETRANSLATE(B12371,""en"",""zh-CN"")"),"一个人正在跳水板上跳水板在空中进行翻转，并在水池中降落，那家伙跳水并进行了不同的翻转。")</f>
        <v>一个人正在跳水板上跳水板在空中进行翻转，并在水池中降落，那家伙跳水并进行了不同的翻转。</v>
      </c>
    </row>
    <row r="12372">
      <c r="A12372" s="4" t="s">
        <v>15563</v>
      </c>
      <c r="B12372" s="4" t="s">
        <v>15565</v>
      </c>
      <c r="C12372" s="5" t="str">
        <f>IFERROR(__xludf.DUMMYFUNCTION("GOOGLETRANSLATE(B12372,""en"",""zh-CN"")"),"这个人似乎正在练习他的潜水板的潜水和翻转。")</f>
        <v>这个人似乎正在练习他的潜水板的潜水和翻转。</v>
      </c>
    </row>
    <row r="12373">
      <c r="A12373" s="4" t="s">
        <v>15563</v>
      </c>
      <c r="B12373" s="4" t="s">
        <v>15566</v>
      </c>
      <c r="C12373" s="5" t="str">
        <f>IFERROR(__xludf.DUMMYFUNCTION("GOOGLETRANSLATE(B12373,""en"",""zh-CN"")"),"这个家伙正试图跳高自己的最高水平，以获得更好的跳水翻转。")</f>
        <v>这个家伙正试图跳高自己的最高水平，以获得更好的跳水翻转。</v>
      </c>
    </row>
    <row r="12374">
      <c r="A12374" s="4" t="s">
        <v>15567</v>
      </c>
      <c r="B12374" s="4" t="s">
        <v>15568</v>
      </c>
      <c r="C12374" s="5" t="str">
        <f>IFERROR(__xludf.DUMMYFUNCTION("GOOGLETRANSLATE(B12374,""en"",""zh-CN"")"),"当一个男人在滑雪店内的工作长凳上设置滑雪板时，看到一个男人在与镜头交谈。")</f>
        <v>当一个男人在滑雪店内的工作长凳上设置滑雪板时，看到一个男人在与镜头交谈。</v>
      </c>
    </row>
    <row r="12375">
      <c r="A12375" s="4" t="s">
        <v>15567</v>
      </c>
      <c r="B12375" s="6" t="s">
        <v>15569</v>
      </c>
      <c r="C12375" s="5" t="str">
        <f>IFERROR(__xludf.DUMMYFUNCTION("GOOGLETRANSLATE(B12375,""en"",""zh-CN"")"),"将滑雪板排列并将其固定在长凳上后，他使用塑料卡，并在滑雪板的底部上三遍。")</f>
        <v>将滑雪板排列并将其固定在长凳上后，他使用塑料卡，并在滑雪板的底部上三遍。</v>
      </c>
    </row>
    <row r="12376">
      <c r="A12376" s="4" t="s">
        <v>15567</v>
      </c>
      <c r="B12376" s="4" t="s">
        <v>15570</v>
      </c>
      <c r="C12376" s="5" t="str">
        <f>IFERROR(__xludf.DUMMYFUNCTION("GOOGLETRANSLATE(B12376,""en"",""zh-CN"")"),"之后，他使用毛刷并擦洗滑雪的底部。")</f>
        <v>之后，他使用毛刷并擦洗滑雪的底部。</v>
      </c>
    </row>
    <row r="12377">
      <c r="A12377" s="4" t="s">
        <v>15567</v>
      </c>
      <c r="B12377" s="4" t="s">
        <v>15571</v>
      </c>
      <c r="C12377" s="5" t="str">
        <f>IFERROR(__xludf.DUMMYFUNCTION("GOOGLETRANSLATE(B12377,""en"",""zh-CN"")"),"最后，他使用了软刷，并再次将其运行在滑雪板上。")</f>
        <v>最后，他使用了软刷，并再次将其运行在滑雪板上。</v>
      </c>
    </row>
    <row r="12378">
      <c r="A12378" s="4" t="s">
        <v>15572</v>
      </c>
      <c r="B12378" s="4" t="s">
        <v>15573</v>
      </c>
      <c r="C12378" s="5" t="str">
        <f>IFERROR(__xludf.DUMMYFUNCTION("GOOGLETRANSLATE(B12378,""en"",""zh-CN"")"),"视频以标题屏幕截图开始。")</f>
        <v>视频以标题屏幕截图开始。</v>
      </c>
    </row>
    <row r="12379">
      <c r="A12379" s="4" t="s">
        <v>15572</v>
      </c>
      <c r="B12379" s="4" t="s">
        <v>15574</v>
      </c>
      <c r="C12379" s="5" t="str">
        <f>IFERROR(__xludf.DUMMYFUNCTION("GOOGLETRANSLATE(B12379,""en"",""zh-CN"")"),"穿着白衬衫的男人正在向房间涂抹石膏。")</f>
        <v>穿着白衬衫的男人正在向房间涂抹石膏。</v>
      </c>
    </row>
    <row r="12380">
      <c r="A12380" s="4" t="s">
        <v>15572</v>
      </c>
      <c r="B12380" s="4" t="s">
        <v>15575</v>
      </c>
      <c r="C12380" s="5" t="str">
        <f>IFERROR(__xludf.DUMMYFUNCTION("GOOGLETRANSLATE(B12380,""en"",""zh-CN"")"),"当他应用石膏时，声音正在描述公司使用的技术。")</f>
        <v>当他应用石膏时，声音正在描述公司使用的技术。</v>
      </c>
    </row>
    <row r="12381">
      <c r="A12381" s="4" t="s">
        <v>15572</v>
      </c>
      <c r="B12381" s="4" t="s">
        <v>15576</v>
      </c>
      <c r="C12381" s="5" t="str">
        <f>IFERROR(__xludf.DUMMYFUNCTION("GOOGLETRANSLATE(B12381,""en"",""zh-CN"")"),"当男人到达房间的尽头时，视频结束了。")</f>
        <v>当男人到达房间的尽头时，视频结束了。</v>
      </c>
    </row>
    <row r="12382">
      <c r="A12382" s="4" t="s">
        <v>15577</v>
      </c>
      <c r="B12382" s="4" t="s">
        <v>15578</v>
      </c>
      <c r="C12382" s="5" t="str">
        <f>IFERROR(__xludf.DUMMYFUNCTION("GOOGLETRANSLATE(B12382,""en"",""zh-CN"")"),"一个女人站在厨房的柜台后面。")</f>
        <v>一个女人站在厨房的柜台后面。</v>
      </c>
    </row>
    <row r="12383">
      <c r="A12383" s="4" t="s">
        <v>15577</v>
      </c>
      <c r="B12383" s="4" t="s">
        <v>15579</v>
      </c>
      <c r="C12383" s="5" t="str">
        <f>IFERROR(__xludf.DUMMYFUNCTION("GOOGLETRANSLATE(B12383,""en"",""zh-CN"")"),"她从一锅沙拉上取下盖子。")</f>
        <v>她从一锅沙拉上取下盖子。</v>
      </c>
    </row>
    <row r="12384">
      <c r="A12384" s="4" t="s">
        <v>15577</v>
      </c>
      <c r="B12384" s="4" t="s">
        <v>15580</v>
      </c>
      <c r="C12384" s="5" t="str">
        <f>IFERROR(__xludf.DUMMYFUNCTION("GOOGLETRANSLATE(B12384,""en"",""zh-CN"")"),"她将沙拉移入一个新碗中。")</f>
        <v>她将沙拉移入一个新碗中。</v>
      </c>
    </row>
    <row r="12385">
      <c r="A12385" s="4" t="s">
        <v>15577</v>
      </c>
      <c r="B12385" s="4" t="s">
        <v>15581</v>
      </c>
      <c r="C12385" s="5" t="str">
        <f>IFERROR(__xludf.DUMMYFUNCTION("GOOGLETRANSLATE(B12385,""en"",""zh-CN"")"),"她把毛巾放在生菜上。")</f>
        <v>她把毛巾放在生菜上。</v>
      </c>
    </row>
    <row r="12386">
      <c r="A12386" s="4" t="s">
        <v>15577</v>
      </c>
      <c r="B12386" s="4" t="s">
        <v>15582</v>
      </c>
      <c r="C12386" s="5" t="str">
        <f>IFERROR(__xludf.DUMMYFUNCTION("GOOGLETRANSLATE(B12386,""en"",""zh-CN"")"),"她把生菜放在一个木碗里。")</f>
        <v>她把生菜放在一个木碗里。</v>
      </c>
    </row>
    <row r="12387">
      <c r="A12387" s="4" t="s">
        <v>15577</v>
      </c>
      <c r="B12387" s="4" t="s">
        <v>15583</v>
      </c>
      <c r="C12387" s="5" t="str">
        <f>IFERROR(__xludf.DUMMYFUNCTION("GOOGLETRANSLATE(B12387,""en"",""zh-CN"")"),"她用两个汤匙扔沙拉。")</f>
        <v>她用两个汤匙扔沙拉。</v>
      </c>
    </row>
    <row r="12388">
      <c r="A12388" s="4" t="s">
        <v>15584</v>
      </c>
      <c r="B12388" s="4" t="s">
        <v>15585</v>
      </c>
      <c r="C12388" s="5" t="str">
        <f>IFERROR(__xludf.DUMMYFUNCTION("GOOGLETRANSLATE(B12388,""en"",""zh-CN"")"),"一组孩子在保险杠上，开始驾驶和撞到对方。")</f>
        <v>一组孩子在保险杠上，开始驾驶和撞到对方。</v>
      </c>
    </row>
    <row r="12389">
      <c r="A12389" s="4" t="s">
        <v>15584</v>
      </c>
      <c r="B12389" s="4" t="s">
        <v>15586</v>
      </c>
      <c r="C12389" s="5" t="str">
        <f>IFERROR(__xludf.DUMMYFUNCTION("GOOGLETRANSLATE(B12389,""en"",""zh-CN"")"),"其中一个小孩撞到墙上，经营骑行的男性可以帮助孩子。")</f>
        <v>其中一个小孩撞到墙上，经营骑行的男性可以帮助孩子。</v>
      </c>
    </row>
    <row r="12390">
      <c r="A12390" s="4" t="s">
        <v>15587</v>
      </c>
      <c r="B12390" s="4" t="s">
        <v>15588</v>
      </c>
      <c r="C12390" s="5" t="str">
        <f>IFERROR(__xludf.DUMMYFUNCTION("GOOGLETRANSLATE(B12390,""en"",""zh-CN"")"),"如何涂抹睫毛膏的单词出现。")</f>
        <v>如何涂抹睫毛膏的单词出现。</v>
      </c>
    </row>
    <row r="12391">
      <c r="A12391" s="4" t="s">
        <v>15587</v>
      </c>
      <c r="B12391" s="4" t="s">
        <v>15589</v>
      </c>
      <c r="C12391" s="5" t="str">
        <f>IFERROR(__xludf.DUMMYFUNCTION("GOOGLETRANSLATE(B12391,""en"",""zh-CN"")"),"一个长长的黑发的女人正在和镜头说话。")</f>
        <v>一个长长的黑发的女人正在和镜头说话。</v>
      </c>
    </row>
    <row r="12392">
      <c r="A12392" s="4" t="s">
        <v>15587</v>
      </c>
      <c r="B12392" s="4" t="s">
        <v>15590</v>
      </c>
      <c r="C12392" s="5" t="str">
        <f>IFERROR(__xludf.DUMMYFUNCTION("GOOGLETRANSLATE(B12392,""en"",""zh-CN"")"),"她举起一根睫毛膏。")</f>
        <v>她举起一根睫毛膏。</v>
      </c>
    </row>
    <row r="12393">
      <c r="A12393" s="4" t="s">
        <v>15587</v>
      </c>
      <c r="B12393" s="4" t="s">
        <v>15591</v>
      </c>
      <c r="C12393" s="5" t="str">
        <f>IFERROR(__xludf.DUMMYFUNCTION("GOOGLETRANSLATE(B12393,""en"",""zh-CN"")"),"然后，她显示一次如何涂抹它。")</f>
        <v>然后，她显示一次如何涂抹它。</v>
      </c>
    </row>
    <row r="12394">
      <c r="A12394" s="4" t="s">
        <v>15592</v>
      </c>
      <c r="B12394" s="4" t="s">
        <v>15593</v>
      </c>
      <c r="C12394" s="5" t="str">
        <f>IFERROR(__xludf.DUMMYFUNCTION("GOOGLETRANSLATE(B12394,""en"",""zh-CN"")"),"几张盘子的镜头显示，食物通向一个准备食物的人。")</f>
        <v>几张盘子的镜头显示，食物通向一个准备食物的人。</v>
      </c>
    </row>
    <row r="12395">
      <c r="A12395" s="4" t="s">
        <v>15592</v>
      </c>
      <c r="B12395" s="4" t="s">
        <v>15594</v>
      </c>
      <c r="C12395" s="5" t="str">
        <f>IFERROR(__xludf.DUMMYFUNCTION("GOOGLETRANSLATE(B12395,""en"",""zh-CN"")"),"然后，该男子将更多的食物放入盘子中，并在成分周围旋转。")</f>
        <v>然后，该男子将更多的食物放入盘子中，并在成分周围旋转。</v>
      </c>
    </row>
    <row r="12396">
      <c r="A12396" s="4" t="s">
        <v>15592</v>
      </c>
      <c r="B12396" s="4" t="s">
        <v>15595</v>
      </c>
      <c r="C12396" s="5" t="str">
        <f>IFERROR(__xludf.DUMMYFUNCTION("GOOGLETRANSLATE(B12396,""en"",""zh-CN"")"),"他继续将食物放在盘子上，并通过将食物呈现给相机。")</f>
        <v>他继续将食物放在盘子上，并通过将食物呈现给相机。</v>
      </c>
    </row>
    <row r="12397">
      <c r="A12397" s="4" t="s">
        <v>15596</v>
      </c>
      <c r="B12397" s="4" t="s">
        <v>15597</v>
      </c>
      <c r="C12397" s="5" t="str">
        <f>IFERROR(__xludf.DUMMYFUNCTION("GOOGLETRANSLATE(B12397,""en"",""zh-CN"")"),"看到两个人在室外公园中间击中了乒乓球桌，第四张乒乓球桌。")</f>
        <v>看到两个人在室外公园中间击中了乒乓球桌，第四张乒乓球桌。</v>
      </c>
    </row>
    <row r="12398">
      <c r="A12398" s="4" t="s">
        <v>15596</v>
      </c>
      <c r="B12398" s="4" t="s">
        <v>15598</v>
      </c>
      <c r="C12398" s="5" t="str">
        <f>IFERROR(__xludf.DUMMYFUNCTION("GOOGLETRANSLATE(B12398,""en"",""zh-CN"")"),"他们放下球，捡起球，然后继续打球。")</f>
        <v>他们放下球，捡起球，然后继续打球。</v>
      </c>
    </row>
    <row r="12399">
      <c r="A12399" s="4" t="s">
        <v>15599</v>
      </c>
      <c r="B12399" s="6" t="s">
        <v>15600</v>
      </c>
      <c r="C12399" s="5" t="str">
        <f>IFERROR(__xludf.DUMMYFUNCTION("GOOGLETRANSLATE(B12399,""en"",""zh-CN"")"),"看到一个人的鞋子坐在水槽里，该人用水擦洗鞋子的外面。")</f>
        <v>看到一个人的鞋子坐在水槽里，该人用水擦洗鞋子的外面。</v>
      </c>
    </row>
    <row r="12400">
      <c r="A12400" s="4" t="s">
        <v>15599</v>
      </c>
      <c r="B12400" s="4" t="s">
        <v>15601</v>
      </c>
      <c r="C12400" s="5" t="str">
        <f>IFERROR(__xludf.DUMMYFUNCTION("GOOGLETRANSLATE(B12400,""en"",""zh-CN"")"),"该人关掉了水，让鞋子从水槽上跑到泥土上。")</f>
        <v>该人关掉了水，让鞋子从水槽上跑到泥土上。</v>
      </c>
    </row>
    <row r="12401">
      <c r="A12401" s="4" t="s">
        <v>15602</v>
      </c>
      <c r="B12401" s="4" t="s">
        <v>15603</v>
      </c>
      <c r="C12401" s="5" t="str">
        <f>IFERROR(__xludf.DUMMYFUNCTION("GOOGLETRANSLATE(B12401,""en"",""zh-CN"")"),"一个人在河上滑水。")</f>
        <v>一个人在河上滑水。</v>
      </c>
    </row>
    <row r="12402">
      <c r="A12402" s="4" t="s">
        <v>15602</v>
      </c>
      <c r="B12402" s="4" t="s">
        <v>15604</v>
      </c>
      <c r="C12402" s="5" t="str">
        <f>IFERROR(__xludf.DUMMYFUNCTION("GOOGLETRANSLATE(B12402,""en"",""zh-CN"")"),"他向后倾斜，仍然坚持。")</f>
        <v>他向后倾斜，仍然坚持。</v>
      </c>
    </row>
    <row r="12403">
      <c r="A12403" s="4" t="s">
        <v>15602</v>
      </c>
      <c r="B12403" s="4" t="s">
        <v>15605</v>
      </c>
      <c r="C12403" s="5" t="str">
        <f>IFERROR(__xludf.DUMMYFUNCTION("GOOGLETRANSLATE(B12403,""en"",""zh-CN"")"),"他还转身抬起一只脚。")</f>
        <v>他还转身抬起一只脚。</v>
      </c>
    </row>
    <row r="12404">
      <c r="A12404" s="4" t="s">
        <v>15606</v>
      </c>
      <c r="B12404" s="4" t="s">
        <v>15607</v>
      </c>
      <c r="C12404" s="5" t="str">
        <f>IFERROR(__xludf.DUMMYFUNCTION("GOOGLETRANSLATE(B12404,""en"",""zh-CN"")"),"看到一支大型游行乐队站在草坪的中间。")</f>
        <v>看到一支大型游行乐队站在草坪的中间。</v>
      </c>
    </row>
    <row r="12405">
      <c r="A12405" s="4" t="s">
        <v>15606</v>
      </c>
      <c r="B12405" s="4" t="s">
        <v>15608</v>
      </c>
      <c r="C12405" s="5" t="str">
        <f>IFERROR(__xludf.DUMMYFUNCTION("GOOGLETRANSLATE(B12405,""en"",""zh-CN"")"),"小组的中间开始比赛，其余的周围。")</f>
        <v>小组的中间开始比赛，其余的周围。</v>
      </c>
    </row>
    <row r="12406">
      <c r="A12406" s="4" t="s">
        <v>15606</v>
      </c>
      <c r="B12406" s="4" t="s">
        <v>15609</v>
      </c>
      <c r="C12406" s="5" t="str">
        <f>IFERROR(__xludf.DUMMYFUNCTION("GOOGLETRANSLATE(B12406,""en"",""zh-CN"")"),"小组轮流踢球，第四和结尾，站着不动。")</f>
        <v>小组轮流踢球，第四和结尾，站着不动。</v>
      </c>
    </row>
    <row r="12407">
      <c r="A12407" s="4" t="s">
        <v>15610</v>
      </c>
      <c r="B12407" s="4" t="s">
        <v>15611</v>
      </c>
      <c r="C12407" s="5" t="str">
        <f>IFERROR(__xludf.DUMMYFUNCTION("GOOGLETRANSLATE(B12407,""en"",""zh-CN"")"),"男子正在湖字体的一个空旷的田野里打拖网。")</f>
        <v>男子正在湖字体的一个空旷的田野里打拖网。</v>
      </c>
    </row>
    <row r="12408">
      <c r="A12408" s="4" t="s">
        <v>15610</v>
      </c>
      <c r="B12408" s="4" t="s">
        <v>15612</v>
      </c>
      <c r="C12408" s="5" t="str">
        <f>IFERROR(__xludf.DUMMYFUNCTION("GOOGLETRANSLATE(B12408,""en"",""zh-CN"")"),"男人站在人行道上看着男人在玩耍和拍照。")</f>
        <v>男人站在人行道上看着男人在玩耍和拍照。</v>
      </c>
    </row>
    <row r="12409">
      <c r="A12409" s="4" t="s">
        <v>15610</v>
      </c>
      <c r="B12409" s="4" t="s">
        <v>15613</v>
      </c>
      <c r="C12409" s="5" t="str">
        <f>IFERROR(__xludf.DUMMYFUNCTION("GOOGLETRANSLATE(B12409,""en"",""zh-CN"")"),"男人团聚并摆姿势拍照，许多摄像头正在拍照。")</f>
        <v>男人团聚并摆姿势拍照，许多摄像头正在拍照。</v>
      </c>
    </row>
    <row r="12410">
      <c r="A12410" s="4" t="s">
        <v>15614</v>
      </c>
      <c r="B12410" s="4" t="s">
        <v>15615</v>
      </c>
      <c r="C12410" s="5" t="str">
        <f>IFERROR(__xludf.DUMMYFUNCTION("GOOGLETRANSLATE(B12410,""en"",""zh-CN"")"),"一个男人穿一双鞋子。")</f>
        <v>一个男人穿一双鞋子。</v>
      </c>
    </row>
    <row r="12411">
      <c r="A12411" s="4" t="s">
        <v>15614</v>
      </c>
      <c r="B12411" s="4" t="s">
        <v>15616</v>
      </c>
      <c r="C12411" s="5" t="str">
        <f>IFERROR(__xludf.DUMMYFUNCTION("GOOGLETRANSLATE(B12411,""en"",""zh-CN"")"),"他抓住天空和木板升降机。")</f>
        <v>他抓住天空和木板升降机。</v>
      </c>
    </row>
    <row r="12412">
      <c r="A12412" s="4" t="s">
        <v>15614</v>
      </c>
      <c r="B12412" s="4" t="s">
        <v>15617</v>
      </c>
      <c r="C12412" s="5" t="str">
        <f>IFERROR(__xludf.DUMMYFUNCTION("GOOGLETRANSLATE(B12412,""en"",""zh-CN"")"),"然后，向他展示了在各种山丘和山脉下滑雪。")</f>
        <v>然后，向他展示了在各种山丘和山脉下滑雪。</v>
      </c>
    </row>
    <row r="12413">
      <c r="A12413" s="4" t="s">
        <v>15618</v>
      </c>
      <c r="B12413" s="4" t="s">
        <v>15619</v>
      </c>
      <c r="C12413" s="5" t="str">
        <f>IFERROR(__xludf.DUMMYFUNCTION("GOOGLETRANSLATE(B12413,""en"",""zh-CN"")"),"一个人在谈论如何在某个位置工作。")</f>
        <v>一个人在谈论如何在某个位置工作。</v>
      </c>
    </row>
    <row r="12414">
      <c r="A12414" s="4" t="s">
        <v>15618</v>
      </c>
      <c r="B12414" s="4" t="s">
        <v>15620</v>
      </c>
      <c r="C12414" s="5" t="str">
        <f>IFERROR(__xludf.DUMMYFUNCTION("GOOGLETRANSLATE(B12414,""en"",""zh-CN"")"),"他解释了这一点，并详细说明了应该如何完成。")</f>
        <v>他解释了这一点，并详细说明了应该如何完成。</v>
      </c>
    </row>
    <row r="12415">
      <c r="A12415" s="4" t="s">
        <v>15618</v>
      </c>
      <c r="B12415" s="4" t="s">
        <v>15621</v>
      </c>
      <c r="C12415" s="5" t="str">
        <f>IFERROR(__xludf.DUMMYFUNCTION("GOOGLETRANSLATE(B12415,""en"",""zh-CN"")"),"然后，他抓住了酒吧，也这样展示。")</f>
        <v>然后，他抓住了酒吧，也这样展示。</v>
      </c>
    </row>
    <row r="12416">
      <c r="A12416" s="4" t="s">
        <v>15618</v>
      </c>
      <c r="B12416" s="4" t="s">
        <v>15622</v>
      </c>
      <c r="C12416" s="5" t="str">
        <f>IFERROR(__xludf.DUMMYFUNCTION("GOOGLETRANSLATE(B12416,""en"",""zh-CN"")"),"在完成之前，他开始重复几次。")</f>
        <v>在完成之前，他开始重复几次。</v>
      </c>
    </row>
    <row r="12417">
      <c r="A12417" s="4" t="s">
        <v>15623</v>
      </c>
      <c r="B12417" s="4" t="s">
        <v>15624</v>
      </c>
      <c r="C12417" s="5" t="str">
        <f>IFERROR(__xludf.DUMMYFUNCTION("GOOGLETRANSLATE(B12417,""en"",""zh-CN"")"),"一个男人在垃圾中，他拿出一个手提箱，拿出一辆自行车。")</f>
        <v>一个男人在垃圾中，他拿出一个手提箱，拿出一辆自行车。</v>
      </c>
    </row>
    <row r="12418">
      <c r="A12418" s="4" t="s">
        <v>15623</v>
      </c>
      <c r="B12418" s="4" t="s">
        <v>15625</v>
      </c>
      <c r="C12418" s="5" t="str">
        <f>IFERROR(__xludf.DUMMYFUNCTION("GOOGLETRANSLATE(B12418,""en"",""zh-CN"")"),"他开始解开自行车，开始将所有自行车放在一起。")</f>
        <v>他开始解开自行车，开始将所有自行车放在一起。</v>
      </c>
    </row>
    <row r="12419">
      <c r="A12419" s="4" t="s">
        <v>15623</v>
      </c>
      <c r="B12419" s="4" t="s">
        <v>15626</v>
      </c>
      <c r="C12419" s="5" t="str">
        <f>IFERROR(__xludf.DUMMYFUNCTION("GOOGLETRANSLATE(B12419,""en"",""zh-CN"")"),"他拧紧一些碎片，然后用一把小刀将手条放在手条上。")</f>
        <v>他拧紧一些碎片，然后用一把小刀将手条放在手条上。</v>
      </c>
    </row>
    <row r="12420">
      <c r="A12420" s="4" t="s">
        <v>15623</v>
      </c>
      <c r="B12420" s="4" t="s">
        <v>15627</v>
      </c>
      <c r="C12420" s="5" t="str">
        <f>IFERROR(__xludf.DUMMYFUNCTION("GOOGLETRANSLATE(B12420,""en"",""zh-CN"")"),"他用空气充气轮胎，然后将其余的剩下的东西弄清楚，然后骑行。")</f>
        <v>他用空气充气轮胎，然后将其余的剩下的东西弄清楚，然后骑行。</v>
      </c>
    </row>
    <row r="12421">
      <c r="A12421" s="4" t="s">
        <v>15628</v>
      </c>
      <c r="B12421" s="4" t="s">
        <v>15629</v>
      </c>
      <c r="C12421" s="5" t="str">
        <f>IFERROR(__xludf.DUMMYFUNCTION("GOOGLETRANSLATE(B12421,""en"",""zh-CN"")"),"在比赛中，三个匹配衣服的女孩正在跳绳。")</f>
        <v>在比赛中，三个匹配衣服的女孩正在跳绳。</v>
      </c>
    </row>
    <row r="12422">
      <c r="A12422" s="4" t="s">
        <v>15628</v>
      </c>
      <c r="B12422" s="4" t="s">
        <v>15630</v>
      </c>
      <c r="C12422" s="5" t="str">
        <f>IFERROR(__xludf.DUMMYFUNCTION("GOOGLETRANSLATE(B12422,""en"",""zh-CN"")"),"他们开始在跳线之间切换位置，在跳跃时做技巧。")</f>
        <v>他们开始在跳线之间切换位置，在跳跃时做技巧。</v>
      </c>
    </row>
    <row r="12423">
      <c r="A12423" s="4" t="s">
        <v>15628</v>
      </c>
      <c r="B12423" s="4" t="s">
        <v>15631</v>
      </c>
      <c r="C12423" s="5" t="str">
        <f>IFERROR(__xludf.DUMMYFUNCTION("GOOGLETRANSLATE(B12423,""en"",""zh-CN"")"),"他们在永不停止的同时，上下移动。")</f>
        <v>他们在永不停止的同时，上下移动。</v>
      </c>
    </row>
    <row r="12424">
      <c r="A12424" s="4" t="s">
        <v>15628</v>
      </c>
      <c r="B12424" s="4" t="s">
        <v>15632</v>
      </c>
      <c r="C12424" s="5" t="str">
        <f>IFERROR(__xludf.DUMMYFUNCTION("GOOGLETRANSLATE(B12424,""en"",""zh-CN"")"),"然后他们放下绳子和鞠躬。")</f>
        <v>然后他们放下绳子和鞠躬。</v>
      </c>
    </row>
    <row r="12425">
      <c r="A12425" s="4" t="s">
        <v>15633</v>
      </c>
      <c r="B12425" s="4" t="s">
        <v>15634</v>
      </c>
      <c r="C12425" s="5" t="str">
        <f>IFERROR(__xludf.DUMMYFUNCTION("GOOGLETRANSLATE(B12425,""en"",""zh-CN"")"),"一群人围着垫子围着戒指。")</f>
        <v>一群人围着垫子围着戒指。</v>
      </c>
    </row>
    <row r="12426">
      <c r="A12426" s="4" t="s">
        <v>15633</v>
      </c>
      <c r="B12426" s="4" t="s">
        <v>15635</v>
      </c>
      <c r="C12426" s="5" t="str">
        <f>IFERROR(__xludf.DUMMYFUNCTION("GOOGLETRANSLATE(B12426,""en"",""zh-CN"")"),"两个蹲在垫子上，战斗和踢到垫子之前，两个蹲在面前。")</f>
        <v>两个蹲在垫子上，战斗和踢到垫子之前，两个蹲在面前。</v>
      </c>
    </row>
    <row r="12427">
      <c r="A12427" s="4" t="s">
        <v>15633</v>
      </c>
      <c r="B12427" s="4" t="s">
        <v>15636</v>
      </c>
      <c r="C12427" s="5" t="str">
        <f>IFERROR(__xludf.DUMMYFUNCTION("GOOGLETRANSLATE(B12427,""en"",""zh-CN"")"),"他们正在表演一种武术，与摄像机闪光灯作斗争。")</f>
        <v>他们正在表演一种武术，与摄像机闪光灯作斗争。</v>
      </c>
    </row>
    <row r="12428">
      <c r="A12428" s="4" t="s">
        <v>15637</v>
      </c>
      <c r="B12428" s="4" t="s">
        <v>15638</v>
      </c>
      <c r="C12428" s="5" t="str">
        <f>IFERROR(__xludf.DUMMYFUNCTION("GOOGLETRANSLATE(B12428,""en"",""zh-CN"")"),"一只狗从房间到房间绕着房间奔跑。")</f>
        <v>一只狗从房间到房间绕着房间奔跑。</v>
      </c>
    </row>
    <row r="12429">
      <c r="A12429" s="4" t="s">
        <v>15637</v>
      </c>
      <c r="B12429" s="4" t="s">
        <v>15639</v>
      </c>
      <c r="C12429" s="5" t="str">
        <f>IFERROR(__xludf.DUMMYFUNCTION("GOOGLETRANSLATE(B12429,""en"",""zh-CN"")"),"两个男人把狗带进浴室，把他带到浴缸里。")</f>
        <v>两个男人把狗带进浴室，把他带到浴缸里。</v>
      </c>
    </row>
    <row r="12430">
      <c r="A12430" s="4" t="s">
        <v>15637</v>
      </c>
      <c r="B12430" s="4" t="s">
        <v>15640</v>
      </c>
      <c r="C12430" s="5" t="str">
        <f>IFERROR(__xludf.DUMMYFUNCTION("GOOGLETRANSLATE(B12430,""en"",""zh-CN"")"),"其中一名男子洗狗。")</f>
        <v>其中一名男子洗狗。</v>
      </c>
    </row>
    <row r="12431">
      <c r="A12431" s="4" t="s">
        <v>15637</v>
      </c>
      <c r="B12431" s="4" t="s">
        <v>15641</v>
      </c>
      <c r="C12431" s="5" t="str">
        <f>IFERROR(__xludf.DUMMYFUNCTION("GOOGLETRANSLATE(B12431,""en"",""zh-CN"")"),"另一个人记录正在发生的事情。")</f>
        <v>另一个人记录正在发生的事情。</v>
      </c>
    </row>
    <row r="12432">
      <c r="A12432" s="4" t="s">
        <v>15637</v>
      </c>
      <c r="B12432" s="4" t="s">
        <v>15642</v>
      </c>
      <c r="C12432" s="5" t="str">
        <f>IFERROR(__xludf.DUMMYFUNCTION("GOOGLETRANSLATE(B12432,""en"",""zh-CN"")"),"狗从浴缸里跳出来，其中一名男子将他弄干。")</f>
        <v>狗从浴缸里跳出来，其中一名男子将他弄干。</v>
      </c>
    </row>
    <row r="12433">
      <c r="A12433" s="4" t="s">
        <v>15637</v>
      </c>
      <c r="B12433" s="4" t="s">
        <v>15643</v>
      </c>
      <c r="C12433" s="5" t="str">
        <f>IFERROR(__xludf.DUMMYFUNCTION("GOOGLETRANSLATE(B12433,""en"",""zh-CN"")"),"一个人把狗的嘴张开时，另一个人刷狗的牙齿。")</f>
        <v>一个人把狗的嘴张开时，另一个人刷狗的牙齿。</v>
      </c>
    </row>
    <row r="12434">
      <c r="A12434" s="4" t="s">
        <v>15644</v>
      </c>
      <c r="B12434" s="4" t="s">
        <v>15645</v>
      </c>
      <c r="C12434" s="5" t="str">
        <f>IFERROR(__xludf.DUMMYFUNCTION("GOOGLETRANSLATE(B12434,""en"",""zh-CN"")"),"摄像头到处都是彩弹路线，并显示一个人讲话的特写。")</f>
        <v>摄像头到处都是彩弹路线，并显示一个人讲话的特写。</v>
      </c>
    </row>
    <row r="12435">
      <c r="A12435" s="4" t="s">
        <v>15644</v>
      </c>
      <c r="B12435" s="4" t="s">
        <v>15646</v>
      </c>
      <c r="C12435" s="5" t="str">
        <f>IFERROR(__xludf.DUMMYFUNCTION("GOOGLETRANSLATE(B12435,""en"",""zh-CN"")"),"有几个剪辑看到人们在课程周围跑来跑去，彼此射击彩弹。")</f>
        <v>有几个剪辑看到人们在课程周围跑来跑去，彼此射击彩弹。</v>
      </c>
    </row>
    <row r="12436">
      <c r="A12436" s="4" t="s">
        <v>15644</v>
      </c>
      <c r="B12436" s="6" t="s">
        <v>15647</v>
      </c>
      <c r="C12436" s="5" t="str">
        <f>IFERROR(__xludf.DUMMYFUNCTION("GOOGLETRANSLATE(B12436,""en"",""zh-CN"")"),"显示了更多的枪支，以及一个男人对镜头和其他人互相交往的人。")</f>
        <v>显示了更多的枪支，以及一个男人对镜头和其他人互相交往的人。</v>
      </c>
    </row>
    <row r="12437">
      <c r="A12437" s="4" t="s">
        <v>15648</v>
      </c>
      <c r="B12437" s="4" t="s">
        <v>15649</v>
      </c>
      <c r="C12437" s="5" t="str">
        <f>IFERROR(__xludf.DUMMYFUNCTION("GOOGLETRANSLATE(B12437,""en"",""zh-CN"")"),"一张小桌子位于另一个桌子上。")</f>
        <v>一张小桌子位于另一个桌子上。</v>
      </c>
    </row>
    <row r="12438">
      <c r="A12438" s="4" t="s">
        <v>15648</v>
      </c>
      <c r="B12438" s="4" t="s">
        <v>15650</v>
      </c>
      <c r="C12438" s="5" t="str">
        <f>IFERROR(__xludf.DUMMYFUNCTION("GOOGLETRANSLATE(B12438,""en"",""zh-CN"")"),"一个男人穿着黑色连帽衫进入。")</f>
        <v>一个男人穿着黑色连帽衫进入。</v>
      </c>
    </row>
    <row r="12439">
      <c r="A12439" s="4" t="s">
        <v>15648</v>
      </c>
      <c r="B12439" s="4" t="s">
        <v>15651</v>
      </c>
      <c r="C12439" s="5" t="str">
        <f>IFERROR(__xludf.DUMMYFUNCTION("GOOGLETRANSLATE(B12439,""en"",""zh-CN"")"),"他打开一个罐子，拔出一些东西。")</f>
        <v>他打开一个罐子，拔出一些东西。</v>
      </c>
    </row>
    <row r="12440">
      <c r="A12440" s="4" t="s">
        <v>15648</v>
      </c>
      <c r="B12440" s="4" t="s">
        <v>15652</v>
      </c>
      <c r="C12440" s="5" t="str">
        <f>IFERROR(__xludf.DUMMYFUNCTION("GOOGLETRANSLATE(B12440,""en"",""zh-CN"")"),"然后，他清理桌子。")</f>
        <v>然后，他清理桌子。</v>
      </c>
    </row>
    <row r="12441">
      <c r="A12441" s="4" t="s">
        <v>15653</v>
      </c>
      <c r="B12441" s="6" t="s">
        <v>15654</v>
      </c>
      <c r="C12441" s="5" t="str">
        <f>IFERROR(__xludf.DUMMYFUNCTION("GOOGLETRANSLATE(B12441,""en"",""zh-CN"")"),"带有徽标的黑屏和Cameron Hansen画廊单词的黑屏介绍与右下角的网站一起出现。")</f>
        <v>带有徽标的黑屏和Cameron Hansen画廊单词的黑屏介绍与右下角的网站一起出现。</v>
      </c>
    </row>
    <row r="12442">
      <c r="A12442" s="4" t="s">
        <v>15653</v>
      </c>
      <c r="B12442" s="6" t="s">
        <v>15655</v>
      </c>
      <c r="C12442" s="5" t="str">
        <f>IFERROR(__xludf.DUMMYFUNCTION("GOOGLETRANSLATE(B12442,""en"",""zh-CN"")"),"出现了一所海洋游泳的鱼学校，并显示了视频的位置和描述。")</f>
        <v>出现了一所海洋游泳的鱼学校，并显示了视频的位置和描述。</v>
      </c>
    </row>
    <row r="12443">
      <c r="A12443" s="4" t="s">
        <v>15653</v>
      </c>
      <c r="B12443" s="6" t="s">
        <v>15656</v>
      </c>
      <c r="C12443" s="5" t="str">
        <f>IFERROR(__xludf.DUMMYFUNCTION("GOOGLETRANSLATE(B12443,""en"",""zh-CN"")"),"一系列不同的视频开始，其中包括带有浮潜者的水下录像，许多不同的海洋生物游泳，甚至是大象游泳。")</f>
        <v>一系列不同的视频开始，其中包括带有浮潜者的水下录像，许多不同的海洋生物游泳，甚至是大象游泳。</v>
      </c>
    </row>
    <row r="12444">
      <c r="A12444" s="4" t="s">
        <v>15653</v>
      </c>
      <c r="B12444" s="6" t="s">
        <v>15657</v>
      </c>
      <c r="C12444" s="5" t="str">
        <f>IFERROR(__xludf.DUMMYFUNCTION("GOOGLETRANSLATE(B12444,""en"",""zh-CN"")"),"下一组剪辑包括在水上上方的各种镜头以及周围的风景。")</f>
        <v>下一组剪辑包括在水上上方的各种镜头以及周围的风景。</v>
      </c>
    </row>
    <row r="12445">
      <c r="A12445" s="4" t="s">
        <v>15653</v>
      </c>
      <c r="B12445" s="6" t="s">
        <v>15658</v>
      </c>
      <c r="C12445" s="5" t="str">
        <f>IFERROR(__xludf.DUMMYFUNCTION("GOOGLETRANSLATE(B12445,""en"",""zh-CN"")"),"然后，它切换到洞穴，并在内部，内部显示外部，然后将浮潜者靠在水下，拿着手电筒看见，因为它非常黑。")</f>
        <v>然后，它切换到洞穴，并在内部，内部显示外部，然后将浮潜者靠在水下，拿着手电筒看见，因为它非常黑。</v>
      </c>
    </row>
    <row r="12446">
      <c r="A12446" s="4" t="s">
        <v>15653</v>
      </c>
      <c r="B12446" s="6" t="s">
        <v>15659</v>
      </c>
      <c r="C12446" s="5" t="str">
        <f>IFERROR(__xludf.DUMMYFUNCTION("GOOGLETRANSLATE(B12446,""en"",""zh-CN"")"),"焦点返回到大象再次游泳的其他夹子，显示了海滩的静照片，以及上面的水中更多的夹子。")</f>
        <v>焦点返回到大象再次游泳的其他夹子，显示了海滩的静照片，以及上面的水中更多的夹子。</v>
      </c>
    </row>
    <row r="12447">
      <c r="A12447" s="4" t="s">
        <v>15653</v>
      </c>
      <c r="B12447" s="6" t="s">
        <v>15660</v>
      </c>
      <c r="C12447" s="5" t="str">
        <f>IFERROR(__xludf.DUMMYFUNCTION("GOOGLETRANSLATE(B12447,""en"",""zh-CN"")"),"它的结尾是在水附近的一个大树枝上的图片，安达曼群岛出现在顶部，并淡入全黑屏幕。")</f>
        <v>它的结尾是在水附近的一个大树枝上的图片，安达曼群岛出现在顶部，并淡入全黑屏幕。</v>
      </c>
    </row>
    <row r="12448">
      <c r="A12448" s="4" t="s">
        <v>15661</v>
      </c>
      <c r="B12448" s="4" t="s">
        <v>15662</v>
      </c>
      <c r="C12448" s="5" t="str">
        <f>IFERROR(__xludf.DUMMYFUNCTION("GOOGLETRANSLATE(B12448,""en"",""zh-CN"")"),"一个年轻女子坐在建筑物的门口。")</f>
        <v>一个年轻女子坐在建筑物的门口。</v>
      </c>
    </row>
    <row r="12449">
      <c r="A12449" s="4" t="s">
        <v>15661</v>
      </c>
      <c r="B12449" s="4" t="s">
        <v>15663</v>
      </c>
      <c r="C12449" s="5" t="str">
        <f>IFERROR(__xludf.DUMMYFUNCTION("GOOGLETRANSLATE(B12449,""en"",""zh-CN"")"),"她盯着相机。")</f>
        <v>她盯着相机。</v>
      </c>
    </row>
    <row r="12450">
      <c r="A12450" s="4" t="s">
        <v>15661</v>
      </c>
      <c r="B12450" s="4" t="s">
        <v>15664</v>
      </c>
      <c r="C12450" s="5" t="str">
        <f>IFERROR(__xludf.DUMMYFUNCTION("GOOGLETRANSLATE(B12450,""en"",""zh-CN"")"),"她坐着时不断从香烟中抽水。")</f>
        <v>她坐着时不断从香烟中抽水。</v>
      </c>
    </row>
    <row r="12451">
      <c r="A12451" s="4" t="s">
        <v>15665</v>
      </c>
      <c r="B12451" s="6" t="s">
        <v>15666</v>
      </c>
      <c r="C12451" s="5" t="str">
        <f>IFERROR(__xludf.DUMMYFUNCTION("GOOGLETRANSLATE(B12451,""en"",""zh-CN"")"),"新闻节开始，屏幕上出现了一个微笑女孩的黑白图片，屏幕上的横幅上说：“亨里科青少年在比赛后叙述了父亲讲述女儿的最后时刻”。")</f>
        <v>新闻节开始，屏幕上出现了一个微笑女孩的黑白图片，屏幕上的横幅上说：“亨里科青少年在比赛后叙述了父亲讲述女儿的最后时刻”。</v>
      </c>
    </row>
    <row r="12452">
      <c r="A12452" s="4" t="s">
        <v>15665</v>
      </c>
      <c r="B12452" s="6" t="s">
        <v>15667</v>
      </c>
      <c r="C12452" s="5" t="str">
        <f>IFERROR(__xludf.DUMMYFUNCTION("GOOGLETRANSLATE(B12452,""en"",""zh-CN"")"),"新闻记者与她的父母一起出现在比赛的剪辑时谈论女孩，但仍然拍摄女孩的照片出现在镜头上。")</f>
        <v>新闻记者与她的父母一起出现在比赛的剪辑时谈论女孩，但仍然拍摄女孩的照片出现在镜头上。</v>
      </c>
    </row>
    <row r="12453">
      <c r="A12453" s="4" t="s">
        <v>15665</v>
      </c>
      <c r="B12453" s="6" t="s">
        <v>15668</v>
      </c>
      <c r="C12453" s="5" t="str">
        <f>IFERROR(__xludf.DUMMYFUNCTION("GOOGLETRANSLATE(B12453,""en"",""zh-CN"")"),"当采访和种族的图片和视频片段结束时，新闻播放器正在新闻台上单独讲话。")</f>
        <v>当采访和种族的图片和视频片段结束时，新闻播放器正在新闻台上单独讲话。</v>
      </c>
    </row>
    <row r="12454">
      <c r="A12454" s="4" t="s">
        <v>15669</v>
      </c>
      <c r="B12454" s="6" t="s">
        <v>15670</v>
      </c>
      <c r="C12454" s="5" t="str">
        <f>IFERROR(__xludf.DUMMYFUNCTION("GOOGLETRANSLATE(B12454,""en"",""zh-CN"")"),"两个小孩在房子内的地毯上坐着印度风格，他们有一个水烟，正在吸烟。")</f>
        <v>两个小孩在房子内的地毯上坐着印度风格，他们有一个水烟，正在吸烟。</v>
      </c>
    </row>
    <row r="12455">
      <c r="A12455" s="4" t="s">
        <v>15669</v>
      </c>
      <c r="B12455" s="4" t="s">
        <v>15671</v>
      </c>
      <c r="C12455" s="5" t="str">
        <f>IFERROR(__xludf.DUMMYFUNCTION("GOOGLETRANSLATE(B12455,""en"",""zh-CN"")"),"他们轮流吸入并呼气。")</f>
        <v>他们轮流吸入并呼气。</v>
      </c>
    </row>
    <row r="12456">
      <c r="A12456" s="4" t="s">
        <v>15669</v>
      </c>
      <c r="B12456" s="4" t="s">
        <v>15672</v>
      </c>
      <c r="C12456" s="5" t="str">
        <f>IFERROR(__xludf.DUMMYFUNCTION("GOOGLETRANSLATE(B12456,""en"",""zh-CN"")"),"他们像经常这样做一样从鼻子上呼气，并像小专业人士一样受过训练。")</f>
        <v>他们像经常这样做一样从鼻子上呼气，并像小专业人士一样受过训练。</v>
      </c>
    </row>
    <row r="12457">
      <c r="A12457" s="4" t="s">
        <v>15669</v>
      </c>
      <c r="B12457" s="4" t="s">
        <v>15673</v>
      </c>
      <c r="C12457" s="5" t="str">
        <f>IFERROR(__xludf.DUMMYFUNCTION("GOOGLETRANSLATE(B12457,""en"",""zh-CN"")"),"这些孩子被允许这样做是非常可悲的，他们似乎也喜欢它。")</f>
        <v>这些孩子被允许这样做是非常可悲的，他们似乎也喜欢它。</v>
      </c>
    </row>
    <row r="12458">
      <c r="A12458" s="4" t="s">
        <v>15674</v>
      </c>
      <c r="B12458" s="4" t="s">
        <v>15675</v>
      </c>
      <c r="C12458" s="5" t="str">
        <f>IFERROR(__xludf.DUMMYFUNCTION("GOOGLETRANSLATE(B12458,""en"",""zh-CN"")"),"看到两个女孩在相机上说话，一个女孩竖起大拇指。")</f>
        <v>看到两个女孩在相机上说话，一个女孩竖起大拇指。</v>
      </c>
    </row>
    <row r="12459">
      <c r="A12459" s="4" t="s">
        <v>15674</v>
      </c>
      <c r="B12459" s="4" t="s">
        <v>15676</v>
      </c>
      <c r="C12459" s="5" t="str">
        <f>IFERROR(__xludf.DUMMYFUNCTION("GOOGLETRANSLATE(B12459,""en"",""zh-CN"")"),"然后，女孩们互相玩苏格兰威士忌的游戏，最终互相给予彼此。")</f>
        <v>然后，女孩们互相玩苏格兰威士忌的游戏，最终互相给予彼此。</v>
      </c>
    </row>
    <row r="12460">
      <c r="A12460" s="4" t="s">
        <v>15677</v>
      </c>
      <c r="B12460" s="4" t="s">
        <v>15678</v>
      </c>
      <c r="C12460" s="5" t="str">
        <f>IFERROR(__xludf.DUMMYFUNCTION("GOOGLETRANSLATE(B12460,""en"",""zh-CN"")"),"看到一个女人握住刷子并抓起刷子。")</f>
        <v>看到一个女人握住刷子并抓起刷子。</v>
      </c>
    </row>
    <row r="12461">
      <c r="A12461" s="4" t="s">
        <v>15677</v>
      </c>
      <c r="B12461" s="4" t="s">
        <v>15679</v>
      </c>
      <c r="C12461" s="5" t="str">
        <f>IFERROR(__xludf.DUMMYFUNCTION("GOOGLETRANSLATE(B12461,""en"",""zh-CN"")"),"另一个女孩在摄像机刺穿她的动作时刷过头发。")</f>
        <v>另一个女孩在摄像机刺穿她的动作时刷过头发。</v>
      </c>
    </row>
    <row r="12462">
      <c r="A12462" s="4" t="s">
        <v>15677</v>
      </c>
      <c r="B12462" s="4" t="s">
        <v>15680</v>
      </c>
      <c r="C12462" s="5" t="str">
        <f>IFERROR(__xludf.DUMMYFUNCTION("GOOGLETRANSLATE(B12462,""en"",""zh-CN"")"),"她在看着相机时继续刷对方的头发。")</f>
        <v>她在看着相机时继续刷对方的头发。</v>
      </c>
    </row>
    <row r="12463">
      <c r="A12463" s="4" t="s">
        <v>15681</v>
      </c>
      <c r="B12463" s="4" t="s">
        <v>15682</v>
      </c>
      <c r="C12463" s="5" t="str">
        <f>IFERROR(__xludf.DUMMYFUNCTION("GOOGLETRANSLATE(B12463,""en"",""zh-CN"")"),"我们看到一个白色标题屏幕。")</f>
        <v>我们看到一个白色标题屏幕。</v>
      </c>
    </row>
    <row r="12464">
      <c r="A12464" s="4" t="s">
        <v>15681</v>
      </c>
      <c r="B12464" s="4" t="s">
        <v>15683</v>
      </c>
      <c r="C12464" s="5" t="str">
        <f>IFERROR(__xludf.DUMMYFUNCTION("GOOGLETRANSLATE(B12464,""en"",""zh-CN"")"),"然后，我们看到一位女士手工擦和扭动拖把。")</f>
        <v>然后，我们看到一位女士手工擦和扭动拖把。</v>
      </c>
    </row>
    <row r="12465">
      <c r="A12465" s="4" t="s">
        <v>15681</v>
      </c>
      <c r="B12465" s="4" t="s">
        <v>15684</v>
      </c>
      <c r="C12465" s="5" t="str">
        <f>IFERROR(__xludf.DUMMYFUNCTION("GOOGLETRANSLATE(B12465,""en"",""zh-CN"")"),"我们看到一个桶，它可以响起圆形拖把而无需触摸它。")</f>
        <v>我们看到一个桶，它可以响起圆形拖把而无需触摸它。</v>
      </c>
    </row>
    <row r="12466">
      <c r="A12466" s="4" t="s">
        <v>15681</v>
      </c>
      <c r="B12466" s="4" t="s">
        <v>15685</v>
      </c>
      <c r="C12466" s="5" t="str">
        <f>IFERROR(__xludf.DUMMYFUNCTION("GOOGLETRANSLATE(B12466,""en"",""zh-CN"")"),"一位女士用脚改变了拖把头。")</f>
        <v>一位女士用脚改变了拖把头。</v>
      </c>
    </row>
    <row r="12467">
      <c r="A12467" s="4" t="s">
        <v>15681</v>
      </c>
      <c r="B12467" s="4" t="s">
        <v>15686</v>
      </c>
      <c r="C12467" s="5" t="str">
        <f>IFERROR(__xludf.DUMMYFUNCTION("GOOGLETRANSLATE(B12467,""en"",""zh-CN"")"),"三位女士给予了认可，我们看到他们使用拖把。")</f>
        <v>三位女士给予了认可，我们看到他们使用拖把。</v>
      </c>
    </row>
    <row r="12468">
      <c r="A12468" s="4" t="s">
        <v>15681</v>
      </c>
      <c r="B12468" s="4" t="s">
        <v>15687</v>
      </c>
      <c r="C12468" s="5" t="str">
        <f>IFERROR(__xludf.DUMMYFUNCTION("GOOGLETRANSLATE(B12468,""en"",""zh-CN"")"),"然后，我们看到了更多的拖把。")</f>
        <v>然后，我们看到了更多的拖把。</v>
      </c>
    </row>
    <row r="12469">
      <c r="A12469" s="4" t="s">
        <v>15681</v>
      </c>
      <c r="B12469" s="4" t="s">
        <v>777</v>
      </c>
      <c r="C12469" s="5" t="str">
        <f>IFERROR(__xludf.DUMMYFUNCTION("GOOGLETRANSLATE(B12469,""en"",""zh-CN"")"),"我们看到结尾标题屏幕。")</f>
        <v>我们看到结尾标题屏幕。</v>
      </c>
    </row>
    <row r="12470">
      <c r="A12470" s="4" t="s">
        <v>15688</v>
      </c>
      <c r="B12470" s="4" t="s">
        <v>15689</v>
      </c>
      <c r="C12470" s="5" t="str">
        <f>IFERROR(__xludf.DUMMYFUNCTION("GOOGLETRANSLATE(B12470,""en"",""zh-CN"")"),"人们坐在台阶上，在人们在河里的船上。")</f>
        <v>人们坐在台阶上，在人们在河里的船上。</v>
      </c>
    </row>
    <row r="12471">
      <c r="A12471" s="4" t="s">
        <v>15688</v>
      </c>
      <c r="B12471" s="4" t="s">
        <v>15690</v>
      </c>
      <c r="C12471" s="5" t="str">
        <f>IFERROR(__xludf.DUMMYFUNCTION("GOOGLETRANSLATE(B12471,""en"",""zh-CN"")"),"一个成年人和几个青少年在独木舟上拿着桨。")</f>
        <v>一个成年人和几个青少年在独木舟上拿着桨。</v>
      </c>
    </row>
    <row r="12472">
      <c r="A12472" s="4" t="s">
        <v>15688</v>
      </c>
      <c r="B12472" s="4" t="s">
        <v>15691</v>
      </c>
      <c r="C12472" s="5" t="str">
        <f>IFERROR(__xludf.DUMMYFUNCTION("GOOGLETRANSLATE(B12472,""en"",""zh-CN"")"),"该男子向青少年展示了如何移动桨。")</f>
        <v>该男子向青少年展示了如何移动桨。</v>
      </c>
    </row>
    <row r="12473">
      <c r="A12473" s="4" t="s">
        <v>15688</v>
      </c>
      <c r="B12473" s="4" t="s">
        <v>15692</v>
      </c>
      <c r="C12473" s="5" t="str">
        <f>IFERROR(__xludf.DUMMYFUNCTION("GOOGLETRANSLATE(B12473,""en"",""zh-CN"")"),"青少年遵循男人的指示，然后划船。")</f>
        <v>青少年遵循男人的指示，然后划船。</v>
      </c>
    </row>
    <row r="12474">
      <c r="A12474" s="4" t="s">
        <v>15693</v>
      </c>
      <c r="B12474" s="4" t="s">
        <v>15694</v>
      </c>
      <c r="C12474" s="5" t="str">
        <f>IFERROR(__xludf.DUMMYFUNCTION("GOOGLETRANSLATE(B12474,""en"",""zh-CN"")"),"躺在那里的地板上有鞋子。")</f>
        <v>躺在那里的地板上有鞋子。</v>
      </c>
    </row>
    <row r="12475">
      <c r="A12475" s="4" t="s">
        <v>15693</v>
      </c>
      <c r="B12475" s="4" t="s">
        <v>15695</v>
      </c>
      <c r="C12475" s="5" t="str">
        <f>IFERROR(__xludf.DUMMYFUNCTION("GOOGLETRANSLATE(B12475,""en"",""zh-CN"")"),"有人将他们的脚放在他们的一双鞋中。")</f>
        <v>有人将他们的脚放在他们的一双鞋中。</v>
      </c>
    </row>
    <row r="12476">
      <c r="A12476" s="4" t="s">
        <v>15693</v>
      </c>
      <c r="B12476" s="4" t="s">
        <v>15696</v>
      </c>
      <c r="C12476" s="5" t="str">
        <f>IFERROR(__xludf.DUMMYFUNCTION("GOOGLETRANSLATE(B12476,""en"",""zh-CN"")"),"他们开始将左鞋上的皮带扣紧。")</f>
        <v>他们开始将左鞋上的皮带扣紧。</v>
      </c>
    </row>
    <row r="12477">
      <c r="A12477" s="4" t="s">
        <v>15693</v>
      </c>
      <c r="B12477" s="6" t="s">
        <v>15697</v>
      </c>
      <c r="C12477" s="5" t="str">
        <f>IFERROR(__xludf.DUMMYFUNCTION("GOOGLETRANSLATE(B12477,""en"",""zh-CN"")"),"然后，他们将脚更牢固地固定在正确的鞋子上，最后也将皮带上的皮带倒在鞋子上。")</f>
        <v>然后，他们将脚更牢固地固定在正确的鞋子上，最后也将皮带上的皮带倒在鞋子上。</v>
      </c>
    </row>
    <row r="12478">
      <c r="A12478" s="4" t="s">
        <v>15698</v>
      </c>
      <c r="B12478" s="4" t="s">
        <v>15699</v>
      </c>
      <c r="C12478" s="5" t="str">
        <f>IFERROR(__xludf.DUMMYFUNCTION("GOOGLETRANSLATE(B12478,""en"",""zh-CN"")"),"一个男人和女人在说话。")</f>
        <v>一个男人和女人在说话。</v>
      </c>
    </row>
    <row r="12479">
      <c r="A12479" s="4" t="s">
        <v>15698</v>
      </c>
      <c r="B12479" s="4" t="s">
        <v>15700</v>
      </c>
      <c r="C12479" s="5" t="str">
        <f>IFERROR(__xludf.DUMMYFUNCTION("GOOGLETRANSLATE(B12479,""en"",""zh-CN"")"),"一个男人开始玩口琴。")</f>
        <v>一个男人开始玩口琴。</v>
      </c>
    </row>
    <row r="12480">
      <c r="A12480" s="4" t="s">
        <v>15698</v>
      </c>
      <c r="B12480" s="4" t="s">
        <v>15701</v>
      </c>
      <c r="C12480" s="5" t="str">
        <f>IFERROR(__xludf.DUMMYFUNCTION("GOOGLETRANSLATE(B12480,""en"",""zh-CN"")"),"人群看着他玩。")</f>
        <v>人群看着他玩。</v>
      </c>
    </row>
    <row r="12481">
      <c r="A12481" s="4" t="s">
        <v>15702</v>
      </c>
      <c r="B12481" s="4" t="s">
        <v>15703</v>
      </c>
      <c r="C12481" s="5" t="str">
        <f>IFERROR(__xludf.DUMMYFUNCTION("GOOGLETRANSLATE(B12481,""en"",""zh-CN"")"),"狭窄的人行道正在显示一辆自行车。")</f>
        <v>狭窄的人行道正在显示一辆自行车。</v>
      </c>
    </row>
    <row r="12482">
      <c r="A12482" s="4" t="s">
        <v>15702</v>
      </c>
      <c r="B12482" s="6" t="s">
        <v>15704</v>
      </c>
      <c r="C12482" s="5" t="str">
        <f>IFERROR(__xludf.DUMMYFUNCTION("GOOGLETRANSLATE(B12482,""en"",""zh-CN"")"),"一名穿着灰色衬衫的老人正在戴上并拧紧黑色手柄杆，然后将自行车的前轮放在自行车的前轮，拧紧螺丝，最后他坐在座位上。")</f>
        <v>一名穿着灰色衬衫的老人正在戴上并拧紧黑色手柄杆，然后将自行车的前轮放在自行车的前轮，拧紧螺丝，最后他坐在座位上。</v>
      </c>
    </row>
    <row r="12483">
      <c r="A12483" s="4" t="s">
        <v>15705</v>
      </c>
      <c r="B12483" s="4" t="s">
        <v>15706</v>
      </c>
      <c r="C12483" s="5" t="str">
        <f>IFERROR(__xludf.DUMMYFUNCTION("GOOGLETRANSLATE(B12483,""en"",""zh-CN"")"),"一个女孩的手在背后站在她的家中，双腿肩负着宽度。")</f>
        <v>一个女孩的手在背后站在她的家中，双腿肩负着宽度。</v>
      </c>
    </row>
    <row r="12484">
      <c r="A12484" s="4" t="s">
        <v>15705</v>
      </c>
      <c r="B12484" s="6" t="s">
        <v>15707</v>
      </c>
      <c r="C12484" s="5" t="str">
        <f>IFERROR(__xludf.DUMMYFUNCTION("GOOGLETRANSLATE(B12484,""en"",""zh-CN"")"),"然后，女孩将手放在她的身边，将脚伸到弓上，鞠躬，并继续进行各种空手道动作的例行行动。")</f>
        <v>然后，女孩将手放在她的身边，将脚伸到弓上，鞠躬，并继续进行各种空手道动作的例行行动。</v>
      </c>
    </row>
    <row r="12485">
      <c r="A12485" s="4" t="s">
        <v>15705</v>
      </c>
      <c r="B12485" s="6" t="s">
        <v>15708</v>
      </c>
      <c r="C12485" s="5" t="str">
        <f>IFERROR(__xludf.DUMMYFUNCTION("GOOGLETRANSLATE(B12485,""en"",""zh-CN"")"),"女孩的路程结束了，从她开始的位置稍稍结束，并坚定地将手放在她的身边，鞠躬，然后将双腿分开，然后回到与开始时的位置相同的位置。")</f>
        <v>女孩的路程结束了，从她开始的位置稍稍结束，并坚定地将手放在她的身边，鞠躬，然后将双腿分开，然后回到与开始时的位置相同的位置。</v>
      </c>
    </row>
    <row r="12486">
      <c r="A12486" s="4" t="s">
        <v>15705</v>
      </c>
      <c r="B12486" s="4" t="s">
        <v>15709</v>
      </c>
      <c r="C12486" s="5" t="str">
        <f>IFERROR(__xludf.DUMMYFUNCTION("GOOGLETRANSLATE(B12486,""en"",""zh-CN"")"),"她结束了一段时间后，女孩放松了一下，然后走开了。")</f>
        <v>她结束了一段时间后，女孩放松了一下，然后走开了。</v>
      </c>
    </row>
    <row r="12487">
      <c r="A12487" s="4" t="s">
        <v>15710</v>
      </c>
      <c r="B12487" s="4" t="s">
        <v>15711</v>
      </c>
      <c r="C12487" s="5" t="str">
        <f>IFERROR(__xludf.DUMMYFUNCTION("GOOGLETRANSLATE(B12487,""en"",""zh-CN"")"),"看到两个人跪在板前，推下物体。")</f>
        <v>看到两个人跪在板前，推下物体。</v>
      </c>
    </row>
    <row r="12488">
      <c r="A12488" s="4" t="s">
        <v>15710</v>
      </c>
      <c r="B12488" s="4" t="s">
        <v>15712</v>
      </c>
      <c r="C12488" s="5" t="str">
        <f>IFERROR(__xludf.DUMMYFUNCTION("GOOGLETRANSLATE(B12488,""en"",""zh-CN"")"),"当两个机器人开始互相攻击时，其他人在一边看。")</f>
        <v>当两个机器人开始互相攻击时，其他人在一边看。</v>
      </c>
    </row>
    <row r="12489">
      <c r="A12489" s="4" t="s">
        <v>15710</v>
      </c>
      <c r="B12489" s="4" t="s">
        <v>15713</v>
      </c>
      <c r="C12489" s="5" t="str">
        <f>IFERROR(__xludf.DUMMYFUNCTION("GOOGLETRANSLATE(B12489,""en"",""zh-CN"")"),"一个人将另一个推开，男人们将机器人恢复了几次战斗。")</f>
        <v>一个人将另一个推开，男人们将机器人恢复了几次战斗。</v>
      </c>
    </row>
    <row r="12490">
      <c r="A12490" s="4" t="s">
        <v>15714</v>
      </c>
      <c r="B12490" s="4" t="s">
        <v>15715</v>
      </c>
      <c r="C12490" s="5" t="str">
        <f>IFERROR(__xludf.DUMMYFUNCTION("GOOGLETRANSLATE(B12490,""en"",""zh-CN"")"),"一个男人的手在空中。")</f>
        <v>一个男人的手在空中。</v>
      </c>
    </row>
    <row r="12491">
      <c r="A12491" s="4" t="s">
        <v>15714</v>
      </c>
      <c r="B12491" s="4" t="s">
        <v>15716</v>
      </c>
      <c r="C12491" s="5" t="str">
        <f>IFERROR(__xludf.DUMMYFUNCTION("GOOGLETRANSLATE(B12491,""en"",""zh-CN"")"),"两名摔跤手跳入戒指。")</f>
        <v>两名摔跤手跳入戒指。</v>
      </c>
    </row>
    <row r="12492">
      <c r="A12492" s="4" t="s">
        <v>15714</v>
      </c>
      <c r="B12492" s="4" t="s">
        <v>15717</v>
      </c>
      <c r="C12492" s="5" t="str">
        <f>IFERROR(__xludf.DUMMYFUNCTION("GOOGLETRANSLATE(B12492,""en"",""zh-CN"")"),"他们崩溃了，因为不同的人也会跳跃。")</f>
        <v>他们崩溃了，因为不同的人也会跳跃。</v>
      </c>
    </row>
    <row r="12493">
      <c r="A12493" s="4" t="s">
        <v>15718</v>
      </c>
      <c r="B12493" s="6" t="s">
        <v>15719</v>
      </c>
      <c r="C12493" s="5" t="str">
        <f>IFERROR(__xludf.DUMMYFUNCTION("GOOGLETRANSLATE(B12493,""en"",""zh-CN"")"),"看到一名运动女子与镜头交谈，并与他人一起教她的骑自行车课。")</f>
        <v>看到一名运动女子与镜头交谈，并与他人一起教她的骑自行车课。</v>
      </c>
    </row>
    <row r="12494">
      <c r="A12494" s="4" t="s">
        <v>15718</v>
      </c>
      <c r="B12494" s="4" t="s">
        <v>15720</v>
      </c>
      <c r="C12494" s="5" t="str">
        <f>IFERROR(__xludf.DUMMYFUNCTION("GOOGLETRANSLATE(B12494,""en"",""zh-CN"")"),"她的领导者的更多镜头在不同的领域显示。")</f>
        <v>她的领导者的更多镜头在不同的领域显示。</v>
      </c>
    </row>
    <row r="12495">
      <c r="A12495" s="4" t="s">
        <v>15721</v>
      </c>
      <c r="B12495" s="4" t="s">
        <v>15722</v>
      </c>
      <c r="C12495" s="5" t="str">
        <f>IFERROR(__xludf.DUMMYFUNCTION("GOOGLETRANSLATE(B12495,""en"",""zh-CN"")"),"一位女士坐在淋浴间洗了一只蓬松的狗。")</f>
        <v>一位女士坐在淋浴间洗了一只蓬松的狗。</v>
      </c>
    </row>
    <row r="12496">
      <c r="A12496" s="4" t="s">
        <v>15721</v>
      </c>
      <c r="B12496" s="4" t="s">
        <v>15723</v>
      </c>
      <c r="C12496" s="5" t="str">
        <f>IFERROR(__xludf.DUMMYFUNCTION("GOOGLETRANSLATE(B12496,""en"",""zh-CN"")"),"那位女士靠在狗上，在左侧洗净他的前爪。")</f>
        <v>那位女士靠在狗上，在左侧洗净他的前爪。</v>
      </c>
    </row>
    <row r="12497">
      <c r="A12497" s="4" t="s">
        <v>15724</v>
      </c>
      <c r="B12497" s="4" t="s">
        <v>15725</v>
      </c>
      <c r="C12497" s="5" t="str">
        <f>IFERROR(__xludf.DUMMYFUNCTION("GOOGLETRANSLATE(B12497,""en"",""zh-CN"")"),"一台相机沿着一条小船沿着水和风景移动。")</f>
        <v>一台相机沿着一条小船沿着水和风景移动。</v>
      </c>
    </row>
    <row r="12498">
      <c r="A12498" s="4" t="s">
        <v>15724</v>
      </c>
      <c r="B12498" s="4" t="s">
        <v>15726</v>
      </c>
      <c r="C12498" s="5" t="str">
        <f>IFERROR(__xludf.DUMMYFUNCTION("GOOGLETRANSLATE(B12498,""en"",""zh-CN"")"),"相机放大了船上，并向人们展示了里面的人。")</f>
        <v>相机放大了船上，并向人们展示了里面的人。</v>
      </c>
    </row>
    <row r="12499">
      <c r="A12499" s="4" t="s">
        <v>15727</v>
      </c>
      <c r="B12499" s="4" t="s">
        <v>15728</v>
      </c>
      <c r="C12499" s="5" t="str">
        <f>IFERROR(__xludf.DUMMYFUNCTION("GOOGLETRANSLATE(B12499,""en"",""zh-CN"")"),"一个男人正走上梯子到屋顶。")</f>
        <v>一个男人正走上梯子到屋顶。</v>
      </c>
    </row>
    <row r="12500">
      <c r="A12500" s="4" t="s">
        <v>15727</v>
      </c>
      <c r="B12500" s="4" t="s">
        <v>15729</v>
      </c>
      <c r="C12500" s="5" t="str">
        <f>IFERROR(__xludf.DUMMYFUNCTION("GOOGLETRANSLATE(B12500,""en"",""zh-CN"")"),"他站在房子里说话。")</f>
        <v>他站在房子里说话。</v>
      </c>
    </row>
    <row r="12501">
      <c r="A12501" s="4" t="s">
        <v>15727</v>
      </c>
      <c r="B12501" s="4" t="s">
        <v>15730</v>
      </c>
      <c r="C12501" s="5" t="str">
        <f>IFERROR(__xludf.DUMMYFUNCTION("GOOGLETRANSLATE(B12501,""en"",""zh-CN"")"),"人们正在将新的木瓦放在屋顶上。")</f>
        <v>人们正在将新的木瓦放在屋顶上。</v>
      </c>
    </row>
    <row r="12502">
      <c r="A12502" s="4" t="s">
        <v>15731</v>
      </c>
      <c r="B12502" s="4" t="s">
        <v>15732</v>
      </c>
      <c r="C12502" s="5" t="str">
        <f>IFERROR(__xludf.DUMMYFUNCTION("GOOGLETRANSLATE(B12502,""en"",""zh-CN"")"),"一个婴儿在背面游泳。")</f>
        <v>一个婴儿在背面游泳。</v>
      </c>
    </row>
    <row r="12503">
      <c r="A12503" s="4" t="s">
        <v>15731</v>
      </c>
      <c r="B12503" s="4" t="s">
        <v>15733</v>
      </c>
      <c r="C12503" s="5" t="str">
        <f>IFERROR(__xludf.DUMMYFUNCTION("GOOGLETRANSLATE(B12503,""en"",""zh-CN"")"),"婴儿在水中踢脚。")</f>
        <v>婴儿在水中踢脚。</v>
      </c>
    </row>
    <row r="12504">
      <c r="A12504" s="4" t="s">
        <v>15731</v>
      </c>
      <c r="B12504" s="4" t="s">
        <v>15734</v>
      </c>
      <c r="C12504" s="5" t="str">
        <f>IFERROR(__xludf.DUMMYFUNCTION("GOOGLETRANSLATE(B12504,""en"",""zh-CN"")"),"有人的手把那个婴儿握在水中。")</f>
        <v>有人的手把那个婴儿握在水中。</v>
      </c>
    </row>
    <row r="12505">
      <c r="A12505" s="4" t="s">
        <v>15735</v>
      </c>
      <c r="B12505" s="6" t="s">
        <v>15736</v>
      </c>
      <c r="C12505" s="5" t="str">
        <f>IFERROR(__xludf.DUMMYFUNCTION("GOOGLETRANSLATE(B12505,""en"",""zh-CN"")"),"男士撑杆跳活动的首发清单显示在比赛区域的背景下。")</f>
        <v>男士撑杆跳活动的首发清单显示在比赛区域的背景下。</v>
      </c>
    </row>
    <row r="12506">
      <c r="A12506" s="4" t="s">
        <v>15735</v>
      </c>
      <c r="B12506" s="4" t="s">
        <v>15737</v>
      </c>
      <c r="C12506" s="5" t="str">
        <f>IFERROR(__xludf.DUMMYFUNCTION("GOOGLETRANSLATE(B12506,""en"",""zh-CN"")"),"多个Vaulters试图互相跳跃，有些成功，有些则没有。")</f>
        <v>多个Vaulters试图互相跳跃，有些成功，有些则没有。</v>
      </c>
    </row>
    <row r="12507">
      <c r="A12507" s="4" t="s">
        <v>15735</v>
      </c>
      <c r="B12507" s="6" t="s">
        <v>15738</v>
      </c>
      <c r="C12507" s="5" t="str">
        <f>IFERROR(__xludf.DUMMYFUNCTION("GOOGLETRANSLATE(B12507,""en"",""zh-CN"")"),"相机切成一个男人用毛巾擦拭脸，然后快速拍摄了最后的保险库，然后快速拍摄了另一个男人从相机上走出来。")</f>
        <v>相机切成一个男人用毛巾擦拭脸，然后快速拍摄了最后的保险库，然后快速拍摄了另一个男人从相机上走出来。</v>
      </c>
    </row>
    <row r="12508">
      <c r="A12508" s="4" t="s">
        <v>15735</v>
      </c>
      <c r="B12508" s="4" t="s">
        <v>15739</v>
      </c>
      <c r="C12508" s="5" t="str">
        <f>IFERROR(__xludf.DUMMYFUNCTION("GOOGLETRANSLATE(B12508,""en"",""zh-CN"")"),"另一个穿着白色和蓝色金库的人成功。")</f>
        <v>另一个穿着白色和蓝色金库的人成功。</v>
      </c>
    </row>
    <row r="12509">
      <c r="A12509" s="4" t="s">
        <v>15735</v>
      </c>
      <c r="B12509" s="4" t="s">
        <v>15740</v>
      </c>
      <c r="C12509" s="5" t="str">
        <f>IFERROR(__xludf.DUMMYFUNCTION("GOOGLETRANSLATE(B12509,""en"",""zh-CN"")"),"相机切下其他四个竞争对手观看。")</f>
        <v>相机切下其他四个竞争对手观看。</v>
      </c>
    </row>
    <row r="12510">
      <c r="A12510" s="4" t="s">
        <v>15735</v>
      </c>
      <c r="B12510" s="4" t="s">
        <v>15741</v>
      </c>
      <c r="C12510" s="5" t="str">
        <f>IFERROR(__xludf.DUMMYFUNCTION("GOOGLETRANSLATE(B12510,""en"",""zh-CN"")"),"相机切成一个白色和蓝色的男人，庆祝他的黑色旗帜。")</f>
        <v>相机切成一个白色和蓝色的男人，庆祝他的黑色旗帜。</v>
      </c>
    </row>
    <row r="12511">
      <c r="A12511" s="4" t="s">
        <v>15735</v>
      </c>
      <c r="B12511" s="4" t="s">
        <v>15742</v>
      </c>
      <c r="C12511" s="5" t="str">
        <f>IFERROR(__xludf.DUMMYFUNCTION("GOOGLETRANSLATE(B12511,""en"",""zh-CN"")"),"庆祝的人正在接受采访。")</f>
        <v>庆祝的人正在接受采访。</v>
      </c>
    </row>
    <row r="12512">
      <c r="A12512" s="4" t="s">
        <v>15735</v>
      </c>
      <c r="B12512" s="4" t="s">
        <v>15743</v>
      </c>
      <c r="C12512" s="5" t="str">
        <f>IFERROR(__xludf.DUMMYFUNCTION("GOOGLETRANSLATE(B12512,""en"",""zh-CN"")"),"一个穿着红色的不同竞争对手正在接受采访。")</f>
        <v>一个穿着红色的不同竞争对手正在接受采访。</v>
      </c>
    </row>
    <row r="12513">
      <c r="A12513" s="4" t="s">
        <v>15744</v>
      </c>
      <c r="B12513" s="4" t="s">
        <v>15745</v>
      </c>
      <c r="C12513" s="5" t="str">
        <f>IFERROR(__xludf.DUMMYFUNCTION("GOOGLETRANSLATE(B12513,""en"",""zh-CN"")"),"一个男人坐在床前。")</f>
        <v>一个男人坐在床前。</v>
      </c>
    </row>
    <row r="12514">
      <c r="A12514" s="4" t="s">
        <v>15744</v>
      </c>
      <c r="B12514" s="4" t="s">
        <v>15746</v>
      </c>
      <c r="C12514" s="5" t="str">
        <f>IFERROR(__xludf.DUMMYFUNCTION("GOOGLETRANSLATE(B12514,""en"",""zh-CN"")"),"他开始弹吉他。")</f>
        <v>他开始弹吉他。</v>
      </c>
    </row>
    <row r="12515">
      <c r="A12515" s="4" t="s">
        <v>15744</v>
      </c>
      <c r="B12515" s="4" t="s">
        <v>15747</v>
      </c>
      <c r="C12515" s="5" t="str">
        <f>IFERROR(__xludf.DUMMYFUNCTION("GOOGLETRANSLATE(B12515,""en"",""zh-CN"")"),"他完成比赛并站起来。")</f>
        <v>他完成比赛并站起来。</v>
      </c>
    </row>
    <row r="12516">
      <c r="A12516" s="4" t="s">
        <v>15748</v>
      </c>
      <c r="B12516" s="4" t="s">
        <v>15749</v>
      </c>
      <c r="C12516" s="5" t="str">
        <f>IFERROR(__xludf.DUMMYFUNCTION("GOOGLETRANSLATE(B12516,""en"",""zh-CN"")"),"两个女孩站在商店里互相拥抱。")</f>
        <v>两个女孩站在商店里互相拥抱。</v>
      </c>
    </row>
    <row r="12517">
      <c r="A12517" s="4" t="s">
        <v>15748</v>
      </c>
      <c r="B12517" s="4" t="s">
        <v>15750</v>
      </c>
      <c r="C12517" s="5" t="str">
        <f>IFERROR(__xludf.DUMMYFUNCTION("GOOGLETRANSLATE(B12517,""en"",""zh-CN"")"),"两个女孩承认那个拿着相机的女孩。")</f>
        <v>两个女孩承认那个拿着相机的女孩。</v>
      </c>
    </row>
    <row r="12518">
      <c r="A12518" s="4" t="s">
        <v>15748</v>
      </c>
      <c r="B12518" s="4" t="s">
        <v>15751</v>
      </c>
      <c r="C12518" s="5" t="str">
        <f>IFERROR(__xludf.DUMMYFUNCTION("GOOGLETRANSLATE(B12518,""en"",""zh-CN"")"),"他们每个人的耳朵都想被刺穿。")</f>
        <v>他们每个人的耳朵都想被刺穿。</v>
      </c>
    </row>
    <row r="12519">
      <c r="A12519" s="4" t="s">
        <v>15748</v>
      </c>
      <c r="B12519" s="6" t="s">
        <v>15752</v>
      </c>
      <c r="C12519" s="5" t="str">
        <f>IFERROR(__xludf.DUMMYFUNCTION("GOOGLETRANSLATE(B12519,""en"",""zh-CN"")"),"在商店里工作的女人会伸直女孩的头，标记她的耳朵，并刺穿右耳，因为女孩的脸。")</f>
        <v>在商店里工作的女人会伸直女孩的头，标记她的耳朵，并刺穿右耳，因为女孩的脸。</v>
      </c>
    </row>
    <row r="12520">
      <c r="A12520" s="4" t="s">
        <v>15748</v>
      </c>
      <c r="B12520" s="4" t="s">
        <v>15753</v>
      </c>
      <c r="C12520" s="5" t="str">
        <f>IFERROR(__xludf.DUMMYFUNCTION("GOOGLETRANSLATE(B12520,""en"",""zh-CN"")"),"当工人与她交谈时，女人看上去很震惊，并拿着镜子看着耳朵。")</f>
        <v>当工人与她交谈时，女人看上去很震惊，并拿着镜子看着耳朵。</v>
      </c>
    </row>
    <row r="12521">
      <c r="A12521" s="4" t="s">
        <v>15748</v>
      </c>
      <c r="B12521" s="4" t="s">
        <v>15754</v>
      </c>
      <c r="C12521" s="5" t="str">
        <f>IFERROR(__xludf.DUMMYFUNCTION("GOOGLETRANSLATE(B12521,""en"",""zh-CN"")"),"屏幕上显示要继续。")</f>
        <v>屏幕上显示要继续。</v>
      </c>
    </row>
    <row r="12522">
      <c r="A12522" s="4" t="s">
        <v>15748</v>
      </c>
      <c r="B12522" s="6" t="s">
        <v>15755</v>
      </c>
      <c r="C12522" s="5" t="str">
        <f>IFERROR(__xludf.DUMMYFUNCTION("GOOGLETRANSLATE(B12522,""en"",""zh-CN"")"),"当她坐在椅子上时，女孩露出耳朵，当摄像机放大耳朵时，试图不哭泣。")</f>
        <v>当她坐在椅子上时，女孩露出耳朵，当摄像机放大耳朵时，试图不哭泣。</v>
      </c>
    </row>
    <row r="12523">
      <c r="A12523" s="4" t="s">
        <v>15756</v>
      </c>
      <c r="B12523" s="6" t="s">
        <v>15757</v>
      </c>
      <c r="C12523" s="5" t="str">
        <f>IFERROR(__xludf.DUMMYFUNCTION("GOOGLETRANSLATE(B12523,""en"",""zh-CN"")"),"看到一个女人在相机上说话，并带着湿的头发刷到自己。")</f>
        <v>看到一个女人在相机上说话，并带着湿的头发刷到自己。</v>
      </c>
    </row>
    <row r="12524">
      <c r="A12524" s="4" t="s">
        <v>15756</v>
      </c>
      <c r="B12524" s="4" t="s">
        <v>15758</v>
      </c>
      <c r="C12524" s="5" t="str">
        <f>IFERROR(__xludf.DUMMYFUNCTION("GOOGLETRANSLATE(B12524,""en"",""zh-CN"")"),"她的头发干燥，她将夹子放入头发并开始卷曲。")</f>
        <v>她的头发干燥，她将夹子放入头发并开始卷曲。</v>
      </c>
    </row>
    <row r="12525">
      <c r="A12525" s="4" t="s">
        <v>15756</v>
      </c>
      <c r="B12525" s="6" t="s">
        <v>15759</v>
      </c>
      <c r="C12525" s="5" t="str">
        <f>IFERROR(__xludf.DUMMYFUNCTION("GOOGLETRANSLATE(B12525,""en"",""zh-CN"")"),"她继续卷曲头发的末端，并在末端伸出手指，并在镜头上微笑，同时竖起大拇指。")</f>
        <v>她继续卷曲头发的末端，并在末端伸出手指，并在镜头上微笑，同时竖起大拇指。</v>
      </c>
    </row>
    <row r="12526">
      <c r="A12526" s="4" t="s">
        <v>15760</v>
      </c>
      <c r="B12526" s="6" t="s">
        <v>15761</v>
      </c>
      <c r="C12526" s="5" t="str">
        <f>IFERROR(__xludf.DUMMYFUNCTION("GOOGLETRANSLATE(B12526,""en"",""zh-CN"")"),"一个大绿色垃圾桶被推到砖墙上，驯鹿从咖啡杯中跳出来。")</f>
        <v>一个大绿色垃圾桶被推到砖墙上，驯鹿从咖啡杯中跳出来。</v>
      </c>
    </row>
    <row r="12527">
      <c r="A12527" s="4" t="s">
        <v>15760</v>
      </c>
      <c r="B12527" s="6" t="s">
        <v>15762</v>
      </c>
      <c r="C12527" s="5" t="str">
        <f>IFERROR(__xludf.DUMMYFUNCTION("GOOGLETRANSLATE(B12527,""en"",""zh-CN"")"),"驯鹿继续从咖啡杯里喝酒，最终从垃圾桶上掉下来。")</f>
        <v>驯鹿继续从咖啡杯里喝酒，最终从垃圾桶上掉下来。</v>
      </c>
    </row>
    <row r="12528">
      <c r="A12528" s="4" t="s">
        <v>15763</v>
      </c>
      <c r="B12528" s="4" t="s">
        <v>15764</v>
      </c>
      <c r="C12528" s="5" t="str">
        <f>IFERROR(__xludf.DUMMYFUNCTION("GOOGLETRANSLATE(B12528,""en"",""zh-CN"")"),"屏幕显示镜头的单词使男人。")</f>
        <v>屏幕显示镜头的单词使男人。</v>
      </c>
    </row>
    <row r="12529">
      <c r="A12529" s="4" t="s">
        <v>15763</v>
      </c>
      <c r="B12529" s="4" t="s">
        <v>15765</v>
      </c>
      <c r="C12529" s="5" t="str">
        <f>IFERROR(__xludf.DUMMYFUNCTION("GOOGLETRANSLATE(B12529,""en"",""zh-CN"")"),"库尔特·罗伯茨（Kurt Roberts）在黄色的顶部扔球，一个人急于测量投掷。")</f>
        <v>库尔特·罗伯茨（Kurt Roberts）在黄色的顶部扔球，一个人急于测量投掷。</v>
      </c>
    </row>
    <row r="12530">
      <c r="A12530" s="4" t="s">
        <v>15763</v>
      </c>
      <c r="B12530" s="4" t="s">
        <v>15766</v>
      </c>
      <c r="C12530" s="5" t="str">
        <f>IFERROR(__xludf.DUMMYFUNCTION("GOOGLETRANSLATE(B12530,""en"",""zh-CN"")"),"kurt喝佳得乐瓶中的饮料。")</f>
        <v>kurt喝佳得乐瓶中的饮料。</v>
      </c>
    </row>
    <row r="12531">
      <c r="A12531" s="4" t="s">
        <v>15763</v>
      </c>
      <c r="B12531" s="4" t="s">
        <v>15767</v>
      </c>
      <c r="C12531" s="5" t="str">
        <f>IFERROR(__xludf.DUMMYFUNCTION("GOOGLETRANSLATE(B12531,""en"",""zh-CN"")"),"里斯·霍法（Reese Hoffa）站起来并扔球，一个人急于测量投掷。")</f>
        <v>里斯·霍法（Reese Hoffa）站起来并扔球，一个人急于测量投掷。</v>
      </c>
    </row>
    <row r="12532">
      <c r="A12532" s="4" t="s">
        <v>15763</v>
      </c>
      <c r="B12532" s="4" t="s">
        <v>15768</v>
      </c>
      <c r="C12532" s="5" t="str">
        <f>IFERROR(__xludf.DUMMYFUNCTION("GOOGLETRANSLATE(B12532,""en"",""zh-CN"")"),"里斯（Reese）调整了衬衫，等待得分。")</f>
        <v>里斯（Reese）调整了衬衫，等待得分。</v>
      </c>
    </row>
    <row r="12533">
      <c r="A12533" s="4" t="s">
        <v>15763</v>
      </c>
      <c r="B12533" s="4" t="s">
        <v>15769</v>
      </c>
      <c r="C12533" s="5" t="str">
        <f>IFERROR(__xludf.DUMMYFUNCTION("GOOGLETRANSLATE(B12533,""en"",""zh-CN"")"),"戴维斯·斯托尔（Davis Storl）坐在屏幕上。")</f>
        <v>戴维斯·斯托尔（Davis Storl）坐在屏幕上。</v>
      </c>
    </row>
    <row r="12534">
      <c r="A12534" s="4" t="s">
        <v>15763</v>
      </c>
      <c r="B12534" s="4" t="s">
        <v>15770</v>
      </c>
      <c r="C12534" s="5" t="str">
        <f>IFERROR(__xludf.DUMMYFUNCTION("GOOGLETRANSLATE(B12534,""en"",""zh-CN"")"),"然后，他扔球，男人急于测量距离。")</f>
        <v>然后，他扔球，男人急于测量距离。</v>
      </c>
    </row>
    <row r="12535">
      <c r="A12535" s="4" t="s">
        <v>15763</v>
      </c>
      <c r="B12535" s="4" t="s">
        <v>15771</v>
      </c>
      <c r="C12535" s="5" t="str">
        <f>IFERROR(__xludf.DUMMYFUNCTION("GOOGLETRANSLATE(B12535,""en"",""zh-CN"")"),"他被证明与他的团队站在一起，并立即进行了投掷的重播。")</f>
        <v>他被证明与他的团队站在一起，并立即进行了投掷的重播。</v>
      </c>
    </row>
    <row r="12536">
      <c r="A12536" s="4" t="s">
        <v>15763</v>
      </c>
      <c r="B12536" s="4" t="s">
        <v>15772</v>
      </c>
      <c r="C12536" s="5" t="str">
        <f>IFERROR(__xludf.DUMMYFUNCTION("GOOGLETRANSLATE(B12536,""en"",""zh-CN"")"),"分数显示在屏幕上。")</f>
        <v>分数显示在屏幕上。</v>
      </c>
    </row>
    <row r="12537">
      <c r="A12537" s="4" t="s">
        <v>15763</v>
      </c>
      <c r="B12537" s="4" t="s">
        <v>15773</v>
      </c>
      <c r="C12537" s="5" t="str">
        <f>IFERROR(__xludf.DUMMYFUNCTION("GOOGLETRANSLATE(B12537,""en"",""zh-CN"")"),"粉丝们在浪潮中表现出来。")</f>
        <v>粉丝们在浪潮中表现出来。</v>
      </c>
    </row>
    <row r="12538">
      <c r="A12538" s="4" t="s">
        <v>15774</v>
      </c>
      <c r="B12538" s="4" t="s">
        <v>15775</v>
      </c>
      <c r="C12538" s="5" t="str">
        <f>IFERROR(__xludf.DUMMYFUNCTION("GOOGLETRANSLATE(B12538,""en"",""zh-CN"")"),"雪地上的一个孩子滑雪，拿着两根杆子，穿着天空。")</f>
        <v>雪地上的一个孩子滑雪，拿着两根杆子，穿着天空。</v>
      </c>
    </row>
    <row r="12539">
      <c r="A12539" s="4" t="s">
        <v>15774</v>
      </c>
      <c r="B12539" s="4" t="s">
        <v>15776</v>
      </c>
      <c r="C12539" s="5" t="str">
        <f>IFERROR(__xludf.DUMMYFUNCTION("GOOGLETRANSLATE(B12539,""en"",""zh-CN"")"),"成人在孩子身后滑雪。")</f>
        <v>成人在孩子身后滑雪。</v>
      </c>
    </row>
    <row r="12540">
      <c r="A12540" s="4" t="s">
        <v>15774</v>
      </c>
      <c r="B12540" s="4" t="s">
        <v>15777</v>
      </c>
      <c r="C12540" s="5" t="str">
        <f>IFERROR(__xludf.DUMMYFUNCTION("GOOGLETRANSLATE(B12540,""en"",""zh-CN"")"),"然后孩子停下来，然后开始行走，直到开始在山上滑动。")</f>
        <v>然后孩子停下来，然后开始行走，直到开始在山上滑动。</v>
      </c>
    </row>
    <row r="12541">
      <c r="A12541" s="4" t="s">
        <v>15778</v>
      </c>
      <c r="B12541" s="4" t="s">
        <v>15779</v>
      </c>
      <c r="C12541" s="5" t="str">
        <f>IFERROR(__xludf.DUMMYFUNCTION("GOOGLETRANSLATE(B12541,""en"",""zh-CN"")"),"显示了田野和动物的鸟瞰图。")</f>
        <v>显示了田野和动物的鸟瞰图。</v>
      </c>
    </row>
    <row r="12542">
      <c r="A12542" s="4" t="s">
        <v>15778</v>
      </c>
      <c r="B12542" s="4" t="s">
        <v>15780</v>
      </c>
      <c r="C12542" s="5" t="str">
        <f>IFERROR(__xludf.DUMMYFUNCTION("GOOGLETRANSLATE(B12542,""en"",""zh-CN"")"),"人们在飞镖板上铣削，然后开始用日志做伐木工人的事情。")</f>
        <v>人们在飞镖板上铣削，然后开始用日志做伐木工人的事情。</v>
      </c>
    </row>
    <row r="12543">
      <c r="A12543" s="4" t="s">
        <v>15778</v>
      </c>
      <c r="B12543" s="4" t="s">
        <v>15781</v>
      </c>
      <c r="C12543" s="5" t="str">
        <f>IFERROR(__xludf.DUMMYFUNCTION("GOOGLETRANSLATE(B12543,""en"",""zh-CN"")"),"准备船，小组开始滑水，滑水等。")</f>
        <v>准备船，小组开始滑水，滑水等。</v>
      </c>
    </row>
    <row r="12544">
      <c r="A12544" s="4" t="s">
        <v>15778</v>
      </c>
      <c r="B12544" s="4" t="s">
        <v>15782</v>
      </c>
      <c r="C12544" s="5" t="str">
        <f>IFERROR(__xludf.DUMMYFUNCTION("GOOGLETRANSLATE(B12544,""en"",""zh-CN"")"),"最后，人们在船上放松。")</f>
        <v>最后，人们在船上放松。</v>
      </c>
    </row>
    <row r="12545">
      <c r="A12545" s="4" t="s">
        <v>15783</v>
      </c>
      <c r="B12545" s="4" t="s">
        <v>15784</v>
      </c>
      <c r="C12545" s="5" t="str">
        <f>IFERROR(__xludf.DUMMYFUNCTION("GOOGLETRANSLATE(B12545,""en"",""zh-CN"")"),"人们在法庭上打羽毛球。")</f>
        <v>人们在法庭上打羽毛球。</v>
      </c>
    </row>
    <row r="12546">
      <c r="A12546" s="4" t="s">
        <v>15783</v>
      </c>
      <c r="B12546" s="4" t="s">
        <v>15785</v>
      </c>
      <c r="C12546" s="5" t="str">
        <f>IFERROR(__xludf.DUMMYFUNCTION("GOOGLETRANSLATE(B12546,""en"",""zh-CN"")"),"观众正在看他们玩。")</f>
        <v>观众正在看他们玩。</v>
      </c>
    </row>
    <row r="12547">
      <c r="A12547" s="4" t="s">
        <v>15783</v>
      </c>
      <c r="B12547" s="4" t="s">
        <v>15786</v>
      </c>
      <c r="C12547" s="5" t="str">
        <f>IFERROR(__xludf.DUMMYFUNCTION("GOOGLETRANSLATE(B12547,""en"",""zh-CN"")"),"显示了一群玩游戏的人。")</f>
        <v>显示了一群玩游戏的人。</v>
      </c>
    </row>
    <row r="12548">
      <c r="A12548" s="4" t="s">
        <v>15783</v>
      </c>
      <c r="B12548" s="4" t="s">
        <v>15787</v>
      </c>
      <c r="C12548" s="5" t="str">
        <f>IFERROR(__xludf.DUMMYFUNCTION("GOOGLETRANSLATE(B12548,""en"",""zh-CN"")"),"一个穿着蓝色毛衣的男人正在和镜头说话。")</f>
        <v>一个穿着蓝色毛衣的男人正在和镜头说话。</v>
      </c>
    </row>
    <row r="12549">
      <c r="A12549" s="4" t="s">
        <v>15788</v>
      </c>
      <c r="B12549" s="4" t="s">
        <v>15789</v>
      </c>
      <c r="C12549" s="5" t="str">
        <f>IFERROR(__xludf.DUMMYFUNCTION("GOOGLETRANSLATE(B12549,""en"",""zh-CN"")"),"面包师正在将一个安全的戒指放在硅胶造型器上。")</f>
        <v>面包师正在将一个安全的戒指放在硅胶造型器上。</v>
      </c>
    </row>
    <row r="12550">
      <c r="A12550" s="4" t="s">
        <v>15788</v>
      </c>
      <c r="B12550" s="6" t="s">
        <v>15790</v>
      </c>
      <c r="C12550" s="5" t="str">
        <f>IFERROR(__xludf.DUMMYFUNCTION("GOOGLETRANSLATE(B12550,""en"",""zh-CN"")"),"面包师将面糊倒入紫色铸造器中，然后在烤箱中放置一个硅胶托盘，然后将蛋糕放入烤箱中。")</f>
        <v>面包师将面糊倒入紫色铸造器中，然后在烤箱中放置一个硅胶托盘，然后将蛋糕放入烤箱中。</v>
      </c>
    </row>
    <row r="12551">
      <c r="A12551" s="4" t="s">
        <v>15788</v>
      </c>
      <c r="B12551" s="4" t="s">
        <v>15791</v>
      </c>
      <c r="C12551" s="5" t="str">
        <f>IFERROR(__xludf.DUMMYFUNCTION("GOOGLETRANSLATE(B12551,""en"",""zh-CN"")"),"面包师将蛋糕翻过盘子，将糖霜和水果放在上面。")</f>
        <v>面包师将蛋糕翻过盘子，将糖霜和水果放在上面。</v>
      </c>
    </row>
    <row r="12552">
      <c r="A12552" s="4" t="s">
        <v>15788</v>
      </c>
      <c r="B12552" s="4" t="s">
        <v>15792</v>
      </c>
      <c r="C12552" s="5" t="str">
        <f>IFERROR(__xludf.DUMMYFUNCTION("GOOGLETRANSLATE(B12552,""en"",""zh-CN"")"),"面包师将安全性放在模具中，将果冻放入其中，然后将果冻从模塑料上掉下来。")</f>
        <v>面包师将安全性放在模具中，将果冻放入其中，然后将果冻从模塑料上掉下来。</v>
      </c>
    </row>
    <row r="12553">
      <c r="A12553" s="4" t="s">
        <v>15788</v>
      </c>
      <c r="B12553" s="4" t="s">
        <v>15793</v>
      </c>
      <c r="C12553" s="5" t="str">
        <f>IFERROR(__xludf.DUMMYFUNCTION("GOOGLETRANSLATE(B12553,""en"",""zh-CN"")"),"面包师使用模制者制作冰棍，蛋糕装饰和巧克力。")</f>
        <v>面包师使用模制者制作冰棍，蛋糕装饰和巧克力。</v>
      </c>
    </row>
    <row r="12554">
      <c r="A12554" s="4" t="s">
        <v>15794</v>
      </c>
      <c r="B12554" s="4" t="s">
        <v>15795</v>
      </c>
      <c r="C12554" s="5" t="str">
        <f>IFERROR(__xludf.DUMMYFUNCTION("GOOGLETRANSLATE(B12554,""en"",""zh-CN"")"),"看到一个男人骑着马骑行，然后绑着小腿，而其他人则看着小牛。")</f>
        <v>看到一个男人骑着马骑行，然后绑着小腿，而其他人则看着小牛。</v>
      </c>
    </row>
    <row r="12555">
      <c r="A12555" s="4" t="s">
        <v>15794</v>
      </c>
      <c r="B12555" s="4" t="s">
        <v>15796</v>
      </c>
      <c r="C12555" s="5" t="str">
        <f>IFERROR(__xludf.DUMMYFUNCTION("GOOGLETRANSLATE(B12555,""en"",""zh-CN"")"),"然后，该男子将小腿绑起来，爬上马，其他人踩到戒指上。")</f>
        <v>然后，该男子将小腿绑起来，爬上马，其他人踩到戒指上。</v>
      </c>
    </row>
    <row r="12556">
      <c r="A12556" s="4" t="s">
        <v>15797</v>
      </c>
      <c r="B12556" s="4" t="s">
        <v>15798</v>
      </c>
      <c r="C12556" s="5" t="str">
        <f>IFERROR(__xludf.DUMMYFUNCTION("GOOGLETRANSLATE(B12556,""en"",""zh-CN"")"),"一张女体操运动员在照片中显示。")</f>
        <v>一张女体操运动员在照片中显示。</v>
      </c>
    </row>
    <row r="12557">
      <c r="A12557" s="4" t="s">
        <v>15797</v>
      </c>
      <c r="B12557" s="4" t="s">
        <v>15799</v>
      </c>
      <c r="C12557" s="5" t="str">
        <f>IFERROR(__xludf.DUMMYFUNCTION("GOOGLETRANSLATE(B12557,""en"",""zh-CN"")"),"然后显示她准备并安装远光灯。")</f>
        <v>然后显示她准备并安装远光灯。</v>
      </c>
    </row>
    <row r="12558">
      <c r="A12558" s="4" t="s">
        <v>15797</v>
      </c>
      <c r="B12558" s="4" t="s">
        <v>15800</v>
      </c>
      <c r="C12558" s="5" t="str">
        <f>IFERROR(__xludf.DUMMYFUNCTION("GOOGLETRANSLATE(B12558,""en"",""zh-CN"")"),"她翻转并打开光束，在两个光束之间变化。")</f>
        <v>她翻转并打开光束，在两个光束之间变化。</v>
      </c>
    </row>
    <row r="12559">
      <c r="A12559" s="4" t="s">
        <v>15797</v>
      </c>
      <c r="B12559" s="4" t="s">
        <v>15801</v>
      </c>
      <c r="C12559" s="5" t="str">
        <f>IFERROR(__xludf.DUMMYFUNCTION("GOOGLETRANSLATE(B12559,""en"",""zh-CN"")"),"她卸下，将手臂胜利地伸进空气。")</f>
        <v>她卸下，将手臂胜利地伸进空气。</v>
      </c>
    </row>
    <row r="12560">
      <c r="A12560" s="4" t="s">
        <v>15802</v>
      </c>
      <c r="B12560" s="4" t="s">
        <v>15803</v>
      </c>
      <c r="C12560" s="5" t="str">
        <f>IFERROR(__xludf.DUMMYFUNCTION("GOOGLETRANSLATE(B12560,""en"",""zh-CN"")"),"一个孩子坐在柜台上，上面有一个水颜色的容器。")</f>
        <v>一个孩子坐在柜台上，上面有一个水颜色的容器。</v>
      </c>
    </row>
    <row r="12561">
      <c r="A12561" s="4" t="s">
        <v>15802</v>
      </c>
      <c r="B12561" s="4" t="s">
        <v>15804</v>
      </c>
      <c r="C12561" s="5" t="str">
        <f>IFERROR(__xludf.DUMMYFUNCTION("GOOGLETRANSLATE(B12561,""en"",""zh-CN"")"),"她正在使用油漆刷将油漆涂在脸上。")</f>
        <v>她正在使用油漆刷将油漆涂在脸上。</v>
      </c>
    </row>
    <row r="12562">
      <c r="A12562" s="4" t="s">
        <v>15802</v>
      </c>
      <c r="B12562" s="4" t="s">
        <v>15805</v>
      </c>
      <c r="C12562" s="5" t="str">
        <f>IFERROR(__xludf.DUMMYFUNCTION("GOOGLETRANSLATE(B12562,""en"",""zh-CN"")"),"然后，她开始将油漆放在胸前。")</f>
        <v>然后，她开始将油漆放在胸前。</v>
      </c>
    </row>
    <row r="12563">
      <c r="A12563" s="4" t="s">
        <v>15806</v>
      </c>
      <c r="B12563" s="4" t="s">
        <v>15807</v>
      </c>
      <c r="C12563" s="5" t="str">
        <f>IFERROR(__xludf.DUMMYFUNCTION("GOOGLETRANSLATE(B12563,""en"",""zh-CN"")"),"倒计时显示了一个人在比赛中得分的人。")</f>
        <v>倒计时显示了一个人在比赛中得分的人。</v>
      </c>
    </row>
    <row r="12564">
      <c r="A12564" s="4" t="s">
        <v>15806</v>
      </c>
      <c r="B12564" s="4" t="s">
        <v>15808</v>
      </c>
      <c r="C12564" s="5" t="str">
        <f>IFERROR(__xludf.DUMMYFUNCTION("GOOGLETRANSLATE(B12564,""en"",""zh-CN"")"),"显示了更多文本，以计算列表并显示另一个人得分。")</f>
        <v>显示了更多文本，以计算列表并显示另一个人得分。</v>
      </c>
    </row>
    <row r="12565">
      <c r="A12565" s="4" t="s">
        <v>15806</v>
      </c>
      <c r="B12565" s="6" t="s">
        <v>15809</v>
      </c>
      <c r="C12565" s="5" t="str">
        <f>IFERROR(__xludf.DUMMYFUNCTION("GOOGLETRANSLATE(B12565,""en"",""zh-CN"")"),"在列表降低的同时，还显示了一些人进行令人印象深刻的运动策略的人。")</f>
        <v>在列表降低的同时，还显示了一些人进行令人印象深刻的运动策略的人。</v>
      </c>
    </row>
    <row r="12566">
      <c r="A12566" s="4" t="s">
        <v>15810</v>
      </c>
      <c r="B12566" s="4" t="s">
        <v>15811</v>
      </c>
      <c r="C12566" s="5" t="str">
        <f>IFERROR(__xludf.DUMMYFUNCTION("GOOGLETRANSLATE(B12566,""en"",""zh-CN"")"),"一条船继续前进，后面有一条绳子。")</f>
        <v>一条船继续前进，后面有一条绳子。</v>
      </c>
    </row>
    <row r="12567">
      <c r="A12567" s="4" t="s">
        <v>15810</v>
      </c>
      <c r="B12567" s="4" t="s">
        <v>15812</v>
      </c>
      <c r="C12567" s="5" t="str">
        <f>IFERROR(__xludf.DUMMYFUNCTION("GOOGLETRANSLATE(B12567,""en"",""zh-CN"")"),"一个男孩抓住绳子，船后进入水中。")</f>
        <v>一个男孩抓住绳子，船后进入水中。</v>
      </c>
    </row>
    <row r="12568">
      <c r="A12568" s="4" t="s">
        <v>15810</v>
      </c>
      <c r="B12568" s="4" t="s">
        <v>15813</v>
      </c>
      <c r="C12568" s="5" t="str">
        <f>IFERROR(__xludf.DUMMYFUNCTION("GOOGLETRANSLATE(B12568,""en"",""zh-CN"")"),"船开始加速。")</f>
        <v>船开始加速。</v>
      </c>
    </row>
    <row r="12569">
      <c r="A12569" s="4" t="s">
        <v>15810</v>
      </c>
      <c r="B12569" s="4" t="s">
        <v>15814</v>
      </c>
      <c r="C12569" s="5" t="str">
        <f>IFERROR(__xludf.DUMMYFUNCTION("GOOGLETRANSLATE(B12569,""en"",""zh-CN"")"),"这个男孩被带到他的脚下，开始滑水。")</f>
        <v>这个男孩被带到他的脚下，开始滑水。</v>
      </c>
    </row>
    <row r="12570">
      <c r="A12570" s="4" t="s">
        <v>15815</v>
      </c>
      <c r="B12570" s="4" t="s">
        <v>15816</v>
      </c>
      <c r="C12570" s="5" t="str">
        <f>IFERROR(__xludf.DUMMYFUNCTION("GOOGLETRANSLATE(B12570,""en"",""zh-CN"")"),"一个男人走到垫子上，将大量的重量抬到头上。")</f>
        <v>一个男人走到垫子上，将大量的重量抬到头上。</v>
      </c>
    </row>
    <row r="12571">
      <c r="A12571" s="4" t="s">
        <v>15815</v>
      </c>
      <c r="B12571" s="4" t="s">
        <v>15817</v>
      </c>
      <c r="C12571" s="5" t="str">
        <f>IFERROR(__xludf.DUMMYFUNCTION("GOOGLETRANSLATE(B12571,""en"",""zh-CN"")"),"一个穿着红色衬衫的男人坐下。")</f>
        <v>一个穿着红色衬衫的男人坐下。</v>
      </c>
    </row>
    <row r="12572">
      <c r="A12572" s="4" t="s">
        <v>15815</v>
      </c>
      <c r="B12572" s="4" t="s">
        <v>15818</v>
      </c>
      <c r="C12572" s="5" t="str">
        <f>IFERROR(__xludf.DUMMYFUNCTION("GOOGLETRANSLATE(B12572,""en"",""zh-CN"")"),"一个男人走上去，将大量的重量放在头上，将其丢在地上。")</f>
        <v>一个男人走上去，将大量的重量放在头上，将其丢在地上。</v>
      </c>
    </row>
    <row r="12573">
      <c r="A12573" s="4" t="s">
        <v>15815</v>
      </c>
      <c r="B12573" s="4" t="s">
        <v>15819</v>
      </c>
      <c r="C12573" s="5" t="str">
        <f>IFERROR(__xludf.DUMMYFUNCTION("GOOGLETRANSLATE(B12573,""en"",""zh-CN"")"),"另一个男人来到垫子上，将重物抬起头上。")</f>
        <v>另一个男人来到垫子上，将重物抬起头上。</v>
      </c>
    </row>
    <row r="12574">
      <c r="A12574" s="4" t="s">
        <v>15820</v>
      </c>
      <c r="B12574" s="4" t="s">
        <v>15821</v>
      </c>
      <c r="C12574" s="5" t="str">
        <f>IFERROR(__xludf.DUMMYFUNCTION("GOOGLETRANSLATE(B12574,""en"",""zh-CN"")"),"看到一个男人站在拿着剃刀的镜子前。")</f>
        <v>看到一个男人站在拿着剃刀的镜子前。</v>
      </c>
    </row>
    <row r="12575">
      <c r="A12575" s="4" t="s">
        <v>15820</v>
      </c>
      <c r="B12575" s="4" t="s">
        <v>15822</v>
      </c>
      <c r="C12575" s="5" t="str">
        <f>IFERROR(__xludf.DUMMYFUNCTION("GOOGLETRANSLATE(B12575,""en"",""zh-CN"")"),"然后，他开始照镜子时开始剃光脸。")</f>
        <v>然后，他开始照镜子时开始剃光脸。</v>
      </c>
    </row>
    <row r="12576">
      <c r="A12576" s="4" t="s">
        <v>15820</v>
      </c>
      <c r="B12576" s="4" t="s">
        <v>15823</v>
      </c>
      <c r="C12576" s="5" t="str">
        <f>IFERROR(__xludf.DUMMYFUNCTION("GOOGLETRANSLATE(B12576,""en"",""zh-CN"")"),"他完成了剃光的脸，回头看着相机。")</f>
        <v>他完成了剃光的脸，回头看着相机。</v>
      </c>
    </row>
    <row r="12577">
      <c r="A12577" s="4" t="s">
        <v>15824</v>
      </c>
      <c r="B12577" s="6" t="s">
        <v>15825</v>
      </c>
      <c r="C12577" s="5" t="str">
        <f>IFERROR(__xludf.DUMMYFUNCTION("GOOGLETRANSLATE(B12577,""en"",""zh-CN"")"),"长发长发的小女孩在客厅里跳舞，地板上有很多靴子和鞋子，她戴上并脱下来。")</f>
        <v>长发长发的小女孩在客厅里跳舞，地板上有很多靴子和鞋子，她戴上并脱下来。</v>
      </c>
    </row>
    <row r="12578">
      <c r="A12578" s="4" t="s">
        <v>15824</v>
      </c>
      <c r="B12578" s="4" t="s">
        <v>15826</v>
      </c>
      <c r="C12578" s="5" t="str">
        <f>IFERROR(__xludf.DUMMYFUNCTION("GOOGLETRANSLATE(B12578,""en"",""zh-CN"")"),"女孩在客厅的滑板上再次到达房间。")</f>
        <v>女孩在客厅的滑板上再次到达房间。</v>
      </c>
    </row>
    <row r="12579">
      <c r="A12579" s="4" t="s">
        <v>15824</v>
      </c>
      <c r="B12579" s="4" t="s">
        <v>15827</v>
      </c>
      <c r="C12579" s="5" t="str">
        <f>IFERROR(__xludf.DUMMYFUNCTION("GOOGLETRANSLATE(B12579,""en"",""zh-CN"")"),"小女孩在图书馆里抓一些东西，然后开始在房间里跳舞。")</f>
        <v>小女孩在图书馆里抓一些东西，然后开始在房间里跳舞。</v>
      </c>
    </row>
    <row r="12580">
      <c r="A12580" s="4" t="s">
        <v>15828</v>
      </c>
      <c r="B12580" s="4" t="s">
        <v>15829</v>
      </c>
      <c r="C12580" s="5" t="str">
        <f>IFERROR(__xludf.DUMMYFUNCTION("GOOGLETRANSLATE(B12580,""en"",""zh-CN"")"),"人们坐在大鼓后面。")</f>
        <v>人们坐在大鼓后面。</v>
      </c>
    </row>
    <row r="12581">
      <c r="A12581" s="4" t="s">
        <v>15828</v>
      </c>
      <c r="B12581" s="4" t="s">
        <v>15830</v>
      </c>
      <c r="C12581" s="5" t="str">
        <f>IFERROR(__xludf.DUMMYFUNCTION("GOOGLETRANSLATE(B12581,""en"",""zh-CN"")"),"他们开始用手打鼓。")</f>
        <v>他们开始用手打鼓。</v>
      </c>
    </row>
    <row r="12582">
      <c r="A12582" s="4" t="s">
        <v>15828</v>
      </c>
      <c r="B12582" s="4" t="s">
        <v>15831</v>
      </c>
      <c r="C12582" s="5" t="str">
        <f>IFERROR(__xludf.DUMMYFUNCTION("GOOGLETRANSLATE(B12582,""en"",""zh-CN"")"),"人们站在街上看着他们。")</f>
        <v>人们站在街上看着他们。</v>
      </c>
    </row>
    <row r="12583">
      <c r="A12583" s="4" t="s">
        <v>15828</v>
      </c>
      <c r="B12583" s="4" t="s">
        <v>15832</v>
      </c>
      <c r="C12583" s="5" t="str">
        <f>IFERROR(__xludf.DUMMYFUNCTION("GOOGLETRANSLATE(B12583,""en"",""zh-CN"")"),"一个男人捡起椅子，将其倒在鼓上。")</f>
        <v>一个男人捡起椅子，将其倒在鼓上。</v>
      </c>
    </row>
    <row r="12584">
      <c r="A12584" s="4" t="s">
        <v>15833</v>
      </c>
      <c r="B12584" s="4" t="s">
        <v>15834</v>
      </c>
      <c r="C12584" s="5" t="str">
        <f>IFERROR(__xludf.DUMMYFUNCTION("GOOGLETRANSLATE(B12584,""en"",""zh-CN"")"),"一个男人和女人一起登上舞台。")</f>
        <v>一个男人和女人一起登上舞台。</v>
      </c>
    </row>
    <row r="12585">
      <c r="A12585" s="4" t="s">
        <v>15833</v>
      </c>
      <c r="B12585" s="4" t="s">
        <v>15835</v>
      </c>
      <c r="C12585" s="5" t="str">
        <f>IFERROR(__xludf.DUMMYFUNCTION("GOOGLETRANSLATE(B12585,""en"",""zh-CN"")"),"他们迅速在人群面前打鼓。")</f>
        <v>他们迅速在人群面前打鼓。</v>
      </c>
    </row>
    <row r="12586">
      <c r="A12586" s="4" t="s">
        <v>15833</v>
      </c>
      <c r="B12586" s="4" t="s">
        <v>15836</v>
      </c>
      <c r="C12586" s="5" t="str">
        <f>IFERROR(__xludf.DUMMYFUNCTION("GOOGLETRANSLATE(B12586,""en"",""zh-CN"")"),"然后看到一个年长的男人也打鼓。")</f>
        <v>然后看到一个年长的男人也打鼓。</v>
      </c>
    </row>
    <row r="12587">
      <c r="A12587" s="4" t="s">
        <v>15837</v>
      </c>
      <c r="B12587" s="4" t="s">
        <v>15838</v>
      </c>
      <c r="C12587" s="5" t="str">
        <f>IFERROR(__xludf.DUMMYFUNCTION("GOOGLETRANSLATE(B12587,""en"",""zh-CN"")"),"一个摄像头在商店周围摇晃，然后摇回一个女孩说话。")</f>
        <v>一个摄像头在商店周围摇晃，然后摇回一个女孩说话。</v>
      </c>
    </row>
    <row r="12588">
      <c r="A12588" s="4" t="s">
        <v>15837</v>
      </c>
      <c r="B12588" s="4" t="s">
        <v>15839</v>
      </c>
      <c r="C12588" s="5" t="str">
        <f>IFERROR(__xludf.DUMMYFUNCTION("GOOGLETRANSLATE(B12588,""en"",""zh-CN"")"),"她多次指着自己的脸，并游览她的房间。")</f>
        <v>她多次指着自己的脸，并游览她的房间。</v>
      </c>
    </row>
    <row r="12589">
      <c r="A12589" s="4" t="s">
        <v>15837</v>
      </c>
      <c r="B12589" s="6" t="s">
        <v>15840</v>
      </c>
      <c r="C12589" s="5" t="str">
        <f>IFERROR(__xludf.DUMMYFUNCTION("GOOGLETRANSLATE(B12589,""en"",""zh-CN"")"),"她继续与相机交谈，并最终显示了她刺穿鼻子的镜头。")</f>
        <v>她继续与相机交谈，并最终显示了她刺穿鼻子的镜头。</v>
      </c>
    </row>
    <row r="12590">
      <c r="A12590" s="4" t="s">
        <v>15837</v>
      </c>
      <c r="B12590" s="4" t="s">
        <v>15841</v>
      </c>
      <c r="C12590" s="5" t="str">
        <f>IFERROR(__xludf.DUMMYFUNCTION("GOOGLETRANSLATE(B12590,""en"",""zh-CN"")"),"她用刺穿的鼻子回到房间里，露出饮料和寿司。")</f>
        <v>她用刺穿的鼻子回到房间里，露出饮料和寿司。</v>
      </c>
    </row>
    <row r="12591">
      <c r="A12591" s="4" t="s">
        <v>15837</v>
      </c>
      <c r="B12591" s="4" t="s">
        <v>15842</v>
      </c>
      <c r="C12591" s="5" t="str">
        <f>IFERROR(__xludf.DUMMYFUNCTION("GOOGLETRANSLATE(B12591,""en"",""zh-CN"")"),"最终，她展示了一本书，还有一个带有白色粉末的包，她自己是小马尾巴。")</f>
        <v>最终，她展示了一本书，还有一个带有白色粉末的包，她自己是小马尾巴。</v>
      </c>
    </row>
    <row r="12592">
      <c r="A12592" s="4" t="s">
        <v>15843</v>
      </c>
      <c r="B12592" s="4" t="s">
        <v>15844</v>
      </c>
      <c r="C12592" s="5" t="str">
        <f>IFERROR(__xludf.DUMMYFUNCTION("GOOGLETRANSLATE(B12592,""en"",""zh-CN"")"),"一个男人在鼓手的前面说话，拿着两根棍子。")</f>
        <v>一个男人在鼓手的前面说话，拿着两根棍子。</v>
      </c>
    </row>
    <row r="12593">
      <c r="A12593" s="4" t="s">
        <v>15843</v>
      </c>
      <c r="B12593" s="4" t="s">
        <v>15845</v>
      </c>
      <c r="C12593" s="5" t="str">
        <f>IFERROR(__xludf.DUMMYFUNCTION("GOOGLETRANSLATE(B12593,""en"",""zh-CN"")"),"该男子假装打鼓，然后继续说话。")</f>
        <v>该男子假装打鼓，然后继续说话。</v>
      </c>
    </row>
    <row r="12594">
      <c r="A12594" s="4" t="s">
        <v>15846</v>
      </c>
      <c r="B12594" s="4" t="s">
        <v>15847</v>
      </c>
      <c r="C12594" s="5" t="str">
        <f>IFERROR(__xludf.DUMMYFUNCTION("GOOGLETRANSLATE(B12594,""en"",""zh-CN"")"),"一个戴着浅蓝色背心和黑色短裤的女人正在椭圆形锻炼。")</f>
        <v>一个戴着浅蓝色背心和黑色短裤的女人正在椭圆形锻炼。</v>
      </c>
    </row>
    <row r="12595">
      <c r="A12595" s="4" t="s">
        <v>15846</v>
      </c>
      <c r="B12595" s="4" t="s">
        <v>15848</v>
      </c>
      <c r="C12595" s="5" t="str">
        <f>IFERROR(__xludf.DUMMYFUNCTION("GOOGLETRANSLATE(B12595,""en"",""zh-CN"")"),"当她向前和向后移动时，她继续在椭圆机上行走。")</f>
        <v>当她向前和向后移动时，她继续在椭圆机上行走。</v>
      </c>
    </row>
    <row r="12596">
      <c r="A12596" s="4" t="s">
        <v>15846</v>
      </c>
      <c r="B12596" s="6" t="s">
        <v>15849</v>
      </c>
      <c r="C12596" s="5" t="str">
        <f>IFERROR(__xludf.DUMMYFUNCTION("GOOGLETRANSLATE(B12596,""en"",""zh-CN"")"),"然后，她完成了锻炼程序，从设备上脱下锻炼，并从蓝色水瓶上拿出一杯水。")</f>
        <v>然后，她完成了锻炼程序，从设备上脱下锻炼，并从蓝色水瓶上拿出一杯水。</v>
      </c>
    </row>
    <row r="12597">
      <c r="A12597" s="4" t="s">
        <v>15846</v>
      </c>
      <c r="B12597" s="4" t="s">
        <v>15850</v>
      </c>
      <c r="C12597" s="5" t="str">
        <f>IFERROR(__xludf.DUMMYFUNCTION("GOOGLETRANSLATE(B12597,""en"",""zh-CN"")"),"她握着手里拿着瓶子走开。")</f>
        <v>她握着手里拿着瓶子走开。</v>
      </c>
    </row>
    <row r="12598">
      <c r="A12598" s="4" t="s">
        <v>15851</v>
      </c>
      <c r="B12598" s="4" t="s">
        <v>15852</v>
      </c>
      <c r="C12598" s="5" t="str">
        <f>IFERROR(__xludf.DUMMYFUNCTION("GOOGLETRANSLATE(B12598,""en"",""zh-CN"")"),"我们看到一个小女孩画一个篱笆红。")</f>
        <v>我们看到一个小女孩画一个篱笆红。</v>
      </c>
    </row>
    <row r="12599">
      <c r="A12599" s="4" t="s">
        <v>15851</v>
      </c>
      <c r="B12599" s="4" t="s">
        <v>15853</v>
      </c>
      <c r="C12599" s="5" t="str">
        <f>IFERROR(__xludf.DUMMYFUNCTION("GOOGLETRANSLATE(B12599,""en"",""zh-CN"")"),"女孩在刷子上涂了更多油漆。")</f>
        <v>女孩在刷子上涂了更多油漆。</v>
      </c>
    </row>
    <row r="12600">
      <c r="A12600" s="4" t="s">
        <v>15851</v>
      </c>
      <c r="B12600" s="4" t="s">
        <v>15854</v>
      </c>
      <c r="C12600" s="5" t="str">
        <f>IFERROR(__xludf.DUMMYFUNCTION("GOOGLETRANSLATE(B12600,""en"",""zh-CN"")"),"女孩再次填满了她的刷子。")</f>
        <v>女孩再次填满了她的刷子。</v>
      </c>
    </row>
    <row r="12601">
      <c r="A12601" s="4" t="s">
        <v>15851</v>
      </c>
      <c r="B12601" s="4" t="s">
        <v>15855</v>
      </c>
      <c r="C12601" s="5" t="str">
        <f>IFERROR(__xludf.DUMMYFUNCTION("GOOGLETRANSLATE(B12601,""en"",""zh-CN"")"),"我们看到围栏和成年人向她展示了如何绘画。")</f>
        <v>我们看到围栏和成年人向她展示了如何绘画。</v>
      </c>
    </row>
    <row r="12602">
      <c r="A12602" s="4" t="s">
        <v>15851</v>
      </c>
      <c r="B12602" s="4" t="s">
        <v>15856</v>
      </c>
      <c r="C12602" s="5" t="str">
        <f>IFERROR(__xludf.DUMMYFUNCTION("GOOGLETRANSLATE(B12602,""en"",""zh-CN"")"),"成年点位于一个错过的位置。")</f>
        <v>成年点位于一个错过的位置。</v>
      </c>
    </row>
    <row r="12603">
      <c r="A12603" s="4" t="s">
        <v>15857</v>
      </c>
      <c r="B12603" s="4" t="s">
        <v>15858</v>
      </c>
      <c r="C12603" s="5" t="str">
        <f>IFERROR(__xludf.DUMMYFUNCTION("GOOGLETRANSLATE(B12603,""en"",""zh-CN"")"),"一个黑发的女人正在解释一些东西。")</f>
        <v>一个黑发的女人正在解释一些东西。</v>
      </c>
    </row>
    <row r="12604">
      <c r="A12604" s="4" t="s">
        <v>15857</v>
      </c>
      <c r="B12604" s="4" t="s">
        <v>15859</v>
      </c>
      <c r="C12604" s="5" t="str">
        <f>IFERROR(__xludf.DUMMYFUNCTION("GOOGLETRANSLATE(B12604,""en"",""zh-CN"")"),"该名女子掏出一个带有发卷的容器。")</f>
        <v>该名女子掏出一个带有发卷的容器。</v>
      </c>
    </row>
    <row r="12605">
      <c r="A12605" s="4" t="s">
        <v>15857</v>
      </c>
      <c r="B12605" s="4" t="s">
        <v>15860</v>
      </c>
      <c r="C12605" s="5" t="str">
        <f>IFERROR(__xludf.DUMMYFUNCTION("GOOGLETRANSLATE(B12605,""en"",""zh-CN"")"),"那个女人掏出一瓶洗发水。")</f>
        <v>那个女人掏出一瓶洗发水。</v>
      </c>
    </row>
    <row r="12606">
      <c r="A12606" s="4" t="s">
        <v>15857</v>
      </c>
      <c r="B12606" s="4" t="s">
        <v>15861</v>
      </c>
      <c r="C12606" s="5" t="str">
        <f>IFERROR(__xludf.DUMMYFUNCTION("GOOGLETRANSLATE(B12606,""en"",""zh-CN"")"),"那个女人卷起头发并将其固定在适当的位置，并将其留下十分钟。")</f>
        <v>那个女人卷起头发并将其固定在适当的位置，并将其留下十分钟。</v>
      </c>
    </row>
    <row r="12607">
      <c r="A12607" s="4" t="s">
        <v>15857</v>
      </c>
      <c r="B12607" s="4" t="s">
        <v>15862</v>
      </c>
      <c r="C12607" s="5" t="str">
        <f>IFERROR(__xludf.DUMMYFUNCTION("GOOGLETRANSLATE(B12607,""en"",""zh-CN"")"),"女人从头发上脱下卷。")</f>
        <v>女人从头发上脱下卷。</v>
      </c>
    </row>
    <row r="12608">
      <c r="A12608" s="4" t="s">
        <v>15857</v>
      </c>
      <c r="B12608" s="4" t="s">
        <v>15863</v>
      </c>
      <c r="C12608" s="5" t="str">
        <f>IFERROR(__xludf.DUMMYFUNCTION("GOOGLETRANSLATE(B12608,""en"",""zh-CN"")"),"女人拿出发胶并将其喷在头发上。")</f>
        <v>女人拿出发胶并将其喷在头发上。</v>
      </c>
    </row>
    <row r="12609">
      <c r="A12609" s="4" t="s">
        <v>15864</v>
      </c>
      <c r="B12609" s="6" t="s">
        <v>15865</v>
      </c>
      <c r="C12609" s="5" t="str">
        <f>IFERROR(__xludf.DUMMYFUNCTION("GOOGLETRANSLATE(B12609,""en"",""zh-CN"")"),"有很多人在一座大型建筑物走路或闲逛的室内，而下面的横幅则是“世界上什么？")</f>
        <v>有很多人在一座大型建筑物走路或闲逛的室内，而下面的横幅则是“世界上什么？</v>
      </c>
    </row>
    <row r="12610">
      <c r="A12610" s="4" t="s">
        <v>15864</v>
      </c>
      <c r="B12610" s="4" t="s">
        <v>15866</v>
      </c>
      <c r="C12610" s="5" t="str">
        <f>IFERROR(__xludf.DUMMYFUNCTION("GOOGLETRANSLATE(B12610,""en"",""zh-CN"")"),"沿着绳索有两组人，他们在中间被裁判分开。")</f>
        <v>沿着绳索有两组人，他们在中间被裁判分开。</v>
      </c>
    </row>
    <row r="12611">
      <c r="A12611" s="4" t="s">
        <v>15864</v>
      </c>
      <c r="B12611" s="6" t="s">
        <v>15867</v>
      </c>
      <c r="C12611" s="5" t="str">
        <f>IFERROR(__xludf.DUMMYFUNCTION("GOOGLETRANSLATE(B12611,""en"",""zh-CN"")"),"他们鞠躬，拿起绳子，每个团队开始拖着绳子，直到赢得冠军为止。")</f>
        <v>他们鞠躬，拿起绳子，每个团队开始拖着绳子，直到赢得冠军为止。</v>
      </c>
    </row>
    <row r="12612">
      <c r="A12612" s="4" t="s">
        <v>15864</v>
      </c>
      <c r="B12612" s="6" t="s">
        <v>15868</v>
      </c>
      <c r="C12612" s="5" t="str">
        <f>IFERROR(__xludf.DUMMYFUNCTION("GOOGLETRANSLATE(B12612,""en"",""zh-CN"")"),"一个女人裁判现在正抬起两只手臂站起来，她让他们失望，表明两支球队可以开始拉绳子，直到她吹口哨表明获胜者为止。")</f>
        <v>一个女人裁判现在正抬起两只手臂站起来，她让他们失望，表明两支球队可以开始拉绳子，直到她吹口哨表明获胜者为止。</v>
      </c>
    </row>
    <row r="12613">
      <c r="A12613" s="4" t="s">
        <v>15864</v>
      </c>
      <c r="B12613" s="6" t="s">
        <v>15869</v>
      </c>
      <c r="C12613" s="5" t="str">
        <f>IFERROR(__xludf.DUMMYFUNCTION("GOOGLETRANSLATE(B12613,""en"",""zh-CN"")"),"两个短剪辑播放，它显示了一场拔河比赛的比赛，然后是男士，但它没有太多显示，然后直接进入城市的户外镜头，屏幕上的文字出现在网络徽标，网站，网站，网站，和视频的权利。")</f>
        <v>两个短剪辑播放，它显示了一场拔河比赛的比赛，然后是男士，但它没有太多显示，然后直接进入城市的户外镜头，屏幕上的文字出现在网络徽标，网站，网站，网站，和视频的权利。</v>
      </c>
    </row>
    <row r="12614">
      <c r="A12614" s="4" t="s">
        <v>15870</v>
      </c>
      <c r="B12614" s="4" t="s">
        <v>15871</v>
      </c>
      <c r="C12614" s="5" t="str">
        <f>IFERROR(__xludf.DUMMYFUNCTION("GOOGLETRANSLATE(B12614,""en"",""zh-CN"")"),"一个人开车，汽车用扁平轮胎停下来。")</f>
        <v>一个人开车，汽车用扁平轮胎停下来。</v>
      </c>
    </row>
    <row r="12615">
      <c r="A12615" s="4" t="s">
        <v>15870</v>
      </c>
      <c r="B12615" s="4" t="s">
        <v>15872</v>
      </c>
      <c r="C12615" s="5" t="str">
        <f>IFERROR(__xludf.DUMMYFUNCTION("GOOGLETRANSLATE(B12615,""en"",""zh-CN"")"),"该男子关闭紧急灯，然后使用维修套件来充气轮胎。")</f>
        <v>该男子关闭紧急灯，然后使用维修套件来充气轮胎。</v>
      </c>
    </row>
    <row r="12616">
      <c r="A12616" s="4" t="s">
        <v>15870</v>
      </c>
      <c r="B12616" s="4" t="s">
        <v>15873</v>
      </c>
      <c r="C12616" s="5" t="str">
        <f>IFERROR(__xludf.DUMMYFUNCTION("GOOGLETRANSLATE(B12616,""en"",""zh-CN"")"),"然后，该男子稍微驶入一点点，轮胎膨胀。")</f>
        <v>然后，该男子稍微驶入一点点，轮胎膨胀。</v>
      </c>
    </row>
    <row r="12617">
      <c r="A12617" s="4" t="s">
        <v>15870</v>
      </c>
      <c r="B12617" s="4" t="s">
        <v>15874</v>
      </c>
      <c r="C12617" s="5" t="str">
        <f>IFERROR(__xludf.DUMMYFUNCTION("GOOGLETRANSLATE(B12617,""en"",""zh-CN"")"),"之后，那个男人开车。")</f>
        <v>之后，那个男人开车。</v>
      </c>
    </row>
    <row r="12618">
      <c r="A12618" s="4" t="s">
        <v>15875</v>
      </c>
      <c r="B12618" s="4" t="s">
        <v>15876</v>
      </c>
      <c r="C12618" s="5" t="str">
        <f>IFERROR(__xludf.DUMMYFUNCTION("GOOGLETRANSLATE(B12618,""en"",""zh-CN"")"),"当一个人使用工具将它们推动时，看到一大堆叶子在院子里吹来。")</f>
        <v>当一个人使用工具将它们推动时，看到一大堆叶子在院子里吹来。</v>
      </c>
    </row>
    <row r="12619">
      <c r="A12619" s="4" t="s">
        <v>15875</v>
      </c>
      <c r="B12619" s="6" t="s">
        <v>15877</v>
      </c>
      <c r="C12619" s="5" t="str">
        <f>IFERROR(__xludf.DUMMYFUNCTION("GOOGLETRANSLATE(B12619,""en"",""zh-CN"")"),"相机继续捕获吹叶子的人，并在框架上使用几种相机效果。")</f>
        <v>相机继续捕获吹叶子的人，并在框架上使用几种相机效果。</v>
      </c>
    </row>
    <row r="12620">
      <c r="A12620" s="4" t="s">
        <v>15878</v>
      </c>
      <c r="B12620" s="6" t="s">
        <v>15879</v>
      </c>
      <c r="C12620" s="5" t="str">
        <f>IFERROR(__xludf.DUMMYFUNCTION("GOOGLETRANSLATE(B12620,""en"",""zh-CN"")"),"看到一小群人在一条粗糙的河上骑行，一个人在水中进行翻转。")</f>
        <v>看到一小群人在一条粗糙的河上骑行，一个人在水中进行翻转。</v>
      </c>
    </row>
    <row r="12621">
      <c r="A12621" s="4" t="s">
        <v>15878</v>
      </c>
      <c r="B12621" s="4" t="s">
        <v>15880</v>
      </c>
      <c r="C12621" s="5" t="str">
        <f>IFERROR(__xludf.DUMMYFUNCTION("GOOGLETRANSLATE(B12621,""en"",""zh-CN"")"),"该人对摄像机进行了多次翻转，从远处抓住了他。")</f>
        <v>该人对摄像机进行了多次翻转，从远处抓住了他。</v>
      </c>
    </row>
    <row r="12622">
      <c r="A12622" s="4" t="s">
        <v>15881</v>
      </c>
      <c r="B12622" s="4" t="s">
        <v>15882</v>
      </c>
      <c r="C12622" s="5" t="str">
        <f>IFERROR(__xludf.DUMMYFUNCTION("GOOGLETRANSLATE(B12622,""en"",""zh-CN"")"),"我们看到开头标题屏幕。")</f>
        <v>我们看到开头标题屏幕。</v>
      </c>
    </row>
    <row r="12623">
      <c r="A12623" s="4" t="s">
        <v>15881</v>
      </c>
      <c r="B12623" s="4" t="s">
        <v>15883</v>
      </c>
      <c r="C12623" s="5" t="str">
        <f>IFERROR(__xludf.DUMMYFUNCTION("GOOGLETRANSLATE(B12623,""en"",""zh-CN"")"),"一个男人走进一个房间，抓住一个水桶，然后返回。")</f>
        <v>一个男人走进一个房间，抓住一个水桶，然后返回。</v>
      </c>
    </row>
    <row r="12624">
      <c r="A12624" s="4" t="s">
        <v>15881</v>
      </c>
      <c r="B12624" s="4" t="s">
        <v>15884</v>
      </c>
      <c r="C12624" s="5" t="str">
        <f>IFERROR(__xludf.DUMMYFUNCTION("GOOGLETRANSLATE(B12624,""en"",""zh-CN"")"),"我们看到一个穿着明亮的衬衫混合物的男人在水桶中抹上石膏，然后将其铺在墙上。")</f>
        <v>我们看到一个穿着明亮的衬衫混合物的男人在水桶中抹上石膏，然后将其铺在墙上。</v>
      </c>
    </row>
    <row r="12625">
      <c r="A12625" s="4" t="s">
        <v>15881</v>
      </c>
      <c r="B12625" s="4" t="s">
        <v>15885</v>
      </c>
      <c r="C12625" s="5" t="str">
        <f>IFERROR(__xludf.DUMMYFUNCTION("GOOGLETRANSLATE(B12625,""en"",""zh-CN"")"),"该男子将更多的石膏添加到他的底座上，并将其铺在墙上。")</f>
        <v>该男子将更多的石膏添加到他的底座上，并将其铺在墙上。</v>
      </c>
    </row>
    <row r="12626">
      <c r="A12626" s="4" t="s">
        <v>15886</v>
      </c>
      <c r="B12626" s="6" t="s">
        <v>15887</v>
      </c>
      <c r="C12626" s="5" t="str">
        <f>IFERROR(__xludf.DUMMYFUNCTION("GOOGLETRANSLATE(B12626,""en"",""zh-CN"")"),"各种各样的人都在骑着棍子握在空中并互相骑行的马周围骑着骑行。")</f>
        <v>各种各样的人都在骑着棍子握在空中并互相骑行的马周围骑着骑行。</v>
      </c>
    </row>
    <row r="12627">
      <c r="A12627" s="4" t="s">
        <v>15886</v>
      </c>
      <c r="B12627" s="4" t="s">
        <v>15888</v>
      </c>
      <c r="C12627" s="5" t="str">
        <f>IFERROR(__xludf.DUMMYFUNCTION("GOOGLETRANSLATE(B12627,""en"",""zh-CN"")"),"人们走进框架，人们继续骑马。")</f>
        <v>人们走进框架，人们继续骑马。</v>
      </c>
    </row>
    <row r="12628">
      <c r="A12628" s="4" t="s">
        <v>15889</v>
      </c>
      <c r="B12628" s="4" t="s">
        <v>15890</v>
      </c>
      <c r="C12628" s="5" t="str">
        <f>IFERROR(__xludf.DUMMYFUNCTION("GOOGLETRANSLATE(B12628,""en"",""zh-CN"")"),"一个男人坐在椅子上，穿上运动鞋，指着狐狸奔跑。")</f>
        <v>一个男人坐在椅子上，穿上运动鞋，指着狐狸奔跑。</v>
      </c>
    </row>
    <row r="12629">
      <c r="A12629" s="4" t="s">
        <v>15889</v>
      </c>
      <c r="B12629" s="6" t="s">
        <v>15891</v>
      </c>
      <c r="C12629" s="5" t="str">
        <f>IFERROR(__xludf.DUMMYFUNCTION("GOOGLETRANSLATE(B12629,""en"",""zh-CN"")"),"狐狸站在那个男人的身边，在他继续穿鞋时上下跳来跳去。")</f>
        <v>狐狸站在那个男人的身边，在他继续穿鞋时上下跳来跳去。</v>
      </c>
    </row>
    <row r="12630">
      <c r="A12630" s="4" t="s">
        <v>15892</v>
      </c>
      <c r="B12630" s="4" t="s">
        <v>15893</v>
      </c>
      <c r="C12630" s="5" t="str">
        <f>IFERROR(__xludf.DUMMYFUNCTION("GOOGLETRANSLATE(B12630,""en"",""zh-CN"")"),"一个人将胶带放在皮革沙发上形成正方形。")</f>
        <v>一个人将胶带放在皮革沙发上形成正方形。</v>
      </c>
    </row>
    <row r="12631">
      <c r="A12631" s="4" t="s">
        <v>15892</v>
      </c>
      <c r="B12631" s="4" t="s">
        <v>15894</v>
      </c>
      <c r="C12631" s="5" t="str">
        <f>IFERROR(__xludf.DUMMYFUNCTION("GOOGLETRANSLATE(B12631,""en"",""zh-CN"")"),"然后，该人将泡沫涂在海绵上并在广场内清洗。")</f>
        <v>然后，该人将泡沫涂在海绵上并在广场内清洗。</v>
      </c>
    </row>
    <row r="12632">
      <c r="A12632" s="4" t="s">
        <v>15892</v>
      </c>
      <c r="B12632" s="4" t="s">
        <v>15895</v>
      </c>
      <c r="C12632" s="5" t="str">
        <f>IFERROR(__xludf.DUMMYFUNCTION("GOOGLETRANSLATE(B12632,""en"",""zh-CN"")"),"之后，用布打扫并剥下胶带。")</f>
        <v>之后，用布打扫并剥下胶带。</v>
      </c>
    </row>
    <row r="12633">
      <c r="A12633" s="4" t="s">
        <v>15892</v>
      </c>
      <c r="B12633" s="4" t="s">
        <v>15896</v>
      </c>
      <c r="C12633" s="5" t="str">
        <f>IFERROR(__xludf.DUMMYFUNCTION("GOOGLETRANSLATE(B12633,""en"",""zh-CN"")"),"接下来，该人清洁所有将泡沫放在布上并擦沙发的沙发。")</f>
        <v>接下来，该人清洁所有将泡沫放在布上并擦沙发的沙发。</v>
      </c>
    </row>
    <row r="12634">
      <c r="A12634" s="4" t="s">
        <v>15897</v>
      </c>
      <c r="B12634" s="4" t="s">
        <v>15898</v>
      </c>
      <c r="C12634" s="5" t="str">
        <f>IFERROR(__xludf.DUMMYFUNCTION("GOOGLETRANSLATE(B12634,""en"",""zh-CN"")"),"鞋子抛光机坐在客厅里。")</f>
        <v>鞋子抛光机坐在客厅里。</v>
      </c>
    </row>
    <row r="12635">
      <c r="A12635" s="4" t="s">
        <v>15897</v>
      </c>
      <c r="B12635" s="4" t="s">
        <v>15899</v>
      </c>
      <c r="C12635" s="5" t="str">
        <f>IFERROR(__xludf.DUMMYFUNCTION("GOOGLETRANSLATE(B12635,""en"",""zh-CN"")"),"一个男人走到鞋抛光机上，打开它。")</f>
        <v>一个男人走到鞋抛光机上，打开它。</v>
      </c>
    </row>
    <row r="12636">
      <c r="A12636" s="4" t="s">
        <v>15897</v>
      </c>
      <c r="B12636" s="4" t="s">
        <v>15900</v>
      </c>
      <c r="C12636" s="5" t="str">
        <f>IFERROR(__xludf.DUMMYFUNCTION("GOOGLETRANSLATE(B12636,""en"",""zh-CN"")"),"穿着蓝色牛仔裤的那个人开始衬砌他的黑色鞋子。")</f>
        <v>穿着蓝色牛仔裤的那个人开始衬砌他的黑色鞋子。</v>
      </c>
    </row>
    <row r="12637">
      <c r="A12637" s="4" t="s">
        <v>15897</v>
      </c>
      <c r="B12637" s="4" t="s">
        <v>15901</v>
      </c>
      <c r="C12637" s="5" t="str">
        <f>IFERROR(__xludf.DUMMYFUNCTION("GOOGLETRANSLATE(B12637,""en"",""zh-CN"")"),"然后，该男子开始刷牙和抛光他的棕色鞋子。")</f>
        <v>然后，该男子开始刷牙和抛光他的棕色鞋子。</v>
      </c>
    </row>
    <row r="12638">
      <c r="A12638" s="4" t="s">
        <v>15897</v>
      </c>
      <c r="B12638" s="4" t="s">
        <v>15902</v>
      </c>
      <c r="C12638" s="5" t="str">
        <f>IFERROR(__xludf.DUMMYFUNCTION("GOOGLETRANSLATE(B12638,""en"",""zh-CN"")"),"该男子接近鞋子抛光机，并刷他的灰色运动鞋。")</f>
        <v>该男子接近鞋子抛光机，并刷他的灰色运动鞋。</v>
      </c>
    </row>
    <row r="12639">
      <c r="A12639" s="4" t="s">
        <v>15897</v>
      </c>
      <c r="B12639" s="4" t="s">
        <v>15903</v>
      </c>
      <c r="C12639" s="5" t="str">
        <f>IFERROR(__xludf.DUMMYFUNCTION("GOOGLETRANSLATE(B12639,""en"",""zh-CN"")"),"该男子蹲下，从抛光机下方拉出一个防尘箱。")</f>
        <v>该男子蹲下，从抛光机下方拉出一个防尘箱。</v>
      </c>
    </row>
    <row r="12640">
      <c r="A12640" s="4" t="s">
        <v>15904</v>
      </c>
      <c r="B12640" s="6" t="s">
        <v>15905</v>
      </c>
      <c r="C12640" s="5" t="str">
        <f>IFERROR(__xludf.DUMMYFUNCTION("GOOGLETRANSLATE(B12640,""en"",""zh-CN"")"),"当一个拿着一组袋装管道的男人走上来，给所有人提供魔鬼喇叭时，看到一大批人站在人群中。")</f>
        <v>当一个拿着一组袋装管道的男人走上来，给所有人提供魔鬼喇叭时，看到一大批人站在人群中。</v>
      </c>
    </row>
    <row r="12641">
      <c r="A12641" s="4" t="s">
        <v>15904</v>
      </c>
      <c r="B12641" s="4" t="s">
        <v>15906</v>
      </c>
      <c r="C12641" s="5" t="str">
        <f>IFERROR(__xludf.DUMMYFUNCTION("GOOGLETRANSLATE(B12641,""en"",""zh-CN"")"),"他们将角还给角，男人在上下舞台上行动时发挥了作用。")</f>
        <v>他们将角还给角，男人在上下舞台上行动时发挥了作用。</v>
      </c>
    </row>
    <row r="12642">
      <c r="A12642" s="4" t="s">
        <v>15907</v>
      </c>
      <c r="B12642" s="4" t="s">
        <v>15908</v>
      </c>
      <c r="C12642" s="5" t="str">
        <f>IFERROR(__xludf.DUMMYFUNCTION("GOOGLETRANSLATE(B12642,""en"",""zh-CN"")"),"显示了纹身商店的几个标志，以及一个女孩在相机上讲话。")</f>
        <v>显示了纹身商店的几个标志，以及一个女孩在相机上讲话。</v>
      </c>
    </row>
    <row r="12643">
      <c r="A12643" s="4" t="s">
        <v>15907</v>
      </c>
      <c r="B12643" s="4" t="s">
        <v>15909</v>
      </c>
      <c r="C12643" s="5" t="str">
        <f>IFERROR(__xludf.DUMMYFUNCTION("GOOGLETRANSLATE(B12643,""en"",""zh-CN"")"),"她炫耀自己想得到的纹身。")</f>
        <v>她炫耀自己想得到的纹身。</v>
      </c>
    </row>
    <row r="12644">
      <c r="A12644" s="4" t="s">
        <v>15907</v>
      </c>
      <c r="B12644" s="4" t="s">
        <v>15910</v>
      </c>
      <c r="C12644" s="5" t="str">
        <f>IFERROR(__xludf.DUMMYFUNCTION("GOOGLETRANSLATE(B12644,""en"",""zh-CN"")"),"那个女人坐在椅子上，纹身艺术家在手臂上做雪花。")</f>
        <v>那个女人坐在椅子上，纹身艺术家在手臂上做雪花。</v>
      </c>
    </row>
    <row r="12645">
      <c r="A12645" s="4" t="s">
        <v>15907</v>
      </c>
      <c r="B12645" s="4" t="s">
        <v>15911</v>
      </c>
      <c r="C12645" s="5" t="str">
        <f>IFERROR(__xludf.DUMMYFUNCTION("GOOGLETRANSLATE(B12645,""en"",""zh-CN"")"),"当他墨水时，她一直在与相机交谈。")</f>
        <v>当他墨水时，她一直在与相机交谈。</v>
      </c>
    </row>
    <row r="12646">
      <c r="A12646" s="4" t="s">
        <v>15907</v>
      </c>
      <c r="B12646" s="4" t="s">
        <v>15912</v>
      </c>
      <c r="C12646" s="5" t="str">
        <f>IFERROR(__xludf.DUMMYFUNCTION("GOOGLETRANSLATE(B12646,""en"",""zh-CN"")"),"之后，她炫耀自己完成的纹身并谈论它。")</f>
        <v>之后，她炫耀自己完成的纹身并谈论它。</v>
      </c>
    </row>
    <row r="12647">
      <c r="A12647" s="4" t="s">
        <v>15913</v>
      </c>
      <c r="B12647" s="4" t="s">
        <v>15914</v>
      </c>
      <c r="C12647" s="5" t="str">
        <f>IFERROR(__xludf.DUMMYFUNCTION("GOOGLETRANSLATE(B12647,""en"",""zh-CN"")"),"一个男人站在健身房。")</f>
        <v>一个男人站在健身房。</v>
      </c>
    </row>
    <row r="12648">
      <c r="A12648" s="4" t="s">
        <v>15913</v>
      </c>
      <c r="B12648" s="4" t="s">
        <v>15915</v>
      </c>
      <c r="C12648" s="5" t="str">
        <f>IFERROR(__xludf.DUMMYFUNCTION("GOOGLETRANSLATE(B12648,""en"",""zh-CN"")"),"他弯下腰​​，捡起很大的重量。")</f>
        <v>他弯下腰​​，捡起很大的重量。</v>
      </c>
    </row>
    <row r="12649">
      <c r="A12649" s="4" t="s">
        <v>15913</v>
      </c>
      <c r="B12649" s="4" t="s">
        <v>15916</v>
      </c>
      <c r="C12649" s="5" t="str">
        <f>IFERROR(__xludf.DUMMYFUNCTION("GOOGLETRANSLATE(B12649,""en"",""zh-CN"")"),"他将其放下并与镜头交谈。")</f>
        <v>他将其放下并与镜头交谈。</v>
      </c>
    </row>
    <row r="12650">
      <c r="A12650" s="4" t="s">
        <v>15917</v>
      </c>
      <c r="B12650" s="4" t="s">
        <v>15918</v>
      </c>
      <c r="C12650" s="5" t="str">
        <f>IFERROR(__xludf.DUMMYFUNCTION("GOOGLETRANSLATE(B12650,""en"",""zh-CN"")"),"当她与镜头交谈时，女人正在骑骆驼。")</f>
        <v>当她与镜头交谈时，女人正在骑骆驼。</v>
      </c>
    </row>
    <row r="12651">
      <c r="A12651" s="4" t="s">
        <v>15917</v>
      </c>
      <c r="B12651" s="4" t="s">
        <v>15919</v>
      </c>
      <c r="C12651" s="5" t="str">
        <f>IFERROR(__xludf.DUMMYFUNCTION("GOOGLETRANSLATE(B12651,""en"",""zh-CN"")"),"一个男人正在引导骆驼并给骆驼食物。")</f>
        <v>一个男人正在引导骆驼并给骆驼食物。</v>
      </c>
    </row>
    <row r="12652">
      <c r="A12652" s="4" t="s">
        <v>15917</v>
      </c>
      <c r="B12652" s="4" t="s">
        <v>15920</v>
      </c>
      <c r="C12652" s="5" t="str">
        <f>IFERROR(__xludf.DUMMYFUNCTION("GOOGLETRANSLATE(B12652,""en"",""zh-CN"")"),"那个女人在骆驼后面报告。")</f>
        <v>那个女人在骆驼后面报告。</v>
      </c>
    </row>
    <row r="12653">
      <c r="A12653" s="4" t="s">
        <v>15921</v>
      </c>
      <c r="B12653" s="4" t="s">
        <v>15922</v>
      </c>
      <c r="C12653" s="5" t="str">
        <f>IFERROR(__xludf.DUMMYFUNCTION("GOOGLETRANSLATE(B12653,""en"",""zh-CN"")"),"一个人打开水龙头并弄湿了手。")</f>
        <v>一个人打开水龙头并弄湿了手。</v>
      </c>
    </row>
    <row r="12654">
      <c r="A12654" s="4" t="s">
        <v>15921</v>
      </c>
      <c r="B12654" s="4" t="s">
        <v>15923</v>
      </c>
      <c r="C12654" s="5" t="str">
        <f>IFERROR(__xludf.DUMMYFUNCTION("GOOGLETRANSLATE(B12654,""en"",""zh-CN"")"),"该人使用肥皂猛烈地擦手。")</f>
        <v>该人使用肥皂猛烈地擦手。</v>
      </c>
    </row>
    <row r="12655">
      <c r="A12655" s="4" t="s">
        <v>15921</v>
      </c>
      <c r="B12655" s="4" t="s">
        <v>15924</v>
      </c>
      <c r="C12655" s="5" t="str">
        <f>IFERROR(__xludf.DUMMYFUNCTION("GOOGLETRANSLATE(B12655,""en"",""zh-CN"")"),"之后，该人用大量的水彻底冲洗手。")</f>
        <v>之后，该人用大量的水彻底冲洗手。</v>
      </c>
    </row>
    <row r="12656">
      <c r="A12656" s="4" t="s">
        <v>15921</v>
      </c>
      <c r="B12656" s="4" t="s">
        <v>15925</v>
      </c>
      <c r="C12656" s="5" t="str">
        <f>IFERROR(__xludf.DUMMYFUNCTION("GOOGLETRANSLATE(B12656,""en"",""zh-CN"")"),"人用干净的毛巾干燥手之后，然后用毛巾将水槽旋转。")</f>
        <v>人用干净的毛巾干燥手之后，然后用毛巾将水槽旋转。</v>
      </c>
    </row>
    <row r="12657">
      <c r="A12657" s="4" t="s">
        <v>15926</v>
      </c>
      <c r="B12657" s="4" t="s">
        <v>15927</v>
      </c>
      <c r="C12657" s="5" t="str">
        <f>IFERROR(__xludf.DUMMYFUNCTION("GOOGLETRANSLATE(B12657,""en"",""zh-CN"")"),"“ Speed Cubing 53秒”一词出现在黑屏上。")</f>
        <v>“ Speed Cubing 53秒”一词出现在黑屏上。</v>
      </c>
    </row>
    <row r="12658">
      <c r="A12658" s="4" t="s">
        <v>15926</v>
      </c>
      <c r="B12658" s="4" t="s">
        <v>15928</v>
      </c>
      <c r="C12658" s="5" t="str">
        <f>IFERROR(__xludf.DUMMYFUNCTION("GOOGLETRANSLATE(B12658,""en"",""zh-CN"")"),"一个年轻人坐在桌子旁，开始玩魔方。")</f>
        <v>一个年轻人坐在桌子旁，开始玩魔方。</v>
      </c>
    </row>
    <row r="12659">
      <c r="A12659" s="4" t="s">
        <v>15926</v>
      </c>
      <c r="B12659" s="4" t="s">
        <v>15929</v>
      </c>
      <c r="C12659" s="5" t="str">
        <f>IFERROR(__xludf.DUMMYFUNCTION("GOOGLETRANSLATE(B12659,""en"",""zh-CN"")"),"该男子解决了拼图完成立方体的各个侧面，屏幕变黑。")</f>
        <v>该男子解决了拼图完成立方体的各个侧面，屏幕变黑。</v>
      </c>
    </row>
    <row r="12660">
      <c r="A12660" s="4" t="s">
        <v>15930</v>
      </c>
      <c r="B12660" s="4" t="s">
        <v>15931</v>
      </c>
      <c r="C12660" s="5" t="str">
        <f>IFERROR(__xludf.DUMMYFUNCTION("GOOGLETRANSLATE(B12660,""en"",""zh-CN"")"),"一只猫在地毯上刮擦爪子。")</f>
        <v>一只猫在地毯上刮擦爪子。</v>
      </c>
    </row>
    <row r="12661">
      <c r="A12661" s="4" t="s">
        <v>15930</v>
      </c>
      <c r="B12661" s="4" t="s">
        <v>15932</v>
      </c>
      <c r="C12661" s="5" t="str">
        <f>IFERROR(__xludf.DUMMYFUNCTION("GOOGLETRANSLATE(B12661,""en"",""zh-CN"")"),"一个人握着猫爪，开始剪指甲。")</f>
        <v>一个人握着猫爪，开始剪指甲。</v>
      </c>
    </row>
    <row r="12662">
      <c r="A12662" s="4" t="s">
        <v>15930</v>
      </c>
      <c r="B12662" s="4" t="s">
        <v>15933</v>
      </c>
      <c r="C12662" s="5" t="str">
        <f>IFERROR(__xludf.DUMMYFUNCTION("GOOGLETRANSLATE(B12662,""en"",""zh-CN"")"),"他把猫抱在外面。")</f>
        <v>他把猫抱在外面。</v>
      </c>
    </row>
    <row r="12663">
      <c r="A12663" s="4" t="s">
        <v>15934</v>
      </c>
      <c r="B12663" s="4" t="s">
        <v>15935</v>
      </c>
      <c r="C12663" s="5" t="str">
        <f>IFERROR(__xludf.DUMMYFUNCTION("GOOGLETRANSLATE(B12663,""en"",""zh-CN"")"),"一群人聚集在停机坪上。")</f>
        <v>一群人聚集在停机坪上。</v>
      </c>
    </row>
    <row r="12664">
      <c r="A12664" s="4" t="s">
        <v>15934</v>
      </c>
      <c r="B12664" s="4" t="s">
        <v>15936</v>
      </c>
      <c r="C12664" s="5" t="str">
        <f>IFERROR(__xludf.DUMMYFUNCTION("GOOGLETRANSLATE(B12664,""en"",""zh-CN"")"),"他们登上飞机，然后起飞，展示跑道和天空中的云层。")</f>
        <v>他们登上飞机，然后起飞，展示跑道和天空中的云层。</v>
      </c>
    </row>
    <row r="12665">
      <c r="A12665" s="4" t="s">
        <v>15934</v>
      </c>
      <c r="B12665" s="4" t="s">
        <v>15937</v>
      </c>
      <c r="C12665" s="5" t="str">
        <f>IFERROR(__xludf.DUMMYFUNCTION("GOOGLETRANSLATE(B12665,""en"",""zh-CN"")"),"他们在机场，然后沿着道路行驶。")</f>
        <v>他们在机场，然后沿着道路行驶。</v>
      </c>
    </row>
    <row r="12666">
      <c r="A12666" s="4" t="s">
        <v>15934</v>
      </c>
      <c r="B12666" s="4" t="s">
        <v>15938</v>
      </c>
      <c r="C12666" s="5" t="str">
        <f>IFERROR(__xludf.DUMMYFUNCTION("GOOGLETRANSLATE(B12666,""en"",""zh-CN"")"),"最终，他们在岸边骑船，看着地图并租用了水域。")</f>
        <v>最终，他们在岸边骑船，看着地图并租用了水域。</v>
      </c>
    </row>
    <row r="12667">
      <c r="A12667" s="4" t="s">
        <v>15934</v>
      </c>
      <c r="B12667" s="4" t="s">
        <v>15939</v>
      </c>
      <c r="C12667" s="5" t="str">
        <f>IFERROR(__xludf.DUMMYFUNCTION("GOOGLETRANSLATE(B12667,""en"",""zh-CN"")"),"他们在大浪中冲浪。")</f>
        <v>他们在大浪中冲浪。</v>
      </c>
    </row>
    <row r="12668">
      <c r="A12668" s="4" t="s">
        <v>15940</v>
      </c>
      <c r="B12668" s="6" t="s">
        <v>15941</v>
      </c>
      <c r="C12668" s="5" t="str">
        <f>IFERROR(__xludf.DUMMYFUNCTION("GOOGLETRANSLATE(B12668,""en"",""zh-CN"")"),"介绍将出现在屏幕上拍摄视频，该视频将显示一些清洁产品的演示。")</f>
        <v>介绍将出现在屏幕上拍摄视频，该视频将显示一些清洁产品的演示。</v>
      </c>
    </row>
    <row r="12669">
      <c r="A12669" s="4" t="s">
        <v>15940</v>
      </c>
      <c r="B12669" s="4" t="s">
        <v>15942</v>
      </c>
      <c r="C12669" s="5" t="str">
        <f>IFERROR(__xludf.DUMMYFUNCTION("GOOGLETRANSLATE(B12669,""en"",""zh-CN"")"),"屏幕上的一个人开始描述用于清洁地板的拖把和水桶套件。")</f>
        <v>屏幕上的一个人开始描述用于清洁地板的拖把和水桶套件。</v>
      </c>
    </row>
    <row r="12670">
      <c r="A12670" s="4" t="s">
        <v>15940</v>
      </c>
      <c r="B12670" s="4" t="s">
        <v>15943</v>
      </c>
      <c r="C12670" s="5" t="str">
        <f>IFERROR(__xludf.DUMMYFUNCTION("GOOGLETRANSLATE(B12670,""en"",""zh-CN"")"),"然后，他开始演示如何使用拖把和铲斗集。")</f>
        <v>然后，他开始演示如何使用拖把和铲斗集。</v>
      </c>
    </row>
    <row r="12671">
      <c r="A12671" s="4" t="s">
        <v>15940</v>
      </c>
      <c r="B12671" s="4" t="s">
        <v>15944</v>
      </c>
      <c r="C12671" s="5" t="str">
        <f>IFERROR(__xludf.DUMMYFUNCTION("GOOGLETRANSLATE(B12671,""en"",""zh-CN"")"),"接下来，他展示了桶闭合，并开始描述如何使用水桶。")</f>
        <v>接下来，他展示了桶闭合，并开始描述如何使用水桶。</v>
      </c>
    </row>
    <row r="12672">
      <c r="A12672" s="4" t="s">
        <v>15940</v>
      </c>
      <c r="B12672" s="4" t="s">
        <v>15945</v>
      </c>
      <c r="C12672" s="5" t="str">
        <f>IFERROR(__xludf.DUMMYFUNCTION("GOOGLETRANSLATE(B12672,""en"",""zh-CN"")"),"在视频结束时，显示了结束信用。")</f>
        <v>在视频结束时，显示了结束信用。</v>
      </c>
    </row>
    <row r="12673">
      <c r="A12673" s="4" t="s">
        <v>15946</v>
      </c>
      <c r="B12673" s="4" t="s">
        <v>15947</v>
      </c>
      <c r="C12673" s="5" t="str">
        <f>IFERROR(__xludf.DUMMYFUNCTION("GOOGLETRANSLATE(B12673,""en"",""zh-CN"")"),"在田野里骑着一匹白马的一名年轻女子。")</f>
        <v>在田野里骑着一匹白马的一名年轻女子。</v>
      </c>
    </row>
    <row r="12674">
      <c r="A12674" s="4" t="s">
        <v>15946</v>
      </c>
      <c r="B12674" s="4" t="s">
        <v>15948</v>
      </c>
      <c r="C12674" s="5" t="str">
        <f>IFERROR(__xludf.DUMMYFUNCTION("GOOGLETRANSLATE(B12674,""en"",""zh-CN"")"),"然后，这位女士在蓝色垫子上锻炼，做几个瑜伽伸展。")</f>
        <v>然后，这位女士在蓝色垫子上锻炼，做几个瑜伽伸展。</v>
      </c>
    </row>
    <row r="12675">
      <c r="A12675" s="4" t="s">
        <v>15946</v>
      </c>
      <c r="B12675" s="4" t="s">
        <v>15949</v>
      </c>
      <c r="C12675" s="5" t="str">
        <f>IFERROR(__xludf.DUMMYFUNCTION("GOOGLETRANSLATE(B12675,""en"",""zh-CN"")"),"之后，她坐在沙发上时在家中聊天。")</f>
        <v>之后，她坐在沙发上时在家中聊天。</v>
      </c>
    </row>
    <row r="12676">
      <c r="A12676" s="4" t="s">
        <v>15946</v>
      </c>
      <c r="B12676" s="6" t="s">
        <v>15950</v>
      </c>
      <c r="C12676" s="5" t="str">
        <f>IFERROR(__xludf.DUMMYFUNCTION("GOOGLETRANSLATE(B12676,""en"",""zh-CN"")"),"最终，屏幕返回，她在田野里骑马的骑马赛中显示出马stable。")</f>
        <v>最终，屏幕返回，她在田野里骑马的骑马赛中显示出马stable。</v>
      </c>
    </row>
    <row r="12677">
      <c r="A12677" s="4" t="s">
        <v>15951</v>
      </c>
      <c r="B12677" s="6" t="s">
        <v>15952</v>
      </c>
      <c r="C12677" s="5" t="str">
        <f>IFERROR(__xludf.DUMMYFUNCTION("GOOGLETRANSLATE(B12677,""en"",""zh-CN"")"),"看到一小群人在冰上滑冰，玩曲棍球比赛。")</f>
        <v>看到一小群人在冰上滑冰，玩曲棍球比赛。</v>
      </c>
    </row>
    <row r="12678">
      <c r="A12678" s="4" t="s">
        <v>15951</v>
      </c>
      <c r="B12678" s="4" t="s">
        <v>15953</v>
      </c>
      <c r="C12678" s="5" t="str">
        <f>IFERROR(__xludf.DUMMYFUNCTION("GOOGLETRANSLATE(B12678,""en"",""zh-CN"")"),"当相机周围的镜头和一个男人看着时，一个成员得分。")</f>
        <v>当相机周围的镜头和一个男人看着时，一个成员得分。</v>
      </c>
    </row>
    <row r="12679">
      <c r="A12679" s="4" t="s">
        <v>15954</v>
      </c>
      <c r="B12679" s="4" t="s">
        <v>15955</v>
      </c>
      <c r="C12679" s="5" t="str">
        <f>IFERROR(__xludf.DUMMYFUNCTION("GOOGLETRANSLATE(B12679,""en"",""zh-CN"")"),"看到一个男人站在一个大坑里，有一群孩子，教他们如何站立。")</f>
        <v>看到一个男人站在一个大坑里，有一群孩子，教他们如何站立。</v>
      </c>
    </row>
    <row r="12680">
      <c r="A12680" s="4" t="s">
        <v>15954</v>
      </c>
      <c r="B12680" s="4" t="s">
        <v>15956</v>
      </c>
      <c r="C12680" s="5" t="str">
        <f>IFERROR(__xludf.DUMMYFUNCTION("GOOGLETRANSLATE(B12680,""en"",""zh-CN"")"),"然后，孩子们手上拿到粉末，男人追赶他们并玩得开心。")</f>
        <v>然后，孩子们手上拿到粉末，男人追赶他们并玩得开心。</v>
      </c>
    </row>
    <row r="12681">
      <c r="A12681" s="4" t="s">
        <v>15957</v>
      </c>
      <c r="B12681" s="4" t="s">
        <v>15958</v>
      </c>
      <c r="C12681" s="5" t="str">
        <f>IFERROR(__xludf.DUMMYFUNCTION("GOOGLETRANSLATE(B12681,""en"",""zh-CN"")"),"摄像机在一个运动的女人准备好，其他人看着她在侧面。")</f>
        <v>摄像机在一个运动的女人准备好，其他人看着她在侧面。</v>
      </c>
    </row>
    <row r="12682">
      <c r="A12682" s="4" t="s">
        <v>15957</v>
      </c>
      <c r="B12682" s="6" t="s">
        <v>15959</v>
      </c>
      <c r="C12682" s="5" t="str">
        <f>IFERROR(__xludf.DUMMYFUNCTION("GOOGLETRANSLATE(B12682,""en"",""zh-CN"")"),"当她的跳跃再次以慢动作显示，另一个跑步者站起来，她跳过一根杆子，走开了。")</f>
        <v>当她的跳跃再次以慢动作显示，另一个跑步者站起来，她跳过一根杆子，走开了。</v>
      </c>
    </row>
    <row r="12683">
      <c r="A12683" s="4" t="s">
        <v>15957</v>
      </c>
      <c r="B12683" s="6" t="s">
        <v>15960</v>
      </c>
      <c r="C12683" s="5" t="str">
        <f>IFERROR(__xludf.DUMMYFUNCTION("GOOGLETRANSLATE(B12683,""en"",""zh-CN"")"),"又显示了几名女性跳过梁，而其得分后来立即显示出来。")</f>
        <v>又显示了几名女性跳过梁，而其得分后来立即显示出来。</v>
      </c>
    </row>
    <row r="12684">
      <c r="A12684" s="4" t="s">
        <v>15961</v>
      </c>
      <c r="B12684" s="4" t="s">
        <v>15962</v>
      </c>
      <c r="C12684" s="5" t="str">
        <f>IFERROR(__xludf.DUMMYFUNCTION("GOOGLETRANSLATE(B12684,""en"",""zh-CN"")"),"我们将开场屏幕视为黑白电影。")</f>
        <v>我们将开场屏幕视为黑白电影。</v>
      </c>
    </row>
    <row r="12685">
      <c r="A12685" s="4" t="s">
        <v>15961</v>
      </c>
      <c r="B12685" s="4" t="s">
        <v>15963</v>
      </c>
      <c r="C12685" s="5" t="str">
        <f>IFERROR(__xludf.DUMMYFUNCTION("GOOGLETRANSLATE(B12685,""en"",""zh-CN"")"),"然后，我们看到人们穿上围栏。")</f>
        <v>然后，我们看到人们穿上围栏。</v>
      </c>
    </row>
    <row r="12686">
      <c r="A12686" s="4" t="s">
        <v>15961</v>
      </c>
      <c r="B12686" s="4" t="s">
        <v>15964</v>
      </c>
      <c r="C12686" s="5" t="str">
        <f>IFERROR(__xludf.DUMMYFUNCTION("GOOGLETRANSLATE(B12686,""en"",""zh-CN"")"),"两人在标题屏幕之间围栏。")</f>
        <v>两人在标题屏幕之间围栏。</v>
      </c>
    </row>
    <row r="12687">
      <c r="A12687" s="4" t="s">
        <v>15961</v>
      </c>
      <c r="B12687" s="4" t="s">
        <v>15965</v>
      </c>
      <c r="C12687" s="5" t="str">
        <f>IFERROR(__xludf.DUMMYFUNCTION("GOOGLETRANSLATE(B12687,""en"",""zh-CN"")"),"这些人从户外切换到室内。")</f>
        <v>这些人从户外切换到室内。</v>
      </c>
    </row>
    <row r="12688">
      <c r="A12688" s="4" t="s">
        <v>15961</v>
      </c>
      <c r="B12688" s="4" t="s">
        <v>15966</v>
      </c>
      <c r="C12688" s="5" t="str">
        <f>IFERROR(__xludf.DUMMYFUNCTION("GOOGLETRANSLATE(B12688,""en"",""zh-CN"")"),"我们看到一个男人的头盔。")</f>
        <v>我们看到一个男人的头盔。</v>
      </c>
    </row>
    <row r="12689">
      <c r="A12689" s="4" t="s">
        <v>15961</v>
      </c>
      <c r="B12689" s="4" t="s">
        <v>15967</v>
      </c>
      <c r="C12689" s="5" t="str">
        <f>IFERROR(__xludf.DUMMYFUNCTION("GOOGLETRANSLATE(B12689,""en"",""zh-CN"")"),"我们看到一个人在慢动作中战斗。")</f>
        <v>我们看到一个人在慢动作中战斗。</v>
      </c>
    </row>
    <row r="12690">
      <c r="A12690" s="4" t="s">
        <v>15961</v>
      </c>
      <c r="B12690" s="4" t="s">
        <v>15968</v>
      </c>
      <c r="C12690" s="5" t="str">
        <f>IFERROR(__xludf.DUMMYFUNCTION("GOOGLETRANSLATE(B12690,""en"",""zh-CN"")"),"男人结束并彼此走开。")</f>
        <v>男人结束并彼此走开。</v>
      </c>
    </row>
    <row r="12691">
      <c r="A12691" s="4" t="s">
        <v>15969</v>
      </c>
      <c r="B12691" s="4" t="s">
        <v>15970</v>
      </c>
      <c r="C12691" s="5" t="str">
        <f>IFERROR(__xludf.DUMMYFUNCTION("GOOGLETRANSLATE(B12691,""en"",""zh-CN"")"),"一个男人捡起沉重的重量。")</f>
        <v>一个男人捡起沉重的重量。</v>
      </c>
    </row>
    <row r="12692">
      <c r="A12692" s="4" t="s">
        <v>15969</v>
      </c>
      <c r="B12692" s="4" t="s">
        <v>15971</v>
      </c>
      <c r="C12692" s="5" t="str">
        <f>IFERROR(__xludf.DUMMYFUNCTION("GOOGLETRANSLATE(B12692,""en"",""zh-CN"")"),"他把它扔到地上。")</f>
        <v>他把它扔到地上。</v>
      </c>
    </row>
    <row r="12693">
      <c r="A12693" s="4" t="s">
        <v>15972</v>
      </c>
      <c r="B12693" s="6" t="s">
        <v>15973</v>
      </c>
      <c r="C12693" s="5" t="str">
        <f>IFERROR(__xludf.DUMMYFUNCTION("GOOGLETRANSLATE(B12693,""en"",""zh-CN"")"),"有一个女人穿着棕色连衣裙，站在另一个蓝色的女士旁边，正在展示食谱。")</f>
        <v>有一个女人穿着棕色连衣裙，站在另一个蓝色的女士旁边，正在展示食谱。</v>
      </c>
    </row>
    <row r="12694">
      <c r="A12694" s="4" t="s">
        <v>15972</v>
      </c>
      <c r="B12694" s="6" t="s">
        <v>15974</v>
      </c>
      <c r="C12694" s="5" t="str">
        <f>IFERROR(__xludf.DUMMYFUNCTION("GOOGLETRANSLATE(B12694,""en"",""zh-CN"")"),"他们站在厨房柜台旁边，里面有几个碗，里面装满了各种成分。")</f>
        <v>他们站在厨房柜台旁边，里面有几个碗，里面装满了各种成分。</v>
      </c>
    </row>
    <row r="12695">
      <c r="A12695" s="4" t="s">
        <v>15972</v>
      </c>
      <c r="B12695" s="4" t="s">
        <v>15975</v>
      </c>
      <c r="C12695" s="5" t="str">
        <f>IFERROR(__xludf.DUMMYFUNCTION("GOOGLETRANSLATE(B12695,""en"",""zh-CN"")"),"厨师正在谈论食材使用的食谱。")</f>
        <v>厨师正在谈论食材使用的食谱。</v>
      </c>
    </row>
    <row r="12696">
      <c r="A12696" s="4" t="s">
        <v>15972</v>
      </c>
      <c r="B12696" s="4" t="s">
        <v>15976</v>
      </c>
      <c r="C12696" s="5" t="str">
        <f>IFERROR(__xludf.DUMMYFUNCTION("GOOGLETRANSLATE(B12696,""en"",""zh-CN"")"),"厨房柜台上有一个白板上有切碎的肉。")</f>
        <v>厨房柜台上有一个白板上有切碎的肉。</v>
      </c>
    </row>
    <row r="12697">
      <c r="A12697" s="4" t="s">
        <v>15972</v>
      </c>
      <c r="B12697" s="4" t="s">
        <v>15977</v>
      </c>
      <c r="C12697" s="5" t="str">
        <f>IFERROR(__xludf.DUMMYFUNCTION("GOOGLETRANSLATE(B12697,""en"",""zh-CN"")"),"然后，厨师拿起肉盘，并用棕色给女士。")</f>
        <v>然后，厨师拿起肉盘，并用棕色给女士。</v>
      </c>
    </row>
    <row r="12698">
      <c r="A12698" s="4" t="s">
        <v>15972</v>
      </c>
      <c r="B12698" s="4" t="s">
        <v>15978</v>
      </c>
      <c r="C12698" s="5" t="str">
        <f>IFERROR(__xludf.DUMMYFUNCTION("GOOGLETRANSLATE(B12698,""en"",""zh-CN"")"),"然后，主持人将肉倒入一个蓝色的碗中。")</f>
        <v>然后，主持人将肉倒入一个蓝色的碗中。</v>
      </c>
    </row>
    <row r="12699">
      <c r="A12699" s="4" t="s">
        <v>15972</v>
      </c>
      <c r="B12699" s="4" t="s">
        <v>15979</v>
      </c>
      <c r="C12699" s="5" t="str">
        <f>IFERROR(__xludf.DUMMYFUNCTION("GOOGLETRANSLATE(B12699,""en"",""zh-CN"")"),"厨师继续解释食谱。")</f>
        <v>厨师继续解释食谱。</v>
      </c>
    </row>
    <row r="12700">
      <c r="A12700" s="4" t="s">
        <v>15972</v>
      </c>
      <c r="B12700" s="4" t="s">
        <v>15980</v>
      </c>
      <c r="C12700" s="5" t="str">
        <f>IFERROR(__xludf.DUMMYFUNCTION("GOOGLETRANSLATE(B12700,""en"",""zh-CN"")"),"然后，他们在蓝色碗中加入一些切碎的黄瓜，然后将其与勺子混合。")</f>
        <v>然后，他们在蓝色碗中加入一些切碎的黄瓜，然后将其与勺子混合。</v>
      </c>
    </row>
    <row r="12701">
      <c r="A12701" s="4" t="s">
        <v>15972</v>
      </c>
      <c r="B12701" s="4" t="s">
        <v>15981</v>
      </c>
      <c r="C12701" s="5" t="str">
        <f>IFERROR(__xludf.DUMMYFUNCTION("GOOGLETRANSLATE(B12701,""en"",""zh-CN"")"),"厨师展示了她在沙拉中使用的黄瓜。")</f>
        <v>厨师展示了她在沙拉中使用的黄瓜。</v>
      </c>
    </row>
    <row r="12702">
      <c r="A12702" s="4" t="s">
        <v>15972</v>
      </c>
      <c r="B12702" s="4" t="s">
        <v>15982</v>
      </c>
      <c r="C12702" s="5" t="str">
        <f>IFERROR(__xludf.DUMMYFUNCTION("GOOGLETRANSLATE(B12702,""en"",""zh-CN"")"),"然后，他们加入切碎的樱桃番茄，然后加入白洋葱和一些绿叶蔬菜。")</f>
        <v>然后，他们加入切碎的樱桃番茄，然后加入白洋葱和一些绿叶蔬菜。</v>
      </c>
    </row>
    <row r="12703">
      <c r="A12703" s="4" t="s">
        <v>15972</v>
      </c>
      <c r="B12703" s="4" t="s">
        <v>15983</v>
      </c>
      <c r="C12703" s="5" t="str">
        <f>IFERROR(__xludf.DUMMYFUNCTION("GOOGLETRANSLATE(B12703,""en"",""zh-CN"")"),"然后，他们在沙拉上添加了更多装饰。")</f>
        <v>然后，他们在沙拉上添加了更多装饰。</v>
      </c>
    </row>
    <row r="12704">
      <c r="A12704" s="4" t="s">
        <v>15984</v>
      </c>
      <c r="B12704" s="4" t="s">
        <v>15985</v>
      </c>
      <c r="C12704" s="5" t="str">
        <f>IFERROR(__xludf.DUMMYFUNCTION("GOOGLETRANSLATE(B12704,""en"",""zh-CN"")"),"一个女孩在室内操场上移动。")</f>
        <v>一个女孩在室内操场上移动。</v>
      </c>
    </row>
    <row r="12705">
      <c r="A12705" s="4" t="s">
        <v>15984</v>
      </c>
      <c r="B12705" s="4" t="s">
        <v>15986</v>
      </c>
      <c r="C12705" s="5" t="str">
        <f>IFERROR(__xludf.DUMMYFUNCTION("GOOGLETRANSLATE(B12705,""en"",""zh-CN"")"),"女孩滑下来，和男孩一起爬上滑梯。")</f>
        <v>女孩滑下来，和男孩一起爬上滑梯。</v>
      </c>
    </row>
    <row r="12706">
      <c r="A12706" s="4" t="s">
        <v>15984</v>
      </c>
      <c r="B12706" s="4" t="s">
        <v>15987</v>
      </c>
      <c r="C12706" s="5" t="str">
        <f>IFERROR(__xludf.DUMMYFUNCTION("GOOGLETRANSLATE(B12706,""en"",""zh-CN"")"),"手指触摸女孩的头发和头部。")</f>
        <v>手指触摸女孩的头发和头部。</v>
      </c>
    </row>
    <row r="12707">
      <c r="A12707" s="4" t="s">
        <v>15988</v>
      </c>
      <c r="B12707" s="4" t="s">
        <v>15989</v>
      </c>
      <c r="C12707" s="5" t="str">
        <f>IFERROR(__xludf.DUMMYFUNCTION("GOOGLETRANSLATE(B12707,""en"",""zh-CN"")"),"一个人把悍马坐在地上。")</f>
        <v>一个人把悍马坐在地上。</v>
      </c>
    </row>
    <row r="12708">
      <c r="A12708" s="4" t="s">
        <v>15988</v>
      </c>
      <c r="B12708" s="4" t="s">
        <v>15990</v>
      </c>
      <c r="C12708" s="5" t="str">
        <f>IFERROR(__xludf.DUMMYFUNCTION("GOOGLETRANSLATE(B12708,""en"",""zh-CN"")"),"然后，该男子几次旋转锤子并将其扔得很远。")</f>
        <v>然后，该男子几次旋转锤子并将其扔得很远。</v>
      </c>
    </row>
    <row r="12709">
      <c r="A12709" s="4" t="s">
        <v>15988</v>
      </c>
      <c r="B12709" s="4" t="s">
        <v>15991</v>
      </c>
      <c r="C12709" s="5" t="str">
        <f>IFERROR(__xludf.DUMMYFUNCTION("GOOGLETRANSLATE(B12709,""en"",""zh-CN"")"),"当人们观看时，其他人进行锤子扔。")</f>
        <v>当人们观看时，其他人进行锤子扔。</v>
      </c>
    </row>
    <row r="12710">
      <c r="A12710" s="4" t="s">
        <v>15992</v>
      </c>
      <c r="B12710" s="4" t="s">
        <v>15993</v>
      </c>
      <c r="C12710" s="5" t="str">
        <f>IFERROR(__xludf.DUMMYFUNCTION("GOOGLETRANSLATE(B12710,""en"",""zh-CN"")"),"泳衣里有很多人在湖里，身后有摩托艇。")</f>
        <v>泳衣里有很多人在湖里，身后有摩托艇。</v>
      </c>
    </row>
    <row r="12711">
      <c r="A12711" s="4" t="s">
        <v>15992</v>
      </c>
      <c r="B12711" s="6" t="s">
        <v>15994</v>
      </c>
      <c r="C12711" s="5" t="str">
        <f>IFERROR(__xludf.DUMMYFUNCTION("GOOGLETRANSLATE(B12711,""en"",""zh-CN"")"),"一个戴着比基尼的女孩，手里拿着可乐罐，正在另一个女人的胸部摩擦防晒霜。")</f>
        <v>一个戴着比基尼的女孩，手里拿着可乐罐，正在另一个女人的胸部摩擦防晒霜。</v>
      </c>
    </row>
    <row r="12712">
      <c r="A12712" s="4" t="s">
        <v>15992</v>
      </c>
      <c r="B12712" s="4" t="s">
        <v>15995</v>
      </c>
      <c r="C12712" s="5" t="str">
        <f>IFERROR(__xludf.DUMMYFUNCTION("GOOGLETRANSLATE(B12712,""en"",""zh-CN"")"),"有些人站在他们身后的泳裤中，互相交谈。")</f>
        <v>有些人站在他们身后的泳裤中，互相交谈。</v>
      </c>
    </row>
    <row r="12713">
      <c r="A12713" s="4" t="s">
        <v>15996</v>
      </c>
      <c r="B12713" s="4" t="s">
        <v>15997</v>
      </c>
      <c r="C12713" s="5" t="str">
        <f>IFERROR(__xludf.DUMMYFUNCTION("GOOGLETRANSLATE(B12713,""en"",""zh-CN"")"),"显示了水球运动员的新闻剪报以及图像和静止图像。")</f>
        <v>显示了水球运动员的新闻剪报以及图像和静止图像。</v>
      </c>
    </row>
    <row r="12714">
      <c r="A12714" s="4" t="s">
        <v>15996</v>
      </c>
      <c r="B12714" s="4" t="s">
        <v>15998</v>
      </c>
      <c r="C12714" s="5" t="str">
        <f>IFERROR(__xludf.DUMMYFUNCTION("GOOGLETRANSLATE(B12714,""en"",""zh-CN"")"),"然后，当玩家试图将球插入网中时，我们在视频中看到了水球游戏。")</f>
        <v>然后，当玩家试图将球插入网中时，我们在视频中看到了水球游戏。</v>
      </c>
    </row>
    <row r="12715">
      <c r="A12715" s="4" t="s">
        <v>15996</v>
      </c>
      <c r="B12715" s="4" t="s">
        <v>15999</v>
      </c>
      <c r="C12715" s="5" t="str">
        <f>IFERROR(__xludf.DUMMYFUNCTION("GOOGLETRANSLATE(B12715,""en"",""zh-CN"")"),"人们为球而战，一小群人鼓掌和欢呼。")</f>
        <v>人们为球而战，一小群人鼓掌和欢呼。</v>
      </c>
    </row>
    <row r="12716">
      <c r="A12716" s="4" t="s">
        <v>16000</v>
      </c>
      <c r="B12716" s="4" t="s">
        <v>16001</v>
      </c>
      <c r="C12716" s="5" t="str">
        <f>IFERROR(__xludf.DUMMYFUNCTION("GOOGLETRANSLATE(B12716,""en"",""zh-CN"")"),"一群人聚集在一个黑色的瓷砖区域。")</f>
        <v>一群人聚集在一个黑色的瓷砖区域。</v>
      </c>
    </row>
    <row r="12717">
      <c r="A12717" s="4" t="s">
        <v>16000</v>
      </c>
      <c r="B12717" s="4" t="s">
        <v>16002</v>
      </c>
      <c r="C12717" s="5" t="str">
        <f>IFERROR(__xludf.DUMMYFUNCTION("GOOGLETRANSLATE(B12717,""en"",""zh-CN"")"),"一个黑色的男人做了一些磨损的动作。")</f>
        <v>一个黑色的男人做了一些磨损的动作。</v>
      </c>
    </row>
    <row r="12718">
      <c r="A12718" s="4" t="s">
        <v>16000</v>
      </c>
      <c r="B12718" s="6" t="s">
        <v>16003</v>
      </c>
      <c r="C12718" s="5" t="str">
        <f>IFERROR(__xludf.DUMMYFUNCTION("GOOGLETRANSLATE(B12718,""en"",""zh-CN"")"),"然后，他与一个白人的男人进行了交易，几名分裂者在人群看来时进行了交易，展示了动作。")</f>
        <v>然后，他与一个白人的男人进行了交易，几名分裂者在人群看来时进行了交易，展示了动作。</v>
      </c>
    </row>
    <row r="12719">
      <c r="A12719" s="4" t="s">
        <v>16000</v>
      </c>
      <c r="B12719" s="4" t="s">
        <v>16004</v>
      </c>
      <c r="C12719" s="5" t="str">
        <f>IFERROR(__xludf.DUMMYFUNCTION("GOOGLETRANSLATE(B12719,""en"",""zh-CN"")"),"最终，最后一位脱节者完成了他的例行工作。")</f>
        <v>最终，最后一位脱节者完成了他的例行工作。</v>
      </c>
    </row>
    <row r="12720">
      <c r="A12720" s="4" t="s">
        <v>16005</v>
      </c>
      <c r="B12720" s="4" t="s">
        <v>16006</v>
      </c>
      <c r="C12720" s="5" t="str">
        <f>IFERROR(__xludf.DUMMYFUNCTION("GOOGLETRANSLATE(B12720,""en"",""zh-CN"")"),"一场马球比赛正在户外举行。")</f>
        <v>一场马球比赛正在户外举行。</v>
      </c>
    </row>
    <row r="12721">
      <c r="A12721" s="4" t="s">
        <v>16005</v>
      </c>
      <c r="B12721" s="4" t="s">
        <v>16007</v>
      </c>
      <c r="C12721" s="5" t="str">
        <f>IFERROR(__xludf.DUMMYFUNCTION("GOOGLETRANSLATE(B12721,""en"",""zh-CN"")"),"一匹马的球员击球。")</f>
        <v>一匹马的球员击球。</v>
      </c>
    </row>
    <row r="12722">
      <c r="A12722" s="4" t="s">
        <v>16005</v>
      </c>
      <c r="B12722" s="4" t="s">
        <v>16008</v>
      </c>
      <c r="C12722" s="5" t="str">
        <f>IFERROR(__xludf.DUMMYFUNCTION("GOOGLETRANSLATE(B12722,""en"",""zh-CN"")"),"显示了马球场动作的广泛镜头。")</f>
        <v>显示了马球场动作的广泛镜头。</v>
      </c>
    </row>
    <row r="12723">
      <c r="A12723" s="4" t="s">
        <v>16009</v>
      </c>
      <c r="B12723" s="6" t="s">
        <v>16010</v>
      </c>
      <c r="C12723" s="5" t="str">
        <f>IFERROR(__xludf.DUMMYFUNCTION("GOOGLETRANSLATE(B12723,""en"",""zh-CN"")"),"看到一个年轻女子在相机上说话，并导致她炫耀头发，然后将其绑在马尾辫中。")</f>
        <v>看到一个年轻女子在相机上说话，并导致她炫耀头发，然后将其绑在马尾辫中。</v>
      </c>
    </row>
    <row r="12724">
      <c r="A12724" s="4" t="s">
        <v>16009</v>
      </c>
      <c r="B12724" s="6" t="s">
        <v>16011</v>
      </c>
      <c r="C12724" s="5" t="str">
        <f>IFERROR(__xludf.DUMMYFUNCTION("GOOGLETRANSLATE(B12724,""en"",""zh-CN"")"),"她把头发散发出来，然后编织刘海，然后将辫子推回马尾辫。")</f>
        <v>她把头发散发出来，然后编织刘海，然后将辫子推回马尾辫。</v>
      </c>
    </row>
    <row r="12725">
      <c r="A12725" s="4" t="s">
        <v>16009</v>
      </c>
      <c r="B12725" s="4" t="s">
        <v>16012</v>
      </c>
      <c r="C12725" s="5" t="str">
        <f>IFERROR(__xludf.DUMMYFUNCTION("GOOGLETRANSLATE(B12725,""en"",""zh-CN"")"),"她最后把头发鞠躬，微笑着镜头。")</f>
        <v>她最后把头发鞠躬，微笑着镜头。</v>
      </c>
    </row>
    <row r="12726">
      <c r="A12726" s="4" t="s">
        <v>16013</v>
      </c>
      <c r="B12726" s="6" t="s">
        <v>16014</v>
      </c>
      <c r="C12726" s="5" t="str">
        <f>IFERROR(__xludf.DUMMYFUNCTION("GOOGLETRANSLATE(B12726,""en"",""zh-CN"")"),"出现白屏，显示快乐的面孔，黑色文字单词上写着“ HappyFace Entertainment”。")</f>
        <v>出现白屏，显示快乐的面孔，黑色文字单词上写着“ HappyFace Entertainment”。</v>
      </c>
    </row>
    <row r="12727">
      <c r="A12727" s="4" t="s">
        <v>16013</v>
      </c>
      <c r="B12727" s="6" t="s">
        <v>16015</v>
      </c>
      <c r="C12727" s="5" t="str">
        <f>IFERROR(__xludf.DUMMYFUNCTION("GOOGLETRANSLATE(B12727,""en"",""zh-CN"")"),"有两名亚洲妇女彼此面对面站着，谈论罐子，而字幕出现在底部。")</f>
        <v>有两名亚洲妇女彼此面对面站着，谈论罐子，而字幕出现在底部。</v>
      </c>
    </row>
    <row r="12728">
      <c r="A12728" s="4" t="s">
        <v>16013</v>
      </c>
      <c r="B12728" s="6" t="s">
        <v>16016</v>
      </c>
      <c r="C12728" s="5" t="str">
        <f>IFERROR(__xludf.DUMMYFUNCTION("GOOGLETRANSLATE(B12728,""en"",""zh-CN"")"),"右边拿着瓶子的那个女人试图将瓶子拧开，并很难拧开，所以有人伸手向她打开它，然后将其送回。")</f>
        <v>右边拿着瓶子的那个女人试图将瓶子拧开，并很难拧开，所以有人伸手向她打开它，然后将其送回。</v>
      </c>
    </row>
    <row r="12729">
      <c r="A12729" s="4" t="s">
        <v>16013</v>
      </c>
      <c r="B12729" s="6" t="s">
        <v>16017</v>
      </c>
      <c r="C12729" s="5" t="str">
        <f>IFERROR(__xludf.DUMMYFUNCTION("GOOGLETRANSLATE(B12729,""en"",""zh-CN"")"),"女人笑着，闻到瓶子里的东西，黑发的味道有点笑，他们俩都笑了。")</f>
        <v>女人笑着，闻到瓶子里的东西，黑发的味道有点笑，他们俩都笑了。</v>
      </c>
    </row>
    <row r="12730">
      <c r="A12730" s="4" t="s">
        <v>16018</v>
      </c>
      <c r="B12730" s="4" t="s">
        <v>16019</v>
      </c>
      <c r="C12730" s="5" t="str">
        <f>IFERROR(__xludf.DUMMYFUNCTION("GOOGLETRANSLATE(B12730,""en"",""zh-CN"")"),"黑屏上出现了白色字母和数字，上面显示考试2012年。")</f>
        <v>黑屏上出现了白色字母和数字，上面显示考试2012年。</v>
      </c>
    </row>
    <row r="12731">
      <c r="A12731" s="4" t="s">
        <v>16018</v>
      </c>
      <c r="B12731" s="6" t="s">
        <v>16020</v>
      </c>
      <c r="C12731" s="5" t="str">
        <f>IFERROR(__xludf.DUMMYFUNCTION("GOOGLETRANSLATE(B12731,""en"",""zh-CN"")"),"显示了一个两层楼的室外建筑物的户外，并在屏幕上的白色字母说Bolshoi芭蕾舞学院。")</f>
        <v>显示了一个两层楼的室外建筑物的户外，并在屏幕上的白色字母说Bolshoi芭蕾舞学院。</v>
      </c>
    </row>
    <row r="12732">
      <c r="A12732" s="4" t="s">
        <v>16018</v>
      </c>
      <c r="B12732" s="6" t="s">
        <v>16021</v>
      </c>
      <c r="C12732" s="5" t="str">
        <f>IFERROR(__xludf.DUMMYFUNCTION("GOOGLETRANSLATE(B12732,""en"",""zh-CN"")"),"一个金发女子坐在钢琴上，她开始扮演一群年轻女性时，穿着芭蕾舞装备，并在舞台上舞动芭蕾舞。")</f>
        <v>一个金发女子坐在钢琴上，她开始扮演一群年轻女性时，穿着芭蕾舞装备，并在舞台上舞动芭蕾舞。</v>
      </c>
    </row>
    <row r="12733">
      <c r="A12733" s="4" t="s">
        <v>16018</v>
      </c>
      <c r="B12733" s="6" t="s">
        <v>16022</v>
      </c>
      <c r="C12733" s="5" t="str">
        <f>IFERROR(__xludf.DUMMYFUNCTION("GOOGLETRANSLATE(B12733,""en"",""zh-CN"")"),"显示了一些女孩，戴在芭蕾舞短裙上，直接伸出来，他们走到舞台上，开始跳舞，就像他们的芭蕾舞短裙一样，与他们直接弹跳。")</f>
        <v>显示了一些女孩，戴在芭蕾舞短裙上，直接伸出来，他们走到舞台上，开始跳舞，就像他们的芭蕾舞短裙一样，与他们直接弹跳。</v>
      </c>
    </row>
    <row r="12734">
      <c r="A12734" s="4" t="s">
        <v>16018</v>
      </c>
      <c r="B12734" s="6" t="s">
        <v>16023</v>
      </c>
      <c r="C12734" s="5" t="str">
        <f>IFERROR(__xludf.DUMMYFUNCTION("GOOGLETRANSLATE(B12734,""en"",""zh-CN"")"),"女人们结束了芭蕾舞的习惯，她们都走到舞台的旁边抓住了女人的手，她们都例行前往舞台，鞠躬，所有芭蕾舞团舞蹈都庆祝他们的表现，并给予另一个拥抱。")</f>
        <v>女人们结束了芭蕾舞的习惯，她们都走到舞台的旁边抓住了女人的手，她们都例行前往舞台，鞠躬，所有芭蕾舞团舞蹈都庆祝他们的表现，并给予另一个拥抱。</v>
      </c>
    </row>
    <row r="12735">
      <c r="A12735" s="4" t="s">
        <v>16024</v>
      </c>
      <c r="B12735" s="4" t="s">
        <v>16025</v>
      </c>
      <c r="C12735" s="5" t="str">
        <f>IFERROR(__xludf.DUMMYFUNCTION("GOOGLETRANSLATE(B12735,""en"",""zh-CN"")"),"一个三明治坐在柜台上。")</f>
        <v>一个三明治坐在柜台上。</v>
      </c>
    </row>
    <row r="12736">
      <c r="A12736" s="4" t="s">
        <v>16024</v>
      </c>
      <c r="B12736" s="4" t="s">
        <v>16026</v>
      </c>
      <c r="C12736" s="5" t="str">
        <f>IFERROR(__xludf.DUMMYFUNCTION("GOOGLETRANSLATE(B12736,""en"",""zh-CN"")"),"三明治周围有很多蔬菜。")</f>
        <v>三明治周围有很多蔬菜。</v>
      </c>
    </row>
    <row r="12737">
      <c r="A12737" s="4" t="s">
        <v>16024</v>
      </c>
      <c r="B12737" s="4" t="s">
        <v>16027</v>
      </c>
      <c r="C12737" s="5" t="str">
        <f>IFERROR(__xludf.DUMMYFUNCTION("GOOGLETRANSLATE(B12737,""en"",""zh-CN"")"),"一个人将黄瓜放在三明治的顶部。")</f>
        <v>一个人将黄瓜放在三明治的顶部。</v>
      </c>
    </row>
    <row r="12738">
      <c r="A12738" s="4" t="s">
        <v>16028</v>
      </c>
      <c r="B12738" s="6" t="s">
        <v>16029</v>
      </c>
      <c r="C12738" s="5" t="str">
        <f>IFERROR(__xludf.DUMMYFUNCTION("GOOGLETRANSLATE(B12738,""en"",""zh-CN"")"),"一个男人被证明吸烟不断吸烟，从他的嘴里吹出烟，看着相机。")</f>
        <v>一个男人被证明吸烟不断吸烟，从他的嘴里吹出烟，看着相机。</v>
      </c>
    </row>
    <row r="12739">
      <c r="A12739" s="4" t="s">
        <v>16028</v>
      </c>
      <c r="B12739" s="4" t="s">
        <v>16030</v>
      </c>
      <c r="C12739" s="5" t="str">
        <f>IFERROR(__xludf.DUMMYFUNCTION("GOOGLETRANSLATE(B12739,""en"",""zh-CN"")"),"他戴上太阳镜，并继续从香烟上吹泡芙。")</f>
        <v>他戴上太阳镜，并继续从香烟上吹泡芙。</v>
      </c>
    </row>
    <row r="12740">
      <c r="A12740" s="4" t="s">
        <v>16028</v>
      </c>
      <c r="B12740" s="4" t="s">
        <v>16031</v>
      </c>
      <c r="C12740" s="5" t="str">
        <f>IFERROR(__xludf.DUMMYFUNCTION("GOOGLETRANSLATE(B12740,""en"",""zh-CN"")"),"他将相机刺入地板上的裂缝，然后回到外面吸烟的脸。")</f>
        <v>他将相机刺入地板上的裂缝，然后回到外面吸烟的脸。</v>
      </c>
    </row>
    <row r="12741">
      <c r="A12741" s="4" t="s">
        <v>16032</v>
      </c>
      <c r="B12741" s="4" t="s">
        <v>16033</v>
      </c>
      <c r="C12741" s="5" t="str">
        <f>IFERROR(__xludf.DUMMYFUNCTION("GOOGLETRANSLATE(B12741,""en"",""zh-CN"")"),"两个小孩坐在桌子旁互相笑着。")</f>
        <v>两个小孩坐在桌子旁互相笑着。</v>
      </c>
    </row>
    <row r="12742">
      <c r="A12742" s="4" t="s">
        <v>16032</v>
      </c>
      <c r="B12742" s="4" t="s">
        <v>16034</v>
      </c>
      <c r="C12742" s="5" t="str">
        <f>IFERROR(__xludf.DUMMYFUNCTION("GOOGLETRANSLATE(B12742,""en"",""zh-CN"")"),"看到一个女孩在远处看着另一个女孩的指甲。")</f>
        <v>看到一个女孩在远处看着另一个女孩的指甲。</v>
      </c>
    </row>
    <row r="12743">
      <c r="A12743" s="4" t="s">
        <v>16032</v>
      </c>
      <c r="B12743" s="4" t="s">
        <v>16035</v>
      </c>
      <c r="C12743" s="5" t="str">
        <f>IFERROR(__xludf.DUMMYFUNCTION("GOOGLETRANSLATE(B12743,""en"",""zh-CN"")"),"当她笑着摄影机时，女孩继续绘画他人的指甲。")</f>
        <v>当她笑着摄影机时，女孩继续绘画他人的指甲。</v>
      </c>
    </row>
    <row r="12744">
      <c r="A12744" s="4" t="s">
        <v>16036</v>
      </c>
      <c r="B12744" s="4" t="s">
        <v>16037</v>
      </c>
      <c r="C12744" s="5" t="str">
        <f>IFERROR(__xludf.DUMMYFUNCTION("GOOGLETRANSLATE(B12744,""en"",""zh-CN"")"),"一个人拿起刀，切开土豆的末端，然后剥土豆。")</f>
        <v>一个人拿起刀，切开土豆的末端，然后剥土豆。</v>
      </c>
    </row>
    <row r="12745">
      <c r="A12745" s="4" t="s">
        <v>16036</v>
      </c>
      <c r="B12745" s="4" t="s">
        <v>16038</v>
      </c>
      <c r="C12745" s="5" t="str">
        <f>IFERROR(__xludf.DUMMYFUNCTION("GOOGLETRANSLATE(B12745,""en"",""zh-CN"")"),"之后，该人将土豆切成正方形。")</f>
        <v>之后，该人将土豆切成正方形。</v>
      </c>
    </row>
    <row r="12746">
      <c r="A12746" s="4" t="s">
        <v>16039</v>
      </c>
      <c r="B12746" s="4" t="s">
        <v>16040</v>
      </c>
      <c r="C12746" s="5" t="str">
        <f>IFERROR(__xludf.DUMMYFUNCTION("GOOGLETRANSLATE(B12746,""en"",""zh-CN"")"),"我们看到一个粉红色的开幕场面。")</f>
        <v>我们看到一个粉红色的开幕场面。</v>
      </c>
    </row>
    <row r="12747">
      <c r="A12747" s="4" t="s">
        <v>16039</v>
      </c>
      <c r="B12747" s="4" t="s">
        <v>16041</v>
      </c>
      <c r="C12747" s="5" t="str">
        <f>IFERROR(__xludf.DUMMYFUNCTION("GOOGLETRANSLATE(B12747,""en"",""zh-CN"")"),"一位女士走上楼梯，人们聚集在户外广场上。")</f>
        <v>一位女士走上楼梯，人们聚集在户外广场上。</v>
      </c>
    </row>
    <row r="12748">
      <c r="A12748" s="4" t="s">
        <v>16039</v>
      </c>
      <c r="B12748" s="4" t="s">
        <v>16042</v>
      </c>
      <c r="C12748" s="5" t="str">
        <f>IFERROR(__xludf.DUMMYFUNCTION("GOOGLETRANSLATE(B12748,""en"",""zh-CN"")"),"我们看到一个横幅的横幅，人们在横幅下移动。")</f>
        <v>我们看到一个横幅的横幅，人们在横幅下移动。</v>
      </c>
    </row>
    <row r="12749">
      <c r="A12749" s="4" t="s">
        <v>16039</v>
      </c>
      <c r="B12749" s="4" t="s">
        <v>16043</v>
      </c>
      <c r="C12749" s="5" t="str">
        <f>IFERROR(__xludf.DUMMYFUNCTION("GOOGLETRANSLATE(B12749,""en"",""zh-CN"")"),"跑步者正在马拉松比赛中奔跑。")</f>
        <v>跑步者正在马拉松比赛中奔跑。</v>
      </c>
    </row>
    <row r="12750">
      <c r="A12750" s="4" t="s">
        <v>16039</v>
      </c>
      <c r="B12750" s="4" t="s">
        <v>16044</v>
      </c>
      <c r="C12750" s="5" t="str">
        <f>IFERROR(__xludf.DUMMYFUNCTION("GOOGLETRANSLATE(B12750,""en"",""zh-CN"")"),"我们看到一个像结构a km 8的体育场。")</f>
        <v>我们看到一个像结构a km 8的体育场。</v>
      </c>
    </row>
    <row r="12751">
      <c r="A12751" s="4" t="s">
        <v>16039</v>
      </c>
      <c r="B12751" s="4" t="s">
        <v>16045</v>
      </c>
      <c r="C12751" s="5" t="str">
        <f>IFERROR(__xludf.DUMMYFUNCTION("GOOGLETRANSLATE(B12751,""en"",""zh-CN"")"),"我们看到喷泉喷水。")</f>
        <v>我们看到喷泉喷水。</v>
      </c>
    </row>
    <row r="12752">
      <c r="A12752" s="4" t="s">
        <v>16039</v>
      </c>
      <c r="B12752" s="4" t="s">
        <v>16046</v>
      </c>
      <c r="C12752" s="5" t="str">
        <f>IFERROR(__xludf.DUMMYFUNCTION("GOOGLETRANSLATE(B12752,""en"",""zh-CN"")"),"一支墨西哥流浪乐队坐在人行道上演奏音乐，然后是鼓手。")</f>
        <v>一支墨西哥流浪乐队坐在人行道上演奏音乐，然后是鼓手。</v>
      </c>
    </row>
    <row r="12753">
      <c r="A12753" s="4" t="s">
        <v>16039</v>
      </c>
      <c r="B12753" s="4" t="s">
        <v>16047</v>
      </c>
      <c r="C12753" s="5" t="str">
        <f>IFERROR(__xludf.DUMMYFUNCTION("GOOGLETRANSLATE(B12753,""en"",""zh-CN"")"),"我们看到结尾和一杯咖啡和一枚奖牌。")</f>
        <v>我们看到结尾和一杯咖啡和一枚奖牌。</v>
      </c>
    </row>
    <row r="12754">
      <c r="A12754" s="4" t="s">
        <v>16039</v>
      </c>
      <c r="B12754" s="4" t="s">
        <v>16048</v>
      </c>
      <c r="C12754" s="5" t="str">
        <f>IFERROR(__xludf.DUMMYFUNCTION("GOOGLETRANSLATE(B12754,""en"",""zh-CN"")"),"一家女士摄影店与墨西哥流浪乐队一起拍照。")</f>
        <v>一家女士摄影店与墨西哥流浪乐队一起拍照。</v>
      </c>
    </row>
    <row r="12755">
      <c r="A12755" s="4" t="s">
        <v>16039</v>
      </c>
      <c r="B12755" s="4" t="s">
        <v>1998</v>
      </c>
      <c r="C12755" s="5" t="str">
        <f>IFERROR(__xludf.DUMMYFUNCTION("GOOGLETRANSLATE(B12755,""en"",""zh-CN"")"),"显示了结尾标题屏幕。")</f>
        <v>显示了结尾标题屏幕。</v>
      </c>
    </row>
    <row r="12756">
      <c r="A12756" s="4" t="s">
        <v>16049</v>
      </c>
      <c r="B12756" s="4" t="s">
        <v>16050</v>
      </c>
      <c r="C12756" s="5" t="str">
        <f>IFERROR(__xludf.DUMMYFUNCTION("GOOGLETRANSLATE(B12756,""en"",""zh-CN"")"),"有一个女孩在谈论欢呼的领导，体操和翻滚。")</f>
        <v>有一个女孩在谈论欢呼的领导，体操和翻滚。</v>
      </c>
    </row>
    <row r="12757">
      <c r="A12757" s="4" t="s">
        <v>16049</v>
      </c>
      <c r="B12757" s="4" t="s">
        <v>16051</v>
      </c>
      <c r="C12757" s="5" t="str">
        <f>IFERROR(__xludf.DUMMYFUNCTION("GOOGLETRANSLATE(B12757,""en"",""zh-CN"")"),"她正在展示如何做翻筋斗，cart旋，圆形和后方和前漫步。")</f>
        <v>她正在展示如何做翻筋斗，cart旋，圆形和后方和前漫步。</v>
      </c>
    </row>
    <row r="12758">
      <c r="A12758" s="4" t="s">
        <v>16049</v>
      </c>
      <c r="B12758" s="4" t="s">
        <v>16052</v>
      </c>
      <c r="C12758" s="5" t="str">
        <f>IFERROR(__xludf.DUMMYFUNCTION("GOOGLETRANSLATE(B12758,""en"",""zh-CN"")"),"她还展示了其他各种动作，例如空中，抽动和背面的动作。")</f>
        <v>她还展示了其他各种动作，例如空中，抽动和背面的动作。</v>
      </c>
    </row>
    <row r="12759">
      <c r="A12759" s="4" t="s">
        <v>16049</v>
      </c>
      <c r="B12759" s="6" t="s">
        <v>16053</v>
      </c>
      <c r="C12759" s="5" t="str">
        <f>IFERROR(__xludf.DUMMYFUNCTION("GOOGLETRANSLATE(B12759,""en"",""zh-CN"")"),"她继续通过迅速将身体通过前翻转来展示其他几次体操运动。")</f>
        <v>她继续通过迅速将身体通过前翻转来展示其他几次体操运动。</v>
      </c>
    </row>
    <row r="12760">
      <c r="A12760" s="4" t="s">
        <v>16054</v>
      </c>
      <c r="B12760" s="6" t="s">
        <v>16055</v>
      </c>
      <c r="C12760" s="5" t="str">
        <f>IFERROR(__xludf.DUMMYFUNCTION("GOOGLETRANSLATE(B12760,""en"",""zh-CN"")"),"一个穿着棕色外套的男人从目标板上拉出一支箭，然后他在与镜头交谈，然后他拉出弓，开始用弓来撞到目标板，他几次开了弓。")</f>
        <v>一个穿着棕色外套的男人从目标板上拉出一支箭，然后他在与镜头交谈，然后他拉出弓，开始用弓来撞到目标板，他几次开了弓。</v>
      </c>
    </row>
    <row r="12761">
      <c r="A12761" s="4" t="s">
        <v>16054</v>
      </c>
      <c r="B12761" s="4" t="s">
        <v>16056</v>
      </c>
      <c r="C12761" s="5" t="str">
        <f>IFERROR(__xludf.DUMMYFUNCTION("GOOGLETRANSLATE(B12761,""en"",""zh-CN"")"),"该男子去了目标板并与镜头交谈。")</f>
        <v>该男子去了目标板并与镜头交谈。</v>
      </c>
    </row>
    <row r="12762">
      <c r="A12762" s="4" t="s">
        <v>16057</v>
      </c>
      <c r="B12762" s="6" t="s">
        <v>16058</v>
      </c>
      <c r="C12762" s="5" t="str">
        <f>IFERROR(__xludf.DUMMYFUNCTION("GOOGLETRANSLATE(B12762,""en"",""zh-CN"")"),"显示一个男孩在一块体操设备上摇摆，其他人则在背景中进行训练。")</f>
        <v>显示一个男孩在一块体操设备上摇摆，其他人则在背景中进行训练。</v>
      </c>
    </row>
    <row r="12763">
      <c r="A12763" s="4" t="s">
        <v>16057</v>
      </c>
      <c r="B12763" s="6" t="s">
        <v>16059</v>
      </c>
      <c r="C12763" s="5" t="str">
        <f>IFERROR(__xludf.DUMMYFUNCTION("GOOGLETRANSLATE(B12763,""en"",""zh-CN"")"),"相机显示了几张不同的男孩的镜头，这些镜头在设备周围和周围的设备上摇摆，摄像机将其平移至不同的角度。")</f>
        <v>相机显示了几张不同的男孩的镜头，这些镜头在设备周围和周围的设备上摇摆，摄像机将其平移至不同的角度。</v>
      </c>
    </row>
    <row r="12764">
      <c r="A12764" s="4" t="s">
        <v>16060</v>
      </c>
      <c r="B12764" s="4" t="s">
        <v>16061</v>
      </c>
      <c r="C12764" s="5" t="str">
        <f>IFERROR(__xludf.DUMMYFUNCTION("GOOGLETRANSLATE(B12764,""en"",""zh-CN"")"),"看到一个男人和女人站在保龄球上，远处有另一条读书。")</f>
        <v>看到一个男人和女人站在保龄球上，远处有另一条读书。</v>
      </c>
    </row>
    <row r="12765">
      <c r="A12765" s="4" t="s">
        <v>16060</v>
      </c>
      <c r="B12765" s="4" t="s">
        <v>16062</v>
      </c>
      <c r="C12765" s="5" t="str">
        <f>IFERROR(__xludf.DUMMYFUNCTION("GOOGLETRANSLATE(B12765,""en"",""zh-CN"")"),"一个女人走进去，与金发女郎说话，递给她一些保龄球鞋。")</f>
        <v>一个女人走进去，与金发女郎说话，递给她一些保龄球鞋。</v>
      </c>
    </row>
    <row r="12766">
      <c r="A12766" s="4" t="s">
        <v>16060</v>
      </c>
      <c r="B12766" s="4" t="s">
        <v>16063</v>
      </c>
      <c r="C12766" s="5" t="str">
        <f>IFERROR(__xludf.DUMMYFUNCTION("GOOGLETRANSLATE(B12766,""en"",""zh-CN"")"),"该男子说话，女孩用高跟鞋扔了保龄球。")</f>
        <v>该男子说话，女孩用高跟鞋扔了保龄球。</v>
      </c>
    </row>
    <row r="12767">
      <c r="A12767" s="4" t="s">
        <v>16064</v>
      </c>
      <c r="B12767" s="4" t="s">
        <v>16065</v>
      </c>
      <c r="C12767" s="5" t="str">
        <f>IFERROR(__xludf.DUMMYFUNCTION("GOOGLETRANSLATE(B12767,""en"",""zh-CN"")"),"投手将球扔到击球手的比赛中。")</f>
        <v>投手将球扔到击球手的比赛中。</v>
      </c>
    </row>
    <row r="12768">
      <c r="A12768" s="4" t="s">
        <v>16064</v>
      </c>
      <c r="B12768" s="4" t="s">
        <v>16066</v>
      </c>
      <c r="C12768" s="5" t="str">
        <f>IFERROR(__xludf.DUMMYFUNCTION("GOOGLETRANSLATE(B12768,""en"",""zh-CN"")"),"击球手正在与男人和其他人试图使他平静下来。")</f>
        <v>击球手正在与男人和其他人试图使他平静下来。</v>
      </c>
    </row>
    <row r="12769">
      <c r="A12769" s="4" t="s">
        <v>16064</v>
      </c>
      <c r="B12769" s="4" t="s">
        <v>16067</v>
      </c>
      <c r="C12769" s="5" t="str">
        <f>IFERROR(__xludf.DUMMYFUNCTION("GOOGLETRANSLATE(B12769,""en"",""zh-CN"")"),"一群穿着黑色unifrom的人在战场上奔跑。")</f>
        <v>一群穿着黑色unifrom的人在战场上奔跑。</v>
      </c>
    </row>
    <row r="12770">
      <c r="A12770" s="4" t="s">
        <v>16068</v>
      </c>
      <c r="B12770" s="6" t="s">
        <v>16069</v>
      </c>
      <c r="C12770" s="5" t="str">
        <f>IFERROR(__xludf.DUMMYFUNCTION("GOOGLETRANSLATE(B12770,""en"",""zh-CN"")"),"看到各种妇女的手中走来走来走去，随后有更多的运动员四处走动，扔球，向人群挥手。")</f>
        <v>看到各种妇女的手中走来走来走去，随后有更多的运动员四处走动，扔球，向人群挥手。</v>
      </c>
    </row>
    <row r="12771">
      <c r="A12771" s="4" t="s">
        <v>16068</v>
      </c>
      <c r="B12771" s="6" t="s">
        <v>16070</v>
      </c>
      <c r="C12771" s="5" t="str">
        <f>IFERROR(__xludf.DUMMYFUNCTION("GOOGLETRANSLATE(B12771,""en"",""zh-CN"")"),"视频继续进行，以几张不同的镜头投掷射门，并为人群欢呼并四处走动。")</f>
        <v>视频继续进行，以几张不同的镜头投掷射门，并为人群欢呼并四处走动。</v>
      </c>
    </row>
    <row r="12772">
      <c r="A12772" s="4" t="s">
        <v>16071</v>
      </c>
      <c r="B12772" s="6" t="s">
        <v>16072</v>
      </c>
      <c r="C12772" s="5" t="str">
        <f>IFERROR(__xludf.DUMMYFUNCTION("GOOGLETRANSLATE(B12772,""en"",""zh-CN"")"),"两名男子玩风笛，同时在户外军事和警察仪式上与一名演讲者一起拍摄，在一个讲台的讲台上，身穿制服和正式坐在的观众面前。")</f>
        <v>两名男子玩风笛，同时在户外军事和警察仪式上与一名演讲者一起拍摄，在一个讲台的讲台上，身穿制服和正式坐在的观众面前。</v>
      </c>
    </row>
    <row r="12773">
      <c r="A12773" s="4" t="s">
        <v>16071</v>
      </c>
      <c r="B12773" s="6" t="s">
        <v>16073</v>
      </c>
      <c r="C12773" s="5" t="str">
        <f>IFERROR(__xludf.DUMMYFUNCTION("GOOGLETRANSLATE(B12773,""en"",""zh-CN"")"),"两名男子在一排警察和一名穿着军装的男人面前玩风笛，所有这些都是摄影师的照片。")</f>
        <v>两名男子在一排警察和一名穿着军装的男人面前玩风笛，所有这些都是摄影师的照片。</v>
      </c>
    </row>
    <row r="12774">
      <c r="A12774" s="4" t="s">
        <v>16071</v>
      </c>
      <c r="B12774" s="6" t="s">
        <v>16074</v>
      </c>
      <c r="C12774" s="5" t="str">
        <f>IFERROR(__xludf.DUMMYFUNCTION("GOOGLETRANSLATE(B12774,""en"",""zh-CN"")"),"摄像机朝一个穿着西装的男人摇晃，站在一群人面前，他们与扬声器后面的一群人站在一起。")</f>
        <v>摄像机朝一个穿着西装的男人摇晃，站在一群人面前，他们与扬声器后面的一群人站在一起。</v>
      </c>
    </row>
    <row r="12775">
      <c r="A12775" s="4" t="s">
        <v>16071</v>
      </c>
      <c r="B12775" s="6" t="s">
        <v>16075</v>
      </c>
      <c r="C12775" s="5" t="str">
        <f>IFERROR(__xludf.DUMMYFUNCTION("GOOGLETRANSLATE(B12775,""en"",""zh-CN"")"),"然后，摄像机将飞向三架军用飞机在仪式的一部分上飞到头顶，然后返回到领奖台的男人面前的人。")</f>
        <v>然后，摄像机将飞向三架军用飞机在仪式的一部分上飞到头顶，然后返回到领奖台的男人面前的人。</v>
      </c>
    </row>
    <row r="12776">
      <c r="A12776" s="4" t="s">
        <v>16076</v>
      </c>
      <c r="B12776" s="6" t="s">
        <v>16077</v>
      </c>
      <c r="C12776" s="5" t="str">
        <f>IFERROR(__xludf.DUMMYFUNCTION("GOOGLETRANSLATE(B12776,""en"",""zh-CN"")"),"展示了站在侧面的人的镜头以及一群彼此拔河战争的女孩。")</f>
        <v>展示了站在侧面的人的镜头以及一群彼此拔河战争的女孩。</v>
      </c>
    </row>
    <row r="12777">
      <c r="A12777" s="4" t="s">
        <v>16076</v>
      </c>
      <c r="B12777" s="6" t="s">
        <v>16078</v>
      </c>
      <c r="C12777" s="5" t="str">
        <f>IFERROR(__xludf.DUMMYFUNCTION("GOOGLETRANSLATE(B12777,""en"",""zh-CN"")"),"在人们在侧面庆祝以及与队友庆祝时，还显示了几次镜头，彼此之间进行了拔河比赛。")</f>
        <v>在人们在侧面庆祝以及与队友庆祝时，还显示了几次镜头，彼此之间进行了拔河比赛。</v>
      </c>
    </row>
    <row r="12778">
      <c r="A12778" s="4" t="s">
        <v>16079</v>
      </c>
      <c r="B12778" s="4" t="s">
        <v>16080</v>
      </c>
      <c r="C12778" s="5" t="str">
        <f>IFERROR(__xludf.DUMMYFUNCTION("GOOGLETRANSLATE(B12778,""en"",""zh-CN"")"),"一个男人戴着手套的手在他的手和膝盖上，使用一种正在产生火花的电动工具。")</f>
        <v>一个男人戴着手套的手在他的手和膝盖上，使用一种正在产生火花的电动工具。</v>
      </c>
    </row>
    <row r="12779">
      <c r="A12779" s="4" t="s">
        <v>16079</v>
      </c>
      <c r="B12779" s="4" t="s">
        <v>16081</v>
      </c>
      <c r="C12779" s="5" t="str">
        <f>IFERROR(__xludf.DUMMYFUNCTION("GOOGLETRANSLATE(B12779,""en"",""zh-CN"")"),"当摄影师观看并完成燃烧物体时，他继续使用该物体继续使用该物体。")</f>
        <v>当摄影师观看并完成燃烧物体时，他继续使用该物体继续使用该物体。</v>
      </c>
    </row>
    <row r="12780">
      <c r="A12780" s="4" t="s">
        <v>16082</v>
      </c>
      <c r="B12780" s="4" t="s">
        <v>16083</v>
      </c>
      <c r="C12780" s="5" t="str">
        <f>IFERROR(__xludf.DUMMYFUNCTION("GOOGLETRANSLATE(B12780,""en"",""zh-CN"")"),"男孩正站在门前与其他男孩在厨房前交谈。")</f>
        <v>男孩正站在门前与其他男孩在厨房前交谈。</v>
      </c>
    </row>
    <row r="12781">
      <c r="A12781" s="4" t="s">
        <v>16082</v>
      </c>
      <c r="B12781" s="4" t="s">
        <v>16084</v>
      </c>
      <c r="C12781" s="5" t="str">
        <f>IFERROR(__xludf.DUMMYFUNCTION("GOOGLETRANSLATE(B12781,""en"",""zh-CN"")"),"人走到乒乓球桌前的客厅。")</f>
        <v>人走到乒乓球桌前的客厅。</v>
      </c>
    </row>
    <row r="12782">
      <c r="A12782" s="4" t="s">
        <v>16082</v>
      </c>
      <c r="B12782" s="6" t="s">
        <v>16085</v>
      </c>
      <c r="C12782" s="5" t="str">
        <f>IFERROR(__xludf.DUMMYFUNCTION("GOOGLETRANSLATE(B12782,""en"",""zh-CN"")"),"男人正在穿鞋子，抓住滑板，并与她的朋友在人行道上滑板。")</f>
        <v>男人正在穿鞋子，抓住滑板，并与她的朋友在人行道上滑板。</v>
      </c>
    </row>
    <row r="12783">
      <c r="A12783" s="4" t="s">
        <v>16082</v>
      </c>
      <c r="B12783" s="4" t="s">
        <v>16086</v>
      </c>
      <c r="C12783" s="5" t="str">
        <f>IFERROR(__xludf.DUMMYFUNCTION("GOOGLETRANSLATE(B12783,""en"",""zh-CN"")"),"男人正在公园上的一棵树上悬挂在利亚纳斯（Lianas）上。")</f>
        <v>男人正在公园上的一棵树上悬挂在利亚纳斯（Lianas）上。</v>
      </c>
    </row>
    <row r="12784">
      <c r="A12784" s="4" t="s">
        <v>16087</v>
      </c>
      <c r="B12784" s="4" t="s">
        <v>16088</v>
      </c>
      <c r="C12784" s="5" t="str">
        <f>IFERROR(__xludf.DUMMYFUNCTION("GOOGLETRANSLATE(B12784,""en"",""zh-CN"")"),"一个孩子和一些男人站在椅子上，穿着滑雪装备。")</f>
        <v>一个孩子和一些男人站在椅子上，穿着滑雪装备。</v>
      </c>
    </row>
    <row r="12785">
      <c r="A12785" s="4" t="s">
        <v>16087</v>
      </c>
      <c r="B12785" s="4" t="s">
        <v>16089</v>
      </c>
      <c r="C12785" s="5" t="str">
        <f>IFERROR(__xludf.DUMMYFUNCTION("GOOGLETRANSLATE(B12785,""en"",""zh-CN"")"),"男孩滑雪在山上，但跌倒了。")</f>
        <v>男孩滑雪在山上，但跌倒了。</v>
      </c>
    </row>
    <row r="12786">
      <c r="A12786" s="4" t="s">
        <v>16087</v>
      </c>
      <c r="B12786" s="4" t="s">
        <v>16090</v>
      </c>
      <c r="C12786" s="5" t="str">
        <f>IFERROR(__xludf.DUMMYFUNCTION("GOOGLETRANSLATE(B12786,""en"",""zh-CN"")"),"然后，他被证明在空中翻转，然后进行几个坡道和翻转技巧。")</f>
        <v>然后，他被证明在空中翻转，然后进行几个坡道和翻转技巧。</v>
      </c>
    </row>
    <row r="12787">
      <c r="A12787" s="4" t="s">
        <v>16087</v>
      </c>
      <c r="B12787" s="4" t="s">
        <v>16091</v>
      </c>
      <c r="C12787" s="5" t="str">
        <f>IFERROR(__xludf.DUMMYFUNCTION("GOOGLETRANSLATE(B12787,""en"",""zh-CN"")"),"完成后，它们进入建筑物。")</f>
        <v>完成后，它们进入建筑物。</v>
      </c>
    </row>
    <row r="12788">
      <c r="A12788" s="4" t="s">
        <v>16092</v>
      </c>
      <c r="B12788" s="6" t="s">
        <v>16093</v>
      </c>
      <c r="C12788" s="5" t="str">
        <f>IFERROR(__xludf.DUMMYFUNCTION("GOOGLETRANSLATE(B12788,""en"",""zh-CN"")"),"展示了各种各样的男人，这些男人会导致一个穿着制服的男人并与镜头说话。")</f>
        <v>展示了各种各样的男人，这些男人会导致一个穿着制服的男人并与镜头说话。</v>
      </c>
    </row>
    <row r="12789">
      <c r="A12789" s="4" t="s">
        <v>16092</v>
      </c>
      <c r="B12789" s="4" t="s">
        <v>16094</v>
      </c>
      <c r="C12789" s="5" t="str">
        <f>IFERROR(__xludf.DUMMYFUNCTION("GOOGLETRANSLATE(B12789,""en"",""zh-CN"")"),"然后，他带领一群人一起演奏乐器，同时摄影机周围摇动。")</f>
        <v>然后，他带领一群人一起演奏乐器，同时摄影机周围摇动。</v>
      </c>
    </row>
    <row r="12790">
      <c r="A12790" s="4" t="s">
        <v>16095</v>
      </c>
      <c r="B12790" s="4" t="s">
        <v>16096</v>
      </c>
      <c r="C12790" s="5" t="str">
        <f>IFERROR(__xludf.DUMMYFUNCTION("GOOGLETRANSLATE(B12790,""en"",""zh-CN"")"),"看到一个男人站在水槽前，用海绵擦洗。")</f>
        <v>看到一个男人站在水槽前，用海绵擦洗。</v>
      </c>
    </row>
    <row r="12791">
      <c r="A12791" s="4" t="s">
        <v>16095</v>
      </c>
      <c r="B12791" s="4" t="s">
        <v>16097</v>
      </c>
      <c r="C12791" s="5" t="str">
        <f>IFERROR(__xludf.DUMMYFUNCTION("GOOGLETRANSLATE(B12791,""en"",""zh-CN"")"),"该男子偶尔看着相机时继续擦拭柜台。")</f>
        <v>该男子偶尔看着相机时继续擦拭柜台。</v>
      </c>
    </row>
    <row r="12792">
      <c r="A12792" s="4" t="s">
        <v>16098</v>
      </c>
      <c r="B12792" s="4" t="s">
        <v>16099</v>
      </c>
      <c r="C12792" s="5" t="str">
        <f>IFERROR(__xludf.DUMMYFUNCTION("GOOGLETRANSLATE(B12792,""en"",""zh-CN"")"),"几个人正在踢室内足球。")</f>
        <v>几个人正在踢室内足球。</v>
      </c>
    </row>
    <row r="12793">
      <c r="A12793" s="4" t="s">
        <v>16098</v>
      </c>
      <c r="B12793" s="4" t="s">
        <v>16100</v>
      </c>
      <c r="C12793" s="5" t="str">
        <f>IFERROR(__xludf.DUMMYFUNCTION("GOOGLETRANSLATE(B12793,""en"",""zh-CN"")"),"一大群人看着看台。")</f>
        <v>一大群人看着看台。</v>
      </c>
    </row>
    <row r="12794">
      <c r="A12794" s="4" t="s">
        <v>16098</v>
      </c>
      <c r="B12794" s="6" t="s">
        <v>16101</v>
      </c>
      <c r="C12794" s="5" t="str">
        <f>IFERROR(__xludf.DUMMYFUNCTION("GOOGLETRANSLATE(B12794,""en"",""zh-CN"")"),"一名穿着黄色的男人将球踢入进球，并与他的球队一起庆祝，然后才显示出他的进球。")</f>
        <v>一名穿着黄色的男人将球踢入进球，并与他的球队一起庆祝，然后才显示出他的进球。</v>
      </c>
    </row>
    <row r="12795">
      <c r="A12795" s="4" t="s">
        <v>16098</v>
      </c>
      <c r="B12795" s="6" t="s">
        <v>16102</v>
      </c>
      <c r="C12795" s="5" t="str">
        <f>IFERROR(__xludf.DUMMYFUNCTION("GOOGLETRANSLATE(B12795,""en"",""zh-CN"")"),"比赛仍在继续，两名男子互相击倒，然后红队得分进球，并显示了一个重播。")</f>
        <v>比赛仍在继续，两名男子互相击倒，然后红队得分进球，并显示了一个重播。</v>
      </c>
    </row>
    <row r="12796">
      <c r="A12796" s="4" t="s">
        <v>16098</v>
      </c>
      <c r="B12796" s="6" t="s">
        <v>16103</v>
      </c>
      <c r="C12796" s="5" t="str">
        <f>IFERROR(__xludf.DUMMYFUNCTION("GOOGLETRANSLATE(B12796,""en"",""zh-CN"")"),"黄队试图得分，并在最终得分之前被封锁多次，并且显示了两次重播。")</f>
        <v>黄队试图得分，并在最终得分之前被封锁多次，并且显示了两次重播。</v>
      </c>
    </row>
    <row r="12797">
      <c r="A12797" s="4" t="s">
        <v>16098</v>
      </c>
      <c r="B12797" s="4" t="s">
        <v>16104</v>
      </c>
      <c r="C12797" s="5" t="str">
        <f>IFERROR(__xludf.DUMMYFUNCTION("GOOGLETRANSLATE(B12797,""en"",""zh-CN"")"),"比赛一直持续到红队得分。")</f>
        <v>比赛一直持续到红队得分。</v>
      </c>
    </row>
    <row r="12798">
      <c r="A12798" s="4" t="s">
        <v>16098</v>
      </c>
      <c r="B12798" s="6" t="s">
        <v>16105</v>
      </c>
      <c r="C12798" s="5" t="str">
        <f>IFERROR(__xludf.DUMMYFUNCTION("GOOGLETRANSLATE(B12798,""en"",""zh-CN"")"),"每个团队的一个人都将球踢向进球，每个人都将球拿到网中，然后飞回了球。")</f>
        <v>每个团队的一个人都将球踢向进球，每个人都将球拿到网中，然后飞回了球。</v>
      </c>
    </row>
    <row r="12799">
      <c r="A12799" s="4" t="s">
        <v>16098</v>
      </c>
      <c r="B12799" s="4" t="s">
        <v>16106</v>
      </c>
      <c r="C12799" s="5" t="str">
        <f>IFERROR(__xludf.DUMMYFUNCTION("GOOGLETRANSLATE(B12799,""en"",""zh-CN"")"),"每个团队的另一个人都会发生同样的事情。")</f>
        <v>每个团队的另一个人都会发生同样的事情。</v>
      </c>
    </row>
    <row r="12800">
      <c r="A12800" s="4" t="s">
        <v>16098</v>
      </c>
      <c r="B12800" s="4" t="s">
        <v>16107</v>
      </c>
      <c r="C12800" s="5" t="str">
        <f>IFERROR(__xludf.DUMMYFUNCTION("GOOGLETRANSLATE(B12800,""en"",""zh-CN"")"),"当下一个红队成员踢球时，守门员挡住了球。")</f>
        <v>当下一个红队成员踢球时，守门员挡住了球。</v>
      </c>
    </row>
    <row r="12801">
      <c r="A12801" s="4" t="s">
        <v>16098</v>
      </c>
      <c r="B12801" s="4" t="s">
        <v>16108</v>
      </c>
      <c r="C12801" s="5" t="str">
        <f>IFERROR(__xludf.DUMMYFUNCTION("GOOGLETRANSLATE(B12801,""en"",""zh-CN"")"),"每个球队的另一个男子在守门员挡住一个男人踢的球之前得分。")</f>
        <v>每个球队的另一个男子在守门员挡住一个男人踢的球之前得分。</v>
      </c>
    </row>
    <row r="12802">
      <c r="A12802" s="4" t="s">
        <v>16098</v>
      </c>
      <c r="B12802" s="6" t="s">
        <v>16109</v>
      </c>
      <c r="C12802" s="5" t="str">
        <f>IFERROR(__xludf.DUMMYFUNCTION("GOOGLETRANSLATE(B12802,""en"",""zh-CN"")"),"Thew Red队的另一个球被阻塞，西装场外的两名男子跳上球场，跑到球场上，与几名球员握手。")</f>
        <v>Thew Red队的另一个球被阻塞，西装场外的两名男子跳上球场，跑到球场上，与几名球员握手。</v>
      </c>
    </row>
    <row r="12803">
      <c r="A12803" s="4" t="s">
        <v>16098</v>
      </c>
      <c r="B12803" s="4" t="s">
        <v>16110</v>
      </c>
      <c r="C12803" s="5" t="str">
        <f>IFERROR(__xludf.DUMMYFUNCTION("GOOGLETRANSLATE(B12803,""en"",""zh-CN"")"),"玩家庆祝一些摄像机之后。")</f>
        <v>玩家庆祝一些摄像机之后。</v>
      </c>
    </row>
    <row r="12804">
      <c r="A12804" s="4" t="s">
        <v>16098</v>
      </c>
      <c r="B12804" s="6" t="s">
        <v>16111</v>
      </c>
      <c r="C12804" s="5" t="str">
        <f>IFERROR(__xludf.DUMMYFUNCTION("GOOGLETRANSLATE(B12804,""en"",""zh-CN"")"),"穿着西装的男人将奖杯送给一个黄色的男人，他将其握在头上，背景中的每个人都在庆祝。")</f>
        <v>穿着西装的男人将奖杯送给一个黄色的男人，他将其握在头上，背景中的每个人都在庆祝。</v>
      </c>
    </row>
    <row r="12805">
      <c r="A12805" s="4" t="s">
        <v>16112</v>
      </c>
      <c r="B12805" s="4" t="s">
        <v>16113</v>
      </c>
      <c r="C12805" s="5" t="str">
        <f>IFERROR(__xludf.DUMMYFUNCTION("GOOGLETRANSLATE(B12805,""en"",""zh-CN"")"),"显示了陡峭的山雪的景色。")</f>
        <v>显示了陡峭的山雪的景色。</v>
      </c>
    </row>
    <row r="12806">
      <c r="A12806" s="4" t="s">
        <v>16112</v>
      </c>
      <c r="B12806" s="4" t="s">
        <v>16114</v>
      </c>
      <c r="C12806" s="5" t="str">
        <f>IFERROR(__xludf.DUMMYFUNCTION("GOOGLETRANSLATE(B12806,""en"",""zh-CN"")"),"滑雪者正在乘坐电梯。")</f>
        <v>滑雪者正在乘坐电梯。</v>
      </c>
    </row>
    <row r="12807">
      <c r="A12807" s="4" t="s">
        <v>16112</v>
      </c>
      <c r="B12807" s="4" t="s">
        <v>16115</v>
      </c>
      <c r="C12807" s="5" t="str">
        <f>IFERROR(__xludf.DUMMYFUNCTION("GOOGLETRANSLATE(B12807,""en"",""zh-CN"")"),"他们在陡峭的山丘上的雪地上雪橇。")</f>
        <v>他们在陡峭的山丘上的雪地上雪橇。</v>
      </c>
    </row>
    <row r="12808">
      <c r="A12808" s="4" t="s">
        <v>16116</v>
      </c>
      <c r="B12808" s="4" t="s">
        <v>16117</v>
      </c>
      <c r="C12808" s="5" t="str">
        <f>IFERROR(__xludf.DUMMYFUNCTION("GOOGLETRANSLATE(B12808,""en"",""zh-CN"")"),"屏幕上出现了读“ deeba的食谱”的文本。")</f>
        <v>屏幕上出现了读“ deeba的食谱”的文本。</v>
      </c>
    </row>
    <row r="12809">
      <c r="A12809" s="4" t="s">
        <v>16116</v>
      </c>
      <c r="B12809" s="4" t="s">
        <v>16118</v>
      </c>
      <c r="C12809" s="5" t="str">
        <f>IFERROR(__xludf.DUMMYFUNCTION("GOOGLETRANSLATE(B12809,""en"",""zh-CN"")"),"然后，视频切成一位站在一个装满烹饪食材的桌子后面的女人。")</f>
        <v>然后，视频切成一位站在一个装满烹饪食材的桌子后面的女人。</v>
      </c>
    </row>
    <row r="12810">
      <c r="A12810" s="4" t="s">
        <v>16116</v>
      </c>
      <c r="B12810" s="4" t="s">
        <v>16119</v>
      </c>
      <c r="C12810" s="5" t="str">
        <f>IFERROR(__xludf.DUMMYFUNCTION("GOOGLETRANSLATE(B12810,""en"",""zh-CN"")"),"她在相机上说话，同时展示了她为这道菜做准备的东西。")</f>
        <v>她在相机上说话，同时展示了她为这道菜做准备的东西。</v>
      </c>
    </row>
    <row r="12811">
      <c r="A12811" s="4" t="s">
        <v>16116</v>
      </c>
      <c r="B12811" s="4" t="s">
        <v>16120</v>
      </c>
      <c r="C12811" s="5" t="str">
        <f>IFERROR(__xludf.DUMMYFUNCTION("GOOGLETRANSLATE(B12811,""en"",""zh-CN"")"),"她将各种成分放入碗中，并非常精确地装饰它。")</f>
        <v>她将各种成分放入碗中，并非常精确地装饰它。</v>
      </c>
    </row>
    <row r="12812">
      <c r="A12812" s="4" t="s">
        <v>16116</v>
      </c>
      <c r="B12812" s="4" t="s">
        <v>16121</v>
      </c>
      <c r="C12812" s="5" t="str">
        <f>IFERROR(__xludf.DUMMYFUNCTION("GOOGLETRANSLATE(B12812,""en"",""zh-CN"")"),"然后，她将酱汁倒在上面。")</f>
        <v>然后，她将酱汁倒在上面。</v>
      </c>
    </row>
    <row r="12813">
      <c r="A12813" s="4" t="s">
        <v>16116</v>
      </c>
      <c r="B12813" s="4" t="s">
        <v>16122</v>
      </c>
      <c r="C12813" s="5" t="str">
        <f>IFERROR(__xludf.DUMMYFUNCTION("GOOGLETRANSLATE(B12813,""en"",""zh-CN"")"),"然后，她与摄像机交谈更多，以提供有关如何制作菜的提示。")</f>
        <v>然后，她与摄像机交谈更多，以提供有关如何制作菜的提示。</v>
      </c>
    </row>
    <row r="12814">
      <c r="A12814" s="4" t="s">
        <v>16116</v>
      </c>
      <c r="B12814" s="4" t="s">
        <v>16123</v>
      </c>
      <c r="C12814" s="5" t="str">
        <f>IFERROR(__xludf.DUMMYFUNCTION("GOOGLETRANSLATE(B12814,""en"",""zh-CN"")"),"再次显示了另一组显示“ Deeba”食谱的文本。")</f>
        <v>再次显示了另一组显示“ Deeba”食谱的文本。</v>
      </c>
    </row>
    <row r="12815">
      <c r="A12815" s="4" t="s">
        <v>16124</v>
      </c>
      <c r="B12815" s="4" t="s">
        <v>16125</v>
      </c>
      <c r="C12815" s="5" t="str">
        <f>IFERROR(__xludf.DUMMYFUNCTION("GOOGLETRANSLATE(B12815,""en"",""zh-CN"")"),"看到一个人拿着包裹的礼物，开始在盒子上包裹纸。")</f>
        <v>看到一个人拿着包裹的礼物，开始在盒子上包裹纸。</v>
      </c>
    </row>
    <row r="12816">
      <c r="A12816" s="4" t="s">
        <v>16124</v>
      </c>
      <c r="B12816" s="4" t="s">
        <v>16126</v>
      </c>
      <c r="C12816" s="5" t="str">
        <f>IFERROR(__xludf.DUMMYFUNCTION("GOOGLETRANSLATE(B12816,""en"",""zh-CN"")"),"女孩将其推向侧面，开始敲击盒子。")</f>
        <v>女孩将其推向侧面，开始敲击盒子。</v>
      </c>
    </row>
    <row r="12817">
      <c r="A12817" s="4" t="s">
        <v>16124</v>
      </c>
      <c r="B12817" s="4" t="s">
        <v>16127</v>
      </c>
      <c r="C12817" s="5" t="str">
        <f>IFERROR(__xludf.DUMMYFUNCTION("GOOGLETRANSLATE(B12817,""en"",""zh-CN"")"),"她完成了整个盒子的敲击，并通过将其呈现给相机结束。")</f>
        <v>她完成了整个盒子的敲击，并通过将其呈现给相机结束。</v>
      </c>
    </row>
    <row r="12818">
      <c r="A12818" s="4" t="s">
        <v>16128</v>
      </c>
      <c r="B12818" s="4" t="s">
        <v>16129</v>
      </c>
      <c r="C12818" s="5" t="str">
        <f>IFERROR(__xludf.DUMMYFUNCTION("GOOGLETRANSLATE(B12818,""en"",""zh-CN"")"),"屏幕以ACDC促销方式打开。")</f>
        <v>屏幕以ACDC促销方式打开。</v>
      </c>
    </row>
    <row r="12819">
      <c r="A12819" s="4" t="s">
        <v>16128</v>
      </c>
      <c r="B12819" s="4" t="s">
        <v>16130</v>
      </c>
      <c r="C12819" s="5" t="str">
        <f>IFERROR(__xludf.DUMMYFUNCTION("GOOGLETRANSLATE(B12819,""en"",""zh-CN"")"),"一个小男孩正在和相机说话。")</f>
        <v>一个小男孩正在和相机说话。</v>
      </c>
    </row>
    <row r="12820">
      <c r="A12820" s="4" t="s">
        <v>16128</v>
      </c>
      <c r="B12820" s="4" t="s">
        <v>16131</v>
      </c>
      <c r="C12820" s="5" t="str">
        <f>IFERROR(__xludf.DUMMYFUNCTION("GOOGLETRANSLATE(B12820,""en"",""zh-CN"")"),"这个小男孩开始打破舞蹈并进行了很多翻转。")</f>
        <v>这个小男孩开始打破舞蹈并进行了很多翻转。</v>
      </c>
    </row>
    <row r="12821">
      <c r="A12821" s="4" t="s">
        <v>16128</v>
      </c>
      <c r="B12821" s="4" t="s">
        <v>16132</v>
      </c>
      <c r="C12821" s="5" t="str">
        <f>IFERROR(__xludf.DUMMYFUNCTION("GOOGLETRANSLATE(B12821,""en"",""zh-CN"")"),"他站起来开始说唱。")</f>
        <v>他站起来开始说唱。</v>
      </c>
    </row>
    <row r="12822">
      <c r="A12822" s="4" t="s">
        <v>16133</v>
      </c>
      <c r="B12822" s="4" t="s">
        <v>16134</v>
      </c>
      <c r="C12822" s="5" t="str">
        <f>IFERROR(__xludf.DUMMYFUNCTION("GOOGLETRANSLATE(B12822,""en"",""zh-CN"")"),"人站在游泳池后面的一个伯爵后面。")</f>
        <v>人站在游泳池后面的一个伯爵后面。</v>
      </c>
    </row>
    <row r="12823">
      <c r="A12823" s="4" t="s">
        <v>16133</v>
      </c>
      <c r="B12823" s="4" t="s">
        <v>16135</v>
      </c>
      <c r="C12823" s="5" t="str">
        <f>IFERROR(__xludf.DUMMYFUNCTION("GOOGLETRANSLATE(B12823,""en"",""zh-CN"")"),"两个人站在蹦床的顶部，使同步跳入游泳池。")</f>
        <v>两个人站在蹦床的顶部，使同步跳入游泳池。</v>
      </c>
    </row>
    <row r="12824">
      <c r="A12824" s="4" t="s">
        <v>16133</v>
      </c>
      <c r="B12824" s="4" t="s">
        <v>16136</v>
      </c>
      <c r="C12824" s="5" t="str">
        <f>IFERROR(__xludf.DUMMYFUNCTION("GOOGLETRANSLATE(B12824,""en"",""zh-CN"")"),"人正上楼梯到蹦床。")</f>
        <v>人正上楼梯到蹦床。</v>
      </c>
    </row>
    <row r="12825">
      <c r="A12825" s="4" t="s">
        <v>16137</v>
      </c>
      <c r="B12825" s="4" t="s">
        <v>16138</v>
      </c>
      <c r="C12825" s="5" t="str">
        <f>IFERROR(__xludf.DUMMYFUNCTION("GOOGLETRANSLATE(B12825,""en"",""zh-CN"")"),"显示了该人，击倒9个保龄球钉，这意味着他有一个备用。")</f>
        <v>显示了该人，击倒9个保龄球钉，这意味着他有一个备用。</v>
      </c>
    </row>
    <row r="12826">
      <c r="A12826" s="4" t="s">
        <v>16137</v>
      </c>
      <c r="B12826" s="4" t="s">
        <v>16139</v>
      </c>
      <c r="C12826" s="5" t="str">
        <f>IFERROR(__xludf.DUMMYFUNCTION("GOOGLETRANSLATE(B12826,""en"",""zh-CN"")"),"接下来，他将所有销钉击倒并罢工。")</f>
        <v>接下来，他将所有销钉击倒并罢工。</v>
      </c>
    </row>
    <row r="12827">
      <c r="A12827" s="4" t="s">
        <v>16140</v>
      </c>
      <c r="B12827" s="4" t="s">
        <v>16141</v>
      </c>
      <c r="C12827" s="5" t="str">
        <f>IFERROR(__xludf.DUMMYFUNCTION("GOOGLETRANSLATE(B12827,""en"",""zh-CN"")"),"三个孩子用任何绳子爬上山上。")</f>
        <v>三个孩子用任何绳子爬上山上。</v>
      </c>
    </row>
    <row r="12828">
      <c r="A12828" s="4" t="s">
        <v>16140</v>
      </c>
      <c r="B12828" s="4" t="s">
        <v>16142</v>
      </c>
      <c r="C12828" s="5" t="str">
        <f>IFERROR(__xludf.DUMMYFUNCTION("GOOGLETRANSLATE(B12828,""en"",""zh-CN"")"),"然后，他们在房间里闲逛，玩得开心。")</f>
        <v>然后，他们在房间里闲逛，玩得开心。</v>
      </c>
    </row>
    <row r="12829">
      <c r="A12829" s="4" t="s">
        <v>16140</v>
      </c>
      <c r="B12829" s="6" t="s">
        <v>16143</v>
      </c>
      <c r="C12829" s="5" t="str">
        <f>IFERROR(__xludf.DUMMYFUNCTION("GOOGLETRANSLATE(B12829,""en"",""zh-CN"")"),"他们只是三个最好的朋友一起做所有事情，步行，购物，放松和攀登山脉。")</f>
        <v>他们只是三个最好的朋友一起做所有事情，步行，购物，放松和攀登山脉。</v>
      </c>
    </row>
    <row r="12830">
      <c r="A12830" s="4" t="s">
        <v>16140</v>
      </c>
      <c r="B12830" s="4" t="s">
        <v>16144</v>
      </c>
      <c r="C12830" s="5" t="str">
        <f>IFERROR(__xludf.DUMMYFUNCTION("GOOGLETRANSLATE(B12830,""en"",""zh-CN"")"),"当他们到达山顶时，他们互相拥抱。")</f>
        <v>当他们到达山顶时，他们互相拥抱。</v>
      </c>
    </row>
    <row r="12831">
      <c r="A12831" s="4" t="s">
        <v>16145</v>
      </c>
      <c r="B12831" s="4" t="s">
        <v>16146</v>
      </c>
      <c r="C12831" s="5" t="str">
        <f>IFERROR(__xludf.DUMMYFUNCTION("GOOGLETRANSLATE(B12831,""en"",""zh-CN"")"),"一个小组正在大型领域踢足球。")</f>
        <v>一个小组正在大型领域踢足球。</v>
      </c>
    </row>
    <row r="12832">
      <c r="A12832" s="4" t="s">
        <v>16145</v>
      </c>
      <c r="B12832" s="4" t="s">
        <v>16147</v>
      </c>
      <c r="C12832" s="5" t="str">
        <f>IFERROR(__xludf.DUMMYFUNCTION("GOOGLETRANSLATE(B12832,""en"",""zh-CN"")"),"一个绿色的球突然越过五十码线。")</f>
        <v>一个绿色的球突然越过五十码线。</v>
      </c>
    </row>
    <row r="12833">
      <c r="A12833" s="4" t="s">
        <v>16145</v>
      </c>
      <c r="B12833" s="4" t="s">
        <v>16148</v>
      </c>
      <c r="C12833" s="5" t="str">
        <f>IFERROR(__xludf.DUMMYFUNCTION("GOOGLETRANSLATE(B12833,""en"",""zh-CN"")"),"它停了下来，人们退缩了。")</f>
        <v>它停了下来，人们退缩了。</v>
      </c>
    </row>
    <row r="12834">
      <c r="A12834" s="4" t="s">
        <v>16149</v>
      </c>
      <c r="B12834" s="4" t="s">
        <v>16150</v>
      </c>
      <c r="C12834" s="5" t="str">
        <f>IFERROR(__xludf.DUMMYFUNCTION("GOOGLETRANSLATE(B12834,""en"",""zh-CN"")"),"一名女体操运动员在她的教练前面装有远光灯。")</f>
        <v>一名女体操运动员在她的教练前面装有远光灯。</v>
      </c>
    </row>
    <row r="12835">
      <c r="A12835" s="4" t="s">
        <v>16149</v>
      </c>
      <c r="B12835" s="4" t="s">
        <v>16151</v>
      </c>
      <c r="C12835" s="5" t="str">
        <f>IFERROR(__xludf.DUMMYFUNCTION("GOOGLETRANSLATE(B12835,""en"",""zh-CN"")"),"她向前和向后进行了几次翻转。")</f>
        <v>她向前和向后进行了几次翻转。</v>
      </c>
    </row>
    <row r="12836">
      <c r="A12836" s="4" t="s">
        <v>16149</v>
      </c>
      <c r="B12836" s="4" t="s">
        <v>16152</v>
      </c>
      <c r="C12836" s="5" t="str">
        <f>IFERROR(__xludf.DUMMYFUNCTION("GOOGLETRANSLATE(B12836,""en"",""zh-CN"")"),"她卸下了，当她走开时，他拍了拍。")</f>
        <v>她卸下了，当她走开时，他拍了拍。</v>
      </c>
    </row>
    <row r="12837">
      <c r="A12837" s="4" t="s">
        <v>16153</v>
      </c>
      <c r="B12837" s="4" t="s">
        <v>16154</v>
      </c>
      <c r="C12837" s="5" t="str">
        <f>IFERROR(__xludf.DUMMYFUNCTION("GOOGLETRANSLATE(B12837,""en"",""zh-CN"")"),"一个男人躺在床下的床上。")</f>
        <v>一个男人躺在床下的床上。</v>
      </c>
    </row>
    <row r="12838">
      <c r="A12838" s="4" t="s">
        <v>16153</v>
      </c>
      <c r="B12838" s="4" t="s">
        <v>16155</v>
      </c>
      <c r="C12838" s="5" t="str">
        <f>IFERROR(__xludf.DUMMYFUNCTION("GOOGLETRANSLATE(B12838,""en"",""zh-CN"")"),"他坐在床的边缘，刮擦胡须。")</f>
        <v>他坐在床的边缘，刮擦胡须。</v>
      </c>
    </row>
    <row r="12839">
      <c r="A12839" s="4" t="s">
        <v>16153</v>
      </c>
      <c r="B12839" s="4" t="s">
        <v>16156</v>
      </c>
      <c r="C12839" s="5" t="str">
        <f>IFERROR(__xludf.DUMMYFUNCTION("GOOGLETRANSLATE(B12839,""en"",""zh-CN"")"),"然后，他凝视着桌子上的剃须刀，把它捡起来。")</f>
        <v>然后，他凝视着桌子上的剃须刀，把它捡起来。</v>
      </c>
    </row>
    <row r="12840">
      <c r="A12840" s="4" t="s">
        <v>16153</v>
      </c>
      <c r="B12840" s="6" t="s">
        <v>16157</v>
      </c>
      <c r="C12840" s="5" t="str">
        <f>IFERROR(__xludf.DUMMYFUNCTION("GOOGLETRANSLATE(B12840,""en"",""zh-CN"")"),"该男子剃光了他的熊，在躺在床上躺在床上，抚摸着装满胡须头发的袋子。")</f>
        <v>该男子剃光了他的熊，在躺在床上躺在床上，抚摸着装满胡须头发的袋子。</v>
      </c>
    </row>
    <row r="12841">
      <c r="A12841" s="4" t="s">
        <v>16158</v>
      </c>
      <c r="B12841" s="4" t="s">
        <v>16159</v>
      </c>
      <c r="C12841" s="5" t="str">
        <f>IFERROR(__xludf.DUMMYFUNCTION("GOOGLETRANSLATE(B12841,""en"",""zh-CN"")"),"看到一大批人在街上奔跑，许多人看着侧面。")</f>
        <v>看到一大批人在街上奔跑，许多人看着侧面。</v>
      </c>
    </row>
    <row r="12842">
      <c r="A12842" s="4" t="s">
        <v>16158</v>
      </c>
      <c r="B12842" s="4" t="s">
        <v>16160</v>
      </c>
      <c r="C12842" s="5" t="str">
        <f>IFERROR(__xludf.DUMMYFUNCTION("GOOGLETRANSLATE(B12842,""en"",""zh-CN"")"),"看到几个人在摄像机上说话，因为显示了更多的人奔跑的人。")</f>
        <v>看到几个人在摄像机上说话，因为显示了更多的人奔跑的人。</v>
      </c>
    </row>
    <row r="12843">
      <c r="A12843" s="4" t="s">
        <v>16158</v>
      </c>
      <c r="B12843" s="4" t="s">
        <v>16161</v>
      </c>
      <c r="C12843" s="5" t="str">
        <f>IFERROR(__xludf.DUMMYFUNCTION("GOOGLETRANSLATE(B12843,""en"",""zh-CN"")"),"人们在侧面和游行乐队演奏和人们仍在奔跑的情况下为其他人加油。")</f>
        <v>人们在侧面和游行乐队演奏和人们仍在奔跑的情况下为其他人加油。</v>
      </c>
    </row>
    <row r="12844">
      <c r="A12844" s="4" t="s">
        <v>16162</v>
      </c>
      <c r="B12844" s="4" t="s">
        <v>16163</v>
      </c>
      <c r="C12844" s="5" t="str">
        <f>IFERROR(__xludf.DUMMYFUNCTION("GOOGLETRANSLATE(B12844,""en"",""zh-CN"")"),"显示一个女孩看着几张发型的照片，并导致另一个剪发。")</f>
        <v>显示一个女孩看着几张发型的照片，并导致另一个剪发。</v>
      </c>
    </row>
    <row r="12845">
      <c r="A12845" s="4" t="s">
        <v>16162</v>
      </c>
      <c r="B12845" s="4" t="s">
        <v>16164</v>
      </c>
      <c r="C12845" s="5" t="str">
        <f>IFERROR(__xludf.DUMMYFUNCTION("GOOGLETRANSLATE(B12845,""en"",""zh-CN"")"),"孩子们耐心地坐着毛巾坐在她的头上，与镜头说话。")</f>
        <v>孩子们耐心地坐着毛巾坐在她的头上，与镜头说话。</v>
      </c>
    </row>
    <row r="12846">
      <c r="A12846" s="4" t="s">
        <v>16162</v>
      </c>
      <c r="B12846" s="4" t="s">
        <v>16165</v>
      </c>
      <c r="C12846" s="5" t="str">
        <f>IFERROR(__xludf.DUMMYFUNCTION("GOOGLETRANSLATE(B12846,""en"",""zh-CN"")"),"显示了一条金鱼，然后是一个男人剪和造型头发。")</f>
        <v>显示了一条金鱼，然后是一个男人剪和造型头发。</v>
      </c>
    </row>
    <row r="12847">
      <c r="A12847" s="4" t="s">
        <v>16162</v>
      </c>
      <c r="B12847" s="4" t="s">
        <v>16166</v>
      </c>
      <c r="C12847" s="5" t="str">
        <f>IFERROR(__xludf.DUMMYFUNCTION("GOOGLETRANSLATE(B12847,""en"",""zh-CN"")"),"该男子剪了女孩的头发，并将其塑造成可爱的外观。")</f>
        <v>该男子剪了女孩的头发，并将其塑造成可爱的外观。</v>
      </c>
    </row>
    <row r="12848">
      <c r="A12848" s="4" t="s">
        <v>16162</v>
      </c>
      <c r="B12848" s="4" t="s">
        <v>16167</v>
      </c>
      <c r="C12848" s="5" t="str">
        <f>IFERROR(__xludf.DUMMYFUNCTION("GOOGLETRANSLATE(B12848,""en"",""zh-CN"")"),"那个女孩微笑着让美发沙龙看起来很开心。")</f>
        <v>那个女孩微笑着让美发沙龙看起来很开心。</v>
      </c>
    </row>
    <row r="12849">
      <c r="A12849" s="4" t="s">
        <v>16168</v>
      </c>
      <c r="B12849" s="4" t="s">
        <v>16169</v>
      </c>
      <c r="C12849" s="5" t="str">
        <f>IFERROR(__xludf.DUMMYFUNCTION("GOOGLETRANSLATE(B12849,""en"",""zh-CN"")"),"一个人在相机上说话，同时显示地面上的各种工具。")</f>
        <v>一个人在相机上说话，同时显示地面上的各种工具。</v>
      </c>
    </row>
    <row r="12850">
      <c r="A12850" s="4" t="s">
        <v>16168</v>
      </c>
      <c r="B12850" s="4" t="s">
        <v>16170</v>
      </c>
      <c r="C12850" s="5" t="str">
        <f>IFERROR(__xludf.DUMMYFUNCTION("GOOGLETRANSLATE(B12850,""en"",""zh-CN"")"),"一个人将物体放在轮胎前移动汽车。")</f>
        <v>一个人将物体放在轮胎前移动汽车。</v>
      </c>
    </row>
    <row r="12851">
      <c r="A12851" s="4" t="s">
        <v>16168</v>
      </c>
      <c r="B12851" s="4" t="s">
        <v>16171</v>
      </c>
      <c r="C12851" s="5" t="str">
        <f>IFERROR(__xludf.DUMMYFUNCTION("GOOGLETRANSLATE(B12851,""en"",""zh-CN"")"),"一个人将汽车驾驶到物体上移动。")</f>
        <v>一个人将汽车驾驶到物体上移动。</v>
      </c>
    </row>
    <row r="12852">
      <c r="A12852" s="4" t="s">
        <v>16168</v>
      </c>
      <c r="B12852" s="4" t="s">
        <v>16172</v>
      </c>
      <c r="C12852" s="5" t="str">
        <f>IFERROR(__xludf.DUMMYFUNCTION("GOOGLETRANSLATE(B12852,""en"",""zh-CN"")"),"轮胎现在坐在物体的顶部，它们将其脱掉。")</f>
        <v>轮胎现在坐在物体的顶部，它们将其脱掉。</v>
      </c>
    </row>
    <row r="12853">
      <c r="A12853" s="4" t="s">
        <v>16168</v>
      </c>
      <c r="B12853" s="4" t="s">
        <v>16173</v>
      </c>
      <c r="C12853" s="5" t="str">
        <f>IFERROR(__xludf.DUMMYFUNCTION("GOOGLETRANSLATE(B12853,""en"",""zh-CN"")"),"一个人拿出一辆旧自行车，谈论需要做什么。")</f>
        <v>一个人拿出一辆旧自行车，谈论需要做什么。</v>
      </c>
    </row>
    <row r="12854">
      <c r="A12854" s="4" t="s">
        <v>16174</v>
      </c>
      <c r="B12854" s="4" t="s">
        <v>16175</v>
      </c>
      <c r="C12854" s="5" t="str">
        <f>IFERROR(__xludf.DUMMYFUNCTION("GOOGLETRANSLATE(B12854,""en"",""zh-CN"")"),"该人正在伞兵。")</f>
        <v>该人正在伞兵。</v>
      </c>
    </row>
    <row r="12855">
      <c r="A12855" s="4" t="s">
        <v>16174</v>
      </c>
      <c r="B12855" s="4" t="s">
        <v>16176</v>
      </c>
      <c r="C12855" s="5" t="str">
        <f>IFERROR(__xludf.DUMMYFUNCTION("GOOGLETRANSLATE(B12855,""en"",""zh-CN"")"),"当人航行时，他开始在水上反弹。")</f>
        <v>当人航行时，他开始在水上反弹。</v>
      </c>
    </row>
    <row r="12856">
      <c r="A12856" s="4" t="s">
        <v>16174</v>
      </c>
      <c r="B12856" s="4" t="s">
        <v>16177</v>
      </c>
      <c r="C12856" s="5" t="str">
        <f>IFERROR(__xludf.DUMMYFUNCTION("GOOGLETRANSLATE(B12856,""en"",""zh-CN"")"),"这个人操纵帆转身。")</f>
        <v>这个人操纵帆转身。</v>
      </c>
    </row>
    <row r="12857">
      <c r="A12857" s="4" t="s">
        <v>16178</v>
      </c>
      <c r="B12857" s="4" t="s">
        <v>16179</v>
      </c>
      <c r="C12857" s="5" t="str">
        <f>IFERROR(__xludf.DUMMYFUNCTION("GOOGLETRANSLATE(B12857,""en"",""zh-CN"")"),"女人在舞台上跳舞。")</f>
        <v>女人在舞台上跳舞。</v>
      </c>
    </row>
    <row r="12858">
      <c r="A12858" s="4" t="s">
        <v>16178</v>
      </c>
      <c r="B12858" s="4" t="s">
        <v>16180</v>
      </c>
      <c r="C12858" s="5" t="str">
        <f>IFERROR(__xludf.DUMMYFUNCTION("GOOGLETRANSLATE(B12858,""en"",""zh-CN"")"),"女人在身后挥舞着旗帜。")</f>
        <v>女人在身后挥舞着旗帜。</v>
      </c>
    </row>
    <row r="12859">
      <c r="A12859" s="4" t="s">
        <v>16178</v>
      </c>
      <c r="B12859" s="4" t="s">
        <v>16181</v>
      </c>
      <c r="C12859" s="5" t="str">
        <f>IFERROR(__xludf.DUMMYFUNCTION("GOOGLETRANSLATE(B12859,""en"",""zh-CN"")"),"一个女人在舞台中间进行肚皮舞。")</f>
        <v>一个女人在舞台中间进行肚皮舞。</v>
      </c>
    </row>
    <row r="12860">
      <c r="A12860" s="4" t="s">
        <v>16182</v>
      </c>
      <c r="B12860" s="6" t="s">
        <v>16183</v>
      </c>
      <c r="C12860" s="5" t="str">
        <f>IFERROR(__xludf.DUMMYFUNCTION("GOOGLETRANSLATE(B12860,""en"",""zh-CN"")"),"该视频始于人们欢呼的人的照片以及站在沙坑上的几张玩家的照片。")</f>
        <v>该视频始于人们欢呼的人的照片以及站在沙坑上的几张玩家的照片。</v>
      </c>
    </row>
    <row r="12861">
      <c r="A12861" s="4" t="s">
        <v>16182</v>
      </c>
      <c r="B12861" s="6" t="s">
        <v>16184</v>
      </c>
      <c r="C12861" s="5" t="str">
        <f>IFERROR(__xludf.DUMMYFUNCTION("GOOGLETRANSLATE(B12861,""en"",""zh-CN"")"),"当相机显示出足球比赛的各种剪辑时，人们看到人群在浪潮中继续欢呼。")</f>
        <v>当相机显示出足球比赛的各种剪辑时，人们看到人群在浪潮中继续欢呼。</v>
      </c>
    </row>
    <row r="12862">
      <c r="A12862" s="4" t="s">
        <v>16185</v>
      </c>
      <c r="B12862" s="4" t="s">
        <v>16186</v>
      </c>
      <c r="C12862" s="5" t="str">
        <f>IFERROR(__xludf.DUMMYFUNCTION("GOOGLETRANSLATE(B12862,""en"",""zh-CN"")"),"一个男孩来回摆动。")</f>
        <v>一个男孩来回摆动。</v>
      </c>
    </row>
    <row r="12863">
      <c r="A12863" s="4" t="s">
        <v>16185</v>
      </c>
      <c r="B12863" s="4" t="s">
        <v>16187</v>
      </c>
      <c r="C12863" s="5" t="str">
        <f>IFERROR(__xludf.DUMMYFUNCTION("GOOGLETRANSLATE(B12863,""en"",""zh-CN"")"),"然后，男孩跌倒在他的脸上，哭了。")</f>
        <v>然后，男孩跌倒在他的脸上，哭了。</v>
      </c>
    </row>
    <row r="12864">
      <c r="A12864" s="4" t="s">
        <v>16188</v>
      </c>
      <c r="B12864" s="4" t="s">
        <v>16189</v>
      </c>
      <c r="C12864" s="5" t="str">
        <f>IFERROR(__xludf.DUMMYFUNCTION("GOOGLETRANSLATE(B12864,""en"",""zh-CN"")"),"一个穿着蓝色短裤的女人伸出一个男人的飞镖。")</f>
        <v>一个穿着蓝色短裤的女人伸出一个男人的飞镖。</v>
      </c>
    </row>
    <row r="12865">
      <c r="A12865" s="4" t="s">
        <v>16188</v>
      </c>
      <c r="B12865" s="4" t="s">
        <v>16190</v>
      </c>
      <c r="C12865" s="5" t="str">
        <f>IFERROR(__xludf.DUMMYFUNCTION("GOOGLETRANSLATE(B12865,""en"",""zh-CN"")"),"一个戴着白帽子的男人向木板投掷飞镖。")</f>
        <v>一个戴着白帽子的男人向木板投掷飞镖。</v>
      </c>
    </row>
    <row r="12866">
      <c r="A12866" s="4" t="s">
        <v>16188</v>
      </c>
      <c r="B12866" s="4" t="s">
        <v>16191</v>
      </c>
      <c r="C12866" s="5" t="str">
        <f>IFERROR(__xludf.DUMMYFUNCTION("GOOGLETRANSLATE(B12866,""en"",""zh-CN"")"),"女人走到董事会上。")</f>
        <v>女人走到董事会上。</v>
      </c>
    </row>
    <row r="12867">
      <c r="A12867" s="4" t="s">
        <v>16192</v>
      </c>
      <c r="B12867" s="4" t="s">
        <v>16193</v>
      </c>
      <c r="C12867" s="5" t="str">
        <f>IFERROR(__xludf.DUMMYFUNCTION("GOOGLETRANSLATE(B12867,""en"",""zh-CN"")"),"一个男人正在拖车的背面工作。")</f>
        <v>一个男人正在拖车的背面工作。</v>
      </c>
    </row>
    <row r="12868">
      <c r="A12868" s="4" t="s">
        <v>16192</v>
      </c>
      <c r="B12868" s="4" t="s">
        <v>16194</v>
      </c>
      <c r="C12868" s="5" t="str">
        <f>IFERROR(__xludf.DUMMYFUNCTION("GOOGLETRANSLATE(B12868,""en"",""zh-CN"")"),"他正在焊接两块木头之间的金属。")</f>
        <v>他正在焊接两块木头之间的金属。</v>
      </c>
    </row>
    <row r="12869">
      <c r="A12869" s="4" t="s">
        <v>16192</v>
      </c>
      <c r="B12869" s="4" t="s">
        <v>16195</v>
      </c>
      <c r="C12869" s="5" t="str">
        <f>IFERROR(__xludf.DUMMYFUNCTION("GOOGLETRANSLATE(B12869,""en"",""zh-CN"")"),"火花在他工作时飞翔，蹲在人行道上。")</f>
        <v>火花在他工作时飞翔，蹲在人行道上。</v>
      </c>
    </row>
    <row r="12870">
      <c r="A12870" s="4" t="s">
        <v>16196</v>
      </c>
      <c r="B12870" s="4" t="s">
        <v>16197</v>
      </c>
      <c r="C12870" s="5" t="str">
        <f>IFERROR(__xludf.DUMMYFUNCTION("GOOGLETRANSLATE(B12870,""en"",""zh-CN"")"),"一个穿着厨师服装的男人在拿着土豆时在厨房里聊天。")</f>
        <v>一个穿着厨师服装的男人在拿着土豆时在厨房里聊天。</v>
      </c>
    </row>
    <row r="12871">
      <c r="A12871" s="4" t="s">
        <v>16196</v>
      </c>
      <c r="B12871" s="4" t="s">
        <v>16198</v>
      </c>
      <c r="C12871" s="5" t="str">
        <f>IFERROR(__xludf.DUMMYFUNCTION("GOOGLETRANSLATE(B12871,""en"",""zh-CN"")"),"当他用工具将土豆剥离时，一个男人在他身后工作。")</f>
        <v>当他用工具将土豆剥离时，一个男人在他身后工作。</v>
      </c>
    </row>
    <row r="12872">
      <c r="A12872" s="4" t="s">
        <v>16196</v>
      </c>
      <c r="B12872" s="4" t="s">
        <v>16199</v>
      </c>
      <c r="C12872" s="5" t="str">
        <f>IFERROR(__xludf.DUMMYFUNCTION("GOOGLETRANSLATE(B12872,""en"",""zh-CN"")"),"他非常快地剥离，几秒钟就完成了。")</f>
        <v>他非常快地剥离，几秒钟就完成了。</v>
      </c>
    </row>
    <row r="12873">
      <c r="A12873" s="4" t="s">
        <v>16200</v>
      </c>
      <c r="B12873" s="4" t="s">
        <v>16201</v>
      </c>
      <c r="C12873" s="5" t="str">
        <f>IFERROR(__xludf.DUMMYFUNCTION("GOOGLETRANSLATE(B12873,""en"",""zh-CN"")"),"首先显示了不同种类的泳池球。")</f>
        <v>首先显示了不同种类的泳池球。</v>
      </c>
    </row>
    <row r="12874">
      <c r="A12874" s="4" t="s">
        <v>16200</v>
      </c>
      <c r="B12874" s="4" t="s">
        <v>16202</v>
      </c>
      <c r="C12874" s="5" t="str">
        <f>IFERROR(__xludf.DUMMYFUNCTION("GOOGLETRANSLATE(B12874,""en"",""zh-CN"")"),"然后，男孩开始用球独自打球。")</f>
        <v>然后，男孩开始用球独自打球。</v>
      </c>
    </row>
    <row r="12875">
      <c r="A12875" s="4" t="s">
        <v>16203</v>
      </c>
      <c r="B12875" s="4" t="s">
        <v>16204</v>
      </c>
      <c r="C12875" s="5" t="str">
        <f>IFERROR(__xludf.DUMMYFUNCTION("GOOGLETRANSLATE(B12875,""en"",""zh-CN"")"),"在德比活动期间，在体育场里有几辆骑师骑马马。")</f>
        <v>在德比活动期间，在体育场里有几辆骑师骑马马。</v>
      </c>
    </row>
    <row r="12876">
      <c r="A12876" s="4" t="s">
        <v>16203</v>
      </c>
      <c r="B12876" s="4" t="s">
        <v>16205</v>
      </c>
      <c r="C12876" s="5" t="str">
        <f>IFERROR(__xludf.DUMMYFUNCTION("GOOGLETRANSLATE(B12876,""en"",""zh-CN"")"),"当他们用草帽和雨伞站立时，人群大声欢呼。")</f>
        <v>当他们用草帽和雨伞站立时，人群大声欢呼。</v>
      </c>
    </row>
    <row r="12877">
      <c r="A12877" s="4" t="s">
        <v>16203</v>
      </c>
      <c r="B12877" s="4" t="s">
        <v>16206</v>
      </c>
      <c r="C12877" s="5" t="str">
        <f>IFERROR(__xludf.DUMMYFUNCTION("GOOGLETRANSLATE(B12877,""en"",""zh-CN"")"),"骑师随着棍子四处走动时，准备玩马球。")</f>
        <v>骑师随着棍子四处走动时，准备玩马球。</v>
      </c>
    </row>
    <row r="12878">
      <c r="A12878" s="4" t="s">
        <v>16203</v>
      </c>
      <c r="B12878" s="4" t="s">
        <v>16207</v>
      </c>
      <c r="C12878" s="5" t="str">
        <f>IFERROR(__xludf.DUMMYFUNCTION("GOOGLETRANSLATE(B12878,""en"",""zh-CN"")"),"一个女人在相机中大声欢呼。")</f>
        <v>一个女人在相机中大声欢呼。</v>
      </c>
    </row>
    <row r="12879">
      <c r="A12879" s="4" t="s">
        <v>16203</v>
      </c>
      <c r="B12879" s="4" t="s">
        <v>16208</v>
      </c>
      <c r="C12879" s="5" t="str">
        <f>IFERROR(__xludf.DUMMYFUNCTION("GOOGLETRANSLATE(B12879,""en"",""zh-CN"")"),"骑师在场上缓慢骑行。")</f>
        <v>骑师在场上缓慢骑行。</v>
      </c>
    </row>
    <row r="12880">
      <c r="A12880" s="4" t="s">
        <v>16209</v>
      </c>
      <c r="B12880" s="4" t="s">
        <v>16210</v>
      </c>
      <c r="C12880" s="5" t="str">
        <f>IFERROR(__xludf.DUMMYFUNCTION("GOOGLETRANSLATE(B12880,""en"",""zh-CN"")"),"男孩长曲棍球队被显示出锻炼。")</f>
        <v>男孩长曲棍球队被显示出锻炼。</v>
      </c>
    </row>
    <row r="12881">
      <c r="A12881" s="4" t="s">
        <v>16209</v>
      </c>
      <c r="B12881" s="4" t="s">
        <v>16211</v>
      </c>
      <c r="C12881" s="5" t="str">
        <f>IFERROR(__xludf.DUMMYFUNCTION("GOOGLETRANSLATE(B12881,""en"",""zh-CN"")"),"然后，他们在砾石上运行钻头。")</f>
        <v>然后，他们在砾石上运行钻头。</v>
      </c>
    </row>
    <row r="12882">
      <c r="A12882" s="4" t="s">
        <v>16209</v>
      </c>
      <c r="B12882" s="4" t="s">
        <v>16212</v>
      </c>
      <c r="C12882" s="5" t="str">
        <f>IFERROR(__xludf.DUMMYFUNCTION("GOOGLETRANSLATE(B12882,""en"",""zh-CN"")"),"接下来，该团队在场上的混战中。")</f>
        <v>接下来，该团队在场上的混战中。</v>
      </c>
    </row>
    <row r="12883">
      <c r="A12883" s="4" t="s">
        <v>16209</v>
      </c>
      <c r="B12883" s="4" t="s">
        <v>16213</v>
      </c>
      <c r="C12883" s="5" t="str">
        <f>IFERROR(__xludf.DUMMYFUNCTION("GOOGLETRANSLATE(B12883,""en"",""zh-CN"")"),"之后，他们被证明在玩实际的游戏，来回奔跑。")</f>
        <v>之后，他们被证明在玩实际的游戏，来回奔跑。</v>
      </c>
    </row>
    <row r="12884">
      <c r="A12884" s="4" t="s">
        <v>16209</v>
      </c>
      <c r="B12884" s="4" t="s">
        <v>16214</v>
      </c>
      <c r="C12884" s="5" t="str">
        <f>IFERROR(__xludf.DUMMYFUNCTION("GOOGLETRANSLATE(B12884,""en"",""zh-CN"")"),"最后，一些成员参加了专业游戏。")</f>
        <v>最后，一些成员参加了专业游戏。</v>
      </c>
    </row>
    <row r="12885">
      <c r="A12885" s="4" t="s">
        <v>16215</v>
      </c>
      <c r="B12885" s="4" t="s">
        <v>16216</v>
      </c>
      <c r="C12885" s="5" t="str">
        <f>IFERROR(__xludf.DUMMYFUNCTION("GOOGLETRANSLATE(B12885,""en"",""zh-CN"")"),"看到一个女人在水槽上弯腰，她旁边有一个小孩。")</f>
        <v>看到一个女人在水槽上弯腰，她旁边有一个小孩。</v>
      </c>
    </row>
    <row r="12886">
      <c r="A12886" s="4" t="s">
        <v>16215</v>
      </c>
      <c r="B12886" s="4" t="s">
        <v>16217</v>
      </c>
      <c r="C12886" s="5" t="str">
        <f>IFERROR(__xludf.DUMMYFUNCTION("GOOGLETRANSLATE(B12886,""en"",""zh-CN"")"),"女人和孩子将手伸到水槽下，将它们洗净。")</f>
        <v>女人和孩子将手伸到水槽下，将它们洗净。</v>
      </c>
    </row>
    <row r="12887">
      <c r="A12887" s="4" t="s">
        <v>16215</v>
      </c>
      <c r="B12887" s="4" t="s">
        <v>16218</v>
      </c>
      <c r="C12887" s="5" t="str">
        <f>IFERROR(__xludf.DUMMYFUNCTION("GOOGLETRANSLATE(B12887,""en"",""zh-CN"")"),"女人最后干了女孩的手，向她展示了涂乳液。")</f>
        <v>女人最后干了女孩的手，向她展示了涂乳液。</v>
      </c>
    </row>
    <row r="12888">
      <c r="A12888" s="4" t="s">
        <v>16219</v>
      </c>
      <c r="B12888" s="4" t="s">
        <v>1251</v>
      </c>
      <c r="C12888" s="5" t="str">
        <f>IFERROR(__xludf.DUMMYFUNCTION("GOOGLETRANSLATE(B12888,""en"",""zh-CN"")"),"显示了剪辑的信用。")</f>
        <v>显示了剪辑的信用。</v>
      </c>
    </row>
    <row r="12889">
      <c r="A12889" s="4" t="s">
        <v>16219</v>
      </c>
      <c r="B12889" s="4" t="s">
        <v>16220</v>
      </c>
      <c r="C12889" s="5" t="str">
        <f>IFERROR(__xludf.DUMMYFUNCTION("GOOGLETRANSLATE(B12889,""en"",""zh-CN"")"),"一个家伙站在剪贴板旁边的马旁边。")</f>
        <v>一个家伙站在剪贴板旁边的马旁边。</v>
      </c>
    </row>
    <row r="12890">
      <c r="A12890" s="4" t="s">
        <v>16219</v>
      </c>
      <c r="B12890" s="4" t="s">
        <v>16221</v>
      </c>
      <c r="C12890" s="5" t="str">
        <f>IFERROR(__xludf.DUMMYFUNCTION("GOOGLETRANSLATE(B12890,""en"",""zh-CN"")"),"一个家伙在马篱笆下行走。")</f>
        <v>一个家伙在马篱笆下行走。</v>
      </c>
    </row>
    <row r="12891">
      <c r="A12891" s="4" t="s">
        <v>16219</v>
      </c>
      <c r="B12891" s="4" t="s">
        <v>16222</v>
      </c>
      <c r="C12891" s="5" t="str">
        <f>IFERROR(__xludf.DUMMYFUNCTION("GOOGLETRANSLATE(B12891,""en"",""zh-CN"")"),"一个人带领马。")</f>
        <v>一个人带领马。</v>
      </c>
    </row>
    <row r="12892">
      <c r="A12892" s="4" t="s">
        <v>16219</v>
      </c>
      <c r="B12892" s="4" t="s">
        <v>16223</v>
      </c>
      <c r="C12892" s="5" t="str">
        <f>IFERROR(__xludf.DUMMYFUNCTION("GOOGLETRANSLATE(B12892,""en"",""zh-CN"")"),"那家伙坐在马上。")</f>
        <v>那家伙坐在马上。</v>
      </c>
    </row>
    <row r="12893">
      <c r="A12893" s="4" t="s">
        <v>16219</v>
      </c>
      <c r="B12893" s="4" t="s">
        <v>16224</v>
      </c>
      <c r="C12893" s="5" t="str">
        <f>IFERROR(__xludf.DUMMYFUNCTION("GOOGLETRANSLATE(B12893,""en"",""zh-CN"")"),"那个家伙拍打马，骑马。")</f>
        <v>那个家伙拍打马，骑马。</v>
      </c>
    </row>
    <row r="12894">
      <c r="A12894" s="4" t="s">
        <v>16219</v>
      </c>
      <c r="B12894" s="4" t="s">
        <v>16225</v>
      </c>
      <c r="C12894" s="5" t="str">
        <f>IFERROR(__xludf.DUMMYFUNCTION("GOOGLETRANSLATE(B12894,""en"",""zh-CN"")"),"人们骑马沿着一条小径。")</f>
        <v>人们骑马沿着一条小径。</v>
      </c>
    </row>
    <row r="12895">
      <c r="A12895" s="4" t="s">
        <v>16226</v>
      </c>
      <c r="B12895" s="4" t="s">
        <v>16227</v>
      </c>
      <c r="C12895" s="5" t="str">
        <f>IFERROR(__xludf.DUMMYFUNCTION("GOOGLETRANSLATE(B12895,""en"",""zh-CN"")"),"建筑物的镜头导致了一场3D男子相扑摔跤比赛。")</f>
        <v>建筑物的镜头导致了一场3D男子相扑摔跤比赛。</v>
      </c>
    </row>
    <row r="12896">
      <c r="A12896" s="4" t="s">
        <v>16226</v>
      </c>
      <c r="B12896" s="4" t="s">
        <v>16228</v>
      </c>
      <c r="C12896" s="5" t="str">
        <f>IFERROR(__xludf.DUMMYFUNCTION("GOOGLETRANSLATE(B12896,""en"",""zh-CN"")"),"游戏继续进行，角色在战斗和侧面观看裁判。")</f>
        <v>游戏继续进行，角色在战斗和侧面观看裁判。</v>
      </c>
    </row>
    <row r="12897">
      <c r="A12897" s="4" t="s">
        <v>16226</v>
      </c>
      <c r="B12897" s="4" t="s">
        <v>16229</v>
      </c>
      <c r="C12897" s="5" t="str">
        <f>IFERROR(__xludf.DUMMYFUNCTION("GOOGLETRANSLATE(B12897,""en"",""zh-CN"")"),"游戏结束并显示了更多人的相扑摔跤和指向的图片。")</f>
        <v>游戏结束并显示了更多人的相扑摔跤和指向的图片。</v>
      </c>
    </row>
    <row r="12898">
      <c r="A12898" s="4" t="s">
        <v>16230</v>
      </c>
      <c r="B12898" s="4" t="s">
        <v>16231</v>
      </c>
      <c r="C12898" s="5" t="str">
        <f>IFERROR(__xludf.DUMMYFUNCTION("GOOGLETRANSLATE(B12898,""en"",""zh-CN"")"),"红色，白色和黑色介绍具有徽标，单词和字母W2K15。")</f>
        <v>红色，白色和黑色介绍具有徽标，单词和字母W2K15。</v>
      </c>
    </row>
    <row r="12899">
      <c r="A12899" s="4" t="s">
        <v>16230</v>
      </c>
      <c r="B12899" s="6" t="s">
        <v>16232</v>
      </c>
      <c r="C12899" s="5" t="str">
        <f>IFERROR(__xludf.DUMMYFUNCTION("GOOGLETRANSLATE(B12899,""en"",""zh-CN"")"),"视频游戏开始了，有3个角色与1个角色，他们在溜冰场上摔跤，表演了许多技巧，例如勒死，击中，撞上角色以使它们跌倒或捡起它们，然后将它们撞到地面时裁判站在角落里。")</f>
        <v>视频游戏开始了，有3个角色与1个角色，他们在溜冰场上摔跤，表演了许多技巧，例如勒死，击中，撞上角色以使它们跌倒或捡起它们，然后将它们撞到地面时裁判站在角落里。</v>
      </c>
    </row>
    <row r="12900">
      <c r="A12900" s="4" t="s">
        <v>16230</v>
      </c>
      <c r="B12900" s="6" t="s">
        <v>16233</v>
      </c>
      <c r="C12900" s="5" t="str">
        <f>IFERROR(__xludf.DUMMYFUNCTION("GOOGLETRANSLATE(B12900,""en"",""zh-CN"")"),"一场新的回合始于不同的角色摔跤，裁判员试图阻止他们，但其中一个角色挑选了裁判，然后将他猛撞到他在那里躺在那里几秒钟的地面上。")</f>
        <v>一场新的回合始于不同的角色摔跤，裁判员试图阻止他们，但其中一个角色挑选了裁判，然后将他猛撞到他在那里躺在那里几秒钟的地面上。</v>
      </c>
    </row>
    <row r="12901">
      <c r="A12901" s="4" t="s">
        <v>16230</v>
      </c>
      <c r="B12901" s="6" t="s">
        <v>16234</v>
      </c>
      <c r="C12901" s="5" t="str">
        <f>IFERROR(__xludf.DUMMYFUNCTION("GOOGLETRANSLATE(B12901,""en"",""zh-CN"")"),"裁判站起来，然后从溜冰场中踢出一个角色，然后他掉到地上，将手敲打在溜冰场上，结束了摔跤比赛。")</f>
        <v>裁判站起来，然后从溜冰场中踢出一个角色，然后他掉到地上，将手敲打在溜冰场上，结束了摔跤比赛。</v>
      </c>
    </row>
    <row r="12902">
      <c r="A12902" s="4" t="s">
        <v>16230</v>
      </c>
      <c r="B12902" s="4" t="s">
        <v>16235</v>
      </c>
      <c r="C12902" s="5" t="str">
        <f>IFERROR(__xludf.DUMMYFUNCTION("GOOGLETRANSLATE(B12902,""en"",""zh-CN"")"),"Outro视频开始，与介绍视频相同。")</f>
        <v>Outro视频开始，与介绍视频相同。</v>
      </c>
    </row>
    <row r="12903">
      <c r="A12903" s="4" t="s">
        <v>16236</v>
      </c>
      <c r="B12903" s="4" t="s">
        <v>16237</v>
      </c>
      <c r="C12903" s="5" t="str">
        <f>IFERROR(__xludf.DUMMYFUNCTION("GOOGLETRANSLATE(B12903,""en"",""zh-CN"")"),"标语“重新发明厨房”的“厨房”的徽标短暂出现。")</f>
        <v>标语“重新发明厨房”的“厨房”的徽标短暂出现。</v>
      </c>
    </row>
    <row r="12904">
      <c r="A12904" s="4" t="s">
        <v>16236</v>
      </c>
      <c r="B12904" s="4" t="s">
        <v>16238</v>
      </c>
      <c r="C12904" s="5" t="str">
        <f>IFERROR(__xludf.DUMMYFUNCTION("GOOGLETRANSLATE(B12904,""en"",""zh-CN"")"),"场景是由女演讲者讲述的。")</f>
        <v>场景是由女演讲者讲述的。</v>
      </c>
    </row>
    <row r="12905">
      <c r="A12905" s="4" t="s">
        <v>16236</v>
      </c>
      <c r="B12905" s="6" t="s">
        <v>16239</v>
      </c>
      <c r="C12905" s="5" t="str">
        <f>IFERROR(__xludf.DUMMYFUNCTION("GOOGLETRANSLATE(B12905,""en"",""zh-CN"")"),"一个金色头发的女人准备一个水槽洗碗台，上面有一个悬挂的水槽和金属通道上方的干燥杆。")</f>
        <v>一个金色头发的女人准备一个水槽洗碗台，上面有一个悬挂的水槽和金属通道上方的干燥杆。</v>
      </c>
    </row>
    <row r="12906">
      <c r="A12906" s="4" t="s">
        <v>16236</v>
      </c>
      <c r="B12906" s="4" t="s">
        <v>16240</v>
      </c>
      <c r="C12906" s="5" t="str">
        <f>IFERROR(__xludf.DUMMYFUNCTION("GOOGLETRANSLATE(B12906,""en"",""zh-CN"")"),"女人洗脸，盘子和刀子，然后将每个都放在架子上干燥。")</f>
        <v>女人洗脸，盘子和刀子，然后将每个都放在架子上干燥。</v>
      </c>
    </row>
    <row r="12907">
      <c r="A12907" s="4" t="s">
        <v>16236</v>
      </c>
      <c r="B12907" s="6" t="s">
        <v>16241</v>
      </c>
      <c r="C12907" s="5" t="str">
        <f>IFERROR(__xludf.DUMMYFUNCTION("GOOGLETRANSLATE(B12907,""en"",""zh-CN"")"),"女人通过拉动悬挂水槽的插头来结束，从而使水在下面的通道中流出。")</f>
        <v>女人通过拉动悬挂水槽的插头来结束，从而使水在下面的通道中流出。</v>
      </c>
    </row>
    <row r="12908">
      <c r="A12908" s="4" t="s">
        <v>16236</v>
      </c>
      <c r="B12908" s="4" t="s">
        <v>16242</v>
      </c>
      <c r="C12908" s="5" t="str">
        <f>IFERROR(__xludf.DUMMYFUNCTION("GOOGLETRANSLATE(B12908,""en"",""zh-CN"")"),"“厨房”徽标再次出现。")</f>
        <v>“厨房”徽标再次出现。</v>
      </c>
    </row>
    <row r="12909">
      <c r="A12909" s="4" t="s">
        <v>16243</v>
      </c>
      <c r="B12909" s="4" t="s">
        <v>16244</v>
      </c>
      <c r="C12909" s="5" t="str">
        <f>IFERROR(__xludf.DUMMYFUNCTION("GOOGLETRANSLATE(B12909,""en"",""zh-CN"")"),"女人在新闻中与镜头谈论手动防晒霜。")</f>
        <v>女人在新闻中与镜头谈论手动防晒霜。</v>
      </c>
    </row>
    <row r="12910">
      <c r="A12910" s="4" t="s">
        <v>16243</v>
      </c>
      <c r="B12910" s="6" t="s">
        <v>16245</v>
      </c>
      <c r="C12910" s="5" t="str">
        <f>IFERROR(__xludf.DUMMYFUNCTION("GOOGLETRANSLATE(B12910,""en"",""zh-CN"")"),"女人正在拿着防晒管，将其放在手臂，手和脸上，在工作室里的女人会谈论自然的防晒霜。")</f>
        <v>女人正在拿着防晒管，将其放在手臂，手和脸上，在工作室里的女人会谈论自然的防晒霜。</v>
      </c>
    </row>
    <row r="12911">
      <c r="A12911" s="4" t="s">
        <v>16246</v>
      </c>
      <c r="B12911" s="6" t="s">
        <v>16247</v>
      </c>
      <c r="C12911" s="5" t="str">
        <f>IFERROR(__xludf.DUMMYFUNCTION("GOOGLETRANSLATE(B12911,""en"",""zh-CN"")"),"文本介绍会导致南瓜和工具，然后是一个雕刻南瓜的工具。")</f>
        <v>文本介绍会导致南瓜和工具，然后是一个雕刻南瓜的工具。</v>
      </c>
    </row>
    <row r="12912">
      <c r="A12912" s="4" t="s">
        <v>16246</v>
      </c>
      <c r="B12912" s="4" t="s">
        <v>16248</v>
      </c>
      <c r="C12912" s="5" t="str">
        <f>IFERROR(__xludf.DUMMYFUNCTION("GOOGLETRANSLATE(B12912,""en"",""zh-CN"")"),"该男子在快速移动的同时，在南瓜的前面绘制并切开。")</f>
        <v>该男子在快速移动的同时，在南瓜的前面绘制并切开。</v>
      </c>
    </row>
    <row r="12913">
      <c r="A12913" s="4" t="s">
        <v>16246</v>
      </c>
      <c r="B12913" s="4" t="s">
        <v>16249</v>
      </c>
      <c r="C12913" s="5" t="str">
        <f>IFERROR(__xludf.DUMMYFUNCTION("GOOGLETRANSLATE(B12913,""en"",""zh-CN"")"),"该名男子完成了他的南瓜，相机到处都是侧面。")</f>
        <v>该名男子完成了他的南瓜，相机到处都是侧面。</v>
      </c>
    </row>
    <row r="12914">
      <c r="A12914" s="4" t="s">
        <v>16250</v>
      </c>
      <c r="B12914" s="4" t="s">
        <v>16251</v>
      </c>
      <c r="C12914" s="5" t="str">
        <f>IFERROR(__xludf.DUMMYFUNCTION("GOOGLETRANSLATE(B12914,""en"",""zh-CN"")"),"一个男人站在外面有油漆锅。")</f>
        <v>一个男人站在外面有油漆锅。</v>
      </c>
    </row>
    <row r="12915">
      <c r="A12915" s="4" t="s">
        <v>16250</v>
      </c>
      <c r="B12915" s="4" t="s">
        <v>16252</v>
      </c>
      <c r="C12915" s="5" t="str">
        <f>IFERROR(__xludf.DUMMYFUNCTION("GOOGLETRANSLATE(B12915,""en"",""zh-CN"")"),"当他演示如何绘画户外木头时，他说话。")</f>
        <v>当他演示如何绘画户外木头时，他说话。</v>
      </c>
    </row>
    <row r="12916">
      <c r="A12916" s="4" t="s">
        <v>16250</v>
      </c>
      <c r="B12916" s="4" t="s">
        <v>16253</v>
      </c>
      <c r="C12916" s="5" t="str">
        <f>IFERROR(__xludf.DUMMYFUNCTION("GOOGLETRANSLATE(B12916,""en"",""zh-CN"")"),"他炫耀了油漆滚筒。")</f>
        <v>他炫耀了油漆滚筒。</v>
      </c>
    </row>
    <row r="12917">
      <c r="A12917" s="4" t="s">
        <v>16250</v>
      </c>
      <c r="B12917" s="4" t="s">
        <v>16254</v>
      </c>
      <c r="C12917" s="5" t="str">
        <f>IFERROR(__xludf.DUMMYFUNCTION("GOOGLETRANSLATE(B12917,""en"",""zh-CN"")"),"他继续谈论这个过程。")</f>
        <v>他继续谈论这个过程。</v>
      </c>
    </row>
    <row r="12918">
      <c r="A12918" s="4" t="s">
        <v>16255</v>
      </c>
      <c r="B12918" s="4" t="s">
        <v>16256</v>
      </c>
      <c r="C12918" s="5" t="str">
        <f>IFERROR(__xludf.DUMMYFUNCTION("GOOGLETRANSLATE(B12918,""en"",""zh-CN"")"),"一个人站在水上滑雪上时，他正抓住酒吧。")</f>
        <v>一个人站在水上滑雪上时，他正抓住酒吧。</v>
      </c>
    </row>
    <row r="12919">
      <c r="A12919" s="4" t="s">
        <v>16255</v>
      </c>
      <c r="B12919" s="4" t="s">
        <v>16257</v>
      </c>
      <c r="C12919" s="5" t="str">
        <f>IFERROR(__xludf.DUMMYFUNCTION("GOOGLETRANSLATE(B12919,""en"",""zh-CN"")"),"他被摩托艇拉入水中。")</f>
        <v>他被摩托艇拉入水中。</v>
      </c>
    </row>
    <row r="12920">
      <c r="A12920" s="4" t="s">
        <v>16255</v>
      </c>
      <c r="B12920" s="4" t="s">
        <v>16258</v>
      </c>
      <c r="C12920" s="5" t="str">
        <f>IFERROR(__xludf.DUMMYFUNCTION("GOOGLETRANSLATE(B12920,""en"",""zh-CN"")"),"他在一个长湖上滑水，试图保持直立。")</f>
        <v>他在一个长湖上滑水，试图保持直立。</v>
      </c>
    </row>
    <row r="12921">
      <c r="A12921" s="4" t="s">
        <v>16259</v>
      </c>
      <c r="B12921" s="4" t="s">
        <v>16260</v>
      </c>
      <c r="C12921" s="5" t="str">
        <f>IFERROR(__xludf.DUMMYFUNCTION("GOOGLETRANSLATE(B12921,""en"",""zh-CN"")"),"一个浴袍的女人面对镜子，清洁了她的手。")</f>
        <v>一个浴袍的女人面对镜子，清洁了她的手。</v>
      </c>
    </row>
    <row r="12922">
      <c r="A12922" s="4" t="s">
        <v>16259</v>
      </c>
      <c r="B12922" s="4" t="s">
        <v>16261</v>
      </c>
      <c r="C12922" s="5" t="str">
        <f>IFERROR(__xludf.DUMMYFUNCTION("GOOGLETRANSLATE(B12922,""en"",""zh-CN"")"),"摄像机切入了手指的特写场景，拿起隐形眼镜并抬起它。")</f>
        <v>摄像机切入了手指的特写场景，拿起隐形眼镜并抬起它。</v>
      </c>
    </row>
    <row r="12923">
      <c r="A12923" s="4" t="s">
        <v>16259</v>
      </c>
      <c r="B12923" s="4" t="s">
        <v>16262</v>
      </c>
      <c r="C12923" s="5" t="str">
        <f>IFERROR(__xludf.DUMMYFUNCTION("GOOGLETRANSLATE(B12923,""en"",""zh-CN"")"),"摄像机在返回之前短暂切开了女人的脸。")</f>
        <v>摄像机在返回之前短暂切开了女人的脸。</v>
      </c>
    </row>
    <row r="12924">
      <c r="A12924" s="4" t="s">
        <v>16259</v>
      </c>
      <c r="B12924" s="4" t="s">
        <v>16263</v>
      </c>
      <c r="C12924" s="5" t="str">
        <f>IFERROR(__xludf.DUMMYFUNCTION("GOOGLETRANSLATE(B12924,""en"",""zh-CN"")"),"女人把隐形眼镜放在她的眼睛上。")</f>
        <v>女人把隐形眼镜放在她的眼睛上。</v>
      </c>
    </row>
    <row r="12925">
      <c r="A12925" s="4" t="s">
        <v>16259</v>
      </c>
      <c r="B12925" s="4" t="s">
        <v>16264</v>
      </c>
      <c r="C12925" s="5" t="str">
        <f>IFERROR(__xludf.DUMMYFUNCTION("GOOGLETRANSLATE(B12925,""en"",""zh-CN"")"),"该女士将隐形眼镜溶液应用于她的镜头箱中。")</f>
        <v>该女士将隐形眼镜溶液应用于她的镜头箱中。</v>
      </c>
    </row>
    <row r="12926">
      <c r="A12926" s="4" t="s">
        <v>16259</v>
      </c>
      <c r="B12926" s="4" t="s">
        <v>16265</v>
      </c>
      <c r="C12926" s="5" t="str">
        <f>IFERROR(__xludf.DUMMYFUNCTION("GOOGLETRANSLATE(B12926,""en"",""zh-CN"")"),"女人洗手。")</f>
        <v>女人洗手。</v>
      </c>
    </row>
    <row r="12927">
      <c r="A12927" s="4" t="s">
        <v>16259</v>
      </c>
      <c r="B12927" s="4" t="s">
        <v>16266</v>
      </c>
      <c r="C12927" s="5" t="str">
        <f>IFERROR(__xludf.DUMMYFUNCTION("GOOGLETRANSLATE(B12927,""en"",""zh-CN"")"),"女人从她的眼睛上移开隐形眼镜。")</f>
        <v>女人从她的眼睛上移开隐形眼镜。</v>
      </c>
    </row>
    <row r="12928">
      <c r="A12928" s="4" t="s">
        <v>16259</v>
      </c>
      <c r="B12928" s="4" t="s">
        <v>16267</v>
      </c>
      <c r="C12928" s="5" t="str">
        <f>IFERROR(__xludf.DUMMYFUNCTION("GOOGLETRANSLATE(B12928,""en"",""zh-CN"")"),"女人将镜头放在她的手掌上，并使用溶液将其清洗。")</f>
        <v>女人将镜头放在她的手掌上，并使用溶液将其清洗。</v>
      </c>
    </row>
    <row r="12929">
      <c r="A12929" s="4" t="s">
        <v>16259</v>
      </c>
      <c r="B12929" s="4" t="s">
        <v>16268</v>
      </c>
      <c r="C12929" s="5" t="str">
        <f>IFERROR(__xludf.DUMMYFUNCTION("GOOGLETRANSLATE(B12929,""en"",""zh-CN"")"),"女人将镜头放入箱子中并增加解决方案。")</f>
        <v>女人将镜头放入箱子中并增加解决方案。</v>
      </c>
    </row>
    <row r="12930">
      <c r="A12930" s="4" t="s">
        <v>16259</v>
      </c>
      <c r="B12930" s="4" t="s">
        <v>16269</v>
      </c>
      <c r="C12930" s="5" t="str">
        <f>IFERROR(__xludf.DUMMYFUNCTION("GOOGLETRANSLATE(B12930,""en"",""zh-CN"")"),"女人开始离开相机框架。")</f>
        <v>女人开始离开相机框架。</v>
      </c>
    </row>
    <row r="12931">
      <c r="A12931" s="4" t="s">
        <v>16270</v>
      </c>
      <c r="B12931" s="4" t="s">
        <v>16271</v>
      </c>
      <c r="C12931" s="5" t="str">
        <f>IFERROR(__xludf.DUMMYFUNCTION("GOOGLETRANSLATE(B12931,""en"",""zh-CN"")"),"看到一个人坐在骑自行车上，然后看着轨道。")</f>
        <v>看到一个人坐在骑自行车上，然后看着轨道。</v>
      </c>
    </row>
    <row r="12932">
      <c r="A12932" s="4" t="s">
        <v>16270</v>
      </c>
      <c r="B12932" s="4" t="s">
        <v>16272</v>
      </c>
      <c r="C12932" s="5" t="str">
        <f>IFERROR(__xludf.DUMMYFUNCTION("GOOGLETRANSLATE(B12932,""en"",""zh-CN"")"),"然后，该男子开始沿着赛道骑行，其他几个人骑在前面。")</f>
        <v>然后，该男子开始沿着赛道骑行，其他几个人骑在前面。</v>
      </c>
    </row>
    <row r="12933">
      <c r="A12933" s="4" t="s">
        <v>16270</v>
      </c>
      <c r="B12933" s="4" t="s">
        <v>16273</v>
      </c>
      <c r="C12933" s="5" t="str">
        <f>IFERROR(__xludf.DUMMYFUNCTION("GOOGLETRANSLATE(B12933,""en"",""zh-CN"")"),"该人在该地区遍布整个地区，并以GO Pro徽标结​​束。")</f>
        <v>该人在该地区遍布整个地区，并以GO Pro徽标结​​束。</v>
      </c>
    </row>
    <row r="12934">
      <c r="A12934" s="4" t="s">
        <v>16274</v>
      </c>
      <c r="B12934" s="6" t="s">
        <v>16275</v>
      </c>
      <c r="C12934" s="5" t="str">
        <f>IFERROR(__xludf.DUMMYFUNCTION("GOOGLETRANSLATE(B12934,""en"",""zh-CN"")"),"一个穿着西装的男人在纽约的街道上走来走去，与另一个喜欢他的人会面。")</f>
        <v>一个穿着西装的男人在纽约的街道上走来走去，与另一个喜欢他的人会面。</v>
      </c>
    </row>
    <row r="12935">
      <c r="A12935" s="4" t="s">
        <v>16274</v>
      </c>
      <c r="B12935" s="4" t="s">
        <v>16276</v>
      </c>
      <c r="C12935" s="5" t="str">
        <f>IFERROR(__xludf.DUMMYFUNCTION("GOOGLETRANSLATE(B12935,""en"",""zh-CN"")"),"这些人比较物品，然后在中心进行舞蹈例程。")</f>
        <v>这些人比较物品，然后在中心进行舞蹈例程。</v>
      </c>
    </row>
    <row r="12936">
      <c r="A12936" s="4" t="s">
        <v>16274</v>
      </c>
      <c r="B12936" s="4" t="s">
        <v>16277</v>
      </c>
      <c r="C12936" s="5" t="str">
        <f>IFERROR(__xludf.DUMMYFUNCTION("GOOGLETRANSLATE(B12936,""en"",""zh-CN"")"),"这些人抓住了双手结束例程，然后彼此走开。")</f>
        <v>这些人抓住了双手结束例程，然后彼此走开。</v>
      </c>
    </row>
    <row r="12937">
      <c r="A12937" s="4" t="s">
        <v>16278</v>
      </c>
      <c r="B12937" s="6" t="s">
        <v>16279</v>
      </c>
      <c r="C12937" s="5" t="str">
        <f>IFERROR(__xludf.DUMMYFUNCTION("GOOGLETRANSLATE(B12937,""en"",""zh-CN"")"),"看到一名运动员向前走，一边摇着胳膊和腿，调整泳衣。")</f>
        <v>看到一名运动员向前走，一边摇着胳膊和腿，调整泳衣。</v>
      </c>
    </row>
    <row r="12938">
      <c r="A12938" s="4" t="s">
        <v>16278</v>
      </c>
      <c r="B12938" s="6" t="s">
        <v>16280</v>
      </c>
      <c r="C12938" s="5" t="str">
        <f>IFERROR(__xludf.DUMMYFUNCTION("GOOGLETRANSLATE(B12938,""en"",""zh-CN"")"),"女孩向前弯曲并向游泳池潜水，同时摄影机倒回记分牌。")</f>
        <v>女孩向前弯曲并向游泳池潜水，同时摄影机倒回记分牌。</v>
      </c>
    </row>
    <row r="12939">
      <c r="A12939" s="4" t="s">
        <v>16281</v>
      </c>
      <c r="B12939" s="4" t="s">
        <v>16282</v>
      </c>
      <c r="C12939" s="5" t="str">
        <f>IFERROR(__xludf.DUMMYFUNCTION("GOOGLETRANSLATE(B12939,""en"",""zh-CN"")"),"一个男人的脚踩在厕所上。")</f>
        <v>一个男人的脚踩在厕所上。</v>
      </c>
    </row>
    <row r="12940">
      <c r="A12940" s="4" t="s">
        <v>16281</v>
      </c>
      <c r="B12940" s="4" t="s">
        <v>16283</v>
      </c>
      <c r="C12940" s="5" t="str">
        <f>IFERROR(__xludf.DUMMYFUNCTION("GOOGLETRANSLATE(B12940,""en"",""zh-CN"")"),"他开始用剃须刀剃光腿。")</f>
        <v>他开始用剃须刀剃光腿。</v>
      </c>
    </row>
    <row r="12941">
      <c r="A12941" s="4" t="s">
        <v>16281</v>
      </c>
      <c r="B12941" s="4" t="s">
        <v>16284</v>
      </c>
      <c r="C12941" s="5" t="str">
        <f>IFERROR(__xludf.DUMMYFUNCTION("GOOGLETRANSLATE(B12941,""en"",""zh-CN"")"),"他拉起裤子，开始剃掉另一只腿。")</f>
        <v>他拉起裤子，开始剃掉另一只腿。</v>
      </c>
    </row>
    <row r="12942">
      <c r="A12942" s="4" t="s">
        <v>16285</v>
      </c>
      <c r="B12942" s="4" t="s">
        <v>16286</v>
      </c>
      <c r="C12942" s="5" t="str">
        <f>IFERROR(__xludf.DUMMYFUNCTION("GOOGLETRANSLATE(B12942,""en"",""zh-CN"")"),"一个人将一些覆盖物铲入轮桶中。")</f>
        <v>一个人将一些覆盖物铲入轮桶中。</v>
      </c>
    </row>
    <row r="12943">
      <c r="A12943" s="4" t="s">
        <v>16285</v>
      </c>
      <c r="B12943" s="6" t="s">
        <v>16287</v>
      </c>
      <c r="C12943" s="5" t="str">
        <f>IFERROR(__xludf.DUMMYFUNCTION("GOOGLETRANSLATE(B12943,""en"",""zh-CN"")"),"他将车轮桶倒了，将其倒入一堆，女人正在用耙子均匀地散布它。")</f>
        <v>他将车轮桶倒了，将其倒入一堆，女人正在用耙子均匀地散布它。</v>
      </c>
    </row>
    <row r="12944">
      <c r="A12944" s="4" t="s">
        <v>16285</v>
      </c>
      <c r="B12944" s="4" t="s">
        <v>16288</v>
      </c>
      <c r="C12944" s="5" t="str">
        <f>IFERROR(__xludf.DUMMYFUNCTION("GOOGLETRANSLATE(B12944,""en"",""zh-CN"")"),"他们继续将覆盖物的负载和一个人倾倒在一个小的污垢上。")</f>
        <v>他们继续将覆盖物的负载和一个人倾倒在一个小的污垢上。</v>
      </c>
    </row>
    <row r="12945">
      <c r="A12945" s="4" t="s">
        <v>16285</v>
      </c>
      <c r="B12945" s="4" t="s">
        <v>16289</v>
      </c>
      <c r="C12945" s="5" t="str">
        <f>IFERROR(__xludf.DUMMYFUNCTION("GOOGLETRANSLATE(B12945,""en"",""zh-CN"")"),"他骑着小鹿约翰·拖拉机（John Tractor），而其他人则继续耙开。")</f>
        <v>他骑着小鹿约翰·拖拉机（John Tractor），而其他人则继续耙开。</v>
      </c>
    </row>
    <row r="12946">
      <c r="A12946" s="4" t="s">
        <v>16290</v>
      </c>
      <c r="B12946" s="6" t="s">
        <v>16291</v>
      </c>
      <c r="C12946" s="5" t="str">
        <f>IFERROR(__xludf.DUMMYFUNCTION("GOOGLETRANSLATE(B12946,""en"",""zh-CN"")"),"看到一个人在田野里走来走去，然后在田野上射击了几枪，人们在侧面看着。")</f>
        <v>看到一个人在田野里走来走去，然后在田野上射击了几枪，人们在侧面看着。</v>
      </c>
    </row>
    <row r="12947">
      <c r="A12947" s="4" t="s">
        <v>16290</v>
      </c>
      <c r="B12947" s="4" t="s">
        <v>16292</v>
      </c>
      <c r="C12947" s="5" t="str">
        <f>IFERROR(__xludf.DUMMYFUNCTION("GOOGLETRANSLATE(B12947,""en"",""zh-CN"")"),"视频过渡到几次培训师的镜头，用菜鸟与狗一起做技巧。")</f>
        <v>视频过渡到几次培训师的镜头，用菜鸟与狗一起做技巧。</v>
      </c>
    </row>
    <row r="12948">
      <c r="A12948" s="4" t="s">
        <v>16290</v>
      </c>
      <c r="B12948" s="6" t="s">
        <v>16293</v>
      </c>
      <c r="C12948" s="5" t="str">
        <f>IFERROR(__xludf.DUMMYFUNCTION("GOOGLETRANSLATE(B12948,""en"",""zh-CN"")"),"人们不断地将飞盘扔在田野上，而狗之后追逐并在场上奔跑。")</f>
        <v>人们不断地将飞盘扔在田野上，而狗之后追逐并在场上奔跑。</v>
      </c>
    </row>
    <row r="12949">
      <c r="A12949" s="4" t="s">
        <v>16294</v>
      </c>
      <c r="B12949" s="6" t="s">
        <v>16295</v>
      </c>
      <c r="C12949" s="5" t="str">
        <f>IFERROR(__xludf.DUMMYFUNCTION("GOOGLETRANSLATE(B12949,""en"",""zh-CN"")"),"视频始于一个男人在慢速动作跟随和重复时进行各种芭蕾舞动作。")</f>
        <v>视频始于一个男人在慢速动作跟随和重复时进行各种芭蕾舞动作。</v>
      </c>
    </row>
    <row r="12950">
      <c r="A12950" s="4" t="s">
        <v>16294</v>
      </c>
      <c r="B12950" s="4" t="s">
        <v>16296</v>
      </c>
      <c r="C12950" s="5" t="str">
        <f>IFERROR(__xludf.DUMMYFUNCTION("GOOGLETRANSLATE(B12950,""en"",""zh-CN"")"),"该男子采访了相机，并导致另一个舞者执行步骤。")</f>
        <v>该男子采访了相机，并导致另一个舞者执行步骤。</v>
      </c>
    </row>
    <row r="12951">
      <c r="A12951" s="4" t="s">
        <v>16294</v>
      </c>
      <c r="B12951" s="4" t="s">
        <v>16297</v>
      </c>
      <c r="C12951" s="5" t="str">
        <f>IFERROR(__xludf.DUMMYFUNCTION("GOOGLETRANSLATE(B12951,""en"",""zh-CN"")"),"看到更多的人表演舞蹈动作并与镜头说话。")</f>
        <v>看到更多的人表演舞蹈动作并与镜头说话。</v>
      </c>
    </row>
    <row r="12952">
      <c r="A12952" s="4" t="s">
        <v>16298</v>
      </c>
      <c r="B12952" s="4" t="s">
        <v>16299</v>
      </c>
      <c r="C12952" s="5" t="str">
        <f>IFERROR(__xludf.DUMMYFUNCTION("GOOGLETRANSLATE(B12952,""en"",""zh-CN"")"),"一个人展示一件家具。")</f>
        <v>一个人展示一件家具。</v>
      </c>
    </row>
    <row r="12953">
      <c r="A12953" s="4" t="s">
        <v>16298</v>
      </c>
      <c r="B12953" s="4" t="s">
        <v>16300</v>
      </c>
      <c r="C12953" s="5" t="str">
        <f>IFERROR(__xludf.DUMMYFUNCTION("GOOGLETRANSLATE(B12953,""en"",""zh-CN"")"),"然后，该人覆盖了一个用地毯的木箱，并切断了剩菜。")</f>
        <v>然后，该人覆盖了一个用地毯的木箱，并切断了剩菜。</v>
      </c>
    </row>
    <row r="12954">
      <c r="A12954" s="4" t="s">
        <v>16298</v>
      </c>
      <c r="B12954" s="4" t="s">
        <v>16301</v>
      </c>
      <c r="C12954" s="5" t="str">
        <f>IFERROR(__xludf.DUMMYFUNCTION("GOOGLETRANSLATE(B12954,""en"",""zh-CN"")"),"然后，该人将地毯折叠在边界上，并切割不需要的零件。")</f>
        <v>然后，该人将地毯折叠在边界上，并切割不需要的零件。</v>
      </c>
    </row>
    <row r="12955">
      <c r="A12955" s="4" t="s">
        <v>16302</v>
      </c>
      <c r="B12955" s="6" t="s">
        <v>16303</v>
      </c>
      <c r="C12955" s="5" t="str">
        <f>IFERROR(__xludf.DUMMYFUNCTION("GOOGLETRANSLATE(B12955,""en"",""zh-CN"")"),"一名挑食女子站在厨房里与一个蹒跚学步的人说话，他们开始在岛上敲打拳头。")</f>
        <v>一名挑食女子站在厨房里与一个蹒跚学步的人说话，他们开始在岛上敲打拳头。</v>
      </c>
    </row>
    <row r="12956">
      <c r="A12956" s="4" t="s">
        <v>16302</v>
      </c>
      <c r="B12956" s="4" t="s">
        <v>16304</v>
      </c>
      <c r="C12956" s="5" t="str">
        <f>IFERROR(__xludf.DUMMYFUNCTION("GOOGLETRANSLATE(B12956,""en"",""zh-CN"")"),"出现红色屏幕，带有柠檬水的图片，两者重新出现。")</f>
        <v>出现红色屏幕，带有柠檬水的图片，两者重新出现。</v>
      </c>
    </row>
    <row r="12957">
      <c r="A12957" s="4" t="s">
        <v>16302</v>
      </c>
      <c r="B12957" s="4" t="s">
        <v>16305</v>
      </c>
      <c r="C12957" s="5" t="str">
        <f>IFERROR(__xludf.DUMMYFUNCTION("GOOGLETRANSLATE(B12957,""en"",""zh-CN"")"),"这位女士开始对相机充满活力。")</f>
        <v>这位女士开始对相机充满活力。</v>
      </c>
    </row>
    <row r="12958">
      <c r="A12958" s="4" t="s">
        <v>16302</v>
      </c>
      <c r="B12958" s="6" t="s">
        <v>16306</v>
      </c>
      <c r="C12958" s="5" t="str">
        <f>IFERROR(__xludf.DUMMYFUNCTION("GOOGLETRANSLATE(B12958,""en"",""zh-CN"")"),"然后，两者开始将食材倾倒到搅拌机中，从草莓开始，然后以糖浆结尾。")</f>
        <v>然后，两者开始将食材倾倒到搅拌机中，从草莓开始，然后以糖浆结尾。</v>
      </c>
    </row>
    <row r="12959">
      <c r="A12959" s="4" t="s">
        <v>16302</v>
      </c>
      <c r="B12959" s="4" t="s">
        <v>16307</v>
      </c>
      <c r="C12959" s="5" t="str">
        <f>IFERROR(__xludf.DUMMYFUNCTION("GOOGLETRANSLATE(B12959,""en"",""zh-CN"")"),"最后，幼儿在搅拌机中倒了一杯冰，那位女士将食材混合在一起。")</f>
        <v>最后，幼儿在搅拌机中倒了一杯冰，那位女士将食材混合在一起。</v>
      </c>
    </row>
    <row r="12960">
      <c r="A12960" s="4" t="s">
        <v>16302</v>
      </c>
      <c r="B12960" s="4" t="s">
        <v>16308</v>
      </c>
      <c r="C12960" s="5" t="str">
        <f>IFERROR(__xludf.DUMMYFUNCTION("GOOGLETRANSLATE(B12960,""en"",""zh-CN"")"),"完成后，那位女士抓住了两个杯子，将它们填满，他们两个一起喝酒。")</f>
        <v>完成后，那位女士抓住了两个杯子，将它们填满，他们两个一起喝酒。</v>
      </c>
    </row>
    <row r="12961">
      <c r="A12961" s="4" t="s">
        <v>16309</v>
      </c>
      <c r="B12961" s="4" t="s">
        <v>16310</v>
      </c>
      <c r="C12961" s="5" t="str">
        <f>IFERROR(__xludf.DUMMYFUNCTION("GOOGLETRANSLATE(B12961,""en"",""zh-CN"")"),"一个小男孩站在客厅里。")</f>
        <v>一个小男孩站在客厅里。</v>
      </c>
    </row>
    <row r="12962">
      <c r="A12962" s="4" t="s">
        <v>16309</v>
      </c>
      <c r="B12962" s="4" t="s">
        <v>16311</v>
      </c>
      <c r="C12962" s="5" t="str">
        <f>IFERROR(__xludf.DUMMYFUNCTION("GOOGLETRANSLATE(B12962,""en"",""zh-CN"")"),"他正在向目标投掷飞镖。")</f>
        <v>他正在向目标投掷飞镖。</v>
      </c>
    </row>
    <row r="12963">
      <c r="A12963" s="4" t="s">
        <v>16309</v>
      </c>
      <c r="B12963" s="4" t="s">
        <v>16312</v>
      </c>
      <c r="C12963" s="5" t="str">
        <f>IFERROR(__xludf.DUMMYFUNCTION("GOOGLETRANSLATE(B12963,""en"",""zh-CN"")"),"他走过去，然后再尝试飞镖。")</f>
        <v>他走过去，然后再尝试飞镖。</v>
      </c>
    </row>
    <row r="12964">
      <c r="A12964" s="4" t="s">
        <v>16313</v>
      </c>
      <c r="B12964" s="6" t="s">
        <v>16314</v>
      </c>
      <c r="C12964" s="5" t="str">
        <f>IFERROR(__xludf.DUMMYFUNCTION("GOOGLETRANSLATE(B12964,""en"",""zh-CN"")"),"表明酒精被倒入玻璃杯中，并导致一个拿着玻璃杯的女人倒入冰。")</f>
        <v>表明酒精被倒入玻璃杯中，并导致一个拿着玻璃杯的女人倒入冰。</v>
      </c>
    </row>
    <row r="12965">
      <c r="A12965" s="4" t="s">
        <v>16313</v>
      </c>
      <c r="B12965" s="6" t="s">
        <v>16315</v>
      </c>
      <c r="C12965" s="5" t="str">
        <f>IFERROR(__xludf.DUMMYFUNCTION("GOOGLETRANSLATE(B12965,""en"",""zh-CN"")"),"然后，该名女子将各种酒精混合物倒入玻璃杯中，并通过将玻璃赠送给相机结束。")</f>
        <v>然后，该名女子将各种酒精混合物倒入玻璃杯中，并通过将玻璃赠送给相机结束。</v>
      </c>
    </row>
    <row r="12966">
      <c r="A12966" s="4" t="s">
        <v>16316</v>
      </c>
      <c r="B12966" s="6" t="s">
        <v>16317</v>
      </c>
      <c r="C12966" s="5" t="str">
        <f>IFERROR(__xludf.DUMMYFUNCTION("GOOGLETRANSLATE(B12966,""en"",""zh-CN"")"),"一名美国体操运动员爬上平衡梁，她向后进行四次翻转，向前进行一次翻转。")</f>
        <v>一名美国体操运动员爬上平衡梁，她向后进行四次翻转，向前进行一次翻转。</v>
      </c>
    </row>
    <row r="12967">
      <c r="A12967" s="4" t="s">
        <v>16316</v>
      </c>
      <c r="B12967" s="6" t="s">
        <v>16318</v>
      </c>
      <c r="C12967" s="5" t="str">
        <f>IFERROR(__xludf.DUMMYFUNCTION("GOOGLETRANSLATE(B12967,""en"",""zh-CN"")"),"然后，体操运动员一次向后旋转，然后她跳了起来，向后两次翻转。")</f>
        <v>然后，体操运动员一次向后旋转，然后她跳了起来，向后两次翻转。</v>
      </c>
    </row>
    <row r="12968">
      <c r="A12968" s="4" t="s">
        <v>16316</v>
      </c>
      <c r="B12968" s="4" t="s">
        <v>16319</v>
      </c>
      <c r="C12968" s="5" t="str">
        <f>IFERROR(__xludf.DUMMYFUNCTION("GOOGLETRANSLATE(B12968,""en"",""zh-CN"")"),"体操运动员跳后，旋转并转弯。")</f>
        <v>体操运动员跳后，旋转并转弯。</v>
      </c>
    </row>
    <row r="12969">
      <c r="A12969" s="4" t="s">
        <v>16316</v>
      </c>
      <c r="B12969" s="6" t="s">
        <v>16320</v>
      </c>
      <c r="C12969" s="5" t="str">
        <f>IFERROR(__xludf.DUMMYFUNCTION("GOOGLETRANSLATE(B12969,""en"",""zh-CN"")"),"体操运动员站在光束的尽头，然后她跑步并翻转时间，末端站在垫子上。")</f>
        <v>体操运动员站在光束的尽头，然后她跑步并翻转时间，末端站在垫子上。</v>
      </c>
    </row>
    <row r="12970">
      <c r="A12970" s="4" t="s">
        <v>16316</v>
      </c>
      <c r="B12970" s="4" t="s">
        <v>16321</v>
      </c>
      <c r="C12970" s="5" t="str">
        <f>IFERROR(__xludf.DUMMYFUNCTION("GOOGLETRANSLATE(B12970,""en"",""zh-CN"")"),"之后，体操运动员举起她的手臂，她受到了人们的祝贺。")</f>
        <v>之后，体操运动员举起她的手臂，她受到了人们的祝贺。</v>
      </c>
    </row>
    <row r="12971">
      <c r="A12971" s="4" t="s">
        <v>16316</v>
      </c>
      <c r="B12971" s="4" t="s">
        <v>16322</v>
      </c>
      <c r="C12971" s="5" t="str">
        <f>IFERROR(__xludf.DUMMYFUNCTION("GOOGLETRANSLATE(B12971,""en"",""zh-CN"")"),"体操运动员的常规再次重复。")</f>
        <v>体操运动员的常规再次重复。</v>
      </c>
    </row>
    <row r="12972">
      <c r="A12972" s="4" t="s">
        <v>16323</v>
      </c>
      <c r="B12972" s="4" t="s">
        <v>16324</v>
      </c>
      <c r="C12972" s="5" t="str">
        <f>IFERROR(__xludf.DUMMYFUNCTION("GOOGLETRANSLATE(B12972,""en"",""zh-CN"")"),"显示了水槽的前后图片。")</f>
        <v>显示了水槽的前后图片。</v>
      </c>
    </row>
    <row r="12973">
      <c r="A12973" s="4" t="s">
        <v>16323</v>
      </c>
      <c r="B12973" s="4" t="s">
        <v>16325</v>
      </c>
      <c r="C12973" s="5" t="str">
        <f>IFERROR(__xludf.DUMMYFUNCTION("GOOGLETRANSLATE(B12973,""en"",""zh-CN"")"),"然后显示一个人将清洁剂放在海绵上并擦洗水槽。")</f>
        <v>然后显示一个人将清洁剂放在海绵上并擦洗水槽。</v>
      </c>
    </row>
    <row r="12974">
      <c r="A12974" s="4" t="s">
        <v>16323</v>
      </c>
      <c r="B12974" s="4" t="s">
        <v>16326</v>
      </c>
      <c r="C12974" s="5" t="str">
        <f>IFERROR(__xludf.DUMMYFUNCTION("GOOGLETRANSLATE(B12974,""en"",""zh-CN"")"),"然后显示清洁产品和干净的水槽。")</f>
        <v>然后显示清洁产品和干净的水槽。</v>
      </c>
    </row>
    <row r="12975">
      <c r="A12975" s="4" t="s">
        <v>16327</v>
      </c>
      <c r="B12975" s="4" t="s">
        <v>16328</v>
      </c>
      <c r="C12975" s="5" t="str">
        <f>IFERROR(__xludf.DUMMYFUNCTION("GOOGLETRANSLATE(B12975,""en"",""zh-CN"")"),"六个穿着白色衣服和橙色皮带的孩子在一个房间里，其他人看着。")</f>
        <v>六个穿着白色衣服和橙色皮带的孩子在一个房间里，其他人看着。</v>
      </c>
    </row>
    <row r="12976">
      <c r="A12976" s="4" t="s">
        <v>16327</v>
      </c>
      <c r="B12976" s="4" t="s">
        <v>16329</v>
      </c>
      <c r="C12976" s="5" t="str">
        <f>IFERROR(__xludf.DUMMYFUNCTION("GOOGLETRANSLATE(B12976,""en"",""zh-CN"")"),"一个人大喊一个命令，孩子们展示了他们的跆拳道。")</f>
        <v>一个人大喊一个命令，孩子们展示了他们的跆拳道。</v>
      </c>
    </row>
    <row r="12977">
      <c r="A12977" s="4" t="s">
        <v>16327</v>
      </c>
      <c r="B12977" s="4" t="s">
        <v>16330</v>
      </c>
      <c r="C12977" s="5" t="str">
        <f>IFERROR(__xludf.DUMMYFUNCTION("GOOGLETRANSLATE(B12977,""en"",""zh-CN"")"),"该男子再次大喊，孩子们排队并鞠躬。")</f>
        <v>该男子再次大喊，孩子们排队并鞠躬。</v>
      </c>
    </row>
    <row r="12978">
      <c r="A12978" s="4" t="s">
        <v>16327</v>
      </c>
      <c r="B12978" s="4" t="s">
        <v>16331</v>
      </c>
      <c r="C12978" s="5" t="str">
        <f>IFERROR(__xludf.DUMMYFUNCTION("GOOGLETRANSLATE(B12978,""en"",""zh-CN"")"),"孩子们在命令他们命令时表现出姿势。")</f>
        <v>孩子们在命令他们命令时表现出姿势。</v>
      </c>
    </row>
    <row r="12979">
      <c r="A12979" s="4" t="s">
        <v>16327</v>
      </c>
      <c r="B12979" s="4" t="s">
        <v>16332</v>
      </c>
      <c r="C12979" s="5" t="str">
        <f>IFERROR(__xludf.DUMMYFUNCTION("GOOGLETRANSLATE(B12979,""en"",""zh-CN"")"),"然后，他们进行更多的武术动作。")</f>
        <v>然后，他们进行更多的武术动作。</v>
      </c>
    </row>
    <row r="12980">
      <c r="A12980" s="4" t="s">
        <v>16327</v>
      </c>
      <c r="B12980" s="4" t="s">
        <v>16333</v>
      </c>
      <c r="C12980" s="5" t="str">
        <f>IFERROR(__xludf.DUMMYFUNCTION("GOOGLETRANSLATE(B12980,""en"",""zh-CN"")"),"他们返回以前站在的线路。")</f>
        <v>他们返回以前站在的线路。</v>
      </c>
    </row>
    <row r="12981">
      <c r="A12981" s="4" t="s">
        <v>16327</v>
      </c>
      <c r="B12981" s="4" t="s">
        <v>16334</v>
      </c>
      <c r="C12981" s="5" t="str">
        <f>IFERROR(__xludf.DUMMYFUNCTION("GOOGLETRANSLATE(B12981,""en"",""zh-CN"")"),"他们展示了其他动作，包括踢和拳。")</f>
        <v>他们展示了其他动作，包括踢和拳。</v>
      </c>
    </row>
    <row r="12982">
      <c r="A12982" s="4" t="s">
        <v>16327</v>
      </c>
      <c r="B12982" s="4" t="s">
        <v>16335</v>
      </c>
      <c r="C12982" s="5" t="str">
        <f>IFERROR(__xludf.DUMMYFUNCTION("GOOGLETRANSLATE(B12982,""en"",""zh-CN"")"),"他们再次排队并第二次鞠躬。")</f>
        <v>他们再次排队并第二次鞠躬。</v>
      </c>
    </row>
    <row r="12983">
      <c r="A12983" s="4" t="s">
        <v>16336</v>
      </c>
      <c r="B12983" s="4" t="s">
        <v>16337</v>
      </c>
      <c r="C12983" s="5" t="str">
        <f>IFERROR(__xludf.DUMMYFUNCTION("GOOGLETRANSLATE(B12983,""en"",""zh-CN"")"),"一个女孩与她握住的相机交谈，然后在汽车上拍摄商店和她的狗的镜头。")</f>
        <v>一个女孩与她握住的相机交谈，然后在汽车上拍摄商店和她的狗的镜头。</v>
      </c>
    </row>
    <row r="12984">
      <c r="A12984" s="4" t="s">
        <v>16336</v>
      </c>
      <c r="B12984" s="4" t="s">
        <v>16338</v>
      </c>
      <c r="C12984" s="5" t="str">
        <f>IFERROR(__xludf.DUMMYFUNCTION("GOOGLETRANSLATE(B12984,""en"",""zh-CN"")"),"她记录了商店周围显示的几件物品，然后戴着比基尼。")</f>
        <v>她记录了商店周围显示的几件物品，然后戴着比基尼。</v>
      </c>
    </row>
    <row r="12985">
      <c r="A12985" s="4" t="s">
        <v>16336</v>
      </c>
      <c r="B12985" s="4" t="s">
        <v>16339</v>
      </c>
      <c r="C12985" s="5" t="str">
        <f>IFERROR(__xludf.DUMMYFUNCTION("GOOGLETRANSLATE(B12985,""en"",""zh-CN"")"),"她把乳液放在自己站在湖边，微笑着。")</f>
        <v>她把乳液放在自己站在湖边，微笑着。</v>
      </c>
    </row>
    <row r="12986">
      <c r="A12986" s="4" t="s">
        <v>16340</v>
      </c>
      <c r="B12986" s="6" t="s">
        <v>16341</v>
      </c>
      <c r="C12986" s="5" t="str">
        <f>IFERROR(__xludf.DUMMYFUNCTION("GOOGLETRANSLATE(B12986,""en"",""zh-CN"")"),"显示了几张各种食物的图片，并导致一个人在切菜板上切食物。")</f>
        <v>显示了几张各种食物的图片，并导致一个人在切菜板上切食物。</v>
      </c>
    </row>
    <row r="12987">
      <c r="A12987" s="4" t="s">
        <v>16340</v>
      </c>
      <c r="B12987" s="4" t="s">
        <v>16342</v>
      </c>
      <c r="C12987" s="5" t="str">
        <f>IFERROR(__xludf.DUMMYFUNCTION("GOOGLETRANSLATE(B12987,""en"",""zh-CN"")"),"当男人切成蔬菜并将其混合成碗时，显示了更多图片。")</f>
        <v>当男人切成蔬菜并将其混合成碗时，显示了更多图片。</v>
      </c>
    </row>
    <row r="12988">
      <c r="A12988" s="4" t="s">
        <v>16340</v>
      </c>
      <c r="B12988" s="4" t="s">
        <v>16343</v>
      </c>
      <c r="C12988" s="5" t="str">
        <f>IFERROR(__xludf.DUMMYFUNCTION("GOOGLETRANSLATE(B12988,""en"",""zh-CN"")"),"他围绕成分搅动，并显示了更多食物的图片。")</f>
        <v>他围绕成分搅动，并显示了更多食物的图片。</v>
      </c>
    </row>
    <row r="12989">
      <c r="A12989" s="4" t="s">
        <v>16344</v>
      </c>
      <c r="B12989" s="4" t="s">
        <v>16345</v>
      </c>
      <c r="C12989" s="5" t="str">
        <f>IFERROR(__xludf.DUMMYFUNCTION("GOOGLETRANSLATE(B12989,""en"",""zh-CN"")"),"我们看到一个男孩在乐器店里打鼓。")</f>
        <v>我们看到一个男孩在乐器店里打鼓。</v>
      </c>
    </row>
    <row r="12990">
      <c r="A12990" s="4" t="s">
        <v>16344</v>
      </c>
      <c r="B12990" s="4" t="s">
        <v>16346</v>
      </c>
      <c r="C12990" s="5" t="str">
        <f>IFERROR(__xludf.DUMMYFUNCTION("GOOGLETRANSLATE(B12990,""en"",""zh-CN"")"),"我们看到一个男人在整个房间里打鼓。")</f>
        <v>我们看到一个男人在整个房间里打鼓。</v>
      </c>
    </row>
    <row r="12991">
      <c r="A12991" s="4" t="s">
        <v>16344</v>
      </c>
      <c r="B12991" s="4" t="s">
        <v>16347</v>
      </c>
      <c r="C12991" s="5" t="str">
        <f>IFERROR(__xludf.DUMMYFUNCTION("GOOGLETRANSLATE(B12991,""en"",""zh-CN"")"),"我们看到一个女孩，另一个男孩和爸爸。")</f>
        <v>我们看到一个女孩，另一个男孩和爸爸。</v>
      </c>
    </row>
    <row r="12992">
      <c r="A12992" s="4" t="s">
        <v>16344</v>
      </c>
      <c r="B12992" s="4" t="s">
        <v>16348</v>
      </c>
      <c r="C12992" s="5" t="str">
        <f>IFERROR(__xludf.DUMMYFUNCTION("GOOGLETRANSLATE(B12992,""en"",""zh-CN"")"),"我们看到整个房间的男人，然后是男孩。")</f>
        <v>我们看到整个房间的男人，然后是男孩。</v>
      </c>
    </row>
    <row r="12993">
      <c r="A12993" s="4" t="s">
        <v>16344</v>
      </c>
      <c r="B12993" s="4" t="s">
        <v>16349</v>
      </c>
      <c r="C12993" s="5" t="str">
        <f>IFERROR(__xludf.DUMMYFUNCTION("GOOGLETRANSLATE(B12993,""en"",""zh-CN"")"),"条纹的男孩在鼓上碰到一些东西。")</f>
        <v>条纹的男孩在鼓上碰到一些东西。</v>
      </c>
    </row>
    <row r="12994">
      <c r="A12994" s="4" t="s">
        <v>16344</v>
      </c>
      <c r="B12994" s="4" t="s">
        <v>16350</v>
      </c>
      <c r="C12994" s="5" t="str">
        <f>IFERROR(__xludf.DUMMYFUNCTION("GOOGLETRANSLATE(B12994,""en"",""zh-CN"")"),"我们同时看到男孩和男人。")</f>
        <v>我们同时看到男孩和男人。</v>
      </c>
    </row>
    <row r="12995">
      <c r="A12995" s="4" t="s">
        <v>16344</v>
      </c>
      <c r="B12995" s="4" t="s">
        <v>16351</v>
      </c>
      <c r="C12995" s="5" t="str">
        <f>IFERROR(__xludf.DUMMYFUNCTION("GOOGLETRANSLATE(B12995,""en"",""zh-CN"")"),"条纹衬衫的男孩来回摇摆。")</f>
        <v>条纹衬衫的男孩来回摇摆。</v>
      </c>
    </row>
    <row r="12996">
      <c r="A12996" s="4" t="s">
        <v>16344</v>
      </c>
      <c r="B12996" s="4" t="s">
        <v>16352</v>
      </c>
      <c r="C12996" s="5" t="str">
        <f>IFERROR(__xludf.DUMMYFUNCTION("GOOGLETRANSLATE(B12996,""en"",""zh-CN"")"),"男孩结束并看着相机。")</f>
        <v>男孩结束并看着相机。</v>
      </c>
    </row>
    <row r="12997">
      <c r="A12997" s="4" t="s">
        <v>16353</v>
      </c>
      <c r="B12997" s="4" t="s">
        <v>16354</v>
      </c>
      <c r="C12997" s="5" t="str">
        <f>IFERROR(__xludf.DUMMYFUNCTION("GOOGLETRANSLATE(B12997,""en"",""zh-CN"")"),"一个男人在花园里在外面工作。")</f>
        <v>一个男人在花园里在外面工作。</v>
      </c>
    </row>
    <row r="12998">
      <c r="A12998" s="4" t="s">
        <v>16353</v>
      </c>
      <c r="B12998" s="4" t="s">
        <v>16355</v>
      </c>
      <c r="C12998" s="5" t="str">
        <f>IFERROR(__xludf.DUMMYFUNCTION("GOOGLETRANSLATE(B12998,""en"",""zh-CN"")"),"他使用修剪器切割植物。")</f>
        <v>他使用修剪器切割植物。</v>
      </c>
    </row>
    <row r="12999">
      <c r="A12999" s="4" t="s">
        <v>16353</v>
      </c>
      <c r="B12999" s="4" t="s">
        <v>16356</v>
      </c>
      <c r="C12999" s="5" t="str">
        <f>IFERROR(__xludf.DUMMYFUNCTION("GOOGLETRANSLATE(B12999,""en"",""zh-CN"")"),"完成后，植物被完全修剪。")</f>
        <v>完成后，植物被完全修剪。</v>
      </c>
    </row>
    <row r="13000">
      <c r="A13000" s="4" t="s">
        <v>16357</v>
      </c>
      <c r="B13000" s="4" t="s">
        <v>16358</v>
      </c>
      <c r="C13000" s="5" t="str">
        <f>IFERROR(__xludf.DUMMYFUNCTION("GOOGLETRANSLATE(B13000,""en"",""zh-CN"")"),"蓝屏闪烁，带有标题页和几段的黄色写作。")</f>
        <v>蓝屏闪烁，带有标题页和几段的黄色写作。</v>
      </c>
    </row>
    <row r="13001">
      <c r="A13001" s="4" t="s">
        <v>16357</v>
      </c>
      <c r="B13001" s="4" t="s">
        <v>16359</v>
      </c>
      <c r="C13001" s="5" t="str">
        <f>IFERROR(__xludf.DUMMYFUNCTION("GOOGLETRANSLATE(B13001,""en"",""zh-CN"")"),"然后，一个男人出现在一个笼子里，圆圈中的一个圆圈在圆圈中旋转，然后才投掷铅球。")</f>
        <v>然后，一个男人出现在一个笼子里，圆圈中的一个圆圈在圆圈中旋转，然后才投掷铅球。</v>
      </c>
    </row>
    <row r="13002">
      <c r="A13002" s="4" t="s">
        <v>16357</v>
      </c>
      <c r="B13002" s="6" t="s">
        <v>16360</v>
      </c>
      <c r="C13002" s="5" t="str">
        <f>IFERROR(__xludf.DUMMYFUNCTION("GOOGLETRANSLATE(B13002,""en"",""zh-CN"")"),"视频重播，当他采取正确的步骤以从肩膀开始并跟随身体的其余部分时，它停止了。")</f>
        <v>视频重播，当他采取正确的步骤以从肩膀开始并跟随身体的其余部分时，它停止了。</v>
      </c>
    </row>
    <row r="13003">
      <c r="A13003" s="4" t="s">
        <v>16361</v>
      </c>
      <c r="B13003" s="4" t="s">
        <v>16362</v>
      </c>
      <c r="C13003" s="5" t="str">
        <f>IFERROR(__xludf.DUMMYFUNCTION("GOOGLETRANSLATE(B13003,""en"",""zh-CN"")"),"一个男人向相机说话，并导致他站在自行车架前。")</f>
        <v>一个男人向相机说话，并导致他站在自行车架前。</v>
      </c>
    </row>
    <row r="13004">
      <c r="A13004" s="4" t="s">
        <v>16361</v>
      </c>
      <c r="B13004" s="6" t="s">
        <v>16363</v>
      </c>
      <c r="C13004" s="5" t="str">
        <f>IFERROR(__xludf.DUMMYFUNCTION("GOOGLETRANSLATE(B13004,""en"",""zh-CN"")"),"他在与相机交谈时指着框架，并导致他将物体拧入到位。")</f>
        <v>他在与相机交谈时指着框架，并导致他将物体拧入到位。</v>
      </c>
    </row>
    <row r="13005">
      <c r="A13005" s="4" t="s">
        <v>16361</v>
      </c>
      <c r="B13005" s="6" t="s">
        <v>16364</v>
      </c>
      <c r="C13005" s="5" t="str">
        <f>IFERROR(__xludf.DUMMYFUNCTION("GOOGLETRANSLATE(B13005,""en"",""zh-CN"")"),"该人在转动和与相机交谈时继续拧紧框架以及链条。")</f>
        <v>该人在转动和与相机交谈时继续拧紧框架以及链条。</v>
      </c>
    </row>
    <row r="13006">
      <c r="A13006" s="4" t="s">
        <v>16365</v>
      </c>
      <c r="B13006" s="6" t="s">
        <v>16366</v>
      </c>
      <c r="C13006" s="5" t="str">
        <f>IFERROR(__xludf.DUMMYFUNCTION("GOOGLETRANSLATE(B13006,""en"",""zh-CN"")"),"当一个女孩按下计算机按钮并开始例行程序时，显示了一个空体育馆。")</f>
        <v>当一个女孩按下计算机按钮并开始例行程序时，显示了一个空体育馆。</v>
      </c>
    </row>
    <row r="13007">
      <c r="A13007" s="4" t="s">
        <v>16365</v>
      </c>
      <c r="B13007" s="4" t="s">
        <v>16367</v>
      </c>
      <c r="C13007" s="5" t="str">
        <f>IFERROR(__xludf.DUMMYFUNCTION("GOOGLETRANSLATE(B13007,""en"",""zh-CN"")"),"她用警棍旋转在健身房的地板上，然后移动手臂。")</f>
        <v>她用警棍旋转在健身房的地板上，然后移动手臂。</v>
      </c>
    </row>
    <row r="13008">
      <c r="A13008" s="4" t="s">
        <v>16365</v>
      </c>
      <c r="B13008" s="4" t="s">
        <v>16368</v>
      </c>
      <c r="C13008" s="5" t="str">
        <f>IFERROR(__xludf.DUMMYFUNCTION("GOOGLETRANSLATE(B13008,""en"",""zh-CN"")"),"她用手臂不断地踢双腿。")</f>
        <v>她用手臂不断地踢双腿。</v>
      </c>
    </row>
    <row r="13009">
      <c r="A13009" s="4" t="s">
        <v>16369</v>
      </c>
      <c r="B13009" s="4" t="s">
        <v>16370</v>
      </c>
      <c r="C13009" s="5" t="str">
        <f>IFERROR(__xludf.DUMMYFUNCTION("GOOGLETRANSLATE(B13009,""en"",""zh-CN"")"),"一个年轻的女孩正用黑色的遮阳篷和黑白双腿站在房间里，准备说话。")</f>
        <v>一个年轻的女孩正用黑色的遮阳篷和黑白双腿站在房间里，准备说话。</v>
      </c>
    </row>
    <row r="13010">
      <c r="A13010" s="4" t="s">
        <v>16369</v>
      </c>
      <c r="B13010" s="6" t="s">
        <v>16371</v>
      </c>
      <c r="C13010" s="5" t="str">
        <f>IFERROR(__xludf.DUMMYFUNCTION("GOOGLETRANSLATE(B13010,""en"",""zh-CN"")"),"然后，她向她展示了与一个穿着粉红色毛衣和黑色裙子的年轻女孩交谈，她和其他两个女孩之间正在玩多个岩石剪刀。")</f>
        <v>然后，她向她展示了与一个穿着粉红色毛衣和黑色裙子的年轻女孩交谈，她和其他两个女孩之间正在玩多个岩石剪刀。</v>
      </c>
    </row>
    <row r="13011">
      <c r="A13011" s="4" t="s">
        <v>16369</v>
      </c>
      <c r="B13011" s="4" t="s">
        <v>16372</v>
      </c>
      <c r="C13011" s="5" t="str">
        <f>IFERROR(__xludf.DUMMYFUNCTION("GOOGLETRANSLATE(B13011,""en"",""zh-CN"")"),"粉红色毛衣的女孩获胜，她坐在女孩的脸上。")</f>
        <v>粉红色毛衣的女孩获胜，她坐在女孩的脸上。</v>
      </c>
    </row>
    <row r="13012">
      <c r="A13012" s="4" t="s">
        <v>16369</v>
      </c>
      <c r="B13012" s="4" t="s">
        <v>16373</v>
      </c>
      <c r="C13012" s="5" t="str">
        <f>IFERROR(__xludf.DUMMYFUNCTION("GOOGLETRANSLATE(B13012,""en"",""zh-CN"")"),"之后，三个女孩站在一起，开始与镜头交谈。")</f>
        <v>之后，三个女孩站在一起，开始与镜头交谈。</v>
      </c>
    </row>
    <row r="13013">
      <c r="A13013" s="4" t="s">
        <v>16374</v>
      </c>
      <c r="B13013" s="4" t="s">
        <v>16375</v>
      </c>
      <c r="C13013" s="5" t="str">
        <f>IFERROR(__xludf.DUMMYFUNCTION("GOOGLETRANSLATE(B13013,""en"",""zh-CN"")"),"妇女正在走廊上进行一些体操跳跃。")</f>
        <v>妇女正在走廊上进行一些体操跳跃。</v>
      </c>
    </row>
    <row r="13014">
      <c r="A13014" s="4" t="s">
        <v>16374</v>
      </c>
      <c r="B13014" s="4" t="s">
        <v>16376</v>
      </c>
      <c r="C13014" s="5" t="str">
        <f>IFERROR(__xludf.DUMMYFUNCTION("GOOGLETRANSLATE(B13014,""en"",""zh-CN"")"),"男人和女人在百货商店里做体操跳跃。")</f>
        <v>男人和女人在百货商店里做体操跳跃。</v>
      </c>
    </row>
    <row r="13015">
      <c r="A13015" s="4" t="s">
        <v>16374</v>
      </c>
      <c r="B13015" s="4" t="s">
        <v>16377</v>
      </c>
      <c r="C13015" s="5" t="str">
        <f>IFERROR(__xludf.DUMMYFUNCTION("GOOGLETRANSLATE(B13015,""en"",""zh-CN"")"),"女人正在将手站在停车场和商店里。")</f>
        <v>女人正在将手站在停车场和商店里。</v>
      </c>
    </row>
    <row r="13016">
      <c r="A13016" s="4" t="s">
        <v>16374</v>
      </c>
      <c r="B13016" s="4" t="s">
        <v>16378</v>
      </c>
      <c r="C13016" s="5" t="str">
        <f>IFERROR(__xludf.DUMMYFUNCTION("GOOGLETRANSLATE(B13016,""en"",""zh-CN"")"),"男人在一楼的购物中心里打磨篱笆。")</f>
        <v>男人在一楼的购物中心里打磨篱笆。</v>
      </c>
    </row>
    <row r="13017">
      <c r="A13017" s="4" t="s">
        <v>16379</v>
      </c>
      <c r="B13017" s="4" t="s">
        <v>16380</v>
      </c>
      <c r="C13017" s="5" t="str">
        <f>IFERROR(__xludf.DUMMYFUNCTION("GOOGLETRANSLATE(B13017,""en"",""zh-CN"")"),"一个女孩向相机挥手，开始讲话，然后是各种成分。")</f>
        <v>一个女孩向相机挥手，开始讲话，然后是各种成分。</v>
      </c>
    </row>
    <row r="13018">
      <c r="A13018" s="4" t="s">
        <v>16379</v>
      </c>
      <c r="B13018" s="4" t="s">
        <v>16381</v>
      </c>
      <c r="C13018" s="5" t="str">
        <f>IFERROR(__xludf.DUMMYFUNCTION("GOOGLETRANSLATE(B13018,""en"",""zh-CN"")"),"然后，女孩将食材放在盘子上，并将Saran包裹在食物上。")</f>
        <v>然后，女孩将食材放在盘子上，并将Saran包裹在食物上。</v>
      </c>
    </row>
    <row r="13019">
      <c r="A13019" s="4" t="s">
        <v>16379</v>
      </c>
      <c r="B13019" s="4" t="s">
        <v>16382</v>
      </c>
      <c r="C13019" s="5" t="str">
        <f>IFERROR(__xludf.DUMMYFUNCTION("GOOGLETRANSLATE(B13019,""en"",""zh-CN"")"),"她将食物与其他成分混合在一起，然后将面包放在上面，切成碎片。")</f>
        <v>她将食物与其他成分混合在一起，然后将面包放在上面，切成碎片。</v>
      </c>
    </row>
    <row r="13020">
      <c r="A13020" s="4" t="s">
        <v>16379</v>
      </c>
      <c r="B13020" s="4" t="s">
        <v>16383</v>
      </c>
      <c r="C13020" s="5" t="str">
        <f>IFERROR(__xludf.DUMMYFUNCTION("GOOGLETRANSLATE(B13020,""en"",""zh-CN"")"),"她咬了一口食物，最终导致了一杯茶旁边的食物的照片。")</f>
        <v>她咬了一口食物，最终导致了一杯茶旁边的食物的照片。</v>
      </c>
    </row>
    <row r="13021">
      <c r="A13021" s="4" t="s">
        <v>16384</v>
      </c>
      <c r="B13021" s="4" t="s">
        <v>16385</v>
      </c>
      <c r="C13021" s="5" t="str">
        <f>IFERROR(__xludf.DUMMYFUNCTION("GOOGLETRANSLATE(B13021,""en"",""zh-CN"")"),"乐队在舞台上显示。")</f>
        <v>乐队在舞台上显示。</v>
      </c>
    </row>
    <row r="13022">
      <c r="A13022" s="4" t="s">
        <v>16384</v>
      </c>
      <c r="B13022" s="4" t="s">
        <v>16386</v>
      </c>
      <c r="C13022" s="5" t="str">
        <f>IFERROR(__xludf.DUMMYFUNCTION("GOOGLETRANSLATE(B13022,""en"",""zh-CN"")"),"一个男人在弹吉他，右边的那个人正在弹鼓。")</f>
        <v>一个男人在弹吉他，右边的那个人正在弹鼓。</v>
      </c>
    </row>
    <row r="13023">
      <c r="A13023" s="4" t="s">
        <v>16384</v>
      </c>
      <c r="B13023" s="4" t="s">
        <v>16387</v>
      </c>
      <c r="C13023" s="5" t="str">
        <f>IFERROR(__xludf.DUMMYFUNCTION("GOOGLETRANSLATE(B13023,""en"",""zh-CN"")"),"他们面前的人正在跳舞和唱歌。")</f>
        <v>他们面前的人正在跳舞和唱歌。</v>
      </c>
    </row>
    <row r="13024">
      <c r="A13024" s="4" t="s">
        <v>16388</v>
      </c>
      <c r="B13024" s="6" t="s">
        <v>16389</v>
      </c>
      <c r="C13024" s="5" t="str">
        <f>IFERROR(__xludf.DUMMYFUNCTION("GOOGLETRANSLATE(B13024,""en"",""zh-CN"")"),"有两个戴着稻草帽的老人，穿着T恤和短裤，准备玩洗牌板。")</f>
        <v>有两个戴着稻草帽的老人，穿着T恤和短裤，准备玩洗牌板。</v>
      </c>
    </row>
    <row r="13025">
      <c r="A13025" s="4" t="s">
        <v>16388</v>
      </c>
      <c r="B13025" s="4" t="s">
        <v>16390</v>
      </c>
      <c r="C13025" s="5" t="str">
        <f>IFERROR(__xludf.DUMMYFUNCTION("GOOGLETRANSLATE(B13025,""en"",""zh-CN"")"),"还有另外两个人站在几码处，他们的提示棒。")</f>
        <v>还有另外两个人站在几码处，他们的提示棒。</v>
      </c>
    </row>
    <row r="13026">
      <c r="A13026" s="4" t="s">
        <v>16388</v>
      </c>
      <c r="B13026" s="4" t="s">
        <v>16391</v>
      </c>
      <c r="C13026" s="5" t="str">
        <f>IFERROR(__xludf.DUMMYFUNCTION("GOOGLETRANSLATE(B13026,""en"",""zh-CN"")"),"看到一个白发和黄色衬衫的女人在玩洗牌板。")</f>
        <v>看到一个白发和黄色衬衫的女人在玩洗牌板。</v>
      </c>
    </row>
    <row r="13027">
      <c r="A13027" s="4" t="s">
        <v>16388</v>
      </c>
      <c r="B13027" s="4" t="s">
        <v>16392</v>
      </c>
      <c r="C13027" s="5" t="str">
        <f>IFERROR(__xludf.DUMMYFUNCTION("GOOGLETRANSLATE(B13027,""en"",""zh-CN"")"),"地面上有两个光盘被另一个光盘击中。")</f>
        <v>地面上有两个光盘被另一个光盘击中。</v>
      </c>
    </row>
    <row r="13028">
      <c r="A13028" s="4" t="s">
        <v>16388</v>
      </c>
      <c r="B13028" s="6" t="s">
        <v>16393</v>
      </c>
      <c r="C13028" s="5" t="str">
        <f>IFERROR(__xludf.DUMMYFUNCTION("GOOGLETRANSLATE(B13028,""en"",""zh-CN"")"),"几位观众正在观看一场沙芬板活动，各种各样的人都在竞争和竞争。")</f>
        <v>几位观众正在观看一场沙芬板活动，各种各样的人都在竞争和竞争。</v>
      </c>
    </row>
    <row r="13029">
      <c r="A13029" s="4" t="s">
        <v>16388</v>
      </c>
      <c r="B13029" s="4" t="s">
        <v>16394</v>
      </c>
      <c r="C13029" s="5" t="str">
        <f>IFERROR(__xludf.DUMMYFUNCTION("GOOGLETRANSLATE(B13029,""en"",""zh-CN"")"),"其中一位玩家可以调整他的光盘，然后用提示棒击中它。")</f>
        <v>其中一位玩家可以调整他的光盘，然后用提示棒击中它。</v>
      </c>
    </row>
    <row r="13030">
      <c r="A13030" s="4" t="s">
        <v>16395</v>
      </c>
      <c r="B13030" s="4" t="s">
        <v>16396</v>
      </c>
      <c r="C13030" s="5" t="str">
        <f>IFERROR(__xludf.DUMMYFUNCTION("GOOGLETRANSLATE(B13030,""en"",""zh-CN"")"),"白色文字出现在蓝色背景上。")</f>
        <v>白色文字出现在蓝色背景上。</v>
      </c>
    </row>
    <row r="13031">
      <c r="A13031" s="4" t="s">
        <v>16395</v>
      </c>
      <c r="B13031" s="4" t="s">
        <v>16397</v>
      </c>
      <c r="C13031" s="5" t="str">
        <f>IFERROR(__xludf.DUMMYFUNCTION("GOOGLETRANSLATE(B13031,""en"",""zh-CN"")"),"游戏中显示了一个化妆和啦啦队服装的女孩。")</f>
        <v>游戏中显示了一个化妆和啦啦队服装的女孩。</v>
      </c>
    </row>
    <row r="13032">
      <c r="A13032" s="4" t="s">
        <v>16395</v>
      </c>
      <c r="B13032" s="6" t="s">
        <v>16398</v>
      </c>
      <c r="C13032" s="5" t="str">
        <f>IFERROR(__xludf.DUMMYFUNCTION("GOOGLETRANSLATE(B13032,""en"",""zh-CN"")"),"然后，我们看到一名体操运动员在垫子上进行翻转，然后用几种不同的样式进行背面旋转。")</f>
        <v>然后，我们看到一名体操运动员在垫子上进行翻转，然后用几种不同的样式进行背面旋转。</v>
      </c>
    </row>
    <row r="13033">
      <c r="A13033" s="4" t="s">
        <v>16399</v>
      </c>
      <c r="B13033" s="4" t="s">
        <v>16400</v>
      </c>
      <c r="C13033" s="5" t="str">
        <f>IFERROR(__xludf.DUMMYFUNCTION("GOOGLETRANSLATE(B13033,""en"",""zh-CN"")"),"一个人制作杰克O灯笼。")</f>
        <v>一个人制作杰克O灯笼。</v>
      </c>
    </row>
    <row r="13034">
      <c r="A13034" s="4" t="s">
        <v>16399</v>
      </c>
      <c r="B13034" s="4" t="s">
        <v>16401</v>
      </c>
      <c r="C13034" s="5" t="str">
        <f>IFERROR(__xludf.DUMMYFUNCTION("GOOGLETRANSLATE(B13034,""en"",""zh-CN"")"),"首先，他们将绿色南瓜的顶部切掉，然后将种子和其他东西挖出。")</f>
        <v>首先，他们将绿色南瓜的顶部切掉，然后将种子和其他东西挖出。</v>
      </c>
    </row>
    <row r="13035">
      <c r="A13035" s="4" t="s">
        <v>16399</v>
      </c>
      <c r="B13035" s="4" t="s">
        <v>16402</v>
      </c>
      <c r="C13035" s="5" t="str">
        <f>IFERROR(__xludf.DUMMYFUNCTION("GOOGLETRANSLATE(B13035,""en"",""zh-CN"")"),"用冰淇淋勺切割并刮掉其余的内部。")</f>
        <v>用冰淇淋勺切割并刮掉其余的内部。</v>
      </c>
    </row>
    <row r="13036">
      <c r="A13036" s="4" t="s">
        <v>16399</v>
      </c>
      <c r="B13036" s="4" t="s">
        <v>16403</v>
      </c>
      <c r="C13036" s="5" t="str">
        <f>IFERROR(__xludf.DUMMYFUNCTION("GOOGLETRANSLATE(B13036,""en"",""zh-CN"")"),"在南瓜上绘制设计，然后切出。")</f>
        <v>在南瓜上绘制设计，然后切出。</v>
      </c>
    </row>
    <row r="13037">
      <c r="A13037" s="4" t="s">
        <v>16399</v>
      </c>
      <c r="B13037" s="4" t="s">
        <v>16404</v>
      </c>
      <c r="C13037" s="5" t="str">
        <f>IFERROR(__xludf.DUMMYFUNCTION("GOOGLETRANSLATE(B13037,""en"",""zh-CN"")"),"南瓜的内部被霉菌去除剂，并发出干燥。")</f>
        <v>南瓜的内部被霉菌去除剂，并发出干燥。</v>
      </c>
    </row>
    <row r="13038">
      <c r="A13038" s="4" t="s">
        <v>16399</v>
      </c>
      <c r="B13038" s="4" t="s">
        <v>16405</v>
      </c>
      <c r="C13038" s="5" t="str">
        <f>IFERROR(__xludf.DUMMYFUNCTION("GOOGLETRANSLATE(B13038,""en"",""zh-CN"")"),"蜡烛放在里面并点亮，盖子被放回原处。")</f>
        <v>蜡烛放在里面并点亮，盖子被放回原处。</v>
      </c>
    </row>
    <row r="13039">
      <c r="A13039" s="4" t="s">
        <v>16399</v>
      </c>
      <c r="B13039" s="4" t="s">
        <v>16406</v>
      </c>
      <c r="C13039" s="5" t="str">
        <f>IFERROR(__xludf.DUMMYFUNCTION("GOOGLETRANSLATE(B13039,""en"",""zh-CN"")"),"在灯光下，可以查看千斤顶O灯笼。")</f>
        <v>在灯光下，可以查看千斤顶O灯笼。</v>
      </c>
    </row>
    <row r="13040">
      <c r="A13040" s="4" t="s">
        <v>16407</v>
      </c>
      <c r="B13040" s="4" t="s">
        <v>16408</v>
      </c>
      <c r="C13040" s="5" t="str">
        <f>IFERROR(__xludf.DUMMYFUNCTION("GOOGLETRANSLATE(B13040,""en"",""zh-CN"")"),"该视频导致了奥林匹克跑步者的几镜头，这些跑步者将跳远进入沙坑。")</f>
        <v>该视频导致了奥林匹克跑步者的几镜头，这些跑步者将跳远进入沙坑。</v>
      </c>
    </row>
    <row r="13041">
      <c r="A13041" s="4" t="s">
        <v>16407</v>
      </c>
      <c r="B13041" s="6" t="s">
        <v>16409</v>
      </c>
      <c r="C13041" s="5" t="str">
        <f>IFERROR(__xludf.DUMMYFUNCTION("GOOGLETRANSLATE(B13041,""en"",""zh-CN"")"),"该视频继续显示几名不同的跑步者完成了他们的跳跃，之后他们为人群欢呼。")</f>
        <v>该视频继续显示几名不同的跑步者完成了他们的跳跃，之后他们为人群欢呼。</v>
      </c>
    </row>
    <row r="13042">
      <c r="A13042" s="4" t="s">
        <v>16410</v>
      </c>
      <c r="B13042" s="4" t="s">
        <v>16411</v>
      </c>
      <c r="C13042" s="5" t="str">
        <f>IFERROR(__xludf.DUMMYFUNCTION("GOOGLETRANSLATE(B13042,""en"",""zh-CN"")"),"两个人在滑板上放松。")</f>
        <v>两个人在滑板上放松。</v>
      </c>
    </row>
    <row r="13043">
      <c r="A13043" s="4" t="s">
        <v>16410</v>
      </c>
      <c r="B13043" s="4" t="s">
        <v>16412</v>
      </c>
      <c r="C13043" s="5" t="str">
        <f>IFERROR(__xludf.DUMMYFUNCTION("GOOGLETRANSLATE(B13043,""en"",""zh-CN"")"),"他们修理了一些零件，然后溜冰。")</f>
        <v>他们修理了一些零件，然后溜冰。</v>
      </c>
    </row>
    <row r="13044">
      <c r="A13044" s="4" t="s">
        <v>16413</v>
      </c>
      <c r="B13044" s="4" t="s">
        <v>16414</v>
      </c>
      <c r="C13044" s="5" t="str">
        <f>IFERROR(__xludf.DUMMYFUNCTION("GOOGLETRANSLATE(B13044,""en"",""zh-CN"")"),"看到一个女人坐在椅子上笑着，一个男人指着她面前。")</f>
        <v>看到一个女人坐在椅子上笑着，一个男人指着她面前。</v>
      </c>
    </row>
    <row r="13045">
      <c r="A13045" s="4" t="s">
        <v>16413</v>
      </c>
      <c r="B13045" s="4" t="s">
        <v>16415</v>
      </c>
      <c r="C13045" s="5" t="str">
        <f>IFERROR(__xludf.DUMMYFUNCTION("GOOGLETRANSLATE(B13045,""en"",""zh-CN"")"),"然后，该男子将枪握在鼻子上，刺穿鼻子。")</f>
        <v>然后，该男子将枪握在鼻子上，刺穿鼻子。</v>
      </c>
    </row>
    <row r="13046">
      <c r="A13046" s="4" t="s">
        <v>16413</v>
      </c>
      <c r="B13046" s="4" t="s">
        <v>16416</v>
      </c>
      <c r="C13046" s="5" t="str">
        <f>IFERROR(__xludf.DUMMYFUNCTION("GOOGLETRANSLATE(B13046,""en"",""zh-CN"")"),"一个女人在与女孩说话时和女孩的头发一起玩，露出鼻子的刺眼。")</f>
        <v>一个女人在与女孩说话时和女孩的头发一起玩，露出鼻子的刺眼。</v>
      </c>
    </row>
    <row r="13047">
      <c r="A13047" s="4" t="s">
        <v>16417</v>
      </c>
      <c r="B13047" s="4" t="s">
        <v>16418</v>
      </c>
      <c r="C13047" s="5" t="str">
        <f>IFERROR(__xludf.DUMMYFUNCTION("GOOGLETRANSLATE(B13047,""en"",""zh-CN"")"),"木匠用油漆喷洒天花板。")</f>
        <v>木匠用油漆喷洒天花板。</v>
      </c>
    </row>
    <row r="13048">
      <c r="A13048" s="4" t="s">
        <v>16417</v>
      </c>
      <c r="B13048" s="4" t="s">
        <v>16419</v>
      </c>
      <c r="C13048" s="5" t="str">
        <f>IFERROR(__xludf.DUMMYFUNCTION("GOOGLETRANSLATE(B13048,""en"",""zh-CN"")"),"第二个木匠将天花板上的油漆弄平。")</f>
        <v>第二个木匠将天花板上的油漆弄平。</v>
      </c>
    </row>
    <row r="13049">
      <c r="A13049" s="4" t="s">
        <v>16417</v>
      </c>
      <c r="B13049" s="4" t="s">
        <v>16420</v>
      </c>
      <c r="C13049" s="5" t="str">
        <f>IFERROR(__xludf.DUMMYFUNCTION("GOOGLETRANSLATE(B13049,""en"",""zh-CN"")"),"最高天花板上的第一个木匠喷雾剂涂上了油漆。")</f>
        <v>最高天花板上的第一个木匠喷雾剂涂上了油漆。</v>
      </c>
    </row>
    <row r="13050">
      <c r="A13050" s="4" t="s">
        <v>16417</v>
      </c>
      <c r="B13050" s="4" t="s">
        <v>16421</v>
      </c>
      <c r="C13050" s="5" t="str">
        <f>IFERROR(__xludf.DUMMYFUNCTION("GOOGLETRANSLATE(B13050,""en"",""zh-CN"")"),"几个木匠将天花板上的油漆弄平。")</f>
        <v>几个木匠将天花板上的油漆弄平。</v>
      </c>
    </row>
    <row r="13051">
      <c r="A13051" s="4" t="s">
        <v>16417</v>
      </c>
      <c r="B13051" s="4" t="s">
        <v>16422</v>
      </c>
      <c r="C13051" s="5" t="str">
        <f>IFERROR(__xludf.DUMMYFUNCTION("GOOGLETRANSLATE(B13051,""en"",""zh-CN"")"),"看到其中一名木匠喷洒天花板，然后停下来移动光。")</f>
        <v>看到其中一名木匠喷洒天花板，然后停下来移动光。</v>
      </c>
    </row>
    <row r="13052">
      <c r="A13052" s="4" t="s">
        <v>16417</v>
      </c>
      <c r="B13052" s="4" t="s">
        <v>16423</v>
      </c>
      <c r="C13052" s="5" t="str">
        <f>IFERROR(__xludf.DUMMYFUNCTION("GOOGLETRANSLATE(B13052,""en"",""zh-CN"")"),"这幅画以及油漆的平滑效果继续。")</f>
        <v>这幅画以及油漆的平滑效果继续。</v>
      </c>
    </row>
    <row r="13053">
      <c r="A13053" s="4" t="s">
        <v>16424</v>
      </c>
      <c r="B13053" s="4" t="s">
        <v>16425</v>
      </c>
      <c r="C13053" s="5" t="str">
        <f>IFERROR(__xludf.DUMMYFUNCTION("GOOGLETRANSLATE(B13053,""en"",""zh-CN"")"),"孩子们在球场上打篮球。")</f>
        <v>孩子们在球场上打篮球。</v>
      </c>
    </row>
    <row r="13054">
      <c r="A13054" s="4" t="s">
        <v>16424</v>
      </c>
      <c r="B13054" s="4" t="s">
        <v>16426</v>
      </c>
      <c r="C13054" s="5" t="str">
        <f>IFERROR(__xludf.DUMMYFUNCTION("GOOGLETRANSLATE(B13054,""en"",""zh-CN"")"),"教练正在与他们交谈，并试图告诉他们如何参加比赛。")</f>
        <v>教练正在与他们交谈，并试图告诉他们如何参加比赛。</v>
      </c>
    </row>
    <row r="13055">
      <c r="A13055" s="4" t="s">
        <v>16424</v>
      </c>
      <c r="B13055" s="4" t="s">
        <v>16427</v>
      </c>
      <c r="C13055" s="5" t="str">
        <f>IFERROR(__xludf.DUMMYFUNCTION("GOOGLETRANSLATE(B13055,""en"",""zh-CN"")"),"孩子们表演躺椅。")</f>
        <v>孩子们表演躺椅。</v>
      </c>
    </row>
    <row r="13056">
      <c r="A13056" s="4" t="s">
        <v>16428</v>
      </c>
      <c r="B13056" s="4" t="s">
        <v>1487</v>
      </c>
      <c r="C13056" s="5" t="str">
        <f>IFERROR(__xludf.DUMMYFUNCTION("GOOGLETRANSLATE(B13056,""en"",""zh-CN"")"),"我们看到一个开放标题屏幕。")</f>
        <v>我们看到一个开放标题屏幕。</v>
      </c>
    </row>
    <row r="13057">
      <c r="A13057" s="4" t="s">
        <v>16428</v>
      </c>
      <c r="B13057" s="4" t="s">
        <v>16429</v>
      </c>
      <c r="C13057" s="5" t="str">
        <f>IFERROR(__xludf.DUMMYFUNCTION("GOOGLETRANSLATE(B13057,""en"",""zh-CN"")"),"我们看到一个女孩奔跑并跳高跳高，并在酒吧上奔跑。")</f>
        <v>我们看到一个女孩奔跑并跳高跳高，并在酒吧上奔跑。</v>
      </c>
    </row>
    <row r="13058">
      <c r="A13058" s="4" t="s">
        <v>16428</v>
      </c>
      <c r="B13058" s="4" t="s">
        <v>16430</v>
      </c>
      <c r="C13058" s="5" t="str">
        <f>IFERROR(__xludf.DUMMYFUNCTION("GOOGLETRANSLATE(B13058,""en"",""zh-CN"")"),"然后，我们看到一个重播和慢动作重播。")</f>
        <v>然后，我们看到一个重播和慢动作重播。</v>
      </c>
    </row>
    <row r="13059">
      <c r="A13059" s="4" t="s">
        <v>16428</v>
      </c>
      <c r="B13059" s="4" t="s">
        <v>777</v>
      </c>
      <c r="C13059" s="5" t="str">
        <f>IFERROR(__xludf.DUMMYFUNCTION("GOOGLETRANSLATE(B13059,""en"",""zh-CN"")"),"我们看到结尾标题屏幕。")</f>
        <v>我们看到结尾标题屏幕。</v>
      </c>
    </row>
    <row r="13060">
      <c r="A13060" s="4" t="s">
        <v>16431</v>
      </c>
      <c r="B13060" s="4" t="s">
        <v>16432</v>
      </c>
      <c r="C13060" s="5" t="str">
        <f>IFERROR(__xludf.DUMMYFUNCTION("GOOGLETRANSLATE(B13060,""en"",""zh-CN"")"),"一个男人正在塞篮球。")</f>
        <v>一个男人正在塞篮球。</v>
      </c>
    </row>
    <row r="13061">
      <c r="A13061" s="4" t="s">
        <v>16431</v>
      </c>
      <c r="B13061" s="4" t="s">
        <v>16433</v>
      </c>
      <c r="C13061" s="5" t="str">
        <f>IFERROR(__xludf.DUMMYFUNCTION("GOOGLETRANSLATE(B13061,""en"",""zh-CN"")"),"他跳了起来，将篮球射入篮球。")</f>
        <v>他跳了起来，将篮球射入篮球。</v>
      </c>
    </row>
    <row r="13062">
      <c r="A13062" s="4" t="s">
        <v>16431</v>
      </c>
      <c r="B13062" s="4" t="s">
        <v>16434</v>
      </c>
      <c r="C13062" s="5" t="str">
        <f>IFERROR(__xludf.DUMMYFUNCTION("GOOGLETRANSLATE(B13062,""en"",""zh-CN"")"),"单词在末尾的屏幕上显示。")</f>
        <v>单词在末尾的屏幕上显示。</v>
      </c>
    </row>
    <row r="13063">
      <c r="A13063" s="4" t="s">
        <v>16435</v>
      </c>
      <c r="B13063" s="4" t="s">
        <v>16436</v>
      </c>
      <c r="C13063" s="5" t="str">
        <f>IFERROR(__xludf.DUMMYFUNCTION("GOOGLETRANSLATE(B13063,""en"",""zh-CN"")"),"一个女人跪在蓝色垫子上。")</f>
        <v>一个女人跪在蓝色垫子上。</v>
      </c>
    </row>
    <row r="13064">
      <c r="A13064" s="4" t="s">
        <v>16435</v>
      </c>
      <c r="B13064" s="4" t="s">
        <v>16437</v>
      </c>
      <c r="C13064" s="5" t="str">
        <f>IFERROR(__xludf.DUMMYFUNCTION("GOOGLETRANSLATE(B13064,""en"",""zh-CN"")"),"一个男人站在她说话的后面。")</f>
        <v>一个男人站在她说话的后面。</v>
      </c>
    </row>
    <row r="13065">
      <c r="A13065" s="4" t="s">
        <v>16435</v>
      </c>
      <c r="B13065" s="4" t="s">
        <v>16438</v>
      </c>
      <c r="C13065" s="5" t="str">
        <f>IFERROR(__xludf.DUMMYFUNCTION("GOOGLETRANSLATE(B13065,""en"",""zh-CN"")"),"女人开始移动她的腿和手臂。")</f>
        <v>女人开始移动她的腿和手臂。</v>
      </c>
    </row>
    <row r="13066">
      <c r="A13066" s="4" t="s">
        <v>16439</v>
      </c>
      <c r="B13066" s="4" t="s">
        <v>16440</v>
      </c>
      <c r="C13066" s="5" t="str">
        <f>IFERROR(__xludf.DUMMYFUNCTION("GOOGLETRANSLATE(B13066,""en"",""zh-CN"")"),"两名男子站在外面，一群人举重和锻炼。")</f>
        <v>两名男子站在外面，一群人举重和锻炼。</v>
      </c>
    </row>
    <row r="13067">
      <c r="A13067" s="4" t="s">
        <v>16439</v>
      </c>
      <c r="B13067" s="6" t="s">
        <v>16441</v>
      </c>
      <c r="C13067" s="5" t="str">
        <f>IFERROR(__xludf.DUMMYFUNCTION("GOOGLETRANSLATE(B13067,""en"",""zh-CN"")"),"许多人开始在手机上拍摄这些家伙，举重继续进行，几个人回来进行采访。")</f>
        <v>许多人开始在手机上拍摄这些家伙，举重继续进行，几个人回来进行采访。</v>
      </c>
    </row>
    <row r="13068">
      <c r="A13068" s="4" t="s">
        <v>16439</v>
      </c>
      <c r="B13068" s="4" t="s">
        <v>16442</v>
      </c>
      <c r="C13068" s="5" t="str">
        <f>IFERROR(__xludf.DUMMYFUNCTION("GOOGLETRANSLATE(B13068,""en"",""zh-CN"")"),"显示了更多的人，然后出现徽标，由锐步赞助。")</f>
        <v>显示了更多的人，然后出现徽标，由锐步赞助。</v>
      </c>
    </row>
    <row r="13069">
      <c r="A13069" s="4" t="s">
        <v>16443</v>
      </c>
      <c r="B13069" s="4" t="s">
        <v>16444</v>
      </c>
      <c r="C13069" s="5" t="str">
        <f>IFERROR(__xludf.DUMMYFUNCTION("GOOGLETRANSLATE(B13069,""en"",""zh-CN"")"),"人们在打彩弹。")</f>
        <v>人们在打彩弹。</v>
      </c>
    </row>
    <row r="13070">
      <c r="A13070" s="4" t="s">
        <v>16443</v>
      </c>
      <c r="B13070" s="4" t="s">
        <v>16445</v>
      </c>
      <c r="C13070" s="5" t="str">
        <f>IFERROR(__xludf.DUMMYFUNCTION("GOOGLETRANSLATE(B13070,""en"",""zh-CN"")"),"一个人掉进了一大堆泥土中。")</f>
        <v>一个人掉进了一大堆泥土中。</v>
      </c>
    </row>
    <row r="13071">
      <c r="A13071" s="4" t="s">
        <v>16443</v>
      </c>
      <c r="B13071" s="4" t="s">
        <v>16446</v>
      </c>
      <c r="C13071" s="5" t="str">
        <f>IFERROR(__xludf.DUMMYFUNCTION("GOOGLETRANSLATE(B13071,""en"",""zh-CN"")"),"一个男人摔倒了，另一个男人跑起来检查他。")</f>
        <v>一个男人摔倒了，另一个男人跑起来检查他。</v>
      </c>
    </row>
    <row r="13072">
      <c r="A13072" s="4" t="s">
        <v>16447</v>
      </c>
      <c r="B13072" s="4" t="s">
        <v>16448</v>
      </c>
      <c r="C13072" s="5" t="str">
        <f>IFERROR(__xludf.DUMMYFUNCTION("GOOGLETRANSLATE(B13072,""en"",""zh-CN"")"),"看到一个女人在相机上说话，并导致她为短裤付费。")</f>
        <v>看到一个女人在相机上说话，并导致她为短裤付费。</v>
      </c>
    </row>
    <row r="13073">
      <c r="A13073" s="4" t="s">
        <v>16447</v>
      </c>
      <c r="B13073" s="4" t="s">
        <v>16449</v>
      </c>
      <c r="C13073" s="5" t="str">
        <f>IFERROR(__xludf.DUMMYFUNCTION("GOOGLETRANSLATE(B13073,""en"",""zh-CN"")"),"然后，她演示了如何正确熨烫衣服。")</f>
        <v>然后，她演示了如何正确熨烫衣服。</v>
      </c>
    </row>
    <row r="13074">
      <c r="A13074" s="4" t="s">
        <v>16450</v>
      </c>
      <c r="B13074" s="4" t="s">
        <v>16451</v>
      </c>
      <c r="C13074" s="5" t="str">
        <f>IFERROR(__xludf.DUMMYFUNCTION("GOOGLETRANSLATE(B13074,""en"",""zh-CN"")"),"一个人正在公园里玩风笛。")</f>
        <v>一个人正在公园里玩风笛。</v>
      </c>
    </row>
    <row r="13075">
      <c r="A13075" s="4" t="s">
        <v>16450</v>
      </c>
      <c r="B13075" s="4" t="s">
        <v>16452</v>
      </c>
      <c r="C13075" s="5" t="str">
        <f>IFERROR(__xludf.DUMMYFUNCTION("GOOGLETRANSLATE(B13075,""en"",""zh-CN"")"),"一个男人和两个男孩从远处看。")</f>
        <v>一个男人和两个男孩从远处看。</v>
      </c>
    </row>
    <row r="13076">
      <c r="A13076" s="4" t="s">
        <v>16450</v>
      </c>
      <c r="B13076" s="4" t="s">
        <v>16453</v>
      </c>
      <c r="C13076" s="5" t="str">
        <f>IFERROR(__xludf.DUMMYFUNCTION("GOOGLETRANSLATE(B13076,""en"",""zh-CN"")"),"风笛播放时，相机在公园周围射击。")</f>
        <v>风笛播放时，相机在公园周围射击。</v>
      </c>
    </row>
    <row r="13077">
      <c r="A13077" s="4" t="s">
        <v>16454</v>
      </c>
      <c r="B13077" s="4" t="s">
        <v>16455</v>
      </c>
      <c r="C13077" s="5" t="str">
        <f>IFERROR(__xludf.DUMMYFUNCTION("GOOGLETRANSLATE(B13077,""en"",""zh-CN"")"),"看到一名运动员沿着一条大轨道奔跑，将标枪扔向空中。")</f>
        <v>看到一名运动员沿着一条大轨道奔跑，将标枪扔向空中。</v>
      </c>
    </row>
    <row r="13078">
      <c r="A13078" s="4" t="s">
        <v>16454</v>
      </c>
      <c r="B13078" s="4" t="s">
        <v>16456</v>
      </c>
      <c r="C13078" s="5" t="str">
        <f>IFERROR(__xludf.DUMMYFUNCTION("GOOGLETRANSLATE(B13078,""en"",""zh-CN"")"),"她的投掷再次以慢动作显示，随后还有几名轮流的运动员。")</f>
        <v>她的投掷再次以慢动作显示，随后还有几名轮流的运动员。</v>
      </c>
    </row>
    <row r="13079">
      <c r="A13079" s="4" t="s">
        <v>16457</v>
      </c>
      <c r="B13079" s="4" t="s">
        <v>16458</v>
      </c>
      <c r="C13079" s="5" t="str">
        <f>IFERROR(__xludf.DUMMYFUNCTION("GOOGLETRANSLATE(B13079,""en"",""zh-CN"")"),"我们看到开头标题屏幕。")</f>
        <v>我们看到开头标题屏幕。</v>
      </c>
    </row>
    <row r="13080">
      <c r="A13080" s="4" t="s">
        <v>16457</v>
      </c>
      <c r="B13080" s="4" t="s">
        <v>16459</v>
      </c>
      <c r="C13080" s="5" t="str">
        <f>IFERROR(__xludf.DUMMYFUNCTION("GOOGLETRANSLATE(B13080,""en"",""zh-CN"")"),"人们正在研讨会上制作摄像头。")</f>
        <v>人们正在研讨会上制作摄像头。</v>
      </c>
    </row>
    <row r="13081">
      <c r="A13081" s="4" t="s">
        <v>16457</v>
      </c>
      <c r="B13081" s="4" t="s">
        <v>16460</v>
      </c>
      <c r="C13081" s="5" t="str">
        <f>IFERROR(__xludf.DUMMYFUNCTION("GOOGLETRANSLATE(B13081,""en"",""zh-CN"")"),"我们看到他们将其安装在管子上。")</f>
        <v>我们看到他们将其安装在管子上。</v>
      </c>
    </row>
    <row r="13082">
      <c r="A13082" s="4" t="s">
        <v>16457</v>
      </c>
      <c r="B13082" s="4" t="s">
        <v>16461</v>
      </c>
      <c r="C13082" s="5" t="str">
        <f>IFERROR(__xludf.DUMMYFUNCTION("GOOGLETRANSLATE(B13082,""en"",""zh-CN"")"),"然后，女士用管子跳舞呼啦圈。")</f>
        <v>然后，女士用管子跳舞呼啦圈。</v>
      </c>
    </row>
    <row r="13083">
      <c r="A13083" s="4" t="s">
        <v>16457</v>
      </c>
      <c r="B13083" s="4" t="s">
        <v>16462</v>
      </c>
      <c r="C13083" s="5" t="str">
        <f>IFERROR(__xludf.DUMMYFUNCTION("GOOGLETRANSLATE(B13083,""en"",""zh-CN"")"),"我们看到一个金发男人对管子进行调整。")</f>
        <v>我们看到一个金发男人对管子进行调整。</v>
      </c>
    </row>
    <row r="13084">
      <c r="A13084" s="4" t="s">
        <v>16457</v>
      </c>
      <c r="B13084" s="4" t="s">
        <v>16463</v>
      </c>
      <c r="C13084" s="5" t="str">
        <f>IFERROR(__xludf.DUMMYFUNCTION("GOOGLETRANSLATE(B13084,""en"",""zh-CN"")"),"我们看到了关闭端屏幕。")</f>
        <v>我们看到了关闭端屏幕。</v>
      </c>
    </row>
    <row r="13085">
      <c r="A13085" s="4" t="s">
        <v>16464</v>
      </c>
      <c r="B13085" s="4" t="s">
        <v>16465</v>
      </c>
      <c r="C13085" s="5" t="str">
        <f>IFERROR(__xludf.DUMMYFUNCTION("GOOGLETRANSLATE(B13085,""en"",""zh-CN"")"),"一个摄像头围着一群人坐在桌子旁，然后是一个拿着冲浪板的男人。")</f>
        <v>一个摄像头围着一群人坐在桌子旁，然后是一个拿着冲浪板的男人。</v>
      </c>
    </row>
    <row r="13086">
      <c r="A13086" s="4" t="s">
        <v>16464</v>
      </c>
      <c r="B13086" s="4" t="s">
        <v>16466</v>
      </c>
      <c r="C13086" s="5" t="str">
        <f>IFERROR(__xludf.DUMMYFUNCTION("GOOGLETRANSLATE(B13086,""en"",""zh-CN"")"),"该男子将木板运出水面，开始骑水。")</f>
        <v>该男子将木板运出水面，开始骑水。</v>
      </c>
    </row>
    <row r="13087">
      <c r="A13087" s="4" t="s">
        <v>16464</v>
      </c>
      <c r="B13087" s="4" t="s">
        <v>16467</v>
      </c>
      <c r="C13087" s="5" t="str">
        <f>IFERROR(__xludf.DUMMYFUNCTION("GOOGLETRANSLATE(B13087,""en"",""zh-CN"")"),"该人继续在水面上跟随另一个人后面骑行。")</f>
        <v>该人继续在水面上跟随另一个人后面骑行。</v>
      </c>
    </row>
    <row r="13088">
      <c r="A13088" s="4" t="s">
        <v>16468</v>
      </c>
      <c r="B13088" s="6" t="s">
        <v>16469</v>
      </c>
      <c r="C13088" s="5" t="str">
        <f>IFERROR(__xludf.DUMMYFUNCTION("GOOGLETRANSLATE(B13088,""en"",""zh-CN"")"),"展示了主题公园的各种镜头，包括骑行，人们玩游戏以及其他人相互互动。")</f>
        <v>展示了主题公园的各种镜头，包括骑行，人们玩游戏以及其他人相互互动。</v>
      </c>
    </row>
    <row r="13089">
      <c r="A13089" s="4" t="s">
        <v>16468</v>
      </c>
      <c r="B13089" s="6" t="s">
        <v>16470</v>
      </c>
      <c r="C13089" s="5" t="str">
        <f>IFERROR(__xludf.DUMMYFUNCTION("GOOGLETRANSLATE(B13089,""en"",""zh-CN"")"),"然后，显示了两个男人在碰到相机的同时在碰碰车上开车，其他人在相机上说话。")</f>
        <v>然后，显示了两个男人在碰到相机的同时在碰碰车上开车，其他人在相机上说话。</v>
      </c>
    </row>
    <row r="13090">
      <c r="A13090" s="4" t="s">
        <v>16468</v>
      </c>
      <c r="B13090" s="4" t="s">
        <v>16471</v>
      </c>
      <c r="C13090" s="5" t="str">
        <f>IFERROR(__xludf.DUMMYFUNCTION("GOOGLETRANSLATE(B13090,""en"",""zh-CN"")"),"男人继续四处奔波，结束了一个女人为比赛的掩护。")</f>
        <v>男人继续四处奔波，结束了一个女人为比赛的掩护。</v>
      </c>
    </row>
    <row r="13091">
      <c r="A13091" s="4" t="s">
        <v>16472</v>
      </c>
      <c r="B13091" s="4" t="s">
        <v>16473</v>
      </c>
      <c r="C13091" s="5" t="str">
        <f>IFERROR(__xludf.DUMMYFUNCTION("GOOGLETRANSLATE(B13091,""en"",""zh-CN"")"),"从绳索的底面看，一个人越过绳索。")</f>
        <v>从绳索的底面看，一个人越过绳索。</v>
      </c>
    </row>
    <row r="13092">
      <c r="A13092" s="4" t="s">
        <v>16472</v>
      </c>
      <c r="B13092" s="4" t="s">
        <v>16474</v>
      </c>
      <c r="C13092" s="5" t="str">
        <f>IFERROR(__xludf.DUMMYFUNCTION("GOOGLETRANSLATE(B13092,""en"",""zh-CN"")"),"在香港看到了河水和渡轮。")</f>
        <v>在香港看到了河水和渡轮。</v>
      </c>
    </row>
    <row r="13093">
      <c r="A13093" s="4" t="s">
        <v>16472</v>
      </c>
      <c r="B13093" s="6" t="s">
        <v>16475</v>
      </c>
      <c r="C13093" s="5" t="str">
        <f>IFERROR(__xludf.DUMMYFUNCTION("GOOGLETRANSLATE(B13093,""en"",""zh-CN"")"),"一个男人在一小群人的绳索上平衡了几个不同的位置时，他放了一个表演。")</f>
        <v>一个男人在一小群人的绳索上平衡了几个不同的位置时，他放了一个表演。</v>
      </c>
    </row>
    <row r="13094">
      <c r="A13094" s="4" t="s">
        <v>16472</v>
      </c>
      <c r="B13094" s="4" t="s">
        <v>16476</v>
      </c>
      <c r="C13094" s="5" t="str">
        <f>IFERROR(__xludf.DUMMYFUNCTION("GOOGLETRANSLATE(B13094,""en"",""zh-CN"")"),"另一个男人加入了他，他们平衡，走路和俯卧撑。")</f>
        <v>另一个男人加入了他，他们平衡，走路和俯卧撑。</v>
      </c>
    </row>
    <row r="13095">
      <c r="A13095" s="4" t="s">
        <v>16477</v>
      </c>
      <c r="B13095" s="4" t="s">
        <v>16478</v>
      </c>
      <c r="C13095" s="5" t="str">
        <f>IFERROR(__xludf.DUMMYFUNCTION("GOOGLETRANSLATE(B13095,""en"",""zh-CN"")"),"一个人在冰上缓慢行走，试图破解它。")</f>
        <v>一个人在冰上缓慢行走，试图破解它。</v>
      </c>
    </row>
    <row r="13096">
      <c r="A13096" s="4" t="s">
        <v>16477</v>
      </c>
      <c r="B13096" s="6" t="s">
        <v>16479</v>
      </c>
      <c r="C13096" s="5" t="str">
        <f>IFERROR(__xludf.DUMMYFUNCTION("GOOGLETRANSLATE(B13096,""en"",""zh-CN"")"),"该人在冰上制造了许多中孔，并在下面的水中悬挂着钓鱼线。")</f>
        <v>该人在冰上制造了许多中孔，并在下面的水中悬挂着钓鱼线。</v>
      </c>
    </row>
    <row r="13097">
      <c r="A13097" s="4" t="s">
        <v>16477</v>
      </c>
      <c r="B13097" s="4" t="s">
        <v>16480</v>
      </c>
      <c r="C13097" s="5" t="str">
        <f>IFERROR(__xludf.DUMMYFUNCTION("GOOGLETRANSLATE(B13097,""en"",""zh-CN"")"),"该人走到一个洞中，检查钓鱼线，看看他是否抓住了拒绝鱼。")</f>
        <v>该人走到一个洞中，检查钓鱼线，看看他是否抓住了拒绝鱼。</v>
      </c>
    </row>
    <row r="13098">
      <c r="A13098" s="4" t="s">
        <v>16477</v>
      </c>
      <c r="B13098" s="4" t="s">
        <v>16481</v>
      </c>
      <c r="C13098" s="5" t="str">
        <f>IFERROR(__xludf.DUMMYFUNCTION("GOOGLETRANSLATE(B13098,""en"",""zh-CN"")"),"然后，那家伙用力拉动钓鱼线并将其拖入。")</f>
        <v>然后，那家伙用力拉动钓鱼线并将其拖入。</v>
      </c>
    </row>
    <row r="13099">
      <c r="A13099" s="4" t="s">
        <v>16477</v>
      </c>
      <c r="B13099" s="4" t="s">
        <v>16482</v>
      </c>
      <c r="C13099" s="5" t="str">
        <f>IFERROR(__xludf.DUMMYFUNCTION("GOOGLETRANSLATE(B13099,""en"",""zh-CN"")"),"最终，他用一个长的金属钩将他抓住的鱼钩住，并将其扔出洞。")</f>
        <v>最终，他用一个长的金属钩将他抓住的鱼钩住，并将其扔出洞。</v>
      </c>
    </row>
    <row r="13100">
      <c r="A13100" s="4" t="s">
        <v>16477</v>
      </c>
      <c r="B13100" s="6" t="s">
        <v>16483</v>
      </c>
      <c r="C13100" s="5" t="str">
        <f>IFERROR(__xludf.DUMMYFUNCTION("GOOGLETRANSLATE(B13100,""en"",""zh-CN"")"),"然后，他解开长钩，并使用他的工具解开小钓鱼钩，鱼嘴，使鱼流血。")</f>
        <v>然后，他解开长钩，并使用他的工具解开小钓鱼钩，鱼嘴，使鱼流血。</v>
      </c>
    </row>
    <row r="13101">
      <c r="A13101" s="4" t="s">
        <v>16484</v>
      </c>
      <c r="B13101" s="4" t="s">
        <v>16485</v>
      </c>
      <c r="C13101" s="5" t="str">
        <f>IFERROR(__xludf.DUMMYFUNCTION("GOOGLETRANSLATE(B13101,""en"",""zh-CN"")"),"水球队正站在游泳池旁与镜头交谈。")</f>
        <v>水球队正站在游泳池旁与镜头交谈。</v>
      </c>
    </row>
    <row r="13102">
      <c r="A13102" s="4" t="s">
        <v>16484</v>
      </c>
      <c r="B13102" s="4" t="s">
        <v>16486</v>
      </c>
      <c r="C13102" s="5" t="str">
        <f>IFERROR(__xludf.DUMMYFUNCTION("GOOGLETRANSLATE(B13102,""en"",""zh-CN"")"),"人跳入水中，拿着球在游泳池里打球。")</f>
        <v>人跳入水中，拿着球在游泳池里打球。</v>
      </c>
    </row>
    <row r="13103">
      <c r="A13103" s="4" t="s">
        <v>16487</v>
      </c>
      <c r="B13103" s="4" t="s">
        <v>16488</v>
      </c>
      <c r="C13103" s="5" t="str">
        <f>IFERROR(__xludf.DUMMYFUNCTION("GOOGLETRANSLATE(B13103,""en"",""zh-CN"")"),"一个男人弯下腰，捡起两个水壶铃。")</f>
        <v>一个男人弯下腰，捡起两个水壶铃。</v>
      </c>
    </row>
    <row r="13104">
      <c r="A13104" s="4" t="s">
        <v>16487</v>
      </c>
      <c r="B13104" s="4" t="s">
        <v>16489</v>
      </c>
      <c r="C13104" s="5" t="str">
        <f>IFERROR(__xludf.DUMMYFUNCTION("GOOGLETRANSLATE(B13104,""en"",""zh-CN"")"),"他举起并降低了水壶铃。")</f>
        <v>他举起并降低了水壶铃。</v>
      </c>
    </row>
    <row r="13105">
      <c r="A13105" s="4" t="s">
        <v>16487</v>
      </c>
      <c r="B13105" s="4" t="s">
        <v>16490</v>
      </c>
      <c r="C13105" s="5" t="str">
        <f>IFERROR(__xludf.DUMMYFUNCTION("GOOGLETRANSLATE(B13105,""en"",""zh-CN"")"),"他把它们放在他面前的草地上。")</f>
        <v>他把它们放在他面前的草地上。</v>
      </c>
    </row>
    <row r="13106">
      <c r="A13106" s="4" t="s">
        <v>16491</v>
      </c>
      <c r="B13106" s="4" t="s">
        <v>16492</v>
      </c>
      <c r="C13106" s="5" t="str">
        <f>IFERROR(__xludf.DUMMYFUNCTION("GOOGLETRANSLATE(B13106,""en"",""zh-CN"")"),"一个人站在酒吧后面，有几杯混合饮料。")</f>
        <v>一个人站在酒吧后面，有几杯混合饮料。</v>
      </c>
    </row>
    <row r="13107">
      <c r="A13107" s="4" t="s">
        <v>16491</v>
      </c>
      <c r="B13107" s="4" t="s">
        <v>16493</v>
      </c>
      <c r="C13107" s="5" t="str">
        <f>IFERROR(__xludf.DUMMYFUNCTION("GOOGLETRANSLATE(B13107,""en"",""zh-CN"")"),"他将冰倒入玻璃杯中，然后用不同的酒在上面。")</f>
        <v>他将冰倒入玻璃杯中，然后用不同的酒在上面。</v>
      </c>
    </row>
    <row r="13108">
      <c r="A13108" s="4" t="s">
        <v>16491</v>
      </c>
      <c r="B13108" s="4" t="s">
        <v>16494</v>
      </c>
      <c r="C13108" s="5" t="str">
        <f>IFERROR(__xludf.DUMMYFUNCTION("GOOGLETRANSLATE(B13108,""en"",""zh-CN"")"),"然后，他加了一根小吸管。")</f>
        <v>然后，他加了一根小吸管。</v>
      </c>
    </row>
    <row r="13109">
      <c r="A13109" s="4" t="s">
        <v>16495</v>
      </c>
      <c r="B13109" s="4" t="s">
        <v>16496</v>
      </c>
      <c r="C13109" s="5" t="str">
        <f>IFERROR(__xludf.DUMMYFUNCTION("GOOGLETRANSLATE(B13109,""en"",""zh-CN"")"),"简介导致骑在水上和摩托艇上骑冲浪板的人的剪辑。")</f>
        <v>简介导致骑在水上和摩托艇上骑冲浪板的人的剪辑。</v>
      </c>
    </row>
    <row r="13110">
      <c r="A13110" s="4" t="s">
        <v>16495</v>
      </c>
      <c r="B13110" s="4" t="s">
        <v>16497</v>
      </c>
      <c r="C13110" s="5" t="str">
        <f>IFERROR(__xludf.DUMMYFUNCTION("GOOGLETRANSLATE(B13110,""en"",""zh-CN"")"),"相机在该地区周围盘子，并继续显示更多人冲浪的片段。")</f>
        <v>相机在该地区周围盘子，并继续显示更多人冲浪的片段。</v>
      </c>
    </row>
    <row r="13111">
      <c r="A13111" s="4" t="s">
        <v>16495</v>
      </c>
      <c r="B13111" s="4" t="s">
        <v>16498</v>
      </c>
      <c r="C13111" s="5" t="str">
        <f>IFERROR(__xludf.DUMMYFUNCTION("GOOGLETRANSLATE(B13111,""en"",""zh-CN"")"),"显示了冲浪板的特写，随后有更多的人在水上冲浪。")</f>
        <v>显示了冲浪板的特写，随后有更多的人在水上冲浪。</v>
      </c>
    </row>
    <row r="13112">
      <c r="A13112" s="4" t="s">
        <v>16499</v>
      </c>
      <c r="B13112" s="6" t="s">
        <v>16500</v>
      </c>
      <c r="C13112" s="5" t="str">
        <f>IFERROR(__xludf.DUMMYFUNCTION("GOOGLETRANSLATE(B13112,""en"",""zh-CN"")"),"屏幕以自行车辐条作为背景和红色单词出现，上面写着“大修和调整杯子和锥形轮毂”，以及红色单词下的灰色网站。")</f>
        <v>屏幕以自行车辐条作为背景和红色单词出现，上面写着“大修和调整杯子和锥形轮毂”，以及红色单词下的灰色网站。</v>
      </c>
    </row>
    <row r="13113">
      <c r="A13113" s="4" t="s">
        <v>16499</v>
      </c>
      <c r="B13113" s="6" t="s">
        <v>16501</v>
      </c>
      <c r="C13113" s="5" t="str">
        <f>IFERROR(__xludf.DUMMYFUNCTION("GOOGLETRANSLATE(B13113,""en"",""zh-CN"")"),"然后，一个男人进入并从后面使用，他使用轮毂上的工具将其拆开，对其进行彻底清洁，油脂，然后将它们全部放回原处，并确保一切都紧紧固定。")</f>
        <v>然后，一个男人进入并从后面使用，他使用轮毂上的工具将其拆开，对其进行彻底清洁，油脂，然后将它们全部放回原处，并确保一切都紧紧固定。</v>
      </c>
    </row>
    <row r="13114">
      <c r="A13114" s="4" t="s">
        <v>16499</v>
      </c>
      <c r="B13114" s="6" t="s">
        <v>16502</v>
      </c>
      <c r="C13114" s="5" t="str">
        <f>IFERROR(__xludf.DUMMYFUNCTION("GOOGLETRANSLATE(B13114,""en"",""zh-CN"")"),"Outro是一个旋转的轮，上面有快速滚动的单词从底部到顶部，然后很快就会淡入黑屏。")</f>
        <v>Outro是一个旋转的轮，上面有快速滚动的单词从底部到顶部，然后很快就会淡入黑屏。</v>
      </c>
    </row>
    <row r="13115">
      <c r="A13115" s="4" t="s">
        <v>16503</v>
      </c>
      <c r="B13115" s="4" t="s">
        <v>16504</v>
      </c>
      <c r="C13115" s="5" t="str">
        <f>IFERROR(__xludf.DUMMYFUNCTION("GOOGLETRANSLATE(B13115,""en"",""zh-CN"")"),"在拿着棍子的同时，球队在田野里投掷。")</f>
        <v>在拿着棍子的同时，球队在田野里投掷。</v>
      </c>
    </row>
    <row r="13116">
      <c r="A13116" s="4" t="s">
        <v>16503</v>
      </c>
      <c r="B13116" s="4" t="s">
        <v>16505</v>
      </c>
      <c r="C13116" s="5" t="str">
        <f>IFERROR(__xludf.DUMMYFUNCTION("GOOGLETRANSLATE(B13116,""en"",""zh-CN"")"),"一个女人站着，一位女士在长凳的前面走路。")</f>
        <v>一个女人站着，一位女士在长凳的前面走路。</v>
      </c>
    </row>
    <row r="13117">
      <c r="A13117" s="4" t="s">
        <v>16503</v>
      </c>
      <c r="B13117" s="4" t="s">
        <v>16506</v>
      </c>
      <c r="C13117" s="5" t="str">
        <f>IFERROR(__xludf.DUMMYFUNCTION("GOOGLETRANSLATE(B13117,""en"",""zh-CN"")"),"裁判伸出左臂。")</f>
        <v>裁判伸出左臂。</v>
      </c>
    </row>
    <row r="13118">
      <c r="A13118" s="4" t="s">
        <v>16507</v>
      </c>
      <c r="B13118" s="4" t="s">
        <v>16508</v>
      </c>
      <c r="C13118" s="5" t="str">
        <f>IFERROR(__xludf.DUMMYFUNCTION("GOOGLETRANSLATE(B13118,""en"",""zh-CN"")"),"显示了各种镜头，这些工具会导致一个坐在拿着吉他的男人。")</f>
        <v>显示了各种镜头，这些工具会导致一个坐在拿着吉他的男人。</v>
      </c>
    </row>
    <row r="13119">
      <c r="A13119" s="4" t="s">
        <v>16507</v>
      </c>
      <c r="B13119" s="4" t="s">
        <v>16509</v>
      </c>
      <c r="C13119" s="5" t="str">
        <f>IFERROR(__xludf.DUMMYFUNCTION("GOOGLETRANSLATE(B13119,""en"",""zh-CN"")"),"然后，该男子弹吉他并停下来。")</f>
        <v>然后，该男子弹吉他并停下来。</v>
      </c>
    </row>
    <row r="13120">
      <c r="A13120" s="4" t="s">
        <v>16507</v>
      </c>
      <c r="B13120" s="4" t="s">
        <v>16510</v>
      </c>
      <c r="C13120" s="5" t="str">
        <f>IFERROR(__xludf.DUMMYFUNCTION("GOOGLETRANSLATE(B13120,""en"",""zh-CN"")"),"然后，他再次显示他的演奏以及更多的工具。")</f>
        <v>然后，他再次显示他的演奏以及更多的工具。</v>
      </c>
    </row>
    <row r="13121">
      <c r="A13121" s="4" t="s">
        <v>16511</v>
      </c>
      <c r="B13121" s="4" t="s">
        <v>16512</v>
      </c>
      <c r="C13121" s="5" t="str">
        <f>IFERROR(__xludf.DUMMYFUNCTION("GOOGLETRANSLATE(B13121,""en"",""zh-CN"")"),"船上的多组人正在探索一条河。")</f>
        <v>船上的多组人正在探索一条河。</v>
      </c>
    </row>
    <row r="13122">
      <c r="A13122" s="4" t="s">
        <v>16511</v>
      </c>
      <c r="B13122" s="4" t="s">
        <v>16513</v>
      </c>
      <c r="C13122" s="5" t="str">
        <f>IFERROR(__xludf.DUMMYFUNCTION("GOOGLETRANSLATE(B13122,""en"",""zh-CN"")"),"风吹过大峡谷中的树木。")</f>
        <v>风吹过大峡谷中的树木。</v>
      </c>
    </row>
    <row r="13123">
      <c r="A13123" s="4" t="s">
        <v>16511</v>
      </c>
      <c r="B13123" s="4" t="s">
        <v>16514</v>
      </c>
      <c r="C13123" s="5" t="str">
        <f>IFERROR(__xludf.DUMMYFUNCTION("GOOGLETRANSLATE(B13123,""en"",""zh-CN"")"),"一群人在河水的水域上划船。")</f>
        <v>一群人在河水的水域上划船。</v>
      </c>
    </row>
    <row r="13124">
      <c r="A13124" s="4" t="s">
        <v>16511</v>
      </c>
      <c r="B13124" s="4" t="s">
        <v>16515</v>
      </c>
      <c r="C13124" s="5" t="str">
        <f>IFERROR(__xludf.DUMMYFUNCTION("GOOGLETRANSLATE(B13124,""en"",""zh-CN"")"),"多个团体与高暴力水域作斗争。")</f>
        <v>多个团体与高暴力水域作斗争。</v>
      </c>
    </row>
    <row r="13125">
      <c r="A13125" s="4" t="s">
        <v>16511</v>
      </c>
      <c r="B13125" s="4" t="s">
        <v>16516</v>
      </c>
      <c r="C13125" s="5" t="str">
        <f>IFERROR(__xludf.DUMMYFUNCTION("GOOGLETRANSLATE(B13125,""en"",""zh-CN"")"),"有一次，暴力水似乎几乎倒塌了其中一群人。")</f>
        <v>有一次，暴力水似乎几乎倒塌了其中一群人。</v>
      </c>
    </row>
    <row r="13126">
      <c r="A13126" s="4" t="s">
        <v>16511</v>
      </c>
      <c r="B13126" s="4" t="s">
        <v>16517</v>
      </c>
      <c r="C13126" s="5" t="str">
        <f>IFERROR(__xludf.DUMMYFUNCTION("GOOGLETRANSLATE(B13126,""en"",""zh-CN"")"),"一个勇敢的单人皮划艇在水域划船。")</f>
        <v>一个勇敢的单人皮划艇在水域划船。</v>
      </c>
    </row>
    <row r="13127">
      <c r="A13127" s="4" t="s">
        <v>16518</v>
      </c>
      <c r="B13127" s="4" t="s">
        <v>16519</v>
      </c>
      <c r="C13127" s="5" t="str">
        <f>IFERROR(__xludf.DUMMYFUNCTION("GOOGLETRANSLATE(B13127,""en"",""zh-CN"")"),"一名中年男子穿着溜冰者站在街上。")</f>
        <v>一名中年男子穿着溜冰者站在街上。</v>
      </c>
    </row>
    <row r="13128">
      <c r="A13128" s="4" t="s">
        <v>16518</v>
      </c>
      <c r="B13128" s="4" t="s">
        <v>16520</v>
      </c>
      <c r="C13128" s="5" t="str">
        <f>IFERROR(__xludf.DUMMYFUNCTION("GOOGLETRANSLATE(B13128,""en"",""zh-CN"")"),"这个人精确地溜冰了一排小锥。")</f>
        <v>这个人精确地溜冰了一排小锥。</v>
      </c>
    </row>
    <row r="13129">
      <c r="A13129" s="4" t="s">
        <v>16518</v>
      </c>
      <c r="B13129" s="4" t="s">
        <v>16521</v>
      </c>
      <c r="C13129" s="5" t="str">
        <f>IFERROR(__xludf.DUMMYFUNCTION("GOOGLETRANSLATE(B13129,""en"",""zh-CN"")"),"该男子完成课程后倒立，然后回到开始。")</f>
        <v>该男子完成课程后倒立，然后回到开始。</v>
      </c>
    </row>
    <row r="13130">
      <c r="A13130" s="4" t="s">
        <v>16522</v>
      </c>
      <c r="B13130" s="4" t="s">
        <v>16523</v>
      </c>
      <c r="C13130" s="5" t="str">
        <f>IFERROR(__xludf.DUMMYFUNCTION("GOOGLETRANSLATE(B13130,""en"",""zh-CN"")"),"两个人沿着海滩沿着冲浪板散步。")</f>
        <v>两个人沿着海滩沿着冲浪板散步。</v>
      </c>
    </row>
    <row r="13131">
      <c r="A13131" s="4" t="s">
        <v>16522</v>
      </c>
      <c r="B13131" s="4" t="s">
        <v>16524</v>
      </c>
      <c r="C13131" s="5" t="str">
        <f>IFERROR(__xludf.DUMMYFUNCTION("GOOGLETRANSLATE(B13131,""en"",""zh-CN"")"),"他们进入水面，白板带着冲浪者抓住了一阵浪潮。")</f>
        <v>他们进入水面，白板带着冲浪者抓住了一阵浪潮。</v>
      </c>
    </row>
    <row r="13132">
      <c r="A13132" s="4" t="s">
        <v>16522</v>
      </c>
      <c r="B13132" s="6" t="s">
        <v>16525</v>
      </c>
      <c r="C13132" s="5" t="str">
        <f>IFERROR(__xludf.DUMMYFUNCTION("GOOGLETRANSLATE(B13132,""en"",""zh-CN"")"),"当蓝色板选择退出时，白板抓住了另一波浪潮，显示了更多白板的波。")</f>
        <v>当蓝色板选择退出时，白板抓住了另一波浪潮，显示了更多白板的波。</v>
      </c>
    </row>
    <row r="13133">
      <c r="A13133" s="4" t="s">
        <v>16522</v>
      </c>
      <c r="B13133" s="4" t="s">
        <v>16526</v>
      </c>
      <c r="C13133" s="5" t="str">
        <f>IFERROR(__xludf.DUMMYFUNCTION("GOOGLETRANSLATE(B13133,""en"",""zh-CN"")"),"蓝色板上的冲浪者抓住了几波。")</f>
        <v>蓝色板上的冲浪者抓住了几波。</v>
      </c>
    </row>
    <row r="13134">
      <c r="A13134" s="4" t="s">
        <v>16522</v>
      </c>
      <c r="B13134" s="4" t="s">
        <v>16527</v>
      </c>
      <c r="C13134" s="5" t="str">
        <f>IFERROR(__xludf.DUMMYFUNCTION("GOOGLETRANSLATE(B13134,""en"",""zh-CN"")"),"白板冲浪者显示在更多的波浪上滑行，显然像专家一样。")</f>
        <v>白板冲浪者显示在更多的波浪上滑行，显然像专家一样。</v>
      </c>
    </row>
    <row r="13135">
      <c r="A13135" s="4" t="s">
        <v>16528</v>
      </c>
      <c r="B13135" s="4" t="s">
        <v>16529</v>
      </c>
      <c r="C13135" s="5" t="str">
        <f>IFERROR(__xludf.DUMMYFUNCTION("GOOGLETRANSLATE(B13135,""en"",""zh-CN"")"),"一系列屏幕以段落形式出现白色和紫色单词。")</f>
        <v>一系列屏幕以段落形式出现白色和紫色单词。</v>
      </c>
    </row>
    <row r="13136">
      <c r="A13136" s="4" t="s">
        <v>16528</v>
      </c>
      <c r="B13136" s="4" t="s">
        <v>16530</v>
      </c>
      <c r="C13136" s="5" t="str">
        <f>IFERROR(__xludf.DUMMYFUNCTION("GOOGLETRANSLATE(B13136,""en"",""zh-CN"")"),"然后，一个人用餐具从玻璃杯上降落的人走到汽车上。")</f>
        <v>然后，一个人用餐具从玻璃杯上降落的人走到汽车上。</v>
      </c>
    </row>
    <row r="13137">
      <c r="A13137" s="4" t="s">
        <v>16528</v>
      </c>
      <c r="B13137" s="4" t="s">
        <v>16531</v>
      </c>
      <c r="C13137" s="5" t="str">
        <f>IFERROR(__xludf.DUMMYFUNCTION("GOOGLETRANSLATE(B13137,""en"",""zh-CN"")"),"然后另一个带有白色单词的屏幕显示一个句子和位置。")</f>
        <v>然后另一个带有白色单词的屏幕显示一个句子和位置。</v>
      </c>
    </row>
    <row r="13138">
      <c r="A13138" s="4" t="s">
        <v>16532</v>
      </c>
      <c r="B13138" s="4" t="s">
        <v>16533</v>
      </c>
      <c r="C13138" s="5" t="str">
        <f>IFERROR(__xludf.DUMMYFUNCTION("GOOGLETRANSLATE(B13138,""en"",""zh-CN"")"),"看到两个人站在垫子上，开始互相战斗。")</f>
        <v>看到两个人站在垫子上，开始互相战斗。</v>
      </c>
    </row>
    <row r="13139">
      <c r="A13139" s="4" t="s">
        <v>16532</v>
      </c>
      <c r="B13139" s="4" t="s">
        <v>16534</v>
      </c>
      <c r="C13139" s="5" t="str">
        <f>IFERROR(__xludf.DUMMYFUNCTION("GOOGLETRANSLATE(B13139,""en"",""zh-CN"")"),"这些人停了一会儿，并在人们看着一边时继续战斗。")</f>
        <v>这些人停了一会儿，并在人们看着一边时继续战斗。</v>
      </c>
    </row>
    <row r="13140">
      <c r="A13140" s="4" t="s">
        <v>16532</v>
      </c>
      <c r="B13140" s="4" t="s">
        <v>16535</v>
      </c>
      <c r="C13140" s="5" t="str">
        <f>IFERROR(__xludf.DUMMYFUNCTION("GOOGLETRANSLATE(B13140,""en"",""zh-CN"")"),"男孩们最终继续战斗并停下来。")</f>
        <v>男孩们最终继续战斗并停下来。</v>
      </c>
    </row>
    <row r="13141">
      <c r="A13141" s="4" t="s">
        <v>16536</v>
      </c>
      <c r="B13141" s="4" t="s">
        <v>16537</v>
      </c>
      <c r="C13141" s="5" t="str">
        <f>IFERROR(__xludf.DUMMYFUNCTION("GOOGLETRANSLATE(B13141,""en"",""zh-CN"")"),"看到一个人打开水龙头并在水下摩擦双手。")</f>
        <v>看到一个人打开水龙头并在水下摩擦双手。</v>
      </c>
    </row>
    <row r="13142">
      <c r="A13142" s="4" t="s">
        <v>16536</v>
      </c>
      <c r="B13142" s="6" t="s">
        <v>16538</v>
      </c>
      <c r="C13142" s="5" t="str">
        <f>IFERROR(__xludf.DUMMYFUNCTION("GOOGLETRANSLATE(B13142,""en"",""zh-CN"")"),"该人将肥皂推入手中，看着肥皂滴下来，然后擦洗他们的手。")</f>
        <v>该人将肥皂推入手中，看着肥皂滴下来，然后擦洗他们的手。</v>
      </c>
    </row>
    <row r="13143">
      <c r="A13143" s="4" t="s">
        <v>16539</v>
      </c>
      <c r="B13143" s="6" t="s">
        <v>16540</v>
      </c>
      <c r="C13143" s="5" t="str">
        <f>IFERROR(__xludf.DUMMYFUNCTION("GOOGLETRANSLATE(B13143,""en"",""zh-CN"")"),"有一个女人，有一个手动纹身和红色彩绘的指甲，并在汽车的树干中拧紧并拧紧零件以连接备用轮胎。")</f>
        <v>有一个女人，有一个手动纹身和红色彩绘的指甲，并在汽车的树干中拧紧并拧紧零件以连接备用轮胎。</v>
      </c>
    </row>
    <row r="13144">
      <c r="A13144" s="4" t="s">
        <v>16539</v>
      </c>
      <c r="B13144" s="4" t="s">
        <v>16541</v>
      </c>
      <c r="C13144" s="5" t="str">
        <f>IFERROR(__xludf.DUMMYFUNCTION("GOOGLETRANSLATE(B13144,""en"",""zh-CN"")"),"然后她将备用轮胎放入金属盒中。")</f>
        <v>然后她将备用轮胎放入金属盒中。</v>
      </c>
    </row>
    <row r="13145">
      <c r="A13145" s="4" t="s">
        <v>16539</v>
      </c>
      <c r="B13145" s="4" t="s">
        <v>16542</v>
      </c>
      <c r="C13145" s="5" t="str">
        <f>IFERROR(__xludf.DUMMYFUNCTION("GOOGLETRANSLATE(B13145,""en"",""zh-CN"")"),"她拿起塑料表盘并将其牢固地拧紧以将备用轮胎安装在后备箱中。")</f>
        <v>她拿起塑料表盘并将其牢固地拧紧以将备用轮胎安装在后备箱中。</v>
      </c>
    </row>
    <row r="13146">
      <c r="A13146" s="4" t="s">
        <v>16539</v>
      </c>
      <c r="B13146" s="4" t="s">
        <v>16543</v>
      </c>
      <c r="C13146" s="5" t="str">
        <f>IFERROR(__xludf.DUMMYFUNCTION("GOOGLETRANSLATE(B13146,""en"",""zh-CN"")"),"她将盖子放在后备箱内的轮胎上。")</f>
        <v>她将盖子放在后备箱内的轮胎上。</v>
      </c>
    </row>
    <row r="13147">
      <c r="A13147" s="4" t="s">
        <v>16544</v>
      </c>
      <c r="B13147" s="6" t="s">
        <v>16545</v>
      </c>
      <c r="C13147" s="5" t="str">
        <f>IFERROR(__xludf.DUMMYFUNCTION("GOOGLETRANSLATE(B13147,""en"",""zh-CN"")"),"有很多孩子，从幼儿到青少年在后院生日聚会上享受自己。")</f>
        <v>有很多孩子，从幼儿到青少年在后院生日聚会上享受自己。</v>
      </c>
    </row>
    <row r="13148">
      <c r="A13148" s="4" t="s">
        <v>16544</v>
      </c>
      <c r="B13148" s="4" t="s">
        <v>16546</v>
      </c>
      <c r="C13148" s="5" t="str">
        <f>IFERROR(__xludf.DUMMYFUNCTION("GOOGLETRANSLATE(B13148,""en"",""zh-CN"")"),"一棵树上有一个迪士尼公主皮纳塔。")</f>
        <v>一棵树上有一个迪士尼公主皮纳塔。</v>
      </c>
    </row>
    <row r="13149">
      <c r="A13149" s="4" t="s">
        <v>16544</v>
      </c>
      <c r="B13149" s="4" t="s">
        <v>16547</v>
      </c>
      <c r="C13149" s="5" t="str">
        <f>IFERROR(__xludf.DUMMYFUNCTION("GOOGLETRANSLATE(B13149,""en"",""zh-CN"")"),"孩子们喜欢用蓝色棍子击中Piñata。")</f>
        <v>孩子们喜欢用蓝色棍子击中Piñata。</v>
      </c>
    </row>
    <row r="13150">
      <c r="A13150" s="4" t="s">
        <v>16544</v>
      </c>
      <c r="B13150" s="4" t="s">
        <v>16548</v>
      </c>
      <c r="C13150" s="5" t="str">
        <f>IFERROR(__xludf.DUMMYFUNCTION("GOOGLETRANSLATE(B13150,""en"",""zh-CN"")"),"他们的孩子轮流击中Piñata。")</f>
        <v>他们的孩子轮流击中Piñata。</v>
      </c>
    </row>
    <row r="13151">
      <c r="A13151" s="4" t="s">
        <v>16544</v>
      </c>
      <c r="B13151" s="4" t="s">
        <v>16549</v>
      </c>
      <c r="C13151" s="5" t="str">
        <f>IFERROR(__xludf.DUMMYFUNCTION("GOOGLETRANSLATE(B13151,""en"",""zh-CN"")"),"一个穿着紫色裙子的小女孩试图用棍子用力击中Piñata。")</f>
        <v>一个穿着紫色裙子的小女孩试图用棍子用力击中Piñata。</v>
      </c>
    </row>
    <row r="13152">
      <c r="A13152" s="4" t="s">
        <v>16550</v>
      </c>
      <c r="B13152" s="4" t="s">
        <v>16551</v>
      </c>
      <c r="C13152" s="5" t="str">
        <f>IFERROR(__xludf.DUMMYFUNCTION("GOOGLETRANSLATE(B13152,""en"",""zh-CN"")"),"看到一个年幼的孩子站在拿着棍子的洗牌板桌子前。")</f>
        <v>看到一个年幼的孩子站在拿着棍子的洗牌板桌子前。</v>
      </c>
    </row>
    <row r="13153">
      <c r="A13153" s="4" t="s">
        <v>16550</v>
      </c>
      <c r="B13153" s="4" t="s">
        <v>16552</v>
      </c>
      <c r="C13153" s="5" t="str">
        <f>IFERROR(__xludf.DUMMYFUNCTION("GOOGLETRANSLATE(B13153,""en"",""zh-CN"")"),"然后，男孩将冰球推到整个比赛中。")</f>
        <v>然后，男孩将冰球推到整个比赛中。</v>
      </c>
    </row>
    <row r="13154">
      <c r="A13154" s="4" t="s">
        <v>16550</v>
      </c>
      <c r="B13154" s="4" t="s">
        <v>16553</v>
      </c>
      <c r="C13154" s="5" t="str">
        <f>IFERROR(__xludf.DUMMYFUNCTION("GOOGLETRANSLATE(B13154,""en"",""zh-CN"")"),"相机跟随冰球的动作，并带回男孩。")</f>
        <v>相机跟随冰球的动作，并带回男孩。</v>
      </c>
    </row>
    <row r="13155">
      <c r="A13155" s="4" t="s">
        <v>16554</v>
      </c>
      <c r="B13155" s="4" t="s">
        <v>16555</v>
      </c>
      <c r="C13155" s="5" t="str">
        <f>IFERROR(__xludf.DUMMYFUNCTION("GOOGLETRANSLATE(B13155,""en"",""zh-CN"")"),"一个男人用蝙蝠击球。")</f>
        <v>一个男人用蝙蝠击球。</v>
      </c>
    </row>
    <row r="13156">
      <c r="A13156" s="4" t="s">
        <v>16554</v>
      </c>
      <c r="B13156" s="4" t="s">
        <v>16556</v>
      </c>
      <c r="C13156" s="5" t="str">
        <f>IFERROR(__xludf.DUMMYFUNCTION("GOOGLETRANSLATE(B13156,""en"",""zh-CN"")"),"三个人站在田野上。")</f>
        <v>三个人站在田野上。</v>
      </c>
    </row>
    <row r="13157">
      <c r="A13157" s="4" t="s">
        <v>16554</v>
      </c>
      <c r="B13157" s="4" t="s">
        <v>16557</v>
      </c>
      <c r="C13157" s="5" t="str">
        <f>IFERROR(__xludf.DUMMYFUNCTION("GOOGLETRANSLATE(B13157,""en"",""zh-CN"")"),"一个人在场上投掷球。")</f>
        <v>一个人在场上投掷球。</v>
      </c>
    </row>
    <row r="13158">
      <c r="A13158" s="4" t="s">
        <v>16554</v>
      </c>
      <c r="B13158" s="4" t="s">
        <v>16558</v>
      </c>
      <c r="C13158" s="5" t="str">
        <f>IFERROR(__xludf.DUMMYFUNCTION("GOOGLETRANSLATE(B13158,""en"",""zh-CN"")"),"三个人翻转一枚硬币。")</f>
        <v>三个人翻转一枚硬币。</v>
      </c>
    </row>
    <row r="13159">
      <c r="A13159" s="4" t="s">
        <v>16559</v>
      </c>
      <c r="B13159" s="4" t="s">
        <v>16560</v>
      </c>
      <c r="C13159" s="5" t="str">
        <f>IFERROR(__xludf.DUMMYFUNCTION("GOOGLETRANSLATE(B13159,""en"",""zh-CN"")"),"一个人正在弹声吉他。")</f>
        <v>一个人正在弹声吉他。</v>
      </c>
    </row>
    <row r="13160">
      <c r="A13160" s="4" t="s">
        <v>16559</v>
      </c>
      <c r="B13160" s="4" t="s">
        <v>16561</v>
      </c>
      <c r="C13160" s="5" t="str">
        <f>IFERROR(__xludf.DUMMYFUNCTION("GOOGLETRANSLATE(B13160,""en"",""zh-CN"")"),"他身后有一棵圣诞树。")</f>
        <v>他身后有一棵圣诞树。</v>
      </c>
    </row>
    <row r="13161">
      <c r="A13161" s="4" t="s">
        <v>16559</v>
      </c>
      <c r="B13161" s="4" t="s">
        <v>16562</v>
      </c>
      <c r="C13161" s="5" t="str">
        <f>IFERROR(__xludf.DUMMYFUNCTION("GOOGLETRANSLATE(B13161,""en"",""zh-CN"")"),"带有单词的徽标出现在屏幕上。")</f>
        <v>带有单词的徽标出现在屏幕上。</v>
      </c>
    </row>
    <row r="13162">
      <c r="A13162" s="4" t="s">
        <v>16563</v>
      </c>
      <c r="B13162" s="4" t="s">
        <v>16564</v>
      </c>
      <c r="C13162" s="5" t="str">
        <f>IFERROR(__xludf.DUMMYFUNCTION("GOOGLETRANSLATE(B13162,""en"",""zh-CN"")"),"看到城市周围的不同景色。")</f>
        <v>看到城市周围的不同景色。</v>
      </c>
    </row>
    <row r="13163">
      <c r="A13163" s="4" t="s">
        <v>16563</v>
      </c>
      <c r="B13163" s="4" t="s">
        <v>16565</v>
      </c>
      <c r="C13163" s="5" t="str">
        <f>IFERROR(__xludf.DUMMYFUNCTION("GOOGLETRANSLATE(B13163,""en"",""zh-CN"")"),"看到一大群人在一个大礼堂里欢呼。")</f>
        <v>看到一大群人在一个大礼堂里欢呼。</v>
      </c>
    </row>
    <row r="13164">
      <c r="A13164" s="4" t="s">
        <v>16563</v>
      </c>
      <c r="B13164" s="6" t="s">
        <v>16566</v>
      </c>
      <c r="C13164" s="5" t="str">
        <f>IFERROR(__xludf.DUMMYFUNCTION("GOOGLETRANSLATE(B13164,""en"",""zh-CN"")"),"运动员一起穿过走廊，然后站在原木上，在比赛中切碎。")</f>
        <v>运动员一起穿过走廊，然后站在原木上，在比赛中切碎。</v>
      </c>
    </row>
    <row r="13165">
      <c r="A13165" s="4" t="s">
        <v>16563</v>
      </c>
      <c r="B13165" s="6" t="s">
        <v>16567</v>
      </c>
      <c r="C13165" s="5" t="str">
        <f>IFERROR(__xludf.DUMMYFUNCTION("GOOGLETRANSLATE(B13165,""en"",""zh-CN"")"),"两名运动员穿着绿色和橙色球衣走过，然后在比赛中看到了大型木头。")</f>
        <v>两名运动员穿着绿色和橙色球衣走过，然后在比赛中看到了大型木头。</v>
      </c>
    </row>
    <row r="13166">
      <c r="A13166" s="4" t="s">
        <v>16563</v>
      </c>
      <c r="B13166" s="4" t="s">
        <v>16568</v>
      </c>
      <c r="C13166" s="5" t="str">
        <f>IFERROR(__xludf.DUMMYFUNCTION("GOOGLETRANSLATE(B13166,""en"",""zh-CN"")"),"法官检查日志，并宣布赢家使人群感到高兴。")</f>
        <v>法官检查日志，并宣布赢家使人群感到高兴。</v>
      </c>
    </row>
    <row r="13167">
      <c r="A13167" s="4" t="s">
        <v>16563</v>
      </c>
      <c r="B13167" s="4" t="s">
        <v>16569</v>
      </c>
      <c r="C13167" s="5" t="str">
        <f>IFERROR(__xludf.DUMMYFUNCTION("GOOGLETRANSLATE(B13167,""en"",""zh-CN"")"),"两名运动员走过走廊，然后在比赛中切碎直立的登录。")</f>
        <v>两名运动员走过走廊，然后在比赛中切碎直立的登录。</v>
      </c>
    </row>
    <row r="13168">
      <c r="A13168" s="4" t="s">
        <v>16563</v>
      </c>
      <c r="B13168" s="4" t="s">
        <v>16570</v>
      </c>
      <c r="C13168" s="5" t="str">
        <f>IFERROR(__xludf.DUMMYFUNCTION("GOOGLETRANSLATE(B13168,""en"",""zh-CN"")"),"啦啦队通过走廊进入，然后在舞台上跳舞。")</f>
        <v>啦啦队通过走廊进入，然后在舞台上跳舞。</v>
      </c>
    </row>
    <row r="13169">
      <c r="A13169" s="4" t="s">
        <v>16563</v>
      </c>
      <c r="B13169" s="4" t="s">
        <v>16571</v>
      </c>
      <c r="C13169" s="5" t="str">
        <f>IFERROR(__xludf.DUMMYFUNCTION("GOOGLETRANSLATE(B13169,""en"",""zh-CN"")"),"两名运动员通过走廊进入，然后用手锯切开原木。")</f>
        <v>两名运动员通过走廊进入，然后用手锯切开原木。</v>
      </c>
    </row>
    <row r="13170">
      <c r="A13170" s="4" t="s">
        <v>16563</v>
      </c>
      <c r="B13170" s="6" t="s">
        <v>16572</v>
      </c>
      <c r="C13170" s="5" t="str">
        <f>IFERROR(__xludf.DUMMYFUNCTION("GOOGLETRANSLATE(B13170,""en"",""zh-CN"")"),"两名运动员通过走廊进入，然后将木板放入木头上，同时将其切碎。")</f>
        <v>两名运动员通过走廊进入，然后将木板放入木头上，同时将其切碎。</v>
      </c>
    </row>
    <row r="13171">
      <c r="A13171" s="4" t="s">
        <v>16563</v>
      </c>
      <c r="B13171" s="6" t="s">
        <v>16573</v>
      </c>
      <c r="C13171" s="5" t="str">
        <f>IFERROR(__xludf.DUMMYFUNCTION("GOOGLETRANSLATE(B13171,""en"",""zh-CN"")"),"运动员参加了电锯比赛，并在互相祝贺之前通过大量原木看到。")</f>
        <v>运动员参加了电锯比赛，并在互相祝贺之前通过大量原木看到。</v>
      </c>
    </row>
    <row r="13172">
      <c r="A13172" s="4" t="s">
        <v>16563</v>
      </c>
      <c r="B13172" s="4" t="s">
        <v>16574</v>
      </c>
      <c r="C13172" s="5" t="str">
        <f>IFERROR(__xludf.DUMMYFUNCTION("GOOGLETRANSLATE(B13172,""en"",""zh-CN"")"),"看到获胜者与跑步者一起举行奖杯，人群欢呼。")</f>
        <v>看到获胜者与跑步者一起举行奖杯，人群欢呼。</v>
      </c>
    </row>
    <row r="13173">
      <c r="A13173" s="4" t="s">
        <v>16575</v>
      </c>
      <c r="B13173" s="4" t="s">
        <v>16576</v>
      </c>
      <c r="C13173" s="5" t="str">
        <f>IFERROR(__xludf.DUMMYFUNCTION("GOOGLETRANSLATE(B13173,""en"",""zh-CN"")"),"这两个不同的团队在场上跑步，因为他们在比赛中打球。")</f>
        <v>这两个不同的团队在场上跑步，因为他们在比赛中打球。</v>
      </c>
    </row>
    <row r="13174">
      <c r="A13174" s="4" t="s">
        <v>16575</v>
      </c>
      <c r="B13174" s="6" t="s">
        <v>16577</v>
      </c>
      <c r="C13174" s="5" t="str">
        <f>IFERROR(__xludf.DUMMYFUNCTION("GOOGLETRANSLATE(B13174,""en"",""zh-CN"")"),"只有一半的人群充满了人，而另一侧是空的，那里没有人可以观看任何东西。")</f>
        <v>只有一半的人群充满了人，而另一侧是空的，那里没有人可以观看任何东西。</v>
      </c>
    </row>
    <row r="13175">
      <c r="A13175" s="4" t="s">
        <v>16575</v>
      </c>
      <c r="B13175" s="4" t="s">
        <v>16578</v>
      </c>
      <c r="C13175" s="5" t="str">
        <f>IFERROR(__xludf.DUMMYFUNCTION("GOOGLETRANSLATE(B13175,""en"",""zh-CN"")"),"最后，有人赢得胜利，人群中的人鼓掌并欢呼。")</f>
        <v>最后，有人赢得胜利，人群中的人鼓掌并欢呼。</v>
      </c>
    </row>
    <row r="13176">
      <c r="A13176" s="4" t="s">
        <v>16579</v>
      </c>
      <c r="B13176" s="4" t="s">
        <v>16580</v>
      </c>
      <c r="C13176" s="5" t="str">
        <f>IFERROR(__xludf.DUMMYFUNCTION("GOOGLETRANSLATE(B13176,""en"",""zh-CN"")"),"一个男人坐在电吉他。")</f>
        <v>一个男人坐在电吉他。</v>
      </c>
    </row>
    <row r="13177">
      <c r="A13177" s="4" t="s">
        <v>16579</v>
      </c>
      <c r="B13177" s="4" t="s">
        <v>16581</v>
      </c>
      <c r="C13177" s="5" t="str">
        <f>IFERROR(__xludf.DUMMYFUNCTION("GOOGLETRANSLATE(B13177,""en"",""zh-CN"")"),"他正在与镜头说话，然后开始演奏。")</f>
        <v>他正在与镜头说话，然后开始演奏。</v>
      </c>
    </row>
    <row r="13178">
      <c r="A13178" s="4" t="s">
        <v>16579</v>
      </c>
      <c r="B13178" s="4" t="s">
        <v>16582</v>
      </c>
      <c r="C13178" s="5" t="str">
        <f>IFERROR(__xludf.DUMMYFUNCTION("GOOGLETRANSLATE(B13178,""en"",""zh-CN"")"),"另一个男人在桌子上演奏和弦。")</f>
        <v>另一个男人在桌子上演奏和弦。</v>
      </c>
    </row>
    <row r="13179">
      <c r="A13179" s="4" t="s">
        <v>16583</v>
      </c>
      <c r="B13179" s="4" t="s">
        <v>16584</v>
      </c>
      <c r="C13179" s="5" t="str">
        <f>IFERROR(__xludf.DUMMYFUNCTION("GOOGLETRANSLATE(B13179,""en"",""zh-CN"")"),"一个戴着帽子和背心的女人买购物车。")</f>
        <v>一个戴着帽子和背心的女人买购物车。</v>
      </c>
    </row>
    <row r="13180">
      <c r="A13180" s="4" t="s">
        <v>16583</v>
      </c>
      <c r="B13180" s="4" t="s">
        <v>16585</v>
      </c>
      <c r="C13180" s="5" t="str">
        <f>IFERROR(__xludf.DUMMYFUNCTION("GOOGLETRANSLATE(B13180,""en"",""zh-CN"")"),"她正在钩编黑色和白色。")</f>
        <v>她正在钩编黑色和白色。</v>
      </c>
    </row>
    <row r="13181">
      <c r="A13181" s="4" t="s">
        <v>16583</v>
      </c>
      <c r="B13181" s="4" t="s">
        <v>16586</v>
      </c>
      <c r="C13181" s="5" t="str">
        <f>IFERROR(__xludf.DUMMYFUNCTION("GOOGLETRANSLATE(B13181,""en"",""zh-CN"")"),"一辆汽车驶过购物车。")</f>
        <v>一辆汽车驶过购物车。</v>
      </c>
    </row>
    <row r="13182">
      <c r="A13182" s="4" t="s">
        <v>16583</v>
      </c>
      <c r="B13182" s="4" t="s">
        <v>16587</v>
      </c>
      <c r="C13182" s="5" t="str">
        <f>IFERROR(__xludf.DUMMYFUNCTION("GOOGLETRANSLATE(B13182,""en"",""zh-CN"")"),"另一个人伸手上车。")</f>
        <v>另一个人伸手上车。</v>
      </c>
    </row>
    <row r="13183">
      <c r="A13183" s="4" t="s">
        <v>16588</v>
      </c>
      <c r="B13183" s="4" t="s">
        <v>16589</v>
      </c>
      <c r="C13183" s="5" t="str">
        <f>IFERROR(__xludf.DUMMYFUNCTION("GOOGLETRANSLATE(B13183,""en"",""zh-CN"")"),"一个戴着帽子的人不坐在沙发上。")</f>
        <v>一个戴着帽子的人不坐在沙发上。</v>
      </c>
    </row>
    <row r="13184">
      <c r="A13184" s="4" t="s">
        <v>16588</v>
      </c>
      <c r="B13184" s="4" t="s">
        <v>16590</v>
      </c>
      <c r="C13184" s="5" t="str">
        <f>IFERROR(__xludf.DUMMYFUNCTION("GOOGLETRANSLATE(B13184,""en"",""zh-CN"")"),"他们开始播放手风琴。")</f>
        <v>他们开始播放手风琴。</v>
      </c>
    </row>
    <row r="13185">
      <c r="A13185" s="4" t="s">
        <v>16588</v>
      </c>
      <c r="B13185" s="4" t="s">
        <v>16591</v>
      </c>
      <c r="C13185" s="5" t="str">
        <f>IFERROR(__xludf.DUMMYFUNCTION("GOOGLETRANSLATE(B13185,""en"",""zh-CN"")"),"他们用螺丝刀指向手风琴上的按钮。")</f>
        <v>他们用螺丝刀指向手风琴上的按钮。</v>
      </c>
    </row>
    <row r="13186">
      <c r="A13186" s="4" t="s">
        <v>16592</v>
      </c>
      <c r="B13186" s="6" t="s">
        <v>16593</v>
      </c>
      <c r="C13186" s="5" t="str">
        <f>IFERROR(__xludf.DUMMYFUNCTION("GOOGLETRANSLATE(B13186,""en"",""zh-CN"")"),"看到一名体操运动员在酒吧上摆动，在两组横梁上进行各种翻转和技巧。")</f>
        <v>看到一名体操运动员在酒吧上摆动，在两组横梁上进行各种翻转和技巧。</v>
      </c>
    </row>
    <row r="13187">
      <c r="A13187" s="4" t="s">
        <v>16592</v>
      </c>
      <c r="B13187" s="4" t="s">
        <v>16594</v>
      </c>
      <c r="C13187" s="5" t="str">
        <f>IFERROR(__xludf.DUMMYFUNCTION("GOOGLETRANSLATE(B13187,""en"",""zh-CN"")"),"她继续旋转，双手举起，教练鼓掌。")</f>
        <v>她继续旋转，双手举起，教练鼓掌。</v>
      </c>
    </row>
    <row r="13188">
      <c r="A13188" s="4" t="s">
        <v>16592</v>
      </c>
      <c r="B13188" s="4" t="s">
        <v>16595</v>
      </c>
      <c r="C13188" s="5" t="str">
        <f>IFERROR(__xludf.DUMMYFUNCTION("GOOGLETRANSLATE(B13188,""en"",""zh-CN"")"),"人们在侧面观看，最终显示了她的分数。")</f>
        <v>人们在侧面观看，最终显示了她的分数。</v>
      </c>
    </row>
    <row r="13189">
      <c r="A13189" s="4" t="s">
        <v>16596</v>
      </c>
      <c r="B13189" s="6" t="s">
        <v>16597</v>
      </c>
      <c r="C13189" s="5" t="str">
        <f>IFERROR(__xludf.DUMMYFUNCTION("GOOGLETRANSLATE(B13189,""en"",""zh-CN"")"),"高中自助餐厅有两个高中生，站在一些学生坐在的桌子旁边。")</f>
        <v>高中自助餐厅有两个高中生，站在一些学生坐在的桌子旁边。</v>
      </c>
    </row>
    <row r="13190">
      <c r="A13190" s="4" t="s">
        <v>16596</v>
      </c>
      <c r="B13190" s="6" t="s">
        <v>16598</v>
      </c>
      <c r="C13190" s="5" t="str">
        <f>IFERROR(__xludf.DUMMYFUNCTION("GOOGLETRANSLATE(B13190,""en"",""zh-CN"")"),"其中一名学生正在脱衣服和改变他的短裤，而另一位穿着红色衬衫的学生正在看着他。")</f>
        <v>其中一名学生正在脱衣服和改变他的短裤，而另一位穿着红色衬衫的学生正在看着他。</v>
      </c>
    </row>
    <row r="13191">
      <c r="A13191" s="4" t="s">
        <v>16596</v>
      </c>
      <c r="B13191" s="4" t="s">
        <v>16599</v>
      </c>
      <c r="C13191" s="5" t="str">
        <f>IFERROR(__xludf.DUMMYFUNCTION("GOOGLETRANSLATE(B13191,""en"",""zh-CN"")"),"学生完成变化后，穿着红色衬衫的男孩取笑了他。")</f>
        <v>学生完成变化后，穿着红色衬衫的男孩取笑了他。</v>
      </c>
    </row>
    <row r="13192">
      <c r="A13192" s="4" t="s">
        <v>16596</v>
      </c>
      <c r="B13192" s="6" t="s">
        <v>16600</v>
      </c>
      <c r="C13192" s="5" t="str">
        <f>IFERROR(__xludf.DUMMYFUNCTION("GOOGLETRANSLATE(B13192,""en"",""zh-CN"")"),"该学生被激怒，并用脸上的红色衬衫拳打男孩，使他跌倒在他的头上。")</f>
        <v>该学生被激怒，并用脸上的红色衬衫拳打男孩，使他跌倒在他的头上。</v>
      </c>
    </row>
    <row r="13193">
      <c r="A13193" s="4" t="s">
        <v>16601</v>
      </c>
      <c r="B13193" s="4" t="s">
        <v>16602</v>
      </c>
      <c r="C13193" s="5" t="str">
        <f>IFERROR(__xludf.DUMMYFUNCTION("GOOGLETRANSLATE(B13193,""en"",""zh-CN"")"),"一个女人在拿着萨克斯管的舞台上漫步。")</f>
        <v>一个女人在拿着萨克斯管的舞台上漫步。</v>
      </c>
    </row>
    <row r="13194">
      <c r="A13194" s="4" t="s">
        <v>16601</v>
      </c>
      <c r="B13194" s="4" t="s">
        <v>16603</v>
      </c>
      <c r="C13194" s="5" t="str">
        <f>IFERROR(__xludf.DUMMYFUNCTION("GOOGLETRANSLATE(B13194,""en"",""zh-CN"")"),"跳舞时，她开始演奏萨克斯管。")</f>
        <v>跳舞时，她开始演奏萨克斯管。</v>
      </c>
    </row>
    <row r="13195">
      <c r="A13195" s="4" t="s">
        <v>16601</v>
      </c>
      <c r="B13195" s="4" t="s">
        <v>16604</v>
      </c>
      <c r="C13195" s="5" t="str">
        <f>IFERROR(__xludf.DUMMYFUNCTION("GOOGLETRANSLATE(B13195,""en"",""zh-CN"")"),"她停下来再次与人群交谈。")</f>
        <v>她停下来再次与人群交谈。</v>
      </c>
    </row>
    <row r="13196">
      <c r="A13196" s="4" t="s">
        <v>16601</v>
      </c>
      <c r="B13196" s="4" t="s">
        <v>16605</v>
      </c>
      <c r="C13196" s="5" t="str">
        <f>IFERROR(__xludf.DUMMYFUNCTION("GOOGLETRANSLATE(B13196,""en"",""zh-CN"")"),"她开始再次演奏和跳舞。")</f>
        <v>她开始再次演奏和跳舞。</v>
      </c>
    </row>
    <row r="13197">
      <c r="A13197" s="4" t="s">
        <v>16606</v>
      </c>
      <c r="B13197" s="4" t="s">
        <v>16607</v>
      </c>
      <c r="C13197" s="5" t="str">
        <f>IFERROR(__xludf.DUMMYFUNCTION("GOOGLETRANSLATE(B13197,""en"",""zh-CN"")"),"看到一个男人坐在桌子上，上面放着一个rubix多维数据集，他的手放在平台上。")</f>
        <v>看到一个男人坐在桌子上，上面放着一个rubix多维数据集，他的手放在平台上。</v>
      </c>
    </row>
    <row r="13198">
      <c r="A13198" s="4" t="s">
        <v>16606</v>
      </c>
      <c r="B13198" s="4" t="s">
        <v>16608</v>
      </c>
      <c r="C13198" s="5" t="str">
        <f>IFERROR(__xludf.DUMMYFUNCTION("GOOGLETRANSLATE(B13198,""en"",""zh-CN"")"),"然后，他在几秒钟内解决了Rubix Cube，并炫耀了他的时间到相机。")</f>
        <v>然后，他在几秒钟内解决了Rubix Cube，并炫耀了他的时间到相机。</v>
      </c>
    </row>
    <row r="13199">
      <c r="A13199" s="4" t="s">
        <v>16609</v>
      </c>
      <c r="B13199" s="4" t="s">
        <v>16610</v>
      </c>
      <c r="C13199" s="5" t="str">
        <f>IFERROR(__xludf.DUMMYFUNCTION("GOOGLETRANSLATE(B13199,""en"",""zh-CN"")"),"这个女孩正在制作一段视频，说明如何使您的白鞋变得闪闪发光。")</f>
        <v>这个女孩正在制作一段视频，说明如何使您的白鞋变得闪闪发光。</v>
      </c>
    </row>
    <row r="13200">
      <c r="A13200" s="4" t="s">
        <v>16609</v>
      </c>
      <c r="B13200" s="6" t="s">
        <v>16611</v>
      </c>
      <c r="C13200" s="5" t="str">
        <f>IFERROR(__xludf.DUMMYFUNCTION("GOOGLETRANSLATE(B13200,""en"",""zh-CN"")"),"您将需要牙刷，婴儿爽身粉，玻璃杯或碗，漂白剂和Q-tips，吹风机和水。")</f>
        <v>您将需要牙刷，婴儿爽身粉，玻璃杯或碗，漂白剂和Q-tips，吹风机和水。</v>
      </c>
    </row>
    <row r="13201">
      <c r="A13201" s="4" t="s">
        <v>16609</v>
      </c>
      <c r="B13201" s="6" t="s">
        <v>16612</v>
      </c>
      <c r="C13201" s="5" t="str">
        <f>IFERROR(__xludf.DUMMYFUNCTION("GOOGLETRANSLATE(B13201,""en"",""zh-CN"")"),"首先，她将水倒入小碗中，然后用牙刷将其混合。")</f>
        <v>首先，她将水倒入小碗中，然后用牙刷将其混合。</v>
      </c>
    </row>
    <row r="13202">
      <c r="A13202" s="4" t="s">
        <v>16609</v>
      </c>
      <c r="B13202" s="4" t="s">
        <v>16613</v>
      </c>
      <c r="C13202" s="5" t="str">
        <f>IFERROR(__xludf.DUMMYFUNCTION("GOOGLETRANSLATE(B13202,""en"",""zh-CN"")"),"她把婴儿粉浸泡的牙刷放在鞋子上，然后开始在那里摩擦。")</f>
        <v>她把婴儿粉浸泡的牙刷放在鞋子上，然后开始在那里摩擦。</v>
      </c>
    </row>
    <row r="13203">
      <c r="A13203" s="4" t="s">
        <v>16609</v>
      </c>
      <c r="B13203" s="4" t="s">
        <v>16614</v>
      </c>
      <c r="C13203" s="5" t="str">
        <f>IFERROR(__xludf.DUMMYFUNCTION("GOOGLETRANSLATE(B13203,""en"",""zh-CN"")"),"然后，她抓住了吹牛器，吹鞋，然后再次擦洗它们。")</f>
        <v>然后，她抓住了吹牛器，吹鞋，然后再次擦洗它们。</v>
      </c>
    </row>
    <row r="13204">
      <c r="A13204" s="4" t="s">
        <v>16609</v>
      </c>
      <c r="B13204" s="6" t="s">
        <v>16615</v>
      </c>
      <c r="C13204" s="5" t="str">
        <f>IFERROR(__xludf.DUMMYFUNCTION("GOOGLETRANSLATE(B13204,""en"",""zh-CN"")"),"然后，她将漂白剂倒入其中有婴儿爽身粉的小碗中，然后将牙刷放在碗中，然后再次在鞋子上擦。")</f>
        <v>然后，她将漂白剂倒入其中有婴儿爽身粉的小碗中，然后将牙刷放在碗中，然后再次在鞋子上擦。</v>
      </c>
    </row>
    <row r="13205">
      <c r="A13205" s="4" t="s">
        <v>16609</v>
      </c>
      <c r="B13205" s="4" t="s">
        <v>16616</v>
      </c>
      <c r="C13205" s="5" t="str">
        <f>IFERROR(__xludf.DUMMYFUNCTION("GOOGLETRANSLATE(B13205,""en"",""zh-CN"")"),"最终，她用水吹一块布，擦掉鞋子。")</f>
        <v>最终，她用水吹一块布，擦掉鞋子。</v>
      </c>
    </row>
    <row r="13206">
      <c r="A13206" s="4" t="s">
        <v>16617</v>
      </c>
      <c r="B13206" s="4" t="s">
        <v>16618</v>
      </c>
      <c r="C13206" s="5" t="str">
        <f>IFERROR(__xludf.DUMMYFUNCTION("GOOGLETRANSLATE(B13206,""en"",""zh-CN"")"),"一个男人和一个女人在桌子上摔跤。")</f>
        <v>一个男人和一个女人在桌子上摔跤。</v>
      </c>
    </row>
    <row r="13207">
      <c r="A13207" s="4" t="s">
        <v>16617</v>
      </c>
      <c r="B13207" s="4" t="s">
        <v>16619</v>
      </c>
      <c r="C13207" s="5" t="str">
        <f>IFERROR(__xludf.DUMMYFUNCTION("GOOGLETRANSLATE(B13207,""en"",""zh-CN"")"),"一件白衬衫的女人走过他们。")</f>
        <v>一件白衬衫的女人走过他们。</v>
      </c>
    </row>
    <row r="13208">
      <c r="A13208" s="4" t="s">
        <v>16617</v>
      </c>
      <c r="B13208" s="4" t="s">
        <v>16620</v>
      </c>
      <c r="C13208" s="5" t="str">
        <f>IFERROR(__xludf.DUMMYFUNCTION("GOOGLETRANSLATE(B13208,""en"",""zh-CN"")"),"女人获胜并走开。")</f>
        <v>女人获胜并走开。</v>
      </c>
    </row>
    <row r="13209">
      <c r="A13209" s="4" t="s">
        <v>16621</v>
      </c>
      <c r="B13209" s="4" t="s">
        <v>16622</v>
      </c>
      <c r="C13209" s="5" t="str">
        <f>IFERROR(__xludf.DUMMYFUNCTION("GOOGLETRANSLATE(B13209,""en"",""zh-CN"")"),"一位穿孔艺术家从女人的鼻子上取下纸巾，擦拭鼻子的一部分。")</f>
        <v>一位穿孔艺术家从女人的鼻子上取下纸巾，擦拭鼻子的一部分。</v>
      </c>
    </row>
    <row r="13210">
      <c r="A13210" s="4" t="s">
        <v>16621</v>
      </c>
      <c r="B13210" s="4" t="s">
        <v>16623</v>
      </c>
      <c r="C13210" s="5" t="str">
        <f>IFERROR(__xludf.DUMMYFUNCTION("GOOGLETRANSLATE(B13210,""en"",""zh-CN"")"),"该名女子将穿孔的钳子靠在女人的鼻子上。")</f>
        <v>该名女子将穿孔的钳子靠在女人的鼻子上。</v>
      </c>
    </row>
    <row r="13211">
      <c r="A13211" s="4" t="s">
        <v>16621</v>
      </c>
      <c r="B13211" s="4" t="s">
        <v>16624</v>
      </c>
      <c r="C13211" s="5" t="str">
        <f>IFERROR(__xludf.DUMMYFUNCTION("GOOGLETRANSLATE(B13211,""en"",""zh-CN"")"),"她穿过鼻子刺穿一根针，并将钳子固定在适当的位置。")</f>
        <v>她穿过鼻子刺穿一根针，并将钳子固定在适当的位置。</v>
      </c>
    </row>
    <row r="13212">
      <c r="A13212" s="4" t="s">
        <v>16621</v>
      </c>
      <c r="B13212" s="4" t="s">
        <v>16625</v>
      </c>
      <c r="C13212" s="5" t="str">
        <f>IFERROR(__xludf.DUMMYFUNCTION("GOOGLETRANSLATE(B13212,""en"",""zh-CN"")"),"她从女人的鼻子上取下钳子。")</f>
        <v>她从女人的鼻子上取下钳子。</v>
      </c>
    </row>
    <row r="13213">
      <c r="A13213" s="4" t="s">
        <v>16621</v>
      </c>
      <c r="B13213" s="4" t="s">
        <v>16626</v>
      </c>
      <c r="C13213" s="5" t="str">
        <f>IFERROR(__xludf.DUMMYFUNCTION("GOOGLETRANSLATE(B13213,""en"",""zh-CN"")"),"坐下来的女人说话。")</f>
        <v>坐下来的女人说话。</v>
      </c>
    </row>
    <row r="13214">
      <c r="A13214" s="4" t="s">
        <v>16621</v>
      </c>
      <c r="B13214" s="4" t="s">
        <v>16627</v>
      </c>
      <c r="C13214" s="5" t="str">
        <f>IFERROR(__xludf.DUMMYFUNCTION("GOOGLETRANSLATE(B13214,""en"",""zh-CN"")"),"当她将鼻环拧紧时，穿刺艺术家触摸了针和鼻子。")</f>
        <v>当她将鼻环拧紧时，穿刺艺术家触摸了针和鼻子。</v>
      </c>
    </row>
    <row r="13215">
      <c r="A13215" s="4" t="s">
        <v>16621</v>
      </c>
      <c r="B13215" s="4" t="s">
        <v>16628</v>
      </c>
      <c r="C13215" s="5" t="str">
        <f>IFERROR(__xludf.DUMMYFUNCTION("GOOGLETRANSLATE(B13215,""en"",""zh-CN"")"),"穿刺艺术家用一些钳子在鼻子内部布置刺穿。")</f>
        <v>穿刺艺术家用一些钳子在鼻子内部布置刺穿。</v>
      </c>
    </row>
    <row r="13216">
      <c r="A13216" s="4" t="s">
        <v>16621</v>
      </c>
      <c r="B13216" s="4" t="s">
        <v>16629</v>
      </c>
      <c r="C13216" s="5" t="str">
        <f>IFERROR(__xludf.DUMMYFUNCTION("GOOGLETRANSLATE(B13216,""en"",""zh-CN"")"),"刺穿的艺术家触摸了穿刺。")</f>
        <v>刺穿的艺术家触摸了穿刺。</v>
      </c>
    </row>
    <row r="13217">
      <c r="A13217" s="4" t="s">
        <v>16621</v>
      </c>
      <c r="B13217" s="4" t="s">
        <v>16630</v>
      </c>
      <c r="C13217" s="5" t="str">
        <f>IFERROR(__xludf.DUMMYFUNCTION("GOOGLETRANSLATE(B13217,""en"",""zh-CN"")"),"穿刺艺术家使用纸巾收集刺穿周围的血液。")</f>
        <v>穿刺艺术家使用纸巾收集刺穿周围的血液。</v>
      </c>
    </row>
    <row r="13218">
      <c r="A13218" s="4" t="s">
        <v>16621</v>
      </c>
      <c r="B13218" s="4" t="s">
        <v>16631</v>
      </c>
      <c r="C13218" s="5" t="str">
        <f>IFERROR(__xludf.DUMMYFUNCTION("GOOGLETRANSLATE(B13218,""en"",""zh-CN"")"),"墙上看到了一系列艺术品。")</f>
        <v>墙上看到了一系列艺术品。</v>
      </c>
    </row>
    <row r="13219">
      <c r="A13219" s="4" t="s">
        <v>16621</v>
      </c>
      <c r="B13219" s="4" t="s">
        <v>16632</v>
      </c>
      <c r="C13219" s="5" t="str">
        <f>IFERROR(__xludf.DUMMYFUNCTION("GOOGLETRANSLATE(B13219,""en"",""zh-CN"")"),"这位刺穿的艺术家不断使用纸巾从女人的鼻子上擦血。")</f>
        <v>这位刺穿的艺术家不断使用纸巾从女人的鼻子上擦血。</v>
      </c>
    </row>
    <row r="13220">
      <c r="A13220" s="4" t="s">
        <v>16621</v>
      </c>
      <c r="B13220" s="4" t="s">
        <v>16633</v>
      </c>
      <c r="C13220" s="5" t="str">
        <f>IFERROR(__xludf.DUMMYFUNCTION("GOOGLETRANSLATE(B13220,""en"",""zh-CN"")"),"女人站起来挥手。")</f>
        <v>女人站起来挥手。</v>
      </c>
    </row>
    <row r="13221">
      <c r="A13221" s="4" t="s">
        <v>16634</v>
      </c>
      <c r="B13221" s="4" t="s">
        <v>16635</v>
      </c>
      <c r="C13221" s="5" t="str">
        <f>IFERROR(__xludf.DUMMYFUNCTION("GOOGLETRANSLATE(B13221,""en"",""zh-CN"")"),"我们在桌子上看到一本书。")</f>
        <v>我们在桌子上看到一本书。</v>
      </c>
    </row>
    <row r="13222">
      <c r="A13222" s="4" t="s">
        <v>16634</v>
      </c>
      <c r="B13222" s="4" t="s">
        <v>16636</v>
      </c>
      <c r="C13222" s="5" t="str">
        <f>IFERROR(__xludf.DUMMYFUNCTION("GOOGLETRANSLATE(B13222,""en"",""zh-CN"")"),"我们在书中看到了人们编织的视频。")</f>
        <v>我们在书中看到了人们编织的视频。</v>
      </c>
    </row>
    <row r="13223">
      <c r="A13223" s="4" t="s">
        <v>16634</v>
      </c>
      <c r="B13223" s="4" t="s">
        <v>16637</v>
      </c>
      <c r="C13223" s="5" t="str">
        <f>IFERROR(__xludf.DUMMYFUNCTION("GOOGLETRANSLATE(B13223,""en"",""zh-CN"")"),"我们看到一位女士教两个女孩。")</f>
        <v>我们看到一位女士教两个女孩。</v>
      </c>
    </row>
    <row r="13224">
      <c r="A13224" s="4" t="s">
        <v>16634</v>
      </c>
      <c r="B13224" s="4" t="s">
        <v>16638</v>
      </c>
      <c r="C13224" s="5" t="str">
        <f>IFERROR(__xludf.DUMMYFUNCTION("GOOGLETRANSLATE(B13224,""en"",""zh-CN"")"),"我们看到一位老师教男孩编织。")</f>
        <v>我们看到一位老师教男孩编织。</v>
      </c>
    </row>
    <row r="13225">
      <c r="A13225" s="4" t="s">
        <v>16634</v>
      </c>
      <c r="B13225" s="4" t="s">
        <v>16639</v>
      </c>
      <c r="C13225" s="5" t="str">
        <f>IFERROR(__xludf.DUMMYFUNCTION("GOOGLETRANSLATE(B13225,""en"",""zh-CN"")"),"我们看到一位女士教一群孩子编织。")</f>
        <v>我们看到一位女士教一群孩子编织。</v>
      </c>
    </row>
    <row r="13226">
      <c r="A13226" s="4" t="s">
        <v>16634</v>
      </c>
      <c r="B13226" s="4" t="s">
        <v>7242</v>
      </c>
      <c r="C13226" s="5" t="str">
        <f>IFERROR(__xludf.DUMMYFUNCTION("GOOGLETRANSLATE(B13226,""en"",""zh-CN"")"),"然后，我们看到关闭屏幕。")</f>
        <v>然后，我们看到关闭屏幕。</v>
      </c>
    </row>
    <row r="13227">
      <c r="A13227" s="4" t="s">
        <v>16640</v>
      </c>
      <c r="B13227" s="4" t="s">
        <v>16641</v>
      </c>
      <c r="C13227" s="5" t="str">
        <f>IFERROR(__xludf.DUMMYFUNCTION("GOOGLETRANSLATE(B13227,""en"",""zh-CN"")"),"一群孩子在保险杠上。")</f>
        <v>一群孩子在保险杠上。</v>
      </c>
    </row>
    <row r="13228">
      <c r="A13228" s="4" t="s">
        <v>16640</v>
      </c>
      <c r="B13228" s="4" t="s">
        <v>16642</v>
      </c>
      <c r="C13228" s="5" t="str">
        <f>IFERROR(__xludf.DUMMYFUNCTION("GOOGLETRANSLATE(B13228,""en"",""zh-CN"")"),"他们四处走动，试图互相打击。")</f>
        <v>他们四处走动，试图互相打击。</v>
      </c>
    </row>
    <row r="13229">
      <c r="A13229" s="4" t="s">
        <v>16640</v>
      </c>
      <c r="B13229" s="4" t="s">
        <v>16643</v>
      </c>
      <c r="C13229" s="5" t="str">
        <f>IFERROR(__xludf.DUMMYFUNCTION("GOOGLETRANSLATE(B13229,""en"",""zh-CN"")"),"他们撞上其他汽车。")</f>
        <v>他们撞上其他汽车。</v>
      </c>
    </row>
    <row r="13230">
      <c r="A13230" s="4" t="s">
        <v>16644</v>
      </c>
      <c r="B13230" s="4" t="s">
        <v>16645</v>
      </c>
      <c r="C13230" s="5" t="str">
        <f>IFERROR(__xludf.DUMMYFUNCTION("GOOGLETRANSLATE(B13230,""en"",""zh-CN"")"),"看到一个人站在一个固定工具上的大田野里。")</f>
        <v>看到一个人站在一个固定工具上的大田野里。</v>
      </c>
    </row>
    <row r="13231">
      <c r="A13231" s="4" t="s">
        <v>16644</v>
      </c>
      <c r="B13231" s="4" t="s">
        <v>16646</v>
      </c>
      <c r="C13231" s="5" t="str">
        <f>IFERROR(__xludf.DUMMYFUNCTION("GOOGLETRANSLATE(B13231,""en"",""zh-CN"")"),"然后，该名男子很快就使用了他的草丛上的工具。")</f>
        <v>然后，该名男子很快就使用了他的草丛上的工具。</v>
      </c>
    </row>
    <row r="13232">
      <c r="A13232" s="4" t="s">
        <v>16644</v>
      </c>
      <c r="B13232" s="4" t="s">
        <v>16647</v>
      </c>
      <c r="C13232" s="5" t="str">
        <f>IFERROR(__xludf.DUMMYFUNCTION("GOOGLETRANSLATE(B13232,""en"",""zh-CN"")"),"当相机捕捉他的动作时，该男子继续割草。")</f>
        <v>当相机捕捉他的动作时，该男子继续割草。</v>
      </c>
    </row>
    <row r="13233">
      <c r="A13233" s="4" t="s">
        <v>16648</v>
      </c>
      <c r="B13233" s="4" t="s">
        <v>16649</v>
      </c>
      <c r="C13233" s="5" t="str">
        <f>IFERROR(__xludf.DUMMYFUNCTION("GOOGLETRANSLATE(B13233,""en"",""zh-CN"")"),"一个男人将硬木拆分用于木炉中。")</f>
        <v>一个男人将硬木拆分用于木炉中。</v>
      </c>
    </row>
    <row r="13234">
      <c r="A13234" s="4" t="s">
        <v>16648</v>
      </c>
      <c r="B13234" s="4" t="s">
        <v>16650</v>
      </c>
      <c r="C13234" s="5" t="str">
        <f>IFERROR(__xludf.DUMMYFUNCTION("GOOGLETRANSLATE(B13234,""en"",""zh-CN"")"),"有两种技术，一种具有斧头，另一种带有锤子和斧头。")</f>
        <v>有两种技术，一种具有斧头，另一种带有锤子和斧头。</v>
      </c>
    </row>
    <row r="13235">
      <c r="A13235" s="4" t="s">
        <v>16651</v>
      </c>
      <c r="B13235" s="6" t="s">
        <v>16652</v>
      </c>
      <c r="C13235" s="5" t="str">
        <f>IFERROR(__xludf.DUMMYFUNCTION("GOOGLETRANSLATE(B13235,""en"",""zh-CN"")"),"首先，那个男人设置了安装在胸部的计时器，他坐下来，将腿放在滑雪板上。")</f>
        <v>首先，那个男人设置了安装在胸部的计时器，他坐下来，将腿放在滑雪板上。</v>
      </c>
    </row>
    <row r="13236">
      <c r="A13236" s="4" t="s">
        <v>16651</v>
      </c>
      <c r="B13236" s="6" t="s">
        <v>16653</v>
      </c>
      <c r="C13236" s="5" t="str">
        <f>IFERROR(__xludf.DUMMYFUNCTION("GOOGLETRANSLATE(B13236,""en"",""zh-CN"")"),"接下来，他站起来时站起来，他被船拉开时开始滑水。")</f>
        <v>接下来，他站起来时站起来，他被船拉开时开始滑水。</v>
      </c>
    </row>
    <row r="13237">
      <c r="A13237" s="4" t="s">
        <v>16651</v>
      </c>
      <c r="B13237" s="4" t="s">
        <v>16654</v>
      </c>
      <c r="C13237" s="5" t="str">
        <f>IFERROR(__xludf.DUMMYFUNCTION("GOOGLETRANSLATE(B13237,""en"",""zh-CN"")"),"但是，他最终跌倒了，被看到站在水中。")</f>
        <v>但是，他最终跌倒了，被看到站在水中。</v>
      </c>
    </row>
    <row r="13238">
      <c r="A13238" s="4" t="s">
        <v>16655</v>
      </c>
      <c r="B13238" s="4" t="s">
        <v>16656</v>
      </c>
      <c r="C13238" s="5" t="str">
        <f>IFERROR(__xludf.DUMMYFUNCTION("GOOGLETRANSLATE(B13238,""en"",""zh-CN"")"),"女人在机器上运动。")</f>
        <v>女人在机器上运动。</v>
      </c>
    </row>
    <row r="13239">
      <c r="A13239" s="4" t="s">
        <v>16655</v>
      </c>
      <c r="B13239" s="4" t="s">
        <v>16657</v>
      </c>
      <c r="C13239" s="5" t="str">
        <f>IFERROR(__xludf.DUMMYFUNCTION("GOOGLETRANSLATE(B13239,""en"",""zh-CN"")"),"相机专注于机器的特定部分。")</f>
        <v>相机专注于机器的特定部分。</v>
      </c>
    </row>
    <row r="13240">
      <c r="A13240" s="4" t="s">
        <v>16655</v>
      </c>
      <c r="B13240" s="4" t="s">
        <v>16658</v>
      </c>
      <c r="C13240" s="5" t="str">
        <f>IFERROR(__xludf.DUMMYFUNCTION("GOOGLETRANSLATE(B13240,""en"",""zh-CN"")"),"该名女子展示了折叠机器以进行存储。")</f>
        <v>该名女子展示了折叠机器以进行存储。</v>
      </c>
    </row>
    <row r="13241">
      <c r="A13241" s="4" t="s">
        <v>16655</v>
      </c>
      <c r="B13241" s="4" t="s">
        <v>16659</v>
      </c>
      <c r="C13241" s="5" t="str">
        <f>IFERROR(__xludf.DUMMYFUNCTION("GOOGLETRANSLATE(B13241,""en"",""zh-CN"")"),"女人继续在机器上锻炼。")</f>
        <v>女人继续在机器上锻炼。</v>
      </c>
    </row>
    <row r="13242">
      <c r="A13242" s="4" t="s">
        <v>16660</v>
      </c>
      <c r="B13242" s="4" t="s">
        <v>16661</v>
      </c>
      <c r="C13242" s="5" t="str">
        <f>IFERROR(__xludf.DUMMYFUNCTION("GOOGLETRANSLATE(B13242,""en"",""zh-CN"")"),"一群男人在外面坐在喷泉周围，玩一场奇怪的啤酒花游戏。")</f>
        <v>一群男人在外面坐在喷泉周围，玩一场奇怪的啤酒花游戏。</v>
      </c>
    </row>
    <row r="13243">
      <c r="A13243" s="4" t="s">
        <v>16660</v>
      </c>
      <c r="B13243" s="4" t="s">
        <v>16662</v>
      </c>
      <c r="C13243" s="5" t="str">
        <f>IFERROR(__xludf.DUMMYFUNCTION("GOOGLETRANSLATE(B13243,""en"",""zh-CN"")"),"一个男孩轮到他，然后他们都开始讲话。")</f>
        <v>一个男孩轮到他，然后他们都开始讲话。</v>
      </c>
    </row>
    <row r="13244">
      <c r="A13244" s="4" t="s">
        <v>16660</v>
      </c>
      <c r="B13244" s="4" t="s">
        <v>16663</v>
      </c>
      <c r="C13244" s="5" t="str">
        <f>IFERROR(__xludf.DUMMYFUNCTION("GOOGLETRANSLATE(B13244,""en"",""zh-CN"")"),"接下来，一个男孩试图跳过砖头，但最终掉下来。")</f>
        <v>接下来，一个男孩试图跳过砖头，但最终掉下来。</v>
      </c>
    </row>
    <row r="13245">
      <c r="A13245" s="4" t="s">
        <v>16660</v>
      </c>
      <c r="B13245" s="4" t="s">
        <v>16664</v>
      </c>
      <c r="C13245" s="5" t="str">
        <f>IFERROR(__xludf.DUMMYFUNCTION("GOOGLETRANSLATE(B13245,""en"",""zh-CN"")"),"另一个男孩追赶他，他成功了。")</f>
        <v>另一个男孩追赶他，他成功了。</v>
      </c>
    </row>
    <row r="13246">
      <c r="A13246" s="4" t="s">
        <v>16660</v>
      </c>
      <c r="B13246" s="6" t="s">
        <v>16665</v>
      </c>
      <c r="C13246" s="5" t="str">
        <f>IFERROR(__xludf.DUMMYFUNCTION("GOOGLETRANSLATE(B13246,""en"",""zh-CN"")"),"但是，下一个男孩跳了起来，必须站在一只脚上，收集所有扔在他身后的碎片。")</f>
        <v>但是，下一个男孩跳了起来，必须站在一只脚上，收集所有扔在他身后的碎片。</v>
      </c>
    </row>
    <row r="13247">
      <c r="A13247" s="4" t="s">
        <v>16666</v>
      </c>
      <c r="B13247" s="6" t="s">
        <v>16667</v>
      </c>
      <c r="C13247" s="5" t="str">
        <f>IFERROR(__xludf.DUMMYFUNCTION("GOOGLETRANSLATE(B13247,""en"",""zh-CN"")"),"看到一个男人对镜头说话，并导致他拿着一个工具，指着几个灌木丛。")</f>
        <v>看到一个男人对镜头说话，并导致他拿着一个工具，指着几个灌木丛。</v>
      </c>
    </row>
    <row r="13248">
      <c r="A13248" s="4" t="s">
        <v>16666</v>
      </c>
      <c r="B13248" s="6" t="s">
        <v>16668</v>
      </c>
      <c r="C13248" s="5" t="str">
        <f>IFERROR(__xludf.DUMMYFUNCTION("GOOGLETRANSLATE(B13248,""en"",""zh-CN"")"),"然后，该男子沿着灌木丛修剪，同时停下来与相机说话并握住工具。")</f>
        <v>然后，该男子沿着灌木丛修剪，同时停下来与相机说话并握住工具。</v>
      </c>
    </row>
    <row r="13249">
      <c r="A13249" s="4" t="s">
        <v>16669</v>
      </c>
      <c r="B13249" s="4" t="s">
        <v>16670</v>
      </c>
      <c r="C13249" s="5" t="str">
        <f>IFERROR(__xludf.DUMMYFUNCTION("GOOGLETRANSLATE(B13249,""en"",""zh-CN"")"),"看到一名体操运动员站在梁上，开始在梁上进行体操运动。")</f>
        <v>看到一名体操运动员站在梁上，开始在梁上进行体操运动。</v>
      </c>
    </row>
    <row r="13250">
      <c r="A13250" s="4" t="s">
        <v>16669</v>
      </c>
      <c r="B13250" s="4" t="s">
        <v>16671</v>
      </c>
      <c r="C13250" s="5" t="str">
        <f>IFERROR(__xludf.DUMMYFUNCTION("GOOGLETRANSLATE(B13250,""en"",""zh-CN"")"),"当相机捕捉她的动作时，女孩沿着光束旋转并翻转。")</f>
        <v>当相机捕捉她的动作时，女孩沿着光束旋转并翻转。</v>
      </c>
    </row>
    <row r="13251">
      <c r="A13251" s="4" t="s">
        <v>16669</v>
      </c>
      <c r="B13251" s="4" t="s">
        <v>16672</v>
      </c>
      <c r="C13251" s="5" t="str">
        <f>IFERROR(__xludf.DUMMYFUNCTION("GOOGLETRANSLATE(B13251,""en"",""zh-CN"")"),"她结束了例行工作，但双臂向下跳下来，走开了。")</f>
        <v>她结束了例行工作，但双臂向下跳下来，走开了。</v>
      </c>
    </row>
    <row r="13252">
      <c r="A13252" s="4" t="s">
        <v>16673</v>
      </c>
      <c r="B13252" s="6" t="s">
        <v>16674</v>
      </c>
      <c r="C13252" s="5" t="str">
        <f>IFERROR(__xludf.DUMMYFUNCTION("GOOGLETRANSLATE(B13252,""en"",""zh-CN"")"),"两个男人在烧烤店的院子里走到枪管，他们都伸手去拿桶中的最后一杯啤酒。")</f>
        <v>两个男人在烧烤店的院子里走到枪管，他们都伸手去拿桶中的最后一杯啤酒。</v>
      </c>
    </row>
    <row r="13253">
      <c r="A13253" s="4" t="s">
        <v>16673</v>
      </c>
      <c r="B13253" s="6" t="s">
        <v>16675</v>
      </c>
      <c r="C13253" s="5" t="str">
        <f>IFERROR(__xludf.DUMMYFUNCTION("GOOGLETRANSLATE(B13253,""en"",""zh-CN"")"),"这些人做岩石剪刀，正确的人用一块岩石击中左边，拿起啤酒然后走下来。")</f>
        <v>这些人做岩石剪刀，正确的人用一块岩石击中左边，拿起啤酒然后走下来。</v>
      </c>
    </row>
    <row r="13254">
      <c r="A13254" s="4" t="s">
        <v>16673</v>
      </c>
      <c r="B13254" s="4" t="s">
        <v>16676</v>
      </c>
      <c r="C13254" s="5" t="str">
        <f>IFERROR(__xludf.DUMMYFUNCTION("GOOGLETRANSLATE(B13254,""en"",""zh-CN"")"),"我们看到啤酒倒在玻璃杯中。")</f>
        <v>我们看到啤酒倒在玻璃杯中。</v>
      </c>
    </row>
    <row r="13255">
      <c r="A13255" s="4" t="s">
        <v>16673</v>
      </c>
      <c r="B13255" s="4" t="s">
        <v>16677</v>
      </c>
      <c r="C13255" s="5" t="str">
        <f>IFERROR(__xludf.DUMMYFUNCTION("GOOGLETRANSLATE(B13255,""en"",""zh-CN"")"),"我们看到受伤的男人抬起手，一个男人走过，给了他高五。")</f>
        <v>我们看到受伤的男人抬起手，一个男人走过，给了他高五。</v>
      </c>
    </row>
    <row r="13256">
      <c r="A13256" s="4" t="s">
        <v>16678</v>
      </c>
      <c r="B13256" s="4" t="s">
        <v>16679</v>
      </c>
      <c r="C13256" s="5" t="str">
        <f>IFERROR(__xludf.DUMMYFUNCTION("GOOGLETRANSLATE(B13256,""en"",""zh-CN"")"),"看到一个男人在心情的大型拖车前面在相机上说话。")</f>
        <v>看到一个男人在心情的大型拖车前面在相机上说话。</v>
      </c>
    </row>
    <row r="13257">
      <c r="A13257" s="4" t="s">
        <v>16678</v>
      </c>
      <c r="B13257" s="4" t="s">
        <v>16680</v>
      </c>
      <c r="C13257" s="5" t="str">
        <f>IFERROR(__xludf.DUMMYFUNCTION("GOOGLETRANSLATE(B13257,""en"",""zh-CN"")"),"然后看到该男子跪在火上，开始将火焰照亮到坑中。")</f>
        <v>然后看到该男子跪在火上，开始将火焰照亮到坑中。</v>
      </c>
    </row>
    <row r="13258">
      <c r="A13258" s="4" t="s">
        <v>16678</v>
      </c>
      <c r="B13258" s="6" t="s">
        <v>16681</v>
      </c>
      <c r="C13258" s="5" t="str">
        <f>IFERROR(__xludf.DUMMYFUNCTION("GOOGLETRANSLATE(B13258,""en"",""zh-CN"")"),"看到一个男孩带着网球球拍走来走去，当男人仍坐在火前时，指向地面。")</f>
        <v>看到一个男孩带着网球球拍走来走去，当男人仍坐在火前时，指向地面。</v>
      </c>
    </row>
    <row r="13259">
      <c r="A13259" s="4" t="s">
        <v>16682</v>
      </c>
      <c r="B13259" s="4" t="s">
        <v>16683</v>
      </c>
      <c r="C13259" s="5" t="str">
        <f>IFERROR(__xludf.DUMMYFUNCTION("GOOGLETRANSLATE(B13259,""en"",""zh-CN"")"),"介绍会导致几个不同的运动员进行圆圈投掷的片段。")</f>
        <v>介绍会导致几个不同的运动员进行圆圈投掷的片段。</v>
      </c>
    </row>
    <row r="13260">
      <c r="A13260" s="4" t="s">
        <v>16682</v>
      </c>
      <c r="B13260" s="4" t="s">
        <v>16684</v>
      </c>
      <c r="C13260" s="5" t="str">
        <f>IFERROR(__xludf.DUMMYFUNCTION("GOOGLETRANSLATE(B13260,""en"",""zh-CN"")"),"当许多人在场外观看时，更多的人继续加强并扔掉物体。")</f>
        <v>当许多人在场外观看时，更多的人继续加强并扔掉物体。</v>
      </c>
    </row>
    <row r="13261">
      <c r="A13261" s="4" t="s">
        <v>16685</v>
      </c>
      <c r="B13261" s="4" t="s">
        <v>16686</v>
      </c>
      <c r="C13261" s="5" t="str">
        <f>IFERROR(__xludf.DUMMYFUNCTION("GOOGLETRANSLATE(B13261,""en"",""zh-CN"")"),"一个十几岁的女孩坐在地板上拿着鞋子。")</f>
        <v>一个十几岁的女孩坐在地板上拿着鞋子。</v>
      </c>
    </row>
    <row r="13262">
      <c r="A13262" s="4" t="s">
        <v>16685</v>
      </c>
      <c r="B13262" s="4" t="s">
        <v>16687</v>
      </c>
      <c r="C13262" s="5" t="str">
        <f>IFERROR(__xludf.DUMMYFUNCTION("GOOGLETRANSLATE(B13262,""en"",""zh-CN"")"),"然后向她展示用清洁溶液擦拭鞋子。")</f>
        <v>然后向她展示用清洁溶液擦拭鞋子。</v>
      </c>
    </row>
    <row r="13263">
      <c r="A13263" s="4" t="s">
        <v>16685</v>
      </c>
      <c r="B13263" s="4" t="s">
        <v>16688</v>
      </c>
      <c r="C13263" s="5" t="str">
        <f>IFERROR(__xludf.DUMMYFUNCTION("GOOGLETRANSLATE(B13263,""en"",""zh-CN"")"),"完成后，她展示了鞋子闭合。")</f>
        <v>完成后，她展示了鞋子闭合。</v>
      </c>
    </row>
    <row r="13264">
      <c r="A13264" s="4" t="s">
        <v>16689</v>
      </c>
      <c r="B13264" s="4" t="s">
        <v>16690</v>
      </c>
      <c r="C13264" s="5" t="str">
        <f>IFERROR(__xludf.DUMMYFUNCTION("GOOGLETRANSLATE(B13264,""en"",""zh-CN"")"),"一个人站在大窗户外面，开始用一根长棍子清洁它。")</f>
        <v>一个人站在大窗户外面，开始用一根长棍子清洁它。</v>
      </c>
    </row>
    <row r="13265">
      <c r="A13265" s="4" t="s">
        <v>16689</v>
      </c>
      <c r="B13265" s="6" t="s">
        <v>16691</v>
      </c>
      <c r="C13265" s="5" t="str">
        <f>IFERROR(__xludf.DUMMYFUNCTION("GOOGLETRANSLATE(B13265,""en"",""zh-CN"")"),"一个窗户是湿的，他像棍子一样将剃须刀拿起，然后将其拖到上下，从而将水掉下来。")</f>
        <v>一个窗户是湿的，他像棍子一样将剃须刀拿起，然后将其拖到上下，从而将水掉下来。</v>
      </c>
    </row>
    <row r="13266">
      <c r="A13266" s="4" t="s">
        <v>16689</v>
      </c>
      <c r="B13266" s="4" t="s">
        <v>16692</v>
      </c>
      <c r="C13266" s="5" t="str">
        <f>IFERROR(__xludf.DUMMYFUNCTION("GOOGLETRANSLATE(B13266,""en"",""zh-CN"")"),"两个顶部窗户完成后，他离开了另外两个窗户，然后走开了。")</f>
        <v>两个顶部窗户完成后，他离开了另外两个窗户，然后走开了。</v>
      </c>
    </row>
    <row r="13267">
      <c r="A13267" s="4" t="s">
        <v>16693</v>
      </c>
      <c r="B13267" s="4" t="s">
        <v>16694</v>
      </c>
      <c r="C13267" s="5" t="str">
        <f>IFERROR(__xludf.DUMMYFUNCTION("GOOGLETRANSLATE(B13267,""en"",""zh-CN"")"),"一个男人弯腰在杠铃前的膝盖。")</f>
        <v>一个男人弯腰在杠铃前的膝盖。</v>
      </c>
    </row>
    <row r="13268">
      <c r="A13268" s="4" t="s">
        <v>16693</v>
      </c>
      <c r="B13268" s="4" t="s">
        <v>16695</v>
      </c>
      <c r="C13268" s="5" t="str">
        <f>IFERROR(__xludf.DUMMYFUNCTION("GOOGLETRANSLATE(B13268,""en"",""zh-CN"")"),"他慢慢举起它，将其带到胸口。")</f>
        <v>他慢慢举起它，将其带到胸口。</v>
      </c>
    </row>
    <row r="13269">
      <c r="A13269" s="4" t="s">
        <v>16693</v>
      </c>
      <c r="B13269" s="4" t="s">
        <v>16696</v>
      </c>
      <c r="C13269" s="5" t="str">
        <f>IFERROR(__xludf.DUMMYFUNCTION("GOOGLETRANSLATE(B13269,""en"",""zh-CN"")"),"他停下来，然后将其抬起头，然后将其放回地。")</f>
        <v>他停下来，然后将其抬起头，然后将其放回地。</v>
      </c>
    </row>
    <row r="13270">
      <c r="A13270" s="4" t="s">
        <v>16697</v>
      </c>
      <c r="B13270" s="4" t="s">
        <v>16698</v>
      </c>
      <c r="C13270" s="5" t="str">
        <f>IFERROR(__xludf.DUMMYFUNCTION("GOOGLETRANSLATE(B13270,""en"",""zh-CN"")"),"一个男人站在塔的壁架上。")</f>
        <v>一个男人站在塔的壁架上。</v>
      </c>
    </row>
    <row r="13271">
      <c r="A13271" s="4" t="s">
        <v>16697</v>
      </c>
      <c r="B13271" s="4" t="s">
        <v>16699</v>
      </c>
      <c r="C13271" s="5" t="str">
        <f>IFERROR(__xludf.DUMMYFUNCTION("GOOGLETRANSLATE(B13271,""en"",""zh-CN"")"),"他跳下来，蹦极跳。")</f>
        <v>他跳下来，蹦极跳。</v>
      </c>
    </row>
    <row r="13272">
      <c r="A13272" s="4" t="s">
        <v>16697</v>
      </c>
      <c r="B13272" s="4" t="s">
        <v>16700</v>
      </c>
      <c r="C13272" s="5" t="str">
        <f>IFERROR(__xludf.DUMMYFUNCTION("GOOGLETRANSLATE(B13272,""en"",""zh-CN"")"),"它以慢动作显示。")</f>
        <v>它以慢动作显示。</v>
      </c>
    </row>
    <row r="13273">
      <c r="A13273" s="4" t="s">
        <v>16701</v>
      </c>
      <c r="B13273" s="6" t="s">
        <v>16702</v>
      </c>
      <c r="C13273" s="5" t="str">
        <f>IFERROR(__xludf.DUMMYFUNCTION("GOOGLETRANSLATE(B13273,""en"",""zh-CN"")"),"相机周围的几名男子在喝一大堆酒精，然后将摄像机放回原处。")</f>
        <v>相机周围的几名男子在喝一大堆酒精，然后将摄像机放回原处。</v>
      </c>
    </row>
    <row r="13274">
      <c r="A13274" s="4" t="s">
        <v>16701</v>
      </c>
      <c r="B13274" s="6" t="s">
        <v>16703</v>
      </c>
      <c r="C13274" s="5" t="str">
        <f>IFERROR(__xludf.DUMMYFUNCTION("GOOGLETRANSLATE(B13274,""en"",""zh-CN"")"),"相机继续捕捉这些人喝酒，彼此交谈，最后一个人摩擦了他的眼睛。")</f>
        <v>相机继续捕捉这些人喝酒，彼此交谈，最后一个人摩擦了他的眼睛。</v>
      </c>
    </row>
    <row r="13275">
      <c r="A13275" s="4" t="s">
        <v>16704</v>
      </c>
      <c r="B13275" s="4" t="s">
        <v>16705</v>
      </c>
      <c r="C13275" s="5" t="str">
        <f>IFERROR(__xludf.DUMMYFUNCTION("GOOGLETRANSLATE(B13275,""en"",""zh-CN"")"),"一个年轻人坐在客厅里。")</f>
        <v>一个年轻人坐在客厅里。</v>
      </c>
    </row>
    <row r="13276">
      <c r="A13276" s="4" t="s">
        <v>16704</v>
      </c>
      <c r="B13276" s="4" t="s">
        <v>16706</v>
      </c>
      <c r="C13276" s="5" t="str">
        <f>IFERROR(__xludf.DUMMYFUNCTION("GOOGLETRANSLATE(B13276,""en"",""zh-CN"")"),"他正在演奏电子键盘。")</f>
        <v>他正在演奏电子键盘。</v>
      </c>
    </row>
    <row r="13277">
      <c r="A13277" s="4" t="s">
        <v>16704</v>
      </c>
      <c r="B13277" s="4" t="s">
        <v>16707</v>
      </c>
      <c r="C13277" s="5" t="str">
        <f>IFERROR(__xludf.DUMMYFUNCTION("GOOGLETRANSLATE(B13277,""en"",""zh-CN"")"),"键盘是在他走时打印文档。")</f>
        <v>键盘是在他走时打印文档。</v>
      </c>
    </row>
    <row r="13278">
      <c r="A13278" s="4" t="s">
        <v>16708</v>
      </c>
      <c r="B13278" s="6" t="s">
        <v>16709</v>
      </c>
      <c r="C13278" s="5" t="str">
        <f>IFERROR(__xludf.DUMMYFUNCTION("GOOGLETRANSLATE(B13278,""en"",""zh-CN"")"),"一位女士解释了饮料和混合饮料，她用冰抓住了杯子，并通过使用射击玻璃来获得正确的测量，并在其中添加一些酒。")</f>
        <v>一位女士解释了饮料和混合饮料，她用冰抓住了杯子，并通过使用射击玻璃来获得正确的测量，并在其中添加一些酒。</v>
      </c>
    </row>
    <row r="13279">
      <c r="A13279" s="4" t="s">
        <v>16708</v>
      </c>
      <c r="B13279" s="4" t="s">
        <v>16710</v>
      </c>
      <c r="C13279" s="5" t="str">
        <f>IFERROR(__xludf.DUMMYFUNCTION("GOOGLETRANSLATE(B13279,""en"",""zh-CN"")"),"然后，这位女士将另一种类型的酒与她倒在玻璃杯中的第一种类型。")</f>
        <v>然后，这位女士将另一种类型的酒与她倒在玻璃杯中的第一种类型。</v>
      </c>
    </row>
    <row r="13280">
      <c r="A13280" s="4" t="s">
        <v>16708</v>
      </c>
      <c r="B13280" s="4" t="s">
        <v>16711</v>
      </c>
      <c r="C13280" s="5" t="str">
        <f>IFERROR(__xludf.DUMMYFUNCTION("GOOGLETRANSLATE(B13280,""en"",""zh-CN"")"),"最后，她用切成薄片的橙色和稻草在饮料中加入了一种果汁。")</f>
        <v>最后，她用切成薄片的橙色和稻草在饮料中加入了一种果汁。</v>
      </c>
    </row>
    <row r="13281">
      <c r="A13281" s="4" t="s">
        <v>16712</v>
      </c>
      <c r="B13281" s="4" t="s">
        <v>16713</v>
      </c>
      <c r="C13281" s="5" t="str">
        <f>IFERROR(__xludf.DUMMYFUNCTION("GOOGLETRANSLATE(B13281,""en"",""zh-CN"")"),"一个人在圈子里旋转，并为比赛进行讨论。")</f>
        <v>一个人在圈子里旋转，并为比赛进行讨论。</v>
      </c>
    </row>
    <row r="13282">
      <c r="A13282" s="4" t="s">
        <v>16712</v>
      </c>
      <c r="B13282" s="4" t="s">
        <v>16714</v>
      </c>
      <c r="C13282" s="5" t="str">
        <f>IFERROR(__xludf.DUMMYFUNCTION("GOOGLETRANSLATE(B13282,""en"",""zh-CN"")"),"视频放慢了脚步，显示出同样的投掷，但慢动作。")</f>
        <v>视频放慢了脚步，显示出同样的投掷，但慢动作。</v>
      </c>
    </row>
    <row r="13283">
      <c r="A13283" s="4" t="s">
        <v>16712</v>
      </c>
      <c r="B13283" s="4" t="s">
        <v>16715</v>
      </c>
      <c r="C13283" s="5" t="str">
        <f>IFERROR(__xludf.DUMMYFUNCTION("GOOGLETRANSLATE(B13283,""en"",""zh-CN"")"),"另一个男人来到盘子上，进行讨论。")</f>
        <v>另一个男人来到盘子上，进行讨论。</v>
      </c>
    </row>
    <row r="13284">
      <c r="A13284" s="4" t="s">
        <v>16712</v>
      </c>
      <c r="B13284" s="4" t="s">
        <v>16716</v>
      </c>
      <c r="C13284" s="5" t="str">
        <f>IFERROR(__xludf.DUMMYFUNCTION("GOOGLETRANSLATE(B13284,""en"",""zh-CN"")"),"视频再次减慢，并显示出同样的慢动作。")</f>
        <v>视频再次减慢，并显示出同样的慢动作。</v>
      </c>
    </row>
    <row r="13285">
      <c r="A13285" s="4" t="s">
        <v>16712</v>
      </c>
      <c r="B13285" s="4" t="s">
        <v>16717</v>
      </c>
      <c r="C13285" s="5" t="str">
        <f>IFERROR(__xludf.DUMMYFUNCTION("GOOGLETRANSLATE(B13285,""en"",""zh-CN"")"),"第三名玩家加紧努力，以慢动作进行讨论。")</f>
        <v>第三名玩家加紧努力，以慢动作进行讨论。</v>
      </c>
    </row>
    <row r="13286">
      <c r="A13286" s="4" t="s">
        <v>16712</v>
      </c>
      <c r="B13286" s="4" t="s">
        <v>16718</v>
      </c>
      <c r="C13286" s="5" t="str">
        <f>IFERROR(__xludf.DUMMYFUNCTION("GOOGLETRANSLATE(B13286,""en"",""zh-CN"")"),"其他几名球员加紧努力，轮流投掷磁盘。")</f>
        <v>其他几名球员加紧努力，轮流投掷磁盘。</v>
      </c>
    </row>
    <row r="13287">
      <c r="A13287" s="4" t="s">
        <v>16719</v>
      </c>
      <c r="B13287" s="4" t="s">
        <v>16720</v>
      </c>
      <c r="C13287" s="5" t="str">
        <f>IFERROR(__xludf.DUMMYFUNCTION("GOOGLETRANSLATE(B13287,""en"",""zh-CN"")"),"我们看到了一个女士和孩子的图像。")</f>
        <v>我们看到了一个女士和孩子的图像。</v>
      </c>
    </row>
    <row r="13288">
      <c r="A13288" s="4" t="s">
        <v>16719</v>
      </c>
      <c r="B13288" s="4" t="s">
        <v>16721</v>
      </c>
      <c r="C13288" s="5" t="str">
        <f>IFERROR(__xludf.DUMMYFUNCTION("GOOGLETRANSLATE(B13288,""en"",""zh-CN"")"),"那个女士消失了，孩子扮演长笛，我们看到一个男人。")</f>
        <v>那个女士消失了，孩子扮演长笛，我们看到一个男人。</v>
      </c>
    </row>
    <row r="13289">
      <c r="A13289" s="4" t="s">
        <v>16719</v>
      </c>
      <c r="B13289" s="4" t="s">
        <v>16722</v>
      </c>
      <c r="C13289" s="5" t="str">
        <f>IFERROR(__xludf.DUMMYFUNCTION("GOOGLETRANSLATE(B13289,""en"",""zh-CN"")"),"这个男人在孩子玩耍时哭泣，我们看到天空中的人。")</f>
        <v>这个男人在孩子玩耍时哭泣，我们看到天空中的人。</v>
      </c>
    </row>
    <row r="13290">
      <c r="A13290" s="4" t="s">
        <v>16719</v>
      </c>
      <c r="B13290" s="4" t="s">
        <v>16723</v>
      </c>
      <c r="C13290" s="5" t="str">
        <f>IFERROR(__xludf.DUMMYFUNCTION("GOOGLETRANSLATE(B13290,""en"",""zh-CN"")"),"我们看到一个男人和女人在天空中拥抱。")</f>
        <v>我们看到一个男人和女人在天空中拥抱。</v>
      </c>
    </row>
    <row r="13291">
      <c r="A13291" s="4" t="s">
        <v>16719</v>
      </c>
      <c r="B13291" s="4" t="s">
        <v>16724</v>
      </c>
      <c r="C13291" s="5" t="str">
        <f>IFERROR(__xludf.DUMMYFUNCTION("GOOGLETRANSLATE(B13291,""en"",""zh-CN"")"),"我们看到了自然的图像。")</f>
        <v>我们看到了自然的图像。</v>
      </c>
    </row>
    <row r="13292">
      <c r="A13292" s="4" t="s">
        <v>16719</v>
      </c>
      <c r="B13292" s="4" t="s">
        <v>16725</v>
      </c>
      <c r="C13292" s="5" t="str">
        <f>IFERROR(__xludf.DUMMYFUNCTION("GOOGLETRANSLATE(B13292,""en"",""zh-CN"")"),"天空中的人们鞠躬和跳舞。")</f>
        <v>天空中的人们鞠躬和跳舞。</v>
      </c>
    </row>
    <row r="13293">
      <c r="A13293" s="4" t="s">
        <v>16719</v>
      </c>
      <c r="B13293" s="4" t="s">
        <v>16726</v>
      </c>
      <c r="C13293" s="5" t="str">
        <f>IFERROR(__xludf.DUMMYFUNCTION("GOOGLETRANSLATE(B13293,""en"",""zh-CN"")"),"该男子躺在祈祷位置。")</f>
        <v>该男子躺在祈祷位置。</v>
      </c>
    </row>
    <row r="13294">
      <c r="A13294" s="4" t="s">
        <v>16719</v>
      </c>
      <c r="B13294" s="4" t="s">
        <v>16727</v>
      </c>
      <c r="C13294" s="5" t="str">
        <f>IFERROR(__xludf.DUMMYFUNCTION("GOOGLETRANSLATE(B13294,""en"",""zh-CN"")"),"孩子结束了演奏长笛。")</f>
        <v>孩子结束了演奏长笛。</v>
      </c>
    </row>
    <row r="13295">
      <c r="A13295" s="4" t="s">
        <v>16728</v>
      </c>
      <c r="B13295" s="6" t="s">
        <v>16729</v>
      </c>
      <c r="C13295" s="5" t="str">
        <f>IFERROR(__xludf.DUMMYFUNCTION("GOOGLETRANSLATE(B13295,""en"",""zh-CN"")"),"摄像机围绕几个凹痕坐在酒吧，以及满足人们需求的调酒师。")</f>
        <v>摄像机围绕几个凹痕坐在酒吧，以及满足人们需求的调酒师。</v>
      </c>
    </row>
    <row r="13296">
      <c r="A13296" s="4" t="s">
        <v>16728</v>
      </c>
      <c r="B13296" s="6" t="s">
        <v>16730</v>
      </c>
      <c r="C13296" s="5" t="str">
        <f>IFERROR(__xludf.DUMMYFUNCTION("GOOGLETRANSLATE(B13296,""en"",""zh-CN"")"),"显示了更多人在餐厅互动的人，最后是与镜头说话的人。")</f>
        <v>显示了更多人在餐厅互动的人，最后是与镜头说话的人。</v>
      </c>
    </row>
    <row r="13297">
      <c r="A13297" s="4" t="s">
        <v>16731</v>
      </c>
      <c r="B13297" s="4" t="s">
        <v>16732</v>
      </c>
      <c r="C13297" s="5" t="str">
        <f>IFERROR(__xludf.DUMMYFUNCTION("GOOGLETRANSLATE(B13297,""en"",""zh-CN"")"),"看到一个年轻的女人刷了头发，导致她对镜头说话。")</f>
        <v>看到一个年轻的女人刷了头发，导致她对镜头说话。</v>
      </c>
    </row>
    <row r="13298">
      <c r="A13298" s="4" t="s">
        <v>16731</v>
      </c>
      <c r="B13298" s="4" t="s">
        <v>16733</v>
      </c>
      <c r="C13298" s="5" t="str">
        <f>IFERROR(__xludf.DUMMYFUNCTION("GOOGLETRANSLATE(B13298,""en"",""zh-CN"")"),"她在与摄像机和各种物体交谈时举起了几把刷子。")</f>
        <v>她在与摄像机和各种物体交谈时举起了几把刷子。</v>
      </c>
    </row>
    <row r="13299">
      <c r="A13299" s="4" t="s">
        <v>16731</v>
      </c>
      <c r="B13299" s="6" t="s">
        <v>16734</v>
      </c>
      <c r="C13299" s="5" t="str">
        <f>IFERROR(__xludf.DUMMYFUNCTION("GOOGLETRANSLATE(B13299,""en"",""zh-CN"")"),"她使用剪刀从刷子和牙刷和碗中弄清头发，以清理刷子。")</f>
        <v>她使用剪刀从刷子和牙刷和碗中弄清头发，以清理刷子。</v>
      </c>
    </row>
    <row r="13300">
      <c r="A13300" s="4" t="s">
        <v>16735</v>
      </c>
      <c r="B13300" s="4" t="s">
        <v>16736</v>
      </c>
      <c r="C13300" s="5" t="str">
        <f>IFERROR(__xludf.DUMMYFUNCTION("GOOGLETRANSLATE(B13300,""en"",""zh-CN"")"),"一个年轻人在一个房间里跳舞，动手，将他的背部放在后面。")</f>
        <v>一个年轻人在一个房间里跳舞，动手，将他的背部放在后面。</v>
      </c>
    </row>
    <row r="13301">
      <c r="A13301" s="4" t="s">
        <v>16735</v>
      </c>
      <c r="B13301" s="4" t="s">
        <v>16737</v>
      </c>
      <c r="C13301" s="5" t="str">
        <f>IFERROR(__xludf.DUMMYFUNCTION("GOOGLETRANSLATE(B13301,""en"",""zh-CN"")"),"然后，那个男人把手放在头后。")</f>
        <v>然后，那个男人把手放在头后。</v>
      </c>
    </row>
    <row r="13302">
      <c r="A13302" s="4" t="s">
        <v>16735</v>
      </c>
      <c r="B13302" s="4" t="s">
        <v>16738</v>
      </c>
      <c r="C13302" s="5" t="str">
        <f>IFERROR(__xludf.DUMMYFUNCTION("GOOGLETRANSLATE(B13302,""en"",""zh-CN"")"),"男人的反射在镜子里。")</f>
        <v>男人的反射在镜子里。</v>
      </c>
    </row>
    <row r="13303">
      <c r="A13303" s="4" t="s">
        <v>16739</v>
      </c>
      <c r="B13303" s="4" t="s">
        <v>16740</v>
      </c>
      <c r="C13303" s="5" t="str">
        <f>IFERROR(__xludf.DUMMYFUNCTION("GOOGLETRANSLATE(B13303,""en"",""zh-CN"")"),"看到一个男人站在城市广场的高跷上，而周围的其他人则滚动刀片。")</f>
        <v>看到一个男人站在城市广场的高跷上，而周围的其他人则滚动刀片。</v>
      </c>
    </row>
    <row r="13304">
      <c r="A13304" s="4" t="s">
        <v>16739</v>
      </c>
      <c r="B13304" s="4" t="s">
        <v>16741</v>
      </c>
      <c r="C13304" s="5" t="str">
        <f>IFERROR(__xludf.DUMMYFUNCTION("GOOGLETRANSLATE(B13304,""en"",""zh-CN"")"),"该男子起飞沿街区奔跑，然后跑回他开始的地方。")</f>
        <v>该男子起飞沿街区奔跑，然后跑回他开始的地方。</v>
      </c>
    </row>
    <row r="13305">
      <c r="A13305" s="4" t="s">
        <v>16742</v>
      </c>
      <c r="B13305" s="4" t="s">
        <v>16743</v>
      </c>
      <c r="C13305" s="5" t="str">
        <f>IFERROR(__xludf.DUMMYFUNCTION("GOOGLETRANSLATE(B13305,""en"",""zh-CN"")"),"一位穿着蓝色衬衫的女人在周围旋转，将球扔到田野上。")</f>
        <v>一位穿着蓝色衬衫的女人在周围旋转，将球扔到田野上。</v>
      </c>
    </row>
    <row r="13306">
      <c r="A13306" s="4" t="s">
        <v>16742</v>
      </c>
      <c r="B13306" s="4" t="s">
        <v>16744</v>
      </c>
      <c r="C13306" s="5" t="str">
        <f>IFERROR(__xludf.DUMMYFUNCTION("GOOGLETRANSLATE(B13306,""en"",""zh-CN"")"),"另一个人来了，将磁盘扔到了田野上。")</f>
        <v>另一个人来了，将磁盘扔到了田野上。</v>
      </c>
    </row>
    <row r="13307">
      <c r="A13307" s="4" t="s">
        <v>16742</v>
      </c>
      <c r="B13307" s="4" t="s">
        <v>16745</v>
      </c>
      <c r="C13307" s="5" t="str">
        <f>IFERROR(__xludf.DUMMYFUNCTION("GOOGLETRANSLATE(B13307,""en"",""zh-CN"")"),"人们站在田野的一边正在看着。")</f>
        <v>人们站在田野的一边正在看着。</v>
      </c>
    </row>
    <row r="13308">
      <c r="A13308" s="4" t="s">
        <v>16746</v>
      </c>
      <c r="B13308" s="6" t="s">
        <v>16747</v>
      </c>
      <c r="C13308" s="5" t="str">
        <f>IFERROR(__xludf.DUMMYFUNCTION("GOOGLETRANSLATE(B13308,""en"",""zh-CN"")"),"显示了一个企业及其周围的区域，并在木制标志上雕刻了业务的“伐木工人”的名字，以及下面的白色文字Say的“哥伦比亚盆地BMX BMX Richland，WA”。")</f>
        <v>显示了一个企业及其周围的区域，并在木制标志上雕刻了业务的“伐木工人”的名字，以及下面的白色文字Say的“哥伦比亚盆地BMX BMX Richland，WA”。</v>
      </c>
    </row>
    <row r="13309">
      <c r="A13309" s="4" t="s">
        <v>16746</v>
      </c>
      <c r="B13309" s="6" t="s">
        <v>16748</v>
      </c>
      <c r="C13309" s="5" t="str">
        <f>IFERROR(__xludf.DUMMYFUNCTION("GOOGLETRANSLATE(B13309,""en"",""zh-CN"")"),"一个穿着骑自行车装备的男孩正戴上头盔，一边站立并在屏幕右侧发短信出现，并说“@brycebetts13z Chase Staystrong”，当男孩骑着自行车并将其推开屏幕时。")</f>
        <v>一个穿着骑自行车装备的男孩正戴上头盔，一边站立并在屏幕右侧发短信出现，并说“@brycebetts13z Chase Staystrong”，当男孩骑着自行车并将其推开屏幕时。</v>
      </c>
    </row>
    <row r="13310">
      <c r="A13310" s="4" t="s">
        <v>16746</v>
      </c>
      <c r="B13310" s="6" t="s">
        <v>16749</v>
      </c>
      <c r="C13310" s="5" t="str">
        <f>IFERROR(__xludf.DUMMYFUNCTION("GOOGLETRANSLATE(B13310,""en"",""zh-CN"")"),"这个男孩现在正在弯曲而曲折的越野自行车轨道上，非常快速地骑着骑行，偶尔也显示了其他人在赛道上也出现。")</f>
        <v>这个男孩现在正在弯曲而曲折的越野自行车轨道上，非常快速地骑着骑行，偶尔也显示了其他人在赛道上也出现。</v>
      </c>
    </row>
    <row r="13311">
      <c r="A13311" s="4" t="s">
        <v>16746</v>
      </c>
      <c r="B13311" s="6" t="s">
        <v>16750</v>
      </c>
      <c r="C13311" s="5" t="str">
        <f>IFERROR(__xludf.DUMMYFUNCTION("GOOGLETRANSLATE(B13311,""en"",""zh-CN"")"),"出现了一个特殊效果，男孩仍在轨道上骑行，其他文字和徽标出现在屏幕上，直到它逐渐消失到白色屏幕上，左侧以剪贴画的结尾，右侧读取了右侧的Mendo Media。")</f>
        <v>出现了一个特殊效果，男孩仍在轨道上骑行，其他文字和徽标出现在屏幕上，直到它逐渐消失到白色屏幕上，左侧以剪贴画的结尾，右侧读取了右侧的Mendo Media。</v>
      </c>
    </row>
    <row r="13312">
      <c r="A13312" s="4" t="s">
        <v>16751</v>
      </c>
      <c r="B13312" s="4" t="s">
        <v>16752</v>
      </c>
      <c r="C13312" s="5" t="str">
        <f>IFERROR(__xludf.DUMMYFUNCTION("GOOGLETRANSLATE(B13312,""en"",""zh-CN"")"),"场上的球员正在玩游戏。")</f>
        <v>场上的球员正在玩游戏。</v>
      </c>
    </row>
    <row r="13313">
      <c r="A13313" s="4" t="s">
        <v>16751</v>
      </c>
      <c r="B13313" s="4" t="s">
        <v>16753</v>
      </c>
      <c r="C13313" s="5" t="str">
        <f>IFERROR(__xludf.DUMMYFUNCTION("GOOGLETRANSLATE(B13313,""en"",""zh-CN"")"),"他们在场上进行了一场大战。")</f>
        <v>他们在场上进行了一场大战。</v>
      </c>
    </row>
    <row r="13314">
      <c r="A13314" s="4" t="s">
        <v>16751</v>
      </c>
      <c r="B13314" s="4" t="s">
        <v>16754</v>
      </c>
      <c r="C13314" s="5" t="str">
        <f>IFERROR(__xludf.DUMMYFUNCTION("GOOGLETRANSLATE(B13314,""en"",""zh-CN"")"),"裁判来了，打破了战斗。")</f>
        <v>裁判来了，打破了战斗。</v>
      </c>
    </row>
    <row r="13315">
      <c r="A13315" s="4" t="s">
        <v>16751</v>
      </c>
      <c r="B13315" s="4" t="s">
        <v>16755</v>
      </c>
      <c r="C13315" s="5" t="str">
        <f>IFERROR(__xludf.DUMMYFUNCTION("GOOGLETRANSLATE(B13315,""en"",""zh-CN"")"),"一个穿着黄色条纹衬衫的男人正在和裁判说话。")</f>
        <v>一个穿着黄色条纹衬衫的男人正在和裁判说话。</v>
      </c>
    </row>
    <row r="13316">
      <c r="A13316" s="4" t="s">
        <v>16756</v>
      </c>
      <c r="B13316" s="6" t="s">
        <v>16757</v>
      </c>
      <c r="C13316" s="5" t="str">
        <f>IFERROR(__xludf.DUMMYFUNCTION("GOOGLETRANSLATE(B13316,""en"",""zh-CN"")"),"显示了几个剪辑，人们在岩石墙上上下爬，而其他许多人则与相机交谈。")</f>
        <v>显示了几个剪辑，人们在岩石墙上上下爬，而其他许多人则与相机交谈。</v>
      </c>
    </row>
    <row r="13317">
      <c r="A13317" s="4" t="s">
        <v>16756</v>
      </c>
      <c r="B13317" s="6" t="s">
        <v>16758</v>
      </c>
      <c r="C13317" s="5" t="str">
        <f>IFERROR(__xludf.DUMMYFUNCTION("GOOGLETRANSLATE(B13317,""en"",""zh-CN"")"),"在与镜头说话并上下行动时，还显示了更多的人在岩石上攀登。")</f>
        <v>在与镜头说话并上下行动时，还显示了更多的人在岩石上攀登。</v>
      </c>
    </row>
    <row r="13318">
      <c r="A13318" s="4" t="s">
        <v>16759</v>
      </c>
      <c r="B13318" s="4" t="s">
        <v>16760</v>
      </c>
      <c r="C13318" s="5" t="str">
        <f>IFERROR(__xludf.DUMMYFUNCTION("GOOGLETRANSLATE(B13318,""en"",""zh-CN"")"),"几只狗走在一条街上。")</f>
        <v>几只狗走在一条街上。</v>
      </c>
    </row>
    <row r="13319">
      <c r="A13319" s="4" t="s">
        <v>16759</v>
      </c>
      <c r="B13319" s="4" t="s">
        <v>16761</v>
      </c>
      <c r="C13319" s="5" t="str">
        <f>IFERROR(__xludf.DUMMYFUNCTION("GOOGLETRANSLATE(B13319,""en"",""zh-CN"")"),"他们在主人持有的皮带上。")</f>
        <v>他们在主人持有的皮带上。</v>
      </c>
    </row>
    <row r="13320">
      <c r="A13320" s="4" t="s">
        <v>16759</v>
      </c>
      <c r="B13320" s="4" t="s">
        <v>16762</v>
      </c>
      <c r="C13320" s="5" t="str">
        <f>IFERROR(__xludf.DUMMYFUNCTION("GOOGLETRANSLATE(B13320,""en"",""zh-CN"")"),"它们的流是无尽的。")</f>
        <v>它们的流是无尽的。</v>
      </c>
    </row>
    <row r="13321">
      <c r="A13321" s="4" t="s">
        <v>16759</v>
      </c>
      <c r="B13321" s="4" t="s">
        <v>16763</v>
      </c>
      <c r="C13321" s="5" t="str">
        <f>IFERROR(__xludf.DUMMYFUNCTION("GOOGLETRANSLATE(B13321,""en"",""zh-CN"")"),"一个女人抱着她的狗。")</f>
        <v>一个女人抱着她的狗。</v>
      </c>
    </row>
    <row r="13322">
      <c r="A13322" s="4" t="s">
        <v>16764</v>
      </c>
      <c r="B13322" s="6" t="s">
        <v>16765</v>
      </c>
      <c r="C13322" s="5" t="str">
        <f>IFERROR(__xludf.DUMMYFUNCTION("GOOGLETRANSLATE(B13322,""en"",""zh-CN"")"),"屏幕上出现了一张静止的水，屏幕上出现了黄色单词，并阅读“ American Disk”并包括该网站。")</f>
        <v>屏幕上出现了一张静止的水，屏幕上出现了黄色单词，并阅读“ American Disk”并包括该网站。</v>
      </c>
    </row>
    <row r="13323">
      <c r="A13323" s="4" t="s">
        <v>16764</v>
      </c>
      <c r="B13323" s="4" t="s">
        <v>16766</v>
      </c>
      <c r="C13323" s="5" t="str">
        <f>IFERROR(__xludf.DUMMYFUNCTION("GOOGLETRANSLATE(B13323,""en"",""zh-CN"")"),"一个黑发的女人现在在水边讲话，她一直在微笑。")</f>
        <v>一个黑发的女人现在在水边讲话，她一直在微笑。</v>
      </c>
    </row>
    <row r="13324">
      <c r="A13324" s="4" t="s">
        <v>16764</v>
      </c>
      <c r="B13324" s="6" t="s">
        <v>16767</v>
      </c>
      <c r="C13324" s="5" t="str">
        <f>IFERROR(__xludf.DUMMYFUNCTION("GOOGLETRANSLATE(B13324,""en"",""zh-CN"")"),"各个人玩的片段，他们都站在水面或水中，他们看起来都很高兴。")</f>
        <v>各个人玩的片段，他们都站在水面或水中，他们看起来都很高兴。</v>
      </c>
    </row>
    <row r="13325">
      <c r="A13325" s="4" t="s">
        <v>16764</v>
      </c>
      <c r="B13325" s="6" t="s">
        <v>16768</v>
      </c>
      <c r="C13325" s="5" t="str">
        <f>IFERROR(__xludf.DUMMYFUNCTION("GOOGLETRANSLATE(B13325,""en"",""zh-CN"")"),"人们现在在水上，做各种不同的事情，他们站着，坐着，蹲下，跪下，骑行或做技巧，有时会被快速移动的船拉。")</f>
        <v>人们现在在水上，做各种不同的事情，他们站着，坐着，蹲下，跪下，骑行或做技巧，有时会被快速移动的船拉。</v>
      </c>
    </row>
    <row r="13326">
      <c r="A13326" s="4" t="s">
        <v>16764</v>
      </c>
      <c r="B13326" s="6" t="s">
        <v>16769</v>
      </c>
      <c r="C13326" s="5" t="str">
        <f>IFERROR(__xludf.DUMMYFUNCTION("GOOGLETRANSLATE(B13326,""en"",""zh-CN"")"),"出现了一个黑屏，黄色的单词显示在屏幕上，并阅读“磁盘”，而黑发女子再次站在水边时说话。")</f>
        <v>出现了一个黑屏，黄色的单词显示在屏幕上，并阅读“磁盘”，而黑发女子再次站在水边时说话。</v>
      </c>
    </row>
    <row r="13327">
      <c r="A13327" s="4" t="s">
        <v>16764</v>
      </c>
      <c r="B13327" s="4" t="s">
        <v>16770</v>
      </c>
      <c r="C13327" s="5" t="str">
        <f>IFERROR(__xludf.DUMMYFUNCTION("GOOGLETRANSLATE(B13327,""en"",""zh-CN"")"),"然后，屏幕转到黑色并以黄色字母显示其网站。")</f>
        <v>然后，屏幕转到黑色并以黄色字母显示其网站。</v>
      </c>
    </row>
    <row r="13328">
      <c r="A13328" s="4" t="s">
        <v>16771</v>
      </c>
      <c r="B13328" s="6" t="s">
        <v>16772</v>
      </c>
      <c r="C13328" s="5" t="str">
        <f>IFERROR(__xludf.DUMMYFUNCTION("GOOGLETRANSLATE(B13328,""en"",""zh-CN"")"),"桌子的特写显示，该表从各个角度沿桌子移动的冰球的几个夹子。")</f>
        <v>桌子的特写显示，该表从各个角度沿桌子移动的冰球的几个夹子。</v>
      </c>
    </row>
    <row r="13329">
      <c r="A13329" s="4" t="s">
        <v>16771</v>
      </c>
      <c r="B13329" s="6" t="s">
        <v>16773</v>
      </c>
      <c r="C13329" s="5" t="str">
        <f>IFERROR(__xludf.DUMMYFUNCTION("GOOGLETRANSLATE(B13329,""en"",""zh-CN"")"),"人们在冰球继续前进并继续互相比赛时，向下倾斜并低头看着冰球。")</f>
        <v>人们在冰球继续前进并继续互相比赛时，向下倾斜并低头看着冰球。</v>
      </c>
    </row>
    <row r="13330">
      <c r="A13330" s="4" t="s">
        <v>16774</v>
      </c>
      <c r="B13330" s="4" t="s">
        <v>16775</v>
      </c>
      <c r="C13330" s="5" t="str">
        <f>IFERROR(__xludf.DUMMYFUNCTION("GOOGLETRANSLATE(B13330,""en"",""zh-CN"")"),"一只猫坐在猫的床上。")</f>
        <v>一只猫坐在猫的床上。</v>
      </c>
    </row>
    <row r="13331">
      <c r="A13331" s="4" t="s">
        <v>16774</v>
      </c>
      <c r="B13331" s="4" t="s">
        <v>16776</v>
      </c>
      <c r="C13331" s="5" t="str">
        <f>IFERROR(__xludf.DUMMYFUNCTION("GOOGLETRANSLATE(B13331,""en"",""zh-CN"")"),"它正在舔爪子。")</f>
        <v>它正在舔爪子。</v>
      </c>
    </row>
    <row r="13332">
      <c r="A13332" s="4" t="s">
        <v>16774</v>
      </c>
      <c r="B13332" s="4" t="s">
        <v>16777</v>
      </c>
      <c r="C13332" s="5" t="str">
        <f>IFERROR(__xludf.DUMMYFUNCTION("GOOGLETRANSLATE(B13332,""en"",""zh-CN"")"),"然后，它将其爪子擦在耳朵上。")</f>
        <v>然后，它将其爪子擦在耳朵上。</v>
      </c>
    </row>
    <row r="13333">
      <c r="A13333" s="4" t="s">
        <v>16778</v>
      </c>
      <c r="B13333" s="4" t="s">
        <v>16779</v>
      </c>
      <c r="C13333" s="5" t="str">
        <f>IFERROR(__xludf.DUMMYFUNCTION("GOOGLETRANSLATE(B13333,""en"",""zh-CN"")"),"一个穿着闪闪发光的绿色连衣裙的女人在舞台上讲话。")</f>
        <v>一个穿着闪闪发光的绿色连衣裙的女人在舞台上讲话。</v>
      </c>
    </row>
    <row r="13334">
      <c r="A13334" s="4" t="s">
        <v>16778</v>
      </c>
      <c r="B13334" s="4" t="s">
        <v>16780</v>
      </c>
      <c r="C13334" s="5" t="str">
        <f>IFERROR(__xludf.DUMMYFUNCTION("GOOGLETRANSLATE(B13334,""en"",""zh-CN"")"),"一对夫妇在创造性上跳舞，踢和旋转。")</f>
        <v>一对夫妇在创造性上跳舞，踢和旋转。</v>
      </c>
    </row>
    <row r="13335">
      <c r="A13335" s="4" t="s">
        <v>16778</v>
      </c>
      <c r="B13335" s="4" t="s">
        <v>16781</v>
      </c>
      <c r="C13335" s="5" t="str">
        <f>IFERROR(__xludf.DUMMYFUNCTION("GOOGLETRANSLATE(B13335,""en"",""zh-CN"")"),"完成后，他们牵着手来欢呼。")</f>
        <v>完成后，他们牵着手来欢呼。</v>
      </c>
    </row>
    <row r="13336">
      <c r="A13336" s="4" t="s">
        <v>16778</v>
      </c>
      <c r="B13336" s="4" t="s">
        <v>16782</v>
      </c>
      <c r="C13336" s="5" t="str">
        <f>IFERROR(__xludf.DUMMYFUNCTION("GOOGLETRANSLATE(B13336,""en"",""zh-CN"")"),"他们穿着一件绿色连衣裙走到那个女人，在离开舞台前拥抱了她。")</f>
        <v>他们穿着一件绿色连衣裙走到那个女人，在离开舞台前拥抱了她。</v>
      </c>
    </row>
    <row r="13337">
      <c r="A13337" s="4" t="s">
        <v>16783</v>
      </c>
      <c r="B13337" s="4" t="s">
        <v>16784</v>
      </c>
      <c r="C13337" s="5" t="str">
        <f>IFERROR(__xludf.DUMMYFUNCTION("GOOGLETRANSLATE(B13337,""en"",""zh-CN"")"),"两名男子在打乒乓球，而两名法官坐在两端。")</f>
        <v>两名男子在打乒乓球，而两名法官坐在两端。</v>
      </c>
    </row>
    <row r="13338">
      <c r="A13338" s="4" t="s">
        <v>16783</v>
      </c>
      <c r="B13338" s="4" t="s">
        <v>16785</v>
      </c>
      <c r="C13338" s="5" t="str">
        <f>IFERROR(__xludf.DUMMYFUNCTION("GOOGLETRANSLATE(B13338,""en"",""zh-CN"")"),"这些人来回击球。")</f>
        <v>这些人来回击球。</v>
      </c>
    </row>
    <row r="13339">
      <c r="A13339" s="4" t="s">
        <v>16783</v>
      </c>
      <c r="B13339" s="4" t="s">
        <v>16786</v>
      </c>
      <c r="C13339" s="5" t="str">
        <f>IFERROR(__xludf.DUMMYFUNCTION("GOOGLETRANSLATE(B13339,""en"",""zh-CN"")"),"随着人群欢呼，获胜者举手举手。")</f>
        <v>随着人群欢呼，获胜者举手举手。</v>
      </c>
    </row>
    <row r="13340">
      <c r="A13340" s="4" t="s">
        <v>16783</v>
      </c>
      <c r="B13340" s="4" t="s">
        <v>16787</v>
      </c>
      <c r="C13340" s="5" t="str">
        <f>IFERROR(__xludf.DUMMYFUNCTION("GOOGLETRANSLATE(B13340,""en"",""zh-CN"")"),"现场因成功的成功而重播。")</f>
        <v>现场因成功的成功而重播。</v>
      </c>
    </row>
    <row r="13341">
      <c r="A13341" s="4" t="s">
        <v>16788</v>
      </c>
      <c r="B13341" s="4" t="s">
        <v>16789</v>
      </c>
      <c r="C13341" s="5" t="str">
        <f>IFERROR(__xludf.DUMMYFUNCTION("GOOGLETRANSLATE(B13341,""en"",""zh-CN"")"),"一个男人在健身房跪下，拿着中型药球。")</f>
        <v>一个男人在健身房跪下，拿着中型药球。</v>
      </c>
    </row>
    <row r="13342">
      <c r="A13342" s="4" t="s">
        <v>16788</v>
      </c>
      <c r="B13342" s="4" t="s">
        <v>16790</v>
      </c>
      <c r="C13342" s="5" t="str">
        <f>IFERROR(__xludf.DUMMYFUNCTION("GOOGLETRANSLATE(B13342,""en"",""zh-CN"")"),"然后，他坐起来，开始在墙上来回扔球。")</f>
        <v>然后，他坐起来，开始在墙上来回扔球。</v>
      </c>
    </row>
    <row r="13343">
      <c r="A13343" s="4" t="s">
        <v>16788</v>
      </c>
      <c r="B13343" s="4" t="s">
        <v>16791</v>
      </c>
      <c r="C13343" s="5" t="str">
        <f>IFERROR(__xludf.DUMMYFUNCTION("GOOGLETRANSLATE(B13343,""en"",""zh-CN"")"),"之后，出现了一系列提示，然后再炫耀场地及其YouTube页面。")</f>
        <v>之后，出现了一系列提示，然后再炫耀场地及其YouTube页面。</v>
      </c>
    </row>
    <row r="13344">
      <c r="A13344" s="4" t="s">
        <v>16792</v>
      </c>
      <c r="B13344" s="6" t="s">
        <v>16793</v>
      </c>
      <c r="C13344" s="5" t="str">
        <f>IFERROR(__xludf.DUMMYFUNCTION("GOOGLETRANSLATE(B13344,""en"",""zh-CN"")"),"一个绿色的男人坐在沙子广场的尽头拍摄视频，在广场的侧面是三个人。")</f>
        <v>一个绿色的男人坐在沙子广场的尽头拍摄视频，在广场的侧面是三个人。</v>
      </c>
    </row>
    <row r="13345">
      <c r="A13345" s="4" t="s">
        <v>16792</v>
      </c>
      <c r="B13345" s="4" t="s">
        <v>16794</v>
      </c>
      <c r="C13345" s="5" t="str">
        <f>IFERROR(__xludf.DUMMYFUNCTION("GOOGLETRANSLATE(B13345,""en"",""zh-CN"")"),"身穿蓝色制服的年轻运动员在狭窄的车道上奔跑，跳上沙滩。")</f>
        <v>身穿蓝色制服的年轻运动员在狭窄的车道上奔跑，跳上沙滩。</v>
      </c>
    </row>
    <row r="13346">
      <c r="A13346" s="4" t="s">
        <v>16795</v>
      </c>
      <c r="B13346" s="4" t="s">
        <v>16796</v>
      </c>
      <c r="C13346" s="5" t="str">
        <f>IFERROR(__xludf.DUMMYFUNCTION("GOOGLETRANSLATE(B13346,""en"",""zh-CN"")"),"三个人在新闻室，与镜头交谈。")</f>
        <v>三个人在新闻室，与镜头交谈。</v>
      </c>
    </row>
    <row r="13347">
      <c r="A13347" s="4" t="s">
        <v>16795</v>
      </c>
      <c r="B13347" s="4" t="s">
        <v>16797</v>
      </c>
      <c r="C13347" s="5" t="str">
        <f>IFERROR(__xludf.DUMMYFUNCTION("GOOGLETRANSLATE(B13347,""en"",""zh-CN"")"),"一支球队正在打冰球，并在赢得比赛时庆祝。")</f>
        <v>一支球队正在打冰球，并在赢得比赛时庆祝。</v>
      </c>
    </row>
    <row r="13348">
      <c r="A13348" s="4" t="s">
        <v>16795</v>
      </c>
      <c r="B13348" s="4" t="s">
        <v>16798</v>
      </c>
      <c r="C13348" s="5" t="str">
        <f>IFERROR(__xludf.DUMMYFUNCTION("GOOGLETRANSLATE(B13348,""en"",""zh-CN"")"),"快乐的队友在更衣室的面试中微笑。")</f>
        <v>快乐的队友在更衣室的面试中微笑。</v>
      </c>
    </row>
    <row r="13349">
      <c r="A13349" s="4" t="s">
        <v>16795</v>
      </c>
      <c r="B13349" s="4" t="s">
        <v>16799</v>
      </c>
      <c r="C13349" s="5" t="str">
        <f>IFERROR(__xludf.DUMMYFUNCTION("GOOGLETRANSLATE(B13349,""en"",""zh-CN"")"),"新闻脚轮被显示为保存数字棒和笑。")</f>
        <v>新闻脚轮被显示为保存数字棒和笑。</v>
      </c>
    </row>
    <row r="13350">
      <c r="A13350" s="4" t="s">
        <v>16800</v>
      </c>
      <c r="B13350" s="4" t="s">
        <v>16801</v>
      </c>
      <c r="C13350" s="5" t="str">
        <f>IFERROR(__xludf.DUMMYFUNCTION("GOOGLETRANSLATE(B13350,""en"",""zh-CN"")"),"看到一个女人把食物从冰箱里拉出来，并与一个在楼下行走的女孩说话。")</f>
        <v>看到一个女人把食物从冰箱里拉出来，并与一个在楼下行走的女孩说话。</v>
      </c>
    </row>
    <row r="13351">
      <c r="A13351" s="4" t="s">
        <v>16800</v>
      </c>
      <c r="B13351" s="4" t="s">
        <v>16802</v>
      </c>
      <c r="C13351" s="5" t="str">
        <f>IFERROR(__xludf.DUMMYFUNCTION("GOOGLETRANSLATE(B13351,""en"",""zh-CN"")"),"当一个男人也走下楼梯时，他们的妇女继续讲话。")</f>
        <v>当一个男人也走下楼梯时，他们的妇女继续讲话。</v>
      </c>
    </row>
    <row r="13352">
      <c r="A13352" s="4" t="s">
        <v>16800</v>
      </c>
      <c r="B13352" s="4" t="s">
        <v>16803</v>
      </c>
      <c r="C13352" s="5" t="str">
        <f>IFERROR(__xludf.DUMMYFUNCTION("GOOGLETRANSLATE(B13352,""en"",""zh-CN"")"),"然后，女人和男人说话，另一个女人走在楼上。")</f>
        <v>然后，女人和男人说话，另一个女人走在楼上。</v>
      </c>
    </row>
    <row r="13353">
      <c r="A13353" s="4" t="s">
        <v>16804</v>
      </c>
      <c r="B13353" s="4" t="s">
        <v>1487</v>
      </c>
      <c r="C13353" s="5" t="str">
        <f>IFERROR(__xludf.DUMMYFUNCTION("GOOGLETRANSLATE(B13353,""en"",""zh-CN"")"),"我们看到一个开放标题屏幕。")</f>
        <v>我们看到一个开放标题屏幕。</v>
      </c>
    </row>
    <row r="13354">
      <c r="A13354" s="4" t="s">
        <v>16804</v>
      </c>
      <c r="B13354" s="4" t="s">
        <v>16805</v>
      </c>
      <c r="C13354" s="5" t="str">
        <f>IFERROR(__xludf.DUMMYFUNCTION("GOOGLETRANSLATE(B13354,""en"",""zh-CN"")"),"我们看到一只女士手上有指甲油。")</f>
        <v>我们看到一只女士手上有指甲油。</v>
      </c>
    </row>
    <row r="13355">
      <c r="A13355" s="4" t="s">
        <v>16804</v>
      </c>
      <c r="B13355" s="4" t="s">
        <v>16806</v>
      </c>
      <c r="C13355" s="5" t="str">
        <f>IFERROR(__xludf.DUMMYFUNCTION("GOOGLETRANSLATE(B13355,""en"",""zh-CN"")"),"这位女士将胶带戴在指甲上，并在上面涂上清晰的白色抛光剂。")</f>
        <v>这位女士将胶带戴在指甲上，并在上面涂上清晰的白色抛光剂。</v>
      </c>
    </row>
    <row r="13356">
      <c r="A13356" s="4" t="s">
        <v>16804</v>
      </c>
      <c r="B13356" s="4" t="s">
        <v>16807</v>
      </c>
      <c r="C13356" s="5" t="str">
        <f>IFERROR(__xludf.DUMMYFUNCTION("GOOGLETRANSLATE(B13356,""en"",""zh-CN"")"),"女士在一杯液体中添加了一滴指甲油，然后将其拉动。")</f>
        <v>女士在一杯液体中添加了一滴指甲油，然后将其拉动。</v>
      </c>
    </row>
    <row r="13357">
      <c r="A13357" s="4" t="s">
        <v>16804</v>
      </c>
      <c r="B13357" s="4" t="s">
        <v>16808</v>
      </c>
      <c r="C13357" s="5" t="str">
        <f>IFERROR(__xludf.DUMMYFUNCTION("GOOGLETRANSLATE(B13357,""en"",""zh-CN"")"),"这位女士将指甲放在杯子里，并用棍棒去除抛光剂。")</f>
        <v>这位女士将指甲放在杯子里，并用棍棒去除抛光剂。</v>
      </c>
    </row>
    <row r="13358">
      <c r="A13358" s="4" t="s">
        <v>16804</v>
      </c>
      <c r="B13358" s="4" t="s">
        <v>16809</v>
      </c>
      <c r="C13358" s="5" t="str">
        <f>IFERROR(__xludf.DUMMYFUNCTION("GOOGLETRANSLATE(B13358,""en"",""zh-CN"")"),"那位女士拉了胶带，然后在她的指甲上穿透明的外套。")</f>
        <v>那位女士拉了胶带，然后在她的指甲上穿透明的外套。</v>
      </c>
    </row>
    <row r="13359">
      <c r="A13359" s="4" t="s">
        <v>16804</v>
      </c>
      <c r="B13359" s="4" t="s">
        <v>5107</v>
      </c>
      <c r="C13359" s="5" t="str">
        <f>IFERROR(__xludf.DUMMYFUNCTION("GOOGLETRANSLATE(B13359,""en"",""zh-CN"")"),"然后，我们看到结尾标题屏幕。")</f>
        <v>然后，我们看到结尾标题屏幕。</v>
      </c>
    </row>
    <row r="13360">
      <c r="A13360" s="4" t="s">
        <v>16810</v>
      </c>
      <c r="B13360" s="4" t="s">
        <v>16811</v>
      </c>
      <c r="C13360" s="5" t="str">
        <f>IFERROR(__xludf.DUMMYFUNCTION("GOOGLETRANSLATE(B13360,""en"",""zh-CN"")"),"一个女人在舞台上做一个肚皮舞的例行活动，她对此非常热情。")</f>
        <v>一个女人在舞台上做一个肚皮舞的例行活动，她对此非常热情。</v>
      </c>
    </row>
    <row r="13361">
      <c r="A13361" s="4" t="s">
        <v>16810</v>
      </c>
      <c r="B13361" s="4" t="s">
        <v>16812</v>
      </c>
      <c r="C13361" s="5" t="str">
        <f>IFERROR(__xludf.DUMMYFUNCTION("GOOGLETRANSLATE(B13361,""en"",""zh-CN"")"),"她开始旋转旋转，她的衣服和她一起旋转。")</f>
        <v>她开始旋转旋转，她的衣服和她一起旋转。</v>
      </c>
    </row>
    <row r="13362">
      <c r="A13362" s="4" t="s">
        <v>16810</v>
      </c>
      <c r="B13362" s="6" t="s">
        <v>16813</v>
      </c>
      <c r="C13362" s="5" t="str">
        <f>IFERROR(__xludf.DUMMYFUNCTION("GOOGLETRANSLATE(B13362,""en"",""zh-CN"")"),"她的衣服抬起头，然后到她的肩膀上，她继续旋转旋转，脱下衣服，像婴儿一样握住它。")</f>
        <v>她的衣服抬起头，然后到她的肩膀上，她继续旋转旋转，脱下衣服，像婴儿一样握住它。</v>
      </c>
    </row>
    <row r="13363">
      <c r="A13363" s="4" t="s">
        <v>16810</v>
      </c>
      <c r="B13363" s="4" t="s">
        <v>16814</v>
      </c>
      <c r="C13363" s="5" t="str">
        <f>IFERROR(__xludf.DUMMYFUNCTION("GOOGLETRANSLATE(B13363,""en"",""zh-CN"")"),"她回到四处旋转，直到舞蹈结束，然后跌落到地板上。")</f>
        <v>她回到四处旋转，直到舞蹈结束，然后跌落到地板上。</v>
      </c>
    </row>
    <row r="13364">
      <c r="A13364" s="4" t="s">
        <v>16815</v>
      </c>
      <c r="B13364" s="4" t="s">
        <v>16816</v>
      </c>
      <c r="C13364" s="5" t="str">
        <f>IFERROR(__xludf.DUMMYFUNCTION("GOOGLETRANSLATE(B13364,""en"",""zh-CN"")"),"一个女人和女孩正试图让狗洗澡。")</f>
        <v>一个女人和女孩正试图让狗洗澡。</v>
      </c>
    </row>
    <row r="13365">
      <c r="A13365" s="4" t="s">
        <v>16815</v>
      </c>
      <c r="B13365" s="4" t="s">
        <v>16817</v>
      </c>
      <c r="C13365" s="5" t="str">
        <f>IFERROR(__xludf.DUMMYFUNCTION("GOOGLETRANSLATE(B13365,""en"",""zh-CN"")"),"狗不断跳出来。")</f>
        <v>狗不断跳出来。</v>
      </c>
    </row>
    <row r="13366">
      <c r="A13366" s="4" t="s">
        <v>16815</v>
      </c>
      <c r="B13366" s="4" t="s">
        <v>16818</v>
      </c>
      <c r="C13366" s="5" t="str">
        <f>IFERROR(__xludf.DUMMYFUNCTION("GOOGLETRANSLATE(B13366,""en"",""zh-CN"")"),"他们终于用软管在户外给狗洗个澡。")</f>
        <v>他们终于用软管在户外给狗洗个澡。</v>
      </c>
    </row>
    <row r="13367">
      <c r="A13367" s="4" t="s">
        <v>16819</v>
      </c>
      <c r="B13367" s="6" t="s">
        <v>16820</v>
      </c>
      <c r="C13367" s="5" t="str">
        <f>IFERROR(__xludf.DUMMYFUNCTION("GOOGLETRANSLATE(B13367,""en"",""zh-CN"")"),"一个人的滑雪板覆盖着雪坡，山坡以及其他几个物体，例如栏杆，屋顶，车库和树桩。")</f>
        <v>一个人的滑雪板覆盖着雪坡，山坡以及其他几个物体，例如栏杆，屋顶，车库和树桩。</v>
      </c>
    </row>
    <row r="13368">
      <c r="A13368" s="4" t="s">
        <v>16819</v>
      </c>
      <c r="B13368" s="4" t="s">
        <v>16821</v>
      </c>
      <c r="C13368" s="5" t="str">
        <f>IFERROR(__xludf.DUMMYFUNCTION("GOOGLETRANSLATE(B13368,""en"",""zh-CN"")"),"一个人滑雪板覆盖着山丘。")</f>
        <v>一个人滑雪板覆盖着山丘。</v>
      </c>
    </row>
    <row r="13369">
      <c r="A13369" s="4" t="s">
        <v>16819</v>
      </c>
      <c r="B13369" s="4" t="s">
        <v>16822</v>
      </c>
      <c r="C13369" s="5" t="str">
        <f>IFERROR(__xludf.DUMMYFUNCTION("GOOGLETRANSLATE(B13369,""en"",""zh-CN"")"),"然后，该男子继续从车库屋顶，楼梯栏杆和其他几个地方滑雪。")</f>
        <v>然后，该男子继续从车库屋顶，楼梯栏杆和其他几个地方滑雪。</v>
      </c>
    </row>
    <row r="13370">
      <c r="A13370" s="4" t="s">
        <v>16819</v>
      </c>
      <c r="B13370" s="4" t="s">
        <v>16823</v>
      </c>
      <c r="C13370" s="5" t="str">
        <f>IFERROR(__xludf.DUMMYFUNCTION("GOOGLETRANSLATE(B13370,""en"",""zh-CN"")"),"该男子在最后一枪中完全旋转了雪。")</f>
        <v>该男子在最后一枪中完全旋转了雪。</v>
      </c>
    </row>
    <row r="13371">
      <c r="A13371" s="4" t="s">
        <v>16824</v>
      </c>
      <c r="B13371" s="4" t="s">
        <v>16825</v>
      </c>
      <c r="C13371" s="5" t="str">
        <f>IFERROR(__xludf.DUMMYFUNCTION("GOOGLETRANSLATE(B13371,""en"",""zh-CN"")"),"一个男孩用水在浴室水槽里冲洗脸。")</f>
        <v>一个男孩用水在浴室水槽里冲洗脸。</v>
      </c>
    </row>
    <row r="13372">
      <c r="A13372" s="4" t="s">
        <v>16824</v>
      </c>
      <c r="B13372" s="4" t="s">
        <v>16826</v>
      </c>
      <c r="C13372" s="5" t="str">
        <f>IFERROR(__xludf.DUMMYFUNCTION("GOOGLETRANSLATE(B13372,""en"",""zh-CN"")"),"男孩们在浴室里一起开玩笑。")</f>
        <v>男孩们在浴室里一起开玩笑。</v>
      </c>
    </row>
    <row r="13373">
      <c r="A13373" s="4" t="s">
        <v>16824</v>
      </c>
      <c r="B13373" s="4" t="s">
        <v>16827</v>
      </c>
      <c r="C13373" s="5" t="str">
        <f>IFERROR(__xludf.DUMMYFUNCTION("GOOGLETRANSLATE(B13373,""en"",""zh-CN"")"),"一个男孩在他的手上摩擦肥皂，然后擦脸上。")</f>
        <v>一个男孩在他的手上摩擦肥皂，然后擦脸上。</v>
      </c>
    </row>
    <row r="13374">
      <c r="A13374" s="4" t="s">
        <v>16824</v>
      </c>
      <c r="B13374" s="4" t="s">
        <v>16828</v>
      </c>
      <c r="C13374" s="5" t="str">
        <f>IFERROR(__xludf.DUMMYFUNCTION("GOOGLETRANSLATE(B13374,""en"",""zh-CN"")"),"这个男孩从水槽中的脸上冲出了肥皂。")</f>
        <v>这个男孩从水槽中的脸上冲出了肥皂。</v>
      </c>
    </row>
    <row r="13375">
      <c r="A13375" s="4" t="s">
        <v>16824</v>
      </c>
      <c r="B13375" s="4" t="s">
        <v>16829</v>
      </c>
      <c r="C13375" s="5" t="str">
        <f>IFERROR(__xludf.DUMMYFUNCTION("GOOGLETRANSLATE(B13375,""en"",""zh-CN"")"),"男孩卷起毛巾，将其扔在房间的角落。")</f>
        <v>男孩卷起毛巾，将其扔在房间的角落。</v>
      </c>
    </row>
    <row r="13376">
      <c r="A13376" s="4" t="s">
        <v>16830</v>
      </c>
      <c r="B13376" s="4" t="s">
        <v>16831</v>
      </c>
      <c r="C13376" s="5" t="str">
        <f>IFERROR(__xludf.DUMMYFUNCTION("GOOGLETRANSLATE(B13376,""en"",""zh-CN"")"),"一名老人用脚翻转滑板，然后将其扔到地板上并滑冰。")</f>
        <v>一名老人用脚翻转滑板，然后将其扔到地板上并滑冰。</v>
      </c>
    </row>
    <row r="13377">
      <c r="A13377" s="4" t="s">
        <v>16830</v>
      </c>
      <c r="B13377" s="6" t="s">
        <v>16832</v>
      </c>
      <c r="C13377" s="5" t="str">
        <f>IFERROR(__xludf.DUMMYFUNCTION("GOOGLETRANSLATE(B13377,""en"",""zh-CN"")"),"之后，该男子用脚撞到滑板，然后抬高，该男子试图抓住滑板，但他想念它。")</f>
        <v>之后，该男子用脚撞到滑板，然后抬高，该男子试图抓住滑板，但他想念它。</v>
      </c>
    </row>
    <row r="13378">
      <c r="A13378" s="4" t="s">
        <v>16830</v>
      </c>
      <c r="B13378" s="4" t="s">
        <v>16833</v>
      </c>
      <c r="C13378" s="5" t="str">
        <f>IFERROR(__xludf.DUMMYFUNCTION("GOOGLETRANSLATE(B13378,""en"",""zh-CN"")"),"一个男孩几乎被滑板击中。")</f>
        <v>一个男孩几乎被滑板击中。</v>
      </c>
    </row>
    <row r="13379">
      <c r="A13379" s="4" t="s">
        <v>16830</v>
      </c>
      <c r="B13379" s="4" t="s">
        <v>16834</v>
      </c>
      <c r="C13379" s="5" t="str">
        <f>IFERROR(__xludf.DUMMYFUNCTION("GOOGLETRANSLATE(B13379,""en"",""zh-CN"")"),"然后，该男子滑冰在公园上，然后进入滑板轨道。")</f>
        <v>然后，该男子滑冰在公园上，然后进入滑板轨道。</v>
      </c>
    </row>
    <row r="13380">
      <c r="A13380" s="4" t="s">
        <v>16835</v>
      </c>
      <c r="B13380" s="4" t="s">
        <v>16836</v>
      </c>
      <c r="C13380" s="5" t="str">
        <f>IFERROR(__xludf.DUMMYFUNCTION("GOOGLETRANSLATE(B13380,""en"",""zh-CN"")"),"一个穿着蓝色毛衣的小男孩从侧面跳出来，站在飞镖板前。")</f>
        <v>一个穿着蓝色毛衣的小男孩从侧面跳出来，站在飞镖板前。</v>
      </c>
    </row>
    <row r="13381">
      <c r="A13381" s="4" t="s">
        <v>16835</v>
      </c>
      <c r="B13381" s="4" t="s">
        <v>16837</v>
      </c>
      <c r="C13381" s="5" t="str">
        <f>IFERROR(__xludf.DUMMYFUNCTION("GOOGLETRANSLATE(B13381,""en"",""zh-CN"")"),"一旦他平静下来，他转过身，开始将飞镖扔在板上。")</f>
        <v>一旦他平静下来，他转过身，开始将飞镖扔在板上。</v>
      </c>
    </row>
    <row r="13382">
      <c r="A13382" s="4" t="s">
        <v>16835</v>
      </c>
      <c r="B13382" s="4" t="s">
        <v>16838</v>
      </c>
      <c r="C13382" s="5" t="str">
        <f>IFERROR(__xludf.DUMMYFUNCTION("GOOGLETRANSLATE(B13382,""en"",""zh-CN"")"),"扔了所有飞镖之后，摄像机放大了飞镖，以展示他的所作所为。")</f>
        <v>扔了所有飞镖之后，摄像机放大了飞镖，以展示他的所作所为。</v>
      </c>
    </row>
    <row r="13383">
      <c r="A13383" s="4" t="s">
        <v>16839</v>
      </c>
      <c r="B13383" s="4" t="s">
        <v>16840</v>
      </c>
      <c r="C13383" s="5" t="str">
        <f>IFERROR(__xludf.DUMMYFUNCTION("GOOGLETRANSLATE(B13383,""en"",""zh-CN"")"),"一个戴着黑色帽子的男人正在和镜头说话。")</f>
        <v>一个戴着黑色帽子的男人正在和镜头说话。</v>
      </c>
    </row>
    <row r="13384">
      <c r="A13384" s="4" t="s">
        <v>16839</v>
      </c>
      <c r="B13384" s="4" t="s">
        <v>16841</v>
      </c>
      <c r="C13384" s="5" t="str">
        <f>IFERROR(__xludf.DUMMYFUNCTION("GOOGLETRANSLATE(B13384,""en"",""zh-CN"")"),"他开始在肩膀上打小提琴。")</f>
        <v>他开始在肩膀上打小提琴。</v>
      </c>
    </row>
    <row r="13385">
      <c r="A13385" s="4" t="s">
        <v>16839</v>
      </c>
      <c r="B13385" s="4" t="s">
        <v>16842</v>
      </c>
      <c r="C13385" s="5" t="str">
        <f>IFERROR(__xludf.DUMMYFUNCTION("GOOGLETRANSLATE(B13385,""en"",""zh-CN"")"),"他停止玩耍，将小提琴放在身边。")</f>
        <v>他停止玩耍，将小提琴放在身边。</v>
      </c>
    </row>
    <row r="13386">
      <c r="A13386" s="4" t="s">
        <v>16843</v>
      </c>
      <c r="B13386" s="6" t="s">
        <v>16844</v>
      </c>
      <c r="C13386" s="5" t="str">
        <f>IFERROR(__xludf.DUMMYFUNCTION("GOOGLETRANSLATE(B13386,""en"",""zh-CN"")"),"一只男人和一只狗在一个田野里，狗在他的腿之间握住飞盘，狗跳过该人的背部并取出飞盘。")</f>
        <v>一只男人和一只狗在一个田野里，狗在他的腿之间握住飞盘，狗跳过该人的背部并取出飞盘。</v>
      </c>
    </row>
    <row r="13387">
      <c r="A13387" s="4" t="s">
        <v>16843</v>
      </c>
      <c r="B13387" s="6" t="s">
        <v>16845</v>
      </c>
      <c r="C13387" s="5" t="str">
        <f>IFERROR(__xludf.DUMMYFUNCTION("GOOGLETRANSLATE(B13387,""en"",""zh-CN"")"),"比赛继续进行，两人继续与飞盘一起玩，而主人则将双腿抬起狗来供狗。")</f>
        <v>比赛继续进行，两人继续与飞盘一起玩，而主人则将双腿抬起狗来供狗。</v>
      </c>
    </row>
    <row r="13388">
      <c r="A13388" s="4" t="s">
        <v>16843</v>
      </c>
      <c r="B13388" s="4" t="s">
        <v>16846</v>
      </c>
      <c r="C13388" s="5" t="str">
        <f>IFERROR(__xludf.DUMMYFUNCTION("GOOGLETRANSLATE(B13388,""en"",""zh-CN"")"),"现在，人类有四个或五个飞盘，开始迅速将它们扔掉供狗得到。")</f>
        <v>现在，人类有四个或五个飞盘，开始迅速将它们扔掉供狗得到。</v>
      </c>
    </row>
    <row r="13389">
      <c r="A13389" s="4" t="s">
        <v>16847</v>
      </c>
      <c r="B13389" s="4" t="s">
        <v>16848</v>
      </c>
      <c r="C13389" s="5" t="str">
        <f>IFERROR(__xludf.DUMMYFUNCTION("GOOGLETRANSLATE(B13389,""en"",""zh-CN"")"),"简要显示了房屋的视图。")</f>
        <v>简要显示了房屋的视图。</v>
      </c>
    </row>
    <row r="13390">
      <c r="A13390" s="4" t="s">
        <v>16847</v>
      </c>
      <c r="B13390" s="6" t="s">
        <v>16849</v>
      </c>
      <c r="C13390" s="5" t="str">
        <f>IFERROR(__xludf.DUMMYFUNCTION("GOOGLETRANSLATE(B13390,""en"",""zh-CN"")"),"它朝另一个房间铺好，它显示一个小孩坐在鼓盘上，吮吸一个奶嘴，拿着两个鼓声并撞到鼓。")</f>
        <v>它朝另一个房间铺好，它显示一个小孩坐在鼓盘上，吮吸一个奶嘴，拿着两个鼓声并撞到鼓。</v>
      </c>
    </row>
    <row r="13391">
      <c r="A13391" s="4" t="s">
        <v>16847</v>
      </c>
      <c r="B13391" s="6" t="s">
        <v>16850</v>
      </c>
      <c r="C13391" s="5" t="str">
        <f>IFERROR(__xludf.DUMMYFUNCTION("GOOGLETRANSLATE(B13391,""en"",""zh-CN"")"),"孩子用左手击中了几次cy骨，然后他抓住了鼓槌，开始击中所有鼓。")</f>
        <v>孩子用左手击中了几次cy骨，然后他抓住了鼓槌，开始击中所有鼓。</v>
      </c>
    </row>
    <row r="13392">
      <c r="A13392" s="4" t="s">
        <v>16851</v>
      </c>
      <c r="B13392" s="6" t="s">
        <v>16852</v>
      </c>
      <c r="C13392" s="5" t="str">
        <f>IFERROR(__xludf.DUMMYFUNCTION("GOOGLETRANSLATE(B13392,""en"",""zh-CN"")"),"看到两名男子与裁判牵着手握住他们的手，并带领他们进入了一场手臂摔跤比赛。")</f>
        <v>看到两名男子与裁判牵着手握住他们的手，并带领他们进入了一场手臂摔跤比赛。</v>
      </c>
    </row>
    <row r="13393">
      <c r="A13393" s="4" t="s">
        <v>16851</v>
      </c>
      <c r="B13393" s="4" t="s">
        <v>16853</v>
      </c>
      <c r="C13393" s="5" t="str">
        <f>IFERROR(__xludf.DUMMYFUNCTION("GOOGLETRANSLATE(B13393,""en"",""zh-CN"")"),"一个人获胜，然后继续摔跤几个人。")</f>
        <v>一个人获胜，然后继续摔跤几个人。</v>
      </c>
    </row>
    <row r="13394">
      <c r="A13394" s="4" t="s">
        <v>16854</v>
      </c>
      <c r="B13394" s="4" t="s">
        <v>16855</v>
      </c>
      <c r="C13394" s="5" t="str">
        <f>IFERROR(__xludf.DUMMYFUNCTION("GOOGLETRANSLATE(B13394,""en"",""zh-CN"")"),"一个男人在花园里在外面说话。")</f>
        <v>一个男人在花园里在外面说话。</v>
      </c>
    </row>
    <row r="13395">
      <c r="A13395" s="4" t="s">
        <v>16854</v>
      </c>
      <c r="B13395" s="4" t="s">
        <v>16856</v>
      </c>
      <c r="C13395" s="5" t="str">
        <f>IFERROR(__xludf.DUMMYFUNCTION("GOOGLETRANSLATE(B13395,""en"",""zh-CN"")"),"他手里拿着小刀。")</f>
        <v>他手里拿着小刀。</v>
      </c>
    </row>
    <row r="13396">
      <c r="A13396" s="4" t="s">
        <v>16854</v>
      </c>
      <c r="B13396" s="4" t="s">
        <v>16857</v>
      </c>
      <c r="C13396" s="5" t="str">
        <f>IFERROR(__xludf.DUMMYFUNCTION("GOOGLETRANSLATE(B13396,""en"",""zh-CN"")"),"他用一块石头锐化了相机的刀。")</f>
        <v>他用一块石头锐化了相机的刀。</v>
      </c>
    </row>
    <row r="13397">
      <c r="A13397" s="4" t="s">
        <v>16858</v>
      </c>
      <c r="B13397" s="4" t="s">
        <v>16859</v>
      </c>
      <c r="C13397" s="5" t="str">
        <f>IFERROR(__xludf.DUMMYFUNCTION("GOOGLETRANSLATE(B13397,""en"",""zh-CN"")"),"人们站在圈子里拍手。")</f>
        <v>人们站在圈子里拍手。</v>
      </c>
    </row>
    <row r="13398">
      <c r="A13398" s="4" t="s">
        <v>16858</v>
      </c>
      <c r="B13398" s="4" t="s">
        <v>16860</v>
      </c>
      <c r="C13398" s="5" t="str">
        <f>IFERROR(__xludf.DUMMYFUNCTION("GOOGLETRANSLATE(B13398,""en"",""zh-CN"")"),"两个人开始在圈子里战斗。")</f>
        <v>两个人开始在圈子里战斗。</v>
      </c>
    </row>
    <row r="13399">
      <c r="A13399" s="4" t="s">
        <v>16858</v>
      </c>
      <c r="B13399" s="4" t="s">
        <v>16861</v>
      </c>
      <c r="C13399" s="5" t="str">
        <f>IFERROR(__xludf.DUMMYFUNCTION("GOOGLETRANSLATE(B13399,""en"",""zh-CN"")"),"女人在跳舞并拿着棍子。")</f>
        <v>女人在跳舞并拿着棍子。</v>
      </c>
    </row>
    <row r="13400">
      <c r="A13400" s="4" t="s">
        <v>16862</v>
      </c>
      <c r="B13400" s="6" t="s">
        <v>16863</v>
      </c>
      <c r="C13400" s="5" t="str">
        <f>IFERROR(__xludf.DUMMYFUNCTION("GOOGLETRANSLATE(B13400,""en"",""zh-CN"")"),"看到一个运动员被浸入一组不平坦的酒吧，并伸出手臂来介绍他已经准备好了。")</f>
        <v>看到一个运动员被浸入一组不平坦的酒吧，并伸出手臂来介绍他已经准备好了。</v>
      </c>
    </row>
    <row r="13401">
      <c r="A13401" s="4" t="s">
        <v>16862</v>
      </c>
      <c r="B13401" s="4" t="s">
        <v>16864</v>
      </c>
      <c r="C13401" s="5" t="str">
        <f>IFERROR(__xludf.DUMMYFUNCTION("GOOGLETRANSLATE(B13401,""en"",""zh-CN"")"),"该男子继续在不平坦的条上进行翻转和技巧，继续旋转自己。")</f>
        <v>该男子继续在不平坦的条上进行翻转和技巧，继续旋转自己。</v>
      </c>
    </row>
    <row r="13402">
      <c r="A13402" s="4" t="s">
        <v>16862</v>
      </c>
      <c r="B13402" s="4" t="s">
        <v>16865</v>
      </c>
      <c r="C13402" s="5" t="str">
        <f>IFERROR(__xludf.DUMMYFUNCTION("GOOGLETRANSLATE(B13402,""en"",""zh-CN"")"),"该男子继续四处翻转并通过摇摆而结束，但将双手抬起来完成。")</f>
        <v>该男子继续四处翻转并通过摇摆而结束，但将双手抬起来完成。</v>
      </c>
    </row>
    <row r="13403">
      <c r="A13403" s="4" t="s">
        <v>16866</v>
      </c>
      <c r="B13403" s="4" t="s">
        <v>16867</v>
      </c>
      <c r="C13403" s="5" t="str">
        <f>IFERROR(__xludf.DUMMYFUNCTION("GOOGLETRANSLATE(B13403,""en"",""zh-CN"")"),"一个男人走到桌子的尽头，桌子上有一堆红色的杯子在三角形中排列。")</f>
        <v>一个男人走到桌子的尽头，桌子上有一堆红色的杯子在三角形中排列。</v>
      </c>
    </row>
    <row r="13404">
      <c r="A13404" s="4" t="s">
        <v>16866</v>
      </c>
      <c r="B13404" s="4" t="s">
        <v>16868</v>
      </c>
      <c r="C13404" s="5" t="str">
        <f>IFERROR(__xludf.DUMMYFUNCTION("GOOGLETRANSLATE(B13404,""en"",""zh-CN"")"),"他开始将球扔进杯子。")</f>
        <v>他开始将球扔进杯子。</v>
      </c>
    </row>
    <row r="13405">
      <c r="A13405" s="4" t="s">
        <v>16866</v>
      </c>
      <c r="B13405" s="4" t="s">
        <v>16869</v>
      </c>
      <c r="C13405" s="5" t="str">
        <f>IFERROR(__xludf.DUMMYFUNCTION("GOOGLETRANSLATE(B13405,""en"",""zh-CN"")"),"视频变为黑色，图形似乎可以关闭剪辑。")</f>
        <v>视频变为黑色，图形似乎可以关闭剪辑。</v>
      </c>
    </row>
    <row r="13406">
      <c r="A13406" s="4" t="s">
        <v>16870</v>
      </c>
      <c r="B13406" s="4" t="s">
        <v>16871</v>
      </c>
      <c r="C13406" s="5" t="str">
        <f>IFERROR(__xludf.DUMMYFUNCTION("GOOGLETRANSLATE(B13406,""en"",""zh-CN"")"),"穿着黑色衬衫的女人在跳舞。")</f>
        <v>穿着黑色衬衫的女人在跳舞。</v>
      </c>
    </row>
    <row r="13407">
      <c r="A13407" s="4" t="s">
        <v>16870</v>
      </c>
      <c r="B13407" s="4" t="s">
        <v>16872</v>
      </c>
      <c r="C13407" s="5" t="str">
        <f>IFERROR(__xludf.DUMMYFUNCTION("GOOGLETRANSLATE(B13407,""en"",""zh-CN"")"),"她在旋转着警棍。")</f>
        <v>她在旋转着警棍。</v>
      </c>
    </row>
    <row r="13408">
      <c r="A13408" s="4" t="s">
        <v>16870</v>
      </c>
      <c r="B13408" s="4" t="s">
        <v>16873</v>
      </c>
      <c r="C13408" s="5" t="str">
        <f>IFERROR(__xludf.DUMMYFUNCTION("GOOGLETRANSLATE(B13408,""en"",""zh-CN"")"),"她抓住了接力棒和旋转。")</f>
        <v>她抓住了接力棒和旋转。</v>
      </c>
    </row>
    <row r="13409">
      <c r="A13409" s="4" t="s">
        <v>16874</v>
      </c>
      <c r="B13409" s="4" t="s">
        <v>16875</v>
      </c>
      <c r="C13409" s="5" t="str">
        <f>IFERROR(__xludf.DUMMYFUNCTION("GOOGLETRANSLATE(B13409,""en"",""zh-CN"")"),"一群人前往河流，进入充气筏。")</f>
        <v>一群人前往河流，进入充气筏。</v>
      </c>
    </row>
    <row r="13410">
      <c r="A13410" s="4" t="s">
        <v>16874</v>
      </c>
      <c r="B13410" s="4" t="s">
        <v>16876</v>
      </c>
      <c r="C13410" s="5" t="str">
        <f>IFERROR(__xludf.DUMMYFUNCTION("GOOGLETRANSLATE(B13410,""en"",""zh-CN"")"),"他们迅速通过愤怒的白急流和小瀑布划船。")</f>
        <v>他们迅速通过愤怒的白急流和小瀑布划船。</v>
      </c>
    </row>
    <row r="13411">
      <c r="A13411" s="4" t="s">
        <v>16874</v>
      </c>
      <c r="B13411" s="4" t="s">
        <v>16877</v>
      </c>
      <c r="C13411" s="5" t="str">
        <f>IFERROR(__xludf.DUMMYFUNCTION("GOOGLETRANSLATE(B13411,""en"",""zh-CN"")"),"当水从秋天从秋天喷出时，它们会慢慢漂浮。")</f>
        <v>当水从秋天从秋天喷出时，它们会慢慢漂浮。</v>
      </c>
    </row>
    <row r="13412">
      <c r="A13412" s="4" t="s">
        <v>16878</v>
      </c>
      <c r="B13412" s="6" t="s">
        <v>16879</v>
      </c>
      <c r="C13412" s="5" t="str">
        <f>IFERROR(__xludf.DUMMYFUNCTION("GOOGLETRANSLATE(B13412,""en"",""zh-CN"")"),"当男人准备在赛道上奔跑时，我们看到一个男人的脸靠近他的名字。")</f>
        <v>当男人准备在赛道上奔跑时，我们看到一个男人的脸靠近他的名字。</v>
      </c>
    </row>
    <row r="13413">
      <c r="A13413" s="4" t="s">
        <v>16878</v>
      </c>
      <c r="B13413" s="4" t="s">
        <v>16880</v>
      </c>
      <c r="C13413" s="5" t="str">
        <f>IFERROR(__xludf.DUMMYFUNCTION("GOOGLETRANSLATE(B13413,""en"",""zh-CN"")"),"该男子沿着赛道奔跑，表演跳远，将手臂伸到空中。")</f>
        <v>该男子沿着赛道奔跑，表演跳远，将手臂伸到空中。</v>
      </c>
    </row>
    <row r="13414">
      <c r="A13414" s="4" t="s">
        <v>16878</v>
      </c>
      <c r="B13414" s="4" t="s">
        <v>16881</v>
      </c>
      <c r="C13414" s="5" t="str">
        <f>IFERROR(__xludf.DUMMYFUNCTION("GOOGLETRANSLATE(B13414,""en"",""zh-CN"")"),"我们看到另一个男人伸展他的手臂。")</f>
        <v>我们看到另一个男人伸展他的手臂。</v>
      </c>
    </row>
    <row r="13415">
      <c r="A13415" s="4" t="s">
        <v>16878</v>
      </c>
      <c r="B13415" s="6" t="s">
        <v>16882</v>
      </c>
      <c r="C13415" s="5" t="str">
        <f>IFERROR(__xludf.DUMMYFUNCTION("GOOGLETRANSLATE(B13415,""en"",""zh-CN"")"),"跳线等待得分出现在屏幕上，跳跃的那个人将手伸到空中并逃跑。")</f>
        <v>跳线等待得分出现在屏幕上，跳跃的那个人将手伸到空中并逃跑。</v>
      </c>
    </row>
    <row r="13416">
      <c r="A13416" s="4" t="s">
        <v>16878</v>
      </c>
      <c r="B13416" s="4" t="s">
        <v>16883</v>
      </c>
      <c r="C13416" s="5" t="str">
        <f>IFERROR(__xludf.DUMMYFUNCTION("GOOGLETRANSLATE(B13416,""en"",""zh-CN"")"),"跳跃的答复正在播放。")</f>
        <v>跳跃的答复正在播放。</v>
      </c>
    </row>
    <row r="13417">
      <c r="A13417" s="4" t="s">
        <v>16884</v>
      </c>
      <c r="B13417" s="4" t="s">
        <v>16885</v>
      </c>
      <c r="C13417" s="5" t="str">
        <f>IFERROR(__xludf.DUMMYFUNCTION("GOOGLETRANSLATE(B13417,""en"",""zh-CN"")"),"一群男人在镜头上，在视频和谈话中唱歌。")</f>
        <v>一群男人在镜头上，在视频和谈话中唱歌。</v>
      </c>
    </row>
    <row r="13418">
      <c r="A13418" s="4" t="s">
        <v>16884</v>
      </c>
      <c r="B13418" s="4" t="s">
        <v>16886</v>
      </c>
      <c r="C13418" s="5" t="str">
        <f>IFERROR(__xludf.DUMMYFUNCTION("GOOGLETRANSLATE(B13418,""en"",""zh-CN"")"),"他们戴着太阳镜，因为他们从很多东西变成了覆盖的油漆仓库。")</f>
        <v>他们戴着太阳镜，因为他们从很多东西变成了覆盖的油漆仓库。</v>
      </c>
    </row>
    <row r="13419">
      <c r="A13419" s="4" t="s">
        <v>16884</v>
      </c>
      <c r="B13419" s="4" t="s">
        <v>16887</v>
      </c>
      <c r="C13419" s="5" t="str">
        <f>IFERROR(__xludf.DUMMYFUNCTION("GOOGLETRANSLATE(B13419,""en"",""zh-CN"")"),"一个男人在镜头上遮住拳击手套，戴着拳击手套。")</f>
        <v>一个男人在镜头上遮住拳击手套，戴着拳击手套。</v>
      </c>
    </row>
    <row r="13420">
      <c r="A13420" s="4" t="s">
        <v>16888</v>
      </c>
      <c r="B13420" s="6" t="s">
        <v>16889</v>
      </c>
      <c r="C13420" s="5" t="str">
        <f>IFERROR(__xludf.DUMMYFUNCTION("GOOGLETRANSLATE(B13420,""en"",""zh-CN"")"),"有两个人在雪地管坡上，其中一个是录制与他的朋友雪管的经历。")</f>
        <v>有两个人在雪地管坡上，其中一个是录制与他的朋友雪管的经历。</v>
      </c>
    </row>
    <row r="13421">
      <c r="A13421" s="4" t="s">
        <v>16888</v>
      </c>
      <c r="B13421" s="4" t="s">
        <v>16890</v>
      </c>
      <c r="C13421" s="5" t="str">
        <f>IFERROR(__xludf.DUMMYFUNCTION("GOOGLETRANSLATE(B13421,""en"",""zh-CN"")"),"有一个女人捡起一些冰的冰块。")</f>
        <v>有一个女人捡起一些冰的冰块。</v>
      </c>
    </row>
    <row r="13422">
      <c r="A13422" s="4" t="s">
        <v>16888</v>
      </c>
      <c r="B13422" s="4" t="s">
        <v>16891</v>
      </c>
      <c r="C13422" s="5" t="str">
        <f>IFERROR(__xludf.DUMMYFUNCTION("GOOGLETRANSLATE(B13422,""en"",""zh-CN"")"),"有几个人排队等着雪管。")</f>
        <v>有几个人排队等着雪管。</v>
      </c>
    </row>
    <row r="13423">
      <c r="A13423" s="4" t="s">
        <v>16888</v>
      </c>
      <c r="B13423" s="4" t="s">
        <v>16892</v>
      </c>
      <c r="C13423" s="5" t="str">
        <f>IFERROR(__xludf.DUMMYFUNCTION("GOOGLETRANSLATE(B13423,""en"",""zh-CN"")"),"他们到达坡度的顶部后，他们进入了管子，开始下坡滑动。")</f>
        <v>他们到达坡度的顶部后，他们进入了管子，开始下坡滑动。</v>
      </c>
    </row>
    <row r="13424">
      <c r="A13424" s="4" t="s">
        <v>16888</v>
      </c>
      <c r="B13424" s="4" t="s">
        <v>16893</v>
      </c>
      <c r="C13424" s="5" t="str">
        <f>IFERROR(__xludf.DUMMYFUNCTION("GOOGLETRANSLATE(B13424,""en"",""zh-CN"")"),"他们沿着积雪覆盖的山坡，直到到达底部。")</f>
        <v>他们沿着积雪覆盖的山坡，直到到达底部。</v>
      </c>
    </row>
    <row r="13425">
      <c r="A13425" s="4" t="s">
        <v>16894</v>
      </c>
      <c r="B13425" s="4" t="s">
        <v>16895</v>
      </c>
      <c r="C13425" s="5" t="str">
        <f>IFERROR(__xludf.DUMMYFUNCTION("GOOGLETRANSLATE(B13425,""en"",""zh-CN"")"),"人们站在营地砍伐木头周围。")</f>
        <v>人们站在营地砍伐木头周围。</v>
      </c>
    </row>
    <row r="13426">
      <c r="A13426" s="4" t="s">
        <v>16894</v>
      </c>
      <c r="B13426" s="4" t="s">
        <v>16896</v>
      </c>
      <c r="C13426" s="5" t="str">
        <f>IFERROR(__xludf.DUMMYFUNCTION("GOOGLETRANSLATE(B13426,""en"",""zh-CN"")"),"一个男孩站着拿着棍子。")</f>
        <v>一个男孩站着拿着棍子。</v>
      </c>
    </row>
    <row r="13427">
      <c r="A13427" s="4" t="s">
        <v>16894</v>
      </c>
      <c r="B13427" s="4" t="s">
        <v>16897</v>
      </c>
      <c r="C13427" s="5" t="str">
        <f>IFERROR(__xludf.DUMMYFUNCTION("GOOGLETRANSLATE(B13427,""en"",""zh-CN"")"),"一个人把木头扔进一堆。")</f>
        <v>一个人把木头扔进一堆。</v>
      </c>
    </row>
    <row r="13428">
      <c r="A13428" s="4" t="s">
        <v>16894</v>
      </c>
      <c r="B13428" s="4" t="s">
        <v>16898</v>
      </c>
      <c r="C13428" s="5" t="str">
        <f>IFERROR(__xludf.DUMMYFUNCTION("GOOGLETRANSLATE(B13428,""en"",""zh-CN"")"),"显示了营地的椅子。")</f>
        <v>显示了营地的椅子。</v>
      </c>
    </row>
    <row r="13429">
      <c r="A13429" s="4" t="s">
        <v>16894</v>
      </c>
      <c r="B13429" s="4" t="s">
        <v>16899</v>
      </c>
      <c r="C13429" s="5" t="str">
        <f>IFERROR(__xludf.DUMMYFUNCTION("GOOGLETRANSLATE(B13429,""en"",""zh-CN"")"),"一个男人走向相机说话。")</f>
        <v>一个男人走向相机说话。</v>
      </c>
    </row>
    <row r="13430">
      <c r="A13430" s="4" t="s">
        <v>16894</v>
      </c>
      <c r="B13430" s="4" t="s">
        <v>16900</v>
      </c>
      <c r="C13430" s="5" t="str">
        <f>IFERROR(__xludf.DUMMYFUNCTION("GOOGLETRANSLATE(B13430,""en"",""zh-CN"")"),"他们继续在营地砍伐木头。")</f>
        <v>他们继续在营地砍伐木头。</v>
      </c>
    </row>
    <row r="13431">
      <c r="A13431" s="4" t="s">
        <v>16901</v>
      </c>
      <c r="B13431" s="4" t="s">
        <v>16902</v>
      </c>
      <c r="C13431" s="5" t="str">
        <f>IFERROR(__xludf.DUMMYFUNCTION("GOOGLETRANSLATE(B13431,""en"",""zh-CN"")"),"看到一个人在院子里和许多人站着。")</f>
        <v>看到一个人在院子里和许多人站着。</v>
      </c>
    </row>
    <row r="13432">
      <c r="A13432" s="4" t="s">
        <v>16901</v>
      </c>
      <c r="B13432" s="4" t="s">
        <v>16903</v>
      </c>
      <c r="C13432" s="5" t="str">
        <f>IFERROR(__xludf.DUMMYFUNCTION("GOOGLETRANSLATE(B13432,""en"",""zh-CN"")"),"然后，人们开始互相玩游戏，并在院子里跑来跑去。")</f>
        <v>然后，人们开始互相玩游戏，并在院子里跑来跑去。</v>
      </c>
    </row>
    <row r="13433">
      <c r="A13433" s="4" t="s">
        <v>16901</v>
      </c>
      <c r="B13433" s="6" t="s">
        <v>16904</v>
      </c>
      <c r="C13433" s="5" t="str">
        <f>IFERROR(__xludf.DUMMYFUNCTION("GOOGLETRANSLATE(B13433,""en"",""zh-CN"")"),"人们挤在一起，同时又进入了更多的人玩游戏和与镜头说话的人。")</f>
        <v>人们挤在一起，同时又进入了更多的人玩游戏和与镜头说话的人。</v>
      </c>
    </row>
    <row r="13434">
      <c r="A13434" s="4" t="s">
        <v>16905</v>
      </c>
      <c r="B13434" s="4" t="s">
        <v>16906</v>
      </c>
      <c r="C13434" s="5" t="str">
        <f>IFERROR(__xludf.DUMMYFUNCTION("GOOGLETRANSLATE(B13434,""en"",""zh-CN"")"),"显示了一个人的滚筒刀片的特写，有一个男人站在框架中。")</f>
        <v>显示了一个人的滚筒刀片的特写，有一个男人站在框架中。</v>
      </c>
    </row>
    <row r="13435">
      <c r="A13435" s="4" t="s">
        <v>16905</v>
      </c>
      <c r="B13435" s="4" t="s">
        <v>16907</v>
      </c>
      <c r="C13435" s="5" t="str">
        <f>IFERROR(__xludf.DUMMYFUNCTION("GOOGLETRANSLATE(B13435,""en"",""zh-CN"")"),"然后，该人照亮了他的刀片并跳到原处。")</f>
        <v>然后，该人照亮了他的刀片并跳到原处。</v>
      </c>
    </row>
    <row r="13436">
      <c r="A13436" s="4" t="s">
        <v>16905</v>
      </c>
      <c r="B13436" s="4" t="s">
        <v>16908</v>
      </c>
      <c r="C13436" s="5" t="str">
        <f>IFERROR(__xludf.DUMMYFUNCTION("GOOGLETRANSLATE(B13436,""en"",""zh-CN"")"),"当火花飞行时，该人继续四处奔波，踢脚。")</f>
        <v>当火花飞行时，该人继续四处奔波，踢脚。</v>
      </c>
    </row>
    <row r="13437">
      <c r="A13437" s="4" t="s">
        <v>16909</v>
      </c>
      <c r="B13437" s="6" t="s">
        <v>16910</v>
      </c>
      <c r="C13437" s="5" t="str">
        <f>IFERROR(__xludf.DUMMYFUNCTION("GOOGLETRANSLATE(B13437,""en"",""zh-CN"")"),"看到一个人的手在桌子上交易卡片以及显示的几个赌场片段。")</f>
        <v>看到一个人的手在桌子上交易卡片以及显示的几个赌场片段。</v>
      </c>
    </row>
    <row r="13438">
      <c r="A13438" s="4" t="s">
        <v>16909</v>
      </c>
      <c r="B13438" s="6" t="s">
        <v>16911</v>
      </c>
      <c r="C13438" s="5" t="str">
        <f>IFERROR(__xludf.DUMMYFUNCTION("GOOGLETRANSLATE(B13438,""en"",""zh-CN"")"),"向他人交易卡以及继续交易卡片的人会显示更多的镜头。")</f>
        <v>向他人交易卡以及继续交易卡片的人会显示更多的镜头。</v>
      </c>
    </row>
    <row r="13439">
      <c r="A13439" s="4" t="s">
        <v>16912</v>
      </c>
      <c r="B13439" s="4" t="s">
        <v>16913</v>
      </c>
      <c r="C13439" s="5" t="str">
        <f>IFERROR(__xludf.DUMMYFUNCTION("GOOGLETRANSLATE(B13439,""en"",""zh-CN"")"),"计算机监视器坐在桌子上。")</f>
        <v>计算机监视器坐在桌子上。</v>
      </c>
    </row>
    <row r="13440">
      <c r="A13440" s="4" t="s">
        <v>16912</v>
      </c>
      <c r="B13440" s="4" t="s">
        <v>16914</v>
      </c>
      <c r="C13440" s="5" t="str">
        <f>IFERROR(__xludf.DUMMYFUNCTION("GOOGLETRANSLATE(B13440,""en"",""zh-CN"")"),"一个男孩戴上手套。")</f>
        <v>一个男孩戴上手套。</v>
      </c>
    </row>
    <row r="13441">
      <c r="A13441" s="4" t="s">
        <v>16912</v>
      </c>
      <c r="B13441" s="4" t="s">
        <v>16915</v>
      </c>
      <c r="C13441" s="5" t="str">
        <f>IFERROR(__xludf.DUMMYFUNCTION("GOOGLETRANSLATE(B13441,""en"",""zh-CN"")"),"然后，他戴上头盔。")</f>
        <v>然后，他戴上头盔。</v>
      </c>
    </row>
    <row r="13442">
      <c r="A13442" s="4" t="s">
        <v>16912</v>
      </c>
      <c r="B13442" s="4" t="s">
        <v>16916</v>
      </c>
      <c r="C13442" s="5" t="str">
        <f>IFERROR(__xludf.DUMMYFUNCTION("GOOGLETRANSLATE(B13442,""en"",""zh-CN"")"),"然后，他骑着长板。")</f>
        <v>然后，他骑着长板。</v>
      </c>
    </row>
    <row r="13443">
      <c r="A13443" s="4" t="s">
        <v>16917</v>
      </c>
      <c r="B13443" s="4" t="s">
        <v>16918</v>
      </c>
      <c r="C13443" s="5" t="str">
        <f>IFERROR(__xludf.DUMMYFUNCTION("GOOGLETRANSLATE(B13443,""en"",""zh-CN"")"),"一个男人正在两个酒吧展示体操表演。")</f>
        <v>一个男人正在两个酒吧展示体操表演。</v>
      </c>
    </row>
    <row r="13444">
      <c r="A13444" s="4" t="s">
        <v>16917</v>
      </c>
      <c r="B13444" s="4" t="s">
        <v>16919</v>
      </c>
      <c r="C13444" s="5" t="str">
        <f>IFERROR(__xludf.DUMMYFUNCTION("GOOGLETRANSLATE(B13444,""en"",""zh-CN"")"),"有观众观看表演。")</f>
        <v>有观众观看表演。</v>
      </c>
    </row>
    <row r="13445">
      <c r="A13445" s="4" t="s">
        <v>16917</v>
      </c>
      <c r="B13445" s="4" t="s">
        <v>16920</v>
      </c>
      <c r="C13445" s="5" t="str">
        <f>IFERROR(__xludf.DUMMYFUNCTION("GOOGLETRANSLATE(B13445,""en"",""zh-CN"")"),"一个人正在拍摄表演。")</f>
        <v>一个人正在拍摄表演。</v>
      </c>
    </row>
    <row r="13446">
      <c r="A13446" s="4" t="s">
        <v>16917</v>
      </c>
      <c r="B13446" s="4" t="s">
        <v>16921</v>
      </c>
      <c r="C13446" s="5" t="str">
        <f>IFERROR(__xludf.DUMMYFUNCTION("GOOGLETRANSLATE(B13446,""en"",""zh-CN"")"),"体操运动员跳下酒吧，另一个体操运动员朝他们奔跑。")</f>
        <v>体操运动员跳下酒吧，另一个体操运动员朝他们奔跑。</v>
      </c>
    </row>
    <row r="13447">
      <c r="A13447" s="4" t="s">
        <v>16922</v>
      </c>
      <c r="B13447" s="4" t="s">
        <v>16923</v>
      </c>
      <c r="C13447" s="5" t="str">
        <f>IFERROR(__xludf.DUMMYFUNCTION("GOOGLETRANSLATE(B13447,""en"",""zh-CN"")"),"一个男人正在客厅里打鼓。")</f>
        <v>一个男人正在客厅里打鼓。</v>
      </c>
    </row>
    <row r="13448">
      <c r="A13448" s="4" t="s">
        <v>16922</v>
      </c>
      <c r="B13448" s="4" t="s">
        <v>16924</v>
      </c>
      <c r="C13448" s="5" t="str">
        <f>IFERROR(__xludf.DUMMYFUNCTION("GOOGLETRANSLATE(B13448,""en"",""zh-CN"")"),"那个男人把头向后。")</f>
        <v>那个男人把头向后。</v>
      </c>
    </row>
    <row r="13449">
      <c r="A13449" s="4" t="s">
        <v>16922</v>
      </c>
      <c r="B13449" s="4" t="s">
        <v>16925</v>
      </c>
      <c r="C13449" s="5" t="str">
        <f>IFERROR(__xludf.DUMMYFUNCTION("GOOGLETRANSLATE(B13449,""en"",""zh-CN"")"),"我们放大了男人的手。")</f>
        <v>我们放大了男人的手。</v>
      </c>
    </row>
    <row r="13450">
      <c r="A13450" s="4" t="s">
        <v>16922</v>
      </c>
      <c r="B13450" s="4" t="s">
        <v>16926</v>
      </c>
      <c r="C13450" s="5" t="str">
        <f>IFERROR(__xludf.DUMMYFUNCTION("GOOGLETRANSLATE(B13450,""en"",""zh-CN"")"),"我们缩小并看到整个男人。")</f>
        <v>我们缩小并看到整个男人。</v>
      </c>
    </row>
    <row r="13451">
      <c r="A13451" s="4" t="s">
        <v>16922</v>
      </c>
      <c r="B13451" s="4" t="s">
        <v>16927</v>
      </c>
      <c r="C13451" s="5" t="str">
        <f>IFERROR(__xludf.DUMMYFUNCTION("GOOGLETRANSLATE(B13451,""en"",""zh-CN"")"),"他结束比赛并鞠躬。")</f>
        <v>他结束比赛并鞠躬。</v>
      </c>
    </row>
    <row r="13452">
      <c r="A13452" s="4" t="s">
        <v>16928</v>
      </c>
      <c r="B13452" s="4" t="s">
        <v>16929</v>
      </c>
      <c r="C13452" s="5" t="str">
        <f>IFERROR(__xludf.DUMMYFUNCTION("GOOGLETRANSLATE(B13452,""en"",""zh-CN"")"),"一个人弹跳在轨道上，跳到泥土区域。")</f>
        <v>一个人弹跳在轨道上，跳到泥土区域。</v>
      </c>
    </row>
    <row r="13453">
      <c r="A13453" s="4" t="s">
        <v>16928</v>
      </c>
      <c r="B13453" s="4" t="s">
        <v>16930</v>
      </c>
      <c r="C13453" s="5" t="str">
        <f>IFERROR(__xludf.DUMMYFUNCTION("GOOGLETRANSLATE(B13453,""en"",""zh-CN"")"),"第二个人也这样做。")</f>
        <v>第二个人也这样做。</v>
      </c>
    </row>
    <row r="13454">
      <c r="A13454" s="4" t="s">
        <v>16928</v>
      </c>
      <c r="B13454" s="4" t="s">
        <v>16931</v>
      </c>
      <c r="C13454" s="5" t="str">
        <f>IFERROR(__xludf.DUMMYFUNCTION("GOOGLETRANSLATE(B13454,""en"",""zh-CN"")"),"第三个人跟随他。")</f>
        <v>第三个人跟随他。</v>
      </c>
    </row>
    <row r="13455">
      <c r="A13455" s="4" t="s">
        <v>16928</v>
      </c>
      <c r="B13455" s="4" t="s">
        <v>16932</v>
      </c>
      <c r="C13455" s="5" t="str">
        <f>IFERROR(__xludf.DUMMYFUNCTION("GOOGLETRANSLATE(B13455,""en"",""zh-CN"")"),"第四个人追随他。")</f>
        <v>第四个人追随他。</v>
      </c>
    </row>
    <row r="13456">
      <c r="A13456" s="4" t="s">
        <v>16928</v>
      </c>
      <c r="B13456" s="4" t="s">
        <v>16933</v>
      </c>
      <c r="C13456" s="5" t="str">
        <f>IFERROR(__xludf.DUMMYFUNCTION("GOOGLETRANSLATE(B13456,""en"",""zh-CN"")"),"一个第五人拿着一个长的酒吧开始冲刺。")</f>
        <v>一个第五人拿着一个长的酒吧开始冲刺。</v>
      </c>
    </row>
    <row r="13457">
      <c r="A13457" s="4" t="s">
        <v>16934</v>
      </c>
      <c r="B13457" s="4" t="s">
        <v>16935</v>
      </c>
      <c r="C13457" s="5" t="str">
        <f>IFERROR(__xludf.DUMMYFUNCTION("GOOGLETRANSLATE(B13457,""en"",""zh-CN"")"),"单词写在屏幕上。")</f>
        <v>单词写在屏幕上。</v>
      </c>
    </row>
    <row r="13458">
      <c r="A13458" s="4" t="s">
        <v>16934</v>
      </c>
      <c r="B13458" s="4" t="s">
        <v>16936</v>
      </c>
      <c r="C13458" s="5" t="str">
        <f>IFERROR(__xludf.DUMMYFUNCTION("GOOGLETRANSLATE(B13458,""en"",""zh-CN"")"),"将刀放入磨刀器中，来回移动，并在圆形磨刀器上使用。")</f>
        <v>将刀放入磨刀器中，来回移动，并在圆形磨刀器上使用。</v>
      </c>
    </row>
    <row r="13459">
      <c r="A13459" s="4" t="s">
        <v>16934</v>
      </c>
      <c r="B13459" s="4" t="s">
        <v>16937</v>
      </c>
      <c r="C13459" s="5" t="str">
        <f>IFERROR(__xludf.DUMMYFUNCTION("GOOGLETRANSLATE(B13459,""en"",""zh-CN"")"),"一对剪刀在锐化器上锐化。")</f>
        <v>一对剪刀在锐化器上锐化。</v>
      </c>
    </row>
    <row r="13460">
      <c r="A13460" s="4" t="s">
        <v>16934</v>
      </c>
      <c r="B13460" s="4" t="s">
        <v>16938</v>
      </c>
      <c r="C13460" s="5" t="str">
        <f>IFERROR(__xludf.DUMMYFUNCTION("GOOGLETRANSLATE(B13460,""en"",""zh-CN"")"),"剪刀剪了一条紫色的毛巾和一张纸。")</f>
        <v>剪刀剪了一条紫色的毛巾和一张纸。</v>
      </c>
    </row>
    <row r="13461">
      <c r="A13461" s="4" t="s">
        <v>16934</v>
      </c>
      <c r="B13461" s="4" t="s">
        <v>16939</v>
      </c>
      <c r="C13461" s="5" t="str">
        <f>IFERROR(__xludf.DUMMYFUNCTION("GOOGLETRANSLATE(B13461,""en"",""zh-CN"")"),"单词再次显示在屏幕上。")</f>
        <v>单词再次显示在屏幕上。</v>
      </c>
    </row>
    <row r="13462">
      <c r="A13462" s="4" t="s">
        <v>16940</v>
      </c>
      <c r="B13462" s="6" t="s">
        <v>16941</v>
      </c>
      <c r="C13462" s="5" t="str">
        <f>IFERROR(__xludf.DUMMYFUNCTION("GOOGLETRANSLATE(B13462,""en"",""zh-CN"")"),"一个戴着蓝色长袍的金发长长的女孩正在为如何在头发中使用热滚筒做一个教程。")</f>
        <v>一个戴着蓝色长袍的金发长长的女孩正在为如何在头发中使用热滚筒做一个教程。</v>
      </c>
    </row>
    <row r="13463">
      <c r="A13463" s="4" t="s">
        <v>16940</v>
      </c>
      <c r="B13463" s="6" t="s">
        <v>16942</v>
      </c>
      <c r="C13463" s="5" t="str">
        <f>IFERROR(__xludf.DUMMYFUNCTION("GOOGLETRANSLATE(B13463,""en"",""zh-CN"")"),"还有另一个穿着白色的女人，她正在演示如何将她的头发分开，并开始将滚筒置于她的一一中。")</f>
        <v>还有另一个穿着白色的女人，她正在演示如何将她的头发分开，并开始将滚筒置于她的一一中。</v>
      </c>
    </row>
    <row r="13464">
      <c r="A13464" s="4" t="s">
        <v>16940</v>
      </c>
      <c r="B13464" s="6" t="s">
        <v>16943</v>
      </c>
      <c r="C13464" s="5" t="str">
        <f>IFERROR(__xludf.DUMMYFUNCTION("GOOGLETRANSLATE(B13464,""en"",""zh-CN"")"),"将滚筒整个头部都放在头上后，她用吹风机为头发增加了一些热量。")</f>
        <v>将滚筒整个头部都放在头上后，她用吹风机为头发增加了一些热量。</v>
      </c>
    </row>
    <row r="13465">
      <c r="A13465" s="4" t="s">
        <v>16940</v>
      </c>
      <c r="B13465" s="4" t="s">
        <v>16944</v>
      </c>
      <c r="C13465" s="5" t="str">
        <f>IFERROR(__xludf.DUMMYFUNCTION("GOOGLETRANSLATE(B13465,""en"",""zh-CN"")"),"然后，她从模型的头发上取下滚筒，开始手指穿过头发。")</f>
        <v>然后，她从模型的头发上取下滚筒，开始手指穿过头发。</v>
      </c>
    </row>
    <row r="13466">
      <c r="A13466" s="4" t="s">
        <v>16940</v>
      </c>
      <c r="B13466" s="4" t="s">
        <v>16945</v>
      </c>
      <c r="C13466" s="5" t="str">
        <f>IFERROR(__xludf.DUMMYFUNCTION("GOOGLETRANSLATE(B13466,""en"",""zh-CN"")"),"然后，她用刷子轻轻地分散头发。")</f>
        <v>然后，她用刷子轻轻地分散头发。</v>
      </c>
    </row>
    <row r="13467">
      <c r="A13467" s="4" t="s">
        <v>16940</v>
      </c>
      <c r="B13467" s="6" t="s">
        <v>16946</v>
      </c>
      <c r="C13467" s="5" t="str">
        <f>IFERROR(__xludf.DUMMYFUNCTION("GOOGLETRANSLATE(B13467,""en"",""zh-CN"")"),"她通过不使用刷子将手指伸出头发来展示如何完成外观。")</f>
        <v>她通过不使用刷子将手指伸出头发来展示如何完成外观。</v>
      </c>
    </row>
    <row r="13468">
      <c r="A13468" s="4" t="s">
        <v>16947</v>
      </c>
      <c r="B13468" s="6" t="s">
        <v>16948</v>
      </c>
      <c r="C13468" s="5" t="str">
        <f>IFERROR(__xludf.DUMMYFUNCTION("GOOGLETRANSLATE(B13468,""en"",""zh-CN"")"),"一个穿着黑色背心的男人手里拿着白色的圆盘，而边境牧羊犬则站在他的面前。")</f>
        <v>一个穿着黑色背心的男人手里拿着白色的圆盘，而边境牧羊犬则站在他的面前。</v>
      </c>
    </row>
    <row r="13469">
      <c r="A13469" s="4" t="s">
        <v>16947</v>
      </c>
      <c r="B13469" s="4" t="s">
        <v>16949</v>
      </c>
      <c r="C13469" s="5" t="str">
        <f>IFERROR(__xludf.DUMMYFUNCTION("GOOGLETRANSLATE(B13469,""en"",""zh-CN"")"),"那个男人踩着弗罗瓦德，在他的大腿上拍打白色的圆盘。")</f>
        <v>那个男人踩着弗罗瓦德，在他的大腿上拍打白色的圆盘。</v>
      </c>
    </row>
    <row r="13470">
      <c r="A13470" s="4" t="s">
        <v>16947</v>
      </c>
      <c r="B13470" s="4" t="s">
        <v>16950</v>
      </c>
      <c r="C13470" s="5" t="str">
        <f>IFERROR(__xludf.DUMMYFUNCTION("GOOGLETRANSLATE(B13470,""en"",""zh-CN"")"),"当寄宿生柯利（Collie）在男人的腿之间运行时，该男子向前迈进。")</f>
        <v>当寄宿生柯利（Collie）在男人的腿之间运行时，该男子向前迈进。</v>
      </c>
    </row>
    <row r="13471">
      <c r="A13471" s="4" t="s">
        <v>16947</v>
      </c>
      <c r="B13471" s="6" t="s">
        <v>16951</v>
      </c>
      <c r="C13471" s="5" t="str">
        <f>IFERROR(__xludf.DUMMYFUNCTION("GOOGLETRANSLATE(B13471,""en"",""zh-CN"")"),"该男子用蹲下的白色圆盘轻拍他的头，寄宿生柯利跳了起来，平衡他们。")</f>
        <v>该男子用蹲下的白色圆盘轻拍他的头，寄宿生柯利跳了起来，平衡他们。</v>
      </c>
    </row>
    <row r="13472">
      <c r="A13472" s="4" t="s">
        <v>16947</v>
      </c>
      <c r="B13472" s="4" t="s">
        <v>16952</v>
      </c>
      <c r="C13472" s="5" t="str">
        <f>IFERROR(__xludf.DUMMYFUNCTION("GOOGLETRANSLATE(B13472,""en"",""zh-CN"")"),"该男子将椎间盘扔到他的头上，寄宿生科利抓住了它并逃跑了。")</f>
        <v>该男子将椎间盘扔到他的头上，寄宿生科利抓住了它并逃跑了。</v>
      </c>
    </row>
    <row r="13473">
      <c r="A13473" s="4" t="s">
        <v>16953</v>
      </c>
      <c r="B13473" s="6" t="s">
        <v>16954</v>
      </c>
      <c r="C13473" s="5" t="str">
        <f>IFERROR(__xludf.DUMMYFUNCTION("GOOGLETRANSLATE(B13473,""en"",""zh-CN"")"),"各种剪辑都显示了年轻人互相跳舞和聚会，以及喝酒和玩啤酒。")</f>
        <v>各种剪辑都显示了年轻人互相跳舞和聚会，以及喝酒和玩啤酒。</v>
      </c>
    </row>
    <row r="13474">
      <c r="A13474" s="4" t="s">
        <v>16953</v>
      </c>
      <c r="B13474" s="6" t="s">
        <v>16955</v>
      </c>
      <c r="C13474" s="5" t="str">
        <f>IFERROR(__xludf.DUMMYFUNCTION("GOOGLETRANSLATE(B13474,""en"",""zh-CN"")"),"显示了更多的镜头，那就是人们在玩乒乓球并彼此喝啤酒时在相机看和说话。")</f>
        <v>显示了更多的镜头，那就是人们在玩乒乓球并彼此喝啤酒时在相机看和说话。</v>
      </c>
    </row>
    <row r="13475">
      <c r="A13475" s="4" t="s">
        <v>16956</v>
      </c>
      <c r="B13475" s="4" t="s">
        <v>16957</v>
      </c>
      <c r="C13475" s="5" t="str">
        <f>IFERROR(__xludf.DUMMYFUNCTION("GOOGLETRANSLATE(B13475,""en"",""zh-CN"")"),"在雪山上的滑雪者的视频拍摄了自己的视频，就像其他滑雪者过去一样。")</f>
        <v>在雪山上的滑雪者的视频拍摄了自己的视频，就像其他滑雪者过去一样。</v>
      </c>
    </row>
    <row r="13476">
      <c r="A13476" s="4" t="s">
        <v>16956</v>
      </c>
      <c r="B13476" s="4" t="s">
        <v>16958</v>
      </c>
      <c r="C13476" s="5" t="str">
        <f>IFERROR(__xludf.DUMMYFUNCTION("GOOGLETRANSLATE(B13476,""en"",""zh-CN"")"),"滑雪者在滑雪板上走过拐角处，再次越过电梯。")</f>
        <v>滑雪者在滑雪板上走过拐角处，再次越过电梯。</v>
      </c>
    </row>
    <row r="13477">
      <c r="A13477" s="4" t="s">
        <v>16956</v>
      </c>
      <c r="B13477" s="6" t="s">
        <v>16959</v>
      </c>
      <c r="C13477" s="5" t="str">
        <f>IFERROR(__xludf.DUMMYFUNCTION("GOOGLETRANSLATE(B13477,""en"",""zh-CN"")"),"然后，他们转过身，走到电梯下面，沿着一条穿过蓝色围栏的小路，一个越野标记的标志，在小屋结束。")</f>
        <v>然后，他们转过身，走到电梯下面，沿着一条穿过蓝色围栏的小路，一个越野标记的标志，在小屋结束。</v>
      </c>
    </row>
    <row r="13478">
      <c r="A13478" s="4" t="s">
        <v>16960</v>
      </c>
      <c r="B13478" s="4" t="s">
        <v>16961</v>
      </c>
      <c r="C13478" s="5" t="str">
        <f>IFERROR(__xludf.DUMMYFUNCTION("GOOGLETRANSLATE(B13478,""en"",""zh-CN"")"),"一个孩子去玩耍的地方玩。")</f>
        <v>一个孩子去玩耍的地方玩。</v>
      </c>
    </row>
    <row r="13479">
      <c r="A13479" s="4" t="s">
        <v>16960</v>
      </c>
      <c r="B13479" s="4" t="s">
        <v>16962</v>
      </c>
      <c r="C13479" s="5" t="str">
        <f>IFERROR(__xludf.DUMMYFUNCTION("GOOGLETRANSLATE(B13479,""en"",""zh-CN"")"),"她爬上滑梯，来回摇滚，并充满欢乐。")</f>
        <v>她爬上滑梯，来回摇滚，并充满欢乐。</v>
      </c>
    </row>
    <row r="13480">
      <c r="A13480" s="4" t="s">
        <v>16963</v>
      </c>
      <c r="B13480" s="6" t="s">
        <v>16964</v>
      </c>
      <c r="C13480" s="5" t="str">
        <f>IFERROR(__xludf.DUMMYFUNCTION("GOOGLETRANSLATE(B13480,""en"",""zh-CN"")"),"一群人看着外面，一个男人将一个男人抬到他的肩膀上，将他扔到摔断的桌子上。")</f>
        <v>一群人看着外面，一个男人将一个男人抬到他的肩膀上，将他扔到摔断的桌子上。</v>
      </c>
    </row>
    <row r="13481">
      <c r="A13481" s="4" t="s">
        <v>16963</v>
      </c>
      <c r="B13481" s="4" t="s">
        <v>16965</v>
      </c>
      <c r="C13481" s="5" t="str">
        <f>IFERROR(__xludf.DUMMYFUNCTION("GOOGLETRANSLATE(B13481,""en"",""zh-CN"")"),"在外面，雄性背部在蹦床上翻转，降落在他的脸上。")</f>
        <v>在外面，雄性背部在蹦床上翻转，降落在他的脸上。</v>
      </c>
    </row>
    <row r="13482">
      <c r="A13482" s="4" t="s">
        <v>16963</v>
      </c>
      <c r="B13482" s="6" t="s">
        <v>16966</v>
      </c>
      <c r="C13482" s="5" t="str">
        <f>IFERROR(__xludf.DUMMYFUNCTION("GOOGLETRANSLATE(B13482,""en"",""zh-CN"")"),"两个男人把男性放下，看着他的脸，另一个人移动一个躺着的人看着男性的脸。")</f>
        <v>两个男人把男性放下，看着他的脸，另一个人移动一个躺着的人看着男性的脸。</v>
      </c>
    </row>
    <row r="13483">
      <c r="A13483" s="4" t="s">
        <v>16967</v>
      </c>
      <c r="B13483" s="4" t="s">
        <v>16968</v>
      </c>
      <c r="C13483" s="5" t="str">
        <f>IFERROR(__xludf.DUMMYFUNCTION("GOOGLETRANSLATE(B13483,""en"",""zh-CN"")"),"一张图片显示了一个小女孩旁边并列的婴儿。")</f>
        <v>一张图片显示了一个小女孩旁边并列的婴儿。</v>
      </c>
    </row>
    <row r="13484">
      <c r="A13484" s="4" t="s">
        <v>16967</v>
      </c>
      <c r="B13484" s="4" t="s">
        <v>16969</v>
      </c>
      <c r="C13484" s="5" t="str">
        <f>IFERROR(__xludf.DUMMYFUNCTION("GOOGLETRANSLATE(B13484,""en"",""zh-CN"")"),"当她说话时，一个女人和一个年轻的女孩见面。")</f>
        <v>当她说话时，一个女人和一个年轻的女孩见面。</v>
      </c>
    </row>
    <row r="13485">
      <c r="A13485" s="4" t="s">
        <v>16967</v>
      </c>
      <c r="B13485" s="4" t="s">
        <v>16970</v>
      </c>
      <c r="C13485" s="5" t="str">
        <f>IFERROR(__xludf.DUMMYFUNCTION("GOOGLETRANSLATE(B13485,""en"",""zh-CN"")"),"然后，她让女孩坐下来，因为她继续用长而厚的碎片编织头发。")</f>
        <v>然后，她让女孩坐下来，因为她继续用长而厚的碎片编织头发。</v>
      </c>
    </row>
    <row r="13486">
      <c r="A13486" s="4" t="s">
        <v>16967</v>
      </c>
      <c r="B13486" s="4" t="s">
        <v>16971</v>
      </c>
      <c r="C13486" s="5" t="str">
        <f>IFERROR(__xludf.DUMMYFUNCTION("GOOGLETRANSLATE(B13486,""en"",""zh-CN"")"),"她将头发固定在适当的位置，然后向相机挥手告别。")</f>
        <v>她将头发固定在适当的位置，然后向相机挥手告别。</v>
      </c>
    </row>
    <row r="13487">
      <c r="A13487" s="4" t="s">
        <v>16972</v>
      </c>
      <c r="B13487" s="4" t="s">
        <v>16973</v>
      </c>
      <c r="C13487" s="5" t="str">
        <f>IFERROR(__xludf.DUMMYFUNCTION("GOOGLETRANSLATE(B13487,""en"",""zh-CN"")"),"一个男人从管子上滚出一张墙纸，然后是一张大照片。")</f>
        <v>一个男人从管子上滚出一张墙纸，然后是一张大照片。</v>
      </c>
    </row>
    <row r="13488">
      <c r="A13488" s="4" t="s">
        <v>16972</v>
      </c>
      <c r="B13488" s="4" t="s">
        <v>16974</v>
      </c>
      <c r="C13488" s="5" t="str">
        <f>IFERROR(__xludf.DUMMYFUNCTION("GOOGLETRANSLATE(B13488,""en"",""zh-CN"")"),"他将纸和照片应用于墙壁，创建了现实的摄影壁画。")</f>
        <v>他将纸和照片应用于墙壁，创建了现实的摄影壁画。</v>
      </c>
    </row>
    <row r="13489">
      <c r="A13489" s="4" t="s">
        <v>16972</v>
      </c>
      <c r="B13489" s="4" t="s">
        <v>16975</v>
      </c>
      <c r="C13489" s="5" t="str">
        <f>IFERROR(__xludf.DUMMYFUNCTION("GOOGLETRANSLATE(B13489,""en"",""zh-CN"")"),"他将图像擦拭干净。")</f>
        <v>他将图像擦拭干净。</v>
      </c>
    </row>
    <row r="13490">
      <c r="A13490" s="4" t="s">
        <v>16976</v>
      </c>
      <c r="B13490" s="4" t="s">
        <v>16977</v>
      </c>
      <c r="C13490" s="5" t="str">
        <f>IFERROR(__xludf.DUMMYFUNCTION("GOOGLETRANSLATE(B13490,""en"",""zh-CN"")"),"一群人聚集在两名摔跤的女人周围。")</f>
        <v>一群人聚集在两名摔跤的女人周围。</v>
      </c>
    </row>
    <row r="13491">
      <c r="A13491" s="4" t="s">
        <v>16976</v>
      </c>
      <c r="B13491" s="4" t="s">
        <v>16978</v>
      </c>
      <c r="C13491" s="5" t="str">
        <f>IFERROR(__xludf.DUMMYFUNCTION("GOOGLETRANSLATE(B13491,""en"",""zh-CN"")"),"妇女抓住彼此的双手，尽可能地努力推动，直到其中一个人输了。")</f>
        <v>妇女抓住彼此的双手，尽可能地努力推动，直到其中一个人输了。</v>
      </c>
    </row>
    <row r="13492">
      <c r="A13492" s="4" t="s">
        <v>16976</v>
      </c>
      <c r="B13492" s="4" t="s">
        <v>16979</v>
      </c>
      <c r="C13492" s="5" t="str">
        <f>IFERROR(__xludf.DUMMYFUNCTION("GOOGLETRANSLATE(B13492,""en"",""zh-CN"")"),"他们重做手臂摔跤。")</f>
        <v>他们重做手臂摔跤。</v>
      </c>
    </row>
    <row r="13493">
      <c r="A13493" s="4" t="s">
        <v>16976</v>
      </c>
      <c r="B13493" s="4" t="s">
        <v>16980</v>
      </c>
      <c r="C13493" s="5" t="str">
        <f>IFERROR(__xludf.DUMMYFUNCTION("GOOGLETRANSLATE(B13493,""en"",""zh-CN"")"),"其中一个女孩放开手，另一个女孩震惊地张开嘴。")</f>
        <v>其中一个女孩放开手，另一个女孩震惊地张开嘴。</v>
      </c>
    </row>
    <row r="13494">
      <c r="A13494" s="4" t="s">
        <v>16981</v>
      </c>
      <c r="B13494" s="6" t="s">
        <v>16982</v>
      </c>
      <c r="C13494" s="5" t="str">
        <f>IFERROR(__xludf.DUMMYFUNCTION("GOOGLETRANSLATE(B13494,""en"",""zh-CN"")"),"在一个大体育馆中间看到一个人，中间的另一个男人举起双臂。")</f>
        <v>在一个大体育馆中间看到一个人，中间的另一个男人举起双臂。</v>
      </c>
    </row>
    <row r="13495">
      <c r="A13495" s="4" t="s">
        <v>16981</v>
      </c>
      <c r="B13495" s="4" t="s">
        <v>16983</v>
      </c>
      <c r="C13495" s="5" t="str">
        <f>IFERROR(__xludf.DUMMYFUNCTION("GOOGLETRANSLATE(B13495,""en"",""zh-CN"")"),"然后，淤泥的人双臂和另一个人都跳过了这个人。")</f>
        <v>然后，淤泥的人双臂和另一个人都跳过了这个人。</v>
      </c>
    </row>
    <row r="13496">
      <c r="A13496" s="4" t="s">
        <v>16984</v>
      </c>
      <c r="B13496" s="6" t="s">
        <v>16985</v>
      </c>
      <c r="C13496" s="5" t="str">
        <f>IFERROR(__xludf.DUMMYFUNCTION("GOOGLETRANSLATE(B13496,""en"",""zh-CN"")"),"看到两个男人站在桌子后面与摄像机说话，然后握住相机的各种物体。")</f>
        <v>看到两个男人站在桌子后面与摄像机说话，然后握住相机的各种物体。</v>
      </c>
    </row>
    <row r="13497">
      <c r="A13497" s="4" t="s">
        <v>16984</v>
      </c>
      <c r="B13497" s="4" t="s">
        <v>16986</v>
      </c>
      <c r="C13497" s="5" t="str">
        <f>IFERROR(__xludf.DUMMYFUNCTION("GOOGLETRANSLATE(B13497,""en"",""zh-CN"")"),"他们使用锡罐上的工具，然后看到坐在外面拿着更多的工具。")</f>
        <v>他们使用锡罐上的工具，然后看到坐在外面拿着更多的工具。</v>
      </c>
    </row>
    <row r="13498">
      <c r="A13498" s="4" t="s">
        <v>16987</v>
      </c>
      <c r="B13498" s="4" t="s">
        <v>16988</v>
      </c>
      <c r="C13498" s="5" t="str">
        <f>IFERROR(__xludf.DUMMYFUNCTION("GOOGLETRANSLATE(B13498,""en"",""zh-CN"")"),"一支乐队在街上演奏鼓。")</f>
        <v>一支乐队在街上演奏鼓。</v>
      </c>
    </row>
    <row r="13499">
      <c r="A13499" s="4" t="s">
        <v>16987</v>
      </c>
      <c r="B13499" s="4" t="s">
        <v>16989</v>
      </c>
      <c r="C13499" s="5" t="str">
        <f>IFERROR(__xludf.DUMMYFUNCTION("GOOGLETRANSLATE(B13499,""en"",""zh-CN"")"),"一顶黑帽子的女人站在街上看着他们。")</f>
        <v>一顶黑帽子的女人站在街上看着他们。</v>
      </c>
    </row>
    <row r="13500">
      <c r="A13500" s="4" t="s">
        <v>16987</v>
      </c>
      <c r="B13500" s="4" t="s">
        <v>16990</v>
      </c>
      <c r="C13500" s="5" t="str">
        <f>IFERROR(__xludf.DUMMYFUNCTION("GOOGLETRANSLATE(B13500,""en"",""zh-CN"")"),"人们站着看乐队。")</f>
        <v>人们站着看乐队。</v>
      </c>
    </row>
    <row r="13501">
      <c r="A13501" s="4" t="s">
        <v>16991</v>
      </c>
      <c r="B13501" s="4" t="s">
        <v>16992</v>
      </c>
      <c r="C13501" s="5" t="str">
        <f>IFERROR(__xludf.DUMMYFUNCTION("GOOGLETRANSLATE(B13501,""en"",""zh-CN"")"),"一个男人在一个田野周围奔跑，狗把飞盘拿着头发。")</f>
        <v>一个男人在一个田野周围奔跑，狗把飞盘拿着头发。</v>
      </c>
    </row>
    <row r="13502">
      <c r="A13502" s="4" t="s">
        <v>16991</v>
      </c>
      <c r="B13502" s="6" t="s">
        <v>16993</v>
      </c>
      <c r="C13502" s="5" t="str">
        <f>IFERROR(__xludf.DUMMYFUNCTION("GOOGLETRANSLATE(B13502,""en"",""zh-CN"")"),"该男子用狗在飞盘周围移动，并用狗慢动作进行多个技巧。")</f>
        <v>该男子用狗在飞盘周围移动，并用狗慢动作进行多个技巧。</v>
      </c>
    </row>
    <row r="13503">
      <c r="A13503" s="4" t="s">
        <v>16991</v>
      </c>
      <c r="B13503" s="6" t="s">
        <v>16994</v>
      </c>
      <c r="C13503" s="5" t="str">
        <f>IFERROR(__xludf.DUMMYFUNCTION("GOOGLETRANSLATE(B13503,""en"",""zh-CN"")"),"他从各种相机角度出现在几个位置，与狗一起表现越来越多的技巧。")</f>
        <v>他从各种相机角度出现在几个位置，与狗一起表现越来越多的技巧。</v>
      </c>
    </row>
    <row r="13504">
      <c r="A13504" s="4" t="s">
        <v>16995</v>
      </c>
      <c r="B13504" s="4" t="s">
        <v>16996</v>
      </c>
      <c r="C13504" s="5" t="str">
        <f>IFERROR(__xludf.DUMMYFUNCTION("GOOGLETRANSLATE(B13504,""en"",""zh-CN"")"),"看到一个男人跪在轮胎上，然后将其放在机器上。")</f>
        <v>看到一个男人跪在轮胎上，然后将其放在机器上。</v>
      </c>
    </row>
    <row r="13505">
      <c r="A13505" s="4" t="s">
        <v>16995</v>
      </c>
      <c r="B13505" s="6" t="s">
        <v>16997</v>
      </c>
      <c r="C13505" s="5" t="str">
        <f>IFERROR(__xludf.DUMMYFUNCTION("GOOGLETRANSLATE(B13505,""en"",""zh-CN"")"),"他继续使用机器将橡胶从轮胎上取下，并将其放回原处。")</f>
        <v>他继续使用机器将橡胶从轮胎上取下，并将其放回原处。</v>
      </c>
    </row>
    <row r="13506">
      <c r="A13506" s="4" t="s">
        <v>16998</v>
      </c>
      <c r="B13506" s="6" t="s">
        <v>16999</v>
      </c>
      <c r="C13506" s="5" t="str">
        <f>IFERROR(__xludf.DUMMYFUNCTION("GOOGLETRANSLATE(B13506,""en"",""zh-CN"")"),"在远处看到一匹马，随后是一个男人在一匹马前对镜头说话。")</f>
        <v>在远处看到一匹马，随后是一个男人在一匹马前对镜头说话。</v>
      </c>
    </row>
    <row r="13507">
      <c r="A13507" s="4" t="s">
        <v>16998</v>
      </c>
      <c r="B13507" s="6" t="s">
        <v>17000</v>
      </c>
      <c r="C13507" s="5" t="str">
        <f>IFERROR(__xludf.DUMMYFUNCTION("GOOGLETRANSLATE(B13507,""en"",""zh-CN"")"),"然后，看到各种各样的人在不同的景观上骑马，并由人们领导。")</f>
        <v>然后，看到各种各样的人在不同的景观上骑马，并由人们领导。</v>
      </c>
    </row>
    <row r="13508">
      <c r="A13508" s="4" t="s">
        <v>16998</v>
      </c>
      <c r="B13508" s="4" t="s">
        <v>17001</v>
      </c>
      <c r="C13508" s="5" t="str">
        <f>IFERROR(__xludf.DUMMYFUNCTION("GOOGLETRANSLATE(B13508,""en"",""zh-CN"")"),"这些人继续带领人们穿过大量水上的马。")</f>
        <v>这些人继续带领人们穿过大量水上的马。</v>
      </c>
    </row>
    <row r="13509">
      <c r="A13509" s="4" t="s">
        <v>17002</v>
      </c>
      <c r="B13509" s="4" t="s">
        <v>17003</v>
      </c>
      <c r="C13509" s="5" t="str">
        <f>IFERROR(__xludf.DUMMYFUNCTION("GOOGLETRANSLATE(B13509,""en"",""zh-CN"")"),"厨师在厨房里工作。")</f>
        <v>厨师在厨房里工作。</v>
      </c>
    </row>
    <row r="13510">
      <c r="A13510" s="4" t="s">
        <v>17002</v>
      </c>
      <c r="B13510" s="4" t="s">
        <v>17004</v>
      </c>
      <c r="C13510" s="5" t="str">
        <f>IFERROR(__xludf.DUMMYFUNCTION("GOOGLETRANSLATE(B13510,""en"",""zh-CN"")"),"他按下数字屏幕上的按钮。")</f>
        <v>他按下数字屏幕上的按钮。</v>
      </c>
    </row>
    <row r="13511">
      <c r="A13511" s="4" t="s">
        <v>17002</v>
      </c>
      <c r="B13511" s="4" t="s">
        <v>17005</v>
      </c>
      <c r="C13511" s="5" t="str">
        <f>IFERROR(__xludf.DUMMYFUNCTION("GOOGLETRANSLATE(B13511,""en"",""zh-CN"")"),"他准备了一大片意大利面，他在机器中烹饪。")</f>
        <v>他准备了一大片意大利面，他在机器中烹饪。</v>
      </c>
    </row>
    <row r="13512">
      <c r="A13512" s="4" t="s">
        <v>17006</v>
      </c>
      <c r="B13512" s="6" t="s">
        <v>17007</v>
      </c>
      <c r="C13512" s="5" t="str">
        <f>IFERROR(__xludf.DUMMYFUNCTION("GOOGLETRANSLATE(B13512,""en"",""zh-CN"")"),"显示一个男人与相机交谈，随后他和另一个站在排球网附近的女人。")</f>
        <v>显示一个男人与相机交谈，随后他和另一个站在排球网附近的女人。</v>
      </c>
    </row>
    <row r="13513">
      <c r="A13513" s="4" t="s">
        <v>17006</v>
      </c>
      <c r="B13513" s="4" t="s">
        <v>17008</v>
      </c>
      <c r="C13513" s="5" t="str">
        <f>IFERROR(__xludf.DUMMYFUNCTION("GOOGLETRANSLATE(B13513,""en"",""zh-CN"")"),"那个男人把球扔给那个弹回他的女孩。")</f>
        <v>那个男人把球扔给那个弹回他的女孩。</v>
      </c>
    </row>
    <row r="13514">
      <c r="A13514" s="4" t="s">
        <v>17006</v>
      </c>
      <c r="B13514" s="4" t="s">
        <v>17009</v>
      </c>
      <c r="C13514" s="5" t="str">
        <f>IFERROR(__xludf.DUMMYFUNCTION("GOOGLETRANSLATE(B13514,""en"",""zh-CN"")"),"他继续讲话并展示各种排球动作，以适当地做。")</f>
        <v>他继续讲话并展示各种排球动作，以适当地做。</v>
      </c>
    </row>
    <row r="13515">
      <c r="A13515" s="4" t="s">
        <v>17010</v>
      </c>
      <c r="B13515" s="4" t="s">
        <v>17011</v>
      </c>
      <c r="C13515" s="5" t="str">
        <f>IFERROR(__xludf.DUMMYFUNCTION("GOOGLETRANSLATE(B13515,""en"",""zh-CN"")"),"一大批人坐在桌子旁，过渡到坐在滑雪缆车上的人们。")</f>
        <v>一大批人坐在桌子旁，过渡到坐在滑雪缆车上的人们。</v>
      </c>
    </row>
    <row r="13516">
      <c r="A13516" s="4" t="s">
        <v>17010</v>
      </c>
      <c r="B13516" s="6" t="s">
        <v>17012</v>
      </c>
      <c r="C13516" s="5" t="str">
        <f>IFERROR(__xludf.DUMMYFUNCTION("GOOGLETRANSLATE(B13516,""en"",""zh-CN"")"),"他们开始轮流沿着雪山骑行，并显示了几张照片，他们骑着山顶和山上。")</f>
        <v>他们开始轮流沿着雪山骑行，并显示了几张照片，他们骑着山顶和山上。</v>
      </c>
    </row>
    <row r="13517">
      <c r="A13517" s="4" t="s">
        <v>17013</v>
      </c>
      <c r="B13517" s="4" t="s">
        <v>17014</v>
      </c>
      <c r="C13517" s="5" t="str">
        <f>IFERROR(__xludf.DUMMYFUNCTION("GOOGLETRANSLATE(B13517,""en"",""zh-CN"")"),"一个人捡起一块水果。")</f>
        <v>一个人捡起一块水果。</v>
      </c>
    </row>
    <row r="13518">
      <c r="A13518" s="4" t="s">
        <v>17013</v>
      </c>
      <c r="B13518" s="4" t="s">
        <v>17015</v>
      </c>
      <c r="C13518" s="5" t="str">
        <f>IFERROR(__xludf.DUMMYFUNCTION("GOOGLETRANSLATE(B13518,""en"",""zh-CN"")"),"屏幕上显示了刷子。")</f>
        <v>屏幕上显示了刷子。</v>
      </c>
    </row>
    <row r="13519">
      <c r="A13519" s="4" t="s">
        <v>17013</v>
      </c>
      <c r="B13519" s="4" t="s">
        <v>17016</v>
      </c>
      <c r="C13519" s="5" t="str">
        <f>IFERROR(__xludf.DUMMYFUNCTION("GOOGLETRANSLATE(B13519,""en"",""zh-CN"")"),"一个男人剃了胡须。")</f>
        <v>一个男人剃了胡须。</v>
      </c>
    </row>
    <row r="13520">
      <c r="A13520" s="4" t="s">
        <v>17017</v>
      </c>
      <c r="B13520" s="4" t="s">
        <v>17018</v>
      </c>
      <c r="C13520" s="5" t="str">
        <f>IFERROR(__xludf.DUMMYFUNCTION("GOOGLETRANSLATE(B13520,""en"",""zh-CN"")"),"看到一个人在拿着乐器的同时，在森林中间​​骑独轮车。")</f>
        <v>看到一个人在拿着乐器的同时，在森林中间​​骑独轮车。</v>
      </c>
    </row>
    <row r="13521">
      <c r="A13521" s="4" t="s">
        <v>17017</v>
      </c>
      <c r="B13521" s="4" t="s">
        <v>17019</v>
      </c>
      <c r="C13521" s="5" t="str">
        <f>IFERROR(__xludf.DUMMYFUNCTION("GOOGLETRANSLATE(B13521,""en"",""zh-CN"")"),"当相机跟随他的动作时，该男子继续沿着小路骑行。")</f>
        <v>当相机跟随他的动作时，该男子继续沿着小路骑行。</v>
      </c>
    </row>
    <row r="13522">
      <c r="A13522" s="4" t="s">
        <v>17020</v>
      </c>
      <c r="B13522" s="6" t="s">
        <v>17021</v>
      </c>
      <c r="C13522" s="5" t="str">
        <f>IFERROR(__xludf.DUMMYFUNCTION("GOOGLETRANSLATE(B13522,""en"",""zh-CN"")"),"黑屏会出现一个带有红色和白色徽标的左上角，上部中间的黑色和白色单词在对角线上，上面写着“ Sokol Dobris”，底部的紫色和白色单词读为“绳索跳过”。")</f>
        <v>黑屏会出现一个带有红色和白色徽标的左上角，上部中间的黑色和白色单词在对角线上，上面写着“ Sokol Dobris”，底部的紫色和白色单词读为“绳索跳过”。</v>
      </c>
    </row>
    <row r="13523">
      <c r="A13523" s="4" t="s">
        <v>17020</v>
      </c>
      <c r="B13523" s="6" t="s">
        <v>17022</v>
      </c>
      <c r="C13523" s="5" t="str">
        <f>IFERROR(__xludf.DUMMYFUNCTION("GOOGLETRANSLATE(B13523,""en"",""zh-CN"")"),"下一个显示的是一件静止的黑色衬衫，胸部左侧的徽标，其下面的“ dobris”一词，红色和白色的跳绳在上面。")</f>
        <v>下一个显示的是一件静止的黑色衬衫，胸部左侧的徽标，其下面的“ dobris”一词，红色和白色的跳绳在上面。</v>
      </c>
    </row>
    <row r="13524">
      <c r="A13524" s="4" t="s">
        <v>17020</v>
      </c>
      <c r="B13524" s="6" t="s">
        <v>17023</v>
      </c>
      <c r="C13524" s="5" t="str">
        <f>IFERROR(__xludf.DUMMYFUNCTION("GOOGLETRANSLATE(B13524,""en"",""zh-CN"")"),"有4个不同的人站在室内法庭上，有3人握住2个不同的跳绳的末端，有1个人正在绳索跳跃。")</f>
        <v>有4个不同的人站在室内法庭上，有3人握住2个不同的跳绳的末端，有1个人正在绳索跳跃。</v>
      </c>
    </row>
    <row r="13525">
      <c r="A13525" s="4" t="s">
        <v>17020</v>
      </c>
      <c r="B13525" s="6" t="s">
        <v>17024</v>
      </c>
      <c r="C13525" s="5" t="str">
        <f>IFERROR(__xludf.DUMMYFUNCTION("GOOGLETRANSLATE(B13525,""en"",""zh-CN"")"),"各个人的绳索跳跃游戏，有时只有1个人独自跳，但是大多数时候有2到4次，很多时候它们在跳跃和握住绳索之间交替。")</f>
        <v>各个人的绳索跳跃游戏，有时只有1个人独自跳，但是大多数时候有2到4次，很多时候它们在跳跃和握住绳索之间交替。</v>
      </c>
    </row>
    <row r="13526">
      <c r="A13526" s="4" t="s">
        <v>17020</v>
      </c>
      <c r="B13526" s="6" t="s">
        <v>17025</v>
      </c>
      <c r="C13526" s="5" t="str">
        <f>IFERROR(__xludf.DUMMYFUNCTION("GOOGLETRANSLATE(B13526,""en"",""zh-CN"")"),"屏幕上显示了视频的剪辑以及涉及绳索跳跃的各种涉及绳索跳跃的各种镜头图片，并在屏幕上出现紫色和白色字母时出现黑屏，上面显示“绳索跳过”。")</f>
        <v>屏幕上显示了视频的剪辑以及涉及绳索跳跃的各种涉及绳索跳跃的各种镜头图片，并在屏幕上出现紫色和白色字母时出现黑屏，上面显示“绳索跳过”。</v>
      </c>
    </row>
    <row r="13527">
      <c r="A13527" s="4" t="s">
        <v>17026</v>
      </c>
      <c r="B13527" s="4" t="s">
        <v>17027</v>
      </c>
      <c r="C13527" s="5" t="str">
        <f>IFERROR(__xludf.DUMMYFUNCTION("GOOGLETRANSLATE(B13527,""en"",""zh-CN"")"),"一个有弓箭和箭的人正在实践他的目标和形式。")</f>
        <v>一个有弓箭和箭的人正在实践他的目标和形式。</v>
      </c>
    </row>
    <row r="13528">
      <c r="A13528" s="4" t="s">
        <v>17026</v>
      </c>
      <c r="B13528" s="4" t="s">
        <v>17028</v>
      </c>
      <c r="C13528" s="5" t="str">
        <f>IFERROR(__xludf.DUMMYFUNCTION("GOOGLETRANSLATE(B13528,""en"",""zh-CN"")"),"他射击了一只箭，从HM后面抓住了另一支箭，准备再次射击。")</f>
        <v>他射击了一只箭，从HM后面抓住了另一支箭，准备再次射击。</v>
      </c>
    </row>
    <row r="13529">
      <c r="A13529" s="4" t="s">
        <v>17026</v>
      </c>
      <c r="B13529" s="4" t="s">
        <v>17029</v>
      </c>
      <c r="C13529" s="5" t="str">
        <f>IFERROR(__xludf.DUMMYFUNCTION("GOOGLETRANSLATE(B13529,""en"",""zh-CN"")"),"他向后拉弓上的绳子，并与箭一起释放。")</f>
        <v>他向后拉弓上的绳子，并与箭一起释放。</v>
      </c>
    </row>
    <row r="13530">
      <c r="A13530" s="4" t="s">
        <v>17026</v>
      </c>
      <c r="B13530" s="4" t="s">
        <v>17030</v>
      </c>
      <c r="C13530" s="5" t="str">
        <f>IFERROR(__xludf.DUMMYFUNCTION("GOOGLETRANSLATE(B13530,""en"",""zh-CN"")"),"他一遍又一遍地继续这种例行程序，实践完美。")</f>
        <v>他一遍又一遍地继续这种例行程序，实践完美。</v>
      </c>
    </row>
    <row r="13531">
      <c r="A13531" s="4" t="s">
        <v>17031</v>
      </c>
      <c r="B13531" s="4" t="s">
        <v>17032</v>
      </c>
      <c r="C13531" s="5" t="str">
        <f>IFERROR(__xludf.DUMMYFUNCTION("GOOGLETRANSLATE(B13531,""en"",""zh-CN"")"),"一个穿着长长的红色头发的灰色毛衣的年轻女孩正在梳理头发。")</f>
        <v>一个穿着长长的红色头发的灰色毛衣的年轻女孩正在梳理头发。</v>
      </c>
    </row>
    <row r="13532">
      <c r="A13532" s="4" t="s">
        <v>17031</v>
      </c>
      <c r="B13532" s="6" t="s">
        <v>17033</v>
      </c>
      <c r="C13532" s="5" t="str">
        <f>IFERROR(__xludf.DUMMYFUNCTION("GOOGLETRANSLATE(B13532,""en"",""zh-CN"")"),"她正在使用银色桨刷从头发上取出结，并在刷牙时将其弄清楚。")</f>
        <v>她正在使用银色桨刷从头发上取出结，并在刷牙时将其弄清楚。</v>
      </c>
    </row>
    <row r="13533">
      <c r="A13533" s="4" t="s">
        <v>17031</v>
      </c>
      <c r="B13533" s="4" t="s">
        <v>17034</v>
      </c>
      <c r="C13533" s="5" t="str">
        <f>IFERROR(__xludf.DUMMYFUNCTION("GOOGLETRANSLATE(B13533,""en"",""zh-CN"")"),"当她刷头发时，她突然开始尖叫。")</f>
        <v>当她刷头发时，她突然开始尖叫。</v>
      </c>
    </row>
    <row r="13534">
      <c r="A13534" s="4" t="s">
        <v>17035</v>
      </c>
      <c r="B13534" s="4" t="s">
        <v>17036</v>
      </c>
      <c r="C13534" s="5" t="str">
        <f>IFERROR(__xludf.DUMMYFUNCTION("GOOGLETRANSLATE(B13534,""en"",""zh-CN"")"),"看到一个小孩拿着冰淇淋蛋筒，微笑时在相机上对着相机说话。")</f>
        <v>看到一个小孩拿着冰淇淋蛋筒，微笑时在相机上对着相机说话。</v>
      </c>
    </row>
    <row r="13535">
      <c r="A13535" s="4" t="s">
        <v>17035</v>
      </c>
      <c r="B13535" s="4" t="s">
        <v>17037</v>
      </c>
      <c r="C13535" s="5" t="str">
        <f>IFERROR(__xludf.DUMMYFUNCTION("GOOGLETRANSLATE(B13535,""en"",""zh-CN"")"),"她与摄影师说话，另一方面拿着一个娃娃，然后坐在地上。")</f>
        <v>她与摄影师说话，另一方面拿着一个娃娃，然后坐在地上。</v>
      </c>
    </row>
    <row r="13536">
      <c r="A13536" s="4" t="s">
        <v>17038</v>
      </c>
      <c r="B13536" s="4" t="s">
        <v>17039</v>
      </c>
      <c r="C13536" s="5" t="str">
        <f>IFERROR(__xludf.DUMMYFUNCTION("GOOGLETRANSLATE(B13536,""en"",""zh-CN"")"),"一个女人和一个男人站在外面做一些有趣的技术。")</f>
        <v>一个女人和一个男人站在外面做一些有趣的技术。</v>
      </c>
    </row>
    <row r="13537">
      <c r="A13537" s="4" t="s">
        <v>17038</v>
      </c>
      <c r="B13537" s="4" t="s">
        <v>17040</v>
      </c>
      <c r="C13537" s="5" t="str">
        <f>IFERROR(__xludf.DUMMYFUNCTION("GOOGLETRANSLATE(B13537,""en"",""zh-CN"")"),"他们似乎与对方的同步或不击中对方的彼此合作。")</f>
        <v>他们似乎与对方的同步或不击中对方的彼此合作。</v>
      </c>
    </row>
    <row r="13538">
      <c r="A13538" s="4" t="s">
        <v>17038</v>
      </c>
      <c r="B13538" s="4" t="s">
        <v>17041</v>
      </c>
      <c r="C13538" s="5" t="str">
        <f>IFERROR(__xludf.DUMMYFUNCTION("GOOGLETRANSLATE(B13538,""en"",""zh-CN"")"),"他们正在做某种类型的空手道或其他事情。")</f>
        <v>他们正在做某种类型的空手道或其他事情。</v>
      </c>
    </row>
    <row r="13539">
      <c r="A13539" s="4" t="s">
        <v>17038</v>
      </c>
      <c r="B13539" s="4" t="s">
        <v>17042</v>
      </c>
      <c r="C13539" s="5" t="str">
        <f>IFERROR(__xludf.DUMMYFUNCTION("GOOGLETRANSLATE(B13539,""en"",""zh-CN"")"),"那个人强烈抓住了那个男人并拥抱他，看上去他们想亲吻，但他们没有。")</f>
        <v>那个人强烈抓住了那个男人并拥抱他，看上去他们想亲吻，但他们没有。</v>
      </c>
    </row>
    <row r="13540">
      <c r="A13540" s="4" t="s">
        <v>17043</v>
      </c>
      <c r="B13540" s="4" t="s">
        <v>17044</v>
      </c>
      <c r="C13540" s="5" t="str">
        <f>IFERROR(__xludf.DUMMYFUNCTION("GOOGLETRANSLATE(B13540,""en"",""zh-CN"")"),"一群老年人坐在外面的椅子上。")</f>
        <v>一群老年人坐在外面的椅子上。</v>
      </c>
    </row>
    <row r="13541">
      <c r="A13541" s="4" t="s">
        <v>17043</v>
      </c>
      <c r="B13541" s="4" t="s">
        <v>17045</v>
      </c>
      <c r="C13541" s="5" t="str">
        <f>IFERROR(__xludf.DUMMYFUNCTION("GOOGLETRANSLATE(B13541,""en"",""zh-CN"")"),"一个男人正在用棍子和锯子演奏曲调。")</f>
        <v>一个男人正在用棍子和锯子演奏曲调。</v>
      </c>
    </row>
    <row r="13542">
      <c r="A13542" s="4" t="s">
        <v>17043</v>
      </c>
      <c r="B13542" s="4" t="s">
        <v>17046</v>
      </c>
      <c r="C13542" s="5" t="str">
        <f>IFERROR(__xludf.DUMMYFUNCTION("GOOGLETRANSLATE(B13542,""en"",""zh-CN"")"),"他旁边的男人拿着乐器，等待轮到他们。")</f>
        <v>他旁边的男人拿着乐器，等待轮到他们。</v>
      </c>
    </row>
    <row r="13543">
      <c r="A13543" s="4" t="s">
        <v>17047</v>
      </c>
      <c r="B13543" s="4" t="s">
        <v>17048</v>
      </c>
      <c r="C13543" s="5" t="str">
        <f>IFERROR(__xludf.DUMMYFUNCTION("GOOGLETRANSLATE(B13543,""en"",""zh-CN"")"),"当摄像头竖起屋顶上的窗户时，显示了一个操场和后院。")</f>
        <v>当摄像头竖起屋顶上的窗户时，显示了一个操场和后院。</v>
      </c>
    </row>
    <row r="13544">
      <c r="A13544" s="4" t="s">
        <v>17047</v>
      </c>
      <c r="B13544" s="6" t="s">
        <v>17049</v>
      </c>
      <c r="C13544" s="5" t="str">
        <f>IFERROR(__xludf.DUMMYFUNCTION("GOOGLETRANSLATE(B13544,""en"",""zh-CN"")"),"该视频显示了有关如何固定屋顶的各种图片，并用材料再次在窗户上铺在窗户上。")</f>
        <v>该视频显示了有关如何固定屋顶的各种图片，并用材料再次在窗户上铺在窗户上。</v>
      </c>
    </row>
    <row r="13545">
      <c r="A13545" s="4" t="s">
        <v>17047</v>
      </c>
      <c r="B13545" s="6" t="s">
        <v>17050</v>
      </c>
      <c r="C13545" s="5" t="str">
        <f>IFERROR(__xludf.DUMMYFUNCTION("GOOGLETRANSLATE(B13545,""en"",""zh-CN"")"),"他将各种物体放在窗户周围，并显示出成品的更多图片。")</f>
        <v>他将各种物体放在窗户周围，并显示出成品的更多图片。</v>
      </c>
    </row>
    <row r="13546">
      <c r="A13546" s="4" t="s">
        <v>17051</v>
      </c>
      <c r="B13546" s="4" t="s">
        <v>17052</v>
      </c>
      <c r="C13546" s="5" t="str">
        <f>IFERROR(__xludf.DUMMYFUNCTION("GOOGLETRANSLATE(B13546,""en"",""zh-CN"")"),"一个牛仔竞技骑士从公牛上出来，被扔掉。")</f>
        <v>一个牛仔竞技骑士从公牛上出来，被扔掉。</v>
      </c>
    </row>
    <row r="13547">
      <c r="A13547" s="4" t="s">
        <v>17051</v>
      </c>
      <c r="B13547" s="4" t="s">
        <v>17053</v>
      </c>
      <c r="C13547" s="5" t="str">
        <f>IFERROR(__xludf.DUMMYFUNCTION("GOOGLETRANSLATE(B13547,""en"",""zh-CN"")"),"当骑手安全时，牛仔小丑分散了公牛的注意力。")</f>
        <v>当骑手安全时，牛仔小丑分散了公牛的注意力。</v>
      </c>
    </row>
    <row r="13548">
      <c r="A13548" s="4" t="s">
        <v>17051</v>
      </c>
      <c r="B13548" s="4" t="s">
        <v>17054</v>
      </c>
      <c r="C13548" s="5" t="str">
        <f>IFERROR(__xludf.DUMMYFUNCTION("GOOGLETRANSLATE(B13548,""en"",""zh-CN"")"),"小丑受伤，并从一位漂亮的女士接受治疗。")</f>
        <v>小丑受伤，并从一位漂亮的女士接受治疗。</v>
      </c>
    </row>
    <row r="13549">
      <c r="A13549" s="4" t="s">
        <v>17051</v>
      </c>
      <c r="B13549" s="4" t="s">
        <v>17055</v>
      </c>
      <c r="C13549" s="5" t="str">
        <f>IFERROR(__xludf.DUMMYFUNCTION("GOOGLETRANSLATE(B13549,""en"",""zh-CN"")"),"一群骑马的人说话，当他们走开时，小丑重新开始了他的工作。")</f>
        <v>一群骑马的人说话，当他们走开时，小丑重新开始了他的工作。</v>
      </c>
    </row>
    <row r="13550">
      <c r="A13550" s="4" t="s">
        <v>17051</v>
      </c>
      <c r="B13550" s="4" t="s">
        <v>17056</v>
      </c>
      <c r="C13550" s="5" t="str">
        <f>IFERROR(__xludf.DUMMYFUNCTION("GOOGLETRANSLATE(B13550,""en"",""zh-CN"")"),"当他跳过公牛头，其他小丑帮助他起来时，小丑再次受伤。")</f>
        <v>当他跳过公牛头，其他小丑帮助他起来时，小丑再次受伤。</v>
      </c>
    </row>
    <row r="13551">
      <c r="A13551" s="4" t="s">
        <v>17057</v>
      </c>
      <c r="B13551" s="6" t="s">
        <v>17058</v>
      </c>
      <c r="C13551" s="5" t="str">
        <f>IFERROR(__xludf.DUMMYFUNCTION("GOOGLETRANSLATE(B13551,""en"",""zh-CN"")"),"看到一大批人拿着一条绳子，而又有两个人走进框架，相机关闭了人。")</f>
        <v>看到一大批人拿着一条绳子，而又有两个人走进框架，相机关闭了人。</v>
      </c>
    </row>
    <row r="13552">
      <c r="A13552" s="4" t="s">
        <v>17057</v>
      </c>
      <c r="B13552" s="6" t="s">
        <v>17059</v>
      </c>
      <c r="C13552" s="5" t="str">
        <f>IFERROR(__xludf.DUMMYFUNCTION("GOOGLETRANSLATE(B13552,""en"",""zh-CN"")"),"摄像机继续围绕着人民，并导致拔河比赛和庆祝妇女的比赛。")</f>
        <v>摄像机继续围绕着人民，并导致拔河比赛和庆祝妇女的比赛。</v>
      </c>
    </row>
    <row r="13553">
      <c r="A13553" s="4" t="s">
        <v>17060</v>
      </c>
      <c r="B13553" s="4" t="s">
        <v>17061</v>
      </c>
      <c r="C13553" s="5" t="str">
        <f>IFERROR(__xludf.DUMMYFUNCTION("GOOGLETRANSLATE(B13553,""en"",""zh-CN"")"),"伙计们站着或坐在他们的越野自行车上。")</f>
        <v>伙计们站着或坐在他们的越野自行车上。</v>
      </c>
    </row>
    <row r="13554">
      <c r="A13554" s="4" t="s">
        <v>17060</v>
      </c>
      <c r="B13554" s="4" t="s">
        <v>17062</v>
      </c>
      <c r="C13554" s="5" t="str">
        <f>IFERROR(__xludf.DUMMYFUNCTION("GOOGLETRANSLATE(B13554,""en"",""zh-CN"")"),"伙计们正在骑越野车。")</f>
        <v>伙计们正在骑越野车。</v>
      </c>
    </row>
    <row r="13555">
      <c r="A13555" s="4" t="s">
        <v>17060</v>
      </c>
      <c r="B13555" s="4" t="s">
        <v>17063</v>
      </c>
      <c r="C13555" s="5" t="str">
        <f>IFERROR(__xludf.DUMMYFUNCTION("GOOGLETRANSLATE(B13555,""en"",""zh-CN"")"),"一个家伙坐在他的越野车上时脱下上身装甲。")</f>
        <v>一个家伙坐在他的越野车上时脱下上身装甲。</v>
      </c>
    </row>
    <row r="13556">
      <c r="A13556" s="4" t="s">
        <v>17064</v>
      </c>
      <c r="B13556" s="4" t="s">
        <v>17065</v>
      </c>
      <c r="C13556" s="5" t="str">
        <f>IFERROR(__xludf.DUMMYFUNCTION("GOOGLETRANSLATE(B13556,""en"",""zh-CN"")"),"在事件中，黑暗中显示了一长串骑自行车的人。")</f>
        <v>在事件中，黑暗中显示了一长串骑自行车的人。</v>
      </c>
    </row>
    <row r="13557">
      <c r="A13557" s="4" t="s">
        <v>17064</v>
      </c>
      <c r="B13557" s="4" t="s">
        <v>17066</v>
      </c>
      <c r="C13557" s="5" t="str">
        <f>IFERROR(__xludf.DUMMYFUNCTION("GOOGLETRANSLATE(B13557,""en"",""zh-CN"")"),"一个男人在为主赛事做准备时在舞台上向人们讲话。")</f>
        <v>一个男人在为主赛事做准备时在舞台上向人们讲话。</v>
      </c>
    </row>
    <row r="13558">
      <c r="A13558" s="4" t="s">
        <v>17064</v>
      </c>
      <c r="B13558" s="6" t="s">
        <v>17067</v>
      </c>
      <c r="C13558" s="5" t="str">
        <f>IFERROR(__xludf.DUMMYFUNCTION("GOOGLETRANSLATE(B13558,""en"",""zh-CN"")"),"人们奔跑并慢跑越过欢呼的人群，直到到达终点线，在那里他们停下来说话并抬起撕裂的绳索。")</f>
        <v>人们奔跑并慢跑越过欢呼的人群，直到到达终点线，在那里他们停下来说话并抬起撕裂的绳索。</v>
      </c>
    </row>
    <row r="13559">
      <c r="A13559" s="4" t="s">
        <v>17068</v>
      </c>
      <c r="B13559" s="6" t="s">
        <v>17069</v>
      </c>
      <c r="C13559" s="5" t="str">
        <f>IFERROR(__xludf.DUMMYFUNCTION("GOOGLETRANSLATE(B13559,""en"",""zh-CN"")"),"狗主人将三只狗带到狗的清洁服务和狗洗净和干燥的公司。")</f>
        <v>狗主人将三只狗带到狗的清洁服务和狗洗净和干燥的公司。</v>
      </c>
    </row>
    <row r="13560">
      <c r="A13560" s="4" t="s">
        <v>17068</v>
      </c>
      <c r="B13560" s="4" t="s">
        <v>17070</v>
      </c>
      <c r="C13560" s="5" t="str">
        <f>IFERROR(__xludf.DUMMYFUNCTION("GOOGLETRANSLATE(B13560,""en"",""zh-CN"")"),"通过在泥泞的水坑里醒来，穿过泥土和草，显示了三只狗变得肮脏。")</f>
        <v>通过在泥泞的水坑里醒来，穿过泥土和草，显示了三只狗变得肮脏。</v>
      </c>
    </row>
    <row r="13561">
      <c r="A13561" s="4" t="s">
        <v>17068</v>
      </c>
      <c r="B13561" s="6" t="s">
        <v>17071</v>
      </c>
      <c r="C13561" s="5" t="str">
        <f>IFERROR(__xludf.DUMMYFUNCTION("GOOGLETRANSLATE(B13561,""en"",""zh-CN"")"),"然后将狗装载在车辆中，并带到一家洗狗公司，并将其放在洗涤池中。")</f>
        <v>然后将狗装载在车辆中，并带到一家洗狗公司，并将其放在洗涤池中。</v>
      </c>
    </row>
    <row r="13562">
      <c r="A13562" s="4" t="s">
        <v>17068</v>
      </c>
      <c r="B13562" s="6" t="s">
        <v>17072</v>
      </c>
      <c r="C13562" s="5" t="str">
        <f>IFERROR(__xludf.DUMMYFUNCTION("GOOGLETRANSLATE(B13562,""en"",""zh-CN"")"),"所有三只狗都被人们洗净和干燥，然后显示人们清洁狗洗净的区域。")</f>
        <v>所有三只狗都被人们洗净和干燥，然后显示人们清洁狗洗净的区域。</v>
      </c>
    </row>
    <row r="13563">
      <c r="A13563" s="4" t="s">
        <v>17073</v>
      </c>
      <c r="B13563" s="4" t="s">
        <v>17074</v>
      </c>
      <c r="C13563" s="5" t="str">
        <f>IFERROR(__xludf.DUMMYFUNCTION("GOOGLETRANSLATE(B13563,""en"",""zh-CN"")"),"一个人开始焊接。")</f>
        <v>一个人开始焊接。</v>
      </c>
    </row>
    <row r="13564">
      <c r="A13564" s="4" t="s">
        <v>17073</v>
      </c>
      <c r="B13564" s="4" t="s">
        <v>17075</v>
      </c>
      <c r="C13564" s="5" t="str">
        <f>IFERROR(__xludf.DUMMYFUNCTION("GOOGLETRANSLATE(B13564,""en"",""zh-CN"")"),"他开始将一块金属焊接到框架上。")</f>
        <v>他开始将一块金属焊接到框架上。</v>
      </c>
    </row>
    <row r="13565">
      <c r="A13565" s="4" t="s">
        <v>17073</v>
      </c>
      <c r="B13565" s="4" t="s">
        <v>17076</v>
      </c>
      <c r="C13565" s="5" t="str">
        <f>IFERROR(__xludf.DUMMYFUNCTION("GOOGLETRANSLATE(B13565,""en"",""zh-CN"")"),"他完成了焊缝并退缩。")</f>
        <v>他完成了焊缝并退缩。</v>
      </c>
    </row>
    <row r="13566">
      <c r="A13566" s="4" t="s">
        <v>17077</v>
      </c>
      <c r="B13566" s="4" t="s">
        <v>17078</v>
      </c>
      <c r="C13566" s="5" t="str">
        <f>IFERROR(__xludf.DUMMYFUNCTION("GOOGLETRANSLATE(B13566,""en"",""zh-CN"")"),"一个人将地毯展开到地板上。")</f>
        <v>一个人将地毯展开到地板上。</v>
      </c>
    </row>
    <row r="13567">
      <c r="A13567" s="4" t="s">
        <v>17077</v>
      </c>
      <c r="B13567" s="4" t="s">
        <v>17079</v>
      </c>
      <c r="C13567" s="5" t="str">
        <f>IFERROR(__xludf.DUMMYFUNCTION("GOOGLETRANSLATE(B13567,""en"",""zh-CN"")"),"他跪在地毯上。")</f>
        <v>他跪在地毯上。</v>
      </c>
    </row>
    <row r="13568">
      <c r="A13568" s="4" t="s">
        <v>17077</v>
      </c>
      <c r="B13568" s="4" t="s">
        <v>17080</v>
      </c>
      <c r="C13568" s="5" t="str">
        <f>IFERROR(__xludf.DUMMYFUNCTION("GOOGLETRANSLATE(B13568,""en"",""zh-CN"")"),"他把胶水放在地板上。")</f>
        <v>他把胶水放在地板上。</v>
      </c>
    </row>
    <row r="13569">
      <c r="A13569" s="4" t="s">
        <v>17077</v>
      </c>
      <c r="B13569" s="4" t="s">
        <v>17081</v>
      </c>
      <c r="C13569" s="5" t="str">
        <f>IFERROR(__xludf.DUMMYFUNCTION("GOOGLETRANSLATE(B13569,""en"",""zh-CN"")"),"然后，他将地毯放在上面，然后将其弄平。")</f>
        <v>然后，他将地毯放在上面，然后将其弄平。</v>
      </c>
    </row>
    <row r="13570">
      <c r="A13570" s="4" t="s">
        <v>17077</v>
      </c>
      <c r="B13570" s="4" t="s">
        <v>17082</v>
      </c>
      <c r="C13570" s="5" t="str">
        <f>IFERROR(__xludf.DUMMYFUNCTION("GOOGLETRANSLATE(B13570,""en"",""zh-CN"")"),"然后，他完成了地毯。")</f>
        <v>然后，他完成了地毯。</v>
      </c>
    </row>
    <row r="13571">
      <c r="A13571" s="4" t="s">
        <v>17083</v>
      </c>
      <c r="B13571" s="4" t="s">
        <v>17084</v>
      </c>
      <c r="C13571" s="5" t="str">
        <f>IFERROR(__xludf.DUMMYFUNCTION("GOOGLETRANSLATE(B13571,""en"",""zh-CN"")"),"一个小男孩坐在地板上，坐着杯子和汤匙。")</f>
        <v>一个小男孩坐在地板上，坐着杯子和汤匙。</v>
      </c>
    </row>
    <row r="13572">
      <c r="A13572" s="4" t="s">
        <v>17083</v>
      </c>
      <c r="B13572" s="4" t="s">
        <v>17085</v>
      </c>
      <c r="C13572" s="5" t="str">
        <f>IFERROR(__xludf.DUMMYFUNCTION("GOOGLETRANSLATE(B13572,""en"",""zh-CN"")"),"当母亲来检查他时，他正在吃白色物质。")</f>
        <v>当母亲来检查他时，他正在吃白色物质。</v>
      </c>
    </row>
    <row r="13573">
      <c r="A13573" s="4" t="s">
        <v>17083</v>
      </c>
      <c r="B13573" s="4" t="s">
        <v>17086</v>
      </c>
      <c r="C13573" s="5" t="str">
        <f>IFERROR(__xludf.DUMMYFUNCTION("GOOGLETRANSLATE(B13573,""en"",""zh-CN"")"),"她走过去时，他继续慢慢进食。")</f>
        <v>她走过去时，他继续慢慢进食。</v>
      </c>
    </row>
    <row r="13574">
      <c r="A13574" s="4" t="s">
        <v>17087</v>
      </c>
      <c r="B13574" s="4" t="s">
        <v>17088</v>
      </c>
      <c r="C13574" s="5" t="str">
        <f>IFERROR(__xludf.DUMMYFUNCTION("GOOGLETRANSLATE(B13574,""en"",""zh-CN"")"),"几个女人站在后院时正在说话。")</f>
        <v>几个女人站在后院时正在说话。</v>
      </c>
    </row>
    <row r="13575">
      <c r="A13575" s="4" t="s">
        <v>17087</v>
      </c>
      <c r="B13575" s="4" t="s">
        <v>17089</v>
      </c>
      <c r="C13575" s="5" t="str">
        <f>IFERROR(__xludf.DUMMYFUNCTION("GOOGLETRANSLATE(B13575,""en"",""zh-CN"")"),"他们将苔藓杀手固定在软管上。")</f>
        <v>他们将苔藓杀手固定在软管上。</v>
      </c>
    </row>
    <row r="13576">
      <c r="A13576" s="4" t="s">
        <v>17087</v>
      </c>
      <c r="B13576" s="4" t="s">
        <v>17090</v>
      </c>
      <c r="C13576" s="5" t="str">
        <f>IFERROR(__xludf.DUMMYFUNCTION("GOOGLETRANSLATE(B13576,""en"",""zh-CN"")"),"妇女将苔藓杀手喷到棚屋的屋顶上，用液体杀死了生长。")</f>
        <v>妇女将苔藓杀手喷到棚屋的屋顶上，用液体杀死了生长。</v>
      </c>
    </row>
    <row r="13577">
      <c r="A13577" s="4" t="s">
        <v>17087</v>
      </c>
      <c r="B13577" s="4" t="s">
        <v>17091</v>
      </c>
      <c r="C13577" s="5" t="str">
        <f>IFERROR(__xludf.DUMMYFUNCTION("GOOGLETRANSLATE(B13577,""en"",""zh-CN"")"),"然后，他们将苔藓的杀手级带在盒子里。")</f>
        <v>然后，他们将苔藓的杀手级带在盒子里。</v>
      </c>
    </row>
    <row r="13578">
      <c r="A13578" s="4" t="s">
        <v>17092</v>
      </c>
      <c r="B13578" s="4" t="s">
        <v>17093</v>
      </c>
      <c r="C13578" s="5" t="str">
        <f>IFERROR(__xludf.DUMMYFUNCTION("GOOGLETRANSLATE(B13578,""en"",""zh-CN"")"),"一个男人在与摄像机谈论他的旅行时坐在河里的皮划艇上。")</f>
        <v>一个男人在与摄像机谈论他的旅行时坐在河里的皮划艇上。</v>
      </c>
    </row>
    <row r="13579">
      <c r="A13579" s="4" t="s">
        <v>17092</v>
      </c>
      <c r="B13579" s="4" t="s">
        <v>17094</v>
      </c>
      <c r="C13579" s="5" t="str">
        <f>IFERROR(__xludf.DUMMYFUNCTION("GOOGLETRANSLATE(B13579,""en"",""zh-CN"")"),"他在水中缓慢移动，同时指导如何正确移动皮划艇。")</f>
        <v>他在水中缓慢移动，同时指导如何正确移动皮划艇。</v>
      </c>
    </row>
    <row r="13580">
      <c r="A13580" s="4" t="s">
        <v>17092</v>
      </c>
      <c r="B13580" s="4" t="s">
        <v>17095</v>
      </c>
      <c r="C13580" s="5" t="str">
        <f>IFERROR(__xludf.DUMMYFUNCTION("GOOGLETRANSLATE(B13580,""en"",""zh-CN"")"),"他开始划船溪流，并展示如果您卡住了该怎么办。")</f>
        <v>他开始划船溪流，并展示如果您卡住了该怎么办。</v>
      </c>
    </row>
    <row r="13581">
      <c r="A13581" s="4" t="s">
        <v>17096</v>
      </c>
      <c r="B13581" s="4" t="s">
        <v>17097</v>
      </c>
      <c r="C13581" s="5" t="str">
        <f>IFERROR(__xludf.DUMMYFUNCTION("GOOGLETRANSLATE(B13581,""en"",""zh-CN"")"),"男人正在和镜头说话，拿着刀和一些杂志。")</f>
        <v>男人正在和镜头说话，拿着刀和一些杂志。</v>
      </c>
    </row>
    <row r="13582">
      <c r="A13582" s="4" t="s">
        <v>17096</v>
      </c>
      <c r="B13582" s="4" t="s">
        <v>17098</v>
      </c>
      <c r="C13582" s="5" t="str">
        <f>IFERROR(__xludf.DUMMYFUNCTION("GOOGLETRANSLATE(B13582,""en"",""zh-CN"")"),"人握着刀和剃须刀的一小块手臂。")</f>
        <v>人握着刀和剃须刀的一小块手臂。</v>
      </c>
    </row>
    <row r="13583">
      <c r="A13583" s="4" t="s">
        <v>17096</v>
      </c>
      <c r="B13583" s="4" t="s">
        <v>17099</v>
      </c>
      <c r="C13583" s="5" t="str">
        <f>IFERROR(__xludf.DUMMYFUNCTION("GOOGLETRANSLATE(B13583,""en"",""zh-CN"")"),"人从一杯水中抓住一些岩石，然后锋利刀。")</f>
        <v>人从一杯水中抓住一些岩石，然后锋利刀。</v>
      </c>
    </row>
    <row r="13584">
      <c r="A13584" s="4" t="s">
        <v>17096</v>
      </c>
      <c r="B13584" s="4" t="s">
        <v>17100</v>
      </c>
      <c r="C13584" s="5" t="str">
        <f>IFERROR(__xludf.DUMMYFUNCTION("GOOGLETRANSLATE(B13584,""en"",""zh-CN"")"),"男人用刀剪杂志。")</f>
        <v>男人用刀剪杂志。</v>
      </c>
    </row>
    <row r="13585">
      <c r="A13585" s="4" t="s">
        <v>17101</v>
      </c>
      <c r="B13585" s="4" t="s">
        <v>17102</v>
      </c>
      <c r="C13585" s="5" t="str">
        <f>IFERROR(__xludf.DUMMYFUNCTION("GOOGLETRANSLATE(B13585,""en"",""zh-CN"")"),"在海水中看到一个人。")</f>
        <v>在海水中看到一个人。</v>
      </c>
    </row>
    <row r="13586">
      <c r="A13586" s="4" t="s">
        <v>17101</v>
      </c>
      <c r="B13586" s="4" t="s">
        <v>17103</v>
      </c>
      <c r="C13586" s="5" t="str">
        <f>IFERROR(__xludf.DUMMYFUNCTION("GOOGLETRANSLATE(B13586,""en"",""zh-CN"")"),"他骑着一对水滑雪。")</f>
        <v>他骑着一对水滑雪。</v>
      </c>
    </row>
    <row r="13587">
      <c r="A13587" s="4" t="s">
        <v>17101</v>
      </c>
      <c r="B13587" s="4" t="s">
        <v>17104</v>
      </c>
      <c r="C13587" s="5" t="str">
        <f>IFERROR(__xludf.DUMMYFUNCTION("GOOGLETRANSLATE(B13587,""en"",""zh-CN"")"),"他在海浪滑雪时被船毒品。")</f>
        <v>他在海浪滑雪时被船毒品。</v>
      </c>
    </row>
    <row r="13588">
      <c r="A13588" s="4" t="s">
        <v>17105</v>
      </c>
      <c r="B13588" s="4" t="s">
        <v>15882</v>
      </c>
      <c r="C13588" s="5" t="str">
        <f>IFERROR(__xludf.DUMMYFUNCTION("GOOGLETRANSLATE(B13588,""en"",""zh-CN"")"),"我们看到开头标题屏幕。")</f>
        <v>我们看到开头标题屏幕。</v>
      </c>
    </row>
    <row r="13589">
      <c r="A13589" s="4" t="s">
        <v>17105</v>
      </c>
      <c r="B13589" s="4" t="s">
        <v>17106</v>
      </c>
      <c r="C13589" s="5" t="str">
        <f>IFERROR(__xludf.DUMMYFUNCTION("GOOGLETRANSLATE(B13589,""en"",""zh-CN"")"),"一个人洗净并切开南瓜。")</f>
        <v>一个人洗净并切开南瓜。</v>
      </c>
    </row>
    <row r="13590">
      <c r="A13590" s="4" t="s">
        <v>17105</v>
      </c>
      <c r="B13590" s="4" t="s">
        <v>17107</v>
      </c>
      <c r="C13590" s="5" t="str">
        <f>IFERROR(__xludf.DUMMYFUNCTION("GOOGLETRANSLATE(B13590,""en"",""zh-CN"")"),"该人清洁内部并在南瓜上画一张脸。")</f>
        <v>该人清洁内部并在南瓜上画一张脸。</v>
      </c>
    </row>
    <row r="13591">
      <c r="A13591" s="4" t="s">
        <v>17105</v>
      </c>
      <c r="B13591" s="4" t="s">
        <v>17108</v>
      </c>
      <c r="C13591" s="5" t="str">
        <f>IFERROR(__xludf.DUMMYFUNCTION("GOOGLETRANSLATE(B13591,""en"",""zh-CN"")"),"他们雕刻了脸部制作木匠。")</f>
        <v>他们雕刻了脸部制作木匠。</v>
      </c>
    </row>
    <row r="13592">
      <c r="A13592" s="4" t="s">
        <v>17105</v>
      </c>
      <c r="B13592" s="4" t="s">
        <v>17109</v>
      </c>
      <c r="C13592" s="5" t="str">
        <f>IFERROR(__xludf.DUMMYFUNCTION("GOOGLETRANSLATE(B13592,""en"",""zh-CN"")"),"然后，我们看到雕刻的南瓜，里面有一支蜡烛和关闭屏幕。")</f>
        <v>然后，我们看到雕刻的南瓜，里面有一支蜡烛和关闭屏幕。</v>
      </c>
    </row>
    <row r="13593">
      <c r="A13593" s="4" t="s">
        <v>17110</v>
      </c>
      <c r="B13593" s="4" t="s">
        <v>17111</v>
      </c>
      <c r="C13593" s="5" t="str">
        <f>IFERROR(__xludf.DUMMYFUNCTION("GOOGLETRANSLATE(B13593,""en"",""zh-CN"")"),"我们看到了一系列的保龄球泡。")</f>
        <v>我们看到了一系列的保龄球泡。</v>
      </c>
    </row>
    <row r="13594">
      <c r="A13594" s="4" t="s">
        <v>17110</v>
      </c>
      <c r="B13594" s="4" t="s">
        <v>17112</v>
      </c>
      <c r="C13594" s="5" t="str">
        <f>IFERROR(__xludf.DUMMYFUNCTION("GOOGLETRANSLATE(B13594,""en"",""zh-CN"")"),"我们看到一个婴儿扔了一个球，一个成年人跌倒。")</f>
        <v>我们看到一个婴儿扔了一个球，一个成年人跌倒。</v>
      </c>
    </row>
    <row r="13595">
      <c r="A13595" s="4" t="s">
        <v>17110</v>
      </c>
      <c r="B13595" s="4" t="s">
        <v>17113</v>
      </c>
      <c r="C13595" s="5" t="str">
        <f>IFERROR(__xludf.DUMMYFUNCTION("GOOGLETRANSLATE(B13595,""en"",""zh-CN"")"),"我们看到一位女士坐在长凳上时摔倒了。")</f>
        <v>我们看到一位女士坐在长凳上时摔倒了。</v>
      </c>
    </row>
    <row r="13596">
      <c r="A13596" s="4" t="s">
        <v>17110</v>
      </c>
      <c r="B13596" s="4" t="s">
        <v>17114</v>
      </c>
      <c r="C13596" s="5" t="str">
        <f>IFERROR(__xludf.DUMMYFUNCTION("GOOGLETRANSLATE(B13596,""en"",""zh-CN"")"),"我们看到一个男人将保龄球放在大炮中，并在田野上射击。")</f>
        <v>我们看到一个男人将保龄球放在大炮中，并在田野上射击。</v>
      </c>
    </row>
    <row r="13597">
      <c r="A13597" s="4" t="s">
        <v>17115</v>
      </c>
      <c r="B13597" s="4" t="s">
        <v>17116</v>
      </c>
      <c r="C13597" s="5" t="str">
        <f>IFERROR(__xludf.DUMMYFUNCTION("GOOGLETRANSLATE(B13597,""en"",""zh-CN"")"),"一大群人在河上的筏子里。")</f>
        <v>一大群人在河上的筏子里。</v>
      </c>
    </row>
    <row r="13598">
      <c r="A13598" s="4" t="s">
        <v>17115</v>
      </c>
      <c r="B13598" s="4" t="s">
        <v>17117</v>
      </c>
      <c r="C13598" s="5" t="str">
        <f>IFERROR(__xludf.DUMMYFUNCTION("GOOGLETRANSLATE(B13598,""en"",""zh-CN"")"),"在他们旁边的皮划艇中的一个男人。")</f>
        <v>在他们旁边的皮划艇中的一个男人。</v>
      </c>
    </row>
    <row r="13599">
      <c r="A13599" s="4" t="s">
        <v>17115</v>
      </c>
      <c r="B13599" s="4" t="s">
        <v>17118</v>
      </c>
      <c r="C13599" s="5" t="str">
        <f>IFERROR(__xludf.DUMMYFUNCTION("GOOGLETRANSLATE(B13599,""en"",""zh-CN"")"),"他们漂浮在急流中，试图通过它们。")</f>
        <v>他们漂浮在急流中，试图通过它们。</v>
      </c>
    </row>
    <row r="13600">
      <c r="A13600" s="4" t="s">
        <v>17119</v>
      </c>
      <c r="B13600" s="4" t="s">
        <v>17120</v>
      </c>
      <c r="C13600" s="5" t="str">
        <f>IFERROR(__xludf.DUMMYFUNCTION("GOOGLETRANSLATE(B13600,""en"",""zh-CN"")"),"可以看到徽标，并在屏幕上显示标题。")</f>
        <v>可以看到徽标，并在屏幕上显示标题。</v>
      </c>
    </row>
    <row r="13601">
      <c r="A13601" s="4" t="s">
        <v>17119</v>
      </c>
      <c r="B13601" s="4" t="s">
        <v>17121</v>
      </c>
      <c r="C13601" s="5" t="str">
        <f>IFERROR(__xludf.DUMMYFUNCTION("GOOGLETRANSLATE(B13601,""en"",""zh-CN"")"),"树木和覆盖物略微微风。")</f>
        <v>树木和覆盖物略微微风。</v>
      </c>
    </row>
    <row r="13602">
      <c r="A13602" s="4" t="s">
        <v>17119</v>
      </c>
      <c r="B13602" s="4" t="s">
        <v>17122</v>
      </c>
      <c r="C13602" s="5" t="str">
        <f>IFERROR(__xludf.DUMMYFUNCTION("GOOGLETRANSLATE(B13602,""en"",""zh-CN"")"),"显示了几个人种植一棵树。")</f>
        <v>显示了几个人种植一棵树。</v>
      </c>
    </row>
    <row r="13603">
      <c r="A13603" s="4" t="s">
        <v>17119</v>
      </c>
      <c r="B13603" s="4" t="s">
        <v>17123</v>
      </c>
      <c r="C13603" s="5" t="str">
        <f>IFERROR(__xludf.DUMMYFUNCTION("GOOGLETRANSLATE(B13603,""en"",""zh-CN"")"),"人们正在树上散布覆盖物。")</f>
        <v>人们正在树上散布覆盖物。</v>
      </c>
    </row>
    <row r="13604">
      <c r="A13604" s="4" t="s">
        <v>17119</v>
      </c>
      <c r="B13604" s="4" t="s">
        <v>17124</v>
      </c>
      <c r="C13604" s="5" t="str">
        <f>IFERROR(__xludf.DUMMYFUNCTION("GOOGLETRANSLATE(B13604,""en"",""zh-CN"")"),"屏幕上显示了几个徽标。")</f>
        <v>屏幕上显示了几个徽标。</v>
      </c>
    </row>
    <row r="13605">
      <c r="A13605" s="4" t="s">
        <v>17125</v>
      </c>
      <c r="B13605" s="6" t="s">
        <v>17126</v>
      </c>
      <c r="C13605" s="5" t="str">
        <f>IFERROR(__xludf.DUMMYFUNCTION("GOOGLETRANSLATE(B13605,""en"",""zh-CN"")"),"一个人给口琴课带有特写镜头，基本上是一种讲述口琴的方法。")</f>
        <v>一个人给口琴课带有特写镜头，基本上是一种讲述口琴的方法。</v>
      </c>
    </row>
    <row r="13606">
      <c r="A13606" s="4" t="s">
        <v>17125</v>
      </c>
      <c r="B13606" s="4" t="s">
        <v>17127</v>
      </c>
      <c r="C13606" s="5" t="str">
        <f>IFERROR(__xludf.DUMMYFUNCTION("GOOGLETRANSLATE(B13606,""en"",""zh-CN"")"),"该男子也引入了其他类型的口琴。")</f>
        <v>该男子也引入了其他类型的口琴。</v>
      </c>
    </row>
    <row r="13607">
      <c r="A13607" s="4" t="s">
        <v>17128</v>
      </c>
      <c r="B13607" s="4" t="s">
        <v>17129</v>
      </c>
      <c r="C13607" s="5" t="str">
        <f>IFERROR(__xludf.DUMMYFUNCTION("GOOGLETRANSLATE(B13607,""en"",""zh-CN"")"),"文字简介导致一个坐在运动自行车上的人。")</f>
        <v>文字简介导致一个坐在运动自行车上的人。</v>
      </c>
    </row>
    <row r="13608">
      <c r="A13608" s="4" t="s">
        <v>17128</v>
      </c>
      <c r="B13608" s="4" t="s">
        <v>17130</v>
      </c>
      <c r="C13608" s="5" t="str">
        <f>IFERROR(__xludf.DUMMYFUNCTION("GOOGLETRANSLATE(B13608,""en"",""zh-CN"")"),"这个人在兜售脚时讲的一堂课。")</f>
        <v>这个人在兜售脚时讲的一堂课。</v>
      </c>
    </row>
    <row r="13609">
      <c r="A13609" s="4" t="s">
        <v>17128</v>
      </c>
      <c r="B13609" s="4" t="s">
        <v>17131</v>
      </c>
      <c r="C13609" s="5" t="str">
        <f>IFERROR(__xludf.DUMMYFUNCTION("GOOGLETRANSLATE(B13609,""en"",""zh-CN"")"),"女人继续在班上移动脚以及其他人。")</f>
        <v>女人继续在班上移动脚以及其他人。</v>
      </c>
    </row>
    <row r="13610">
      <c r="A13610" s="4" t="s">
        <v>17132</v>
      </c>
      <c r="B13610" s="4" t="s">
        <v>17133</v>
      </c>
      <c r="C13610" s="5" t="str">
        <f>IFERROR(__xludf.DUMMYFUNCTION("GOOGLETRANSLATE(B13610,""en"",""zh-CN"")"),"一个穿着蓝色衬衫的男人正在投掷铅球。")</f>
        <v>一个穿着蓝色衬衫的男人正在投掷铅球。</v>
      </c>
    </row>
    <row r="13611">
      <c r="A13611" s="4" t="s">
        <v>17132</v>
      </c>
      <c r="B13611" s="4" t="s">
        <v>17134</v>
      </c>
      <c r="C13611" s="5" t="str">
        <f>IFERROR(__xludf.DUMMYFUNCTION("GOOGLETRANSLATE(B13611,""en"",""zh-CN"")"),"他正在涂在地面上的红色圆圈上进行圆形运动。")</f>
        <v>他正在涂在地面上的红色圆圈上进行圆形运动。</v>
      </c>
    </row>
    <row r="13612">
      <c r="A13612" s="4" t="s">
        <v>17132</v>
      </c>
      <c r="B13612" s="4" t="s">
        <v>17135</v>
      </c>
      <c r="C13612" s="5" t="str">
        <f>IFERROR(__xludf.DUMMYFUNCTION("GOOGLETRANSLATE(B13612,""en"",""zh-CN"")"),"他把射门投向了空中。")</f>
        <v>他把射门投向了空中。</v>
      </c>
    </row>
    <row r="13613">
      <c r="A13613" s="4" t="s">
        <v>17132</v>
      </c>
      <c r="B13613" s="4" t="s">
        <v>17136</v>
      </c>
      <c r="C13613" s="5" t="str">
        <f>IFERROR(__xludf.DUMMYFUNCTION("GOOGLETRANSLATE(B13613,""en"",""zh-CN"")"),"另一个男人正在循环动作，准备扔掉投掷。")</f>
        <v>另一个男人正在循环动作，准备扔掉投掷。</v>
      </c>
    </row>
    <row r="13614">
      <c r="A13614" s="4" t="s">
        <v>17137</v>
      </c>
      <c r="B13614" s="4" t="s">
        <v>17138</v>
      </c>
      <c r="C13614" s="5" t="str">
        <f>IFERROR(__xludf.DUMMYFUNCTION("GOOGLETRANSLATE(B13614,""en"",""zh-CN"")"),"当人们看着时，骑兵扔了一根绳子来捕捉小牛。")</f>
        <v>当人们看着时，骑兵扔了一根绳子来捕捉小牛。</v>
      </c>
    </row>
    <row r="13615">
      <c r="A13615" s="4" t="s">
        <v>17137</v>
      </c>
      <c r="B13615" s="4" t="s">
        <v>17139</v>
      </c>
      <c r="C13615" s="5" t="str">
        <f>IFERROR(__xludf.DUMMYFUNCTION("GOOGLETRANSLATE(B13615,""en"",""zh-CN"")"),"该男子在中间上下来马上绑上小牛。")</f>
        <v>该男子在中间上下来马上绑上小牛。</v>
      </c>
    </row>
    <row r="13616">
      <c r="A13616" s="4" t="s">
        <v>17137</v>
      </c>
      <c r="B13616" s="4" t="s">
        <v>17140</v>
      </c>
      <c r="C13616" s="5" t="str">
        <f>IFERROR(__xludf.DUMMYFUNCTION("GOOGLETRANSLATE(B13616,""en"",""zh-CN"")"),"男人走在马后面。")</f>
        <v>男人走在马后面。</v>
      </c>
    </row>
    <row r="13617">
      <c r="A13617" s="4" t="s">
        <v>17137</v>
      </c>
      <c r="B13617" s="4" t="s">
        <v>17141</v>
      </c>
      <c r="C13617" s="5" t="str">
        <f>IFERROR(__xludf.DUMMYFUNCTION("GOOGLETRANSLATE(B13617,""en"",""zh-CN"")"),"之后，那个男人撞上了马。")</f>
        <v>之后，那个男人撞上了马。</v>
      </c>
    </row>
    <row r="13618">
      <c r="A13618" s="4" t="s">
        <v>17142</v>
      </c>
      <c r="B13618" s="4" t="s">
        <v>17143</v>
      </c>
      <c r="C13618" s="5" t="str">
        <f>IFERROR(__xludf.DUMMYFUNCTION("GOOGLETRANSLATE(B13618,""en"",""zh-CN"")"),"鸭子在水中游泳。")</f>
        <v>鸭子在水中游泳。</v>
      </c>
    </row>
    <row r="13619">
      <c r="A13619" s="4" t="s">
        <v>17142</v>
      </c>
      <c r="B13619" s="4" t="s">
        <v>17144</v>
      </c>
      <c r="C13619" s="5" t="str">
        <f>IFERROR(__xludf.DUMMYFUNCTION("GOOGLETRANSLATE(B13619,""en"",""zh-CN"")"),"人们正在公园里移动污垢。")</f>
        <v>人们正在公园里移动污垢。</v>
      </c>
    </row>
    <row r="13620">
      <c r="A13620" s="4" t="s">
        <v>17142</v>
      </c>
      <c r="B13620" s="4" t="s">
        <v>17145</v>
      </c>
      <c r="C13620" s="5" t="str">
        <f>IFERROR(__xludf.DUMMYFUNCTION("GOOGLETRANSLATE(B13620,""en"",""zh-CN"")"),"一个穿着黑色衬衫和眼镜的女人在镜头说话。")</f>
        <v>一个穿着黑色衬衫和眼镜的女人在镜头说话。</v>
      </c>
    </row>
    <row r="13621">
      <c r="A13621" s="4" t="s">
        <v>17142</v>
      </c>
      <c r="B13621" s="4" t="s">
        <v>17146</v>
      </c>
      <c r="C13621" s="5" t="str">
        <f>IFERROR(__xludf.DUMMYFUNCTION("GOOGLETRANSLATE(B13621,""en"",""zh-CN"")"),"人们在散布污垢。")</f>
        <v>人们在散布污垢。</v>
      </c>
    </row>
    <row r="13622">
      <c r="A13622" s="4" t="s">
        <v>17142</v>
      </c>
      <c r="B13622" s="4" t="s">
        <v>17147</v>
      </c>
      <c r="C13622" s="5" t="str">
        <f>IFERROR(__xludf.DUMMYFUNCTION("GOOGLETRANSLATE(B13622,""en"",""zh-CN"")"),"不同的人正在与镜头交谈。")</f>
        <v>不同的人正在与镜头交谈。</v>
      </c>
    </row>
    <row r="13623">
      <c r="A13623" s="4" t="s">
        <v>17142</v>
      </c>
      <c r="B13623" s="4" t="s">
        <v>17148</v>
      </c>
      <c r="C13623" s="5" t="str">
        <f>IFERROR(__xludf.DUMMYFUNCTION("GOOGLETRANSLATE(B13623,""en"",""zh-CN"")"),"人们继续在公园里景观。")</f>
        <v>人们继续在公园里景观。</v>
      </c>
    </row>
    <row r="13624">
      <c r="A13624" s="4" t="s">
        <v>17149</v>
      </c>
      <c r="B13624" s="6" t="s">
        <v>17150</v>
      </c>
      <c r="C13624" s="5" t="str">
        <f>IFERROR(__xludf.DUMMYFUNCTION("GOOGLETRANSLATE(B13624,""en"",""zh-CN"")"),"静止的图片，说明煎蛋被从锅中倒出，并出现在白板上，上面的白色文字说“如何制作煎蛋”。")</f>
        <v>静止的图片，说明煎蛋被从锅中倒出，并出现在白板上，上面的白色文字说“如何制作煎蛋”。</v>
      </c>
    </row>
    <row r="13625">
      <c r="A13625" s="4" t="s">
        <v>17149</v>
      </c>
      <c r="B13625" s="6" t="s">
        <v>17151</v>
      </c>
      <c r="C13625" s="5" t="str">
        <f>IFERROR(__xludf.DUMMYFUNCTION("GOOGLETRANSLATE(B13625,""en"",""zh-CN"")"),"一个带有红狮剪贴画的白色屏幕出现了，出现了蓝色的单词，“英国狮子质量在他的狮子周围。")</f>
        <v>一个带有红狮剪贴画的白色屏幕出现了，出现了蓝色的单词，“英国狮子质量在他的狮子周围。</v>
      </c>
    </row>
    <row r="13626">
      <c r="A13626" s="4" t="s">
        <v>17149</v>
      </c>
      <c r="B13626" s="6" t="s">
        <v>17152</v>
      </c>
      <c r="C13626" s="5" t="str">
        <f>IFERROR(__xludf.DUMMYFUNCTION("GOOGLETRANSLATE(B13626,""en"",""zh-CN"")"),"现在，一个女人在厨房里站在炉子上的锅前，她打开烤箱，抓住一个大尺寸的杯子，开始将鸡蛋开裂，然后在鸡蛋中添加其他各种成分，然后将其全部搅拌。")</f>
        <v>现在，一个女人在厨房里站在炉子上的锅前，她打开烤箱，抓住一个大尺寸的杯子，开始将鸡蛋开裂，然后在鸡蛋中添加其他各种成分，然后将其全部搅拌。</v>
      </c>
    </row>
    <row r="13627">
      <c r="A13627" s="4" t="s">
        <v>17149</v>
      </c>
      <c r="B13627" s="4" t="s">
        <v>17153</v>
      </c>
      <c r="C13627" s="5" t="str">
        <f>IFERROR(__xludf.DUMMYFUNCTION("GOOGLETRANSLATE(B13627,""en"",""zh-CN"")"),"然后，该名女子将黄油放入锅中，将其全部融化，然后将鸡蛋混合倒入锅中。")</f>
        <v>然后，该名女子将黄油放入锅中，将其全部融化，然后将鸡蛋混合倒入锅中。</v>
      </c>
    </row>
    <row r="13628">
      <c r="A13628" s="4" t="s">
        <v>17149</v>
      </c>
      <c r="B13628" s="6" t="s">
        <v>17154</v>
      </c>
      <c r="C13628" s="5" t="str">
        <f>IFERROR(__xludf.DUMMYFUNCTION("GOOGLETRANSLATE(B13628,""en"",""zh-CN"")"),"那个女人抓住了木制的刮刀，开始操纵锅中的鸡蛋，以确保它不会粘住并彻底煮熟。")</f>
        <v>那个女人抓住了木制的刮刀，开始操纵锅中的鸡蛋，以确保它不会粘住并彻底煮熟。</v>
      </c>
    </row>
    <row r="13629">
      <c r="A13629" s="4" t="s">
        <v>17149</v>
      </c>
      <c r="B13629" s="6" t="s">
        <v>17155</v>
      </c>
      <c r="C13629" s="5" t="str">
        <f>IFERROR(__xludf.DUMMYFUNCTION("GOOGLETRANSLATE(B13629,""en"",""zh-CN"")"),"然后，该名女子将鸡蛋带到白板上，然后将其折叠在上面，然后在其旁边添加一些蔬菜。")</f>
        <v>然后，该名女子将鸡蛋带到白板上，然后将其折叠在上面，然后在其旁边添加一些蔬菜。</v>
      </c>
    </row>
    <row r="13630">
      <c r="A13630" s="4" t="s">
        <v>17149</v>
      </c>
      <c r="B13630" s="6" t="s">
        <v>17156</v>
      </c>
      <c r="C13630" s="5" t="str">
        <f>IFERROR(__xludf.DUMMYFUNCTION("GOOGLETRANSLATE(B13630,""en"",""zh-CN"")"),"中间的红色剪贴画狮子出现了一个白色屏幕，围绕它的蓝色单词“英国狮子质量”。")</f>
        <v>中间的红色剪贴画狮子出现了一个白色屏幕，围绕它的蓝色单词“英国狮子质量”。</v>
      </c>
    </row>
    <row r="13631">
      <c r="A13631" s="4" t="s">
        <v>17157</v>
      </c>
      <c r="B13631" s="4" t="s">
        <v>17158</v>
      </c>
      <c r="C13631" s="5" t="str">
        <f>IFERROR(__xludf.DUMMYFUNCTION("GOOGLETRANSLATE(B13631,""en"",""zh-CN"")"),"一个男人在人行道上滑动滑板。")</f>
        <v>一个男人在人行道上滑动滑板。</v>
      </c>
    </row>
    <row r="13632">
      <c r="A13632" s="4" t="s">
        <v>17157</v>
      </c>
      <c r="B13632" s="4" t="s">
        <v>17159</v>
      </c>
      <c r="C13632" s="5" t="str">
        <f>IFERROR(__xludf.DUMMYFUNCTION("GOOGLETRANSLATE(B13632,""en"",""zh-CN"")"),"他在滑板上翻转。")</f>
        <v>他在滑板上翻转。</v>
      </c>
    </row>
    <row r="13633">
      <c r="A13633" s="4" t="s">
        <v>17157</v>
      </c>
      <c r="B13633" s="4" t="s">
        <v>17160</v>
      </c>
      <c r="C13633" s="5" t="str">
        <f>IFERROR(__xludf.DUMMYFUNCTION("GOOGLETRANSLATE(B13633,""en"",""zh-CN"")"),"他从滑板上掉到了地面上。")</f>
        <v>他从滑板上掉到了地面上。</v>
      </c>
    </row>
    <row r="13634">
      <c r="A13634" s="4" t="s">
        <v>17161</v>
      </c>
      <c r="B13634" s="4" t="s">
        <v>17162</v>
      </c>
      <c r="C13634" s="5" t="str">
        <f>IFERROR(__xludf.DUMMYFUNCTION("GOOGLETRANSLATE(B13634,""en"",""zh-CN"")"),"一个男人和女人正在做爱，在淋浴内接吻。")</f>
        <v>一个男人和女人正在做爱，在淋浴内接吻。</v>
      </c>
    </row>
    <row r="13635">
      <c r="A13635" s="4" t="s">
        <v>17161</v>
      </c>
      <c r="B13635" s="4" t="s">
        <v>17163</v>
      </c>
      <c r="C13635" s="5" t="str">
        <f>IFERROR(__xludf.DUMMYFUNCTION("GOOGLETRANSLATE(B13635,""en"",""zh-CN"")"),"她把他推开，开始哭泣。")</f>
        <v>她把他推开，开始哭泣。</v>
      </c>
    </row>
    <row r="13636">
      <c r="A13636" s="4" t="s">
        <v>17161</v>
      </c>
      <c r="B13636" s="4" t="s">
        <v>17164</v>
      </c>
      <c r="C13636" s="5" t="str">
        <f>IFERROR(__xludf.DUMMYFUNCTION("GOOGLETRANSLATE(B13636,""en"",""zh-CN"")"),"一对夫妇在床上做爱。")</f>
        <v>一对夫妇在床上做爱。</v>
      </c>
    </row>
    <row r="13637">
      <c r="A13637" s="4" t="s">
        <v>17161</v>
      </c>
      <c r="B13637" s="4" t="s">
        <v>17165</v>
      </c>
      <c r="C13637" s="5" t="str">
        <f>IFERROR(__xludf.DUMMYFUNCTION("GOOGLETRANSLATE(B13637,""en"",""zh-CN"")"),"那个女人掏出羽毛，舔它。")</f>
        <v>那个女人掏出羽毛，舔它。</v>
      </c>
    </row>
    <row r="13638">
      <c r="A13638" s="4" t="s">
        <v>17161</v>
      </c>
      <c r="B13638" s="4" t="s">
        <v>17166</v>
      </c>
      <c r="C13638" s="5" t="str">
        <f>IFERROR(__xludf.DUMMYFUNCTION("GOOGLETRANSLATE(B13638,""en"",""zh-CN"")"),"她在男人的脸上擦它。")</f>
        <v>她在男人的脸上擦它。</v>
      </c>
    </row>
    <row r="13639">
      <c r="A13639" s="4" t="s">
        <v>17161</v>
      </c>
      <c r="B13639" s="4" t="s">
        <v>17167</v>
      </c>
      <c r="C13639" s="5" t="str">
        <f>IFERROR(__xludf.DUMMYFUNCTION("GOOGLETRANSLATE(B13639,""en"",""zh-CN"")"),"她有一把刀，然后将其擦到他的胸口。")</f>
        <v>她有一把刀，然后将其擦到他的胸口。</v>
      </c>
    </row>
    <row r="13640">
      <c r="A13640" s="4" t="s">
        <v>17161</v>
      </c>
      <c r="B13640" s="4" t="s">
        <v>17168</v>
      </c>
      <c r="C13640" s="5" t="str">
        <f>IFERROR(__xludf.DUMMYFUNCTION("GOOGLETRANSLATE(B13640,""en"",""zh-CN"")"),"她抬头看着他，点烟。")</f>
        <v>她抬头看着他，点烟。</v>
      </c>
    </row>
    <row r="13641">
      <c r="A13641" s="4" t="s">
        <v>17161</v>
      </c>
      <c r="B13641" s="4" t="s">
        <v>17169</v>
      </c>
      <c r="C13641" s="5" t="str">
        <f>IFERROR(__xludf.DUMMYFUNCTION("GOOGLETRANSLATE(B13641,""en"",""zh-CN"")"),"她躺在她的背上，笑了。")</f>
        <v>她躺在她的背上，笑了。</v>
      </c>
    </row>
    <row r="13642">
      <c r="A13642" s="4" t="s">
        <v>17161</v>
      </c>
      <c r="B13642" s="4" t="s">
        <v>17170</v>
      </c>
      <c r="C13642" s="5" t="str">
        <f>IFERROR(__xludf.DUMMYFUNCTION("GOOGLETRANSLATE(B13642,""en"",""zh-CN"")"),"那个女人在抱着蛇时说话和笑。")</f>
        <v>那个女人在抱着蛇时说话和笑。</v>
      </c>
    </row>
    <row r="13643">
      <c r="A13643" s="4" t="s">
        <v>17161</v>
      </c>
      <c r="B13643" s="4" t="s">
        <v>17171</v>
      </c>
      <c r="C13643" s="5" t="str">
        <f>IFERROR(__xludf.DUMMYFUNCTION("GOOGLETRANSLATE(B13643,""en"",""zh-CN"")"),"女人在和某人说话。")</f>
        <v>女人在和某人说话。</v>
      </c>
    </row>
    <row r="13644">
      <c r="A13644" s="4" t="s">
        <v>17161</v>
      </c>
      <c r="B13644" s="4" t="s">
        <v>17172</v>
      </c>
      <c r="C13644" s="5" t="str">
        <f>IFERROR(__xludf.DUMMYFUNCTION("GOOGLETRANSLATE(B13644,""en"",""zh-CN"")"),"显示了一张带有食物的桌子。")</f>
        <v>显示了一张带有食物的桌子。</v>
      </c>
    </row>
    <row r="13645">
      <c r="A13645" s="4" t="s">
        <v>17161</v>
      </c>
      <c r="B13645" s="4" t="s">
        <v>17173</v>
      </c>
      <c r="C13645" s="5" t="str">
        <f>IFERROR(__xludf.DUMMYFUNCTION("GOOGLETRANSLATE(B13645,""en"",""zh-CN"")"),"女人给男人送一个酒杯。")</f>
        <v>女人给男人送一个酒杯。</v>
      </c>
    </row>
    <row r="13646">
      <c r="A13646" s="4" t="s">
        <v>17161</v>
      </c>
      <c r="B13646" s="4" t="s">
        <v>17174</v>
      </c>
      <c r="C13646" s="5" t="str">
        <f>IFERROR(__xludf.DUMMYFUNCTION("GOOGLETRANSLATE(B13646,""en"",""zh-CN"")"),"他否认饮料，她喝了一口。")</f>
        <v>他否认饮料，她喝了一口。</v>
      </c>
    </row>
    <row r="13647">
      <c r="A13647" s="4" t="s">
        <v>17161</v>
      </c>
      <c r="B13647" s="4" t="s">
        <v>17175</v>
      </c>
      <c r="C13647" s="5" t="str">
        <f>IFERROR(__xludf.DUMMYFUNCTION("GOOGLETRANSLATE(B13647,""en"",""zh-CN"")"),"他们开始互相亲吻。")</f>
        <v>他们开始互相亲吻。</v>
      </c>
    </row>
    <row r="13648">
      <c r="A13648" s="4" t="s">
        <v>17176</v>
      </c>
      <c r="B13648" s="4" t="s">
        <v>17177</v>
      </c>
      <c r="C13648" s="5" t="str">
        <f>IFERROR(__xludf.DUMMYFUNCTION("GOOGLETRANSLATE(B13648,""en"",""zh-CN"")"),"相机跟随一个穿着红色裤子滑雪的人向下滑雪。")</f>
        <v>相机跟随一个穿着红色裤子滑雪的人向下滑雪。</v>
      </c>
    </row>
    <row r="13649">
      <c r="A13649" s="4" t="s">
        <v>17176</v>
      </c>
      <c r="B13649" s="4" t="s">
        <v>17178</v>
      </c>
      <c r="C13649" s="5" t="str">
        <f>IFERROR(__xludf.DUMMYFUNCTION("GOOGLETRANSLATE(B13649,""en"",""zh-CN"")"),"摄像机短暂地从女人身上扔掉，专注于斜坡。")</f>
        <v>摄像机短暂地从女人身上扔掉，专注于斜坡。</v>
      </c>
    </row>
    <row r="13650">
      <c r="A13650" s="4" t="s">
        <v>17176</v>
      </c>
      <c r="B13650" s="4" t="s">
        <v>17179</v>
      </c>
      <c r="C13650" s="5" t="str">
        <f>IFERROR(__xludf.DUMMYFUNCTION("GOOGLETRANSLATE(B13650,""en"",""zh-CN"")"),"摄像机从女人身上倾斜，专注于斜坡。")</f>
        <v>摄像机从女人身上倾斜，专注于斜坡。</v>
      </c>
    </row>
    <row r="13651">
      <c r="A13651" s="4" t="s">
        <v>17180</v>
      </c>
      <c r="B13651" s="4" t="s">
        <v>17181</v>
      </c>
      <c r="C13651" s="5" t="str">
        <f>IFERROR(__xludf.DUMMYFUNCTION("GOOGLETRANSLATE(B13651,""en"",""zh-CN"")"),"看到一个男人在拿着桨上坐在皮划艇上的相机上说话。")</f>
        <v>看到一个男人在拿着桨上坐在皮划艇上的相机上说话。</v>
      </c>
    </row>
    <row r="13652">
      <c r="A13652" s="4" t="s">
        <v>17180</v>
      </c>
      <c r="B13652" s="6" t="s">
        <v>17182</v>
      </c>
      <c r="C13652" s="5" t="str">
        <f>IFERROR(__xludf.DUMMYFUNCTION("GOOGLETRANSLATE(B13652,""en"",""zh-CN"")"),"然后，那个男人在皮划艇上的区域周围划着自己的划船，然后翻转到相机上。")</f>
        <v>然后，那个男人在皮划艇上的区域周围划着自己的划船，然后翻转到相机上。</v>
      </c>
    </row>
    <row r="13653">
      <c r="A13653" s="4" t="s">
        <v>17183</v>
      </c>
      <c r="B13653" s="4" t="s">
        <v>17184</v>
      </c>
      <c r="C13653" s="5" t="str">
        <f>IFERROR(__xludf.DUMMYFUNCTION("GOOGLETRANSLATE(B13653,""en"",""zh-CN"")"),"一个女人在玩独奏马球比赛时，在室内谷仓里骑马。")</f>
        <v>一个女人在玩独奏马球比赛时，在室内谷仓里骑马。</v>
      </c>
    </row>
    <row r="13654">
      <c r="A13654" s="4" t="s">
        <v>17183</v>
      </c>
      <c r="B13654" s="6" t="s">
        <v>17185</v>
      </c>
      <c r="C13654" s="5" t="str">
        <f>IFERROR(__xludf.DUMMYFUNCTION("GOOGLETRANSLATE(B13654,""en"",""zh-CN"")"),"一名女人在室内谷仓里骑马，拿着马球棒，在室内环境中追逐一个红球。")</f>
        <v>一名女人在室内谷仓里骑马，拿着马球棒，在室内环境中追逐一个红球。</v>
      </c>
    </row>
    <row r="13655">
      <c r="A13655" s="4" t="s">
        <v>17183</v>
      </c>
      <c r="B13655" s="4" t="s">
        <v>17186</v>
      </c>
      <c r="C13655" s="5" t="str">
        <f>IFERROR(__xludf.DUMMYFUNCTION("GOOGLETRANSLATE(B13655,""en"",""zh-CN"")"),"女人在圈子骑马时击中球。")</f>
        <v>女人在圈子骑马时击中球。</v>
      </c>
    </row>
    <row r="13656">
      <c r="A13656" s="4" t="s">
        <v>17183</v>
      </c>
      <c r="B13656" s="4" t="s">
        <v>17187</v>
      </c>
      <c r="C13656" s="5" t="str">
        <f>IFERROR(__xludf.DUMMYFUNCTION("GOOGLETRANSLATE(B13656,""en"",""zh-CN"")"),"那个女人骑着马直到太阳开始落山，场景变得越来越黑。")</f>
        <v>那个女人骑着马直到太阳开始落山，场景变得越来越黑。</v>
      </c>
    </row>
    <row r="13657">
      <c r="A13657" s="4" t="s">
        <v>17188</v>
      </c>
      <c r="B13657" s="4" t="s">
        <v>17189</v>
      </c>
      <c r="C13657" s="5" t="str">
        <f>IFERROR(__xludf.DUMMYFUNCTION("GOOGLETRANSLATE(B13657,""en"",""zh-CN"")"),"摔跤手在戒指上战斗。")</f>
        <v>摔跤手在戒指上战斗。</v>
      </c>
    </row>
    <row r="13658">
      <c r="A13658" s="4" t="s">
        <v>17188</v>
      </c>
      <c r="B13658" s="4" t="s">
        <v>17190</v>
      </c>
      <c r="C13658" s="5" t="str">
        <f>IFERROR(__xludf.DUMMYFUNCTION("GOOGLETRANSLATE(B13658,""en"",""zh-CN"")"),"一个男人被其他人捡起并扔下。")</f>
        <v>一个男人被其他人捡起并扔下。</v>
      </c>
    </row>
    <row r="13659">
      <c r="A13659" s="4" t="s">
        <v>17188</v>
      </c>
      <c r="B13659" s="4" t="s">
        <v>17191</v>
      </c>
      <c r="C13659" s="5" t="str">
        <f>IFERROR(__xludf.DUMMYFUNCTION("GOOGLETRANSLATE(B13659,""en"",""zh-CN"")"),"一个人跌倒在桌子上并打破它。")</f>
        <v>一个人跌倒在桌子上并打破它。</v>
      </c>
    </row>
    <row r="13660">
      <c r="A13660" s="4" t="s">
        <v>17192</v>
      </c>
      <c r="B13660" s="4" t="s">
        <v>17193</v>
      </c>
      <c r="C13660" s="5" t="str">
        <f>IFERROR(__xludf.DUMMYFUNCTION("GOOGLETRANSLATE(B13660,""en"",""zh-CN"")"),"一个戴着眼镜的男人正站在雪地里，有一些小工具说话。")</f>
        <v>一个戴着眼镜的男人正站在雪地里，有一些小工具说话。</v>
      </c>
    </row>
    <row r="13661">
      <c r="A13661" s="4" t="s">
        <v>17192</v>
      </c>
      <c r="B13661" s="6" t="s">
        <v>17194</v>
      </c>
      <c r="C13661" s="5" t="str">
        <f>IFERROR(__xludf.DUMMYFUNCTION("GOOGLETRANSLATE(B13661,""en"",""zh-CN"")"),"他提出了蓝色的铲子外观小工具，仍然说话，然后抓住另一铲。")</f>
        <v>他提出了蓝色的铲子外观小工具，仍然说话，然后抓住另一铲。</v>
      </c>
    </row>
    <row r="13662">
      <c r="A13662" s="4" t="s">
        <v>17192</v>
      </c>
      <c r="B13662" s="4" t="s">
        <v>17195</v>
      </c>
      <c r="C13662" s="5" t="str">
        <f>IFERROR(__xludf.DUMMYFUNCTION("GOOGLETRANSLATE(B13662,""en"",""zh-CN"")"),"他扔了铲子，然后走路展示了如何铲雪。")</f>
        <v>他扔了铲子，然后走路展示了如何铲雪。</v>
      </c>
    </row>
    <row r="13663">
      <c r="A13663" s="4" t="s">
        <v>17192</v>
      </c>
      <c r="B13663" s="4" t="s">
        <v>17196</v>
      </c>
      <c r="C13663" s="5" t="str">
        <f>IFERROR(__xludf.DUMMYFUNCTION("GOOGLETRANSLATE(B13663,""en"",""zh-CN"")"),"他继续说话，然后再次开始使用铲子小工具。")</f>
        <v>他继续说话，然后再次开始使用铲子小工具。</v>
      </c>
    </row>
    <row r="13664">
      <c r="A13664" s="4" t="s">
        <v>17192</v>
      </c>
      <c r="B13664" s="4" t="s">
        <v>17197</v>
      </c>
      <c r="C13664" s="5" t="str">
        <f>IFERROR(__xludf.DUMMYFUNCTION("GOOGLETRANSLATE(B13664,""en"",""zh-CN"")"),"他铲子堆积了一些雪。")</f>
        <v>他铲子堆积了一些雪。</v>
      </c>
    </row>
    <row r="13665">
      <c r="A13665" s="4" t="s">
        <v>17198</v>
      </c>
      <c r="B13665" s="4" t="s">
        <v>17199</v>
      </c>
      <c r="C13665" s="5" t="str">
        <f>IFERROR(__xludf.DUMMYFUNCTION("GOOGLETRANSLATE(B13665,""en"",""zh-CN"")"),"人们站在公牛戒指上。")</f>
        <v>人们站在公牛戒指上。</v>
      </c>
    </row>
    <row r="13666">
      <c r="A13666" s="4" t="s">
        <v>17198</v>
      </c>
      <c r="B13666" s="4" t="s">
        <v>17200</v>
      </c>
      <c r="C13666" s="5" t="str">
        <f>IFERROR(__xludf.DUMMYFUNCTION("GOOGLETRANSLATE(B13666,""en"",""zh-CN"")"),"公牛开始追逐一个拿着五颜六色毯子的男人。")</f>
        <v>公牛开始追逐一个拿着五颜六色毯子的男人。</v>
      </c>
    </row>
    <row r="13667">
      <c r="A13667" s="4" t="s">
        <v>17198</v>
      </c>
      <c r="B13667" s="4" t="s">
        <v>17201</v>
      </c>
      <c r="C13667" s="5" t="str">
        <f>IFERROR(__xludf.DUMMYFUNCTION("GOOGLETRANSLATE(B13667,""en"",""zh-CN"")"),"两匹马从竞技场上拖了一头公牛。")</f>
        <v>两匹马从竞技场上拖了一头公牛。</v>
      </c>
    </row>
    <row r="13668">
      <c r="A13668" s="4" t="s">
        <v>17202</v>
      </c>
      <c r="B13668" s="6" t="s">
        <v>17203</v>
      </c>
      <c r="C13668" s="5" t="str">
        <f>IFERROR(__xludf.DUMMYFUNCTION("GOOGLETRANSLATE(B13668,""en"",""zh-CN"")"),"男人正坐在一家音乐店里弹奏吉他，并与摄像机交谈，展示了伊巴内斯吉他。")</f>
        <v>男人正坐在一家音乐店里弹奏吉他，并与摄像机交谈，展示了伊巴内斯吉他。</v>
      </c>
    </row>
    <row r="13669">
      <c r="A13669" s="4" t="s">
        <v>17202</v>
      </c>
      <c r="B13669" s="4" t="s">
        <v>17204</v>
      </c>
      <c r="C13669" s="5" t="str">
        <f>IFERROR(__xludf.DUMMYFUNCTION("GOOGLETRANSLATE(B13669,""en"",""zh-CN"")"),"人开始弹吉他，展示吉他的声音与放大器的连接方式。")</f>
        <v>人开始弹吉他，展示吉他的声音与放大器的连接方式。</v>
      </c>
    </row>
    <row r="13670">
      <c r="A13670" s="4" t="s">
        <v>17205</v>
      </c>
      <c r="B13670" s="4" t="s">
        <v>17206</v>
      </c>
      <c r="C13670" s="5" t="str">
        <f>IFERROR(__xludf.DUMMYFUNCTION("GOOGLETRANSLATE(B13670,""en"",""zh-CN"")"),"从自下而上的几个人都被削减了。")</f>
        <v>从自下而上的几个人都被削减了。</v>
      </c>
    </row>
    <row r="13671">
      <c r="A13671" s="4" t="s">
        <v>17205</v>
      </c>
      <c r="B13671" s="4" t="s">
        <v>17207</v>
      </c>
      <c r="C13671" s="5" t="str">
        <f>IFERROR(__xludf.DUMMYFUNCTION("GOOGLETRANSLATE(B13671,""en"",""zh-CN"")"),"然后，一组杯子在桌子上，他们开始与一群人一起玩啤酒乒乓球。")</f>
        <v>然后，一组杯子在桌子上，他们开始与一群人一起玩啤酒乒乓球。</v>
      </c>
    </row>
    <row r="13672">
      <c r="A13672" s="4" t="s">
        <v>17205</v>
      </c>
      <c r="B13672" s="4" t="s">
        <v>17208</v>
      </c>
      <c r="C13672" s="5" t="str">
        <f>IFERROR(__xludf.DUMMYFUNCTION("GOOGLETRANSLATE(B13672,""en"",""zh-CN"")"),"显示了几个房间和夫妻，并将球扔进杯子里。")</f>
        <v>显示了几个房间和夫妻，并将球扔进杯子里。</v>
      </c>
    </row>
    <row r="13673">
      <c r="A13673" s="4" t="s">
        <v>17205</v>
      </c>
      <c r="B13673" s="6" t="s">
        <v>17209</v>
      </c>
      <c r="C13673" s="5" t="str">
        <f>IFERROR(__xludf.DUMMYFUNCTION("GOOGLETRANSLATE(B13673,""en"",""zh-CN"")"),"完成后，摄像机扔了出来，您可以看到夫妻一起在一个房间里互相竞争。")</f>
        <v>完成后，摄像机扔了出来，您可以看到夫妻一起在一个房间里互相竞争。</v>
      </c>
    </row>
    <row r="13674">
      <c r="A13674" s="4" t="s">
        <v>17205</v>
      </c>
      <c r="B13674" s="4" t="s">
        <v>17210</v>
      </c>
      <c r="C13674" s="5" t="str">
        <f>IFERROR(__xludf.DUMMYFUNCTION("GOOGLETRANSLATE(B13674,""en"",""zh-CN"")"),"夫妻回来了，更多的啤酒乒乓球又回来了。")</f>
        <v>夫妻回来了，更多的啤酒乒乓球又回来了。</v>
      </c>
    </row>
    <row r="13675">
      <c r="A13675" s="4" t="s">
        <v>17211</v>
      </c>
      <c r="B13675" s="4" t="s">
        <v>17212</v>
      </c>
      <c r="C13675" s="5" t="str">
        <f>IFERROR(__xludf.DUMMYFUNCTION("GOOGLETRANSLATE(B13675,""en"",""zh-CN"")"),"一个男人正在扔蓝色飞盘，一只狗正在追逐它。")</f>
        <v>一个男人正在扔蓝色飞盘，一只狗正在追逐它。</v>
      </c>
    </row>
    <row r="13676">
      <c r="A13676" s="4" t="s">
        <v>17211</v>
      </c>
      <c r="B13676" s="4" t="s">
        <v>17213</v>
      </c>
      <c r="C13676" s="5" t="str">
        <f>IFERROR(__xludf.DUMMYFUNCTION("GOOGLETRANSLATE(B13676,""en"",""zh-CN"")"),"那只狗跳过那个跪在草地上的男人。")</f>
        <v>那只狗跳过那个跪在草地上的男人。</v>
      </c>
    </row>
    <row r="13677">
      <c r="A13677" s="4" t="s">
        <v>17211</v>
      </c>
      <c r="B13677" s="4" t="s">
        <v>17214</v>
      </c>
      <c r="C13677" s="5" t="str">
        <f>IFERROR(__xludf.DUMMYFUNCTION("GOOGLETRANSLATE(B13677,""en"",""zh-CN"")"),"他们继续和狗一起玩飞盘。")</f>
        <v>他们继续和狗一起玩飞盘。</v>
      </c>
    </row>
    <row r="13678">
      <c r="A13678" s="4" t="s">
        <v>17215</v>
      </c>
      <c r="B13678" s="4" t="s">
        <v>17216</v>
      </c>
      <c r="C13678" s="5" t="str">
        <f>IFERROR(__xludf.DUMMYFUNCTION("GOOGLETRANSLATE(B13678,""en"",""zh-CN"")"),"这个老人正站起来将红色番茄切成片。")</f>
        <v>这个老人正站起来将红色番茄切成片。</v>
      </c>
    </row>
    <row r="13679">
      <c r="A13679" s="4" t="s">
        <v>17215</v>
      </c>
      <c r="B13679" s="4" t="s">
        <v>17217</v>
      </c>
      <c r="C13679" s="5" t="str">
        <f>IFERROR(__xludf.DUMMYFUNCTION("GOOGLETRANSLATE(B13679,""en"",""zh-CN"")"),"他在厨房里用便宜的刀切番茄。")</f>
        <v>他在厨房里用便宜的刀切番茄。</v>
      </c>
    </row>
    <row r="13680">
      <c r="A13680" s="4" t="s">
        <v>17215</v>
      </c>
      <c r="B13680" s="6" t="s">
        <v>17218</v>
      </c>
      <c r="C13680" s="5" t="str">
        <f>IFERROR(__xludf.DUMMYFUNCTION("GOOGLETRANSLATE(B13680,""en"",""zh-CN"")"),"对于他来说，试图使用几乎没有做任何尝试切番茄的刀子看起来很难，但是差异显示在好产品中。")</f>
        <v>对于他来说，试图使用几乎没有做任何尝试切番茄的刀子看起来很难，但是差异显示在好产品中。</v>
      </c>
    </row>
    <row r="13681">
      <c r="A13681" s="4" t="s">
        <v>17219</v>
      </c>
      <c r="B13681" s="4" t="s">
        <v>17220</v>
      </c>
      <c r="C13681" s="5" t="str">
        <f>IFERROR(__xludf.DUMMYFUNCTION("GOOGLETRANSLATE(B13681,""en"",""zh-CN"")"),"几位骑自行车的人回到了甜点中的节日。")</f>
        <v>几位骑自行车的人回到了甜点中的节日。</v>
      </c>
    </row>
    <row r="13682">
      <c r="A13682" s="4" t="s">
        <v>17219</v>
      </c>
      <c r="B13682" s="6" t="s">
        <v>17221</v>
      </c>
      <c r="C13682" s="5" t="str">
        <f>IFERROR(__xludf.DUMMYFUNCTION("GOOGLETRANSLATE(B13682,""en"",""zh-CN"")"),"一个穿着女装的男人来到屏幕上，当相机附着在呼啦圈上时，开始呼啦圈。")</f>
        <v>一个穿着女装的男人来到屏幕上，当相机附着在呼啦圈上时，开始呼啦圈。</v>
      </c>
    </row>
    <row r="13683">
      <c r="A13683" s="4" t="s">
        <v>17219</v>
      </c>
      <c r="B13683" s="4" t="s">
        <v>17222</v>
      </c>
      <c r="C13683" s="5" t="str">
        <f>IFERROR(__xludf.DUMMYFUNCTION("GOOGLETRANSLATE(B13683,""en"",""zh-CN"")"),"音乐播放时，其他几个人在呼啦圈摄像头内表演。")</f>
        <v>音乐播放时，其他几个人在呼啦圈摄像头内表演。</v>
      </c>
    </row>
    <row r="13684">
      <c r="A13684" s="4" t="s">
        <v>17219</v>
      </c>
      <c r="B13684" s="4" t="s">
        <v>17223</v>
      </c>
      <c r="C13684" s="5" t="str">
        <f>IFERROR(__xludf.DUMMYFUNCTION("GOOGLETRANSLATE(B13684,""en"",""zh-CN"")"),"然后，向几个人展示了戴上呼啦圈摄像头，准备去呼啦圈。")</f>
        <v>然后，向几个人展示了戴上呼啦圈摄像头，准备去呼啦圈。</v>
      </c>
    </row>
    <row r="13685">
      <c r="A13685" s="4" t="s">
        <v>17219</v>
      </c>
      <c r="B13685" s="4" t="s">
        <v>17224</v>
      </c>
      <c r="C13685" s="5" t="str">
        <f>IFERROR(__xludf.DUMMYFUNCTION("GOOGLETRANSLATE(B13685,""en"",""zh-CN"")"),"打扮成女人的男人给了一个人一个拥抱。")</f>
        <v>打扮成女人的男人给了一个人一个拥抱。</v>
      </c>
    </row>
    <row r="13686">
      <c r="A13686" s="4" t="s">
        <v>17219</v>
      </c>
      <c r="B13686" s="4" t="s">
        <v>17225</v>
      </c>
      <c r="C13686" s="5" t="str">
        <f>IFERROR(__xludf.DUMMYFUNCTION("GOOGLETRANSLATE(B13686,""en"",""zh-CN"")"),"视频结束时，当相机固定在自行车上时，人们骑自行车骑自行车。")</f>
        <v>视频结束时，当相机固定在自行车上时，人们骑自行车骑自行车。</v>
      </c>
    </row>
    <row r="13687">
      <c r="A13687" s="4" t="s">
        <v>17226</v>
      </c>
      <c r="B13687" s="6" t="s">
        <v>17227</v>
      </c>
      <c r="C13687" s="5" t="str">
        <f>IFERROR(__xludf.DUMMYFUNCTION("GOOGLETRANSLATE(B13687,""en"",""zh-CN"")"),"一个女人坐在椅子上，而她从她面前的一张小桌子上拉出薄薄的艺术箔纸，并将其应用于也在她面前的小型梳妆台上。")</f>
        <v>一个女人坐在椅子上，而她从她面前的一张小桌子上拉出薄薄的艺术箔纸，并将其应用于也在她面前的小型梳妆台上。</v>
      </c>
    </row>
    <row r="13688">
      <c r="A13688" s="4" t="s">
        <v>17226</v>
      </c>
      <c r="B13688" s="6" t="s">
        <v>17228</v>
      </c>
      <c r="C13688" s="5" t="str">
        <f>IFERROR(__xludf.DUMMYFUNCTION("GOOGLETRANSLATE(B13688,""en"",""zh-CN"")"),"然后，女人拿起刷子，开始刷上顶抽屉上的所有箔纸，同时将一只手握在下面，以捕捉掉下的所有碎片。")</f>
        <v>然后，女人拿起刷子，开始刷上顶抽屉上的所有箔纸，同时将一只手握在下面，以捕捉掉下的所有碎片。</v>
      </c>
    </row>
    <row r="13689">
      <c r="A13689" s="4" t="s">
        <v>17226</v>
      </c>
      <c r="B13689" s="4" t="s">
        <v>17229</v>
      </c>
      <c r="C13689" s="5" t="str">
        <f>IFERROR(__xludf.DUMMYFUNCTION("GOOGLETRANSLATE(B13689,""en"",""zh-CN"")"),"然后，女人关闭抽屉，然后再刷一些。")</f>
        <v>然后，女人关闭抽屉，然后再刷一些。</v>
      </c>
    </row>
    <row r="13690">
      <c r="A13690" s="4" t="s">
        <v>17230</v>
      </c>
      <c r="B13690" s="4" t="s">
        <v>17231</v>
      </c>
      <c r="C13690" s="5" t="str">
        <f>IFERROR(__xludf.DUMMYFUNCTION("GOOGLETRANSLATE(B13690,""en"",""zh-CN"")"),"一个女人在健身房里说话。")</f>
        <v>一个女人在健身房里说话。</v>
      </c>
    </row>
    <row r="13691">
      <c r="A13691" s="4" t="s">
        <v>17230</v>
      </c>
      <c r="B13691" s="4" t="s">
        <v>17232</v>
      </c>
      <c r="C13691" s="5" t="str">
        <f>IFERROR(__xludf.DUMMYFUNCTION("GOOGLETRANSLATE(B13691,""en"",""zh-CN"")"),"该名女子展示了如何通过一步进行锻炼。")</f>
        <v>该名女子展示了如何通过一步进行锻炼。</v>
      </c>
    </row>
    <row r="13692">
      <c r="A13692" s="4" t="s">
        <v>17233</v>
      </c>
      <c r="B13692" s="4" t="s">
        <v>17234</v>
      </c>
      <c r="C13692" s="5" t="str">
        <f>IFERROR(__xludf.DUMMYFUNCTION("GOOGLETRANSLATE(B13692,""en"",""zh-CN"")"),"一个人在河上骑着杰斯基，距离相机远处。")</f>
        <v>一个人在河上骑着杰斯基，距离相机远处。</v>
      </c>
    </row>
    <row r="13693">
      <c r="A13693" s="4" t="s">
        <v>17233</v>
      </c>
      <c r="B13693" s="4" t="s">
        <v>17235</v>
      </c>
      <c r="C13693" s="5" t="str">
        <f>IFERROR(__xludf.DUMMYFUNCTION("GOOGLETRANSLATE(B13693,""en"",""zh-CN"")"),"那个男人握着相机的手臂长时间。")</f>
        <v>那个男人握着相机的手臂长时间。</v>
      </c>
    </row>
    <row r="13694">
      <c r="A13694" s="4" t="s">
        <v>17233</v>
      </c>
      <c r="B13694" s="4" t="s">
        <v>17236</v>
      </c>
      <c r="C13694" s="5" t="str">
        <f>IFERROR(__xludf.DUMMYFUNCTION("GOOGLETRANSLATE(B13694,""en"",""zh-CN"")"),"当被杰特斯基（Jetski）拉动时，该男子被显示为水域。")</f>
        <v>当被杰特斯基（Jetski）拉动时，该男子被显示为水域。</v>
      </c>
    </row>
    <row r="13695">
      <c r="A13695" s="4" t="s">
        <v>17233</v>
      </c>
      <c r="B13695" s="4" t="s">
        <v>17237</v>
      </c>
      <c r="C13695" s="5" t="str">
        <f>IFERROR(__xludf.DUMMYFUNCTION("GOOGLETRANSLATE(B13695,""en"",""zh-CN"")"),"这个人跌倒了，被短暂地淹没了。")</f>
        <v>这个人跌倒了，被短暂地淹没了。</v>
      </c>
    </row>
    <row r="13696">
      <c r="A13696" s="4" t="s">
        <v>17238</v>
      </c>
      <c r="B13696" s="4" t="s">
        <v>17239</v>
      </c>
      <c r="C13696" s="5" t="str">
        <f>IFERROR(__xludf.DUMMYFUNCTION("GOOGLETRANSLATE(B13696,""en"",""zh-CN"")"),"看到一个人将垫子放在地板上，周围有各种工具。")</f>
        <v>看到一个人将垫子放在地板上，周围有各种工具。</v>
      </c>
    </row>
    <row r="13697">
      <c r="A13697" s="4" t="s">
        <v>17238</v>
      </c>
      <c r="B13697" s="6" t="s">
        <v>17240</v>
      </c>
      <c r="C13697" s="5" t="str">
        <f>IFERROR(__xludf.DUMMYFUNCTION("GOOGLETRANSLATE(B13697,""en"",""zh-CN"")"),"他用尺子测量地板，然后将石膏放在地板上，然后放回垫子。")</f>
        <v>他用尺子测量地板，然后将石膏放在地板上，然后放回垫子。</v>
      </c>
    </row>
    <row r="13698">
      <c r="A13698" s="4" t="s">
        <v>17241</v>
      </c>
      <c r="B13698" s="4" t="s">
        <v>17242</v>
      </c>
      <c r="C13698" s="5" t="str">
        <f>IFERROR(__xludf.DUMMYFUNCTION("GOOGLETRANSLATE(B13698,""en"",""zh-CN"")"),"一个年轻的婴儿在外面藏着白色的酒吧。")</f>
        <v>一个年轻的婴儿在外面藏着白色的酒吧。</v>
      </c>
    </row>
    <row r="13699">
      <c r="A13699" s="4" t="s">
        <v>17241</v>
      </c>
      <c r="B13699" s="4" t="s">
        <v>17243</v>
      </c>
      <c r="C13699" s="5" t="str">
        <f>IFERROR(__xludf.DUMMYFUNCTION("GOOGLETRANSLATE(B13699,""en"",""zh-CN"")"),"两个人推他，他被证明骑着一辆被某种东西拉动的水车。")</f>
        <v>两个人推他，他被证明骑着一辆被某种东西拉动的水车。</v>
      </c>
    </row>
    <row r="13700">
      <c r="A13700" s="4" t="s">
        <v>17241</v>
      </c>
      <c r="B13700" s="6" t="s">
        <v>17244</v>
      </c>
      <c r="C13700" s="5" t="str">
        <f>IFERROR(__xludf.DUMMYFUNCTION("GOOGLETRANSLATE(B13700,""en"",""zh-CN"")"),"当他移动时，一个女人站在他跟随他的一侧，并在途中停下来，以确保他还好。")</f>
        <v>当他移动时，一个女人站在他跟随他的一侧，并在途中停下来，以确保他还好。</v>
      </c>
    </row>
    <row r="13701">
      <c r="A13701" s="4" t="s">
        <v>17245</v>
      </c>
      <c r="B13701" s="6" t="s">
        <v>17246</v>
      </c>
      <c r="C13701" s="5" t="str">
        <f>IFERROR(__xludf.DUMMYFUNCTION("GOOGLETRANSLATE(B13701,""en"",""zh-CN"")"),"看到一只手在用一台机器玩耍，然后是海滩的镜头和一个携带风帆的小男孩。")</f>
        <v>看到一只手在用一台机器玩耍，然后是海滩的镜头和一个携带风帆的小男孩。</v>
      </c>
    </row>
    <row r="13702">
      <c r="A13702" s="4" t="s">
        <v>17245</v>
      </c>
      <c r="B13702" s="6" t="s">
        <v>17247</v>
      </c>
      <c r="C13702" s="5" t="str">
        <f>IFERROR(__xludf.DUMMYFUNCTION("GOOGLETRANSLATE(B13702,""en"",""zh-CN"")"),"许多人站在海滩上走来走去，走进一个男人，在船上拉一帆风顺，人们准备冲浪。")</f>
        <v>许多人站在海滩上走来走去，走进一个男人，在船上拉一帆风顺，人们准备冲浪。</v>
      </c>
    </row>
    <row r="13703">
      <c r="A13703" s="4" t="s">
        <v>17245</v>
      </c>
      <c r="B13703" s="6" t="s">
        <v>17248</v>
      </c>
      <c r="C13703" s="5" t="str">
        <f>IFERROR(__xludf.DUMMYFUNCTION("GOOGLETRANSLATE(B13703,""en"",""zh-CN"")"),"几张照片显示了人们沿着水面骑着风筝以及船上的人们和各种风景。")</f>
        <v>几张照片显示了人们沿着水面骑着风筝以及船上的人们和各种风景。</v>
      </c>
    </row>
    <row r="13704">
      <c r="A13704" s="4" t="s">
        <v>17245</v>
      </c>
      <c r="B13704" s="4" t="s">
        <v>17249</v>
      </c>
      <c r="C13704" s="5" t="str">
        <f>IFERROR(__xludf.DUMMYFUNCTION("GOOGLETRANSLATE(B13704,""en"",""zh-CN"")"),"最后显示了日落的镜头。")</f>
        <v>最后显示了日落的镜头。</v>
      </c>
    </row>
    <row r="13705">
      <c r="A13705" s="4" t="s">
        <v>17250</v>
      </c>
      <c r="B13705" s="4" t="s">
        <v>17251</v>
      </c>
      <c r="C13705" s="5" t="str">
        <f>IFERROR(__xludf.DUMMYFUNCTION("GOOGLETRANSLATE(B13705,""en"",""zh-CN"")"),"一个人将食材放入锅中。")</f>
        <v>一个人将食材放入锅中。</v>
      </c>
    </row>
    <row r="13706">
      <c r="A13706" s="4" t="s">
        <v>17250</v>
      </c>
      <c r="B13706" s="4" t="s">
        <v>17252</v>
      </c>
      <c r="C13706" s="5" t="str">
        <f>IFERROR(__xludf.DUMMYFUNCTION("GOOGLETRANSLATE(B13706,""en"",""zh-CN"")"),"他将其搅拌在炉子上。")</f>
        <v>他将其搅拌在炉子上。</v>
      </c>
    </row>
    <row r="13707">
      <c r="A13707" s="4" t="s">
        <v>17250</v>
      </c>
      <c r="B13707" s="4" t="s">
        <v>17253</v>
      </c>
      <c r="C13707" s="5" t="str">
        <f>IFERROR(__xludf.DUMMYFUNCTION("GOOGLETRANSLATE(B13707,""en"",""zh-CN"")"),"他把它放在盘子上，展示相机。")</f>
        <v>他把它放在盘子上，展示相机。</v>
      </c>
    </row>
    <row r="13708">
      <c r="A13708" s="4" t="s">
        <v>17254</v>
      </c>
      <c r="B13708" s="4" t="s">
        <v>17255</v>
      </c>
      <c r="C13708" s="5" t="str">
        <f>IFERROR(__xludf.DUMMYFUNCTION("GOOGLETRANSLATE(B13708,""en"",""zh-CN"")"),"一个男人正在赛道上奔跑。")</f>
        <v>一个男人正在赛道上奔跑。</v>
      </c>
    </row>
    <row r="13709">
      <c r="A13709" s="4" t="s">
        <v>17254</v>
      </c>
      <c r="B13709" s="4" t="s">
        <v>17256</v>
      </c>
      <c r="C13709" s="5" t="str">
        <f>IFERROR(__xludf.DUMMYFUNCTION("GOOGLETRANSLATE(B13709,""en"",""zh-CN"")"),"他将标枪扔到了田野上。")</f>
        <v>他将标枪扔到了田野上。</v>
      </c>
    </row>
    <row r="13710">
      <c r="A13710" s="4" t="s">
        <v>17254</v>
      </c>
      <c r="B13710" s="4" t="s">
        <v>17257</v>
      </c>
      <c r="C13710" s="5" t="str">
        <f>IFERROR(__xludf.DUMMYFUNCTION("GOOGLETRANSLATE(B13710,""en"",""zh-CN"")"),"观众在看着看着他的身后。")</f>
        <v>观众在看着看着他的身后。</v>
      </c>
    </row>
    <row r="13711">
      <c r="A13711" s="4" t="s">
        <v>17258</v>
      </c>
      <c r="B13711" s="4" t="s">
        <v>17259</v>
      </c>
      <c r="C13711" s="5" t="str">
        <f>IFERROR(__xludf.DUMMYFUNCTION("GOOGLETRANSLATE(B13711,""en"",""zh-CN"")"),"看到一个运动员奔跑扔球，另一个人将球击中了观众。")</f>
        <v>看到一个运动员奔跑扔球，另一个人将球击中了观众。</v>
      </c>
    </row>
    <row r="13712">
      <c r="A13712" s="4" t="s">
        <v>17258</v>
      </c>
      <c r="B13712" s="6" t="s">
        <v>17260</v>
      </c>
      <c r="C13712" s="5" t="str">
        <f>IFERROR(__xludf.DUMMYFUNCTION("GOOGLETRANSLATE(B13712,""en"",""zh-CN"")"),"显示了更多的剪辑，人们在场上玩游戏，观众欢呼，球员在场上移动。")</f>
        <v>显示了更多的剪辑，人们在场上玩游戏，观众欢呼，球员在场上移动。</v>
      </c>
    </row>
    <row r="13713">
      <c r="A13713" s="4" t="s">
        <v>17261</v>
      </c>
      <c r="B13713" s="4" t="s">
        <v>17262</v>
      </c>
      <c r="C13713" s="5" t="str">
        <f>IFERROR(__xludf.DUMMYFUNCTION("GOOGLETRANSLATE(B13713,""en"",""zh-CN"")"),"人们正在从拿着滑雪板的面包车上脱下来。")</f>
        <v>人们正在从拿着滑雪板的面包车上脱下来。</v>
      </c>
    </row>
    <row r="13714">
      <c r="A13714" s="4" t="s">
        <v>17261</v>
      </c>
      <c r="B13714" s="4" t="s">
        <v>17263</v>
      </c>
      <c r="C13714" s="5" t="str">
        <f>IFERROR(__xludf.DUMMYFUNCTION("GOOGLETRANSLATE(B13714,""en"",""zh-CN"")"),"一个男人把滑雪板绑在上面。")</f>
        <v>一个男人把滑雪板绑在上面。</v>
      </c>
    </row>
    <row r="13715">
      <c r="A13715" s="4" t="s">
        <v>17261</v>
      </c>
      <c r="B13715" s="4" t="s">
        <v>17264</v>
      </c>
      <c r="C13715" s="5" t="str">
        <f>IFERROR(__xludf.DUMMYFUNCTION("GOOGLETRANSLATE(B13715,""en"",""zh-CN"")"),"几个人在山上滑雪。")</f>
        <v>几个人在山上滑雪。</v>
      </c>
    </row>
    <row r="13716">
      <c r="A13716" s="4" t="s">
        <v>17261</v>
      </c>
      <c r="B13716" s="4" t="s">
        <v>17265</v>
      </c>
      <c r="C13716" s="5" t="str">
        <f>IFERROR(__xludf.DUMMYFUNCTION("GOOGLETRANSLATE(B13716,""en"",""zh-CN"")"),"一个守望镜的男人谈话。")</f>
        <v>一个守望镜的男人谈话。</v>
      </c>
    </row>
    <row r="13717">
      <c r="A13717" s="4" t="s">
        <v>17261</v>
      </c>
      <c r="B13717" s="4" t="s">
        <v>17266</v>
      </c>
      <c r="C13717" s="5" t="str">
        <f>IFERROR(__xludf.DUMMYFUNCTION("GOOGLETRANSLATE(B13717,""en"",""zh-CN"")"),"一个女人抱着一个孩子亲吻一个男人。")</f>
        <v>一个女人抱着一个孩子亲吻一个男人。</v>
      </c>
    </row>
    <row r="13718">
      <c r="A13718" s="4" t="s">
        <v>17261</v>
      </c>
      <c r="B13718" s="4" t="s">
        <v>17267</v>
      </c>
      <c r="C13718" s="5" t="str">
        <f>IFERROR(__xludf.DUMMYFUNCTION("GOOGLETRANSLATE(B13718,""en"",""zh-CN"")"),"人们在山上滑雪。")</f>
        <v>人们在山上滑雪。</v>
      </c>
    </row>
    <row r="13719">
      <c r="A13719" s="4" t="s">
        <v>17261</v>
      </c>
      <c r="B13719" s="4" t="s">
        <v>17268</v>
      </c>
      <c r="C13719" s="5" t="str">
        <f>IFERROR(__xludf.DUMMYFUNCTION("GOOGLETRANSLATE(B13719,""en"",""zh-CN"")"),"一个男人与镜头说话。")</f>
        <v>一个男人与镜头说话。</v>
      </c>
    </row>
    <row r="13720">
      <c r="A13720" s="4" t="s">
        <v>17261</v>
      </c>
      <c r="B13720" s="4" t="s">
        <v>17269</v>
      </c>
      <c r="C13720" s="5" t="str">
        <f>IFERROR(__xludf.DUMMYFUNCTION("GOOGLETRANSLATE(B13720,""en"",""zh-CN"")"),"几个人在滑雪板上做技巧。")</f>
        <v>几个人在滑雪板上做技巧。</v>
      </c>
    </row>
    <row r="13721">
      <c r="A13721" s="4" t="s">
        <v>17261</v>
      </c>
      <c r="B13721" s="4" t="s">
        <v>17270</v>
      </c>
      <c r="C13721" s="5" t="str">
        <f>IFERROR(__xludf.DUMMYFUNCTION("GOOGLETRANSLATE(B13721,""en"",""zh-CN"")"),"一个男人再次与相机交谈。")</f>
        <v>一个男人再次与相机交谈。</v>
      </c>
    </row>
    <row r="13722">
      <c r="A13722" s="4" t="s">
        <v>17261</v>
      </c>
      <c r="B13722" s="4" t="s">
        <v>17271</v>
      </c>
      <c r="C13722" s="5" t="str">
        <f>IFERROR(__xludf.DUMMYFUNCTION("GOOGLETRANSLATE(B13722,""en"",""zh-CN"")"),"又有几个人在滑雪和聊天。")</f>
        <v>又有几个人在滑雪和聊天。</v>
      </c>
    </row>
    <row r="13723">
      <c r="A13723" s="4" t="s">
        <v>17261</v>
      </c>
      <c r="B13723" s="4" t="s">
        <v>17272</v>
      </c>
      <c r="C13723" s="5" t="str">
        <f>IFERROR(__xludf.DUMMYFUNCTION("GOOGLETRANSLATE(B13723,""en"",""zh-CN"")"),"一个带着胡须的男人与镜头说话。")</f>
        <v>一个带着胡须的男人与镜头说话。</v>
      </c>
    </row>
    <row r="13724">
      <c r="A13724" s="4" t="s">
        <v>17261</v>
      </c>
      <c r="B13724" s="4" t="s">
        <v>17273</v>
      </c>
      <c r="C13724" s="5" t="str">
        <f>IFERROR(__xludf.DUMMYFUNCTION("GOOGLETRANSLATE(B13724,""en"",""zh-CN"")"),"一个男人脱下滑雪板。")</f>
        <v>一个男人脱下滑雪板。</v>
      </c>
    </row>
    <row r="13725">
      <c r="A13725" s="4" t="s">
        <v>17274</v>
      </c>
      <c r="B13725" s="6" t="s">
        <v>17275</v>
      </c>
      <c r="C13725" s="5" t="str">
        <f>IFERROR(__xludf.DUMMYFUNCTION("GOOGLETRANSLATE(B13725,""en"",""zh-CN"")"),"两个穿着蓝色空手道西装和红色腰带的男孩站在学校自助餐厅的舞台上，他们一致做一个空手道的例行活动。")</f>
        <v>两个穿着蓝色空手道西装和红色腰带的男孩站在学校自助餐厅的舞台上，他们一致做一个空手道的例行活动。</v>
      </c>
    </row>
    <row r="13726">
      <c r="A13726" s="4" t="s">
        <v>17274</v>
      </c>
      <c r="B13726" s="6" t="s">
        <v>17276</v>
      </c>
      <c r="C13726" s="5" t="str">
        <f>IFERROR(__xludf.DUMMYFUNCTION("GOOGLETRANSLATE(B13726,""en"",""zh-CN"")"),"完成后，他们互相转向，鞠躬，做一些空手道比赛，涉及轻轻地将彼此投掷到地面上，并且在比赛完成时，他们每个人都面对人群。")</f>
        <v>完成后，他们互相转向，鞠躬，做一些空手道比赛，涉及轻轻地将彼此投掷到地面上，并且在比赛完成时，他们每个人都面对人群。</v>
      </c>
    </row>
    <row r="13727">
      <c r="A13727" s="4" t="s">
        <v>17274</v>
      </c>
      <c r="B13727" s="6" t="s">
        <v>17277</v>
      </c>
      <c r="C13727" s="5" t="str">
        <f>IFERROR(__xludf.DUMMYFUNCTION("GOOGLETRANSLATE(B13727,""en"",""zh-CN"")"),"然后，男孩们开始了另一个空手道的例行程序，他们的胳膊和腿在尽可能多地进行胳膊和腿上进行各种动作。")</f>
        <v>然后，男孩们开始了另一个空手道的例行程序，他们的胳膊和腿在尽可能多地进行胳膊和腿上进行各种动作。</v>
      </c>
    </row>
    <row r="13728">
      <c r="A13728" s="4" t="s">
        <v>17274</v>
      </c>
      <c r="B13728" s="4" t="s">
        <v>17278</v>
      </c>
      <c r="C13728" s="5" t="str">
        <f>IFERROR(__xludf.DUMMYFUNCTION("GOOGLETRANSLATE(B13728,""en"",""zh-CN"")"),"完成后，他们俩都面对人群，他们俩都逃离了学校舞台。")</f>
        <v>完成后，他们俩都面对人群，他们俩都逃离了学校舞台。</v>
      </c>
    </row>
    <row r="13729">
      <c r="A13729" s="4" t="s">
        <v>17279</v>
      </c>
      <c r="B13729" s="4" t="s">
        <v>17280</v>
      </c>
      <c r="C13729" s="5" t="str">
        <f>IFERROR(__xludf.DUMMYFUNCTION("GOOGLETRANSLATE(B13729,""en"",""zh-CN"")"),"一个男人和一个小男孩正在修剪草坪。")</f>
        <v>一个男人和一个小男孩正在修剪草坪。</v>
      </c>
    </row>
    <row r="13730">
      <c r="A13730" s="4" t="s">
        <v>17279</v>
      </c>
      <c r="B13730" s="4" t="s">
        <v>17281</v>
      </c>
      <c r="C13730" s="5" t="str">
        <f>IFERROR(__xludf.DUMMYFUNCTION("GOOGLETRANSLATE(B13730,""en"",""zh-CN"")"),"该男子来回推动真正的割草机。")</f>
        <v>该男子来回推动真正的割草机。</v>
      </c>
    </row>
    <row r="13731">
      <c r="A13731" s="4" t="s">
        <v>17279</v>
      </c>
      <c r="B13731" s="4" t="s">
        <v>17282</v>
      </c>
      <c r="C13731" s="5" t="str">
        <f>IFERROR(__xludf.DUMMYFUNCTION("GOOGLETRANSLATE(B13731,""en"",""zh-CN"")"),"小男孩跟着他用玩具割草机跟着他。")</f>
        <v>小男孩跟着他用玩具割草机跟着他。</v>
      </c>
    </row>
    <row r="13732">
      <c r="A13732" s="4" t="s">
        <v>17283</v>
      </c>
      <c r="B13732" s="4" t="s">
        <v>17284</v>
      </c>
      <c r="C13732" s="5" t="str">
        <f>IFERROR(__xludf.DUMMYFUNCTION("GOOGLETRANSLATE(B13732,""en"",""zh-CN"")"),"看到一个男人在健身房的地板上进行各种翻转和技巧，而其他人则在他身后练习。")</f>
        <v>看到一个男人在健身房的地板上进行各种翻转和技巧，而其他人则在他身后练习。</v>
      </c>
    </row>
    <row r="13733">
      <c r="A13733" s="4" t="s">
        <v>17283</v>
      </c>
      <c r="B13733" s="4" t="s">
        <v>17285</v>
      </c>
      <c r="C13733" s="5" t="str">
        <f>IFERROR(__xludf.DUMMYFUNCTION("GOOGLETRANSLATE(B13733,""en"",""zh-CN"")"),"该男子继续在房间里滑行，而人们走动他停下来观看。")</f>
        <v>该男子继续在房间里滑行，而人们走动他停下来观看。</v>
      </c>
    </row>
    <row r="13734">
      <c r="A13734" s="4" t="s">
        <v>17286</v>
      </c>
      <c r="B13734" s="4" t="s">
        <v>17287</v>
      </c>
      <c r="C13734" s="5" t="str">
        <f>IFERROR(__xludf.DUMMYFUNCTION("GOOGLETRANSLATE(B13734,""en"",""zh-CN"")"),"运动员在围观者手表和拍手的职业体育赛事中表现出色。")</f>
        <v>运动员在围观者手表和拍手的职业体育赛事中表现出色。</v>
      </c>
    </row>
    <row r="13735">
      <c r="A13735" s="4" t="s">
        <v>17286</v>
      </c>
      <c r="B13735" s="4" t="s">
        <v>17288</v>
      </c>
      <c r="C13735" s="5" t="str">
        <f>IFERROR(__xludf.DUMMYFUNCTION("GOOGLETRANSLATE(B13735,""en"",""zh-CN"")"),"一个穿着运动服的男人和一个纸质编号固定在运动场上的胸前。")</f>
        <v>一个穿着运动服的男人和一个纸质编号固定在运动场上的胸前。</v>
      </c>
    </row>
    <row r="13736">
      <c r="A13736" s="4" t="s">
        <v>17286</v>
      </c>
      <c r="B13736" s="4" t="s">
        <v>17289</v>
      </c>
      <c r="C13736" s="5" t="str">
        <f>IFERROR(__xludf.DUMMYFUNCTION("GOOGLETRANSLATE(B13736,""en"",""zh-CN"")"),"该男子距离距离并进行跳远。")</f>
        <v>该男子距离距离并进行跳远。</v>
      </c>
    </row>
    <row r="13737">
      <c r="A13737" s="4" t="s">
        <v>17286</v>
      </c>
      <c r="B13737" s="6" t="s">
        <v>17290</v>
      </c>
      <c r="C13737" s="5" t="str">
        <f>IFERROR(__xludf.DUMMYFUNCTION("GOOGLETRANSLATE(B13737,""en"",""zh-CN"")"),"跳远后，随着英国旗帜在背景中挥舞着，他的得分模板在屏幕上随着慢速运动的重新发挥而在屏幕上微笑着。")</f>
        <v>跳远后，随着英国旗帜在背景中挥舞着，他的得分模板在屏幕上随着慢速运动的重新发挥而在屏幕上微笑着。</v>
      </c>
    </row>
    <row r="13738">
      <c r="A13738" s="4" t="s">
        <v>17286</v>
      </c>
      <c r="B13738" s="4" t="s">
        <v>17291</v>
      </c>
      <c r="C13738" s="5" t="str">
        <f>IFERROR(__xludf.DUMMYFUNCTION("GOOGLETRANSLATE(B13738,""en"",""zh-CN"")"),"该男子坐在长凳上时脱鞋。")</f>
        <v>该男子坐在长凳上时脱鞋。</v>
      </c>
    </row>
    <row r="13739">
      <c r="A13739" s="4" t="s">
        <v>17292</v>
      </c>
      <c r="B13739" s="4" t="s">
        <v>17293</v>
      </c>
      <c r="C13739" s="5" t="str">
        <f>IFERROR(__xludf.DUMMYFUNCTION("GOOGLETRANSLATE(B13739,""en"",""zh-CN"")"),"看到一群人骑着碰碰车，彼此奔跑。")</f>
        <v>看到一群人骑着碰碰车，彼此奔跑。</v>
      </c>
    </row>
    <row r="13740">
      <c r="A13740" s="4" t="s">
        <v>17292</v>
      </c>
      <c r="B13740" s="6" t="s">
        <v>17294</v>
      </c>
      <c r="C13740" s="5" t="str">
        <f>IFERROR(__xludf.DUMMYFUNCTION("GOOGLETRANSLATE(B13740,""en"",""zh-CN"")"),"人们不断碰到彼此，开车四处走动，然后停下来爬上汽车。")</f>
        <v>人们不断碰到彼此，开车四处走动，然后停下来爬上汽车。</v>
      </c>
    </row>
    <row r="13741">
      <c r="A13741" s="4" t="s">
        <v>17295</v>
      </c>
      <c r="B13741" s="4" t="s">
        <v>17296</v>
      </c>
      <c r="C13741" s="5" t="str">
        <f>IFERROR(__xludf.DUMMYFUNCTION("GOOGLETRANSLATE(B13741,""en"",""zh-CN"")"),"人们在街上开车。")</f>
        <v>人们在街上开车。</v>
      </c>
    </row>
    <row r="13742">
      <c r="A13742" s="4" t="s">
        <v>17295</v>
      </c>
      <c r="B13742" s="4" t="s">
        <v>17297</v>
      </c>
      <c r="C13742" s="5" t="str">
        <f>IFERROR(__xludf.DUMMYFUNCTION("GOOGLETRANSLATE(B13742,""en"",""zh-CN"")"),"一个男人在装满浆果的水中唤醒登机。")</f>
        <v>一个男人在装满浆果的水中唤醒登机。</v>
      </c>
    </row>
    <row r="13743">
      <c r="A13743" s="4" t="s">
        <v>17295</v>
      </c>
      <c r="B13743" s="4" t="s">
        <v>17298</v>
      </c>
      <c r="C13743" s="5" t="str">
        <f>IFERROR(__xludf.DUMMYFUNCTION("GOOGLETRANSLATE(B13743,""en"",""zh-CN"")"),"一辆面包车在水边的道路上开车。")</f>
        <v>一辆面包车在水边的道路上开车。</v>
      </c>
    </row>
    <row r="13744">
      <c r="A13744" s="4" t="s">
        <v>17299</v>
      </c>
      <c r="B13744" s="4" t="s">
        <v>17300</v>
      </c>
      <c r="C13744" s="5" t="str">
        <f>IFERROR(__xludf.DUMMYFUNCTION("GOOGLETRANSLATE(B13744,""en"",""zh-CN"")"),"一个穿着黄色服装的年轻女孩和警棍摆姿势。")</f>
        <v>一个穿着黄色服装的年轻女孩和警棍摆姿势。</v>
      </c>
    </row>
    <row r="13745">
      <c r="A13745" s="4" t="s">
        <v>17299</v>
      </c>
      <c r="B13745" s="4" t="s">
        <v>17301</v>
      </c>
      <c r="C13745" s="5" t="str">
        <f>IFERROR(__xludf.DUMMYFUNCTION("GOOGLETRANSLATE(B13745,""en"",""zh-CN"")"),"她开始跳舞，随着她的行列旋转。")</f>
        <v>她开始跳舞，随着她的行列旋转。</v>
      </c>
    </row>
    <row r="13746">
      <c r="A13746" s="4" t="s">
        <v>17299</v>
      </c>
      <c r="B13746" s="4" t="s">
        <v>17302</v>
      </c>
      <c r="C13746" s="5" t="str">
        <f>IFERROR(__xludf.DUMMYFUNCTION("GOOGLETRANSLATE(B13746,""en"",""zh-CN"")"),"女孩表演时，女孩旋转，坐着，滑梯和旋转。")</f>
        <v>女孩表演时，女孩旋转，坐着，滑梯和旋转。</v>
      </c>
    </row>
    <row r="13747">
      <c r="A13747" s="4" t="s">
        <v>17299</v>
      </c>
      <c r="B13747" s="4" t="s">
        <v>17303</v>
      </c>
      <c r="C13747" s="5" t="str">
        <f>IFERROR(__xludf.DUMMYFUNCTION("GOOGLETRANSLATE(B13747,""en"",""zh-CN"")"),"当她结束时，她以姿势跌落在地面上。")</f>
        <v>当她结束时，她以姿势跌落在地面上。</v>
      </c>
    </row>
    <row r="13748">
      <c r="A13748" s="4" t="s">
        <v>17304</v>
      </c>
      <c r="B13748" s="4" t="s">
        <v>17305</v>
      </c>
      <c r="C13748" s="5" t="str">
        <f>IFERROR(__xludf.DUMMYFUNCTION("GOOGLETRANSLATE(B13748,""en"",""zh-CN"")"),"看到一个男人跪在地板上，将手放在头上。")</f>
        <v>看到一个男人跪在地板上，将手放在头上。</v>
      </c>
    </row>
    <row r="13749">
      <c r="A13749" s="4" t="s">
        <v>17304</v>
      </c>
      <c r="B13749" s="4" t="s">
        <v>17306</v>
      </c>
      <c r="C13749" s="5" t="str">
        <f>IFERROR(__xludf.DUMMYFUNCTION("GOOGLETRANSLATE(B13749,""en"",""zh-CN"")"),"然后，他将身体向前弯曲，并跳到脚上。")</f>
        <v>然后，他将身体向前弯曲，并跳到脚上。</v>
      </c>
    </row>
    <row r="13750">
      <c r="A13750" s="4" t="s">
        <v>17307</v>
      </c>
      <c r="B13750" s="6" t="s">
        <v>17308</v>
      </c>
      <c r="C13750" s="5" t="str">
        <f>IFERROR(__xludf.DUMMYFUNCTION("GOOGLETRANSLATE(B13750,""en"",""zh-CN"")"),"三个人在城市的一条道路上骑滑板，左下屏幕上的文字说“三个常规司法 - 新杰克”，他们正在快速滑冰，转过身，弯曲，弯曲，弯腰并在整个过程中做其他各种技巧城市，不戴任何头盔或其他安全装备。")</f>
        <v>三个人在城市的一条道路上骑滑板，左下屏幕上的文字说“三个常规司法 - 新杰克”，他们正在快速滑冰，转过身，弯曲，弯曲，弯腰并在整个过程中做其他各种技巧城市，不戴任何头盔或其他安全装备。</v>
      </c>
    </row>
    <row r="13751">
      <c r="A13751" s="4" t="s">
        <v>17307</v>
      </c>
      <c r="B13751" s="6" t="s">
        <v>17309</v>
      </c>
      <c r="C13751" s="5" t="str">
        <f>IFERROR(__xludf.DUMMYFUNCTION("GOOGLETRANSLATE(B13751,""en"",""zh-CN"")"),"其中两个家伙被停在一条路上，然后突然间，其中一个人拿起滑板，将其扔在墙上。")</f>
        <v>其中两个家伙被停在一条路上，然后突然间，其中一个人拿起滑板，将其扔在墙上。</v>
      </c>
    </row>
    <row r="13752">
      <c r="A13752" s="4" t="s">
        <v>17307</v>
      </c>
      <c r="B13752" s="6" t="s">
        <v>17310</v>
      </c>
      <c r="C13752" s="5" t="str">
        <f>IFERROR(__xludf.DUMMYFUNCTION("GOOGLETRANSLATE(B13752,""en"",""zh-CN"")"),"这些家伙再次出现滑板，这次他们戴着头盔，因为他们在这座城市的道路上滑动非常快，并做了多种技巧。")</f>
        <v>这些家伙再次出现滑板，这次他们戴着头盔，因为他们在这座城市的道路上滑动非常快，并做了多种技巧。</v>
      </c>
    </row>
    <row r="13753">
      <c r="A13753" s="4" t="s">
        <v>17311</v>
      </c>
      <c r="B13753" s="4" t="s">
        <v>17312</v>
      </c>
      <c r="C13753" s="5" t="str">
        <f>IFERROR(__xludf.DUMMYFUNCTION("GOOGLETRANSLATE(B13753,""en"",""zh-CN"")"),"我们看到年轻的女士在赛道上互相拥抱。")</f>
        <v>我们看到年轻的女士在赛道上互相拥抱。</v>
      </c>
    </row>
    <row r="13754">
      <c r="A13754" s="4" t="s">
        <v>17311</v>
      </c>
      <c r="B13754" s="4" t="s">
        <v>17313</v>
      </c>
      <c r="C13754" s="5" t="str">
        <f>IFERROR(__xludf.DUMMYFUNCTION("GOOGLETRANSLATE(B13754,""en"",""zh-CN"")"),"然后，我们从他们的跑步中看到重播。")</f>
        <v>然后，我们从他们的跑步中看到重播。</v>
      </c>
    </row>
    <row r="13755">
      <c r="A13755" s="4" t="s">
        <v>17311</v>
      </c>
      <c r="B13755" s="4" t="s">
        <v>17314</v>
      </c>
      <c r="C13755" s="5" t="str">
        <f>IFERROR(__xludf.DUMMYFUNCTION("GOOGLETRANSLATE(B13755,""en"",""zh-CN"")"),"一位女士在结束时挥舞着手臂。")</f>
        <v>一位女士在结束时挥舞着手臂。</v>
      </c>
    </row>
    <row r="13756">
      <c r="A13756" s="4" t="s">
        <v>17311</v>
      </c>
      <c r="B13756" s="4" t="s">
        <v>6208</v>
      </c>
      <c r="C13756" s="5" t="str">
        <f>IFERROR(__xludf.DUMMYFUNCTION("GOOGLETRANSLATE(B13756,""en"",""zh-CN"")"),"我们看到标题屏幕。")</f>
        <v>我们看到标题屏幕。</v>
      </c>
    </row>
    <row r="13757">
      <c r="A13757" s="4" t="s">
        <v>17311</v>
      </c>
      <c r="B13757" s="4" t="s">
        <v>17315</v>
      </c>
      <c r="C13757" s="5" t="str">
        <f>IFERROR(__xludf.DUMMYFUNCTION("GOOGLETRANSLATE(B13757,""en"",""zh-CN"")"),"我们看到一位4位女士扔锤子。")</f>
        <v>我们看到一位4位女士扔锤子。</v>
      </c>
    </row>
    <row r="13758">
      <c r="A13758" s="4" t="s">
        <v>17311</v>
      </c>
      <c r="B13758" s="4" t="s">
        <v>17316</v>
      </c>
      <c r="C13758" s="5" t="str">
        <f>IFERROR(__xludf.DUMMYFUNCTION("GOOGLETRANSLATE(B13758,""en"",""zh-CN"")"),"一位女士被扔后拥抱某人。")</f>
        <v>一位女士被扔后拥抱某人。</v>
      </c>
    </row>
    <row r="13759">
      <c r="A13759" s="4" t="s">
        <v>17311</v>
      </c>
      <c r="B13759" s="4" t="s">
        <v>17317</v>
      </c>
      <c r="C13759" s="5" t="str">
        <f>IFERROR(__xludf.DUMMYFUNCTION("GOOGLETRANSLATE(B13759,""en"",""zh-CN"")"),"一位女士拥抱一个女人和一个男人。")</f>
        <v>一位女士拥抱一个女人和一个男人。</v>
      </c>
    </row>
    <row r="13760">
      <c r="A13760" s="4" t="s">
        <v>17318</v>
      </c>
      <c r="B13760" s="4" t="s">
        <v>17319</v>
      </c>
      <c r="C13760" s="5" t="str">
        <f>IFERROR(__xludf.DUMMYFUNCTION("GOOGLETRANSLATE(B13760,""en"",""zh-CN"")"),"一个小男孩从一大块游乐场设备上摇摆。")</f>
        <v>一个小男孩从一大块游乐场设备上摇摆。</v>
      </c>
    </row>
    <row r="13761">
      <c r="A13761" s="4" t="s">
        <v>17318</v>
      </c>
      <c r="B13761" s="4" t="s">
        <v>17320</v>
      </c>
      <c r="C13761" s="5" t="str">
        <f>IFERROR(__xludf.DUMMYFUNCTION("GOOGLETRANSLATE(B13761,""en"",""zh-CN"")"),"他在酒吧里摇摆，试图坚持。")</f>
        <v>他在酒吧里摇摆，试图坚持。</v>
      </c>
    </row>
    <row r="13762">
      <c r="A13762" s="4" t="s">
        <v>17318</v>
      </c>
      <c r="B13762" s="4" t="s">
        <v>17321</v>
      </c>
      <c r="C13762" s="5" t="str">
        <f>IFERROR(__xludf.DUMMYFUNCTION("GOOGLETRANSLATE(B13762,""en"",""zh-CN"")"),"他在跳下之前一直到最后。")</f>
        <v>他在跳下之前一直到最后。</v>
      </c>
    </row>
    <row r="13763">
      <c r="A13763" s="4" t="s">
        <v>17322</v>
      </c>
      <c r="B13763" s="6" t="s">
        <v>17323</v>
      </c>
      <c r="C13763" s="5" t="str">
        <f>IFERROR(__xludf.DUMMYFUNCTION("GOOGLETRANSLATE(B13763,""en"",""zh-CN"")"),"鞋子的特写镜头后面是一个拿着鞋子并在鞋子周围摩擦抛光剂的人。")</f>
        <v>鞋子的特写镜头后面是一个拿着鞋子并在鞋子周围摩擦抛光剂的人。</v>
      </c>
    </row>
    <row r="13764">
      <c r="A13764" s="4" t="s">
        <v>17322</v>
      </c>
      <c r="B13764" s="6" t="s">
        <v>17324</v>
      </c>
      <c r="C13764" s="5" t="str">
        <f>IFERROR(__xludf.DUMMYFUNCTION("GOOGLETRANSLATE(B13764,""en"",""zh-CN"")"),"然后，该男子将抛光剂摩擦到桌子上的另一只鞋子中，然后回到他开始的鞋子。")</f>
        <v>然后，该男子将抛光剂摩擦到桌子上的另一只鞋子中，然后回到他开始的鞋子。</v>
      </c>
    </row>
    <row r="13765">
      <c r="A13765" s="4" t="s">
        <v>17322</v>
      </c>
      <c r="B13765" s="4" t="s">
        <v>17325</v>
      </c>
      <c r="C13765" s="5" t="str">
        <f>IFERROR(__xludf.DUMMYFUNCTION("GOOGLETRANSLATE(B13765,""en"",""zh-CN"")"),"他拿起刷子并在鞋子上使用它，最后他抓住了相机。")</f>
        <v>他拿起刷子并在鞋子上使用它，最后他抓住了相机。</v>
      </c>
    </row>
    <row r="13766">
      <c r="A13766" s="4" t="s">
        <v>17326</v>
      </c>
      <c r="B13766" s="4" t="s">
        <v>17327</v>
      </c>
      <c r="C13766" s="5" t="str">
        <f>IFERROR(__xludf.DUMMYFUNCTION("GOOGLETRANSLATE(B13766,""en"",""zh-CN"")"),"这个女人正在向观众展示如何使威士忌变酸。")</f>
        <v>这个女人正在向观众展示如何使威士忌变酸。</v>
      </c>
    </row>
    <row r="13767">
      <c r="A13767" s="4" t="s">
        <v>17326</v>
      </c>
      <c r="B13767" s="4" t="s">
        <v>17328</v>
      </c>
      <c r="C13767" s="5" t="str">
        <f>IFERROR(__xludf.DUMMYFUNCTION("GOOGLETRANSLATE(B13767,""en"",""zh-CN"")"),"首先，她将一盎司的威士忌倒入冰上，然后进入罗斯玻璃杯。")</f>
        <v>首先，她将一盎司的威士忌倒入冰上，然后进入罗斯玻璃杯。</v>
      </c>
    </row>
    <row r="13768">
      <c r="A13768" s="4" t="s">
        <v>17326</v>
      </c>
      <c r="B13768" s="4" t="s">
        <v>17329</v>
      </c>
      <c r="C13768" s="5" t="str">
        <f>IFERROR(__xludf.DUMMYFUNCTION("GOOGLETRANSLATE(B13768,""en"",""zh-CN"")"),"然后，她将柑橘倒入玻璃杯中，然后将稻草放入其中。")</f>
        <v>然后，她将柑橘倒入玻璃杯中，然后将稻草放入其中。</v>
      </c>
    </row>
    <row r="13769">
      <c r="A13769" s="4" t="s">
        <v>17330</v>
      </c>
      <c r="B13769" s="4" t="s">
        <v>17331</v>
      </c>
      <c r="C13769" s="5" t="str">
        <f>IFERROR(__xludf.DUMMYFUNCTION("GOOGLETRANSLATE(B13769,""en"",""zh-CN"")"),"一个男人在一个白雪皑皑的停车场。")</f>
        <v>一个男人在一个白雪皑皑的停车场。</v>
      </c>
    </row>
    <row r="13770">
      <c r="A13770" s="4" t="s">
        <v>17330</v>
      </c>
      <c r="B13770" s="4" t="s">
        <v>17332</v>
      </c>
      <c r="C13770" s="5" t="str">
        <f>IFERROR(__xludf.DUMMYFUNCTION("GOOGLETRANSLATE(B13770,""en"",""zh-CN"")"),"他正在用刷子从汽车的后挡风玻璃上擦拭雪。")</f>
        <v>他正在用刷子从汽车的后挡风玻璃上擦拭雪。</v>
      </c>
    </row>
    <row r="13771">
      <c r="A13771" s="4" t="s">
        <v>17330</v>
      </c>
      <c r="B13771" s="4" t="s">
        <v>17333</v>
      </c>
      <c r="C13771" s="5" t="str">
        <f>IFERROR(__xludf.DUMMYFUNCTION("GOOGLETRANSLATE(B13771,""en"",""zh-CN"")"),"他瞥了一眼相机，然后继续擦拭。")</f>
        <v>他瞥了一眼相机，然后继续擦拭。</v>
      </c>
    </row>
    <row r="13772">
      <c r="A13772" s="4" t="s">
        <v>17334</v>
      </c>
      <c r="B13772" s="4" t="s">
        <v>17335</v>
      </c>
      <c r="C13772" s="5" t="str">
        <f>IFERROR(__xludf.DUMMYFUNCTION("GOOGLETRANSLATE(B13772,""en"",""zh-CN"")"),"看到一个男人在相机上说话，并开始将剃刀抬到他的脸上。")</f>
        <v>看到一个男人在相机上说话，并开始将剃刀抬到他的脸上。</v>
      </c>
    </row>
    <row r="13773">
      <c r="A13773" s="4" t="s">
        <v>17334</v>
      </c>
      <c r="B13773" s="4" t="s">
        <v>17336</v>
      </c>
      <c r="C13773" s="5" t="str">
        <f>IFERROR(__xludf.DUMMYFUNCTION("GOOGLETRANSLATE(B13773,""en"",""zh-CN"")"),"然后，该男子在侧面剃光脸，并以仍与镜头说话结束。")</f>
        <v>然后，该男子在侧面剃光脸，并以仍与镜头说话结束。</v>
      </c>
    </row>
    <row r="13774">
      <c r="A13774" s="4" t="s">
        <v>17337</v>
      </c>
      <c r="B13774" s="4" t="s">
        <v>17338</v>
      </c>
      <c r="C13774" s="5" t="str">
        <f>IFERROR(__xludf.DUMMYFUNCTION("GOOGLETRANSLATE(B13774,""en"",""zh-CN"")"),"一个女人在舞台上与男人一起表演部分艺术。")</f>
        <v>一个女人在舞台上与男人一起表演部分艺术。</v>
      </c>
    </row>
    <row r="13775">
      <c r="A13775" s="4" t="s">
        <v>17337</v>
      </c>
      <c r="B13775" s="4" t="s">
        <v>17339</v>
      </c>
      <c r="C13775" s="5" t="str">
        <f>IFERROR(__xludf.DUMMYFUNCTION("GOOGLETRANSLATE(B13775,""en"",""zh-CN"")"),"乐队在背景中弹奏乐器。")</f>
        <v>乐队在背景中弹奏乐器。</v>
      </c>
    </row>
    <row r="13776">
      <c r="A13776" s="4" t="s">
        <v>17337</v>
      </c>
      <c r="B13776" s="4" t="s">
        <v>17340</v>
      </c>
      <c r="C13776" s="5" t="str">
        <f>IFERROR(__xludf.DUMMYFUNCTION("GOOGLETRANSLATE(B13776,""en"",""zh-CN"")"),"两次旋转，翻转和踢，轮流。")</f>
        <v>两次旋转，翻转和踢，轮流。</v>
      </c>
    </row>
    <row r="13777">
      <c r="A13777" s="4" t="s">
        <v>17341</v>
      </c>
      <c r="B13777" s="4" t="s">
        <v>17342</v>
      </c>
      <c r="C13777" s="5" t="str">
        <f>IFERROR(__xludf.DUMMYFUNCTION("GOOGLETRANSLATE(B13777,""en"",""zh-CN"")"),"一位女士独自在室内玩游泳池。")</f>
        <v>一位女士独自在室内玩游泳池。</v>
      </c>
    </row>
    <row r="13778">
      <c r="A13778" s="4" t="s">
        <v>17341</v>
      </c>
      <c r="B13778" s="4" t="s">
        <v>17343</v>
      </c>
      <c r="C13778" s="5" t="str">
        <f>IFERROR(__xludf.DUMMYFUNCTION("GOOGLETRANSLATE(B13778,""en"",""zh-CN"")"),"白球从台球桌上掉下来。")</f>
        <v>白球从台球桌上掉下来。</v>
      </c>
    </row>
    <row r="13779">
      <c r="A13779" s="4" t="s">
        <v>17341</v>
      </c>
      <c r="B13779" s="4" t="s">
        <v>17344</v>
      </c>
      <c r="C13779" s="5" t="str">
        <f>IFERROR(__xludf.DUMMYFUNCTION("GOOGLETRANSLATE(B13779,""en"",""zh-CN"")"),"那位女士从地板上捡起白球。")</f>
        <v>那位女士从地板上捡起白球。</v>
      </c>
    </row>
    <row r="13780">
      <c r="A13780" s="4" t="s">
        <v>17345</v>
      </c>
      <c r="B13780" s="4" t="s">
        <v>17346</v>
      </c>
      <c r="C13780" s="5" t="str">
        <f>IFERROR(__xludf.DUMMYFUNCTION("GOOGLETRANSLATE(B13780,""en"",""zh-CN"")"),"我们看到一个人跑到木筏上时，它滑下了一座长雪的山丘。")</f>
        <v>我们看到一个人跑到木筏上时，它滑下了一座长雪的山丘。</v>
      </c>
    </row>
    <row r="13781">
      <c r="A13781" s="4" t="s">
        <v>17345</v>
      </c>
      <c r="B13781" s="4" t="s">
        <v>17347</v>
      </c>
      <c r="C13781" s="5" t="str">
        <f>IFERROR(__xludf.DUMMYFUNCTION("GOOGLETRANSLATE(B13781,""en"",""zh-CN"")"),"筏子停了下来，摄影师起身在拍摄地面时走来走去。")</f>
        <v>筏子停了下来，摄影师起身在拍摄地面时走来走去。</v>
      </c>
    </row>
    <row r="13782">
      <c r="A13782" s="4" t="s">
        <v>17345</v>
      </c>
      <c r="B13782" s="4" t="s">
        <v>17348</v>
      </c>
      <c r="C13782" s="5" t="str">
        <f>IFERROR(__xludf.DUMMYFUNCTION("GOOGLETRANSLATE(B13782,""en"",""zh-CN"")"),"然后，一只手覆盖相机。")</f>
        <v>然后，一只手覆盖相机。</v>
      </c>
    </row>
    <row r="13783">
      <c r="A13783" s="4" t="s">
        <v>17349</v>
      </c>
      <c r="B13783" s="4" t="s">
        <v>17350</v>
      </c>
      <c r="C13783" s="5" t="str">
        <f>IFERROR(__xludf.DUMMYFUNCTION("GOOGLETRANSLATE(B13783,""en"",""zh-CN"")"),"一个老妇将土豆剥在桌子上。")</f>
        <v>一个老妇将土豆剥在桌子上。</v>
      </c>
    </row>
    <row r="13784">
      <c r="A13784" s="4" t="s">
        <v>17349</v>
      </c>
      <c r="B13784" s="4" t="s">
        <v>17351</v>
      </c>
      <c r="C13784" s="5" t="str">
        <f>IFERROR(__xludf.DUMMYFUNCTION("GOOGLETRANSLATE(B13784,""en"",""zh-CN"")"),"她把刀放在桌子上。")</f>
        <v>她把刀放在桌子上。</v>
      </c>
    </row>
    <row r="13785">
      <c r="A13785" s="4" t="s">
        <v>17352</v>
      </c>
      <c r="B13785" s="4" t="s">
        <v>17353</v>
      </c>
      <c r="C13785" s="5" t="str">
        <f>IFERROR(__xludf.DUMMYFUNCTION("GOOGLETRANSLATE(B13785,""en"",""zh-CN"")"),"人们在管中漂浮在河中。")</f>
        <v>人们在管中漂浮在河中。</v>
      </c>
    </row>
    <row r="13786">
      <c r="A13786" s="4" t="s">
        <v>17352</v>
      </c>
      <c r="B13786" s="4" t="s">
        <v>17354</v>
      </c>
      <c r="C13786" s="5" t="str">
        <f>IFERROR(__xludf.DUMMYFUNCTION("GOOGLETRANSLATE(B13786,""en"",""zh-CN"")"),"一个人的脚显示在管子上。")</f>
        <v>一个人的脚显示在管子上。</v>
      </c>
    </row>
    <row r="13787">
      <c r="A13787" s="4" t="s">
        <v>17352</v>
      </c>
      <c r="B13787" s="4" t="s">
        <v>17355</v>
      </c>
      <c r="C13787" s="5" t="str">
        <f>IFERROR(__xludf.DUMMYFUNCTION("GOOGLETRANSLATE(B13787,""en"",""zh-CN"")"),"人们正站在管子旁边的短距离上。")</f>
        <v>人们正站在管子旁边的短距离上。</v>
      </c>
    </row>
    <row r="13788">
      <c r="A13788" s="4" t="s">
        <v>17356</v>
      </c>
      <c r="B13788" s="4" t="s">
        <v>17357</v>
      </c>
      <c r="C13788" s="5" t="str">
        <f>IFERROR(__xludf.DUMMYFUNCTION("GOOGLETRANSLATE(B13788,""en"",""zh-CN"")"),"男人骑着尘埃骑行的赛车骑着窍门。")</f>
        <v>男人骑着尘埃骑行的赛车骑着窍门。</v>
      </c>
    </row>
    <row r="13789">
      <c r="A13789" s="4" t="s">
        <v>17356</v>
      </c>
      <c r="B13789" s="4" t="s">
        <v>17358</v>
      </c>
      <c r="C13789" s="5" t="str">
        <f>IFERROR(__xludf.DUMMYFUNCTION("GOOGLETRANSLATE(B13789,""en"",""zh-CN"")"),"小孩子们在尘埃道路上滑下来。")</f>
        <v>小孩子们在尘埃道路上滑下来。</v>
      </c>
    </row>
    <row r="13790">
      <c r="A13790" s="4" t="s">
        <v>17359</v>
      </c>
      <c r="B13790" s="4" t="s">
        <v>17360</v>
      </c>
      <c r="C13790" s="5" t="str">
        <f>IFERROR(__xludf.DUMMYFUNCTION("GOOGLETRANSLATE(B13790,""en"",""zh-CN"")"),"一个男孩正在解释如何穿上左脚的脚趾鞋。")</f>
        <v>一个男孩正在解释如何穿上左脚的脚趾鞋。</v>
      </c>
    </row>
    <row r="13791">
      <c r="A13791" s="4" t="s">
        <v>17359</v>
      </c>
      <c r="B13791" s="4" t="s">
        <v>17361</v>
      </c>
      <c r="C13791" s="5" t="str">
        <f>IFERROR(__xludf.DUMMYFUNCTION("GOOGLETRANSLATE(B13791,""en"",""zh-CN"")"),"然后，男孩抬起右脚，拿出脚趾鞋并继续解释。")</f>
        <v>然后，男孩抬起右脚，拿出脚趾鞋并继续解释。</v>
      </c>
    </row>
    <row r="13792">
      <c r="A13792" s="4" t="s">
        <v>17362</v>
      </c>
      <c r="B13792" s="4" t="s">
        <v>17363</v>
      </c>
      <c r="C13792" s="5" t="str">
        <f>IFERROR(__xludf.DUMMYFUNCTION("GOOGLETRANSLATE(B13792,""en"",""zh-CN"")"),"一个人煮一锅咖啡。")</f>
        <v>一个人煮一锅咖啡。</v>
      </c>
    </row>
    <row r="13793">
      <c r="A13793" s="4" t="s">
        <v>17362</v>
      </c>
      <c r="B13793" s="4" t="s">
        <v>17364</v>
      </c>
      <c r="C13793" s="5" t="str">
        <f>IFERROR(__xludf.DUMMYFUNCTION("GOOGLETRANSLATE(B13793,""en"",""zh-CN"")"),"然后，该人在其中添加了一堆含糖产品。")</f>
        <v>然后，该人在其中添加了一堆含糖产品。</v>
      </c>
    </row>
    <row r="13794">
      <c r="A13794" s="4" t="s">
        <v>17362</v>
      </c>
      <c r="B13794" s="4" t="s">
        <v>17365</v>
      </c>
      <c r="C13794" s="5" t="str">
        <f>IFERROR(__xludf.DUMMYFUNCTION("GOOGLETRANSLATE(B13794,""en"",""zh-CN"")"),"该男子喝酒，然后用智能手机打电话给人们。")</f>
        <v>该男子喝酒，然后用智能手机打电话给人们。</v>
      </c>
    </row>
    <row r="13795">
      <c r="A13795" s="4" t="s">
        <v>17366</v>
      </c>
      <c r="B13795" s="4" t="s">
        <v>17367</v>
      </c>
      <c r="C13795" s="5" t="str">
        <f>IFERROR(__xludf.DUMMYFUNCTION("GOOGLETRANSLATE(B13795,""en"",""zh-CN"")"),"在拳击比赛中，有两名女士拳击手互相比赛。")</f>
        <v>在拳击比赛中，有两名女士拳击手互相比赛。</v>
      </c>
    </row>
    <row r="13796">
      <c r="A13796" s="4" t="s">
        <v>17366</v>
      </c>
      <c r="B13796" s="4" t="s">
        <v>17368</v>
      </c>
      <c r="C13796" s="5" t="str">
        <f>IFERROR(__xludf.DUMMYFUNCTION("GOOGLETRANSLATE(B13796,""en"",""zh-CN"")"),"裁判站在他们旁边。")</f>
        <v>裁判站在他们旁边。</v>
      </c>
    </row>
    <row r="13797">
      <c r="A13797" s="4" t="s">
        <v>17366</v>
      </c>
      <c r="B13797" s="4" t="s">
        <v>17369</v>
      </c>
      <c r="C13797" s="5" t="str">
        <f>IFERROR(__xludf.DUMMYFUNCTION("GOOGLETRANSLATE(B13797,""en"",""zh-CN"")"),"有几个观众看着拳击手竞争。")</f>
        <v>有几个观众看着拳击手竞争。</v>
      </c>
    </row>
    <row r="13798">
      <c r="A13798" s="4" t="s">
        <v>17366</v>
      </c>
      <c r="B13798" s="4" t="s">
        <v>17370</v>
      </c>
      <c r="C13798" s="5" t="str">
        <f>IFERROR(__xludf.DUMMYFUNCTION("GOOGLETRANSLATE(B13798,""en"",""zh-CN"")"),"裁判加入后，参赛者开始比赛。")</f>
        <v>裁判加入后，参赛者开始比赛。</v>
      </c>
    </row>
    <row r="13799">
      <c r="A13799" s="4" t="s">
        <v>17366</v>
      </c>
      <c r="B13799" s="4" t="s">
        <v>17371</v>
      </c>
      <c r="C13799" s="5" t="str">
        <f>IFERROR(__xludf.DUMMYFUNCTION("GOOGLETRANSLATE(B13799,""en"",""zh-CN"")"),"人群在竞争时为他们欢呼。")</f>
        <v>人群在竞争时为他们欢呼。</v>
      </c>
    </row>
    <row r="13800">
      <c r="A13800" s="4" t="s">
        <v>17366</v>
      </c>
      <c r="B13800" s="4" t="s">
        <v>17372</v>
      </c>
      <c r="C13800" s="5" t="str">
        <f>IFERROR(__xludf.DUMMYFUNCTION("GOOGLETRANSLATE(B13800,""en"",""zh-CN"")"),"穿着黑色制服的拳击手用红色打拳击手，使她跌倒。")</f>
        <v>穿着黑色制服的拳击手用红色打拳击手，使她跌倒。</v>
      </c>
    </row>
    <row r="13801">
      <c r="A13801" s="4" t="s">
        <v>17366</v>
      </c>
      <c r="B13801" s="4" t="s">
        <v>17373</v>
      </c>
      <c r="C13801" s="5" t="str">
        <f>IFERROR(__xludf.DUMMYFUNCTION("GOOGLETRANSLATE(B13801,""en"",""zh-CN"")"),"红色的拳击手踢了她的对手。")</f>
        <v>红色的拳击手踢了她的对手。</v>
      </c>
    </row>
    <row r="13802">
      <c r="A13802" s="4" t="s">
        <v>17366</v>
      </c>
      <c r="B13802" s="4" t="s">
        <v>17374</v>
      </c>
      <c r="C13802" s="5" t="str">
        <f>IFERROR(__xludf.DUMMYFUNCTION("GOOGLETRANSLATE(B13802,""en"",""zh-CN"")"),"黑色的拳击手向对手击中，红色的拳击手拳打了她的脸。")</f>
        <v>黑色的拳击手向对手击中，红色的拳击手拳打了她的脸。</v>
      </c>
    </row>
    <row r="13803">
      <c r="A13803" s="4" t="s">
        <v>17366</v>
      </c>
      <c r="B13803" s="4" t="s">
        <v>17375</v>
      </c>
      <c r="C13803" s="5" t="str">
        <f>IFERROR(__xludf.DUMMYFUNCTION("GOOGLETRANSLATE(B13803,""en"",""zh-CN"")"),"裁判宣布拳击手是黑色的冠军，人群为她的胜利表示赞赏。")</f>
        <v>裁判宣布拳击手是黑色的冠军，人群为她的胜利表示赞赏。</v>
      </c>
    </row>
    <row r="13804">
      <c r="A13804" s="4" t="s">
        <v>17376</v>
      </c>
      <c r="B13804" s="6" t="s">
        <v>17377</v>
      </c>
      <c r="C13804" s="5" t="str">
        <f>IFERROR(__xludf.DUMMYFUNCTION("GOOGLETRANSLATE(B13804,""en"",""zh-CN"")"),"一个摄像头朝一个人站着，通向他望向远处并携带齿轮。")</f>
        <v>一个摄像头朝一个人站着，通向他望向远处并携带齿轮。</v>
      </c>
    </row>
    <row r="13805">
      <c r="A13805" s="4" t="s">
        <v>17376</v>
      </c>
      <c r="B13805" s="4" t="s">
        <v>17378</v>
      </c>
      <c r="C13805" s="5" t="str">
        <f>IFERROR(__xludf.DUMMYFUNCTION("GOOGLETRANSLATE(B13805,""en"",""zh-CN"")"),"当相机显示其木板的特写时，该男子很适合。")</f>
        <v>当相机显示其木板的特写时，该男子很适合。</v>
      </c>
    </row>
    <row r="13806">
      <c r="A13806" s="4" t="s">
        <v>17376</v>
      </c>
      <c r="B13806" s="4" t="s">
        <v>17379</v>
      </c>
      <c r="C13806" s="5" t="str">
        <f>IFERROR(__xludf.DUMMYFUNCTION("GOOGLETRANSLATE(B13806,""en"",""zh-CN"")"),"然后看到该男子在跟随船后在水面上做许多技巧。")</f>
        <v>然后看到该男子在跟随船后在水面上做许多技巧。</v>
      </c>
    </row>
    <row r="13807">
      <c r="A13807" s="4" t="s">
        <v>17380</v>
      </c>
      <c r="B13807" s="4" t="s">
        <v>17381</v>
      </c>
      <c r="C13807" s="5" t="str">
        <f>IFERROR(__xludf.DUMMYFUNCTION("GOOGLETRANSLATE(B13807,""en"",""zh-CN"")"),"两个男人在健身房里拳击。")</f>
        <v>两个男人在健身房里拳击。</v>
      </c>
    </row>
    <row r="13808">
      <c r="A13808" s="4" t="s">
        <v>17380</v>
      </c>
      <c r="B13808" s="4" t="s">
        <v>7190</v>
      </c>
      <c r="C13808" s="5" t="str">
        <f>IFERROR(__xludf.DUMMYFUNCTION("GOOGLETRANSLATE(B13808,""en"",""zh-CN"")"),"他们从事称为跆拳道的武术。")</f>
        <v>他们从事称为跆拳道的武术。</v>
      </c>
    </row>
    <row r="13809">
      <c r="A13809" s="4" t="s">
        <v>17380</v>
      </c>
      <c r="B13809" s="4" t="s">
        <v>17382</v>
      </c>
      <c r="C13809" s="5" t="str">
        <f>IFERROR(__xludf.DUMMYFUNCTION("GOOGLETRANSLATE(B13809,""en"",""zh-CN"")"),"两个人踢着拳打。")</f>
        <v>两个人踢着拳打。</v>
      </c>
    </row>
    <row r="13810">
      <c r="A13810" s="4" t="s">
        <v>17383</v>
      </c>
      <c r="B13810" s="4" t="s">
        <v>17384</v>
      </c>
      <c r="C13810" s="5" t="str">
        <f>IFERROR(__xludf.DUMMYFUNCTION("GOOGLETRANSLATE(B13810,""en"",""zh-CN"")"),"一个女人正在用砂光机打磨书架。")</f>
        <v>一个女人正在用砂光机打磨书架。</v>
      </c>
    </row>
    <row r="13811">
      <c r="A13811" s="4" t="s">
        <v>17383</v>
      </c>
      <c r="B13811" s="4" t="s">
        <v>17385</v>
      </c>
      <c r="C13811" s="5" t="str">
        <f>IFERROR(__xludf.DUMMYFUNCTION("GOOGLETRANSLATE(B13811,""en"",""zh-CN"")"),"她用手触摸了沙子部分。")</f>
        <v>她用手触摸了沙子部分。</v>
      </c>
    </row>
    <row r="13812">
      <c r="A13812" s="4" t="s">
        <v>17383</v>
      </c>
      <c r="B13812" s="4" t="s">
        <v>17386</v>
      </c>
      <c r="C13812" s="5" t="str">
        <f>IFERROR(__xludf.DUMMYFUNCTION("GOOGLETRANSLATE(B13812,""en"",""zh-CN"")"),"她站在架子旁边说话。")</f>
        <v>她站在架子旁边说话。</v>
      </c>
    </row>
    <row r="13813">
      <c r="A13813" s="4" t="s">
        <v>17387</v>
      </c>
      <c r="B13813" s="4" t="s">
        <v>17388</v>
      </c>
      <c r="C13813" s="5" t="str">
        <f>IFERROR(__xludf.DUMMYFUNCTION("GOOGLETRANSLATE(B13813,""en"",""zh-CN"")"),"有人看到一个人在一个携带扫帚的房间里走来走去。")</f>
        <v>有人看到一个人在一个携带扫帚的房间里走来走去。</v>
      </c>
    </row>
    <row r="13814">
      <c r="A13814" s="4" t="s">
        <v>17387</v>
      </c>
      <c r="B13814" s="4" t="s">
        <v>17389</v>
      </c>
      <c r="C13814" s="5" t="str">
        <f>IFERROR(__xludf.DUMMYFUNCTION("GOOGLETRANSLATE(B13814,""en"",""zh-CN"")"),"她沿着她旁边的墙壁推。")</f>
        <v>她沿着她旁边的墙壁推。</v>
      </c>
    </row>
    <row r="13815">
      <c r="A13815" s="4" t="s">
        <v>17387</v>
      </c>
      <c r="B13815" s="4" t="s">
        <v>17390</v>
      </c>
      <c r="C13815" s="5" t="str">
        <f>IFERROR(__xludf.DUMMYFUNCTION("GOOGLETRANSLATE(B13815,""en"",""zh-CN"")"),"最后，她转过身，将其推回去。")</f>
        <v>最后，她转过身，将其推回去。</v>
      </c>
    </row>
    <row r="13816">
      <c r="A13816" s="4" t="s">
        <v>17391</v>
      </c>
      <c r="B13816" s="6" t="s">
        <v>17392</v>
      </c>
      <c r="C13816" s="5" t="str">
        <f>IFERROR(__xludf.DUMMYFUNCTION("GOOGLETRANSLATE(B13816,""en"",""zh-CN"")"),"在外面看到一个女人在慢动作上玩一场海滩射击游戏，在网上为其提供服务。")</f>
        <v>在外面看到一个女人在慢动作上玩一场海滩射击游戏，在网上为其提供服务。</v>
      </c>
    </row>
    <row r="13817">
      <c r="A13817" s="4" t="s">
        <v>17391</v>
      </c>
      <c r="B13817" s="4" t="s">
        <v>17393</v>
      </c>
      <c r="C13817" s="5" t="str">
        <f>IFERROR(__xludf.DUMMYFUNCTION("GOOGLETRANSLATE(B13817,""en"",""zh-CN"")"),"它使它在网上，另一支球队的另一支球队能够将其击中。")</f>
        <v>它使它在网上，另一支球队的另一支球队能够将其击中。</v>
      </c>
    </row>
    <row r="13818">
      <c r="A13818" s="4" t="s">
        <v>17391</v>
      </c>
      <c r="B13818" s="6" t="s">
        <v>17394</v>
      </c>
      <c r="C13818" s="5" t="str">
        <f>IFERROR(__xludf.DUMMYFUNCTION("GOOGLETRANSLATE(B13818,""en"",""zh-CN"")"),"两对人都继续玩游戏，并最终与球队中的男人和女人最终获胜。")</f>
        <v>两对人都继续玩游戏，并最终与球队中的男人和女人最终获胜。</v>
      </c>
    </row>
    <row r="13819">
      <c r="A13819" s="4" t="s">
        <v>17395</v>
      </c>
      <c r="B13819" s="4" t="s">
        <v>17396</v>
      </c>
      <c r="C13819" s="5" t="str">
        <f>IFERROR(__xludf.DUMMYFUNCTION("GOOGLETRANSLATE(B13819,""en"",""zh-CN"")"),"看到一名体操运动员站在大梁前，将手放在空中。")</f>
        <v>看到一名体操运动员站在大梁前，将手放在空中。</v>
      </c>
    </row>
    <row r="13820">
      <c r="A13820" s="4" t="s">
        <v>17395</v>
      </c>
      <c r="B13820" s="6" t="s">
        <v>17397</v>
      </c>
      <c r="C13820" s="5" t="str">
        <f>IFERROR(__xludf.DUMMYFUNCTION("GOOGLETRANSLATE(B13820,""en"",""zh-CN"")"),"然后，他在酒吧里摆动自己的同时，通过跳下来进行体操运动员的表演。")</f>
        <v>然后，他在酒吧里摆动自己的同时，通过跳下来进行体操运动员的表演。</v>
      </c>
    </row>
    <row r="13821">
      <c r="A13821" s="4" t="s">
        <v>17398</v>
      </c>
      <c r="B13821" s="4" t="s">
        <v>17399</v>
      </c>
      <c r="C13821" s="5" t="str">
        <f>IFERROR(__xludf.DUMMYFUNCTION("GOOGLETRANSLATE(B13821,""en"",""zh-CN"")"),"看到一个幼儿坐在浴缸旁边，弯腰在侧面。")</f>
        <v>看到一个幼儿坐在浴缸旁边，弯腰在侧面。</v>
      </c>
    </row>
    <row r="13822">
      <c r="A13822" s="4" t="s">
        <v>17398</v>
      </c>
      <c r="B13822" s="4" t="s">
        <v>17400</v>
      </c>
      <c r="C13822" s="5" t="str">
        <f>IFERROR(__xludf.DUMMYFUNCTION("GOOGLETRANSLATE(B13822,""en"",""zh-CN"")"),"当她回头看相机时，一个人在她的一边说话。")</f>
        <v>当她回头看相机时，一个人在她的一边说话。</v>
      </c>
    </row>
    <row r="13823">
      <c r="A13823" s="4" t="s">
        <v>17398</v>
      </c>
      <c r="B13823" s="4" t="s">
        <v>17401</v>
      </c>
      <c r="C13823" s="5" t="str">
        <f>IFERROR(__xludf.DUMMYFUNCTION("GOOGLETRANSLATE(B13823,""en"",""zh-CN"")"),"她进一步弯腰进入水槽，然后移回相机看。")</f>
        <v>她进一步弯腰进入水槽，然后移回相机看。</v>
      </c>
    </row>
    <row r="13824">
      <c r="A13824" s="4" t="s">
        <v>17402</v>
      </c>
      <c r="B13824" s="4" t="s">
        <v>17403</v>
      </c>
      <c r="C13824" s="5" t="str">
        <f>IFERROR(__xludf.DUMMYFUNCTION("GOOGLETRANSLATE(B13824,""en"",""zh-CN"")"),"相机放大了一个弹吉他的人，并导致一个人说话。")</f>
        <v>相机放大了一个弹吉他的人，并导致一个人说话。</v>
      </c>
    </row>
    <row r="13825">
      <c r="A13825" s="4" t="s">
        <v>17402</v>
      </c>
      <c r="B13825" s="6" t="s">
        <v>17404</v>
      </c>
      <c r="C13825" s="5" t="str">
        <f>IFERROR(__xludf.DUMMYFUNCTION("GOOGLETRANSLATE(B13825,""en"",""zh-CN"")"),"还显示了更多人在墙上弹吉他和吉他的人以及同一个人在相机上说话。")</f>
        <v>还显示了更多人在墙上弹吉他和吉他的人以及同一个人在相机上说话。</v>
      </c>
    </row>
    <row r="13826">
      <c r="A13826" s="4" t="s">
        <v>17405</v>
      </c>
      <c r="B13826" s="4" t="s">
        <v>17406</v>
      </c>
      <c r="C13826" s="5" t="str">
        <f>IFERROR(__xludf.DUMMYFUNCTION("GOOGLETRANSLATE(B13826,""en"",""zh-CN"")"),"我们看到一个男人跳跃高跷。")</f>
        <v>我们看到一个男人跳跃高跷。</v>
      </c>
    </row>
    <row r="13827">
      <c r="A13827" s="4" t="s">
        <v>17405</v>
      </c>
      <c r="B13827" s="4" t="s">
        <v>17407</v>
      </c>
      <c r="C13827" s="5" t="str">
        <f>IFERROR(__xludf.DUMMYFUNCTION("GOOGLETRANSLATE(B13827,""en"",""zh-CN"")"),"我们看到一个人坐在院子里。")</f>
        <v>我们看到一个人坐在院子里。</v>
      </c>
    </row>
    <row r="13828">
      <c r="A13828" s="4" t="s">
        <v>17405</v>
      </c>
      <c r="B13828" s="4" t="s">
        <v>17408</v>
      </c>
      <c r="C13828" s="5" t="str">
        <f>IFERROR(__xludf.DUMMYFUNCTION("GOOGLETRANSLATE(B13828,""en"",""zh-CN"")"),"高跷上的那个人停下来，转向相机。")</f>
        <v>高跷上的那个人停下来，转向相机。</v>
      </c>
    </row>
    <row r="13829">
      <c r="A13829" s="4" t="s">
        <v>17409</v>
      </c>
      <c r="B13829" s="6" t="s">
        <v>17410</v>
      </c>
      <c r="C13829" s="5" t="str">
        <f>IFERROR(__xludf.DUMMYFUNCTION("GOOGLETRANSLATE(B13829,""en"",""zh-CN"")"),"慢动作表明人们骑马跳过跳跃，这表明将一名妇女带到相机上，她身后有一匹马。")</f>
        <v>慢动作表明人们骑马跳过跳跃，这表明将一名妇女带到相机上，她身后有一匹马。</v>
      </c>
    </row>
    <row r="13830">
      <c r="A13830" s="4" t="s">
        <v>17409</v>
      </c>
      <c r="B13830" s="6" t="s">
        <v>17411</v>
      </c>
      <c r="C13830" s="5" t="str">
        <f>IFERROR(__xludf.DUMMYFUNCTION("GOOGLETRANSLATE(B13830,""en"",""zh-CN"")"),"然后，该名女子戴上手套，并在捕获捕获她的动作和马的同时刷过马。")</f>
        <v>然后，该名女子戴上手套，并在捕获捕获她的动作和马的同时刷过马。</v>
      </c>
    </row>
    <row r="13831">
      <c r="A13831" s="4" t="s">
        <v>17409</v>
      </c>
      <c r="B13831" s="4" t="s">
        <v>17412</v>
      </c>
      <c r="C13831" s="5" t="str">
        <f>IFERROR(__xludf.DUMMYFUNCTION("GOOGLETRANSLATE(B13831,""en"",""zh-CN"")"),"她刷了尾巴的背面，并在腹部周围完成。")</f>
        <v>她刷了尾巴的背面，并在腹部周围完成。</v>
      </c>
    </row>
    <row r="13832">
      <c r="A13832" s="4" t="s">
        <v>17413</v>
      </c>
      <c r="B13832" s="4" t="s">
        <v>17414</v>
      </c>
      <c r="C13832" s="5" t="str">
        <f>IFERROR(__xludf.DUMMYFUNCTION("GOOGLETRANSLATE(B13832,""en"",""zh-CN"")"),"甜菜被切碎在斩波块上。")</f>
        <v>甜菜被切碎在斩波块上。</v>
      </c>
    </row>
    <row r="13833">
      <c r="A13833" s="4" t="s">
        <v>17413</v>
      </c>
      <c r="B13833" s="4" t="s">
        <v>17415</v>
      </c>
      <c r="C13833" s="5" t="str">
        <f>IFERROR(__xludf.DUMMYFUNCTION("GOOGLETRANSLATE(B13833,""en"",""zh-CN"")"),"他们被放在锅中，并用水覆盖。")</f>
        <v>他们被放在锅中，并用水覆盖。</v>
      </c>
    </row>
    <row r="13834">
      <c r="A13834" s="4" t="s">
        <v>17413</v>
      </c>
      <c r="B13834" s="4" t="s">
        <v>17416</v>
      </c>
      <c r="C13834" s="5" t="str">
        <f>IFERROR(__xludf.DUMMYFUNCTION("GOOGLETRANSLATE(B13834,""en"",""zh-CN"")"),"羽衣甘蓝被切碎在切菜板上。")</f>
        <v>羽衣甘蓝被切碎在切菜板上。</v>
      </c>
    </row>
    <row r="13835">
      <c r="A13835" s="4" t="s">
        <v>17413</v>
      </c>
      <c r="B13835" s="4" t="s">
        <v>17417</v>
      </c>
      <c r="C13835" s="5" t="str">
        <f>IFERROR(__xludf.DUMMYFUNCTION("GOOGLETRANSLATE(B13835,""en"",""zh-CN"")"),"将其倒入盐中几分钟。")</f>
        <v>将其倒入盐中几分钟。</v>
      </c>
    </row>
    <row r="13836">
      <c r="A13836" s="4" t="s">
        <v>17413</v>
      </c>
      <c r="B13836" s="4" t="s">
        <v>17418</v>
      </c>
      <c r="C13836" s="5" t="str">
        <f>IFERROR(__xludf.DUMMYFUNCTION("GOOGLETRANSLATE(B13836,""en"",""zh-CN"")"),"胡萝卜在羽衣甘蓝上磨碎。")</f>
        <v>胡萝卜在羽衣甘蓝上磨碎。</v>
      </c>
    </row>
    <row r="13837">
      <c r="A13837" s="4" t="s">
        <v>17413</v>
      </c>
      <c r="B13837" s="4" t="s">
        <v>17419</v>
      </c>
      <c r="C13837" s="5" t="str">
        <f>IFERROR(__xludf.DUMMYFUNCTION("GOOGLETRANSLATE(B13837,""en"",""zh-CN"")"),"番茄切成丁并与敷料混合。")</f>
        <v>番茄切成丁并与敷料混合。</v>
      </c>
    </row>
    <row r="13838">
      <c r="A13838" s="4" t="s">
        <v>17413</v>
      </c>
      <c r="B13838" s="4" t="s">
        <v>17420</v>
      </c>
      <c r="C13838" s="5" t="str">
        <f>IFERROR(__xludf.DUMMYFUNCTION("GOOGLETRANSLATE(B13838,""en"",""zh-CN"")"),"然后将其倒在羽衣甘蓝上。")</f>
        <v>然后将其倒在羽衣甘蓝上。</v>
      </c>
    </row>
    <row r="13839">
      <c r="A13839" s="4" t="s">
        <v>17413</v>
      </c>
      <c r="B13839" s="4" t="s">
        <v>17421</v>
      </c>
      <c r="C13839" s="5" t="str">
        <f>IFERROR(__xludf.DUMMYFUNCTION("GOOGLETRANSLATE(B13839,""en"",""zh-CN"")"),"一个人咬了一口沙拉。")</f>
        <v>一个人咬了一口沙拉。</v>
      </c>
    </row>
    <row r="13840">
      <c r="A13840" s="4" t="s">
        <v>17422</v>
      </c>
      <c r="B13840" s="4" t="s">
        <v>17423</v>
      </c>
      <c r="C13840" s="5" t="str">
        <f>IFERROR(__xludf.DUMMYFUNCTION("GOOGLETRANSLATE(B13840,""en"",""zh-CN"")"),"看到一个人在快速运动中移动，拆开袋子并将轮胎的一部分拼凑在一起。")</f>
        <v>看到一个人在快速运动中移动，拆开袋子并将轮胎的一部分拼凑在一起。</v>
      </c>
    </row>
    <row r="13841">
      <c r="A13841" s="4" t="s">
        <v>17422</v>
      </c>
      <c r="B13841" s="6" t="s">
        <v>17424</v>
      </c>
      <c r="C13841" s="5" t="str">
        <f>IFERROR(__xludf.DUMMYFUNCTION("GOOGLETRANSLATE(B13841,""en"",""zh-CN"")"),"许多人停下来观看场边，而该男子继续制造自行车，并在微笑时将所有手臂伸出来结束并结束。")</f>
        <v>许多人停下来观看场边，而该男子继续制造自行车，并在微笑时将所有手臂伸出来结束并结束。</v>
      </c>
    </row>
    <row r="13842">
      <c r="A13842" s="4" t="s">
        <v>17425</v>
      </c>
      <c r="B13842" s="4" t="s">
        <v>17426</v>
      </c>
      <c r="C13842" s="5" t="str">
        <f>IFERROR(__xludf.DUMMYFUNCTION("GOOGLETRANSLATE(B13842,""en"",""zh-CN"")"),"一个女人和其他人一起爬上一辆面包车的后部。")</f>
        <v>一个女人和其他人一起爬上一辆面包车的后部。</v>
      </c>
    </row>
    <row r="13843">
      <c r="A13843" s="4" t="s">
        <v>17425</v>
      </c>
      <c r="B13843" s="4" t="s">
        <v>17427</v>
      </c>
      <c r="C13843" s="5" t="str">
        <f>IFERROR(__xludf.DUMMYFUNCTION("GOOGLETRANSLATE(B13843,""en"",""zh-CN"")"),"在我们看到一个穿着大猩猩套装的人之前，几个人站在一起。")</f>
        <v>在我们看到一个穿着大猩猩套装的人之前，几个人站在一起。</v>
      </c>
    </row>
    <row r="13844">
      <c r="A13844" s="4" t="s">
        <v>17425</v>
      </c>
      <c r="B13844" s="6" t="s">
        <v>17428</v>
      </c>
      <c r="C13844" s="5" t="str">
        <f>IFERROR(__xludf.DUMMYFUNCTION("GOOGLETRANSLATE(B13844,""en"",""zh-CN"")"),"许多人正在跳舞，从滑板上摔下来，并执行各种技巧，例如绳索行走和翻转。")</f>
        <v>许多人正在跳舞，从滑板上摔下来，并执行各种技巧，例如绳索行走和翻转。</v>
      </c>
    </row>
    <row r="13845">
      <c r="A13845" s="4" t="s">
        <v>17425</v>
      </c>
      <c r="B13845" s="4" t="s">
        <v>17429</v>
      </c>
      <c r="C13845" s="5" t="str">
        <f>IFERROR(__xludf.DUMMYFUNCTION("GOOGLETRANSLATE(B13845,""en"",""zh-CN"")"),"该小组一起走出建筑物，在镜头前做标志和脸。")</f>
        <v>该小组一起走出建筑物，在镜头前做标志和脸。</v>
      </c>
    </row>
    <row r="13846">
      <c r="A13846" s="4" t="s">
        <v>17430</v>
      </c>
      <c r="B13846" s="4" t="s">
        <v>17431</v>
      </c>
      <c r="C13846" s="5" t="str">
        <f>IFERROR(__xludf.DUMMYFUNCTION("GOOGLETRANSLATE(B13846,""en"",""zh-CN"")"),"火车在轨道上驶过，看到几辆汽车在潮湿的道路上行驶。")</f>
        <v>火车在轨道上驶过，看到几辆汽车在潮湿的道路上行驶。</v>
      </c>
    </row>
    <row r="13847">
      <c r="A13847" s="4" t="s">
        <v>17430</v>
      </c>
      <c r="B13847" s="4" t="s">
        <v>17432</v>
      </c>
      <c r="C13847" s="5" t="str">
        <f>IFERROR(__xludf.DUMMYFUNCTION("GOOGLETRANSLATE(B13847,""en"",""zh-CN"")"),"一个女人走了出来，蹲下的轮胎蹲下。")</f>
        <v>一个女人走了出来，蹲下的轮胎蹲下。</v>
      </c>
    </row>
    <row r="13848">
      <c r="A13848" s="4" t="s">
        <v>17430</v>
      </c>
      <c r="B13848" s="4" t="s">
        <v>17433</v>
      </c>
      <c r="C13848" s="5" t="str">
        <f>IFERROR(__xludf.DUMMYFUNCTION("GOOGLETRANSLATE(B13848,""en"",""zh-CN"")"),"她使用设备将汽车从地面上抬起，然后卸下轮胎。")</f>
        <v>她使用设备将汽车从地面上抬起，然后卸下轮胎。</v>
      </c>
    </row>
    <row r="13849">
      <c r="A13849" s="4" t="s">
        <v>17430</v>
      </c>
      <c r="B13849" s="4" t="s">
        <v>17434</v>
      </c>
      <c r="C13849" s="5" t="str">
        <f>IFERROR(__xludf.DUMMYFUNCTION("GOOGLETRANSLATE(B13849,""en"",""zh-CN"")"),"她用备用的备用替换了不良轮胎。")</f>
        <v>她用备用的备用替换了不良轮胎。</v>
      </c>
    </row>
    <row r="13850">
      <c r="A13850" s="4" t="s">
        <v>17430</v>
      </c>
      <c r="B13850" s="4" t="s">
        <v>17435</v>
      </c>
      <c r="C13850" s="5" t="str">
        <f>IFERROR(__xludf.DUMMYFUNCTION("GOOGLETRANSLATE(B13850,""en"",""zh-CN"")"),"然后，她放下设备，然后安全地开车前竖起大拇指。")</f>
        <v>然后，她放下设备，然后安全地开车前竖起大拇指。</v>
      </c>
    </row>
    <row r="13851">
      <c r="A13851" s="4" t="s">
        <v>17436</v>
      </c>
      <c r="B13851" s="4" t="s">
        <v>17437</v>
      </c>
      <c r="C13851" s="5" t="str">
        <f>IFERROR(__xludf.DUMMYFUNCTION("GOOGLETRANSLATE(B13851,""en"",""zh-CN"")"),"湖里有一个人滑水。")</f>
        <v>湖里有一个人滑水。</v>
      </c>
    </row>
    <row r="13852">
      <c r="A13852" s="4" t="s">
        <v>17436</v>
      </c>
      <c r="B13852" s="4" t="s">
        <v>17438</v>
      </c>
      <c r="C13852" s="5" t="str">
        <f>IFERROR(__xludf.DUMMYFUNCTION("GOOGLETRANSLATE(B13852,""en"",""zh-CN"")"),"他被固定在汽船上的红色绳索拉动。")</f>
        <v>他被固定在汽船上的红色绳索拉动。</v>
      </c>
    </row>
    <row r="13853">
      <c r="A13853" s="4" t="s">
        <v>17436</v>
      </c>
      <c r="B13853" s="4" t="s">
        <v>17439</v>
      </c>
      <c r="C13853" s="5" t="str">
        <f>IFERROR(__xludf.DUMMYFUNCTION("GOOGLETRANSLATE(B13853,""en"",""zh-CN"")"),"他在汽船后面以稳定的速度行驶。")</f>
        <v>他在汽船后面以稳定的速度行驶。</v>
      </c>
    </row>
    <row r="13854">
      <c r="A13854" s="4" t="s">
        <v>17440</v>
      </c>
      <c r="B13854" s="6" t="s">
        <v>17441</v>
      </c>
      <c r="C13854" s="5" t="str">
        <f>IFERROR(__xludf.DUMMYFUNCTION("GOOGLETRANSLATE(B13854,""en"",""zh-CN"")"),"看到一名妇女骑在一块运动器材上，然后是她调整设备并将其移动的几枪。")</f>
        <v>看到一名妇女骑在一块运动器材上，然后是她调整设备并将其移动的几枪。</v>
      </c>
    </row>
    <row r="13855">
      <c r="A13855" s="4" t="s">
        <v>17440</v>
      </c>
      <c r="B13855" s="4" t="s">
        <v>17442</v>
      </c>
      <c r="C13855" s="5" t="str">
        <f>IFERROR(__xludf.DUMMYFUNCTION("GOOGLETRANSLATE(B13855,""en"",""zh-CN"")"),"显示了她骑设备并更改前部设置的更多镜头。")</f>
        <v>显示了她骑设备并更改前部设置的更多镜头。</v>
      </c>
    </row>
    <row r="13856">
      <c r="A13856" s="4" t="s">
        <v>17443</v>
      </c>
      <c r="B13856" s="6" t="s">
        <v>17444</v>
      </c>
      <c r="C13856" s="5" t="str">
        <f>IFERROR(__xludf.DUMMYFUNCTION("GOOGLETRANSLATE(B13856,""en"",""zh-CN"")"),"一名老年妇女坐在前一步上，将袜子放在她附近的一只小狗上。")</f>
        <v>一名老年妇女坐在前一步上，将袜子放在她附近的一只小狗上。</v>
      </c>
    </row>
    <row r="13857">
      <c r="A13857" s="4" t="s">
        <v>17443</v>
      </c>
      <c r="B13857" s="4" t="s">
        <v>17445</v>
      </c>
      <c r="C13857" s="5" t="str">
        <f>IFERROR(__xludf.DUMMYFUNCTION("GOOGLETRANSLATE(B13857,""en"",""zh-CN"")"),"然后，她把鞋子放在脚上，狗看着远处。")</f>
        <v>然后，她把鞋子放在脚上，狗看着远处。</v>
      </c>
    </row>
    <row r="13858">
      <c r="A13858" s="4" t="s">
        <v>17446</v>
      </c>
      <c r="B13858" s="4" t="s">
        <v>17447</v>
      </c>
      <c r="C13858" s="5" t="str">
        <f>IFERROR(__xludf.DUMMYFUNCTION("GOOGLETRANSLATE(B13858,""en"",""zh-CN"")"),"炊具展示了交谈时制作沙拉意大利面的食材。")</f>
        <v>炊具展示了交谈时制作沙拉意大利面的食材。</v>
      </c>
    </row>
    <row r="13859">
      <c r="A13859" s="4" t="s">
        <v>17446</v>
      </c>
      <c r="B13859" s="4" t="s">
        <v>17448</v>
      </c>
      <c r="C13859" s="5" t="str">
        <f>IFERROR(__xludf.DUMMYFUNCTION("GOOGLETRANSLATE(B13859,""en"",""zh-CN"")"),"炊具将意大利面放在方形容器上，并添加蔬菜。")</f>
        <v>炊具将意大利面放在方形容器上，并添加蔬菜。</v>
      </c>
    </row>
    <row r="13860">
      <c r="A13860" s="4" t="s">
        <v>17446</v>
      </c>
      <c r="B13860" s="4" t="s">
        <v>17449</v>
      </c>
      <c r="C13860" s="5" t="str">
        <f>IFERROR(__xludf.DUMMYFUNCTION("GOOGLETRANSLATE(B13860,""en"",""zh-CN"")"),"然后，炊具添加奶酪，汤，白奶油，盐，然后将其混合。")</f>
        <v>然后，炊具添加奶酪，汤，白奶油，盐，然后将其混合。</v>
      </c>
    </row>
    <row r="13861">
      <c r="A13861" s="4" t="s">
        <v>17446</v>
      </c>
      <c r="B13861" s="4" t="s">
        <v>17450</v>
      </c>
      <c r="C13861" s="5" t="str">
        <f>IFERROR(__xludf.DUMMYFUNCTION("GOOGLETRANSLATE(B13861,""en"",""zh-CN"")"),"该男子用一块番茄供应面食，他尝到了沙拉。")</f>
        <v>该男子用一块番茄供应面食，他尝到了沙拉。</v>
      </c>
    </row>
    <row r="13862">
      <c r="A13862" s="4" t="s">
        <v>17451</v>
      </c>
      <c r="B13862" s="4" t="s">
        <v>17452</v>
      </c>
      <c r="C13862" s="5" t="str">
        <f>IFERROR(__xludf.DUMMYFUNCTION("GOOGLETRANSLATE(B13862,""en"",""zh-CN"")"),"看到一名运动女子站着准备站在她的手中伸出一根杆子，向后看。")</f>
        <v>看到一名运动女子站着准备站在她的手中伸出一根杆子，向后看。</v>
      </c>
    </row>
    <row r="13863">
      <c r="A13863" s="4" t="s">
        <v>17451</v>
      </c>
      <c r="B13863" s="4" t="s">
        <v>17453</v>
      </c>
      <c r="C13863" s="5" t="str">
        <f>IFERROR(__xludf.DUMMYFUNCTION("GOOGLETRANSLATE(B13863,""en"",""zh-CN"")"),"然后，她将棍子抬起，杆伏将自己的杆子放在垫子上。")</f>
        <v>然后，她将棍子抬起，杆伏将自己的杆子放在垫子上。</v>
      </c>
    </row>
    <row r="13864">
      <c r="A13864" s="4" t="s">
        <v>17451</v>
      </c>
      <c r="B13864" s="4" t="s">
        <v>17454</v>
      </c>
      <c r="C13864" s="5" t="str">
        <f>IFERROR(__xludf.DUMMYFUNCTION("GOOGLETRANSLATE(B13864,""en"",""zh-CN"")"),"她向人群挥手，然后与其他人一起准备。")</f>
        <v>她向人群挥手，然后与其他人一起准备。</v>
      </c>
    </row>
    <row r="13865">
      <c r="A13865" s="4" t="s">
        <v>17455</v>
      </c>
      <c r="B13865" s="4" t="s">
        <v>17456</v>
      </c>
      <c r="C13865" s="5" t="str">
        <f>IFERROR(__xludf.DUMMYFUNCTION("GOOGLETRANSLATE(B13865,""en"",""zh-CN"")"),"一个男人坐在十字架上看节目。")</f>
        <v>一个男人坐在十字架上看节目。</v>
      </c>
    </row>
    <row r="13866">
      <c r="A13866" s="4" t="s">
        <v>17455</v>
      </c>
      <c r="B13866" s="4" t="s">
        <v>17457</v>
      </c>
      <c r="C13866" s="5" t="str">
        <f>IFERROR(__xludf.DUMMYFUNCTION("GOOGLETRANSLATE(B13866,""en"",""zh-CN"")"),"一个男人跪在人群面前说话。")</f>
        <v>一个男人跪在人群面前说话。</v>
      </c>
    </row>
    <row r="13867">
      <c r="A13867" s="4" t="s">
        <v>17455</v>
      </c>
      <c r="B13867" s="4" t="s">
        <v>17458</v>
      </c>
      <c r="C13867" s="5" t="str">
        <f>IFERROR(__xludf.DUMMYFUNCTION("GOOGLETRANSLATE(B13867,""en"",""zh-CN"")"),"随着人群被迷住，他继续说话，听他的每句话。")</f>
        <v>随着人群被迷住，他继续说话，听他的每句话。</v>
      </c>
    </row>
    <row r="13868">
      <c r="A13868" s="4" t="s">
        <v>17459</v>
      </c>
      <c r="B13868" s="6" t="s">
        <v>17460</v>
      </c>
      <c r="C13868" s="5" t="str">
        <f>IFERROR(__xludf.DUMMYFUNCTION("GOOGLETRANSLATE(B13868,""en"",""zh-CN"")"),"展示了一个表演的剪辑，其中一个男人坐在汽车上与相机说话，另一个人在另一辆车上对摄像机说话。")</f>
        <v>展示了一个表演的剪辑，其中一个男人坐在汽车上与相机说话，另一个人在另一辆车上对摄像机说话。</v>
      </c>
    </row>
    <row r="13869">
      <c r="A13869" s="4" t="s">
        <v>17459</v>
      </c>
      <c r="B13869" s="4" t="s">
        <v>17461</v>
      </c>
      <c r="C13869" s="5" t="str">
        <f>IFERROR(__xludf.DUMMYFUNCTION("GOOGLETRANSLATE(B13869,""en"",""zh-CN"")"),"两名男子在侧面的对讲机上讲话，这些男人互相开车。")</f>
        <v>两名男子在侧面的对讲机上讲话，这些男人互相开车。</v>
      </c>
    </row>
    <row r="13870">
      <c r="A13870" s="4" t="s">
        <v>17459</v>
      </c>
      <c r="B13870" s="4" t="s">
        <v>17462</v>
      </c>
      <c r="C13870" s="5" t="str">
        <f>IFERROR(__xludf.DUMMYFUNCTION("GOOGLETRANSLATE(B13870,""en"",""zh-CN"")"),"一个人将汽车推回去，男人都下车，互相交谈。")</f>
        <v>一个人将汽车推回去，男人都下车，互相交谈。</v>
      </c>
    </row>
    <row r="13871">
      <c r="A13871" s="4" t="s">
        <v>17459</v>
      </c>
      <c r="B13871" s="6" t="s">
        <v>17463</v>
      </c>
      <c r="C13871" s="5" t="str">
        <f>IFERROR(__xludf.DUMMYFUNCTION("GOOGLETRANSLATE(B13871,""en"",""zh-CN"")"),"另一辆汽车是与男人在相机上说话并将汽车推回去，而其他人则看上去很难以置信。")</f>
        <v>另一辆汽车是与男人在相机上说话并将汽车推回去，而其他人则看上去很难以置信。</v>
      </c>
    </row>
    <row r="13872">
      <c r="A13872" s="4" t="s">
        <v>17464</v>
      </c>
      <c r="B13872" s="6" t="s">
        <v>17465</v>
      </c>
      <c r="C13872" s="5" t="str">
        <f>IFERROR(__xludf.DUMMYFUNCTION("GOOGLETRANSLATE(B13872,""en"",""zh-CN"")"),"BTRTV记者访问了一个灵魂周期工作室，并访问了灵魂周期的讲师，并参加了样本灵魂周期课。")</f>
        <v>BTRTV记者访问了一个灵魂周期工作室，并访问了灵魂周期的讲师，并参加了样本灵魂周期课。</v>
      </c>
    </row>
    <row r="13873">
      <c r="A13873" s="4" t="s">
        <v>17464</v>
      </c>
      <c r="B13873" s="6" t="s">
        <v>17466</v>
      </c>
      <c r="C13873" s="5" t="str">
        <f>IFERROR(__xludf.DUMMYFUNCTION("GOOGLETRANSLATE(B13873,""en"",""zh-CN"")"),"一名拿着麦克风的记者站在一个灵魂周期店外面对镜头讲话，然后进入商店并采访灵魂自行车教练。")</f>
        <v>一名拿着麦克风的记者站在一个灵魂周期店外面对镜头讲话，然后进入商店并采访灵魂自行车教练。</v>
      </c>
    </row>
    <row r="13874">
      <c r="A13874" s="4" t="s">
        <v>17464</v>
      </c>
      <c r="B13874" s="6" t="s">
        <v>17467</v>
      </c>
      <c r="C13874" s="5" t="str">
        <f>IFERROR(__xludf.DUMMYFUNCTION("GOOGLETRANSLATE(B13874,""en"",""zh-CN"")"),"然后，记者更换衣服，并参加了一个灵魂循环课，并散布着讲师LED灵魂周期课程的视频。")</f>
        <v>然后，记者更换衣服，并参加了一个灵魂循环课，并散布着讲师LED灵魂周期课程的视频。</v>
      </c>
    </row>
    <row r="13875">
      <c r="A13875" s="4" t="s">
        <v>17464</v>
      </c>
      <c r="B13875" s="6" t="s">
        <v>17468</v>
      </c>
      <c r="C13875" s="5" t="str">
        <f>IFERROR(__xludf.DUMMYFUNCTION("GOOGLETRANSLATE(B13875,""en"",""zh-CN"")"),"记者返回采访灵魂周期教练，最后一排在灵魂周期商店中悬挂的衣服。")</f>
        <v>记者返回采访灵魂周期教练，最后一排在灵魂周期商店中悬挂的衣服。</v>
      </c>
    </row>
    <row r="13876">
      <c r="A13876" s="4" t="s">
        <v>17469</v>
      </c>
      <c r="B13876" s="4" t="s">
        <v>17470</v>
      </c>
      <c r="C13876" s="5" t="str">
        <f>IFERROR(__xludf.DUMMYFUNCTION("GOOGLETRANSLATE(B13876,""en"",""zh-CN"")"),"显示了奥林匹克围栏比赛。")</f>
        <v>显示了奥林匹克围栏比赛。</v>
      </c>
    </row>
    <row r="13877">
      <c r="A13877" s="4" t="s">
        <v>17469</v>
      </c>
      <c r="B13877" s="4" t="s">
        <v>17471</v>
      </c>
      <c r="C13877" s="5" t="str">
        <f>IFERROR(__xludf.DUMMYFUNCTION("GOOGLETRANSLATE(B13877,""en"",""zh-CN"")"),"每一侧分数得分，然后显示新的匹配点。")</f>
        <v>每一侧分数得分，然后显示新的匹配点。</v>
      </c>
    </row>
    <row r="13878">
      <c r="A13878" s="4" t="s">
        <v>17472</v>
      </c>
      <c r="B13878" s="4" t="s">
        <v>17473</v>
      </c>
      <c r="C13878" s="5" t="str">
        <f>IFERROR(__xludf.DUMMYFUNCTION("GOOGLETRANSLATE(B13878,""en"",""zh-CN"")"),"我们在黑色上看到标题屏幕。")</f>
        <v>我们在黑色上看到标题屏幕。</v>
      </c>
    </row>
    <row r="13879">
      <c r="A13879" s="4" t="s">
        <v>17472</v>
      </c>
      <c r="B13879" s="4" t="s">
        <v>17474</v>
      </c>
      <c r="C13879" s="5" t="str">
        <f>IFERROR(__xludf.DUMMYFUNCTION("GOOGLETRANSLATE(B13879,""en"",""zh-CN"")"),"然后，我们看到一个女人在城市的一条街上滑冰。")</f>
        <v>然后，我们看到一个女人在城市的一条街上滑冰。</v>
      </c>
    </row>
    <row r="13880">
      <c r="A13880" s="4" t="s">
        <v>17472</v>
      </c>
      <c r="B13880" s="4" t="s">
        <v>17475</v>
      </c>
      <c r="C13880" s="5" t="str">
        <f>IFERROR(__xludf.DUMMYFUNCTION("GOOGLETRANSLATE(B13880,""en"",""zh-CN"")"),"汽车开始超越女士。")</f>
        <v>汽车开始超越女士。</v>
      </c>
    </row>
    <row r="13881">
      <c r="A13881" s="4" t="s">
        <v>17472</v>
      </c>
      <c r="B13881" s="4" t="s">
        <v>17476</v>
      </c>
      <c r="C13881" s="5" t="str">
        <f>IFERROR(__xludf.DUMMYFUNCTION("GOOGLETRANSLATE(B13881,""en"",""zh-CN"")"),"女士通过了停放的汽车。")</f>
        <v>女士通过了停放的汽车。</v>
      </c>
    </row>
    <row r="13882">
      <c r="A13882" s="4" t="s">
        <v>17472</v>
      </c>
      <c r="B13882" s="4" t="s">
        <v>17477</v>
      </c>
      <c r="C13882" s="5" t="str">
        <f>IFERROR(__xludf.DUMMYFUNCTION("GOOGLETRANSLATE(B13882,""en"",""zh-CN"")"),"那位女士站在建筑门前时说话。")</f>
        <v>那位女士站在建筑门前时说话。</v>
      </c>
    </row>
    <row r="13883">
      <c r="A13883" s="4" t="s">
        <v>17472</v>
      </c>
      <c r="B13883" s="4" t="s">
        <v>17478</v>
      </c>
      <c r="C13883" s="5" t="str">
        <f>IFERROR(__xludf.DUMMYFUNCTION("GOOGLETRANSLATE(B13883,""en"",""zh-CN"")"),"她在高速公路附近讲话。")</f>
        <v>她在高速公路附近讲话。</v>
      </c>
    </row>
    <row r="13884">
      <c r="A13884" s="4" t="s">
        <v>17472</v>
      </c>
      <c r="B13884" s="4" t="s">
        <v>17479</v>
      </c>
      <c r="C13884" s="5" t="str">
        <f>IFERROR(__xludf.DUMMYFUNCTION("GOOGLETRANSLATE(B13884,""en"",""zh-CN"")"),"我们在黑色上看到结尾屏幕。")</f>
        <v>我们在黑色上看到结尾屏幕。</v>
      </c>
    </row>
    <row r="13885">
      <c r="A13885" s="4" t="s">
        <v>17480</v>
      </c>
      <c r="B13885" s="4" t="s">
        <v>17481</v>
      </c>
      <c r="C13885" s="5" t="str">
        <f>IFERROR(__xludf.DUMMYFUNCTION("GOOGLETRANSLATE(B13885,""en"",""zh-CN"")"),"一群肚皮舞者在舞台上摆姿势。")</f>
        <v>一群肚皮舞者在舞台上摆姿势。</v>
      </c>
    </row>
    <row r="13886">
      <c r="A13886" s="4" t="s">
        <v>17480</v>
      </c>
      <c r="B13886" s="4" t="s">
        <v>17482</v>
      </c>
      <c r="C13886" s="5" t="str">
        <f>IFERROR(__xludf.DUMMYFUNCTION("GOOGLETRANSLATE(B13886,""en"",""zh-CN"")"),"他们开始跳舞，跳舞时在身体周围旋转。")</f>
        <v>他们开始跳舞，跳舞时在身体周围旋转。</v>
      </c>
    </row>
    <row r="13887">
      <c r="A13887" s="4" t="s">
        <v>17480</v>
      </c>
      <c r="B13887" s="6" t="s">
        <v>17483</v>
      </c>
      <c r="C13887" s="5" t="str">
        <f>IFERROR(__xludf.DUMMYFUNCTION("GOOGLETRANSLATE(B13887,""en"",""zh-CN"")"),"他们放下围巾，只专注于舞蹈，然后跌落到地面，然后在舞台上崛起并跳舞。")</f>
        <v>他们放下围巾，只专注于舞蹈，然后跌落到地面，然后在舞台上崛起并跳舞。</v>
      </c>
    </row>
    <row r="13888">
      <c r="A13888" s="4" t="s">
        <v>17484</v>
      </c>
      <c r="B13888" s="4" t="s">
        <v>17485</v>
      </c>
      <c r="C13888" s="5" t="str">
        <f>IFERROR(__xludf.DUMMYFUNCTION("GOOGLETRANSLATE(B13888,""en"",""zh-CN"")"),"一个男人在院子里耙树叶。")</f>
        <v>一个男人在院子里耙树叶。</v>
      </c>
    </row>
    <row r="13889">
      <c r="A13889" s="4" t="s">
        <v>17484</v>
      </c>
      <c r="B13889" s="4" t="s">
        <v>17486</v>
      </c>
      <c r="C13889" s="5" t="str">
        <f>IFERROR(__xludf.DUMMYFUNCTION("GOOGLETRANSLATE(B13889,""en"",""zh-CN"")"),"当他从鸟浴中耙出来时，他把几片叶子袋装出来。")</f>
        <v>当他从鸟浴中耙出来时，他把几片叶子袋装出来。</v>
      </c>
    </row>
    <row r="13890">
      <c r="A13890" s="4" t="s">
        <v>17484</v>
      </c>
      <c r="B13890" s="4" t="s">
        <v>17487</v>
      </c>
      <c r="C13890" s="5" t="str">
        <f>IFERROR(__xludf.DUMMYFUNCTION("GOOGLETRANSLATE(B13890,""en"",""zh-CN"")"),"他继续耙开，然后打开一个袋子，将岩石倒在鸟浴周围。")</f>
        <v>他继续耙开，然后打开一个袋子，将岩石倒在鸟浴周围。</v>
      </c>
    </row>
    <row r="13891">
      <c r="A13891" s="4" t="s">
        <v>17488</v>
      </c>
      <c r="B13891" s="4" t="s">
        <v>17489</v>
      </c>
      <c r="C13891" s="5" t="str">
        <f>IFERROR(__xludf.DUMMYFUNCTION("GOOGLETRANSLATE(B13891,""en"",""zh-CN"")"),"人们在一个领域竞争自行车交叉。")</f>
        <v>人们在一个领域竞争自行车交叉。</v>
      </c>
    </row>
    <row r="13892">
      <c r="A13892" s="4" t="s">
        <v>17488</v>
      </c>
      <c r="B13892" s="4" t="s">
        <v>17490</v>
      </c>
      <c r="C13892" s="5" t="str">
        <f>IFERROR(__xludf.DUMMYFUNCTION("GOOGLETRANSLATE(B13892,""en"",""zh-CN"")"),"人们在颠簸的轨道上骑自行车，人群聚集在一起观看自行车交叉比赛。")</f>
        <v>人们在颠簸的轨道上骑自行车，人群聚集在一起观看自行车交叉比赛。</v>
      </c>
    </row>
    <row r="13893">
      <c r="A13893" s="4" t="s">
        <v>17488</v>
      </c>
      <c r="B13893" s="4" t="s">
        <v>17491</v>
      </c>
      <c r="C13893" s="5" t="str">
        <f>IFERROR(__xludf.DUMMYFUNCTION("GOOGLETRANSLATE(B13893,""en"",""zh-CN"")"),"一名骑自行车的人落在地面上。")</f>
        <v>一名骑自行车的人落在地面上。</v>
      </c>
    </row>
    <row r="13894">
      <c r="A13894" s="4" t="s">
        <v>17488</v>
      </c>
      <c r="B13894" s="4" t="s">
        <v>17492</v>
      </c>
      <c r="C13894" s="5" t="str">
        <f>IFERROR(__xludf.DUMMYFUNCTION("GOOGLETRANSLATE(B13894,""en"",""zh-CN"")"),"骑自行车的人到达终点线。")</f>
        <v>骑自行车的人到达终点线。</v>
      </c>
    </row>
    <row r="13895">
      <c r="A13895" s="4" t="s">
        <v>17493</v>
      </c>
      <c r="B13895" s="4" t="s">
        <v>17494</v>
      </c>
      <c r="C13895" s="5" t="str">
        <f>IFERROR(__xludf.DUMMYFUNCTION("GOOGLETRANSLATE(B13895,""en"",""zh-CN"")"),"看到一个男人站在健身房里，拿着球拍，而相机却摇晃出来给两个男人。")</f>
        <v>看到一个男人站在健身房里，拿着球拍，而相机却摇晃出来给两个男人。</v>
      </c>
    </row>
    <row r="13896">
      <c r="A13896" s="4" t="s">
        <v>17493</v>
      </c>
      <c r="B13896" s="4" t="s">
        <v>17495</v>
      </c>
      <c r="C13896" s="5" t="str">
        <f>IFERROR(__xludf.DUMMYFUNCTION("GOOGLETRANSLATE(B13896,""en"",""zh-CN"")"),"这些人在体育馆里互相移动，从墙上击中了一个球。")</f>
        <v>这些人在体育馆里互相移动，从墙上击中了一个球。</v>
      </c>
    </row>
    <row r="13897">
      <c r="A13897" s="4" t="s">
        <v>17493</v>
      </c>
      <c r="B13897" s="4" t="s">
        <v>17496</v>
      </c>
      <c r="C13897" s="5" t="str">
        <f>IFERROR(__xludf.DUMMYFUNCTION("GOOGLETRANSLATE(B13897,""en"",""zh-CN"")"),"两人继续击球，走来走去打球。")</f>
        <v>两人继续击球，走来走去打球。</v>
      </c>
    </row>
    <row r="13898">
      <c r="A13898" s="4" t="s">
        <v>17497</v>
      </c>
      <c r="B13898" s="4" t="s">
        <v>17498</v>
      </c>
      <c r="C13898" s="5" t="str">
        <f>IFERROR(__xludf.DUMMYFUNCTION("GOOGLETRANSLATE(B13898,""en"",""zh-CN"")"),"男人和女人在篮球场上的桌子上打桌上足球。")</f>
        <v>男人和女人在篮球场上的桌子上打桌上足球。</v>
      </c>
    </row>
    <row r="13899">
      <c r="A13899" s="4" t="s">
        <v>17497</v>
      </c>
      <c r="B13899" s="4" t="s">
        <v>17499</v>
      </c>
      <c r="C13899" s="5" t="str">
        <f>IFERROR(__xludf.DUMMYFUNCTION("GOOGLETRANSLATE(B13899,""en"",""zh-CN"")"),"裁判正站在桌子前看比赛。")</f>
        <v>裁判正站在桌子前看比赛。</v>
      </c>
    </row>
    <row r="13900">
      <c r="A13900" s="4" t="s">
        <v>17497</v>
      </c>
      <c r="B13900" s="4" t="s">
        <v>17500</v>
      </c>
      <c r="C13900" s="5" t="str">
        <f>IFERROR(__xludf.DUMMYFUNCTION("GOOGLETRANSLATE(B13900,""en"",""zh-CN"")"),"人们正坐在球场后面的露台上观看比赛。")</f>
        <v>人们正坐在球场后面的露台上观看比赛。</v>
      </c>
    </row>
    <row r="13901">
      <c r="A13901" s="4" t="s">
        <v>17501</v>
      </c>
      <c r="B13901" s="4" t="s">
        <v>17502</v>
      </c>
      <c r="C13901" s="5" t="str">
        <f>IFERROR(__xludf.DUMMYFUNCTION("GOOGLETRANSLATE(B13901,""en"",""zh-CN"")"),"一个女孩坐在汽车的驾驶员座位上，享受冰淇淋蛋筒。")</f>
        <v>一个女孩坐在汽车的驾驶员座位上，享受冰淇淋蛋筒。</v>
      </c>
    </row>
    <row r="13902">
      <c r="A13902" s="4" t="s">
        <v>17501</v>
      </c>
      <c r="B13902" s="4" t="s">
        <v>17503</v>
      </c>
      <c r="C13902" s="5" t="str">
        <f>IFERROR(__xludf.DUMMYFUNCTION("GOOGLETRANSLATE(B13902,""en"",""zh-CN"")"),"女孩试图吃冰淇淋时笑了。")</f>
        <v>女孩试图吃冰淇淋时笑了。</v>
      </c>
    </row>
    <row r="13903">
      <c r="A13903" s="4" t="s">
        <v>17501</v>
      </c>
      <c r="B13903" s="4" t="s">
        <v>17504</v>
      </c>
      <c r="C13903" s="5" t="str">
        <f>IFERROR(__xludf.DUMMYFUNCTION("GOOGLETRANSLATE(B13903,""en"",""zh-CN"")"),"女孩用舌头舔冰淇淋锥。")</f>
        <v>女孩用舌头舔冰淇淋锥。</v>
      </c>
    </row>
    <row r="13904">
      <c r="A13904" s="4" t="s">
        <v>17505</v>
      </c>
      <c r="B13904" s="6" t="s">
        <v>17506</v>
      </c>
      <c r="C13904" s="5" t="str">
        <f>IFERROR(__xludf.DUMMYFUNCTION("GOOGLETRANSLATE(B13904,""en"",""zh-CN"")"),"看到一个男人站在一个黑色的房间里，在镜头捕捉到他的同时继续玩长笛。")</f>
        <v>看到一个男人站在一个黑色的房间里，在镜头捕捉到他的同时继续玩长笛。</v>
      </c>
    </row>
    <row r="13905">
      <c r="A13905" s="4" t="s">
        <v>17505</v>
      </c>
      <c r="B13905" s="6" t="s">
        <v>17507</v>
      </c>
      <c r="C13905" s="5" t="str">
        <f>IFERROR(__xludf.DUMMYFUNCTION("GOOGLETRANSLATE(B13905,""en"",""zh-CN"")"),"该名男子继续铺设乐器，一边上下移动手，将头移到节拍中。")</f>
        <v>该名男子继续铺设乐器，一边上下移动手，将头移到节拍中。</v>
      </c>
    </row>
    <row r="13906">
      <c r="A13906" s="4" t="s">
        <v>17508</v>
      </c>
      <c r="B13906" s="4" t="s">
        <v>17509</v>
      </c>
      <c r="C13906" s="5" t="str">
        <f>IFERROR(__xludf.DUMMYFUNCTION("GOOGLETRANSLATE(B13906,""en"",""zh-CN"")"),"两个年轻的女孩站在拿着小提琴的壁炉前。")</f>
        <v>两个年轻的女孩站在拿着小提琴的壁炉前。</v>
      </c>
    </row>
    <row r="13907">
      <c r="A13907" s="4" t="s">
        <v>17508</v>
      </c>
      <c r="B13907" s="4" t="s">
        <v>17510</v>
      </c>
      <c r="C13907" s="5" t="str">
        <f>IFERROR(__xludf.DUMMYFUNCTION("GOOGLETRANSLATE(B13907,""en"",""zh-CN"")"),"女孩们开始在小提琴上播放一段音乐，然后在最后鞠躬。")</f>
        <v>女孩们开始在小提琴上播放一段音乐，然后在最后鞠躬。</v>
      </c>
    </row>
    <row r="13908">
      <c r="A13908" s="4" t="s">
        <v>17508</v>
      </c>
      <c r="B13908" s="4" t="s">
        <v>17511</v>
      </c>
      <c r="C13908" s="5" t="str">
        <f>IFERROR(__xludf.DUMMYFUNCTION("GOOGLETRANSLATE(B13908,""en"",""zh-CN"")"),"两个年幼的孩子出现在户外，网站地址叠加。")</f>
        <v>两个年幼的孩子出现在户外，网站地址叠加。</v>
      </c>
    </row>
    <row r="13909">
      <c r="A13909" s="4" t="s">
        <v>17512</v>
      </c>
      <c r="B13909" s="4" t="s">
        <v>17513</v>
      </c>
      <c r="C13909" s="5" t="str">
        <f>IFERROR(__xludf.DUMMYFUNCTION("GOOGLETRANSLATE(B13909,""en"",""zh-CN"")"),"包裹礼物的物资躺在木桌上。")</f>
        <v>包裹礼物的物资躺在木桌上。</v>
      </c>
    </row>
    <row r="13910">
      <c r="A13910" s="4" t="s">
        <v>17512</v>
      </c>
      <c r="B13910" s="4" t="s">
        <v>17514</v>
      </c>
      <c r="C13910" s="5" t="str">
        <f>IFERROR(__xludf.DUMMYFUNCTION("GOOGLETRANSLATE(B13910,""en"",""zh-CN"")"),"礼物包裹的礼物用透明的塑料包裹，并粘贴在适当的位置。")</f>
        <v>礼物包裹的礼物用透明的塑料包裹，并粘贴在适当的位置。</v>
      </c>
    </row>
    <row r="13911">
      <c r="A13911" s="4" t="s">
        <v>17512</v>
      </c>
      <c r="B13911" s="4" t="s">
        <v>17515</v>
      </c>
      <c r="C13911" s="5" t="str">
        <f>IFERROR(__xludf.DUMMYFUNCTION("GOOGLETRANSLATE(B13911,""en"",""zh-CN"")"),"红丝带在两端绑定。")</f>
        <v>红丝带在两端绑定。</v>
      </c>
    </row>
    <row r="13912">
      <c r="A13912" s="4" t="s">
        <v>17512</v>
      </c>
      <c r="B13912" s="4" t="s">
        <v>17516</v>
      </c>
      <c r="C13912" s="5" t="str">
        <f>IFERROR(__xludf.DUMMYFUNCTION("GOOGLETRANSLATE(B13912,""en"",""zh-CN"")"),"剪刀用于切断两端的多余的透明塑料。")</f>
        <v>剪刀用于切断两端的多余的透明塑料。</v>
      </c>
    </row>
    <row r="13913">
      <c r="A13913" s="4" t="s">
        <v>17512</v>
      </c>
      <c r="B13913" s="4" t="s">
        <v>17517</v>
      </c>
      <c r="C13913" s="5" t="str">
        <f>IFERROR(__xludf.DUMMYFUNCTION("GOOGLETRANSLATE(B13913,""en"",""zh-CN"")"),"最终包装的产品放在桌子上。")</f>
        <v>最终包装的产品放在桌子上。</v>
      </c>
    </row>
    <row r="13914">
      <c r="A13914" s="4" t="s">
        <v>17518</v>
      </c>
      <c r="B13914" s="4" t="s">
        <v>17519</v>
      </c>
      <c r="C13914" s="5" t="str">
        <f>IFERROR(__xludf.DUMMYFUNCTION("GOOGLETRANSLATE(B13914,""en"",""zh-CN"")"),"看到一个长发的女人深深地看着相机，抚摸着她的脸。")</f>
        <v>看到一个长发的女人深深地看着相机，抚摸着她的脸。</v>
      </c>
    </row>
    <row r="13915">
      <c r="A13915" s="4" t="s">
        <v>17518</v>
      </c>
      <c r="B13915" s="4" t="s">
        <v>17520</v>
      </c>
      <c r="C13915" s="5" t="str">
        <f>IFERROR(__xludf.DUMMYFUNCTION("GOOGLETRANSLATE(B13915,""en"",""zh-CN"")"),"然后，她刷头发，通过微笑结束视频。")</f>
        <v>然后，她刷头发，通过微笑结束视频。</v>
      </c>
    </row>
    <row r="13916">
      <c r="A13916" s="4" t="s">
        <v>17521</v>
      </c>
      <c r="B13916" s="4" t="s">
        <v>17522</v>
      </c>
      <c r="C13916" s="5" t="str">
        <f>IFERROR(__xludf.DUMMYFUNCTION("GOOGLETRANSLATE(B13916,""en"",""zh-CN"")"),"一个女孩在室内塑料球池中玩耍。")</f>
        <v>一个女孩在室内塑料球池中玩耍。</v>
      </c>
    </row>
    <row r="13917">
      <c r="A13917" s="4" t="s">
        <v>17521</v>
      </c>
      <c r="B13917" s="4" t="s">
        <v>17523</v>
      </c>
      <c r="C13917" s="5" t="str">
        <f>IFERROR(__xludf.DUMMYFUNCTION("GOOGLETRANSLATE(B13917,""en"",""zh-CN"")"),"女孩爬上楼梯，然后滑下滑梯。")</f>
        <v>女孩爬上楼梯，然后滑下滑梯。</v>
      </c>
    </row>
    <row r="13918">
      <c r="A13918" s="4" t="s">
        <v>17521</v>
      </c>
      <c r="B13918" s="4" t="s">
        <v>17524</v>
      </c>
      <c r="C13918" s="5" t="str">
        <f>IFERROR(__xludf.DUMMYFUNCTION("GOOGLETRANSLATE(B13918,""en"",""zh-CN"")"),"女孩爬上楼梯，然后爬过隧道。")</f>
        <v>女孩爬上楼梯，然后爬过隧道。</v>
      </c>
    </row>
    <row r="13919">
      <c r="A13919" s="4" t="s">
        <v>17521</v>
      </c>
      <c r="B13919" s="4" t="s">
        <v>17525</v>
      </c>
      <c r="C13919" s="5" t="str">
        <f>IFERROR(__xludf.DUMMYFUNCTION("GOOGLETRANSLATE(B13919,""en"",""zh-CN"")"),"女孩滑入球池中，然后爬回滑梯。")</f>
        <v>女孩滑入球池中，然后爬回滑梯。</v>
      </c>
    </row>
    <row r="13920">
      <c r="A13920" s="4" t="s">
        <v>17521</v>
      </c>
      <c r="B13920" s="4" t="s">
        <v>17526</v>
      </c>
      <c r="C13920" s="5" t="str">
        <f>IFERROR(__xludf.DUMMYFUNCTION("GOOGLETRANSLATE(B13920,""en"",""zh-CN"")"),"女孩在向下滑动之前，用tick脚踢脚板。")</f>
        <v>女孩在向下滑动之前，用tick脚踢脚板。</v>
      </c>
    </row>
    <row r="13921">
      <c r="A13921" s="4" t="s">
        <v>17521</v>
      </c>
      <c r="B13921" s="4" t="s">
        <v>17527</v>
      </c>
      <c r="C13921" s="5" t="str">
        <f>IFERROR(__xludf.DUMMYFUNCTION("GOOGLETRANSLATE(B13921,""en"",""zh-CN"")"),"孩子在秋千上摇摆。")</f>
        <v>孩子在秋千上摇摆。</v>
      </c>
    </row>
    <row r="13922">
      <c r="A13922" s="4" t="s">
        <v>17521</v>
      </c>
      <c r="B13922" s="4" t="s">
        <v>17528</v>
      </c>
      <c r="C13922" s="5" t="str">
        <f>IFERROR(__xludf.DUMMYFUNCTION("GOOGLETRANSLATE(B13922,""en"",""zh-CN"")"),"孩子走进蹦床房间，然后上下跳下。")</f>
        <v>孩子走进蹦床房间，然后上下跳下。</v>
      </c>
    </row>
    <row r="13923">
      <c r="A13923" s="4" t="s">
        <v>17521</v>
      </c>
      <c r="B13923" s="4" t="s">
        <v>17529</v>
      </c>
      <c r="C13923" s="5" t="str">
        <f>IFERROR(__xludf.DUMMYFUNCTION("GOOGLETRANSLATE(B13923,""en"",""zh-CN"")"),"孩子越过悬架桥，然后越过带网的桥梁。")</f>
        <v>孩子越过悬架桥，然后越过带网的桥梁。</v>
      </c>
    </row>
    <row r="13924">
      <c r="A13924" s="4" t="s">
        <v>17521</v>
      </c>
      <c r="B13924" s="4" t="s">
        <v>17530</v>
      </c>
      <c r="C13924" s="5" t="str">
        <f>IFERROR(__xludf.DUMMYFUNCTION("GOOGLETRANSLATE(B13924,""en"",""zh-CN"")"),"女孩滑入球池中，然后爬上墙壁，然后跳进去。")</f>
        <v>女孩滑入球池中，然后爬上墙壁，然后跳进去。</v>
      </c>
    </row>
    <row r="13925">
      <c r="A13925" s="4" t="s">
        <v>17521</v>
      </c>
      <c r="B13925" s="4" t="s">
        <v>17531</v>
      </c>
      <c r="C13925" s="5" t="str">
        <f>IFERROR(__xludf.DUMMYFUNCTION("GOOGLETRANSLATE(B13925,""en"",""zh-CN"")"),"女孩爬上滑梯栏杆。")</f>
        <v>女孩爬上滑梯栏杆。</v>
      </c>
    </row>
    <row r="13926">
      <c r="A13926" s="4" t="s">
        <v>17521</v>
      </c>
      <c r="B13926" s="4" t="s">
        <v>17532</v>
      </c>
      <c r="C13926" s="5" t="str">
        <f>IFERROR(__xludf.DUMMYFUNCTION("GOOGLETRANSLATE(B13926,""en"",""zh-CN"")"),"女孩滑下陡峭的橙色滑梯。")</f>
        <v>女孩滑下陡峭的橙色滑梯。</v>
      </c>
    </row>
    <row r="13927">
      <c r="A13927" s="4" t="s">
        <v>17521</v>
      </c>
      <c r="B13927" s="4" t="s">
        <v>17533</v>
      </c>
      <c r="C13927" s="5" t="str">
        <f>IFERROR(__xludf.DUMMYFUNCTION("GOOGLETRANSLATE(B13927,""en"",""zh-CN"")"),"球扔给女孩，她把他们扔回去。")</f>
        <v>球扔给女孩，她把他们扔回去。</v>
      </c>
    </row>
    <row r="13928">
      <c r="A13928" s="4" t="s">
        <v>17534</v>
      </c>
      <c r="B13928" s="6" t="s">
        <v>17535</v>
      </c>
      <c r="C13928" s="5" t="str">
        <f>IFERROR(__xludf.DUMMYFUNCTION("GOOGLETRANSLATE(B13928,""en"",""zh-CN"")"),"看到一个男人和另一个男人在他旁边弹鼓，他的脸上闪烁着几个灯光。")</f>
        <v>看到一个男人和另一个男人在他旁边弹鼓，他的脸上闪烁着几个灯光。</v>
      </c>
    </row>
    <row r="13929">
      <c r="A13929" s="4" t="s">
        <v>17534</v>
      </c>
      <c r="B13929" s="4" t="s">
        <v>17536</v>
      </c>
      <c r="C13929" s="5" t="str">
        <f>IFERROR(__xludf.DUMMYFUNCTION("GOOGLETRANSLATE(B13929,""en"",""zh-CN"")"),"看到另一个男人拿着吉他，并显示了舞台的几枪。")</f>
        <v>看到另一个男人拿着吉他，并显示了舞台的几枪。</v>
      </c>
    </row>
    <row r="13930">
      <c r="A13930" s="4" t="s">
        <v>17534</v>
      </c>
      <c r="B13930" s="4" t="s">
        <v>17537</v>
      </c>
      <c r="C13930" s="5" t="str">
        <f>IFERROR(__xludf.DUMMYFUNCTION("GOOGLETRANSLATE(B13930,""en"",""zh-CN"")"),"音乐家抓住了一个麦克风，吉他手在嘴里抽着香烟跳上舞台。")</f>
        <v>音乐家抓住了一个麦克风，吉他手在嘴里抽着香烟跳上舞台。</v>
      </c>
    </row>
    <row r="13931">
      <c r="A13931" s="4" t="s">
        <v>17538</v>
      </c>
      <c r="B13931" s="4" t="s">
        <v>17539</v>
      </c>
      <c r="C13931" s="5" t="str">
        <f>IFERROR(__xludf.DUMMYFUNCTION("GOOGLETRANSLATE(B13931,""en"",""zh-CN"")"),"一个拿着小提琴的男人正在和一个还拿着小提琴的小男孩和一个小男孩对着相机说话。")</f>
        <v>一个拿着小提琴的男人正在和一个还拿着小提琴的小男孩和一个小男孩对着相机说话。</v>
      </c>
    </row>
    <row r="13932">
      <c r="A13932" s="4" t="s">
        <v>17538</v>
      </c>
      <c r="B13932" s="6" t="s">
        <v>17540</v>
      </c>
      <c r="C13932" s="5" t="str">
        <f>IFERROR(__xludf.DUMMYFUNCTION("GOOGLETRANSLATE(B13932,""en"",""zh-CN"")"),"男孩们回话，第四次，男人向男孩展示了如何正确弹小提琴。")</f>
        <v>男孩们回话，第四次，男人向男孩展示了如何正确弹小提琴。</v>
      </c>
    </row>
    <row r="13933">
      <c r="A13933" s="4" t="s">
        <v>17538</v>
      </c>
      <c r="B13933" s="6" t="s">
        <v>17541</v>
      </c>
      <c r="C13933" s="5" t="str">
        <f>IFERROR(__xludf.DUMMYFUNCTION("GOOGLETRANSLATE(B13933,""en"",""zh-CN"")"),"然后，男孩正是在讲师纠正他的比赛时做教师教给他的事情。")</f>
        <v>然后，男孩正是在讲师纠正他的比赛时做教师教给他的事情。</v>
      </c>
    </row>
    <row r="13934">
      <c r="A13934" s="4" t="s">
        <v>17542</v>
      </c>
      <c r="B13934" s="4" t="s">
        <v>17543</v>
      </c>
      <c r="C13934" s="5" t="str">
        <f>IFERROR(__xludf.DUMMYFUNCTION("GOOGLETRANSLATE(B13934,""en"",""zh-CN"")"),"看到一个人的手将粘土放在蛋糕上，并开始在侧面绘画物体。")</f>
        <v>看到一个人的手将粘土放在蛋糕上，并开始在侧面绘画物体。</v>
      </c>
    </row>
    <row r="13935">
      <c r="A13935" s="4" t="s">
        <v>17542</v>
      </c>
      <c r="B13935" s="6" t="s">
        <v>17544</v>
      </c>
      <c r="C13935" s="5" t="str">
        <f>IFERROR(__xludf.DUMMYFUNCTION("GOOGLETRANSLATE(B13935,""en"",""zh-CN"")"),"女人把装饰品放在蛋糕上，并继续在侧面装饰更多物体。")</f>
        <v>女人把装饰品放在蛋糕上，并继续在侧面装饰更多物体。</v>
      </c>
    </row>
    <row r="13936">
      <c r="A13936" s="4" t="s">
        <v>17542</v>
      </c>
      <c r="B13936" s="4" t="s">
        <v>17545</v>
      </c>
      <c r="C13936" s="5" t="str">
        <f>IFERROR(__xludf.DUMMYFUNCTION("GOOGLETRANSLATE(B13936,""en"",""zh-CN"")"),"她通过添加最终装饰并将其呈现给相机来完成蛋糕。")</f>
        <v>她通过添加最终装饰并将其呈现给相机来完成蛋糕。</v>
      </c>
    </row>
    <row r="13937">
      <c r="A13937" s="4" t="s">
        <v>17546</v>
      </c>
      <c r="B13937" s="4" t="s">
        <v>17547</v>
      </c>
      <c r="C13937" s="5" t="str">
        <f>IFERROR(__xludf.DUMMYFUNCTION("GOOGLETRANSLATE(B13937,""en"",""zh-CN"")"),"人们在看台上观看两支球队在泳池泳池足球比赛中。")</f>
        <v>人们在看台上观看两支球队在泳池泳池足球比赛中。</v>
      </c>
    </row>
    <row r="13938">
      <c r="A13938" s="4" t="s">
        <v>17546</v>
      </c>
      <c r="B13938" s="6" t="s">
        <v>17548</v>
      </c>
      <c r="C13938" s="5" t="str">
        <f>IFERROR(__xludf.DUMMYFUNCTION("GOOGLETRANSLATE(B13938,""en"",""zh-CN"")"),"球员大喊大叫，然后球朝进球击中，并随着人群欢呼雀跃。")</f>
        <v>球员大喊大叫，然后球朝进球击中，并随着人群欢呼雀跃。</v>
      </c>
    </row>
    <row r="13939">
      <c r="A13939" s="4" t="s">
        <v>17546</v>
      </c>
      <c r="B13939" s="4" t="s">
        <v>17549</v>
      </c>
      <c r="C13939" s="5" t="str">
        <f>IFERROR(__xludf.DUMMYFUNCTION("GOOGLETRANSLATE(B13939,""en"",""zh-CN"")"),"然后将球扔回游泳池。")</f>
        <v>然后将球扔回游泳池。</v>
      </c>
    </row>
    <row r="13940">
      <c r="A13940" s="4" t="s">
        <v>17550</v>
      </c>
      <c r="B13940" s="4" t="s">
        <v>17551</v>
      </c>
      <c r="C13940" s="5" t="str">
        <f>IFERROR(__xludf.DUMMYFUNCTION("GOOGLETRANSLATE(B13940,""en"",""zh-CN"")"),"一个男人跪在健身房。")</f>
        <v>一个男人跪在健身房。</v>
      </c>
    </row>
    <row r="13941">
      <c r="A13941" s="4" t="s">
        <v>17550</v>
      </c>
      <c r="B13941" s="4" t="s">
        <v>17552</v>
      </c>
      <c r="C13941" s="5" t="str">
        <f>IFERROR(__xludf.DUMMYFUNCTION("GOOGLETRANSLATE(B13941,""en"",""zh-CN"")"),"他跳来跳去时，他的肩膀上有一个杠铃。")</f>
        <v>他跳来跳去时，他的肩膀上有一个杠铃。</v>
      </c>
    </row>
    <row r="13942">
      <c r="A13942" s="4" t="s">
        <v>17550</v>
      </c>
      <c r="B13942" s="4" t="s">
        <v>17553</v>
      </c>
      <c r="C13942" s="5" t="str">
        <f>IFERROR(__xludf.DUMMYFUNCTION("GOOGLETRANSLATE(B13942,""en"",""zh-CN"")"),"他完全站立，然后掉下体重。")</f>
        <v>他完全站立，然后掉下体重。</v>
      </c>
    </row>
    <row r="13943">
      <c r="A13943" s="4" t="s">
        <v>17554</v>
      </c>
      <c r="B13943" s="4" t="s">
        <v>17555</v>
      </c>
      <c r="C13943" s="5" t="str">
        <f>IFERROR(__xludf.DUMMYFUNCTION("GOOGLETRANSLATE(B13943,""en"",""zh-CN"")"),"一个穿着白色衬衫的男人站在带拖把的厨房里。")</f>
        <v>一个穿着白色衬衫的男人站在带拖把的厨房里。</v>
      </c>
    </row>
    <row r="13944">
      <c r="A13944" s="4" t="s">
        <v>17554</v>
      </c>
      <c r="B13944" s="4" t="s">
        <v>17556</v>
      </c>
      <c r="C13944" s="5" t="str">
        <f>IFERROR(__xludf.DUMMYFUNCTION("GOOGLETRANSLATE(B13944,""en"",""zh-CN"")"),"该男子站在洗衣机前开始擦地板。")</f>
        <v>该男子站在洗衣机前开始擦地板。</v>
      </c>
    </row>
    <row r="13945">
      <c r="A13945" s="4" t="s">
        <v>17554</v>
      </c>
      <c r="B13945" s="6" t="s">
        <v>17557</v>
      </c>
      <c r="C13945" s="5" t="str">
        <f>IFERROR(__xludf.DUMMYFUNCTION("GOOGLETRANSLATE(B13945,""en"",""zh-CN"")"),"当他的左腿滑到地板上，他掉到了地板上时，该男子踩下几步并滑动。")</f>
        <v>当他的左腿滑到地板上，他掉到了地板上时，该男子踩下几步并滑动。</v>
      </c>
    </row>
    <row r="13946">
      <c r="A13946" s="4" t="s">
        <v>17558</v>
      </c>
      <c r="B13946" s="4" t="s">
        <v>17559</v>
      </c>
      <c r="C13946" s="5" t="str">
        <f>IFERROR(__xludf.DUMMYFUNCTION("GOOGLETRANSLATE(B13946,""en"",""zh-CN"")"),"两列火车沿着城市的高架铁路开车。")</f>
        <v>两列火车沿着城市的高架铁路开车。</v>
      </c>
    </row>
    <row r="13947">
      <c r="A13947" s="4" t="s">
        <v>17558</v>
      </c>
      <c r="B13947" s="4" t="s">
        <v>17560</v>
      </c>
      <c r="C13947" s="5" t="str">
        <f>IFERROR(__xludf.DUMMYFUNCTION("GOOGLETRANSLATE(B13947,""en"",""zh-CN"")"),"摄像机盘子显示一个男人坐在河边的原木上时玩口琴。")</f>
        <v>摄像机盘子显示一个男人坐在河边的原木上时玩口琴。</v>
      </c>
    </row>
    <row r="13948">
      <c r="A13948" s="4" t="s">
        <v>17558</v>
      </c>
      <c r="B13948" s="4" t="s">
        <v>17561</v>
      </c>
      <c r="C13948" s="5" t="str">
        <f>IFERROR(__xludf.DUMMYFUNCTION("GOOGLETRANSLATE(B13948,""en"",""zh-CN"")"),"火车驶过时，一名妇女在火车轨道附近行走。")</f>
        <v>火车驶过时，一名妇女在火车轨道附近行走。</v>
      </c>
    </row>
    <row r="13949">
      <c r="A13949" s="4" t="s">
        <v>17558</v>
      </c>
      <c r="B13949" s="4" t="s">
        <v>17562</v>
      </c>
      <c r="C13949" s="5" t="str">
        <f>IFERROR(__xludf.DUMMYFUNCTION("GOOGLETRANSLATE(B13949,""en"",""zh-CN"")"),"女人看到口琴在远处扮演男人。")</f>
        <v>女人看到口琴在远处扮演男人。</v>
      </c>
    </row>
    <row r="13950">
      <c r="A13950" s="4" t="s">
        <v>17558</v>
      </c>
      <c r="B13950" s="4" t="s">
        <v>17563</v>
      </c>
      <c r="C13950" s="5" t="str">
        <f>IFERROR(__xludf.DUMMYFUNCTION("GOOGLETRANSLATE(B13950,""en"",""zh-CN"")"),"她看着他，听他演奏。")</f>
        <v>她看着他，听他演奏。</v>
      </c>
    </row>
    <row r="13951">
      <c r="A13951" s="4" t="s">
        <v>17558</v>
      </c>
      <c r="B13951" s="4" t="s">
        <v>17564</v>
      </c>
      <c r="C13951" s="5" t="str">
        <f>IFERROR(__xludf.DUMMYFUNCTION("GOOGLETRANSLATE(B13951,""en"",""zh-CN"")"),"她走开离开那个男人。")</f>
        <v>她走开离开那个男人。</v>
      </c>
    </row>
    <row r="13952">
      <c r="A13952" s="4" t="s">
        <v>17558</v>
      </c>
      <c r="B13952" s="4" t="s">
        <v>17565</v>
      </c>
      <c r="C13952" s="5" t="str">
        <f>IFERROR(__xludf.DUMMYFUNCTION("GOOGLETRANSLATE(B13952,""en"",""zh-CN"")"),"男人结束比赛并保持坐姿。")</f>
        <v>男人结束比赛并保持坐姿。</v>
      </c>
    </row>
    <row r="13953">
      <c r="A13953" s="4" t="s">
        <v>17566</v>
      </c>
      <c r="B13953" s="6" t="s">
        <v>17567</v>
      </c>
      <c r="C13953" s="5" t="str">
        <f>IFERROR(__xludf.DUMMYFUNCTION("GOOGLETRANSLATE(B13953,""en"",""zh-CN"")"),"一个戴着沉重的围裙，厚重的手套和大塑料面具的男人走到坐在木桌上的工具上。")</f>
        <v>一个戴着沉重的围裙，厚重的手套和大塑料面具的男人走到坐在木桌上的工具上。</v>
      </c>
    </row>
    <row r="13954">
      <c r="A13954" s="4" t="s">
        <v>17566</v>
      </c>
      <c r="B13954" s="4" t="s">
        <v>17568</v>
      </c>
      <c r="C13954" s="5" t="str">
        <f>IFERROR(__xludf.DUMMYFUNCTION("GOOGLETRANSLATE(B13954,""en"",""zh-CN"")"),"该男子捡起该工具，然后将其触摸到桌子上的东西，使火花飞翔。")</f>
        <v>该男子捡起该工具，然后将其触摸到桌子上的东西，使火花飞翔。</v>
      </c>
    </row>
    <row r="13955">
      <c r="A13955" s="4" t="s">
        <v>17566</v>
      </c>
      <c r="B13955" s="4" t="s">
        <v>17569</v>
      </c>
      <c r="C13955" s="5" t="str">
        <f>IFERROR(__xludf.DUMMYFUNCTION("GOOGLETRANSLATE(B13955,""en"",""zh-CN"")"),"连续的火花喷射从工具上射出。")</f>
        <v>连续的火花喷射从工具上射出。</v>
      </c>
    </row>
    <row r="13956">
      <c r="A13956" s="4" t="s">
        <v>17566</v>
      </c>
      <c r="B13956" s="6" t="s">
        <v>17570</v>
      </c>
      <c r="C13956" s="5" t="str">
        <f>IFERROR(__xludf.DUMMYFUNCTION("GOOGLETRANSLATE(B13956,""en"",""zh-CN"")"),"该男子停下来并退后一步，一边拉面罩，看着桌子上的物品。")</f>
        <v>该男子停下来并退后一步，一边拉面罩，看着桌子上的物品。</v>
      </c>
    </row>
    <row r="13957">
      <c r="A13957" s="4" t="s">
        <v>17566</v>
      </c>
      <c r="B13957" s="6" t="s">
        <v>17571</v>
      </c>
      <c r="C13957" s="5" t="str">
        <f>IFERROR(__xludf.DUMMYFUNCTION("GOOGLETRANSLATE(B13957,""en"",""zh-CN"")"),"该男子将面膜拉回，开始使用该工具再次发出火花。")</f>
        <v>该男子将面膜拉回，开始使用该工具再次发出火花。</v>
      </c>
    </row>
    <row r="13958">
      <c r="A13958" s="4" t="s">
        <v>17566</v>
      </c>
      <c r="B13958" s="4" t="s">
        <v>17572</v>
      </c>
      <c r="C13958" s="5" t="str">
        <f>IFERROR(__xludf.DUMMYFUNCTION("GOOGLETRANSLATE(B13958,""en"",""zh-CN"")"),"该人停下来，回去看桌子上的物品。")</f>
        <v>该人停下来，回去看桌子上的物品。</v>
      </c>
    </row>
    <row r="13959">
      <c r="A13959" s="4" t="s">
        <v>17566</v>
      </c>
      <c r="B13959" s="4" t="s">
        <v>17573</v>
      </c>
      <c r="C13959" s="5" t="str">
        <f>IFERROR(__xludf.DUMMYFUNCTION("GOOGLETRANSLATE(B13959,""en"",""zh-CN"")"),"他再一次将工具触摸到该项目。")</f>
        <v>他再一次将工具触摸到该项目。</v>
      </c>
    </row>
    <row r="13960">
      <c r="A13960" s="4" t="s">
        <v>17566</v>
      </c>
      <c r="B13960" s="4" t="s">
        <v>17574</v>
      </c>
      <c r="C13960" s="5" t="str">
        <f>IFERROR(__xludf.DUMMYFUNCTION("GOOGLETRANSLATE(B13960,""en"",""zh-CN"")"),"然后，该男子看着他正在使用的工具，然后将其摇晃一点，然后将其放在桌子上。")</f>
        <v>然后，该男子看着他正在使用的工具，然后将其摇晃一点，然后将其放在桌子上。</v>
      </c>
    </row>
    <row r="13961">
      <c r="A13961" s="4" t="s">
        <v>17566</v>
      </c>
      <c r="B13961" s="4" t="s">
        <v>17575</v>
      </c>
      <c r="C13961" s="5" t="str">
        <f>IFERROR(__xludf.DUMMYFUNCTION("GOOGLETRANSLATE(B13961,""en"",""zh-CN"")"),"然后，那个男人脱下了他的手套，走开了。")</f>
        <v>然后，那个男人脱下了他的手套，走开了。</v>
      </c>
    </row>
    <row r="13962">
      <c r="A13962" s="4" t="s">
        <v>17576</v>
      </c>
      <c r="B13962" s="6" t="s">
        <v>17577</v>
      </c>
      <c r="C13962" s="5" t="str">
        <f>IFERROR(__xludf.DUMMYFUNCTION("GOOGLETRANSLATE(B13962,""en"",""zh-CN"")"),"显示了围绕台球桌子移动的球的特写，后面是一个人在桌子上行走。")</f>
        <v>显示了围绕台球桌子移动的球的特写，后面是一个人在桌子上行走。</v>
      </c>
    </row>
    <row r="13963">
      <c r="A13963" s="4" t="s">
        <v>17576</v>
      </c>
      <c r="B13963" s="6" t="s">
        <v>17578</v>
      </c>
      <c r="C13963" s="5" t="str">
        <f>IFERROR(__xludf.DUMMYFUNCTION("GOOGLETRANSLATE(B13963,""en"",""zh-CN"")"),"然后，两个人将球击中了桌子，第四次，而许多人则在他们周围观看并做出反应。")</f>
        <v>然后，两个人将球击中了桌子，第四次，而许多人则在他们周围观看并做出反应。</v>
      </c>
    </row>
    <row r="13964">
      <c r="A13964" s="4" t="s">
        <v>17579</v>
      </c>
      <c r="B13964" s="4" t="s">
        <v>17580</v>
      </c>
      <c r="C13964" s="5" t="str">
        <f>IFERROR(__xludf.DUMMYFUNCTION("GOOGLETRANSLATE(B13964,""en"",""zh-CN"")"),"看到一小群人坐在保险杠汽车上，彼此在玩游戏。")</f>
        <v>看到一小群人坐在保险杠汽车上，彼此在玩游戏。</v>
      </c>
    </row>
    <row r="13965">
      <c r="A13965" s="4" t="s">
        <v>17579</v>
      </c>
      <c r="B13965" s="4" t="s">
        <v>17581</v>
      </c>
      <c r="C13965" s="5" t="str">
        <f>IFERROR(__xludf.DUMMYFUNCTION("GOOGLETRANSLATE(B13965,""en"",""zh-CN"")"),"人们在汽车上行驶的人，而其他人则在侧面看。")</f>
        <v>人们在汽车上行驶的人，而其他人则在侧面看。</v>
      </c>
    </row>
    <row r="13966">
      <c r="A13966" s="4" t="s">
        <v>17579</v>
      </c>
      <c r="B13966" s="4" t="s">
        <v>17582</v>
      </c>
      <c r="C13966" s="5" t="str">
        <f>IFERROR(__xludf.DUMMYFUNCTION("GOOGLETRANSLATE(B13966,""en"",""zh-CN"")"),"另一个镜头显示了人们玩碰碰车并互相撞倒的镜头。")</f>
        <v>另一个镜头显示了人们玩碰碰车并互相撞倒的镜头。</v>
      </c>
    </row>
    <row r="13967">
      <c r="A13967" s="4" t="s">
        <v>17583</v>
      </c>
      <c r="B13967" s="4" t="s">
        <v>17584</v>
      </c>
      <c r="C13967" s="5" t="str">
        <f>IFERROR(__xludf.DUMMYFUNCTION("GOOGLETRANSLATE(B13967,""en"",""zh-CN"")"),"一个女孩站在浴室镜子前，猛烈地揉着脸。")</f>
        <v>一个女孩站在浴室镜子前，猛烈地揉着脸。</v>
      </c>
    </row>
    <row r="13968">
      <c r="A13968" s="4" t="s">
        <v>17583</v>
      </c>
      <c r="B13968" s="4" t="s">
        <v>17585</v>
      </c>
      <c r="C13968" s="5" t="str">
        <f>IFERROR(__xludf.DUMMYFUNCTION("GOOGLETRANSLATE(B13968,""en"",""zh-CN"")"),"女孩打开水龙头。")</f>
        <v>女孩打开水龙头。</v>
      </c>
    </row>
    <row r="13969">
      <c r="A13969" s="4" t="s">
        <v>17583</v>
      </c>
      <c r="B13969" s="4" t="s">
        <v>17586</v>
      </c>
      <c r="C13969" s="5" t="str">
        <f>IFERROR(__xludf.DUMMYFUNCTION("GOOGLETRANSLATE(B13969,""en"",""zh-CN"")"),"然后，女孩几次将水溅到她的脸上。")</f>
        <v>然后，女孩几次将水溅到她的脸上。</v>
      </c>
    </row>
    <row r="13970">
      <c r="A13970" s="4" t="s">
        <v>17583</v>
      </c>
      <c r="B13970" s="4" t="s">
        <v>17587</v>
      </c>
      <c r="C13970" s="5" t="str">
        <f>IFERROR(__xludf.DUMMYFUNCTION("GOOGLETRANSLATE(B13970,""en"",""zh-CN"")"),"女孩用毛巾擦脸。")</f>
        <v>女孩用毛巾擦脸。</v>
      </c>
    </row>
    <row r="13971">
      <c r="A13971" s="4" t="s">
        <v>17588</v>
      </c>
      <c r="B13971" s="4" t="s">
        <v>17589</v>
      </c>
      <c r="C13971" s="5" t="str">
        <f>IFERROR(__xludf.DUMMYFUNCTION("GOOGLETRANSLATE(B13971,""en"",""zh-CN"")"),"简介导致一个胡须的男人与相机交谈，并向屏幕上展示一个物体。")</f>
        <v>简介导致一个胡须的男人与相机交谈，并向屏幕上展示一个物体。</v>
      </c>
    </row>
    <row r="13972">
      <c r="A13972" s="4" t="s">
        <v>17588</v>
      </c>
      <c r="B13972" s="4" t="s">
        <v>17590</v>
      </c>
      <c r="C13972" s="5" t="str">
        <f>IFERROR(__xludf.DUMMYFUNCTION("GOOGLETRANSLATE(B13972,""en"",""zh-CN"")"),"他使用该工具将地毯区域推到并继续与相机交谈。")</f>
        <v>他使用该工具将地毯区域推到并继续与相机交谈。</v>
      </c>
    </row>
    <row r="13973">
      <c r="A13973" s="4" t="s">
        <v>17591</v>
      </c>
      <c r="B13973" s="6" t="s">
        <v>17592</v>
      </c>
      <c r="C13973" s="5" t="str">
        <f>IFERROR(__xludf.DUMMYFUNCTION("GOOGLETRANSLATE(B13973,""en"",""zh-CN"")"),"几个多色和形状的风筝在海滩环境上方的空气中高高飞，这些风筝散布着准备驾驶风筝和围观者的图像。")</f>
        <v>几个多色和形状的风筝在海滩环境上方的空气中高高飞，这些风筝散布着准备驾驶风筝和围观者的图像。</v>
      </c>
    </row>
    <row r="13974">
      <c r="A13974" s="4" t="s">
        <v>17591</v>
      </c>
      <c r="B13974" s="4" t="s">
        <v>17593</v>
      </c>
      <c r="C13974" s="5" t="str">
        <f>IFERROR(__xludf.DUMMYFUNCTION("GOOGLETRANSLATE(B13974,""en"",""zh-CN"")"),"几个风筝在空中飞来飞去，在一个灿烂的蓝天，在沙质区域上飞行。")</f>
        <v>几个风筝在空中飞来飞去，在一个灿烂的蓝天，在沙质区域上飞行。</v>
      </c>
    </row>
    <row r="13975">
      <c r="A13975" s="4" t="s">
        <v>17591</v>
      </c>
      <c r="B13975" s="4" t="s">
        <v>17594</v>
      </c>
      <c r="C13975" s="5" t="str">
        <f>IFERROR(__xludf.DUMMYFUNCTION("GOOGLETRANSLATE(B13975,""en"",""zh-CN"")"),"看到一个男人跪在沙滩上的一些设备上。")</f>
        <v>看到一个男人跪在沙滩上的一些设备上。</v>
      </c>
    </row>
    <row r="13976">
      <c r="A13976" s="4" t="s">
        <v>17591</v>
      </c>
      <c r="B13976" s="4" t="s">
        <v>17595</v>
      </c>
      <c r="C13976" s="5" t="str">
        <f>IFERROR(__xludf.DUMMYFUNCTION("GOOGLETRANSLATE(B13976,""en"",""zh-CN"")"),"当人们观看风筝风格的各种风格时，更多的风筝飞翔，其中包括一个像狗一样形状的风筝。")</f>
        <v>当人们观看风筝风格的各种风格时，更多的风筝飞翔，其中包括一个像狗一样形状的风筝。</v>
      </c>
    </row>
    <row r="13977">
      <c r="A13977" s="4" t="s">
        <v>17596</v>
      </c>
      <c r="B13977" s="4" t="s">
        <v>17597</v>
      </c>
      <c r="C13977" s="5" t="str">
        <f>IFERROR(__xludf.DUMMYFUNCTION("GOOGLETRANSLATE(B13977,""en"",""zh-CN"")"),"一位女士躺在地毯房间里的瑜伽垫上，说话时确实坐了起来。")</f>
        <v>一位女士躺在地毯房间里的瑜伽垫上，说话时确实坐了起来。</v>
      </c>
    </row>
    <row r="13978">
      <c r="A13978" s="4" t="s">
        <v>17596</v>
      </c>
      <c r="B13978" s="4" t="s">
        <v>17598</v>
      </c>
      <c r="C13978" s="5" t="str">
        <f>IFERROR(__xludf.DUMMYFUNCTION("GOOGLETRANSLATE(B13978,""en"",""zh-CN"")"),"手指进入屏幕。")</f>
        <v>手指进入屏幕。</v>
      </c>
    </row>
    <row r="13979">
      <c r="A13979" s="4" t="s">
        <v>17596</v>
      </c>
      <c r="B13979" s="4" t="s">
        <v>17599</v>
      </c>
      <c r="C13979" s="5" t="str">
        <f>IFERROR(__xludf.DUMMYFUNCTION("GOOGLETRANSLATE(B13979,""en"",""zh-CN"")"),"女士结束并停下来。")</f>
        <v>女士结束并停下来。</v>
      </c>
    </row>
    <row r="13980">
      <c r="A13980" s="4" t="s">
        <v>17600</v>
      </c>
      <c r="B13980" s="6" t="s">
        <v>17601</v>
      </c>
      <c r="C13980" s="5" t="str">
        <f>IFERROR(__xludf.DUMMYFUNCTION("GOOGLETRANSLATE(B13980,""en"",""zh-CN"")"),"在将冰倒入玻璃杯中，并将各种液体倒入搅拌机中时，显示了调酒师在相机上说话。")</f>
        <v>在将冰倒入玻璃杯中，并将各种液体倒入搅拌机中时，显示了调酒师在相机上说话。</v>
      </c>
    </row>
    <row r="13981">
      <c r="A13981" s="4" t="s">
        <v>17600</v>
      </c>
      <c r="B13981" s="4" t="s">
        <v>17602</v>
      </c>
      <c r="C13981" s="5" t="str">
        <f>IFERROR(__xludf.DUMMYFUNCTION("GOOGLETRANSLATE(B13981,""en"",""zh-CN"")"),"他将更多的冰倒入搅拌机中，然后将液体混合在一起。")</f>
        <v>他将更多的冰倒入搅拌机中，然后将液体混合在一起。</v>
      </c>
    </row>
    <row r="13982">
      <c r="A13982" s="4" t="s">
        <v>17600</v>
      </c>
      <c r="B13982" s="4" t="s">
        <v>17603</v>
      </c>
      <c r="C13982" s="5" t="str">
        <f>IFERROR(__xludf.DUMMYFUNCTION("GOOGLETRANSLATE(B13982,""en"",""zh-CN"")"),"他倒出液体，然后将稻草放入玻璃杯中，同时相机周围。")</f>
        <v>他倒出液体，然后将稻草放入玻璃杯中，同时相机周围。</v>
      </c>
    </row>
    <row r="13983">
      <c r="A13983" s="4" t="s">
        <v>17604</v>
      </c>
      <c r="B13983" s="4" t="s">
        <v>17605</v>
      </c>
      <c r="C13983" s="5" t="str">
        <f>IFERROR(__xludf.DUMMYFUNCTION("GOOGLETRANSLATE(B13983,""en"",""zh-CN"")"),"一个在健身房里的男人戴着一副拳击手套。")</f>
        <v>一个在健身房里的男人戴着一副拳击手套。</v>
      </c>
    </row>
    <row r="13984">
      <c r="A13984" s="4" t="s">
        <v>17604</v>
      </c>
      <c r="B13984" s="4" t="s">
        <v>17606</v>
      </c>
      <c r="C13984" s="5" t="str">
        <f>IFERROR(__xludf.DUMMYFUNCTION("GOOGLETRANSLATE(B13984,""en"",""zh-CN"")"),"他开始打袋子，这样做时绕圈走来走去。")</f>
        <v>他开始打袋子，这样做时绕圈走来走去。</v>
      </c>
    </row>
    <row r="13985">
      <c r="A13985" s="4" t="s">
        <v>17604</v>
      </c>
      <c r="B13985" s="4" t="s">
        <v>17607</v>
      </c>
      <c r="C13985" s="5" t="str">
        <f>IFERROR(__xludf.DUMMYFUNCTION("GOOGLETRANSLATE(B13985,""en"",""zh-CN"")"),"他继续打孔，然后我们看到一个男人跳绳的景色。")</f>
        <v>他继续打孔，然后我们看到一个男人跳绳的景色。</v>
      </c>
    </row>
    <row r="13986">
      <c r="A13986" s="4" t="s">
        <v>17608</v>
      </c>
      <c r="B13986" s="4" t="s">
        <v>17609</v>
      </c>
      <c r="C13986" s="5" t="str">
        <f>IFERROR(__xludf.DUMMYFUNCTION("GOOGLETRANSLATE(B13986,""en"",""zh-CN"")"),"我们看到一个黑色的打开徽标。")</f>
        <v>我们看到一个黑色的打开徽标。</v>
      </c>
    </row>
    <row r="13987">
      <c r="A13987" s="4" t="s">
        <v>17608</v>
      </c>
      <c r="B13987" s="4" t="s">
        <v>17610</v>
      </c>
      <c r="C13987" s="5" t="str">
        <f>IFERROR(__xludf.DUMMYFUNCTION("GOOGLETRANSLATE(B13987,""en"",""zh-CN"")"),"一个人用刀子像工具一样蚀刻南瓜。")</f>
        <v>一个人用刀子像工具一样蚀刻南瓜。</v>
      </c>
    </row>
    <row r="13988">
      <c r="A13988" s="4" t="s">
        <v>17608</v>
      </c>
      <c r="B13988" s="4" t="s">
        <v>17611</v>
      </c>
      <c r="C13988" s="5" t="str">
        <f>IFERROR(__xludf.DUMMYFUNCTION("GOOGLETRANSLATE(B13988,""en"",""zh-CN"")"),"然后，该男子将徽标雕刻成南瓜。")</f>
        <v>然后，该男子将徽标雕刻成南瓜。</v>
      </c>
    </row>
    <row r="13989">
      <c r="A13989" s="4" t="s">
        <v>17608</v>
      </c>
      <c r="B13989" s="4" t="s">
        <v>17612</v>
      </c>
      <c r="C13989" s="5" t="str">
        <f>IFERROR(__xludf.DUMMYFUNCTION("GOOGLETRANSLATE(B13989,""en"",""zh-CN"")"),"我们看到南瓜里面有光线。")</f>
        <v>我们看到南瓜里面有光线。</v>
      </c>
    </row>
    <row r="13990">
      <c r="A13990" s="4" t="s">
        <v>17608</v>
      </c>
      <c r="B13990" s="4" t="s">
        <v>17613</v>
      </c>
      <c r="C13990" s="5" t="str">
        <f>IFERROR(__xludf.DUMMYFUNCTION("GOOGLETRANSLATE(B13990,""en"",""zh-CN"")"),"然后，我们看到与打开的相同徽标。")</f>
        <v>然后，我们看到与打开的相同徽标。</v>
      </c>
    </row>
    <row r="13991">
      <c r="A13991" s="4" t="s">
        <v>17614</v>
      </c>
      <c r="B13991" s="4" t="s">
        <v>17615</v>
      </c>
      <c r="C13991" s="5" t="str">
        <f>IFERROR(__xludf.DUMMYFUNCTION("GOOGLETRANSLATE(B13991,""en"",""zh-CN"")"),"一个男人和一个戴着滚筒刀片的男人和一个女人在篮球场上跪下。")</f>
        <v>一个男人和一个戴着滚筒刀片的男人和一个女人在篮球场上跪下。</v>
      </c>
    </row>
    <row r="13992">
      <c r="A13992" s="4" t="s">
        <v>17614</v>
      </c>
      <c r="B13992" s="4" t="s">
        <v>17616</v>
      </c>
      <c r="C13992" s="5" t="str">
        <f>IFERROR(__xludf.DUMMYFUNCTION("GOOGLETRANSLATE(B13992,""en"",""zh-CN"")"),"一只狗被男人和女人奔跑。")</f>
        <v>一只狗被男人和女人奔跑。</v>
      </c>
    </row>
    <row r="13993">
      <c r="A13993" s="4" t="s">
        <v>17614</v>
      </c>
      <c r="B13993" s="4" t="s">
        <v>17617</v>
      </c>
      <c r="C13993" s="5" t="str">
        <f>IFERROR(__xludf.DUMMYFUNCTION("GOOGLETRANSLATE(B13993,""en"",""zh-CN"")"),"男人和女人在一起。")</f>
        <v>男人和女人在一起。</v>
      </c>
    </row>
    <row r="13994">
      <c r="A13994" s="4" t="s">
        <v>17614</v>
      </c>
      <c r="B13994" s="4" t="s">
        <v>17618</v>
      </c>
      <c r="C13994" s="5" t="str">
        <f>IFERROR(__xludf.DUMMYFUNCTION("GOOGLETRANSLATE(B13994,""en"",""zh-CN"")"),"男人和女人表演配对的滚筒刀片常规。")</f>
        <v>男人和女人表演配对的滚筒刀片常规。</v>
      </c>
    </row>
    <row r="13995">
      <c r="A13995" s="4" t="s">
        <v>17614</v>
      </c>
      <c r="B13995" s="4" t="s">
        <v>17619</v>
      </c>
      <c r="C13995" s="5" t="str">
        <f>IFERROR(__xludf.DUMMYFUNCTION("GOOGLETRANSLATE(B13995,""en"",""zh-CN"")"),"男人和女人完成了例行程序，并朝着相机移动。")</f>
        <v>男人和女人完成了例行程序，并朝着相机移动。</v>
      </c>
    </row>
    <row r="13996">
      <c r="A13996" s="4" t="s">
        <v>17620</v>
      </c>
      <c r="B13996" s="4" t="s">
        <v>17621</v>
      </c>
      <c r="C13996" s="5" t="str">
        <f>IFERROR(__xludf.DUMMYFUNCTION("GOOGLETRANSLATE(B13996,""en"",""zh-CN"")"),"看到一个男人在相机上说话，并导致他在一组鼓上演奏。")</f>
        <v>看到一个男人在相机上说话，并导致他在一组鼓上演奏。</v>
      </c>
    </row>
    <row r="13997">
      <c r="A13997" s="4" t="s">
        <v>17620</v>
      </c>
      <c r="B13997" s="6" t="s">
        <v>17622</v>
      </c>
      <c r="C13997" s="5" t="str">
        <f>IFERROR(__xludf.DUMMYFUNCTION("GOOGLETRANSLATE(B13997,""en"",""zh-CN"")"),"该男子继续用手对镜头说话，并在环顾四周时移动棍棒。")</f>
        <v>该男子继续用手对镜头说话，并在环顾四周时移动棍棒。</v>
      </c>
    </row>
    <row r="13998">
      <c r="A13998" s="4" t="s">
        <v>17623</v>
      </c>
      <c r="B13998" s="4" t="s">
        <v>17624</v>
      </c>
      <c r="C13998" s="5" t="str">
        <f>IFERROR(__xludf.DUMMYFUNCTION("GOOGLETRANSLATE(B13998,""en"",""zh-CN"")"),"主人进入枪支商店并在周围跳舞。")</f>
        <v>主人进入枪支商店并在周围跳舞。</v>
      </c>
    </row>
    <row r="13999">
      <c r="A13999" s="4" t="s">
        <v>17623</v>
      </c>
      <c r="B13999" s="4" t="s">
        <v>17625</v>
      </c>
      <c r="C13999" s="5" t="str">
        <f>IFERROR(__xludf.DUMMYFUNCTION("GOOGLETRANSLATE(B13999,""en"",""zh-CN"")"),"之后，演出的戏剧。")</f>
        <v>之后，演出的戏剧。</v>
      </c>
    </row>
    <row r="14000">
      <c r="A14000" s="4" t="s">
        <v>17623</v>
      </c>
      <c r="B14000" s="4" t="s">
        <v>17626</v>
      </c>
      <c r="C14000" s="5" t="str">
        <f>IFERROR(__xludf.DUMMYFUNCTION("GOOGLETRANSLATE(B14000,""en"",""zh-CN"")"),"然后，他继续在商店里聊了一会儿，并用枪剪了几次。")</f>
        <v>然后，他继续在商店里聊了一会儿，并用枪剪了几次。</v>
      </c>
    </row>
    <row r="14001">
      <c r="A14001" s="4" t="s">
        <v>17623</v>
      </c>
      <c r="B14001" s="4" t="s">
        <v>17627</v>
      </c>
      <c r="C14001" s="5" t="str">
        <f>IFERROR(__xludf.DUMMYFUNCTION("GOOGLETRANSLATE(B14001,""en"",""zh-CN"")"),"之后，该细分市场的表现获得了积分。")</f>
        <v>之后，该细分市场的表现获得了积分。</v>
      </c>
    </row>
    <row r="14002">
      <c r="A14002" s="4" t="s">
        <v>17628</v>
      </c>
      <c r="B14002" s="4" t="s">
        <v>17629</v>
      </c>
      <c r="C14002" s="5" t="str">
        <f>IFERROR(__xludf.DUMMYFUNCTION("GOOGLETRANSLATE(B14002,""en"",""zh-CN"")"),"一台摄像头从海滩上扔出，然后是数百人划独木舟。")</f>
        <v>一台摄像头从海滩上扔出，然后是数百人划独木舟。</v>
      </c>
    </row>
    <row r="14003">
      <c r="A14003" s="4" t="s">
        <v>17628</v>
      </c>
      <c r="B14003" s="6" t="s">
        <v>17630</v>
      </c>
      <c r="C14003" s="5" t="str">
        <f>IFERROR(__xludf.DUMMYFUNCTION("GOOGLETRANSLATE(B14003,""en"",""zh-CN"")"),"人们看到人们沿着海滩奔跑，划船独木舟和一个坐在桌子上的男人。")</f>
        <v>人们看到人们沿着海滩奔跑，划船独木舟和一个坐在桌子上的男人。</v>
      </c>
    </row>
    <row r="14004">
      <c r="A14004" s="4" t="s">
        <v>17628</v>
      </c>
      <c r="B14004" s="6" t="s">
        <v>17631</v>
      </c>
      <c r="C14004" s="5" t="str">
        <f>IFERROR(__xludf.DUMMYFUNCTION("GOOGLETRANSLATE(B14004,""en"",""zh-CN"")"),"该男子检查手机，向远处望去，并显示了另一张划独木舟的人。")</f>
        <v>该男子检查手机，向远处望去，并显示了另一张划独木舟的人。</v>
      </c>
    </row>
    <row r="14005">
      <c r="A14005" s="4" t="s">
        <v>17632</v>
      </c>
      <c r="B14005" s="4" t="s">
        <v>17633</v>
      </c>
      <c r="C14005" s="5" t="str">
        <f>IFERROR(__xludf.DUMMYFUNCTION("GOOGLETRANSLATE(B14005,""en"",""zh-CN"")"),"我们在黑屏上看到标题。")</f>
        <v>我们在黑屏上看到标题。</v>
      </c>
    </row>
    <row r="14006">
      <c r="A14006" s="4" t="s">
        <v>17632</v>
      </c>
      <c r="B14006" s="4" t="s">
        <v>17634</v>
      </c>
      <c r="C14006" s="5" t="str">
        <f>IFERROR(__xludf.DUMMYFUNCTION("GOOGLETRANSLATE(B14006,""en"",""zh-CN"")"),"我们看到带有学校名称的乐器和墙。")</f>
        <v>我们看到带有学校名称的乐器和墙。</v>
      </c>
    </row>
    <row r="14007">
      <c r="A14007" s="4" t="s">
        <v>17632</v>
      </c>
      <c r="B14007" s="4" t="s">
        <v>17635</v>
      </c>
      <c r="C14007" s="5" t="str">
        <f>IFERROR(__xludf.DUMMYFUNCTION("GOOGLETRANSLATE(B14007,""en"",""zh-CN"")"),"人们被显示为热身。")</f>
        <v>人们被显示为热身。</v>
      </c>
    </row>
    <row r="14008">
      <c r="A14008" s="4" t="s">
        <v>17632</v>
      </c>
      <c r="B14008" s="4" t="s">
        <v>17636</v>
      </c>
      <c r="C14008" s="5" t="str">
        <f>IFERROR(__xludf.DUMMYFUNCTION("GOOGLETRANSLATE(B14008,""en"",""zh-CN"")"),"然后，我们显示了Capoeira技术。")</f>
        <v>然后，我们显示了Capoeira技术。</v>
      </c>
    </row>
    <row r="14009">
      <c r="A14009" s="4" t="s">
        <v>17632</v>
      </c>
      <c r="B14009" s="4" t="s">
        <v>17637</v>
      </c>
      <c r="C14009" s="5" t="str">
        <f>IFERROR(__xludf.DUMMYFUNCTION("GOOGLETRANSLATE(B14009,""en"",""zh-CN"")"),"人们正在练习Capoeira动作。")</f>
        <v>人们正在练习Capoeira动作。</v>
      </c>
    </row>
    <row r="14010">
      <c r="A14010" s="4" t="s">
        <v>17632</v>
      </c>
      <c r="B14010" s="4" t="s">
        <v>17638</v>
      </c>
      <c r="C14010" s="5" t="str">
        <f>IFERROR(__xludf.DUMMYFUNCTION("GOOGLETRANSLATE(B14010,""en"",""zh-CN"")"),"女士们正在解释为什么他们选择Capoeira。")</f>
        <v>女士们正在解释为什么他们选择Capoeira。</v>
      </c>
    </row>
    <row r="14011">
      <c r="A14011" s="4" t="s">
        <v>17632</v>
      </c>
      <c r="B14011" s="4" t="s">
        <v>17639</v>
      </c>
      <c r="C14011" s="5" t="str">
        <f>IFERROR(__xludf.DUMMYFUNCTION("GOOGLETRANSLATE(B14011,""en"",""zh-CN"")"),"向我们显示了网站的最终卡。")</f>
        <v>向我们显示了网站的最终卡。</v>
      </c>
    </row>
    <row r="14012">
      <c r="A14012" s="4" t="s">
        <v>17640</v>
      </c>
      <c r="B14012" s="4" t="s">
        <v>17641</v>
      </c>
      <c r="C14012" s="5" t="str">
        <f>IFERROR(__xludf.DUMMYFUNCTION("GOOGLETRANSLATE(B14012,""en"",""zh-CN"")"),"一个人将一张白纸铺在墙上。")</f>
        <v>一个人将一张白纸铺在墙上。</v>
      </c>
    </row>
    <row r="14013">
      <c r="A14013" s="4" t="s">
        <v>17640</v>
      </c>
      <c r="B14013" s="4" t="s">
        <v>17642</v>
      </c>
      <c r="C14013" s="5" t="str">
        <f>IFERROR(__xludf.DUMMYFUNCTION("GOOGLETRANSLATE(B14013,""en"",""zh-CN"")"),"然后，他按下一张照片，上面印有照片在白色背景上。")</f>
        <v>然后，他按下一张照片，上面印有照片在白色背景上。</v>
      </c>
    </row>
    <row r="14014">
      <c r="A14014" s="4" t="s">
        <v>17640</v>
      </c>
      <c r="B14014" s="6" t="s">
        <v>17643</v>
      </c>
      <c r="C14014" s="5" t="str">
        <f>IFERROR(__xludf.DUMMYFUNCTION("GOOGLETRANSLATE(B14014,""en"",""zh-CN"")"),"完成后，有一张黄色摩托车停在客厅墙上的砖墙上的照片。")</f>
        <v>完成后，有一张黄色摩托车停在客厅墙上的砖墙上的照片。</v>
      </c>
    </row>
    <row r="14015">
      <c r="A14015" s="4" t="s">
        <v>17644</v>
      </c>
      <c r="B14015" s="4" t="s">
        <v>17645</v>
      </c>
      <c r="C14015" s="5" t="str">
        <f>IFERROR(__xludf.DUMMYFUNCTION("GOOGLETRANSLATE(B14015,""en"",""zh-CN"")"),"一个男人说话时正站在衣橱前。")</f>
        <v>一个男人说话时正站在衣橱前。</v>
      </c>
    </row>
    <row r="14016">
      <c r="A14016" s="4" t="s">
        <v>17644</v>
      </c>
      <c r="B14016" s="4" t="s">
        <v>17646</v>
      </c>
      <c r="C14016" s="5" t="str">
        <f>IFERROR(__xludf.DUMMYFUNCTION("GOOGLETRANSLATE(B14016,""en"",""zh-CN"")"),"衣橱有一个近距离的，跨越了其长度。")</f>
        <v>衣橱有一个近距离的，跨越了其长度。</v>
      </c>
    </row>
    <row r="14017">
      <c r="A14017" s="4" t="s">
        <v>17644</v>
      </c>
      <c r="B14017" s="4" t="s">
        <v>17647</v>
      </c>
      <c r="C14017" s="5" t="str">
        <f>IFERROR(__xludf.DUMMYFUNCTION("GOOGLETRANSLATE(B14017,""en"",""zh-CN"")"),"该男子在木头上碰到几个裂缝和薯条，谈论它们。")</f>
        <v>该男子在木头上碰到几个裂缝和薯条，谈论它们。</v>
      </c>
    </row>
    <row r="14018">
      <c r="A14018" s="4" t="s">
        <v>17644</v>
      </c>
      <c r="B14018" s="4" t="s">
        <v>17648</v>
      </c>
      <c r="C14018" s="5" t="str">
        <f>IFERROR(__xludf.DUMMYFUNCTION("GOOGLETRANSLATE(B14018,""en"",""zh-CN"")"),"屏幕上单独显示了几种家用物品。")</f>
        <v>屏幕上单独显示了几种家用物品。</v>
      </c>
    </row>
    <row r="14019">
      <c r="A14019" s="4" t="s">
        <v>17644</v>
      </c>
      <c r="B14019" s="4" t="s">
        <v>17649</v>
      </c>
      <c r="C14019" s="5" t="str">
        <f>IFERROR(__xludf.DUMMYFUNCTION("GOOGLETRANSLATE(B14019,""en"",""zh-CN"")"),"该男子使用这些物品来刮擦，清洁并覆盖裂缝和划痕。")</f>
        <v>该男子使用这些物品来刮擦，清洁并覆盖裂缝和划痕。</v>
      </c>
    </row>
    <row r="14020">
      <c r="A14020" s="4" t="s">
        <v>17644</v>
      </c>
      <c r="B14020" s="6" t="s">
        <v>17650</v>
      </c>
      <c r="C14020" s="5" t="str">
        <f>IFERROR(__xludf.DUMMYFUNCTION("GOOGLETRANSLATE(B14020,""en"",""zh-CN"")"),"当男人对相机上的最后一句话时，最终的产品显示出无裂纹和划痕。")</f>
        <v>当男人对相机上的最后一句话时，最终的产品显示出无裂纹和划痕。</v>
      </c>
    </row>
    <row r="14021">
      <c r="A14021" s="4" t="s">
        <v>17651</v>
      </c>
      <c r="B14021" s="4" t="s">
        <v>17652</v>
      </c>
      <c r="C14021" s="5" t="str">
        <f>IFERROR(__xludf.DUMMYFUNCTION("GOOGLETRANSLATE(B14021,""en"",""zh-CN"")"),"一个男人坐在钢琴上。")</f>
        <v>一个男人坐在钢琴上。</v>
      </c>
    </row>
    <row r="14022">
      <c r="A14022" s="4" t="s">
        <v>17651</v>
      </c>
      <c r="B14022" s="4" t="s">
        <v>17653</v>
      </c>
      <c r="C14022" s="5" t="str">
        <f>IFERROR(__xludf.DUMMYFUNCTION("GOOGLETRANSLATE(B14022,""en"",""zh-CN"")"),"他开始演奏曲调，在演奏时来回看着钥匙。")</f>
        <v>他开始演奏曲调，在演奏时来回看着钥匙。</v>
      </c>
    </row>
    <row r="14023">
      <c r="A14023" s="4" t="s">
        <v>17651</v>
      </c>
      <c r="B14023" s="4" t="s">
        <v>17654</v>
      </c>
      <c r="C14023" s="5" t="str">
        <f>IFERROR(__xludf.DUMMYFUNCTION("GOOGLETRANSLATE(B14023,""en"",""zh-CN"")"),"他停下来，转过头说话。")</f>
        <v>他停下来，转过头说话。</v>
      </c>
    </row>
    <row r="14024">
      <c r="A14024" s="4" t="s">
        <v>17655</v>
      </c>
      <c r="B14024" s="4" t="s">
        <v>17656</v>
      </c>
      <c r="C14024" s="5" t="str">
        <f>IFERROR(__xludf.DUMMYFUNCTION("GOOGLETRANSLATE(B14024,""en"",""zh-CN"")"),"一个穿着深蓝色衬衫和辫子的男人开始玩邦戈斯。")</f>
        <v>一个穿着深蓝色衬衫和辫子的男人开始玩邦戈斯。</v>
      </c>
    </row>
    <row r="14025">
      <c r="A14025" s="4" t="s">
        <v>17655</v>
      </c>
      <c r="B14025" s="4" t="s">
        <v>17657</v>
      </c>
      <c r="C14025" s="5" t="str">
        <f>IFERROR(__xludf.DUMMYFUNCTION("GOOGLETRANSLATE(B14025,""en"",""zh-CN"")"),"当他有节奏地摇头时，他开始在邦戈斯打鼓。")</f>
        <v>当他有节奏地摇头时，他开始在邦戈斯打鼓。</v>
      </c>
    </row>
    <row r="14026">
      <c r="A14026" s="4" t="s">
        <v>17655</v>
      </c>
      <c r="B14026" s="4" t="s">
        <v>17658</v>
      </c>
      <c r="C14026" s="5" t="str">
        <f>IFERROR(__xludf.DUMMYFUNCTION("GOOGLETRANSLATE(B14026,""en"",""zh-CN"")"),"他继续在两个鼓之间交替在邦戈斯舞。")</f>
        <v>他继续在两个鼓之间交替在邦戈斯舞。</v>
      </c>
    </row>
    <row r="14027">
      <c r="A14027" s="4" t="s">
        <v>17655</v>
      </c>
      <c r="B14027" s="4" t="s">
        <v>17659</v>
      </c>
      <c r="C14027" s="5" t="str">
        <f>IFERROR(__xludf.DUMMYFUNCTION("GOOGLETRANSLATE(B14027,""en"",""zh-CN"")"),"他玩了一段时间，然后停止在邦戈斯舞。")</f>
        <v>他玩了一段时间，然后停止在邦戈斯舞。</v>
      </c>
    </row>
    <row r="14028">
      <c r="A14028" s="4" t="s">
        <v>17660</v>
      </c>
      <c r="B14028" s="4" t="s">
        <v>17661</v>
      </c>
      <c r="C14028" s="5" t="str">
        <f>IFERROR(__xludf.DUMMYFUNCTION("GOOGLETRANSLATE(B14028,""en"",""zh-CN"")"),"看到一大批人坐在筏子里，沿着一条粗糙的河流划船。")</f>
        <v>看到一大批人坐在筏子里，沿着一条粗糙的河流划船。</v>
      </c>
    </row>
    <row r="14029">
      <c r="A14029" s="4" t="s">
        <v>17660</v>
      </c>
      <c r="B14029" s="6" t="s">
        <v>17662</v>
      </c>
      <c r="C14029" s="5" t="str">
        <f>IFERROR(__xludf.DUMMYFUNCTION("GOOGLETRANSLATE(B14029,""en"",""zh-CN"")"),"摄像机到处都是坐在筏子里的人，继续前进并在桥下移动。")</f>
        <v>摄像机到处都是坐在筏子里的人，继续前进并在桥下移动。</v>
      </c>
    </row>
    <row r="14030">
      <c r="A14030" s="4" t="s">
        <v>17663</v>
      </c>
      <c r="B14030" s="4" t="s">
        <v>1487</v>
      </c>
      <c r="C14030" s="5" t="str">
        <f>IFERROR(__xludf.DUMMYFUNCTION("GOOGLETRANSLATE(B14030,""en"",""zh-CN"")"),"我们看到一个开放标题屏幕。")</f>
        <v>我们看到一个开放标题屏幕。</v>
      </c>
    </row>
    <row r="14031">
      <c r="A14031" s="4" t="s">
        <v>17663</v>
      </c>
      <c r="B14031" s="4" t="s">
        <v>17664</v>
      </c>
      <c r="C14031" s="5" t="str">
        <f>IFERROR(__xludf.DUMMYFUNCTION("GOOGLETRANSLATE(B14031,""en"",""zh-CN"")"),"我们看到新闻记者讲话。")</f>
        <v>我们看到新闻记者讲话。</v>
      </c>
    </row>
    <row r="14032">
      <c r="A14032" s="4" t="s">
        <v>17663</v>
      </c>
      <c r="B14032" s="6" t="s">
        <v>17665</v>
      </c>
      <c r="C14032" s="5" t="str">
        <f>IFERROR(__xludf.DUMMYFUNCTION("GOOGLETRANSLATE(B14032,""en"",""zh-CN"")"),"我们在房间里看到一个男人，然后在动作电影中进行更多战斗，然后在办公室里打架，男人在办公室里。")</f>
        <v>我们在房间里看到一个男人，然后在动作电影中进行更多战斗，然后在办公室里打架，男人在办公室里。</v>
      </c>
    </row>
    <row r="14033">
      <c r="A14033" s="4" t="s">
        <v>17663</v>
      </c>
      <c r="B14033" s="4" t="s">
        <v>17666</v>
      </c>
      <c r="C14033" s="5" t="str">
        <f>IFERROR(__xludf.DUMMYFUNCTION("GOOGLETRANSLATE(B14033,""en"",""zh-CN"")"),"当她讨论一部超级英雄电影时，我们回到新闻播音员。")</f>
        <v>当她讨论一部超级英雄电影时，我们回到新闻播音员。</v>
      </c>
    </row>
    <row r="14034">
      <c r="A14034" s="4" t="s">
        <v>17663</v>
      </c>
      <c r="B14034" s="4" t="s">
        <v>17667</v>
      </c>
      <c r="C14034" s="5" t="str">
        <f>IFERROR(__xludf.DUMMYFUNCTION("GOOGLETRANSLATE(B14034,""en"",""zh-CN"")"),"她的屏幕更改为标题屏幕。")</f>
        <v>她的屏幕更改为标题屏幕。</v>
      </c>
    </row>
    <row r="14035">
      <c r="A14035" s="4" t="s">
        <v>17668</v>
      </c>
      <c r="B14035" s="4" t="s">
        <v>17669</v>
      </c>
      <c r="C14035" s="5" t="str">
        <f>IFERROR(__xludf.DUMMYFUNCTION("GOOGLETRANSLATE(B14035,""en"",""zh-CN"")"),"看到一个年轻女子走进框架，击中一个房间的球。")</f>
        <v>看到一个年轻女子走进框架，击中一个房间的球。</v>
      </c>
    </row>
    <row r="14036">
      <c r="A14036" s="4" t="s">
        <v>17668</v>
      </c>
      <c r="B14036" s="4" t="s">
        <v>17670</v>
      </c>
      <c r="C14036" s="5" t="str">
        <f>IFERROR(__xludf.DUMMYFUNCTION("GOOGLETRANSLATE(B14036,""en"",""zh-CN"")"),"女孩在拿着网球球拍并击球时向后四处走动。")</f>
        <v>女孩在拿着网球球拍并击球时向后四处走动。</v>
      </c>
    </row>
    <row r="14037">
      <c r="A14037" s="4" t="s">
        <v>17668</v>
      </c>
      <c r="B14037" s="4" t="s">
        <v>17671</v>
      </c>
      <c r="C14037" s="5" t="str">
        <f>IFERROR(__xludf.DUMMYFUNCTION("GOOGLETRANSLATE(B14037,""en"",""zh-CN"")"),"当相机看着时，女孩继续撞球。")</f>
        <v>当相机看着时，女孩继续撞球。</v>
      </c>
    </row>
    <row r="14038">
      <c r="A14038" s="4" t="s">
        <v>17672</v>
      </c>
      <c r="B14038" s="4" t="s">
        <v>17673</v>
      </c>
      <c r="C14038" s="5" t="str">
        <f>IFERROR(__xludf.DUMMYFUNCTION("GOOGLETRANSLATE(B14038,""en"",""zh-CN"")"),"有两只棕色的热狗狗站在楼梯尽头的大门上。")</f>
        <v>有两只棕色的热狗狗站在楼梯尽头的大门上。</v>
      </c>
    </row>
    <row r="14039">
      <c r="A14039" s="4" t="s">
        <v>17672</v>
      </c>
      <c r="B14039" s="6" t="s">
        <v>17674</v>
      </c>
      <c r="C14039" s="5" t="str">
        <f>IFERROR(__xludf.DUMMYFUNCTION("GOOGLETRANSLATE(B14039,""en"",""zh-CN"")"),"最接近大门的一只狗使大门打开，两只狗都以非常快的速度沿着楼梯奔跑，而相机的人追随它们。")</f>
        <v>最接近大门的一只狗使大门打开，两只狗都以非常快的速度沿着楼梯奔跑，而相机的人追随它们。</v>
      </c>
    </row>
    <row r="14040">
      <c r="A14040" s="4" t="s">
        <v>17672</v>
      </c>
      <c r="B14040" s="6" t="s">
        <v>17675</v>
      </c>
      <c r="C14040" s="5" t="str">
        <f>IFERROR(__xludf.DUMMYFUNCTION("GOOGLETRANSLATE(B14040,""en"",""zh-CN"")"),"狗是如此之快，以至于相机人无法跟上它们，当它们找到它们时，狗正在努力进入其中有水的浴缸。")</f>
        <v>狗是如此之快，以至于相机人无法跟上它们，当它们找到它们时，狗正在努力进入其中有水的浴缸。</v>
      </c>
    </row>
    <row r="14041">
      <c r="A14041" s="4" t="s">
        <v>17672</v>
      </c>
      <c r="B14041" s="6" t="s">
        <v>17676</v>
      </c>
      <c r="C14041" s="5" t="str">
        <f>IFERROR(__xludf.DUMMYFUNCTION("GOOGLETRANSLATE(B14041,""en"",""zh-CN"")"),"第一只狗成功地跳进去，开始在水中游泳，另一只狗无法进来，继续跳跃和挣扎，直到相机的人把狗放在浴缸里，现在两只狗都在玩耍，在水。")</f>
        <v>第一只狗成功地跳进去，开始在水中游泳，另一只狗无法进来，继续跳跃和挣扎，直到相机的人把狗放在浴缸里，现在两只狗都在玩耍，在水。</v>
      </c>
    </row>
    <row r="14042">
      <c r="A14042" s="4" t="s">
        <v>17677</v>
      </c>
      <c r="B14042" s="4" t="s">
        <v>17678</v>
      </c>
      <c r="C14042" s="5" t="str">
        <f>IFERROR(__xludf.DUMMYFUNCTION("GOOGLETRANSLATE(B14042,""en"",""zh-CN"")"),"电视新闻主播报道了一个故事。")</f>
        <v>电视新闻主播报道了一个故事。</v>
      </c>
    </row>
    <row r="14043">
      <c r="A14043" s="4" t="s">
        <v>17677</v>
      </c>
      <c r="B14043" s="4" t="s">
        <v>17679</v>
      </c>
      <c r="C14043" s="5" t="str">
        <f>IFERROR(__xludf.DUMMYFUNCTION("GOOGLETRANSLATE(B14043,""en"",""zh-CN"")"),"按照报告对细菌的讲话，各种各样的人都在看着他们的手。")</f>
        <v>按照报告对细菌的讲话，各种各样的人都在看着他们的手。</v>
      </c>
    </row>
    <row r="14044">
      <c r="A14044" s="4" t="s">
        <v>17677</v>
      </c>
      <c r="B14044" s="4" t="s">
        <v>17680</v>
      </c>
      <c r="C14044" s="5" t="str">
        <f>IFERROR(__xludf.DUMMYFUNCTION("GOOGLETRANSLATE(B14044,""en"",""zh-CN"")"),"电视新闻主播出现。")</f>
        <v>电视新闻主播出现。</v>
      </c>
    </row>
    <row r="14045">
      <c r="A14045" s="4" t="s">
        <v>17681</v>
      </c>
      <c r="B14045" s="4" t="s">
        <v>17682</v>
      </c>
      <c r="C14045" s="5" t="str">
        <f>IFERROR(__xludf.DUMMYFUNCTION("GOOGLETRANSLATE(B14045,""en"",""zh-CN"")"),"人们穿越沙漠。")</f>
        <v>人们穿越沙漠。</v>
      </c>
    </row>
    <row r="14046">
      <c r="A14046" s="4" t="s">
        <v>17681</v>
      </c>
      <c r="B14046" s="4" t="s">
        <v>17683</v>
      </c>
      <c r="C14046" s="5" t="str">
        <f>IFERROR(__xludf.DUMMYFUNCTION("GOOGLETRANSLATE(B14046,""en"",""zh-CN"")"),"一个携带相机或行李的人与其中一个小组一起行走。")</f>
        <v>一个携带相机或行李的人与其中一个小组一起行走。</v>
      </c>
    </row>
    <row r="14047">
      <c r="A14047" s="4" t="s">
        <v>17681</v>
      </c>
      <c r="B14047" s="4" t="s">
        <v>17684</v>
      </c>
      <c r="C14047" s="5" t="str">
        <f>IFERROR(__xludf.DUMMYFUNCTION("GOOGLETRANSLATE(B14047,""en"",""zh-CN"")"),"第一个骆驼小组开始回到相机。")</f>
        <v>第一个骆驼小组开始回到相机。</v>
      </c>
    </row>
    <row r="14048">
      <c r="A14048" s="4" t="s">
        <v>17685</v>
      </c>
      <c r="B14048" s="4" t="s">
        <v>17686</v>
      </c>
      <c r="C14048" s="5" t="str">
        <f>IFERROR(__xludf.DUMMYFUNCTION("GOOGLETRANSLATE(B14048,""en"",""zh-CN"")"),"一群小女孩和男孩的衣服像公主和王子一样。")</f>
        <v>一群小女孩和男孩的衣服像公主和王子一样。</v>
      </c>
    </row>
    <row r="14049">
      <c r="A14049" s="4" t="s">
        <v>17685</v>
      </c>
      <c r="B14049" s="4" t="s">
        <v>17687</v>
      </c>
      <c r="C14049" s="5" t="str">
        <f>IFERROR(__xludf.DUMMYFUNCTION("GOOGLETRANSLATE(B14049,""en"",""zh-CN"")"),"其中一个女孩开始用棒球棒敲击皮纳塔。")</f>
        <v>其中一个女孩开始用棒球棒敲击皮纳塔。</v>
      </c>
    </row>
    <row r="14050">
      <c r="A14050" s="4" t="s">
        <v>17685</v>
      </c>
      <c r="B14050" s="4" t="s">
        <v>17688</v>
      </c>
      <c r="C14050" s="5" t="str">
        <f>IFERROR(__xludf.DUMMYFUNCTION("GOOGLETRANSLATE(B14050,""en"",""zh-CN"")"),"她一遍又一遍地敲打它，但不会打破Pinata。")</f>
        <v>她一遍又一遍地敲打它，但不会打破Pinata。</v>
      </c>
    </row>
    <row r="14051">
      <c r="A14051" s="4" t="s">
        <v>17689</v>
      </c>
      <c r="B14051" s="4" t="s">
        <v>17690</v>
      </c>
      <c r="C14051" s="5" t="str">
        <f>IFERROR(__xludf.DUMMYFUNCTION("GOOGLETRANSLATE(B14051,""en"",""zh-CN"")"),"一个小组在海滩上打排球。")</f>
        <v>一个小组在海滩上打排球。</v>
      </c>
    </row>
    <row r="14052">
      <c r="A14052" s="4" t="s">
        <v>17689</v>
      </c>
      <c r="B14052" s="4" t="s">
        <v>17691</v>
      </c>
      <c r="C14052" s="5" t="str">
        <f>IFERROR(__xludf.DUMMYFUNCTION("GOOGLETRANSLATE(B14052,""en"",""zh-CN"")"),"男子排球在网上来回射击。")</f>
        <v>男子排球在网上来回射击。</v>
      </c>
    </row>
    <row r="14053">
      <c r="A14053" s="4" t="s">
        <v>17689</v>
      </c>
      <c r="B14053" s="4" t="s">
        <v>17692</v>
      </c>
      <c r="C14053" s="5" t="str">
        <f>IFERROR(__xludf.DUMMYFUNCTION("GOOGLETRANSLATE(B14053,""en"",""zh-CN"")"),"其中一名球员落在沙滩上。")</f>
        <v>其中一名球员落在沙滩上。</v>
      </c>
    </row>
    <row r="14054">
      <c r="A14054" s="4" t="s">
        <v>17693</v>
      </c>
      <c r="B14054" s="4" t="s">
        <v>17694</v>
      </c>
      <c r="C14054" s="5" t="str">
        <f>IFERROR(__xludf.DUMMYFUNCTION("GOOGLETRANSLATE(B14054,""en"",""zh-CN"")"),"一个女人在前面说话。")</f>
        <v>一个女人在前面说话。</v>
      </c>
    </row>
    <row r="14055">
      <c r="A14055" s="4" t="s">
        <v>17693</v>
      </c>
      <c r="B14055" s="4" t="s">
        <v>17695</v>
      </c>
      <c r="C14055" s="5" t="str">
        <f>IFERROR(__xludf.DUMMYFUNCTION("GOOGLETRANSLATE(B14055,""en"",""zh-CN"")"),"然后，女人在说话时跳过啤酒花。")</f>
        <v>然后，女人在说话时跳过啤酒花。</v>
      </c>
    </row>
    <row r="14056">
      <c r="A14056" s="4" t="s">
        <v>17693</v>
      </c>
      <c r="B14056" s="4" t="s">
        <v>17696</v>
      </c>
      <c r="C14056" s="5" t="str">
        <f>IFERROR(__xludf.DUMMYFUNCTION("GOOGLETRANSLATE(B14056,""en"",""zh-CN"")"),"那个女人到达啤酒花的尽头时转身并继续跳跃。")</f>
        <v>那个女人到达啤酒花的尽头时转身并继续跳跃。</v>
      </c>
    </row>
    <row r="14057">
      <c r="A14057" s="4" t="s">
        <v>17697</v>
      </c>
      <c r="B14057" s="4" t="s">
        <v>17698</v>
      </c>
      <c r="C14057" s="5" t="str">
        <f>IFERROR(__xludf.DUMMYFUNCTION("GOOGLETRANSLATE(B14057,""en"",""zh-CN"")"),"一名摔跤手从地面上接了另一个摔跤手。")</f>
        <v>一名摔跤手从地面上接了另一个摔跤手。</v>
      </c>
    </row>
    <row r="14058">
      <c r="A14058" s="4" t="s">
        <v>17697</v>
      </c>
      <c r="B14058" s="4" t="s">
        <v>17699</v>
      </c>
      <c r="C14058" s="5" t="str">
        <f>IFERROR(__xludf.DUMMYFUNCTION("GOOGLETRANSLATE(B14058,""en"",""zh-CN"")"),"摔跤手将他抬起空中。")</f>
        <v>摔跤手将他抬起空中。</v>
      </c>
    </row>
    <row r="14059">
      <c r="A14059" s="4" t="s">
        <v>17697</v>
      </c>
      <c r="B14059" s="4" t="s">
        <v>17700</v>
      </c>
      <c r="C14059" s="5" t="str">
        <f>IFERROR(__xludf.DUMMYFUNCTION("GOOGLETRANSLATE(B14059,""en"",""zh-CN"")"),"最后，摔跤手将他用力地扔到地板上。")</f>
        <v>最后，摔跤手将他用力地扔到地板上。</v>
      </c>
    </row>
    <row r="14060">
      <c r="A14060" s="4" t="s">
        <v>17701</v>
      </c>
      <c r="B14060" s="4" t="s">
        <v>17702</v>
      </c>
      <c r="C14060" s="5" t="str">
        <f>IFERROR(__xludf.DUMMYFUNCTION("GOOGLETRANSLATE(B14060,""en"",""zh-CN"")"),"一个大轮子在架子上不停地旋转。")</f>
        <v>一个大轮子在架子上不停地旋转。</v>
      </c>
    </row>
    <row r="14061">
      <c r="A14061" s="4" t="s">
        <v>17701</v>
      </c>
      <c r="B14061" s="4" t="s">
        <v>17703</v>
      </c>
      <c r="C14061" s="5" t="str">
        <f>IFERROR(__xludf.DUMMYFUNCTION("GOOGLETRANSLATE(B14061,""en"",""zh-CN"")"),"我们近距离truing架和辐条。")</f>
        <v>我们近距离truing架和辐条。</v>
      </c>
    </row>
    <row r="14062">
      <c r="A14062" s="4" t="s">
        <v>17701</v>
      </c>
      <c r="B14062" s="4" t="s">
        <v>17704</v>
      </c>
      <c r="C14062" s="5" t="str">
        <f>IFERROR(__xludf.DUMMYFUNCTION("GOOGLETRANSLATE(B14062,""en"",""zh-CN"")"),"然后调整自行车轮并固定。")</f>
        <v>然后调整自行车轮并固定。</v>
      </c>
    </row>
    <row r="14063">
      <c r="A14063" s="4" t="s">
        <v>17705</v>
      </c>
      <c r="B14063" s="4" t="s">
        <v>17706</v>
      </c>
      <c r="C14063" s="5" t="str">
        <f>IFERROR(__xludf.DUMMYFUNCTION("GOOGLETRANSLATE(B14063,""en"",""zh-CN"")"),"显示了自行车车把的特写以及调整车把的人。")</f>
        <v>显示了自行车车把的特写以及调整车把的人。</v>
      </c>
    </row>
    <row r="14064">
      <c r="A14064" s="4" t="s">
        <v>17705</v>
      </c>
      <c r="B14064" s="4" t="s">
        <v>17707</v>
      </c>
      <c r="C14064" s="5" t="str">
        <f>IFERROR(__xludf.DUMMYFUNCTION("GOOGLETRANSLATE(B14064,""en"",""zh-CN"")"),"摄像机放大了酒吧，人将液体倒入侧面。")</f>
        <v>摄像机放大了酒吧，人将液体倒入侧面。</v>
      </c>
    </row>
    <row r="14065">
      <c r="A14065" s="4" t="s">
        <v>17705</v>
      </c>
      <c r="B14065" s="4" t="s">
        <v>17708</v>
      </c>
      <c r="C14065" s="5" t="str">
        <f>IFERROR(__xludf.DUMMYFUNCTION("GOOGLETRANSLATE(B14065,""en"",""zh-CN"")"),"该男子继续工作并结束，通过将车把返回并骑行。")</f>
        <v>该男子继续工作并结束，通过将车把返回并骑行。</v>
      </c>
    </row>
    <row r="14066">
      <c r="A14066" s="4" t="s">
        <v>17709</v>
      </c>
      <c r="B14066" s="4" t="s">
        <v>17710</v>
      </c>
      <c r="C14066" s="5" t="str">
        <f>IFERROR(__xludf.DUMMYFUNCTION("GOOGLETRANSLATE(B14066,""en"",""zh-CN"")"),"屏幕上的一个女人谈论柠檬水。")</f>
        <v>屏幕上的一个女人谈论柠檬水。</v>
      </c>
    </row>
    <row r="14067">
      <c r="A14067" s="4" t="s">
        <v>17709</v>
      </c>
      <c r="B14067" s="4" t="s">
        <v>17711</v>
      </c>
      <c r="C14067" s="5" t="str">
        <f>IFERROR(__xludf.DUMMYFUNCTION("GOOGLETRANSLATE(B14067,""en"",""zh-CN"")"),"她用刀和碗在切菜板上榨柠檬。")</f>
        <v>她用刀和碗在切菜板上榨柠檬。</v>
      </c>
    </row>
    <row r="14068">
      <c r="A14068" s="4" t="s">
        <v>17709</v>
      </c>
      <c r="B14068" s="4" t="s">
        <v>17712</v>
      </c>
      <c r="C14068" s="5" t="str">
        <f>IFERROR(__xludf.DUMMYFUNCTION("GOOGLETRANSLATE(B14068,""en"",""zh-CN"")"),"她将果汁加入更大的杯子。")</f>
        <v>她将果汁加入更大的杯子。</v>
      </c>
    </row>
    <row r="14069">
      <c r="A14069" s="4" t="s">
        <v>17709</v>
      </c>
      <c r="B14069" s="4" t="s">
        <v>17713</v>
      </c>
      <c r="C14069" s="5" t="str">
        <f>IFERROR(__xludf.DUMMYFUNCTION("GOOGLETRANSLATE(B14069,""en"",""zh-CN"")"),"在烤箱上，她用水和糖准备简单的糖。")</f>
        <v>在烤箱上，她用水和糖准备简单的糖。</v>
      </c>
    </row>
    <row r="14070">
      <c r="A14070" s="4" t="s">
        <v>17709</v>
      </c>
      <c r="B14070" s="4" t="s">
        <v>17714</v>
      </c>
      <c r="C14070" s="5" t="str">
        <f>IFERROR(__xludf.DUMMYFUNCTION("GOOGLETRANSLATE(B14070,""en"",""zh-CN"")"),"她将所有食材混合在投手中以制成柠檬水。")</f>
        <v>她将所有食材混合在投手中以制成柠檬水。</v>
      </c>
    </row>
    <row r="14071">
      <c r="A14071" s="4" t="s">
        <v>17709</v>
      </c>
      <c r="B14071" s="4" t="s">
        <v>17715</v>
      </c>
      <c r="C14071" s="5" t="str">
        <f>IFERROR(__xludf.DUMMYFUNCTION("GOOGLETRANSLATE(B14071,""en"",""zh-CN"")"),"她展示了其他柠檬水食谱。")</f>
        <v>她展示了其他柠檬水食谱。</v>
      </c>
    </row>
    <row r="14072">
      <c r="A14072" s="4" t="s">
        <v>17716</v>
      </c>
      <c r="B14072" s="4" t="s">
        <v>17717</v>
      </c>
      <c r="C14072" s="5" t="str">
        <f>IFERROR(__xludf.DUMMYFUNCTION("GOOGLETRANSLATE(B14072,""en"",""zh-CN"")"),"穿着蓝色衬衫的男人将孩子抬到柜台上。")</f>
        <v>穿着蓝色衬衫的男人将孩子抬到柜台上。</v>
      </c>
    </row>
    <row r="14073">
      <c r="A14073" s="4" t="s">
        <v>17716</v>
      </c>
      <c r="B14073" s="4" t="s">
        <v>17718</v>
      </c>
      <c r="C14073" s="5" t="str">
        <f>IFERROR(__xludf.DUMMYFUNCTION("GOOGLETRANSLATE(B14073,""en"",""zh-CN"")"),"孩子开始在墙上的气球上扔飞镖。")</f>
        <v>孩子开始在墙上的气球上扔飞镖。</v>
      </c>
    </row>
    <row r="14074">
      <c r="A14074" s="4" t="s">
        <v>17716</v>
      </c>
      <c r="B14074" s="4" t="s">
        <v>17719</v>
      </c>
      <c r="C14074" s="5" t="str">
        <f>IFERROR(__xludf.DUMMYFUNCTION("GOOGLETRANSLATE(B14074,""en"",""zh-CN"")"),"柜台后面的女人递给男孩一个玩具。")</f>
        <v>柜台后面的女人递给男孩一个玩具。</v>
      </c>
    </row>
    <row r="14075">
      <c r="A14075" s="4" t="s">
        <v>17720</v>
      </c>
      <c r="B14075" s="6" t="s">
        <v>17721</v>
      </c>
      <c r="C14075" s="5" t="str">
        <f>IFERROR(__xludf.DUMMYFUNCTION("GOOGLETRANSLATE(B14075,""en"",""zh-CN"")"),"看到两名妇女互相讲话，并带领一大批人打排球比赛。")</f>
        <v>看到两名妇女互相讲话，并带领一大批人打排球比赛。</v>
      </c>
    </row>
    <row r="14076">
      <c r="A14076" s="4" t="s">
        <v>17720</v>
      </c>
      <c r="B14076" s="6" t="s">
        <v>17722</v>
      </c>
      <c r="C14076" s="5" t="str">
        <f>IFERROR(__xludf.DUMMYFUNCTION("GOOGLETRANSLATE(B14076,""en"",""zh-CN"")"),"人们继续反击和第四名，而观众欢呼雀跃，停下来互相讲话。")</f>
        <v>人们继续反击和第四名，而观众欢呼雀跃，停下来互相讲话。</v>
      </c>
    </row>
    <row r="14077">
      <c r="A14077" s="4" t="s">
        <v>17723</v>
      </c>
      <c r="B14077" s="4" t="s">
        <v>1487</v>
      </c>
      <c r="C14077" s="5" t="str">
        <f>IFERROR(__xludf.DUMMYFUNCTION("GOOGLETRANSLATE(B14077,""en"",""zh-CN"")"),"我们看到一个开放标题屏幕。")</f>
        <v>我们看到一个开放标题屏幕。</v>
      </c>
    </row>
    <row r="14078">
      <c r="A14078" s="4" t="s">
        <v>17723</v>
      </c>
      <c r="B14078" s="4" t="s">
        <v>17724</v>
      </c>
      <c r="C14078" s="5" t="str">
        <f>IFERROR(__xludf.DUMMYFUNCTION("GOOGLETRANSLATE(B14078,""en"",""zh-CN"")"),"一个人反复跳入一个大游泳池。")</f>
        <v>一个人反复跳入一个大游泳池。</v>
      </c>
    </row>
    <row r="14079">
      <c r="A14079" s="4" t="s">
        <v>17723</v>
      </c>
      <c r="B14079" s="4" t="s">
        <v>17725</v>
      </c>
      <c r="C14079" s="5" t="str">
        <f>IFERROR(__xludf.DUMMYFUNCTION("GOOGLETRANSLATE(B14079,""en"",""zh-CN"")"),"一个坐在中间的男人坐着拍照。")</f>
        <v>一个坐在中间的男人坐着拍照。</v>
      </c>
    </row>
    <row r="14080">
      <c r="A14080" s="4" t="s">
        <v>17723</v>
      </c>
      <c r="B14080" s="4" t="s">
        <v>17726</v>
      </c>
      <c r="C14080" s="5" t="str">
        <f>IFERROR(__xludf.DUMMYFUNCTION("GOOGLETRANSLATE(B14080,""en"",""zh-CN"")"),"坐着的人站着拍照。")</f>
        <v>坐着的人站着拍照。</v>
      </c>
    </row>
    <row r="14081">
      <c r="A14081" s="4" t="s">
        <v>17723</v>
      </c>
      <c r="B14081" s="4" t="s">
        <v>17727</v>
      </c>
      <c r="C14081" s="5" t="str">
        <f>IFERROR(__xludf.DUMMYFUNCTION("GOOGLETRANSLATE(B14081,""en"",""zh-CN"")"),"潜水员游泳到游泳池的边缘。")</f>
        <v>潜水员游泳到游泳池的边缘。</v>
      </c>
    </row>
    <row r="14082">
      <c r="A14082" s="4" t="s">
        <v>17728</v>
      </c>
      <c r="B14082" s="4" t="s">
        <v>17729</v>
      </c>
      <c r="C14082" s="5" t="str">
        <f>IFERROR(__xludf.DUMMYFUNCTION("GOOGLETRANSLATE(B14082,""en"",""zh-CN"")"),"看到一个没有手臂的人坐在椅子上，用脚弹吉他。")</f>
        <v>看到一个没有手臂的人坐在椅子上，用脚弹吉他。</v>
      </c>
    </row>
    <row r="14083">
      <c r="A14083" s="4" t="s">
        <v>17728</v>
      </c>
      <c r="B14083" s="4" t="s">
        <v>17730</v>
      </c>
      <c r="C14083" s="5" t="str">
        <f>IFERROR(__xludf.DUMMYFUNCTION("GOOGLETRANSLATE(B14083,""en"",""zh-CN"")"),"他在唱歌并在吉他上上下移动时继续演奏。")</f>
        <v>他在唱歌并在吉他上上下移动时继续演奏。</v>
      </c>
    </row>
    <row r="14084">
      <c r="A14084" s="4" t="s">
        <v>17731</v>
      </c>
      <c r="B14084" s="6" t="s">
        <v>17732</v>
      </c>
      <c r="C14084" s="5" t="str">
        <f>IFERROR(__xludf.DUMMYFUNCTION("GOOGLETRANSLATE(B14084,""en"",""zh-CN"")"),"一个穿着白色衣服的女人走进她的房子，一切都很高兴，直到看到水槽里的菜肴时，她感到非常失望。")</f>
        <v>一个穿着白色衣服的女人走进她的房子，一切都很高兴，直到看到水槽里的菜肴时，她感到非常失望。</v>
      </c>
    </row>
    <row r="14085">
      <c r="A14085" s="4" t="s">
        <v>17731</v>
      </c>
      <c r="B14085" s="6" t="s">
        <v>17733</v>
      </c>
      <c r="C14085" s="5" t="str">
        <f>IFERROR(__xludf.DUMMYFUNCTION("GOOGLETRANSLATE(B14085,""en"",""zh-CN"")"),"她从衣服上换成一些舒适的衣服，然后准备进厨房。")</f>
        <v>她从衣服上换成一些舒适的衣服，然后准备进厨房。</v>
      </c>
    </row>
    <row r="14086">
      <c r="A14086" s="4" t="s">
        <v>17731</v>
      </c>
      <c r="B14086" s="4" t="s">
        <v>17734</v>
      </c>
      <c r="C14086" s="5" t="str">
        <f>IFERROR(__xludf.DUMMYFUNCTION("GOOGLETRANSLATE(B14086,""en"",""zh-CN"")"),"她非常幼稚地吹肥皂和跳舞。")</f>
        <v>她非常幼稚地吹肥皂和跳舞。</v>
      </c>
    </row>
    <row r="14087">
      <c r="A14087" s="4" t="s">
        <v>17731</v>
      </c>
      <c r="B14087" s="6" t="s">
        <v>17735</v>
      </c>
      <c r="C14087" s="5" t="str">
        <f>IFERROR(__xludf.DUMMYFUNCTION("GOOGLETRANSLATE(B14087,""en"",""zh-CN"")"),"她用抹布来干一些菜肴，然后将其余的菜放入洗碗机中，一旦在洗碗机中完成菜肴，她就把它们拿出来，然后把它们全部拿走。")</f>
        <v>她用抹布来干一些菜肴，然后将其余的菜放入洗碗机中，一旦在洗碗机中完成菜肴，她就把它们拿出来，然后把它们全部拿走。</v>
      </c>
    </row>
    <row r="14088">
      <c r="A14088" s="4" t="s">
        <v>17736</v>
      </c>
      <c r="B14088" s="4" t="s">
        <v>17737</v>
      </c>
      <c r="C14088" s="5" t="str">
        <f>IFERROR(__xludf.DUMMYFUNCTION("GOOGLETRANSLATE(B14088,""en"",""zh-CN"")"),"一个女人把一些乳液放在她的手上。")</f>
        <v>一个女人把一些乳液放在她的手上。</v>
      </c>
    </row>
    <row r="14089">
      <c r="A14089" s="4" t="s">
        <v>17736</v>
      </c>
      <c r="B14089" s="4" t="s">
        <v>17738</v>
      </c>
      <c r="C14089" s="5" t="str">
        <f>IFERROR(__xludf.DUMMYFUNCTION("GOOGLETRANSLATE(B14089,""en"",""zh-CN"")"),"她把乳液擦在脸上。")</f>
        <v>她把乳液擦在脸上。</v>
      </c>
    </row>
    <row r="14090">
      <c r="A14090" s="4" t="s">
        <v>17736</v>
      </c>
      <c r="B14090" s="4" t="s">
        <v>17739</v>
      </c>
      <c r="C14090" s="5" t="str">
        <f>IFERROR(__xludf.DUMMYFUNCTION("GOOGLETRANSLATE(B14090,""en"",""zh-CN"")"),"屏幕上显示了一个卡通演示。")</f>
        <v>屏幕上显示了一个卡通演示。</v>
      </c>
    </row>
    <row r="14091">
      <c r="A14091" s="4" t="s">
        <v>17740</v>
      </c>
      <c r="B14091" s="4" t="s">
        <v>17741</v>
      </c>
      <c r="C14091" s="5" t="str">
        <f>IFERROR(__xludf.DUMMYFUNCTION("GOOGLETRANSLATE(B14091,""en"",""zh-CN"")"),"在镜头讲话时，一个女孩在洗涤和擦洗她的脸几次。")</f>
        <v>在镜头讲话时，一个女孩在洗涤和擦洗她的脸几次。</v>
      </c>
    </row>
    <row r="14092">
      <c r="A14092" s="4" t="s">
        <v>17740</v>
      </c>
      <c r="B14092" s="4" t="s">
        <v>17742</v>
      </c>
      <c r="C14092" s="5" t="str">
        <f>IFERROR(__xludf.DUMMYFUNCTION("GOOGLETRANSLATE(B14092,""en"",""zh-CN"")"),"她通过打开水龙头并用脸冲洗水来结束。")</f>
        <v>她通过打开水龙头并用脸冲洗水来结束。</v>
      </c>
    </row>
    <row r="14093">
      <c r="A14093" s="4" t="s">
        <v>17743</v>
      </c>
      <c r="B14093" s="4" t="s">
        <v>17744</v>
      </c>
      <c r="C14093" s="5" t="str">
        <f>IFERROR(__xludf.DUMMYFUNCTION("GOOGLETRANSLATE(B14093,""en"",""zh-CN"")"),"一个年轻人在投掷球和销的同时与其他男子打保龄球。")</f>
        <v>一个年轻人在投掷球和销的同时与其他男子打保龄球。</v>
      </c>
    </row>
    <row r="14094">
      <c r="A14094" s="4" t="s">
        <v>17743</v>
      </c>
      <c r="B14094" s="4" t="s">
        <v>17745</v>
      </c>
      <c r="C14094" s="5" t="str">
        <f>IFERROR(__xludf.DUMMYFUNCTION("GOOGLETRANSLATE(B14094,""en"",""zh-CN"")"),"球出口形成一个容器。")</f>
        <v>球出口形成一个容器。</v>
      </c>
    </row>
    <row r="14095">
      <c r="A14095" s="4" t="s">
        <v>17743</v>
      </c>
      <c r="B14095" s="4" t="s">
        <v>17746</v>
      </c>
      <c r="C14095" s="5" t="str">
        <f>IFERROR(__xludf.DUMMYFUNCTION("GOOGLETRANSLATE(B14095,""en"",""zh-CN"")"),"一个男人的手上拿着保龄球。")</f>
        <v>一个男人的手上拿着保龄球。</v>
      </c>
    </row>
    <row r="14096">
      <c r="A14096" s="4" t="s">
        <v>17743</v>
      </c>
      <c r="B14096" s="4" t="s">
        <v>17747</v>
      </c>
      <c r="C14096" s="5" t="str">
        <f>IFERROR(__xludf.DUMMYFUNCTION("GOOGLETRANSLATE(B14096,""en"",""zh-CN"")"),"那个年轻人去了保龄球设施的房间，他们继续演奏。")</f>
        <v>那个年轻人去了保龄球设施的房间，他们继续演奏。</v>
      </c>
    </row>
    <row r="14097">
      <c r="A14097" s="4" t="s">
        <v>17748</v>
      </c>
      <c r="B14097" s="4" t="s">
        <v>17749</v>
      </c>
      <c r="C14097" s="5" t="str">
        <f>IFERROR(__xludf.DUMMYFUNCTION("GOOGLETRANSLATE(B14097,""en"",""zh-CN"")"),"一个孩子在健身房的网上击球。")</f>
        <v>一个孩子在健身房的网上击球。</v>
      </c>
    </row>
    <row r="14098">
      <c r="A14098" s="4" t="s">
        <v>17748</v>
      </c>
      <c r="B14098" s="4" t="s">
        <v>17750</v>
      </c>
      <c r="C14098" s="5" t="str">
        <f>IFERROR(__xludf.DUMMYFUNCTION("GOOGLETRANSLATE(B14098,""en"",""zh-CN"")"),"一个男人站在另一边，将球向他吹回去。")</f>
        <v>一个男人站在另一边，将球向他吹回去。</v>
      </c>
    </row>
    <row r="14099">
      <c r="A14099" s="4" t="s">
        <v>17748</v>
      </c>
      <c r="B14099" s="4" t="s">
        <v>17751</v>
      </c>
      <c r="C14099" s="5" t="str">
        <f>IFERROR(__xludf.DUMMYFUNCTION("GOOGLETRANSLATE(B14099,""en"",""zh-CN"")"),"他们继续来回击球。")</f>
        <v>他们继续来回击球。</v>
      </c>
    </row>
    <row r="14100">
      <c r="A14100" s="4" t="s">
        <v>17752</v>
      </c>
      <c r="B14100" s="4" t="s">
        <v>17753</v>
      </c>
      <c r="C14100" s="5" t="str">
        <f>IFERROR(__xludf.DUMMYFUNCTION("GOOGLETRANSLATE(B14100,""en"",""zh-CN"")"),"看到一个人坐在相机前，引导他看着并举起隐形眼镜。")</f>
        <v>看到一个人坐在相机前，引导他看着并举起隐形眼镜。</v>
      </c>
    </row>
    <row r="14101">
      <c r="A14101" s="4" t="s">
        <v>17752</v>
      </c>
      <c r="B14101" s="6" t="s">
        <v>17754</v>
      </c>
      <c r="C14101" s="5" t="str">
        <f>IFERROR(__xludf.DUMMYFUNCTION("GOOGLETRANSLATE(B14101,""en"",""zh-CN"")"),"然后，该人睁大眼睛，将镜头放在镜头上，然后回头看相机。")</f>
        <v>然后，该人睁大眼睛，将镜头放在镜头上，然后回头看相机。</v>
      </c>
    </row>
    <row r="14102">
      <c r="A14102" s="4" t="s">
        <v>17755</v>
      </c>
      <c r="B14102" s="4" t="s">
        <v>17756</v>
      </c>
      <c r="C14102" s="5" t="str">
        <f>IFERROR(__xludf.DUMMYFUNCTION("GOOGLETRANSLATE(B14102,""en"",""zh-CN"")"),"有几名工人在卡车上打包许多筏子要拖走。")</f>
        <v>有几名工人在卡车上打包许多筏子要拖走。</v>
      </c>
    </row>
    <row r="14103">
      <c r="A14103" s="4" t="s">
        <v>17755</v>
      </c>
      <c r="B14103" s="4" t="s">
        <v>17757</v>
      </c>
      <c r="C14103" s="5" t="str">
        <f>IFERROR(__xludf.DUMMYFUNCTION("GOOGLETRANSLATE(B14103,""en"",""zh-CN"")"),"桥下流动着一条快速流动的湍流河流。")</f>
        <v>桥下流动着一条快速流动的湍流河流。</v>
      </c>
    </row>
    <row r="14104">
      <c r="A14104" s="4" t="s">
        <v>17755</v>
      </c>
      <c r="B14104" s="4" t="s">
        <v>17758</v>
      </c>
      <c r="C14104" s="5" t="str">
        <f>IFERROR(__xludf.DUMMYFUNCTION("GOOGLETRANSLATE(B14104,""en"",""zh-CN"")"),"风景秀丽的山景显示云彩在风中吹来。")</f>
        <v>风景秀丽的山景显示云彩在风中吹来。</v>
      </c>
    </row>
    <row r="14105">
      <c r="A14105" s="4" t="s">
        <v>17755</v>
      </c>
      <c r="B14105" s="4" t="s">
        <v>17759</v>
      </c>
      <c r="C14105" s="5" t="str">
        <f>IFERROR(__xludf.DUMMYFUNCTION("GOOGLETRANSLATE(B14105,""en"",""zh-CN"")"),"小木屋包装外面有许多after脚，并为他们的漂流旅行做好准备。")</f>
        <v>小木屋包装外面有许多after脚，并为他们的漂流旅行做好准备。</v>
      </c>
    </row>
    <row r="14106">
      <c r="A14106" s="4" t="s">
        <v>17755</v>
      </c>
      <c r="B14106" s="4" t="s">
        <v>17760</v>
      </c>
      <c r="C14106" s="5" t="str">
        <f>IFERROR(__xludf.DUMMYFUNCTION("GOOGLETRANSLATE(B14106,""en"",""zh-CN"")"),"afters试图保持漂浮时，在狂野而动荡的河水中开始冒险。")</f>
        <v>afters试图保持漂浮时，在狂野而动荡的河水中开始冒险。</v>
      </c>
    </row>
    <row r="14107">
      <c r="A14107" s="4" t="s">
        <v>17755</v>
      </c>
      <c r="B14107" s="6" t="s">
        <v>17761</v>
      </c>
      <c r="C14107" s="5" t="str">
        <f>IFERROR(__xludf.DUMMYFUNCTION("GOOGLETRANSLATE(B14107,""en"",""zh-CN"")"),"河波是如此动荡，以至于使筏子在强波中倾覆并淹没了the子。")</f>
        <v>河波是如此动荡，以至于使筏子在强波中倾覆并淹没了the子。</v>
      </c>
    </row>
    <row r="14108">
      <c r="A14108" s="4" t="s">
        <v>17755</v>
      </c>
      <c r="B14108" s="4" t="s">
        <v>17762</v>
      </c>
      <c r="C14108" s="5" t="str">
        <f>IFERROR(__xludf.DUMMYFUNCTION("GOOGLETRANSLATE(B14108,""en"",""zh-CN"")"),"after徒在与河流的猛烈浪潮中保持漂浮时，努力留在筏子里。")</f>
        <v>after徒在与河流的猛烈浪潮中保持漂浮时，努力留在筏子里。</v>
      </c>
    </row>
    <row r="14109">
      <c r="A14109" s="4" t="s">
        <v>17755</v>
      </c>
      <c r="B14109" s="4" t="s">
        <v>17763</v>
      </c>
      <c r="C14109" s="5" t="str">
        <f>IFERROR(__xludf.DUMMYFUNCTION("GOOGLETRANSLATE(B14109,""en"",""zh-CN"")"),"海浪是如此强烈，以至于afters很难在木筏中。")</f>
        <v>海浪是如此强烈，以至于afters很难在木筏中。</v>
      </c>
    </row>
    <row r="14110">
      <c r="A14110" s="4" t="s">
        <v>17755</v>
      </c>
      <c r="B14110" s="4" t="s">
        <v>17764</v>
      </c>
      <c r="C14110" s="5" t="str">
        <f>IFERROR(__xludf.DUMMYFUNCTION("GOOGLETRANSLATE(B14110,""en"",""zh-CN"")"),"当筏子上倾斜时，它们被强行扔在河里。")</f>
        <v>当筏子上倾斜时，它们被强行扔在河里。</v>
      </c>
    </row>
    <row r="14111">
      <c r="A14111" s="4" t="s">
        <v>17755</v>
      </c>
      <c r="B14111" s="4" t="s">
        <v>17765</v>
      </c>
      <c r="C14111" s="5" t="str">
        <f>IFERROR(__xludf.DUMMYFUNCTION("GOOGLETRANSLATE(B14111,""en"",""zh-CN"")"),"一位after脚的微笑，谈论他与同伴after子回去时的经历。")</f>
        <v>一位after脚的微笑，谈论他与同伴after子回去时的经历。</v>
      </c>
    </row>
    <row r="14112">
      <c r="A14112" s="4" t="s">
        <v>17766</v>
      </c>
      <c r="B14112" s="6" t="s">
        <v>17767</v>
      </c>
      <c r="C14112" s="5" t="str">
        <f>IFERROR(__xludf.DUMMYFUNCTION("GOOGLETRANSLATE(B14112,""en"",""zh-CN"")"),"当一个女孩跑来跑去并在不平坦的酒吧里表演常规时，看到一大批人坐在健身房周围。")</f>
        <v>当一个女孩跑来跑去并在不平坦的酒吧里表演常规时，看到一大批人坐在健身房周围。</v>
      </c>
    </row>
    <row r="14113">
      <c r="A14113" s="4" t="s">
        <v>17766</v>
      </c>
      <c r="B14113" s="6" t="s">
        <v>17768</v>
      </c>
      <c r="C14113" s="5" t="str">
        <f>IFERROR(__xludf.DUMMYFUNCTION("GOOGLETRANSLATE(B14113,""en"",""zh-CN"")"),"女孩继续四处摇摆，以她跳下来并向观众挥手挥舞着结束。")</f>
        <v>女孩继续四处摇摆，以她跳下来并向观众挥手挥舞着结束。</v>
      </c>
    </row>
    <row r="14114">
      <c r="A14114" s="4" t="s">
        <v>17769</v>
      </c>
      <c r="B14114" s="4" t="s">
        <v>17770</v>
      </c>
      <c r="C14114" s="5" t="str">
        <f>IFERROR(__xludf.DUMMYFUNCTION("GOOGLETRANSLATE(B14114,""en"",""zh-CN"")"),"该视频向您展示了如何用简单的番茄酱制作意大利面条。")</f>
        <v>该视频向您展示了如何用简单的番茄酱制作意大利面条。</v>
      </c>
    </row>
    <row r="14115">
      <c r="A14115" s="4" t="s">
        <v>17769</v>
      </c>
      <c r="B14115" s="6" t="s">
        <v>17771</v>
      </c>
      <c r="C14115" s="5" t="str">
        <f>IFERROR(__xludf.DUMMYFUNCTION("GOOGLETRANSLATE(B14115,""en"",""zh-CN"")"),"首先，她将香肠放在带有铝箔的烤盘上，然后将其放在烤箱中。")</f>
        <v>首先，她将香肠放在带有铝箔的烤盘上，然后将其放在烤箱中。</v>
      </c>
    </row>
    <row r="14116">
      <c r="A14116" s="4" t="s">
        <v>17769</v>
      </c>
      <c r="B14116" s="4" t="s">
        <v>17772</v>
      </c>
      <c r="C14116" s="5" t="str">
        <f>IFERROR(__xludf.DUMMYFUNCTION("GOOGLETRANSLATE(B14116,""en"",""zh-CN"")"),"接下来，她将西红柿倒入一个小的搅拌机中，然后将它们混合在一起。")</f>
        <v>接下来，她将西红柿倒入一个小的搅拌机中，然后将它们混合在一起。</v>
      </c>
    </row>
    <row r="14117">
      <c r="A14117" s="4" t="s">
        <v>17769</v>
      </c>
      <c r="B14117" s="6" t="s">
        <v>17773</v>
      </c>
      <c r="C14117" s="5" t="str">
        <f>IFERROR(__xludf.DUMMYFUNCTION("GOOGLETRANSLATE(B14117,""en"",""zh-CN"")"),"然后，她将压碎的红辣椒和大蒜倒入煎锅中，然后将番茄酱倒入其中。")</f>
        <v>然后，她将压碎的红辣椒和大蒜倒入煎锅中，然后将番茄酱倒入其中。</v>
      </c>
    </row>
    <row r="14118">
      <c r="A14118" s="4" t="s">
        <v>17769</v>
      </c>
      <c r="B14118" s="6" t="s">
        <v>17774</v>
      </c>
      <c r="C14118" s="5" t="str">
        <f>IFERROR(__xludf.DUMMYFUNCTION("GOOGLETRANSLATE(B14118,""en"",""zh-CN"")"),"然后，她将其搅拌，将香肠拿出来将它们切成小块，然后让它们煮一些。")</f>
        <v>然后，她将其搅拌，将香肠拿出来将它们切成小块，然后让它们煮一些。</v>
      </c>
    </row>
    <row r="14119">
      <c r="A14119" s="4" t="s">
        <v>17769</v>
      </c>
      <c r="B14119" s="6" t="s">
        <v>17775</v>
      </c>
      <c r="C14119" s="5" t="str">
        <f>IFERROR(__xludf.DUMMYFUNCTION("GOOGLETRANSLATE(B14119,""en"",""zh-CN"")"),"最终，她将它们放入煎锅中，并用面食将所有东西一起煮在一起，从而创造出美味的饭菜。")</f>
        <v>最终，她将它们放入煎锅中，并用面食将所有东西一起煮在一起，从而创造出美味的饭菜。</v>
      </c>
    </row>
    <row r="14120">
      <c r="A14120" s="4" t="s">
        <v>17776</v>
      </c>
      <c r="B14120" s="4" t="s">
        <v>17777</v>
      </c>
      <c r="C14120" s="5" t="str">
        <f>IFERROR(__xludf.DUMMYFUNCTION("GOOGLETRANSLATE(B14120,""en"",""zh-CN"")"),"看到一个人走进框架，开始在一组重量的前面弯曲。")</f>
        <v>看到一个人走进框架，开始在一组重量的前面弯曲。</v>
      </c>
    </row>
    <row r="14121">
      <c r="A14121" s="4" t="s">
        <v>17776</v>
      </c>
      <c r="B14121" s="6" t="s">
        <v>17778</v>
      </c>
      <c r="C14121" s="5" t="str">
        <f>IFERROR(__xludf.DUMMYFUNCTION("GOOGLETRANSLATE(B14121,""en"",""zh-CN"")"),"然后，当相机手表形成后面时，该男子将举重上下举起肩膀。")</f>
        <v>然后，当相机手表形成后面时，该男子将举重上下举起肩膀。</v>
      </c>
    </row>
    <row r="14122">
      <c r="A14122" s="4" t="s">
        <v>17776</v>
      </c>
      <c r="B14122" s="6" t="s">
        <v>17779</v>
      </c>
      <c r="C14122" s="5" t="str">
        <f>IFERROR(__xludf.DUMMYFUNCTION("GOOGLETRANSLATE(B14122,""en"",""zh-CN"")"),"该名男子走进框架走出框架，然后朝着重物走去，另一个男人走进框架以抬起。")</f>
        <v>该名男子走进框架走出框架，然后朝着重物走去，另一个男人走进框架以抬起。</v>
      </c>
    </row>
    <row r="14123">
      <c r="A14123" s="4" t="s">
        <v>17780</v>
      </c>
      <c r="B14123" s="4" t="s">
        <v>17781</v>
      </c>
      <c r="C14123" s="5" t="str">
        <f>IFERROR(__xludf.DUMMYFUNCTION("GOOGLETRANSLATE(B14123,""en"",""zh-CN"")"),"一个男人将鞋子的制作材料搅拌到罐子里。")</f>
        <v>一个男人将鞋子的制作材料搅拌到罐子里。</v>
      </c>
    </row>
    <row r="14124">
      <c r="A14124" s="4" t="s">
        <v>17780</v>
      </c>
      <c r="B14124" s="4" t="s">
        <v>17782</v>
      </c>
      <c r="C14124" s="5" t="str">
        <f>IFERROR(__xludf.DUMMYFUNCTION("GOOGLETRANSLATE(B14124,""en"",""zh-CN"")"),"他准备鞋子闪闪发光的鞋子。")</f>
        <v>他准备鞋子闪闪发光的鞋子。</v>
      </c>
    </row>
    <row r="14125">
      <c r="A14125" s="4" t="s">
        <v>17780</v>
      </c>
      <c r="B14125" s="4" t="s">
        <v>17783</v>
      </c>
      <c r="C14125" s="5" t="str">
        <f>IFERROR(__xludf.DUMMYFUNCTION("GOOGLETRANSLATE(B14125,""en"",""zh-CN"")"),"他解释了他的鞋子闪耀方法。")</f>
        <v>他解释了他的鞋子闪耀方法。</v>
      </c>
    </row>
    <row r="14126">
      <c r="A14126" s="4" t="s">
        <v>17780</v>
      </c>
      <c r="B14126" s="4" t="s">
        <v>17784</v>
      </c>
      <c r="C14126" s="5" t="str">
        <f>IFERROR(__xludf.DUMMYFUNCTION("GOOGLETRANSLATE(B14126,""en"",""zh-CN"")"),"该男子闪耀鞋子的顶部，并通过固定鞋子来完成。")</f>
        <v>该男子闪耀鞋子的顶部，并通过固定鞋子来完成。</v>
      </c>
    </row>
    <row r="14127">
      <c r="A14127" s="4" t="s">
        <v>17785</v>
      </c>
      <c r="B14127" s="4" t="s">
        <v>17786</v>
      </c>
      <c r="C14127" s="5" t="str">
        <f>IFERROR(__xludf.DUMMYFUNCTION("GOOGLETRANSLATE(B14127,""en"",""zh-CN"")"),"看到一个女人站在沙坑的中间，开始摆动一个物体。")</f>
        <v>看到一个女人站在沙坑的中间，开始摆动一个物体。</v>
      </c>
    </row>
    <row r="14128">
      <c r="A14128" s="4" t="s">
        <v>17785</v>
      </c>
      <c r="B14128" s="4" t="s">
        <v>17787</v>
      </c>
      <c r="C14128" s="5" t="str">
        <f>IFERROR(__xludf.DUMMYFUNCTION("GOOGLETRANSLATE(B14128,""en"",""zh-CN"")"),"她在自己周围旋转了几次，然后开始摆动自己。")</f>
        <v>她在自己周围旋转了几次，然后开始摆动自己。</v>
      </c>
    </row>
    <row r="14129">
      <c r="A14129" s="4" t="s">
        <v>17785</v>
      </c>
      <c r="B14129" s="4" t="s">
        <v>17788</v>
      </c>
      <c r="C14129" s="5" t="str">
        <f>IFERROR(__xludf.DUMMYFUNCTION("GOOGLETRANSLATE(B14129,""en"",""zh-CN"")"),"她继续摇摆并通过将其扔到远处而结束。")</f>
        <v>她继续摇摆并通过将其扔到远处而结束。</v>
      </c>
    </row>
    <row r="14130">
      <c r="A14130" s="4" t="s">
        <v>17789</v>
      </c>
      <c r="B14130" s="6" t="s">
        <v>17790</v>
      </c>
      <c r="C14130" s="5" t="str">
        <f>IFERROR(__xludf.DUMMYFUNCTION("GOOGLETRANSLATE(B14130,""en"",""zh-CN"")"),"一个男人在室外，在草皮的田地上扔锤子的运动表演，侧线上有一群围观者。")</f>
        <v>一个男人在室外，在草皮的田地上扔锤子的运动表演，侧线上有一群围观者。</v>
      </c>
    </row>
    <row r="14131">
      <c r="A14131" s="4" t="s">
        <v>17789</v>
      </c>
      <c r="B14131" s="4" t="s">
        <v>17791</v>
      </c>
      <c r="C14131" s="5" t="str">
        <f>IFERROR(__xludf.DUMMYFUNCTION("GOOGLETRANSLATE(B14131,""en"",""zh-CN"")"),"一个人接近一个正方形，铺成的白色表面，周围是黑色网。")</f>
        <v>一个人接近一个正方形，铺成的白色表面，周围是黑色网。</v>
      </c>
    </row>
    <row r="14132">
      <c r="A14132" s="4" t="s">
        <v>17789</v>
      </c>
      <c r="B14132" s="4" t="s">
        <v>17792</v>
      </c>
      <c r="C14132" s="5" t="str">
        <f>IFERROR(__xludf.DUMMYFUNCTION("GOOGLETRANSLATE(B14132,""en"",""zh-CN"")"),"该男子旋转以获得动力，释放/扔锤球。")</f>
        <v>该男子旋转以获得动力，释放/扔锤球。</v>
      </c>
    </row>
    <row r="14133">
      <c r="A14133" s="4" t="s">
        <v>17789</v>
      </c>
      <c r="B14133" s="6" t="s">
        <v>17793</v>
      </c>
      <c r="C14133" s="5" t="str">
        <f>IFERROR(__xludf.DUMMYFUNCTION("GOOGLETRANSLATE(B14133,""en"",""zh-CN"")"),"两个人以长胶带测量出现，以测量锤球被扔出的距离。")</f>
        <v>两个人以长胶带测量出现，以测量锤球被扔出的距离。</v>
      </c>
    </row>
    <row r="14134">
      <c r="A14134" s="4" t="s">
        <v>17789</v>
      </c>
      <c r="B14134" s="4" t="s">
        <v>17794</v>
      </c>
      <c r="C14134" s="5" t="str">
        <f>IFERROR(__xludf.DUMMYFUNCTION("GOOGLETRANSLATE(B14134,""en"",""zh-CN"")"),"运动员逃跑了跳跃，微笑，胸部撞到另一个球员。")</f>
        <v>运动员逃跑了跳跃，微笑，胸部撞到另一个球员。</v>
      </c>
    </row>
    <row r="14135">
      <c r="A14135" s="4" t="s">
        <v>17795</v>
      </c>
      <c r="B14135" s="4" t="s">
        <v>17796</v>
      </c>
      <c r="C14135" s="5" t="str">
        <f>IFERROR(__xludf.DUMMYFUNCTION("GOOGLETRANSLATE(B14135,""en"",""zh-CN"")"),"一个女人站在车道区域的瑜伽垫上说话。")</f>
        <v>一个女人站在车道区域的瑜伽垫上说话。</v>
      </c>
    </row>
    <row r="14136">
      <c r="A14136" s="4" t="s">
        <v>17795</v>
      </c>
      <c r="B14136" s="4" t="s">
        <v>17797</v>
      </c>
      <c r="C14136" s="5" t="str">
        <f>IFERROR(__xludf.DUMMYFUNCTION("GOOGLETRANSLATE(B14136,""en"",""zh-CN"")"),"该名女子进行有氧运动来回走动，并在垫子上举起手臂。")</f>
        <v>该名女子进行有氧运动来回走动，并在垫子上举起手臂。</v>
      </c>
    </row>
    <row r="14137">
      <c r="A14137" s="4" t="s">
        <v>17795</v>
      </c>
      <c r="B14137" s="4" t="s">
        <v>17798</v>
      </c>
      <c r="C14137" s="5" t="str">
        <f>IFERROR(__xludf.DUMMYFUNCTION("GOOGLETRANSLATE(B14137,""en"",""zh-CN"")"),"女人在进行更激烈的锻炼中来回跳来跳去。")</f>
        <v>女人在进行更激烈的锻炼中来回跳来跳去。</v>
      </c>
    </row>
    <row r="14138">
      <c r="A14138" s="4" t="s">
        <v>17799</v>
      </c>
      <c r="B14138" s="4" t="s">
        <v>17800</v>
      </c>
      <c r="C14138" s="5" t="str">
        <f>IFERROR(__xludf.DUMMYFUNCTION("GOOGLETRANSLATE(B14138,""en"",""zh-CN"")"),"一个小女孩在一个有盖的门廊里。")</f>
        <v>一个小女孩在一个有盖的门廊里。</v>
      </c>
    </row>
    <row r="14139">
      <c r="A14139" s="4" t="s">
        <v>17799</v>
      </c>
      <c r="B14139" s="4" t="s">
        <v>17801</v>
      </c>
      <c r="C14139" s="5" t="str">
        <f>IFERROR(__xludf.DUMMYFUNCTION("GOOGLETRANSLATE(B14139,""en"",""zh-CN"")"),"她在一个小皮纳塔（Pinata）上挥动了一名警棍。")</f>
        <v>她在一个小皮纳塔（Pinata）上挥动了一名警棍。</v>
      </c>
    </row>
    <row r="14140">
      <c r="A14140" s="4" t="s">
        <v>17799</v>
      </c>
      <c r="B14140" s="4" t="s">
        <v>17802</v>
      </c>
      <c r="C14140" s="5" t="str">
        <f>IFERROR(__xludf.DUMMYFUNCTION("GOOGLETRANSLATE(B14140,""en"",""zh-CN"")"),"当她继续一次又一次地摆动时，她被蒙住眼睛。")</f>
        <v>当她继续一次又一次地摆动时，她被蒙住眼睛。</v>
      </c>
    </row>
    <row r="14141">
      <c r="A14141" s="4" t="s">
        <v>17803</v>
      </c>
      <c r="B14141" s="4" t="s">
        <v>17804</v>
      </c>
      <c r="C14141" s="5" t="str">
        <f>IFERROR(__xludf.DUMMYFUNCTION("GOOGLETRANSLATE(B14141,""en"",""zh-CN"")"),"一名妇女炫耀她的指甲，然后用刷子绘制了几个指甲夹。")</f>
        <v>一名妇女炫耀她的指甲，然后用刷子绘制了几个指甲夹。</v>
      </c>
    </row>
    <row r="14142">
      <c r="A14142" s="4" t="s">
        <v>17803</v>
      </c>
      <c r="B14142" s="4" t="s">
        <v>17805</v>
      </c>
      <c r="C14142" s="5" t="str">
        <f>IFERROR(__xludf.DUMMYFUNCTION("GOOGLETRANSLATE(B14142,""en"",""zh-CN"")"),"刷子在指甲上制作了几条线条，并用时尚的指甲向名人展示了名人。")</f>
        <v>刷子在指甲上制作了几条线条，并用时尚的指甲向名人展示了名人。</v>
      </c>
    </row>
    <row r="14143">
      <c r="A14143" s="4" t="s">
        <v>17803</v>
      </c>
      <c r="B14143" s="4" t="s">
        <v>17806</v>
      </c>
      <c r="C14143" s="5" t="str">
        <f>IFERROR(__xludf.DUMMYFUNCTION("GOOGLETRANSLATE(B14143,""en"",""zh-CN"")"),"该视频加快了速度，并为指甲油和示例展示了几种不同的设计。")</f>
        <v>该视频加快了速度，并为指甲油和示例展示了几种不同的设计。</v>
      </c>
    </row>
    <row r="14144">
      <c r="A14144" s="4" t="s">
        <v>17807</v>
      </c>
      <c r="B14144" s="4" t="s">
        <v>17808</v>
      </c>
      <c r="C14144" s="5" t="str">
        <f>IFERROR(__xludf.DUMMYFUNCTION("GOOGLETRANSLATE(B14144,""en"",""zh-CN"")"),"显示一个人的指甲的近距离，后面是一个人提取他的指甲。")</f>
        <v>显示一个人的指甲的近距离，后面是一个人提取他的指甲。</v>
      </c>
    </row>
    <row r="14145">
      <c r="A14145" s="4" t="s">
        <v>17807</v>
      </c>
      <c r="B14145" s="4" t="s">
        <v>17809</v>
      </c>
      <c r="C14145" s="5" t="str">
        <f>IFERROR(__xludf.DUMMYFUNCTION("GOOGLETRANSLATE(B14145,""en"",""zh-CN"")"),"显示了几种产品的近距离，以及一个人的指甲被涂漆并在加热下。")</f>
        <v>显示了几种产品的近距离，以及一个人的指甲被涂漆并在加热下。</v>
      </c>
    </row>
    <row r="14146">
      <c r="A14146" s="4" t="s">
        <v>17807</v>
      </c>
      <c r="B14146" s="4" t="s">
        <v>17810</v>
      </c>
      <c r="C14146" s="5" t="str">
        <f>IFERROR(__xludf.DUMMYFUNCTION("GOOGLETRANSLATE(B14146,""en"",""zh-CN"")"),"该人继续绘画指甲，最后戴上宝石。")</f>
        <v>该人继续绘画指甲，最后戴上宝石。</v>
      </c>
    </row>
    <row r="14147">
      <c r="A14147" s="4" t="s">
        <v>17811</v>
      </c>
      <c r="B14147" s="4" t="s">
        <v>1487</v>
      </c>
      <c r="C14147" s="5" t="str">
        <f>IFERROR(__xludf.DUMMYFUNCTION("GOOGLETRANSLATE(B14147,""en"",""zh-CN"")"),"我们看到一个开放标题屏幕。")</f>
        <v>我们看到一个开放标题屏幕。</v>
      </c>
    </row>
    <row r="14148">
      <c r="A14148" s="4" t="s">
        <v>17811</v>
      </c>
      <c r="B14148" s="4" t="s">
        <v>17812</v>
      </c>
      <c r="C14148" s="5" t="str">
        <f>IFERROR(__xludf.DUMMYFUNCTION("GOOGLETRANSLATE(B14148,""en"",""zh-CN"")"),"我们看到人们在室内竞技场踢足球的镜头。")</f>
        <v>我们看到人们在室内竞技场踢足球的镜头。</v>
      </c>
    </row>
    <row r="14149">
      <c r="A14149" s="4" t="s">
        <v>17811</v>
      </c>
      <c r="B14149" s="4" t="s">
        <v>17813</v>
      </c>
      <c r="C14149" s="5" t="str">
        <f>IFERROR(__xludf.DUMMYFUNCTION("GOOGLETRANSLATE(B14149,""en"",""zh-CN"")"),"我们看到一个人跳跃并以慢动作从网中偏转球。")</f>
        <v>我们看到一个人跳跃并以慢动作从网中偏转球。</v>
      </c>
    </row>
    <row r="14150">
      <c r="A14150" s="4" t="s">
        <v>17811</v>
      </c>
      <c r="B14150" s="4" t="s">
        <v>17814</v>
      </c>
      <c r="C14150" s="5" t="str">
        <f>IFERROR(__xludf.DUMMYFUNCTION("GOOGLETRANSLATE(B14150,""en"",""zh-CN"")"),"我们看到两个人慢动作相撞。")</f>
        <v>我们看到两个人慢动作相撞。</v>
      </c>
    </row>
    <row r="14151">
      <c r="A14151" s="4" t="s">
        <v>17815</v>
      </c>
      <c r="B14151" s="4" t="s">
        <v>17816</v>
      </c>
      <c r="C14151" s="5" t="str">
        <f>IFERROR(__xludf.DUMMYFUNCTION("GOOGLETRANSLATE(B14151,""en"",""zh-CN"")"),"小男孩在水槽里刷锅。")</f>
        <v>小男孩在水槽里刷锅。</v>
      </c>
    </row>
    <row r="14152">
      <c r="A14152" s="4" t="s">
        <v>17815</v>
      </c>
      <c r="B14152" s="4" t="s">
        <v>17817</v>
      </c>
      <c r="C14152" s="5" t="str">
        <f>IFERROR(__xludf.DUMMYFUNCTION("GOOGLETRANSLATE(B14152,""en"",""zh-CN"")"),"男孩将刷子从锅中抬起，然后刷水槽，然后将其放在锅中。")</f>
        <v>男孩将刷子从锅中抬起，然后刷水槽，然后将其放在锅中。</v>
      </c>
    </row>
    <row r="14153">
      <c r="A14153" s="4" t="s">
        <v>17815</v>
      </c>
      <c r="B14153" s="6" t="s">
        <v>17818</v>
      </c>
      <c r="C14153" s="5" t="str">
        <f>IFERROR(__xludf.DUMMYFUNCTION("GOOGLETRANSLATE(B14153,""en"",""zh-CN"")"),"男孩刷了锅的盖子，一个成年的盘子放在锅里，男孩把它拿出来浸了叉子。")</f>
        <v>男孩刷了锅的盖子，一个成年的盘子放在锅里，男孩把它拿出来浸了叉子。</v>
      </c>
    </row>
    <row r="14154">
      <c r="A14154" s="4" t="s">
        <v>17819</v>
      </c>
      <c r="B14154" s="4" t="s">
        <v>17820</v>
      </c>
      <c r="C14154" s="5" t="str">
        <f>IFERROR(__xludf.DUMMYFUNCTION("GOOGLETRANSLATE(B14154,""en"",""zh-CN"")"),"穿着安全齿轮的人将金属棒带有夹具。")</f>
        <v>穿着安全齿轮的人将金属棒带有夹具。</v>
      </c>
    </row>
    <row r="14155">
      <c r="A14155" s="4" t="s">
        <v>17819</v>
      </c>
      <c r="B14155" s="4" t="s">
        <v>17821</v>
      </c>
      <c r="C14155" s="5" t="str">
        <f>IFERROR(__xludf.DUMMYFUNCTION("GOOGLETRANSLATE(B14155,""en"",""zh-CN"")"),"然后，该人在表面上焊接。")</f>
        <v>然后，该人在表面上焊接。</v>
      </c>
    </row>
    <row r="14156">
      <c r="A14156" s="4" t="s">
        <v>17819</v>
      </c>
      <c r="B14156" s="4" t="s">
        <v>17822</v>
      </c>
      <c r="C14156" s="5" t="str">
        <f>IFERROR(__xludf.DUMMYFUNCTION("GOOGLETRANSLATE(B14156,""en"",""zh-CN"")"),"烟雾形成夹具。")</f>
        <v>烟雾形成夹具。</v>
      </c>
    </row>
    <row r="14157">
      <c r="A14157" s="4" t="s">
        <v>17823</v>
      </c>
      <c r="B14157" s="4" t="s">
        <v>17824</v>
      </c>
      <c r="C14157" s="5" t="str">
        <f>IFERROR(__xludf.DUMMYFUNCTION("GOOGLETRANSLATE(B14157,""en"",""zh-CN"")"),"画布上显示了山上多云的天空的画。")</f>
        <v>画布上显示了山上多云的天空的画。</v>
      </c>
    </row>
    <row r="14158">
      <c r="A14158" s="4" t="s">
        <v>17823</v>
      </c>
      <c r="B14158" s="4" t="s">
        <v>17825</v>
      </c>
      <c r="C14158" s="5" t="str">
        <f>IFERROR(__xludf.DUMMYFUNCTION("GOOGLETRANSLATE(B14158,""en"",""zh-CN"")"),"刷子开始将蓝色涂在画布上。")</f>
        <v>刷子开始将蓝色涂在画布上。</v>
      </c>
    </row>
    <row r="14159">
      <c r="A14159" s="4" t="s">
        <v>17823</v>
      </c>
      <c r="B14159" s="6" t="s">
        <v>17826</v>
      </c>
      <c r="C14159" s="5" t="str">
        <f>IFERROR(__xludf.DUMMYFUNCTION("GOOGLETRANSLATE(B14159,""en"",""zh-CN"")"),"完整的图像以海滩的鲜艳色彩显示，然后再回到正在进行的刷子中。")</f>
        <v>完整的图像以海滩的鲜艳色彩显示，然后再回到正在进行的刷子中。</v>
      </c>
    </row>
    <row r="14160">
      <c r="A14160" s="4" t="s">
        <v>17823</v>
      </c>
      <c r="B14160" s="4" t="s">
        <v>17827</v>
      </c>
      <c r="C14160" s="5" t="str">
        <f>IFERROR(__xludf.DUMMYFUNCTION("GOOGLETRANSLATE(B14160,""en"",""zh-CN"")"),"海洋在最后一幕。")</f>
        <v>海洋在最后一幕。</v>
      </c>
    </row>
    <row r="14161">
      <c r="A14161" s="4" t="s">
        <v>17828</v>
      </c>
      <c r="B14161" s="4" t="s">
        <v>17829</v>
      </c>
      <c r="C14161" s="5" t="str">
        <f>IFERROR(__xludf.DUMMYFUNCTION("GOOGLETRANSLATE(B14161,""en"",""zh-CN"")"),"一个老太太在床上编织。")</f>
        <v>一个老太太在床上编织。</v>
      </c>
    </row>
    <row r="14162">
      <c r="A14162" s="4" t="s">
        <v>17828</v>
      </c>
      <c r="B14162" s="4" t="s">
        <v>17830</v>
      </c>
      <c r="C14162" s="5" t="str">
        <f>IFERROR(__xludf.DUMMYFUNCTION("GOOGLETRANSLATE(B14162,""en"",""zh-CN"")"),"一个小女孩也坐在地板编织上。")</f>
        <v>一个小女孩也坐在地板编织上。</v>
      </c>
    </row>
    <row r="14163">
      <c r="A14163" s="4" t="s">
        <v>17828</v>
      </c>
      <c r="B14163" s="4" t="s">
        <v>17831</v>
      </c>
      <c r="C14163" s="5" t="str">
        <f>IFERROR(__xludf.DUMMYFUNCTION("GOOGLETRANSLATE(B14163,""en"",""zh-CN"")"),"当她学会编织时，她与相机说话。")</f>
        <v>当她学会编织时，她与相机说话。</v>
      </c>
    </row>
    <row r="14164">
      <c r="A14164" s="4" t="s">
        <v>17832</v>
      </c>
      <c r="B14164" s="6" t="s">
        <v>17833</v>
      </c>
      <c r="C14164" s="5" t="str">
        <f>IFERROR(__xludf.DUMMYFUNCTION("GOOGLETRANSLATE(B14164,""en"",""zh-CN"")"),"一个年轻人正站在一个敞开的门口上，双手靠在他的头手掌上，靠在门口顶部的酒吧上。")</f>
        <v>一个年轻人正站在一个敞开的门口上，双手靠在他的头手掌上，靠在门口顶部的酒吧上。</v>
      </c>
    </row>
    <row r="14165">
      <c r="A14165" s="4" t="s">
        <v>17832</v>
      </c>
      <c r="B14165" s="6" t="s">
        <v>17834</v>
      </c>
      <c r="C14165" s="5" t="str">
        <f>IFERROR(__xludf.DUMMYFUNCTION("GOOGLETRANSLATE(B14165,""en"",""zh-CN"")"),"这位年轻人举起自己，将脚放在酒吧和门架顶部之间的缝隙中。")</f>
        <v>这位年轻人举起自己，将脚放在酒吧和门架顶部之间的缝隙中。</v>
      </c>
    </row>
    <row r="14166">
      <c r="A14166" s="4" t="s">
        <v>17832</v>
      </c>
      <c r="B14166" s="6" t="s">
        <v>17835</v>
      </c>
      <c r="C14166" s="5" t="str">
        <f>IFERROR(__xludf.DUMMYFUNCTION("GOOGLETRANSLATE(B14166,""en"",""zh-CN"")"),"那个年轻人降低了自己的身体，伸出了门口的全长，手在头后方，肘部伸出。")</f>
        <v>那个年轻人降低了自己的身体，伸出了门口的全长，手在头后方，肘部伸出。</v>
      </c>
    </row>
    <row r="14167">
      <c r="A14167" s="4" t="s">
        <v>17832</v>
      </c>
      <c r="B14167" s="4" t="s">
        <v>17836</v>
      </c>
      <c r="C14167" s="5" t="str">
        <f>IFERROR(__xludf.DUMMYFUNCTION("GOOGLETRANSLATE(B14167,""en"",""zh-CN"")"),"年轻人做两个坐着。")</f>
        <v>年轻人做两个坐着。</v>
      </c>
    </row>
    <row r="14168">
      <c r="A14168" s="4" t="s">
        <v>17832</v>
      </c>
      <c r="B14168" s="6" t="s">
        <v>17837</v>
      </c>
      <c r="C14168" s="5" t="str">
        <f>IFERROR(__xludf.DUMMYFUNCTION("GOOGLETRANSLATE(B14168,""en"",""zh-CN"")"),"相机展示了门口的顶部，专注于酒吧，年轻人的脚固定在门口的顶部。")</f>
        <v>相机展示了门口的顶部，专注于酒吧，年轻人的脚固定在门口的顶部。</v>
      </c>
    </row>
    <row r="14169">
      <c r="A14169" s="4" t="s">
        <v>17832</v>
      </c>
      <c r="B14169" s="4" t="s">
        <v>17838</v>
      </c>
      <c r="C14169" s="5" t="str">
        <f>IFERROR(__xludf.DUMMYFUNCTION("GOOGLETRANSLATE(B14169,""en"",""zh-CN"")"),"相机返回到年轻人坐在门口的全景。")</f>
        <v>相机返回到年轻人坐在门口的全景。</v>
      </c>
    </row>
    <row r="14170">
      <c r="A14170" s="4" t="s">
        <v>17832</v>
      </c>
      <c r="B14170" s="4" t="s">
        <v>17839</v>
      </c>
      <c r="C14170" s="5" t="str">
        <f>IFERROR(__xludf.DUMMYFUNCTION("GOOGLETRANSLATE(B14170,""en"",""zh-CN"")"),"这个年轻人又坐了三个。")</f>
        <v>这个年轻人又坐了三个。</v>
      </c>
    </row>
    <row r="14171">
      <c r="A14171" s="4" t="s">
        <v>17840</v>
      </c>
      <c r="B14171" s="4" t="s">
        <v>17841</v>
      </c>
      <c r="C14171" s="5" t="str">
        <f>IFERROR(__xludf.DUMMYFUNCTION("GOOGLETRANSLATE(B14171,""en"",""zh-CN"")"),"一个女人站在真空旁边。")</f>
        <v>一个女人站在真空旁边。</v>
      </c>
    </row>
    <row r="14172">
      <c r="A14172" s="4" t="s">
        <v>17840</v>
      </c>
      <c r="B14172" s="4" t="s">
        <v>17842</v>
      </c>
      <c r="C14172" s="5" t="str">
        <f>IFERROR(__xludf.DUMMYFUNCTION("GOOGLETRANSLATE(B14172,""en"",""zh-CN"")"),"她把一些东西扔到地板上。")</f>
        <v>她把一些东西扔到地板上。</v>
      </c>
    </row>
    <row r="14173">
      <c r="A14173" s="4" t="s">
        <v>17840</v>
      </c>
      <c r="B14173" s="4" t="s">
        <v>17843</v>
      </c>
      <c r="C14173" s="5" t="str">
        <f>IFERROR(__xludf.DUMMYFUNCTION("GOOGLETRANSLATE(B14173,""en"",""zh-CN"")"),"她对真空吸尘器进行了真空。")</f>
        <v>她对真空吸尘器进行了真空。</v>
      </c>
    </row>
    <row r="14174">
      <c r="A14174" s="4" t="s">
        <v>17840</v>
      </c>
      <c r="B14174" s="4" t="s">
        <v>17844</v>
      </c>
      <c r="C14174" s="5" t="str">
        <f>IFERROR(__xludf.DUMMYFUNCTION("GOOGLETRANSLATE(B14174,""en"",""zh-CN"")"),"她从真空中取出软管，然后开始在地板上使用它。")</f>
        <v>她从真空中取出软管，然后开始在地板上使用它。</v>
      </c>
    </row>
    <row r="14175">
      <c r="A14175" s="4" t="s">
        <v>17845</v>
      </c>
      <c r="B14175" s="4" t="s">
        <v>17846</v>
      </c>
      <c r="C14175" s="5" t="str">
        <f>IFERROR(__xludf.DUMMYFUNCTION("GOOGLETRANSLATE(B14175,""en"",""zh-CN"")"),"一个男人正在驾驶骑马割草机。")</f>
        <v>一个男人正在驾驶骑马割草机。</v>
      </c>
    </row>
    <row r="14176">
      <c r="A14176" s="4" t="s">
        <v>17845</v>
      </c>
      <c r="B14176" s="4" t="s">
        <v>17847</v>
      </c>
      <c r="C14176" s="5" t="str">
        <f>IFERROR(__xludf.DUMMYFUNCTION("GOOGLETRANSLATE(B14176,""en"",""zh-CN"")"),"他开始在草坪割草机上割草。")</f>
        <v>他开始在草坪割草机上割草。</v>
      </c>
    </row>
    <row r="14177">
      <c r="A14177" s="4" t="s">
        <v>17845</v>
      </c>
      <c r="B14177" s="4" t="s">
        <v>17848</v>
      </c>
      <c r="C14177" s="5" t="str">
        <f>IFERROR(__xludf.DUMMYFUNCTION("GOOGLETRANSLATE(B14177,""en"",""zh-CN"")"),"他举起手，继续修剪草坪。")</f>
        <v>他举起手，继续修剪草坪。</v>
      </c>
    </row>
    <row r="14178">
      <c r="A14178" s="4" t="s">
        <v>17849</v>
      </c>
      <c r="B14178" s="4" t="s">
        <v>17850</v>
      </c>
      <c r="C14178" s="5" t="str">
        <f>IFERROR(__xludf.DUMMYFUNCTION("GOOGLETRANSLATE(B14178,""en"",""zh-CN"")"),"调酒师正在谈论如何制作酒精饮料。")</f>
        <v>调酒师正在谈论如何制作酒精饮料。</v>
      </c>
    </row>
    <row r="14179">
      <c r="A14179" s="4" t="s">
        <v>17849</v>
      </c>
      <c r="B14179" s="4" t="s">
        <v>17851</v>
      </c>
      <c r="C14179" s="5" t="str">
        <f>IFERROR(__xludf.DUMMYFUNCTION("GOOGLETRANSLATE(B14179,""en"",""zh-CN"")"),"她谈论了她做很多收藏夹的饮料。")</f>
        <v>她谈论了她做很多收藏夹的饮料。</v>
      </c>
    </row>
    <row r="14180">
      <c r="A14180" s="4" t="s">
        <v>17849</v>
      </c>
      <c r="B14180" s="4" t="s">
        <v>17852</v>
      </c>
      <c r="C14180" s="5" t="str">
        <f>IFERROR(__xludf.DUMMYFUNCTION("GOOGLETRANSLATE(B14180,""en"",""zh-CN"")"),"她从毒水苏打水和如何制作开始。")</f>
        <v>她从毒水苏打水和如何制作开始。</v>
      </c>
    </row>
    <row r="14181">
      <c r="A14181" s="4" t="s">
        <v>17849</v>
      </c>
      <c r="B14181" s="4" t="s">
        <v>17853</v>
      </c>
      <c r="C14181" s="5" t="str">
        <f>IFERROR(__xludf.DUMMYFUNCTION("GOOGLETRANSLATE(B14181,""en"",""zh-CN"")"),"她喝的下一杯是伏特加七人。")</f>
        <v>她喝的下一杯是伏特加七人。</v>
      </c>
    </row>
    <row r="14182">
      <c r="A14182" s="4" t="s">
        <v>17849</v>
      </c>
      <c r="B14182" s="4" t="s">
        <v>17854</v>
      </c>
      <c r="C14182" s="5" t="str">
        <f>IFERROR(__xludf.DUMMYFUNCTION("GOOGLETRANSLATE(B14182,""en"",""zh-CN"")"),"然后，她制作了一个螺丝刀，一个灵缇犬，然后与蔓越莓汁混合。")</f>
        <v>然后，她制作了一个螺丝刀，一个灵缇犬，然后与蔓越莓汁混合。</v>
      </c>
    </row>
    <row r="14183">
      <c r="A14183" s="4" t="s">
        <v>17855</v>
      </c>
      <c r="B14183" s="6" t="s">
        <v>17856</v>
      </c>
      <c r="C14183" s="5" t="str">
        <f>IFERROR(__xludf.DUMMYFUNCTION("GOOGLETRANSLATE(B14183,""en"",""zh-CN"")"),"摄像机从一组运动器材上晃动，并导致妇女的脚向上移动。")</f>
        <v>摄像机从一组运动器材上晃动，并导致妇女的脚向上移动。</v>
      </c>
    </row>
    <row r="14184">
      <c r="A14184" s="4" t="s">
        <v>17855</v>
      </c>
      <c r="B14184" s="6" t="s">
        <v>17857</v>
      </c>
      <c r="C14184" s="5" t="str">
        <f>IFERROR(__xludf.DUMMYFUNCTION("GOOGLETRANSLATE(B14184,""en"",""zh-CN"")"),"然后看到该女士使用机器以及调整设置并继续运行。")</f>
        <v>然后看到该女士使用机器以及调整设置并继续运行。</v>
      </c>
    </row>
    <row r="14185">
      <c r="A14185" s="4" t="s">
        <v>17858</v>
      </c>
      <c r="B14185" s="4" t="s">
        <v>17859</v>
      </c>
      <c r="C14185" s="5" t="str">
        <f>IFERROR(__xludf.DUMMYFUNCTION("GOOGLETRANSLATE(B14185,""en"",""zh-CN"")"),"一个穿着寒冷天气的男人在雪地里，手里挂着一条链条。")</f>
        <v>一个穿着寒冷天气的男人在雪地里，手里挂着一条链条。</v>
      </c>
    </row>
    <row r="14186">
      <c r="A14186" s="4" t="s">
        <v>17858</v>
      </c>
      <c r="B14186" s="4" t="s">
        <v>17860</v>
      </c>
      <c r="C14186" s="5" t="str">
        <f>IFERROR(__xludf.DUMMYFUNCTION("GOOGLETRANSLATE(B14186,""en"",""zh-CN"")"),"然后将链条放置在树桩上，该男子捡起斧头。")</f>
        <v>然后将链条放置在树桩上，该男子捡起斧头。</v>
      </c>
    </row>
    <row r="14187">
      <c r="A14187" s="4" t="s">
        <v>17858</v>
      </c>
      <c r="B14187" s="6" t="s">
        <v>17861</v>
      </c>
      <c r="C14187" s="5" t="str">
        <f>IFERROR(__xludf.DUMMYFUNCTION("GOOGLETRANSLATE(B14187,""en"",""zh-CN"")"),"该男子不断撞到树桩，直到树桩被分成碎片，然后他将其束缚在卡车的后部。")</f>
        <v>该男子不断撞到树桩，直到树桩被分成碎片，然后他将其束缚在卡车的后部。</v>
      </c>
    </row>
    <row r="14188">
      <c r="A14188" s="4" t="s">
        <v>17862</v>
      </c>
      <c r="B14188" s="4" t="s">
        <v>17863</v>
      </c>
      <c r="C14188" s="5" t="str">
        <f>IFERROR(__xludf.DUMMYFUNCTION("GOOGLETRANSLATE(B14188,""en"",""zh-CN"")"),"一个男人在与镜头说话时在健身房里。")</f>
        <v>一个男人在与镜头说话时在健身房里。</v>
      </c>
    </row>
    <row r="14189">
      <c r="A14189" s="4" t="s">
        <v>17862</v>
      </c>
      <c r="B14189" s="4" t="s">
        <v>17864</v>
      </c>
      <c r="C14189" s="5" t="str">
        <f>IFERROR(__xludf.DUMMYFUNCTION("GOOGLETRANSLATE(B14189,""en"",""zh-CN"")"),"其他男人在他身后锻炼。")</f>
        <v>其他男人在他身后锻炼。</v>
      </c>
    </row>
    <row r="14190">
      <c r="A14190" s="4" t="s">
        <v>17862</v>
      </c>
      <c r="B14190" s="4" t="s">
        <v>17865</v>
      </c>
      <c r="C14190" s="5" t="str">
        <f>IFERROR(__xludf.DUMMYFUNCTION("GOOGLETRANSLATE(B14190,""en"",""zh-CN"")"),"他通过志愿者展示如何使用划船机。")</f>
        <v>他通过志愿者展示如何使用划船机。</v>
      </c>
    </row>
    <row r="14191">
      <c r="A14191" s="4" t="s">
        <v>17866</v>
      </c>
      <c r="B14191" s="4" t="s">
        <v>17867</v>
      </c>
      <c r="C14191" s="5" t="str">
        <f>IFERROR(__xludf.DUMMYFUNCTION("GOOGLETRANSLATE(B14191,""en"",""zh-CN"")"),"男人站在田野里说话。")</f>
        <v>男人站在田野里说话。</v>
      </c>
    </row>
    <row r="14192">
      <c r="A14192" s="4" t="s">
        <v>17866</v>
      </c>
      <c r="B14192" s="4" t="s">
        <v>17868</v>
      </c>
      <c r="C14192" s="5" t="str">
        <f>IFERROR(__xludf.DUMMYFUNCTION("GOOGLETRANSLATE(B14192,""en"",""zh-CN"")"),"一个男人踢另一个男人。")</f>
        <v>一个男人踢另一个男人。</v>
      </c>
    </row>
    <row r="14193">
      <c r="A14193" s="4" t="s">
        <v>17866</v>
      </c>
      <c r="B14193" s="4" t="s">
        <v>17869</v>
      </c>
      <c r="C14193" s="5" t="str">
        <f>IFERROR(__xludf.DUMMYFUNCTION("GOOGLETRANSLATE(B14193,""en"",""zh-CN"")"),"那个男人向他挥舞蝙蝠。")</f>
        <v>那个男人向他挥舞蝙蝠。</v>
      </c>
    </row>
    <row r="14194">
      <c r="A14194" s="4" t="s">
        <v>17870</v>
      </c>
      <c r="B14194" s="4" t="s">
        <v>17871</v>
      </c>
      <c r="C14194" s="5" t="str">
        <f>IFERROR(__xludf.DUMMYFUNCTION("GOOGLETRANSLATE(B14194,""en"",""zh-CN"")"),"一个人正在海洋骑冲浪板。")</f>
        <v>一个人正在海洋骑冲浪板。</v>
      </c>
    </row>
    <row r="14195">
      <c r="A14195" s="4" t="s">
        <v>17870</v>
      </c>
      <c r="B14195" s="4" t="s">
        <v>17872</v>
      </c>
      <c r="C14195" s="5" t="str">
        <f>IFERROR(__xludf.DUMMYFUNCTION("GOOGLETRANSLATE(B14195,""en"",""zh-CN"")"),"他在浪潮中站在董事会上。")</f>
        <v>他在浪潮中站在董事会上。</v>
      </c>
    </row>
    <row r="14196">
      <c r="A14196" s="4" t="s">
        <v>17870</v>
      </c>
      <c r="B14196" s="4" t="s">
        <v>17873</v>
      </c>
      <c r="C14196" s="5" t="str">
        <f>IFERROR(__xludf.DUMMYFUNCTION("GOOGLETRANSLATE(B14196,""en"",""zh-CN"")"),"他在浪潮中冲浪，进出。")</f>
        <v>他在浪潮中冲浪，进出。</v>
      </c>
    </row>
    <row r="14197">
      <c r="A14197" s="4" t="s">
        <v>17874</v>
      </c>
      <c r="B14197" s="4" t="s">
        <v>17875</v>
      </c>
      <c r="C14197" s="5" t="str">
        <f>IFERROR(__xludf.DUMMYFUNCTION("GOOGLETRANSLATE(B14197,""en"",""zh-CN"")"),"人们正坐在沿着河流的筏子里。")</f>
        <v>人们正坐在沿着河流的筏子里。</v>
      </c>
    </row>
    <row r="14198">
      <c r="A14198" s="4" t="s">
        <v>17874</v>
      </c>
      <c r="B14198" s="4" t="s">
        <v>17876</v>
      </c>
      <c r="C14198" s="5" t="str">
        <f>IFERROR(__xludf.DUMMYFUNCTION("GOOGLETRANSLATE(B14198,""en"",""zh-CN"")"),"一个人站在河边拍照。")</f>
        <v>一个人站在河边拍照。</v>
      </c>
    </row>
    <row r="14199">
      <c r="A14199" s="4" t="s">
        <v>17874</v>
      </c>
      <c r="B14199" s="4" t="s">
        <v>17877</v>
      </c>
      <c r="C14199" s="5" t="str">
        <f>IFERROR(__xludf.DUMMYFUNCTION("GOOGLETRANSLATE(B14199,""en"",""zh-CN"")"),"人们从木筏上驶入土地。")</f>
        <v>人们从木筏上驶入土地。</v>
      </c>
    </row>
    <row r="14200">
      <c r="A14200" s="4" t="s">
        <v>17878</v>
      </c>
      <c r="B14200" s="4" t="s">
        <v>17879</v>
      </c>
      <c r="C14200" s="5" t="str">
        <f>IFERROR(__xludf.DUMMYFUNCTION("GOOGLETRANSLATE(B14200,""en"",""zh-CN"")"),"一个人在外面焊接金属。")</f>
        <v>一个人在外面焊接金属。</v>
      </c>
    </row>
    <row r="14201">
      <c r="A14201" s="4" t="s">
        <v>17878</v>
      </c>
      <c r="B14201" s="4" t="s">
        <v>17880</v>
      </c>
      <c r="C14201" s="5" t="str">
        <f>IFERROR(__xludf.DUMMYFUNCTION("GOOGLETRANSLATE(B14201,""en"",""zh-CN"")"),"该人停止将金属焊接在地板上。")</f>
        <v>该人停止将金属焊接在地板上。</v>
      </c>
    </row>
    <row r="14202">
      <c r="A14202" s="4" t="s">
        <v>17878</v>
      </c>
      <c r="B14202" s="4" t="s">
        <v>17881</v>
      </c>
      <c r="C14202" s="5" t="str">
        <f>IFERROR(__xludf.DUMMYFUNCTION("GOOGLETRANSLATE(B14202,""en"",""zh-CN"")"),"该人将焊接工具移到后面。")</f>
        <v>该人将焊接工具移到后面。</v>
      </c>
    </row>
    <row r="14203">
      <c r="A14203" s="4" t="s">
        <v>17882</v>
      </c>
      <c r="B14203" s="4" t="s">
        <v>17883</v>
      </c>
      <c r="C14203" s="5" t="str">
        <f>IFERROR(__xludf.DUMMYFUNCTION("GOOGLETRANSLATE(B14203,""en"",""zh-CN"")"),"两个小孩坐在室内游乐区滑梯顶部的盒子里。")</f>
        <v>两个小孩坐在室内游乐区滑梯顶部的盒子里。</v>
      </c>
    </row>
    <row r="14204">
      <c r="A14204" s="4" t="s">
        <v>17882</v>
      </c>
      <c r="B14204" s="4" t="s">
        <v>17884</v>
      </c>
      <c r="C14204" s="5" t="str">
        <f>IFERROR(__xludf.DUMMYFUNCTION("GOOGLETRANSLATE(B14204,""en"",""zh-CN"")"),"一个小女孩加入并在滑梯上玩。")</f>
        <v>一个小女孩加入并在滑梯上玩。</v>
      </c>
    </row>
    <row r="14205">
      <c r="A14205" s="4" t="s">
        <v>17882</v>
      </c>
      <c r="B14205" s="4" t="s">
        <v>17885</v>
      </c>
      <c r="C14205" s="5" t="str">
        <f>IFERROR(__xludf.DUMMYFUNCTION("GOOGLETRANSLATE(B14205,""en"",""zh-CN"")"),"女孩离开了，男孩们轮流走下坡路。")</f>
        <v>女孩离开了，男孩们轮流走下坡路。</v>
      </c>
    </row>
    <row r="14206">
      <c r="A14206" s="4" t="s">
        <v>17882</v>
      </c>
      <c r="B14206" s="4" t="s">
        <v>17886</v>
      </c>
      <c r="C14206" s="5" t="str">
        <f>IFERROR(__xludf.DUMMYFUNCTION("GOOGLETRANSLATE(B14206,""en"",""zh-CN"")"),"男孩们将幻灯片连接到第一张幻灯片，然后尝试新的幻灯片。")</f>
        <v>男孩们将幻灯片连接到第一张幻灯片，然后尝试新的幻灯片。</v>
      </c>
    </row>
    <row r="14207">
      <c r="A14207" s="4" t="s">
        <v>17882</v>
      </c>
      <c r="B14207" s="4" t="s">
        <v>17887</v>
      </c>
      <c r="C14207" s="5" t="str">
        <f>IFERROR(__xludf.DUMMYFUNCTION("GOOGLETRANSLATE(B14207,""en"",""zh-CN"")"),"两个孩子逃跑了。")</f>
        <v>两个孩子逃跑了。</v>
      </c>
    </row>
    <row r="14208">
      <c r="A14208" s="4" t="s">
        <v>17882</v>
      </c>
      <c r="B14208" s="4" t="s">
        <v>17888</v>
      </c>
      <c r="C14208" s="5" t="str">
        <f>IFERROR(__xludf.DUMMYFUNCTION("GOOGLETRANSLATE(B14208,""en"",""zh-CN"")"),"最后一个男孩逃跑了，我们看到了滑梯。")</f>
        <v>最后一个男孩逃跑了，我们看到了滑梯。</v>
      </c>
    </row>
    <row r="14209">
      <c r="A14209" s="4" t="s">
        <v>17889</v>
      </c>
      <c r="B14209" s="4" t="s">
        <v>17890</v>
      </c>
      <c r="C14209" s="5" t="str">
        <f>IFERROR(__xludf.DUMMYFUNCTION("GOOGLETRANSLATE(B14209,""en"",""zh-CN"")"),"有两个人划艇沿着一条粗糙的河流。")</f>
        <v>有两个人划艇沿着一条粗糙的河流。</v>
      </c>
    </row>
    <row r="14210">
      <c r="A14210" s="4" t="s">
        <v>17889</v>
      </c>
      <c r="B14210" s="4" t="s">
        <v>17891</v>
      </c>
      <c r="C14210" s="5" t="str">
        <f>IFERROR(__xludf.DUMMYFUNCTION("GOOGLETRANSLATE(B14210,""en"",""zh-CN"")"),"现在，只有一个人可以被岩石看到。")</f>
        <v>现在，只有一个人可以被岩石看到。</v>
      </c>
    </row>
    <row r="14211">
      <c r="A14211" s="4" t="s">
        <v>17889</v>
      </c>
      <c r="B14211" s="4" t="s">
        <v>17892</v>
      </c>
      <c r="C14211" s="5" t="str">
        <f>IFERROR(__xludf.DUMMYFUNCTION("GOOGLETRANSLATE(B14211,""en"",""zh-CN"")"),"门廊的边缘有一双鞋子，在门廊的边缘上方有一双腿。")</f>
        <v>门廊的边缘有一双鞋子，在门廊的边缘上方有一双腿。</v>
      </c>
    </row>
    <row r="14212">
      <c r="A14212" s="4" t="s">
        <v>17893</v>
      </c>
      <c r="B14212" s="4" t="s">
        <v>17894</v>
      </c>
      <c r="C14212" s="5" t="str">
        <f>IFERROR(__xludf.DUMMYFUNCTION("GOOGLETRANSLATE(B14212,""en"",""zh-CN"")"),"看到一个小孩在相机上说话，开始爬上一套猴子酒吧。")</f>
        <v>看到一个小孩在相机上说话，开始爬上一套猴子酒吧。</v>
      </c>
    </row>
    <row r="14213">
      <c r="A14213" s="4" t="s">
        <v>17893</v>
      </c>
      <c r="B14213" s="4" t="s">
        <v>17895</v>
      </c>
      <c r="C14213" s="5" t="str">
        <f>IFERROR(__xludf.DUMMYFUNCTION("GOOGLETRANSLATE(B14213,""en"",""zh-CN"")"),"她把它带到另一侧，微笑着镜头，然后爬下。")</f>
        <v>她把它带到另一侧，微笑着镜头，然后爬下。</v>
      </c>
    </row>
    <row r="14214">
      <c r="A14214" s="4" t="s">
        <v>17896</v>
      </c>
      <c r="B14214" s="4" t="s">
        <v>17897</v>
      </c>
      <c r="C14214" s="5" t="str">
        <f>IFERROR(__xludf.DUMMYFUNCTION("GOOGLETRANSLATE(B14214,""en"",""zh-CN"")"),"我们在房间里看到一个男人在谈论一辆自行车。")</f>
        <v>我们在房间里看到一个男人在谈论一辆自行车。</v>
      </c>
    </row>
    <row r="14215">
      <c r="A14215" s="4" t="s">
        <v>17896</v>
      </c>
      <c r="B14215" s="4" t="s">
        <v>6208</v>
      </c>
      <c r="C14215" s="5" t="str">
        <f>IFERROR(__xludf.DUMMYFUNCTION("GOOGLETRANSLATE(B14215,""en"",""zh-CN"")"),"我们看到标题屏幕。")</f>
        <v>我们看到标题屏幕。</v>
      </c>
    </row>
    <row r="14216">
      <c r="A14216" s="4" t="s">
        <v>17896</v>
      </c>
      <c r="B14216" s="4" t="s">
        <v>17898</v>
      </c>
      <c r="C14216" s="5" t="str">
        <f>IFERROR(__xludf.DUMMYFUNCTION("GOOGLETRANSLATE(B14216,""en"",""zh-CN"")"),"然后，我们看到那个正在调整自行车手柄杆的人。")</f>
        <v>然后，我们看到那个正在调整自行车手柄杆的人。</v>
      </c>
    </row>
    <row r="14217">
      <c r="A14217" s="4" t="s">
        <v>17896</v>
      </c>
      <c r="B14217" s="4" t="s">
        <v>17899</v>
      </c>
      <c r="C14217" s="5" t="str">
        <f>IFERROR(__xludf.DUMMYFUNCTION("GOOGLETRANSLATE(B14217,""en"",""zh-CN"")"),"该男子演示了杠杆如何坐下并调整刹车杆。")</f>
        <v>该男子演示了杠杆如何坐下并调整刹车杆。</v>
      </c>
    </row>
    <row r="14218">
      <c r="A14218" s="4" t="s">
        <v>17896</v>
      </c>
      <c r="B14218" s="4" t="s">
        <v>17900</v>
      </c>
      <c r="C14218" s="5" t="str">
        <f>IFERROR(__xludf.DUMMYFUNCTION("GOOGLETRANSLATE(B14218,""en"",""zh-CN"")"),"该男子展示了坐姿和制动，并将其拧紧。")</f>
        <v>该男子展示了坐姿和制动，并将其拧紧。</v>
      </c>
    </row>
    <row r="14219">
      <c r="A14219" s="4" t="s">
        <v>17896</v>
      </c>
      <c r="B14219" s="4" t="s">
        <v>17901</v>
      </c>
      <c r="C14219" s="5" t="str">
        <f>IFERROR(__xludf.DUMMYFUNCTION("GOOGLETRANSLATE(B14219,""en"",""zh-CN"")"),"然后，那个男人调整了变速杆。")</f>
        <v>然后，那个男人调整了变速杆。</v>
      </c>
    </row>
    <row r="14220">
      <c r="A14220" s="4" t="s">
        <v>17896</v>
      </c>
      <c r="B14220" s="4" t="s">
        <v>17902</v>
      </c>
      <c r="C14220" s="5" t="str">
        <f>IFERROR(__xludf.DUMMYFUNCTION("GOOGLETRANSLATE(B14220,""en"",""zh-CN"")"),"我们看到了视频的回顾和闭幕场景。")</f>
        <v>我们看到了视频的回顾和闭幕场景。</v>
      </c>
    </row>
    <row r="14221">
      <c r="A14221" s="4" t="s">
        <v>17903</v>
      </c>
      <c r="B14221" s="4" t="s">
        <v>17904</v>
      </c>
      <c r="C14221" s="5" t="str">
        <f>IFERROR(__xludf.DUMMYFUNCTION("GOOGLETRANSLATE(B14221,""en"",""zh-CN"")"),"介绍进入屏幕上，以获取有关如何修复臭水槽的视频。")</f>
        <v>介绍进入屏幕上，以获取有关如何修复臭水槽的视频。</v>
      </c>
    </row>
    <row r="14222">
      <c r="A14222" s="4" t="s">
        <v>17903</v>
      </c>
      <c r="B14222" s="6" t="s">
        <v>17905</v>
      </c>
      <c r="C14222" s="5" t="str">
        <f>IFERROR(__xludf.DUMMYFUNCTION("GOOGLETRANSLATE(B14222,""en"",""zh-CN"")"),"一个男人来到屏幕上，几天前就解释了从水槽中散发出气味的情况。")</f>
        <v>一个男人来到屏幕上，几天前就解释了从水槽中散发出气味的情况。</v>
      </c>
    </row>
    <row r="14223">
      <c r="A14223" s="4" t="s">
        <v>17903</v>
      </c>
      <c r="B14223" s="6" t="s">
        <v>17906</v>
      </c>
      <c r="C14223" s="5" t="str">
        <f>IFERROR(__xludf.DUMMYFUNCTION("GOOGLETRANSLATE(B14223,""en"",""zh-CN"")"),"他首先解释了您如何使用不同的化学物质并将它们核心降低，以使气味散发出来。")</f>
        <v>他首先解释了您如何使用不同的化学物质并将它们核心降低，以使气味散发出来。</v>
      </c>
    </row>
    <row r="14224">
      <c r="A14224" s="4" t="s">
        <v>17903</v>
      </c>
      <c r="B14224" s="6" t="s">
        <v>17907</v>
      </c>
      <c r="C14224" s="5" t="str">
        <f>IFERROR(__xludf.DUMMYFUNCTION("GOOGLETRANSLATE(B14224,""en"",""zh-CN"")"),"然后，他向您展示了如何取出水槽的底部以清理水，这可能有助于气味。")</f>
        <v>然后，他向您展示了如何取出水槽的底部以清理水，这可能有助于气味。</v>
      </c>
    </row>
    <row r="14225">
      <c r="A14225" s="4" t="s">
        <v>17903</v>
      </c>
      <c r="B14225" s="4" t="s">
        <v>17908</v>
      </c>
      <c r="C14225" s="5" t="str">
        <f>IFERROR(__xludf.DUMMYFUNCTION("GOOGLETRANSLATE(B14225,""en"",""zh-CN"")"),"该视频是屏幕上显示的结尾学分。")</f>
        <v>该视频是屏幕上显示的结尾学分。</v>
      </c>
    </row>
    <row r="14226">
      <c r="A14226" s="4" t="s">
        <v>17909</v>
      </c>
      <c r="B14226" s="6" t="s">
        <v>17910</v>
      </c>
      <c r="C14226" s="5" t="str">
        <f>IFERROR(__xludf.DUMMYFUNCTION("GOOGLETRANSLATE(B14226,""en"",""zh-CN"")"),"有一个穿着灰色衬衫和黑色紧身裤的女人，而且头发非常短，表演的技巧，在秋千的后院里有一根小棍子。")</f>
        <v>有一个穿着灰色衬衫和黑色紧身裤的女人，而且头发非常短，表演的技巧，在秋千的后院里有一根小棍子。</v>
      </c>
    </row>
    <row r="14227">
      <c r="A14227" s="4" t="s">
        <v>17909</v>
      </c>
      <c r="B14227" s="6" t="s">
        <v>17911</v>
      </c>
      <c r="C14227" s="5" t="str">
        <f>IFERROR(__xludf.DUMMYFUNCTION("GOOGLETRANSLATE(B14227,""en"",""zh-CN"")"),"她在手里的两根棍子之间杂耍，并试图在将另一支棍子扔在空中时抓住一根棍子。")</f>
        <v>她在手里的两根棍子之间杂耍，并试图在将另一支棍子扔在空中时抓住一根棍子。</v>
      </c>
    </row>
    <row r="14228">
      <c r="A14228" s="4" t="s">
        <v>17912</v>
      </c>
      <c r="B14228" s="4" t="s">
        <v>17913</v>
      </c>
      <c r="C14228" s="5" t="str">
        <f>IFERROR(__xludf.DUMMYFUNCTION("GOOGLETRANSLATE(B14228,""en"",""zh-CN"")"),"一个男人沿着外面的轨道奔跑。")</f>
        <v>一个男人沿着外面的轨道奔跑。</v>
      </c>
    </row>
    <row r="14229">
      <c r="A14229" s="4" t="s">
        <v>17912</v>
      </c>
      <c r="B14229" s="4" t="s">
        <v>17914</v>
      </c>
      <c r="C14229" s="5" t="str">
        <f>IFERROR(__xludf.DUMMYFUNCTION("GOOGLETRANSLATE(B14229,""en"",""zh-CN"")"),"他拿着一个长长的标枪。")</f>
        <v>他拿着一个长长的标枪。</v>
      </c>
    </row>
    <row r="14230">
      <c r="A14230" s="4" t="s">
        <v>17912</v>
      </c>
      <c r="B14230" s="4" t="s">
        <v>17915</v>
      </c>
      <c r="C14230" s="5" t="str">
        <f>IFERROR(__xludf.DUMMYFUNCTION("GOOGLETRANSLATE(B14230,""en"",""zh-CN"")"),"他在酒吧上撑杆拱顶。")</f>
        <v>他在酒吧上撑杆拱顶。</v>
      </c>
    </row>
    <row r="14231">
      <c r="A14231" s="4" t="s">
        <v>17912</v>
      </c>
      <c r="B14231" s="4" t="s">
        <v>17916</v>
      </c>
      <c r="C14231" s="5" t="str">
        <f>IFERROR(__xludf.DUMMYFUNCTION("GOOGLETRANSLATE(B14231,""en"",""zh-CN"")"),"他在室内再次做同样的事情。")</f>
        <v>他在室内再次做同样的事情。</v>
      </c>
    </row>
    <row r="14232">
      <c r="A14232" s="4" t="s">
        <v>17917</v>
      </c>
      <c r="B14232" s="6" t="s">
        <v>17918</v>
      </c>
      <c r="C14232" s="5" t="str">
        <f>IFERROR(__xludf.DUMMYFUNCTION("GOOGLETRANSLATE(B14232,""en"",""zh-CN"")"),"看到一个人跳动鸡蛋并将它们混合到碗中，同时将贝壳与鸡蛋分开。")</f>
        <v>看到一个人跳动鸡蛋并将它们混合到碗中，同时将贝壳与鸡蛋分开。</v>
      </c>
    </row>
    <row r="14233">
      <c r="A14233" s="4" t="s">
        <v>17917</v>
      </c>
      <c r="B14233" s="6" t="s">
        <v>17919</v>
      </c>
      <c r="C14233" s="5" t="str">
        <f>IFERROR(__xludf.DUMMYFUNCTION("GOOGLETRANSLATE(B14233,""en"",""zh-CN"")"),"他们将鸡蛋混合在碗周围，然后将黄油和牛奶放入另一个碗中，然后将它们混合在一起。")</f>
        <v>他们将鸡蛋混合在碗周围，然后将黄油和牛奶放入另一个碗中，然后将它们混合在一起。</v>
      </c>
    </row>
    <row r="14234">
      <c r="A14234" s="4" t="s">
        <v>17917</v>
      </c>
      <c r="B14234" s="6" t="s">
        <v>17920</v>
      </c>
      <c r="C14234" s="5" t="str">
        <f>IFERROR(__xludf.DUMMYFUNCTION("GOOGLETRANSLATE(B14234,""en"",""zh-CN"")"),"它们在混合物中添加了更多成分，并显示了坐在盘子上的饼干的最终结果。")</f>
        <v>它们在混合物中添加了更多成分，并显示了坐在盘子上的饼干的最终结果。</v>
      </c>
    </row>
    <row r="14235">
      <c r="A14235" s="4" t="s">
        <v>17921</v>
      </c>
      <c r="B14235" s="4" t="s">
        <v>17922</v>
      </c>
      <c r="C14235" s="5" t="str">
        <f>IFERROR(__xludf.DUMMYFUNCTION("GOOGLETRANSLATE(B14235,""en"",""zh-CN"")"),"一个男人正在关闭摄像机介绍视频。")</f>
        <v>一个男人正在关闭摄像机介绍视频。</v>
      </c>
    </row>
    <row r="14236">
      <c r="A14236" s="4" t="s">
        <v>17921</v>
      </c>
      <c r="B14236" s="4" t="s">
        <v>17923</v>
      </c>
      <c r="C14236" s="5" t="str">
        <f>IFERROR(__xludf.DUMMYFUNCTION("GOOGLETRANSLATE(B14236,""en"",""zh-CN"")"),"他的妻子正在迅速清理一块白色的床架。")</f>
        <v>他的妻子正在迅速清理一块白色的床架。</v>
      </c>
    </row>
    <row r="14237">
      <c r="A14237" s="4" t="s">
        <v>17921</v>
      </c>
      <c r="B14237" s="4" t="s">
        <v>17924</v>
      </c>
      <c r="C14237" s="5" t="str">
        <f>IFERROR(__xludf.DUMMYFUNCTION("GOOGLETRANSLATE(B14237,""en"",""zh-CN"")"),"该男子再次露面，回到妻子身边。")</f>
        <v>该男子再次露面，回到妻子身边。</v>
      </c>
    </row>
    <row r="14238">
      <c r="A14238" s="4" t="s">
        <v>17925</v>
      </c>
      <c r="B14238" s="6" t="s">
        <v>17926</v>
      </c>
      <c r="C14238" s="5" t="str">
        <f>IFERROR(__xludf.DUMMYFUNCTION("GOOGLETRANSLATE(B14238,""en"",""zh-CN"")"),"出现了一个黑色的介绍屏幕，其中包含许多白色，蓝色和绿色的文本，其中包括数字和字母，然后是右侧的徽标，该徽标用于QuickSilver，剪辑将来自新西兰奥克兰Piha的冲浪比赛。 。")</f>
        <v>出现了一个黑色的介绍屏幕，其中包含许多白色，蓝色和绿色的文本，其中包括数字和字母，然后是右侧的徽标，该徽标用于QuickSilver，剪辑将来自新西兰奥克兰Piha的冲浪比赛。 。</v>
      </c>
    </row>
    <row r="14239">
      <c r="A14239" s="4" t="s">
        <v>17925</v>
      </c>
      <c r="B14239" s="6" t="s">
        <v>17927</v>
      </c>
      <c r="C14239" s="5" t="str">
        <f>IFERROR(__xludf.DUMMYFUNCTION("GOOGLETRANSLATE(B14239,""en"",""zh-CN"")"),"展示了海滩，有多个人和帐篷，人们正在观看和欢呼各种冲浪者，这些冲浪者正在冲浪大浪。")</f>
        <v>展示了海滩，有多个人和帐篷，人们正在观看和欢呼各种冲浪者，这些冲浪者正在冲浪大浪。</v>
      </c>
    </row>
    <row r="14240">
      <c r="A14240" s="4" t="s">
        <v>17925</v>
      </c>
      <c r="B14240" s="4" t="s">
        <v>17928</v>
      </c>
      <c r="C14240" s="5" t="str">
        <f>IFERROR(__xludf.DUMMYFUNCTION("GOOGLETRANSLATE(B14240,""en"",""zh-CN"")"),"出现了连续性，它是徽标和文字的黑屏，与介绍相同。")</f>
        <v>出现了连续性，它是徽标和文字的黑屏，与介绍相同。</v>
      </c>
    </row>
    <row r="14241">
      <c r="A14241" s="4" t="s">
        <v>17929</v>
      </c>
      <c r="B14241" s="4" t="s">
        <v>17930</v>
      </c>
      <c r="C14241" s="5" t="str">
        <f>IFERROR(__xludf.DUMMYFUNCTION("GOOGLETRANSLATE(B14241,""en"",""zh-CN"")"),"看到一个女人戴着滚筒刀片，然后回头看相机。")</f>
        <v>看到一个女人戴着滚筒刀片，然后回头看相机。</v>
      </c>
    </row>
    <row r="14242">
      <c r="A14242" s="4" t="s">
        <v>17929</v>
      </c>
      <c r="B14242" s="4" t="s">
        <v>17931</v>
      </c>
      <c r="C14242" s="5" t="str">
        <f>IFERROR(__xludf.DUMMYFUNCTION("GOOGLETRANSLATE(B14242,""en"",""zh-CN"")"),"她试图四处逛逛，而她旁边的另一个人试图提供帮助。")</f>
        <v>她试图四处逛逛，而她旁边的另一个人试图提供帮助。</v>
      </c>
    </row>
    <row r="14243">
      <c r="A14243" s="4" t="s">
        <v>17929</v>
      </c>
      <c r="B14243" s="4" t="s">
        <v>17932</v>
      </c>
      <c r="C14243" s="5" t="str">
        <f>IFERROR(__xludf.DUMMYFUNCTION("GOOGLETRANSLATE(B14243,""en"",""zh-CN"")"),"看到另一个人在远处握住棍子，走向相机。")</f>
        <v>看到另一个人在远处握住棍子，走向相机。</v>
      </c>
    </row>
    <row r="14244">
      <c r="A14244" s="4" t="s">
        <v>17933</v>
      </c>
      <c r="B14244" s="4" t="s">
        <v>17934</v>
      </c>
      <c r="C14244" s="5" t="str">
        <f>IFERROR(__xludf.DUMMYFUNCTION("GOOGLETRANSLATE(B14244,""en"",""zh-CN"")"),"一个青少年谈话，然后他从右眼脱下隐形眼镜。")</f>
        <v>一个青少年谈话，然后他从右眼脱下隐形眼镜。</v>
      </c>
    </row>
    <row r="14245">
      <c r="A14245" s="4" t="s">
        <v>17933</v>
      </c>
      <c r="B14245" s="4" t="s">
        <v>17935</v>
      </c>
      <c r="C14245" s="5" t="str">
        <f>IFERROR(__xludf.DUMMYFUNCTION("GOOGLETRANSLATE(B14245,""en"",""zh-CN"")"),"然后，青少年将隐形眼镜放在食指上，然后再次将其放在他的右Aye中。")</f>
        <v>然后，青少年将隐形眼镜放在食指上，然后再次将其放在他的右Aye中。</v>
      </c>
    </row>
    <row r="14246">
      <c r="A14246" s="4" t="s">
        <v>17933</v>
      </c>
      <c r="B14246" s="4" t="s">
        <v>17936</v>
      </c>
      <c r="C14246" s="5" t="str">
        <f>IFERROR(__xludf.DUMMYFUNCTION("GOOGLETRANSLATE(B14246,""en"",""zh-CN"")"),"之后，这名少年继续说话。")</f>
        <v>之后，这名少年继续说话。</v>
      </c>
    </row>
    <row r="14247">
      <c r="A14247" s="4" t="s">
        <v>17937</v>
      </c>
      <c r="B14247" s="4" t="s">
        <v>17938</v>
      </c>
      <c r="C14247" s="5" t="str">
        <f>IFERROR(__xludf.DUMMYFUNCTION("GOOGLETRANSLATE(B14247,""en"",""zh-CN"")"),"一个人戴上权重的人之后是一个女人在背上举重。")</f>
        <v>一个人戴上权重的人之后是一个女人在背上举重。</v>
      </c>
    </row>
    <row r="14248">
      <c r="A14248" s="4" t="s">
        <v>17937</v>
      </c>
      <c r="B14248" s="4" t="s">
        <v>17939</v>
      </c>
      <c r="C14248" s="5" t="str">
        <f>IFERROR(__xludf.DUMMYFUNCTION("GOOGLETRANSLATE(B14248,""en"",""zh-CN"")"),"她放下了体重，显示了另一个女人举起一组重物。")</f>
        <v>她放下了体重，显示了另一个女人举起一组重物。</v>
      </c>
    </row>
    <row r="14249">
      <c r="A14249" s="4" t="s">
        <v>17937</v>
      </c>
      <c r="B14249" s="6" t="s">
        <v>17940</v>
      </c>
      <c r="C14249" s="5" t="str">
        <f>IFERROR(__xludf.DUMMYFUNCTION("GOOGLETRANSLATE(B14249,""en"",""zh-CN"")"),"还显示了更多的人表演他们的举重才能，并以体育馆的徽标结束。")</f>
        <v>还显示了更多的人表演他们的举重才能，并以体育馆的徽标结束。</v>
      </c>
    </row>
    <row r="14250">
      <c r="A14250" s="4" t="s">
        <v>17941</v>
      </c>
      <c r="B14250" s="4" t="s">
        <v>17942</v>
      </c>
      <c r="C14250" s="5" t="str">
        <f>IFERROR(__xludf.DUMMYFUNCTION("GOOGLETRANSLATE(B14250,""en"",""zh-CN"")"),"一个女人说话，然后她将面包片放在炉子上的热烤盘上。")</f>
        <v>一个女人说话，然后她将面包片放在炉子上的热烤盘上。</v>
      </c>
    </row>
    <row r="14251">
      <c r="A14251" s="4" t="s">
        <v>17941</v>
      </c>
      <c r="B14251" s="4" t="s">
        <v>17943</v>
      </c>
      <c r="C14251" s="5" t="str">
        <f>IFERROR(__xludf.DUMMYFUNCTION("GOOGLETRANSLATE(B14251,""en"",""zh-CN"")"),"然后，女人把奶油奶酪放在面包上，煮肉。")</f>
        <v>然后，女人把奶油奶酪放在面包上，煮肉。</v>
      </c>
    </row>
    <row r="14252">
      <c r="A14252" s="4" t="s">
        <v>17941</v>
      </c>
      <c r="B14252" s="6" t="s">
        <v>17944</v>
      </c>
      <c r="C14252" s="5" t="str">
        <f>IFERROR(__xludf.DUMMYFUNCTION("GOOGLETRANSLATE(B14252,""en"",""zh-CN"")"),"完成肉后，女人将酸菜和奶酪放在上面，然后盖住它并制作三明治。")</f>
        <v>完成肉后，女人将酸菜和奶酪放在上面，然后盖住它并制作三明治。</v>
      </c>
    </row>
    <row r="14253">
      <c r="A14253" s="4" t="s">
        <v>17945</v>
      </c>
      <c r="B14253" s="4" t="s">
        <v>17946</v>
      </c>
      <c r="C14253" s="5" t="str">
        <f>IFERROR(__xludf.DUMMYFUNCTION("GOOGLETRANSLATE(B14253,""en"",""zh-CN"")"),"排球教练正在提供有关他在盐湖城排球技能的信息。")</f>
        <v>排球教练正在提供有关他在盐湖城排球技能的信息。</v>
      </c>
    </row>
    <row r="14254">
      <c r="A14254" s="4" t="s">
        <v>17945</v>
      </c>
      <c r="B14254" s="4" t="s">
        <v>17947</v>
      </c>
      <c r="C14254" s="5" t="str">
        <f>IFERROR(__xludf.DUMMYFUNCTION("GOOGLETRANSLATE(B14254,""en"",""zh-CN"")"),"他在球场上与另一位讲师一起效力。")</f>
        <v>他在球场上与另一位讲师一起效力。</v>
      </c>
    </row>
    <row r="14255">
      <c r="A14255" s="4" t="s">
        <v>17945</v>
      </c>
      <c r="B14255" s="4" t="s">
        <v>17948</v>
      </c>
      <c r="C14255" s="5" t="str">
        <f>IFERROR(__xludf.DUMMYFUNCTION("GOOGLETRANSLATE(B14255,""en"",""zh-CN"")"),"他只是谈论并谈论了一段时间。")</f>
        <v>他只是谈论并谈论了一段时间。</v>
      </c>
    </row>
    <row r="14256">
      <c r="A14256" s="4" t="s">
        <v>17945</v>
      </c>
      <c r="B14256" s="4" t="s">
        <v>17949</v>
      </c>
      <c r="C14256" s="5" t="str">
        <f>IFERROR(__xludf.DUMMYFUNCTION("GOOGLETRANSLATE(B14256,""en"",""zh-CN"")"),"您会看到排球网，然后教练继续讲话。")</f>
        <v>您会看到排球网，然后教练继续讲话。</v>
      </c>
    </row>
    <row r="14257">
      <c r="A14257" s="4" t="s">
        <v>17950</v>
      </c>
      <c r="B14257" s="4" t="s">
        <v>17951</v>
      </c>
      <c r="C14257" s="5" t="str">
        <f>IFERROR(__xludf.DUMMYFUNCTION("GOOGLETRANSLATE(B14257,""en"",""zh-CN"")"),"一支游行乐队在体育场里演奏，而啦啦队则表演。")</f>
        <v>一支游行乐队在体育场里演奏，而啦啦队则表演。</v>
      </c>
    </row>
    <row r="14258">
      <c r="A14258" s="4" t="s">
        <v>17950</v>
      </c>
      <c r="B14258" s="4" t="s">
        <v>17952</v>
      </c>
      <c r="C14258" s="5" t="str">
        <f>IFERROR(__xludf.DUMMYFUNCTION("GOOGLETRANSLATE(B14258,""en"",""zh-CN"")"),"一支足球运动员聚集在游行乐队后面。")</f>
        <v>一支足球运动员聚集在游行乐队后面。</v>
      </c>
    </row>
    <row r="14259">
      <c r="A14259" s="4" t="s">
        <v>17950</v>
      </c>
      <c r="B14259" s="4" t="s">
        <v>17953</v>
      </c>
      <c r="C14259" s="5" t="str">
        <f>IFERROR(__xludf.DUMMYFUNCTION("GOOGLETRANSLATE(B14259,""en"",""zh-CN"")"),"啦啦队长在游行乐队后面。")</f>
        <v>啦啦队长在游行乐队后面。</v>
      </c>
    </row>
    <row r="14260">
      <c r="A14260" s="4" t="s">
        <v>17950</v>
      </c>
      <c r="B14260" s="4" t="s">
        <v>17954</v>
      </c>
      <c r="C14260" s="5" t="str">
        <f>IFERROR(__xludf.DUMMYFUNCTION("GOOGLETRANSLATE(B14260,""en"",""zh-CN"")"),"漂白剂中的啦啦队用绒球表演。")</f>
        <v>漂白剂中的啦啦队用绒球表演。</v>
      </c>
    </row>
    <row r="14261">
      <c r="A14261" s="4" t="s">
        <v>17950</v>
      </c>
      <c r="B14261" s="4" t="s">
        <v>17955</v>
      </c>
      <c r="C14261" s="5" t="str">
        <f>IFERROR(__xludf.DUMMYFUNCTION("GOOGLETRANSLATE(B14261,""en"",""zh-CN"")"),"然后，乐队旁边的啦啦队表演跳跃和四处走动。")</f>
        <v>然后，乐队旁边的啦啦队表演跳跃和四处走动。</v>
      </c>
    </row>
    <row r="14262">
      <c r="A14262" s="4" t="s">
        <v>17956</v>
      </c>
      <c r="B14262" s="4" t="s">
        <v>1251</v>
      </c>
      <c r="C14262" s="5" t="str">
        <f>IFERROR(__xludf.DUMMYFUNCTION("GOOGLETRANSLATE(B14262,""en"",""zh-CN"")"),"显示了剪辑的信用。")</f>
        <v>显示了剪辑的信用。</v>
      </c>
    </row>
    <row r="14263">
      <c r="A14263" s="4" t="s">
        <v>17956</v>
      </c>
      <c r="B14263" s="4" t="s">
        <v>17957</v>
      </c>
      <c r="C14263" s="5" t="str">
        <f>IFERROR(__xludf.DUMMYFUNCTION("GOOGLETRANSLATE(B14263,""en"",""zh-CN"")"),"人们在假草上的黄色锥之间踢球。")</f>
        <v>人们在假草上的黄色锥之间踢球。</v>
      </c>
    </row>
    <row r="14264">
      <c r="A14264" s="4" t="s">
        <v>17956</v>
      </c>
      <c r="B14264" s="4" t="s">
        <v>17958</v>
      </c>
      <c r="C14264" s="5" t="str">
        <f>IFERROR(__xludf.DUMMYFUNCTION("GOOGLETRANSLATE(B14264,""en"",""zh-CN"")"),"玩家将球踢在一个男人的头上。")</f>
        <v>玩家将球踢在一个男人的头上。</v>
      </c>
    </row>
    <row r="14265">
      <c r="A14265" s="4" t="s">
        <v>17956</v>
      </c>
      <c r="B14265" s="4" t="s">
        <v>17959</v>
      </c>
      <c r="C14265" s="5" t="str">
        <f>IFERROR(__xludf.DUMMYFUNCTION("GOOGLETRANSLATE(B14265,""en"",""zh-CN"")"),"球员踢了一个球，击倒了他们捡起的黄色锥体。")</f>
        <v>球员踢了一个球，击倒了他们捡起的黄色锥体。</v>
      </c>
    </row>
    <row r="14266">
      <c r="A14266" s="4" t="s">
        <v>17960</v>
      </c>
      <c r="B14266" s="4" t="s">
        <v>17961</v>
      </c>
      <c r="C14266" s="5" t="str">
        <f>IFERROR(__xludf.DUMMYFUNCTION("GOOGLETRANSLATE(B14266,""en"",""zh-CN"")"),"一个人坐在拿着笔记本电脑时，一个女人卷曲头发。")</f>
        <v>一个人坐在拿着笔记本电脑时，一个女人卷曲头发。</v>
      </c>
    </row>
    <row r="14267">
      <c r="A14267" s="4" t="s">
        <v>17960</v>
      </c>
      <c r="B14267" s="6" t="s">
        <v>17962</v>
      </c>
      <c r="C14267" s="5" t="str">
        <f>IFERROR(__xludf.DUMMYFUNCTION("GOOGLETRANSLATE(B14267,""en"",""zh-CN"")"),"女人锁一头头发，将头部放在头顶上，然后用卷发的铁卷曲头发。")</f>
        <v>女人锁一头头发，将头部放在头顶上，然后用卷发的铁卷曲头发。</v>
      </c>
    </row>
    <row r="14268">
      <c r="A14268" s="4" t="s">
        <v>17963</v>
      </c>
      <c r="B14268" s="4" t="s">
        <v>17964</v>
      </c>
      <c r="C14268" s="5" t="str">
        <f>IFERROR(__xludf.DUMMYFUNCTION("GOOGLETRANSLATE(B14268,""en"",""zh-CN"")"),"一个男人和一个女人在观众面前跳舞。")</f>
        <v>一个男人和一个女人在观众面前跳舞。</v>
      </c>
    </row>
    <row r="14269">
      <c r="A14269" s="4" t="s">
        <v>17963</v>
      </c>
      <c r="B14269" s="4" t="s">
        <v>17965</v>
      </c>
      <c r="C14269" s="5" t="str">
        <f>IFERROR(__xludf.DUMMYFUNCTION("GOOGLETRANSLATE(B14269,""en"",""zh-CN"")"),"男人和女人在观众面前跳舞。")</f>
        <v>男人和女人在观众面前跳舞。</v>
      </c>
    </row>
    <row r="14270">
      <c r="A14270" s="4" t="s">
        <v>17963</v>
      </c>
      <c r="B14270" s="4" t="s">
        <v>17966</v>
      </c>
      <c r="C14270" s="5" t="str">
        <f>IFERROR(__xludf.DUMMYFUNCTION("GOOGLETRANSLATE(B14270,""en"",""zh-CN"")"),"相机显示事件的三名法官站立，鼓掌或指向。")</f>
        <v>相机显示事件的三名法官站立，鼓掌或指向。</v>
      </c>
    </row>
    <row r="14271">
      <c r="A14271" s="4" t="s">
        <v>17967</v>
      </c>
      <c r="B14271" s="4" t="s">
        <v>17968</v>
      </c>
      <c r="C14271" s="5" t="str">
        <f>IFERROR(__xludf.DUMMYFUNCTION("GOOGLETRANSLATE(B14271,""en"",""zh-CN"")"),"两个女人在桌子上摔跤。")</f>
        <v>两个女人在桌子上摔跤。</v>
      </c>
    </row>
    <row r="14272">
      <c r="A14272" s="4" t="s">
        <v>17967</v>
      </c>
      <c r="B14272" s="4" t="s">
        <v>17969</v>
      </c>
      <c r="C14272" s="5" t="str">
        <f>IFERROR(__xludf.DUMMYFUNCTION("GOOGLETRANSLATE(B14272,""en"",""zh-CN"")"),"穿着裁判制服的女人站在他们身后。")</f>
        <v>穿着裁判制服的女人站在他们身后。</v>
      </c>
    </row>
    <row r="14273">
      <c r="A14273" s="4" t="s">
        <v>17967</v>
      </c>
      <c r="B14273" s="4" t="s">
        <v>17970</v>
      </c>
      <c r="C14273" s="5" t="str">
        <f>IFERROR(__xludf.DUMMYFUNCTION("GOOGLETRANSLATE(B14273,""en"",""zh-CN"")"),"其中一个女孩走开了。")</f>
        <v>其中一个女孩走开了。</v>
      </c>
    </row>
    <row r="14274">
      <c r="A14274" s="4" t="s">
        <v>17971</v>
      </c>
      <c r="B14274" s="4" t="s">
        <v>17972</v>
      </c>
      <c r="C14274" s="5" t="str">
        <f>IFERROR(__xludf.DUMMYFUNCTION("GOOGLETRANSLATE(B14274,""en"",""zh-CN"")"),"一群老年人正在公园见面。")</f>
        <v>一群老年人正在公园见面。</v>
      </c>
    </row>
    <row r="14275">
      <c r="A14275" s="4" t="s">
        <v>17971</v>
      </c>
      <c r="B14275" s="4" t="s">
        <v>17973</v>
      </c>
      <c r="C14275" s="5" t="str">
        <f>IFERROR(__xludf.DUMMYFUNCTION("GOOGLETRANSLATE(B14275,""en"",""zh-CN"")"),"他们说话并一起做瑜伽。")</f>
        <v>他们说话并一起做瑜伽。</v>
      </c>
    </row>
    <row r="14276">
      <c r="A14276" s="4" t="s">
        <v>17971</v>
      </c>
      <c r="B14276" s="4" t="s">
        <v>17974</v>
      </c>
      <c r="C14276" s="5" t="str">
        <f>IFERROR(__xludf.DUMMYFUNCTION("GOOGLETRANSLATE(B14276,""en"",""zh-CN"")"),"他们在讲师的帮助下进行了几次瑜伽动作。")</f>
        <v>他们在讲师的帮助下进行了几次瑜伽动作。</v>
      </c>
    </row>
    <row r="14277">
      <c r="A14277" s="4" t="s">
        <v>17971</v>
      </c>
      <c r="B14277" s="4" t="s">
        <v>17975</v>
      </c>
      <c r="C14277" s="5" t="str">
        <f>IFERROR(__xludf.DUMMYFUNCTION("GOOGLETRANSLATE(B14277,""en"",""zh-CN"")"),"然后，他们说再见，继续前进。")</f>
        <v>然后，他们说再见，继续前进。</v>
      </c>
    </row>
    <row r="14278">
      <c r="A14278" s="4" t="s">
        <v>17976</v>
      </c>
      <c r="B14278" s="4" t="s">
        <v>17977</v>
      </c>
      <c r="C14278" s="5" t="str">
        <f>IFERROR(__xludf.DUMMYFUNCTION("GOOGLETRANSLATE(B14278,""en"",""zh-CN"")"),"一个体操运动员握着一个带有绳子的球，然后旋转握住球。")</f>
        <v>一个体操运动员握着一个带有绳子的球，然后旋转握住球。</v>
      </c>
    </row>
    <row r="14279">
      <c r="A14279" s="4" t="s">
        <v>17976</v>
      </c>
      <c r="B14279" s="4" t="s">
        <v>17978</v>
      </c>
      <c r="C14279" s="5" t="str">
        <f>IFERROR(__xludf.DUMMYFUNCTION("GOOGLETRANSLATE(B14279,""en"",""zh-CN"")"),"然后，体操运动员在球场上旋转时将球扔了。")</f>
        <v>然后，体操运动员在球场上旋转时将球扔了。</v>
      </c>
    </row>
    <row r="14280">
      <c r="A14280" s="4" t="s">
        <v>17979</v>
      </c>
      <c r="B14280" s="4" t="s">
        <v>17980</v>
      </c>
      <c r="C14280" s="5" t="str">
        <f>IFERROR(__xludf.DUMMYFUNCTION("GOOGLETRANSLATE(B14280,""en"",""zh-CN"")"),"一个男人正在修剪草坪。")</f>
        <v>一个男人正在修剪草坪。</v>
      </c>
    </row>
    <row r="14281">
      <c r="A14281" s="4" t="s">
        <v>17979</v>
      </c>
      <c r="B14281" s="4" t="s">
        <v>17981</v>
      </c>
      <c r="C14281" s="5" t="str">
        <f>IFERROR(__xludf.DUMMYFUNCTION("GOOGLETRANSLATE(B14281,""en"",""zh-CN"")"),"他抬起头，与某人说话。")</f>
        <v>他抬起头，与某人说话。</v>
      </c>
    </row>
    <row r="14282">
      <c r="A14282" s="4" t="s">
        <v>17979</v>
      </c>
      <c r="B14282" s="4" t="s">
        <v>17982</v>
      </c>
      <c r="C14282" s="5" t="str">
        <f>IFERROR(__xludf.DUMMYFUNCTION("GOOGLETRANSLATE(B14282,""en"",""zh-CN"")"),"这个人继续割草。")</f>
        <v>这个人继续割草。</v>
      </c>
    </row>
    <row r="14283">
      <c r="A14283" s="4" t="s">
        <v>17983</v>
      </c>
      <c r="B14283" s="4" t="s">
        <v>17984</v>
      </c>
      <c r="C14283" s="5" t="str">
        <f>IFERROR(__xludf.DUMMYFUNCTION("GOOGLETRANSLATE(B14283,""en"",""zh-CN"")"),"一位穿着白色制服的女厨师在一个大厨房里展示了一堆烘焙锅，展示了它们。")</f>
        <v>一位穿着白色制服的女厨师在一个大厨房里展示了一堆烘焙锅，展示了它们。</v>
      </c>
    </row>
    <row r="14284">
      <c r="A14284" s="4" t="s">
        <v>17983</v>
      </c>
      <c r="B14284" s="4" t="s">
        <v>17985</v>
      </c>
      <c r="C14284" s="5" t="str">
        <f>IFERROR(__xludf.DUMMYFUNCTION("GOOGLETRANSLATE(B14284,""en"",""zh-CN"")"),"锅中充满了糕点，并装入烤箱中。")</f>
        <v>锅中充满了糕点，并装入烤箱中。</v>
      </c>
    </row>
    <row r="14285">
      <c r="A14285" s="4" t="s">
        <v>17983</v>
      </c>
      <c r="B14285" s="4" t="s">
        <v>17986</v>
      </c>
      <c r="C14285" s="5" t="str">
        <f>IFERROR(__xludf.DUMMYFUNCTION("GOOGLETRANSLATE(B14285,""en"",""zh-CN"")"),"刀被用来将圆柱形面团切成圆形。")</f>
        <v>刀被用来将圆柱形面团切成圆形。</v>
      </c>
    </row>
    <row r="14286">
      <c r="A14286" s="4" t="s">
        <v>17983</v>
      </c>
      <c r="B14286" s="4" t="s">
        <v>17987</v>
      </c>
      <c r="C14286" s="5" t="str">
        <f>IFERROR(__xludf.DUMMYFUNCTION("GOOGLETRANSLATE(B14286,""en"",""zh-CN"")"),"一块土豆被装入烤箱中并取出。")</f>
        <v>一块土豆被装入烤箱中并取出。</v>
      </c>
    </row>
    <row r="14287">
      <c r="A14287" s="4" t="s">
        <v>17983</v>
      </c>
      <c r="B14287" s="4" t="s">
        <v>17988</v>
      </c>
      <c r="C14287" s="5" t="str">
        <f>IFERROR(__xludf.DUMMYFUNCTION("GOOGLETRANSLATE(B14287,""en"",""zh-CN"")"),"一块大盘蛋糕被翻转过来，放在柜台上。")</f>
        <v>一块大盘蛋糕被翻转过来，放在柜台上。</v>
      </c>
    </row>
    <row r="14288">
      <c r="A14288" s="4" t="s">
        <v>17983</v>
      </c>
      <c r="B14288" s="4" t="s">
        <v>17989</v>
      </c>
      <c r="C14288" s="5" t="str">
        <f>IFERROR(__xludf.DUMMYFUNCTION("GOOGLETRANSLATE(B14288,""en"",""zh-CN"")"),"准备一大堆肉，然后在完成后将其从烤箱中取出。")</f>
        <v>准备一大堆肉，然后在完成后将其从烤箱中取出。</v>
      </c>
    </row>
    <row r="14289">
      <c r="A14289" s="4" t="s">
        <v>17983</v>
      </c>
      <c r="B14289" s="4" t="s">
        <v>17990</v>
      </c>
      <c r="C14289" s="5" t="str">
        <f>IFERROR(__xludf.DUMMYFUNCTION("GOOGLETRANSLATE(B14289,""en"",""zh-CN"")"),"女厨师站在罐子后面，捡起一块。")</f>
        <v>女厨师站在罐子后面，捡起一块。</v>
      </c>
    </row>
    <row r="14290">
      <c r="A14290" s="4" t="s">
        <v>17991</v>
      </c>
      <c r="B14290" s="4" t="s">
        <v>17992</v>
      </c>
      <c r="C14290" s="5" t="str">
        <f>IFERROR(__xludf.DUMMYFUNCTION("GOOGLETRANSLATE(B14290,""en"",""zh-CN"")"),"穿着黄色衬衫的那个人正在弹跳桨上。")</f>
        <v>穿着黄色衬衫的那个人正在弹跳桨上。</v>
      </c>
    </row>
    <row r="14291">
      <c r="A14291" s="4" t="s">
        <v>17991</v>
      </c>
      <c r="B14291" s="4" t="s">
        <v>17993</v>
      </c>
      <c r="C14291" s="5" t="str">
        <f>IFERROR(__xludf.DUMMYFUNCTION("GOOGLETRANSLATE(B14291,""en"",""zh-CN"")"),"球员几乎用桨击中了球。")</f>
        <v>球员几乎用桨击中了球。</v>
      </c>
    </row>
    <row r="14292">
      <c r="A14292" s="4" t="s">
        <v>17991</v>
      </c>
      <c r="B14292" s="4" t="s">
        <v>17994</v>
      </c>
      <c r="C14292" s="5" t="str">
        <f>IFERROR(__xludf.DUMMYFUNCTION("GOOGLETRANSLATE(B14292,""en"",""zh-CN"")"),"两个球员互相推动。")</f>
        <v>两个球员互相推动。</v>
      </c>
    </row>
    <row r="14293">
      <c r="A14293" s="4" t="s">
        <v>17995</v>
      </c>
      <c r="B14293" s="6" t="s">
        <v>17996</v>
      </c>
      <c r="C14293" s="5" t="str">
        <f>IFERROR(__xludf.DUMMYFUNCTION("GOOGLETRANSLATE(B14293,""en"",""zh-CN"")"),"看到一个女人在大型体育馆中间说话，并导致几个不同的体操运动员在不平坦的酒吧上互相表演。")</f>
        <v>看到一个女人在大型体育馆中间说话，并导致几个不同的体操运动员在不平坦的酒吧上互相表演。</v>
      </c>
    </row>
    <row r="14294">
      <c r="A14294" s="4" t="s">
        <v>17995</v>
      </c>
      <c r="B14294" s="6" t="s">
        <v>17997</v>
      </c>
      <c r="C14294" s="5" t="str">
        <f>IFERROR(__xludf.DUMMYFUNCTION("GOOGLETRANSLATE(B14294,""en"",""zh-CN"")"),"体操运动员继续在酒吧周围移动，结束时，一个女孩一遍又一遍地走，每个人最终都在挥舞着。")</f>
        <v>体操运动员继续在酒吧周围移动，结束时，一个女孩一遍又一遍地走，每个人最终都在挥舞着。</v>
      </c>
    </row>
    <row r="14295">
      <c r="A14295" s="4" t="s">
        <v>17998</v>
      </c>
      <c r="B14295" s="4" t="s">
        <v>17999</v>
      </c>
      <c r="C14295" s="5" t="str">
        <f>IFERROR(__xludf.DUMMYFUNCTION("GOOGLETRANSLATE(B14295,""en"",""zh-CN"")"),"女人用红风冲浪在湖中挥舞着湖中。")</f>
        <v>女人用红风冲浪在湖中挥舞着湖中。</v>
      </c>
    </row>
    <row r="14296">
      <c r="A14296" s="4" t="s">
        <v>17998</v>
      </c>
      <c r="B14296" s="4" t="s">
        <v>18000</v>
      </c>
      <c r="C14296" s="5" t="str">
        <f>IFERROR(__xludf.DUMMYFUNCTION("GOOGLETRANSLATE(B14296,""en"",""zh-CN"")"),"其他人在湖中的后风中冲浪。")</f>
        <v>其他人在湖中的后风中冲浪。</v>
      </c>
    </row>
    <row r="14297">
      <c r="A14297" s="4" t="s">
        <v>17998</v>
      </c>
      <c r="B14297" s="4" t="s">
        <v>18001</v>
      </c>
      <c r="C14297" s="5" t="str">
        <f>IFERROR(__xludf.DUMMYFUNCTION("GOOGLETRANSLATE(B14297,""en"",""zh-CN"")"),"帆船正站在人们的后背。")</f>
        <v>帆船正站在人们的后背。</v>
      </c>
    </row>
    <row r="14298">
      <c r="A14298" s="4" t="s">
        <v>18002</v>
      </c>
      <c r="B14298" s="6" t="s">
        <v>18003</v>
      </c>
      <c r="C14298" s="5" t="str">
        <f>IFERROR(__xludf.DUMMYFUNCTION("GOOGLETRANSLATE(B14298,""en"",""zh-CN"")"),"看到两名妇女在相机上说话，并导致擦拭家具并炫耀抛光剂。")</f>
        <v>看到两名妇女在相机上说话，并导致擦拭家具并炫耀抛光剂。</v>
      </c>
    </row>
    <row r="14299">
      <c r="A14299" s="4" t="s">
        <v>18002</v>
      </c>
      <c r="B14299" s="6" t="s">
        <v>18004</v>
      </c>
      <c r="C14299" s="5" t="str">
        <f>IFERROR(__xludf.DUMMYFUNCTION("GOOGLETRANSLATE(B14299,""en"",""zh-CN"")"),"妇女在展示波兰人的运作方式以及该地区的风景以及另一个女性在相机上说话时继续讲话。")</f>
        <v>妇女在展示波兰人的运作方式以及该地区的风景以及另一个女性在相机上说话时继续讲话。</v>
      </c>
    </row>
    <row r="14300">
      <c r="A14300" s="4" t="s">
        <v>18005</v>
      </c>
      <c r="B14300" s="4" t="s">
        <v>18006</v>
      </c>
      <c r="C14300" s="5" t="str">
        <f>IFERROR(__xludf.DUMMYFUNCTION("GOOGLETRANSLATE(B14300,""en"",""zh-CN"")"),"一个人在乐队演奏音乐时跳舞和翻转Capoeira。")</f>
        <v>一个人在乐队演奏音乐时跳舞和翻转Capoeira。</v>
      </c>
    </row>
    <row r="14301">
      <c r="A14301" s="4" t="s">
        <v>18005</v>
      </c>
      <c r="B14301" s="4" t="s">
        <v>18007</v>
      </c>
      <c r="C14301" s="5" t="str">
        <f>IFERROR(__xludf.DUMMYFUNCTION("GOOGLETRANSLATE(B14301,""en"",""zh-CN"")"),"然后，一个女人和男人与其他人一起跳舞之后，一个女人与男人交谈。")</f>
        <v>然后，一个女人和男人与其他人一起跳舞之后，一个女人与男人交谈。</v>
      </c>
    </row>
    <row r="14302">
      <c r="A14302" s="4" t="s">
        <v>18005</v>
      </c>
      <c r="B14302" s="4" t="s">
        <v>18008</v>
      </c>
      <c r="C14302" s="5" t="str">
        <f>IFERROR(__xludf.DUMMYFUNCTION("GOOGLETRANSLATE(B14302,""en"",""zh-CN"")"),"之后，男人在小组和伴侣中跳舞，然后都说再见。")</f>
        <v>之后，男人在小组和伴侣中跳舞，然后都说再见。</v>
      </c>
    </row>
    <row r="14303">
      <c r="A14303" s="4" t="s">
        <v>18009</v>
      </c>
      <c r="B14303" s="4" t="s">
        <v>18010</v>
      </c>
      <c r="C14303" s="5" t="str">
        <f>IFERROR(__xludf.DUMMYFUNCTION("GOOGLETRANSLATE(B14303,""en"",""zh-CN"")"),"乐队在舞台上，一个有小号的女孩，男孩打鼓。")</f>
        <v>乐队在舞台上，一个有小号的女孩，男孩打鼓。</v>
      </c>
    </row>
    <row r="14304">
      <c r="A14304" s="4" t="s">
        <v>18009</v>
      </c>
      <c r="B14304" s="4" t="s">
        <v>18011</v>
      </c>
      <c r="C14304" s="5" t="str">
        <f>IFERROR(__xludf.DUMMYFUNCTION("GOOGLETRANSLATE(B14304,""en"",""zh-CN"")"),"他们有一个小二重奏，而萨克斯管则暂停了银行。")</f>
        <v>他们有一个小二重奏，而萨克斯管则暂停了银行。</v>
      </c>
    </row>
    <row r="14305">
      <c r="A14305" s="4" t="s">
        <v>18009</v>
      </c>
      <c r="B14305" s="4" t="s">
        <v>18012</v>
      </c>
      <c r="C14305" s="5" t="str">
        <f>IFERROR(__xludf.DUMMYFUNCTION("GOOGLETRANSLATE(B14305,""en"",""zh-CN"")"),"小号手走过去，拿起铃铛。")</f>
        <v>小号手走过去，拿起铃铛。</v>
      </c>
    </row>
    <row r="14306">
      <c r="A14306" s="4" t="s">
        <v>18009</v>
      </c>
      <c r="B14306" s="4" t="s">
        <v>18013</v>
      </c>
      <c r="C14306" s="5" t="str">
        <f>IFERROR(__xludf.DUMMYFUNCTION("GOOGLETRANSLATE(B14306,""en"",""zh-CN"")"),"然后只是鼓手在鼓上敲打。")</f>
        <v>然后只是鼓手在鼓上敲打。</v>
      </c>
    </row>
    <row r="14307">
      <c r="A14307" s="4" t="s">
        <v>18014</v>
      </c>
      <c r="B14307" s="4" t="s">
        <v>18015</v>
      </c>
      <c r="C14307" s="5" t="str">
        <f>IFERROR(__xludf.DUMMYFUNCTION("GOOGLETRANSLATE(B14307,""en"",""zh-CN"")"),"穿着绿色衬衫的男人正在挥舞着红毛巾。")</f>
        <v>穿着绿色衬衫的男人正在挥舞着红毛巾。</v>
      </c>
    </row>
    <row r="14308">
      <c r="A14308" s="4" t="s">
        <v>18014</v>
      </c>
      <c r="B14308" s="4" t="s">
        <v>18016</v>
      </c>
      <c r="C14308" s="5" t="str">
        <f>IFERROR(__xludf.DUMMYFUNCTION("GOOGLETRANSLATE(B14308,""en"",""zh-CN"")"),"一头棕色的公牛将一个人撞倒在地。")</f>
        <v>一头棕色的公牛将一个人撞倒在地。</v>
      </c>
    </row>
    <row r="14309">
      <c r="A14309" s="4" t="s">
        <v>18014</v>
      </c>
      <c r="B14309" s="4" t="s">
        <v>18017</v>
      </c>
      <c r="C14309" s="5" t="str">
        <f>IFERROR(__xludf.DUMMYFUNCTION("GOOGLETRANSLATE(B14309,""en"",""zh-CN"")"),"人们正站在两边看。")</f>
        <v>人们正站在两边看。</v>
      </c>
    </row>
    <row r="14310">
      <c r="A14310" s="4" t="s">
        <v>18018</v>
      </c>
      <c r="B14310" s="4" t="s">
        <v>18019</v>
      </c>
      <c r="C14310" s="5" t="str">
        <f>IFERROR(__xludf.DUMMYFUNCTION("GOOGLETRANSLATE(B14310,""en"",""zh-CN"")"),"看到一个小孩在操场上徘徊，而相机紧随其后。")</f>
        <v>看到一个小孩在操场上徘徊，而相机紧随其后。</v>
      </c>
    </row>
    <row r="14311">
      <c r="A14311" s="4" t="s">
        <v>18018</v>
      </c>
      <c r="B14311" s="6" t="s">
        <v>18020</v>
      </c>
      <c r="C14311" s="5" t="str">
        <f>IFERROR(__xludf.DUMMYFUNCTION("GOOGLETRANSLATE(B14311,""en"",""zh-CN"")"),"这个男孩和其他几个孩子一起玩耍，在操场上看到，沿着侧面爬下并沿着滑梯爬下。")</f>
        <v>这个男孩和其他几个孩子一起玩耍，在操场上看到，沿着侧面爬下并沿着滑梯爬下。</v>
      </c>
    </row>
    <row r="14312">
      <c r="A14312" s="4" t="s">
        <v>18018</v>
      </c>
      <c r="B14312" s="4" t="s">
        <v>18021</v>
      </c>
      <c r="C14312" s="5" t="str">
        <f>IFERROR(__xludf.DUMMYFUNCTION("GOOGLETRANSLATE(B14312,""en"",""zh-CN"")"),"有更多的剪辑显示了孩子们互相玩耍并在相机上大笑的片段。")</f>
        <v>有更多的剪辑显示了孩子们互相玩耍并在相机上大笑的片段。</v>
      </c>
    </row>
    <row r="14313">
      <c r="A14313" s="4" t="s">
        <v>18022</v>
      </c>
      <c r="B14313" s="6" t="s">
        <v>18023</v>
      </c>
      <c r="C14313" s="5" t="str">
        <f>IFERROR(__xludf.DUMMYFUNCTION("GOOGLETRANSLATE(B14313,""en"",""zh-CN"")"),"看到一个男人从相机上走开，并在与镜头说话时开始锻炼。")</f>
        <v>看到一个男人从相机上走开，并在与镜头说话时开始锻炼。</v>
      </c>
    </row>
    <row r="14314">
      <c r="A14314" s="4" t="s">
        <v>18022</v>
      </c>
      <c r="B14314" s="6" t="s">
        <v>18024</v>
      </c>
      <c r="C14314" s="5" t="str">
        <f>IFERROR(__xludf.DUMMYFUNCTION("GOOGLETRANSLATE(B14314,""en"",""zh-CN"")"),"该男子在挥舞着手臂的同时，在酒吧上下移动，最后走到相机上。")</f>
        <v>该男子在挥舞着手臂的同时，在酒吧上下移动，最后走到相机上。</v>
      </c>
    </row>
    <row r="14315">
      <c r="A14315" s="4" t="s">
        <v>18025</v>
      </c>
      <c r="B14315" s="4" t="s">
        <v>18026</v>
      </c>
      <c r="C14315" s="5" t="str">
        <f>IFERROR(__xludf.DUMMYFUNCTION("GOOGLETRANSLATE(B14315,""en"",""zh-CN"")"),"一名穿着红色和黑色制服的体操运动员在马杆上跳了起来。")</f>
        <v>一名穿着红色和黑色制服的体操运动员在马杆上跳了起来。</v>
      </c>
    </row>
    <row r="14316">
      <c r="A14316" s="4" t="s">
        <v>18025</v>
      </c>
      <c r="B14316" s="4" t="s">
        <v>18027</v>
      </c>
      <c r="C14316" s="5" t="str">
        <f>IFERROR(__xludf.DUMMYFUNCTION("GOOGLETRANSLATE(B14316,""en"",""zh-CN"")"),"她再次跑步，跳上马杆，进行前翻。")</f>
        <v>她再次跑步，跳上马杆，进行前翻。</v>
      </c>
    </row>
    <row r="14317">
      <c r="A14317" s="4" t="s">
        <v>18025</v>
      </c>
      <c r="B14317" s="6" t="s">
        <v>18028</v>
      </c>
      <c r="C14317" s="5" t="str">
        <f>IFERROR(__xludf.DUMMYFUNCTION("GOOGLETRANSLATE(B14317,""en"",""zh-CN"")"),"她第三次再次跳到马杆上，抬起左脚，进行前翻，然后离开酒吧。")</f>
        <v>她第三次再次跳到马杆上，抬起左脚，进行前翻，然后离开酒吧。</v>
      </c>
    </row>
    <row r="14318">
      <c r="A14318" s="4" t="s">
        <v>18025</v>
      </c>
      <c r="B14318" s="4" t="s">
        <v>18029</v>
      </c>
      <c r="C14318" s="5" t="str">
        <f>IFERROR(__xludf.DUMMYFUNCTION("GOOGLETRANSLATE(B14318,""en"",""zh-CN"")"),"她再次重复相同的步骤，然后跳下马酒吧。")</f>
        <v>她再次重复相同的步骤，然后跳下马酒吧。</v>
      </c>
    </row>
    <row r="14319">
      <c r="A14319" s="4" t="s">
        <v>18030</v>
      </c>
      <c r="B14319" s="4" t="s">
        <v>18031</v>
      </c>
      <c r="C14319" s="5" t="str">
        <f>IFERROR(__xludf.DUMMYFUNCTION("GOOGLETRANSLATE(B14319,""en"",""zh-CN"")"),"看到两个人在屏幕上出现文本时，表现缓慢。")</f>
        <v>看到两个人在屏幕上出现文本时，表现缓慢。</v>
      </c>
    </row>
    <row r="14320">
      <c r="A14320" s="4" t="s">
        <v>18030</v>
      </c>
      <c r="B14320" s="6" t="s">
        <v>18032</v>
      </c>
      <c r="C14320" s="5" t="str">
        <f>IFERROR(__xludf.DUMMYFUNCTION("GOOGLETRANSLATE(B14320,""en"",""zh-CN"")"),"那个女人然后自己做同样的动作，而男人和女人的轮廓在他们旁边显示。")</f>
        <v>那个女人然后自己做同样的动作，而男人和女人的轮廓在他们旁边显示。</v>
      </c>
    </row>
    <row r="14321">
      <c r="A14321" s="4" t="s">
        <v>18030</v>
      </c>
      <c r="B14321" s="4" t="s">
        <v>18033</v>
      </c>
      <c r="C14321" s="5" t="str">
        <f>IFERROR(__xludf.DUMMYFUNCTION("GOOGLETRANSLATE(B14321,""en"",""zh-CN"")"),"然后，该男子独自进行动作，并导致这对夫妇再次表演。")</f>
        <v>然后，该男子独自进行动作，并导致这对夫妇再次表演。</v>
      </c>
    </row>
    <row r="14322">
      <c r="A14322" s="4" t="s">
        <v>18034</v>
      </c>
      <c r="B14322" s="4" t="s">
        <v>18035</v>
      </c>
      <c r="C14322" s="5" t="str">
        <f>IFERROR(__xludf.DUMMYFUNCTION("GOOGLETRANSLATE(B14322,""en"",""zh-CN"")"),"一支球队在冰上，玩曲棍球比赛。")</f>
        <v>一支球队在冰上，玩曲棍球比赛。</v>
      </c>
    </row>
    <row r="14323">
      <c r="A14323" s="4" t="s">
        <v>18034</v>
      </c>
      <c r="B14323" s="4" t="s">
        <v>18036</v>
      </c>
      <c r="C14323" s="5" t="str">
        <f>IFERROR(__xludf.DUMMYFUNCTION("GOOGLETRANSLATE(B14323,""en"",""zh-CN"")"),"他们四处走动，撞到冰球，试图使其远离对手。")</f>
        <v>他们四处走动，撞到冰球，试图使其远离对手。</v>
      </c>
    </row>
    <row r="14324">
      <c r="A14324" s="4" t="s">
        <v>18034</v>
      </c>
      <c r="B14324" s="4" t="s">
        <v>18037</v>
      </c>
      <c r="C14324" s="5" t="str">
        <f>IFERROR(__xludf.DUMMYFUNCTION("GOOGLETRANSLATE(B14324,""en"",""zh-CN"")"),"守门员的攻击是防止冰球进入进球。")</f>
        <v>守门员的攻击是防止冰球进入进球。</v>
      </c>
    </row>
    <row r="14325">
      <c r="A14325" s="4" t="s">
        <v>18038</v>
      </c>
      <c r="B14325" s="6" t="s">
        <v>18039</v>
      </c>
      <c r="C14325" s="5" t="str">
        <f>IFERROR(__xludf.DUMMYFUNCTION("GOOGLETRANSLATE(B14325,""en"",""zh-CN"")"),"介绍会导致各种马工具的图片和一个女人在拿着刷子的摄像机上讲话。")</f>
        <v>介绍会导致各种马工具的图片和一个女人在拿着刷子的摄像机上讲话。</v>
      </c>
    </row>
    <row r="14326">
      <c r="A14326" s="4" t="s">
        <v>18038</v>
      </c>
      <c r="B14326" s="4" t="s">
        <v>18040</v>
      </c>
      <c r="C14326" s="5" t="str">
        <f>IFERROR(__xludf.DUMMYFUNCTION("GOOGLETRANSLATE(B14326,""en"",""zh-CN"")"),"然后，她彻底刷了马的鬃毛，同时仍在寻找相机并说话。")</f>
        <v>然后，她彻底刷了马的鬃毛，同时仍在寻找相机并说话。</v>
      </c>
    </row>
    <row r="14327">
      <c r="A14327" s="4" t="s">
        <v>18041</v>
      </c>
      <c r="B14327" s="4" t="s">
        <v>18042</v>
      </c>
      <c r="C14327" s="5" t="str">
        <f>IFERROR(__xludf.DUMMYFUNCTION("GOOGLETRANSLATE(B14327,""en"",""zh-CN"")"),"一名男子与一位女售货员交谈，她将植物修剪成锅中，然后把植物收起来。")</f>
        <v>一名男子与一位女售货员交谈，她将植物修剪成锅中，然后把植物收起来。</v>
      </c>
    </row>
    <row r="14328">
      <c r="A14328" s="4" t="s">
        <v>18041</v>
      </c>
      <c r="B14328" s="6" t="s">
        <v>18043</v>
      </c>
      <c r="C14328" s="5" t="str">
        <f>IFERROR(__xludf.DUMMYFUNCTION("GOOGLETRANSLATE(B14328,""en"",""zh-CN"")"),"之后，该男子将灌木丛放在前面的销售人员的前面，而男人则指向工厂并与该名女子交谈时修剪它。")</f>
        <v>之后，该男子将灌木丛放在前面的销售人员的前面，而男人则指向工厂并与该名女子交谈时修剪它。</v>
      </c>
    </row>
    <row r="14329">
      <c r="A14329" s="4" t="s">
        <v>18044</v>
      </c>
      <c r="B14329" s="4" t="s">
        <v>18045</v>
      </c>
      <c r="C14329" s="5" t="str">
        <f>IFERROR(__xludf.DUMMYFUNCTION("GOOGLETRANSLATE(B14329,""en"",""zh-CN"")"),"看到一个人沿着水面骑着风筝骑着板子。")</f>
        <v>看到一个人沿着水面骑着风筝骑着板子。</v>
      </c>
    </row>
    <row r="14330">
      <c r="A14330" s="4" t="s">
        <v>18044</v>
      </c>
      <c r="B14330" s="4" t="s">
        <v>18046</v>
      </c>
      <c r="C14330" s="5" t="str">
        <f>IFERROR(__xludf.DUMMYFUNCTION("GOOGLETRANSLATE(B14330,""en"",""zh-CN"")"),"显示了更多的剪辑，该剪辑在板上骑行和第四位。")</f>
        <v>显示了更多的剪辑，该剪辑在板上骑行和第四位。</v>
      </c>
    </row>
    <row r="14331">
      <c r="A14331" s="4" t="s">
        <v>18044</v>
      </c>
      <c r="B14331" s="4" t="s">
        <v>18047</v>
      </c>
      <c r="C14331" s="5" t="str">
        <f>IFERROR(__xludf.DUMMYFUNCTION("GOOGLETRANSLATE(B14331,""en"",""zh-CN"")"),"该人继续沿着水乘坐董事会。")</f>
        <v>该人继续沿着水乘坐董事会。</v>
      </c>
    </row>
    <row r="14332">
      <c r="A14332" s="4" t="s">
        <v>18048</v>
      </c>
      <c r="B14332" s="4" t="s">
        <v>18049</v>
      </c>
      <c r="C14332" s="5" t="str">
        <f>IFERROR(__xludf.DUMMYFUNCTION("GOOGLETRANSLATE(B14332,""en"",""zh-CN"")"),"一个人在水中的大波浪上冲浪。")</f>
        <v>一个人在水中的大波浪上冲浪。</v>
      </c>
    </row>
    <row r="14333">
      <c r="A14333" s="4" t="s">
        <v>18048</v>
      </c>
      <c r="B14333" s="4" t="s">
        <v>18050</v>
      </c>
      <c r="C14333" s="5" t="str">
        <f>IFERROR(__xludf.DUMMYFUNCTION("GOOGLETRANSLATE(B14333,""en"",""zh-CN"")"),"水和天空是红色的。")</f>
        <v>水和天空是红色的。</v>
      </c>
    </row>
    <row r="14334">
      <c r="A14334" s="4" t="s">
        <v>18048</v>
      </c>
      <c r="B14334" s="4" t="s">
        <v>18051</v>
      </c>
      <c r="C14334" s="5" t="str">
        <f>IFERROR(__xludf.DUMMYFUNCTION("GOOGLETRANSLATE(B14334,""en"",""zh-CN"")"),"几个人在水上冲浪。")</f>
        <v>几个人在水上冲浪。</v>
      </c>
    </row>
    <row r="14335">
      <c r="A14335" s="4" t="s">
        <v>18052</v>
      </c>
      <c r="B14335" s="4" t="s">
        <v>18053</v>
      </c>
      <c r="C14335" s="5" t="str">
        <f>IFERROR(__xludf.DUMMYFUNCTION("GOOGLETRANSLATE(B14335,""en"",""zh-CN"")"),"一个戴着眼镜的女人正在编织。")</f>
        <v>一个戴着眼镜的女人正在编织。</v>
      </c>
    </row>
    <row r="14336">
      <c r="A14336" s="4" t="s">
        <v>18052</v>
      </c>
      <c r="B14336" s="4" t="s">
        <v>18054</v>
      </c>
      <c r="C14336" s="5" t="str">
        <f>IFERROR(__xludf.DUMMYFUNCTION("GOOGLETRANSLATE(B14336,""en"",""zh-CN"")"),"一个穿着黑色衬衫的女孩坐在聊天。")</f>
        <v>一个穿着黑色衬衫的女孩坐在聊天。</v>
      </c>
    </row>
    <row r="14337">
      <c r="A14337" s="4" t="s">
        <v>18052</v>
      </c>
      <c r="B14337" s="4" t="s">
        <v>18055</v>
      </c>
      <c r="C14337" s="5" t="str">
        <f>IFERROR(__xludf.DUMMYFUNCTION("GOOGLETRANSLATE(B14337,""en"",""zh-CN"")"),"这个女人编织的人与女孩说话。")</f>
        <v>这个女人编织的人与女孩说话。</v>
      </c>
    </row>
    <row r="14338">
      <c r="A14338" s="4" t="s">
        <v>18056</v>
      </c>
      <c r="B14338" s="4" t="s">
        <v>18057</v>
      </c>
      <c r="C14338" s="5" t="str">
        <f>IFERROR(__xludf.DUMMYFUNCTION("GOOGLETRANSLATE(B14338,""en"",""zh-CN"")"),"当人们开始沿着皮划艇上的一个人制作白水河时，一个男人与镜头说话。")</f>
        <v>当人们开始沿着皮划艇上的一个人制作白水河时，一个男人与镜头说话。</v>
      </c>
    </row>
    <row r="14339">
      <c r="A14339" s="4" t="s">
        <v>18056</v>
      </c>
      <c r="B14339" s="4" t="s">
        <v>18058</v>
      </c>
      <c r="C14339" s="5" t="str">
        <f>IFERROR(__xludf.DUMMYFUNCTION("GOOGLETRANSLATE(B14339,""en"",""zh-CN"")"),"人们略微卡住，然后在小瀑布下掉下来。")</f>
        <v>人们略微卡住，然后在小瀑布下掉下来。</v>
      </c>
    </row>
    <row r="14340">
      <c r="A14340" s="4" t="s">
        <v>18056</v>
      </c>
      <c r="B14340" s="4" t="s">
        <v>18059</v>
      </c>
      <c r="C14340" s="5" t="str">
        <f>IFERROR(__xludf.DUMMYFUNCTION("GOOGLETRANSLATE(B14340,""en"",""zh-CN"")"),"一个女人摔倒了，被另一个人拉回去。")</f>
        <v>一个女人摔倒了，被另一个人拉回去。</v>
      </c>
    </row>
    <row r="14341">
      <c r="A14341" s="4" t="s">
        <v>18056</v>
      </c>
      <c r="B14341" s="4" t="s">
        <v>18060</v>
      </c>
      <c r="C14341" s="5" t="str">
        <f>IFERROR(__xludf.DUMMYFUNCTION("GOOGLETRANSLATE(B14341,""en"",""zh-CN"")"),"然后，我们看到了急流中皮划艇中的人的几张图像。")</f>
        <v>然后，我们看到了急流中皮划艇中的人的几张图像。</v>
      </c>
    </row>
    <row r="14342">
      <c r="A14342" s="4" t="s">
        <v>18061</v>
      </c>
      <c r="B14342" s="4" t="s">
        <v>18062</v>
      </c>
      <c r="C14342" s="5" t="str">
        <f>IFERROR(__xludf.DUMMYFUNCTION("GOOGLETRANSLATE(B14342,""en"",""zh-CN"")"),"一个人在街上说话，然后在路上滑板。")</f>
        <v>一个人在街上说话，然后在路上滑板。</v>
      </c>
    </row>
    <row r="14343">
      <c r="A14343" s="4" t="s">
        <v>18061</v>
      </c>
      <c r="B14343" s="4" t="s">
        <v>18063</v>
      </c>
      <c r="C14343" s="5" t="str">
        <f>IFERROR(__xludf.DUMMYFUNCTION("GOOGLETRANSLATE(B14343,""en"",""zh-CN"")"),"然后，这个人将滑板踢回去。")</f>
        <v>然后，这个人将滑板踢回去。</v>
      </c>
    </row>
    <row r="14344">
      <c r="A14344" s="4" t="s">
        <v>18061</v>
      </c>
      <c r="B14344" s="4" t="s">
        <v>18064</v>
      </c>
      <c r="C14344" s="5" t="str">
        <f>IFERROR(__xludf.DUMMYFUNCTION("GOOGLETRANSLATE(B14344,""en"",""zh-CN"")"),"在该人跳下它之后，滑板滑落在路上。")</f>
        <v>在该人跳下它之后，滑板滑落在路上。</v>
      </c>
    </row>
    <row r="14345">
      <c r="A14345" s="4" t="s">
        <v>18061</v>
      </c>
      <c r="B14345" s="4" t="s">
        <v>18065</v>
      </c>
      <c r="C14345" s="5" t="str">
        <f>IFERROR(__xludf.DUMMYFUNCTION("GOOGLETRANSLATE(B14345,""en"",""zh-CN"")"),"接下来，练习滑板在人用草做技巧之后拖着一只脚。")</f>
        <v>接下来，练习滑板在人用草做技巧之后拖着一只脚。</v>
      </c>
    </row>
    <row r="14346">
      <c r="A14346" s="4" t="s">
        <v>18066</v>
      </c>
      <c r="B14346" s="6" t="s">
        <v>18067</v>
      </c>
      <c r="C14346" s="5" t="str">
        <f>IFERROR(__xludf.DUMMYFUNCTION("GOOGLETRANSLATE(B14346,""en"",""zh-CN"")"),"女人正站在一个拿着Épée的大房间里，阿曼走进去，拿着其他Épée，开始与女人战斗。")</f>
        <v>女人正站在一个拿着Épée的大房间里，阿曼走进去，拿着其他Épée，开始与女人战斗。</v>
      </c>
    </row>
    <row r="14347">
      <c r="A14347" s="4" t="s">
        <v>18066</v>
      </c>
      <c r="B14347" s="4" t="s">
        <v>18068</v>
      </c>
      <c r="C14347" s="5" t="str">
        <f>IFERROR(__xludf.DUMMYFUNCTION("GOOGLETRANSLATE(B14347,""en"",""zh-CN"")"),"孩子们进入房间，跑到男人和女人身上。")</f>
        <v>孩子们进入房间，跑到男人和女人身上。</v>
      </c>
    </row>
    <row r="14348">
      <c r="A14348" s="4" t="s">
        <v>18066</v>
      </c>
      <c r="B14348" s="4" t="s">
        <v>18069</v>
      </c>
      <c r="C14348" s="5" t="str">
        <f>IFERROR(__xludf.DUMMYFUNCTION("GOOGLETRANSLATE(B14348,""en"",""zh-CN"")"),"男人给女人戴黑面具并戴上它。")</f>
        <v>男人给女人戴黑面具并戴上它。</v>
      </c>
    </row>
    <row r="14349">
      <c r="A14349" s="4" t="s">
        <v>18070</v>
      </c>
      <c r="B14349" s="4" t="s">
        <v>18071</v>
      </c>
      <c r="C14349" s="5" t="str">
        <f>IFERROR(__xludf.DUMMYFUNCTION("GOOGLETRANSLATE(B14349,""en"",""zh-CN"")"),"一个稳定的孩子刷马。")</f>
        <v>一个稳定的孩子刷马。</v>
      </c>
    </row>
    <row r="14350">
      <c r="A14350" s="4" t="s">
        <v>18070</v>
      </c>
      <c r="B14350" s="6" t="s">
        <v>18072</v>
      </c>
      <c r="C14350" s="5" t="str">
        <f>IFERROR(__xludf.DUMMYFUNCTION("GOOGLETRANSLATE(B14350,""en"",""zh-CN"")"),"孩子说话时，孩子从马走开，然后恢复刷马。")</f>
        <v>孩子说话时，孩子从马走开，然后恢复刷马。</v>
      </c>
    </row>
    <row r="14351">
      <c r="A14351" s="4" t="s">
        <v>18073</v>
      </c>
      <c r="B14351" s="6" t="s">
        <v>18074</v>
      </c>
      <c r="C14351" s="5" t="str">
        <f>IFERROR(__xludf.DUMMYFUNCTION("GOOGLETRANSLATE(B14351,""en"",""zh-CN"")"),"相机放大了一个在大型舞台上执行例程的人，将接力棒旋转到空中。")</f>
        <v>相机放大了一个在大型舞台上执行例程的人，将接力棒旋转到空中。</v>
      </c>
    </row>
    <row r="14352">
      <c r="A14352" s="4" t="s">
        <v>18073</v>
      </c>
      <c r="B14352" s="4" t="s">
        <v>18075</v>
      </c>
      <c r="C14352" s="5" t="str">
        <f>IFERROR(__xludf.DUMMYFUNCTION("GOOGLETRANSLATE(B14352,""en"",""zh-CN"")"),"该人继续例行程序，并以分裂和听众鼓掌结束。")</f>
        <v>该人继续例行程序，并以分裂和听众鼓掌结束。</v>
      </c>
    </row>
    <row r="14353">
      <c r="A14353" s="4" t="s">
        <v>18076</v>
      </c>
      <c r="B14353" s="4" t="s">
        <v>18077</v>
      </c>
      <c r="C14353" s="5" t="str">
        <f>IFERROR(__xludf.DUMMYFUNCTION("GOOGLETRANSLATE(B14353,""en"",""zh-CN"")"),"看到一个小男孩站在滑梯的顶部，向下走来走去。")</f>
        <v>看到一个小男孩站在滑梯的顶部，向下走来走去。</v>
      </c>
    </row>
    <row r="14354">
      <c r="A14354" s="4" t="s">
        <v>18076</v>
      </c>
      <c r="B14354" s="4" t="s">
        <v>18078</v>
      </c>
      <c r="C14354" s="5" t="str">
        <f>IFERROR(__xludf.DUMMYFUNCTION("GOOGLETRANSLATE(B14354,""en"",""zh-CN"")"),"这个男孩骑着所有的滑梯，相机跟随他后来走来走去。")</f>
        <v>这个男孩骑着所有的滑梯，相机跟随他后来走来走去。</v>
      </c>
    </row>
    <row r="14355">
      <c r="A14355" s="4" t="s">
        <v>18079</v>
      </c>
      <c r="B14355" s="4" t="s">
        <v>18080</v>
      </c>
      <c r="C14355" s="5" t="str">
        <f>IFERROR(__xludf.DUMMYFUNCTION("GOOGLETRANSLATE(B14355,""en"",""zh-CN"")"),"一个男孩站在厨房的水槽里。")</f>
        <v>一个男孩站在厨房的水槽里。</v>
      </c>
    </row>
    <row r="14356">
      <c r="A14356" s="4" t="s">
        <v>18079</v>
      </c>
      <c r="B14356" s="4" t="s">
        <v>18081</v>
      </c>
      <c r="C14356" s="5" t="str">
        <f>IFERROR(__xludf.DUMMYFUNCTION("GOOGLETRANSLATE(B14356,""en"",""zh-CN"")"),"他正在擦鞋子。")</f>
        <v>他正在擦鞋子。</v>
      </c>
    </row>
    <row r="14357">
      <c r="A14357" s="4" t="s">
        <v>18079</v>
      </c>
      <c r="B14357" s="4" t="s">
        <v>18082</v>
      </c>
      <c r="C14357" s="5" t="str">
        <f>IFERROR(__xludf.DUMMYFUNCTION("GOOGLETRANSLATE(B14357,""en"",""zh-CN"")"),"他转过身，对镜头微笑。")</f>
        <v>他转过身，对镜头微笑。</v>
      </c>
    </row>
    <row r="14358">
      <c r="A14358" s="4" t="s">
        <v>18083</v>
      </c>
      <c r="B14358" s="4" t="s">
        <v>18084</v>
      </c>
      <c r="C14358" s="5" t="str">
        <f>IFERROR(__xludf.DUMMYFUNCTION("GOOGLETRANSLATE(B14358,""en"",""zh-CN"")"),"一个女人正在和她的班级谈论跳绳。")</f>
        <v>一个女人正在和她的班级谈论跳绳。</v>
      </c>
    </row>
    <row r="14359">
      <c r="A14359" s="4" t="s">
        <v>18083</v>
      </c>
      <c r="B14359" s="4" t="s">
        <v>18085</v>
      </c>
      <c r="C14359" s="5" t="str">
        <f>IFERROR(__xludf.DUMMYFUNCTION("GOOGLETRANSLATE(B14359,""en"",""zh-CN"")"),"她把绳子放在脚下，开始演示一点。")</f>
        <v>她把绳子放在脚下，开始演示一点。</v>
      </c>
    </row>
    <row r="14360">
      <c r="A14360" s="4" t="s">
        <v>18083</v>
      </c>
      <c r="B14360" s="4" t="s">
        <v>18086</v>
      </c>
      <c r="C14360" s="5" t="str">
        <f>IFERROR(__xludf.DUMMYFUNCTION("GOOGLETRANSLATE(B14360,""en"",""zh-CN"")"),"她开始很快跳绳。")</f>
        <v>她开始很快跳绳。</v>
      </c>
    </row>
    <row r="14361">
      <c r="A14361" s="4" t="s">
        <v>18083</v>
      </c>
      <c r="B14361" s="4" t="s">
        <v>18087</v>
      </c>
      <c r="C14361" s="5" t="str">
        <f>IFERROR(__xludf.DUMMYFUNCTION("GOOGLETRANSLATE(B14361,""en"",""zh-CN"")"),"她停下来，继续进行更多的交谈，然后再开始跳跃。")</f>
        <v>她停下来，继续进行更多的交谈，然后再开始跳跃。</v>
      </c>
    </row>
    <row r="14362">
      <c r="A14362" s="4" t="s">
        <v>18088</v>
      </c>
      <c r="B14362" s="4" t="s">
        <v>18089</v>
      </c>
      <c r="C14362" s="5" t="str">
        <f>IFERROR(__xludf.DUMMYFUNCTION("GOOGLETRANSLATE(B14362,""en"",""zh-CN"")"),"一个女人穿着毛巾，站在浴缸旁边。")</f>
        <v>一个女人穿着毛巾，站在浴缸旁边。</v>
      </c>
    </row>
    <row r="14363">
      <c r="A14363" s="4" t="s">
        <v>18088</v>
      </c>
      <c r="B14363" s="4" t="s">
        <v>18090</v>
      </c>
      <c r="C14363" s="5" t="str">
        <f>IFERROR(__xludf.DUMMYFUNCTION("GOOGLETRANSLATE(B14363,""en"",""zh-CN"")"),"她将剃须膏放在腿上，剃光腿。")</f>
        <v>她将剃须膏放在腿上，剃光腿。</v>
      </c>
    </row>
    <row r="14364">
      <c r="A14364" s="4" t="s">
        <v>18091</v>
      </c>
      <c r="B14364" s="4" t="s">
        <v>18092</v>
      </c>
      <c r="C14364" s="5" t="str">
        <f>IFERROR(__xludf.DUMMYFUNCTION("GOOGLETRANSLATE(B14364,""en"",""zh-CN"")"),"燕尾服中的一个男人开始解释黑杰克。")</f>
        <v>燕尾服中的一个男人开始解释黑杰克。</v>
      </c>
    </row>
    <row r="14365">
      <c r="A14365" s="4" t="s">
        <v>18091</v>
      </c>
      <c r="B14365" s="4" t="s">
        <v>18093</v>
      </c>
      <c r="C14365" s="5" t="str">
        <f>IFERROR(__xludf.DUMMYFUNCTION("GOOGLETRANSLATE(B14365,""en"",""zh-CN"")"),"经销商向四个玩家交易卡。")</f>
        <v>经销商向四个玩家交易卡。</v>
      </c>
    </row>
    <row r="14366">
      <c r="A14366" s="4" t="s">
        <v>18091</v>
      </c>
      <c r="B14366" s="4" t="s">
        <v>18094</v>
      </c>
      <c r="C14366" s="5" t="str">
        <f>IFERROR(__xludf.DUMMYFUNCTION("GOOGLETRANSLATE(B14366,""en"",""zh-CN"")"),"显示了几张纸牌。")</f>
        <v>显示了几张纸牌。</v>
      </c>
    </row>
    <row r="14367">
      <c r="A14367" s="4" t="s">
        <v>18091</v>
      </c>
      <c r="B14367" s="4" t="s">
        <v>18095</v>
      </c>
      <c r="C14367" s="5" t="str">
        <f>IFERROR(__xludf.DUMMYFUNCTION("GOOGLETRANSLATE(B14367,""en"",""zh-CN"")"),"燕尾服中的那个人继续解释二十一点的规则。")</f>
        <v>燕尾服中的那个人继续解释二十一点的规则。</v>
      </c>
    </row>
    <row r="14368">
      <c r="A14368" s="4" t="s">
        <v>18096</v>
      </c>
      <c r="B14368" s="4" t="s">
        <v>18097</v>
      </c>
      <c r="C14368" s="5" t="str">
        <f>IFERROR(__xludf.DUMMYFUNCTION("GOOGLETRANSLATE(B14368,""en"",""zh-CN"")"),"两名妇女在舞台中间没有桌子摔跤。")</f>
        <v>两名妇女在舞台中间没有桌子摔跤。</v>
      </c>
    </row>
    <row r="14369">
      <c r="A14369" s="4" t="s">
        <v>18096</v>
      </c>
      <c r="B14369" s="4" t="s">
        <v>18098</v>
      </c>
      <c r="C14369" s="5" t="str">
        <f>IFERROR(__xludf.DUMMYFUNCTION("GOOGLETRANSLATE(B14369,""en"",""zh-CN"")"),"穿着黑色和白色衬衫的裁判正站在女孩身后。")</f>
        <v>穿着黑色和白色衬衫的裁判正站在女孩身后。</v>
      </c>
    </row>
    <row r="14370">
      <c r="A14370" s="4" t="s">
        <v>18096</v>
      </c>
      <c r="B14370" s="6" t="s">
        <v>18099</v>
      </c>
      <c r="C14370" s="5" t="str">
        <f>IFERROR(__xludf.DUMMYFUNCTION("GOOGLETRANSLATE(B14370,""en"",""zh-CN"")"),"两名炙手可热的女人在桌子上摔跤，裁判员站在前面或坐在后面。")</f>
        <v>两名炙手可热的女人在桌子上摔跤，裁判员站在前面或坐在后面。</v>
      </c>
    </row>
    <row r="14371">
      <c r="A14371" s="4" t="s">
        <v>18096</v>
      </c>
      <c r="B14371" s="4" t="s">
        <v>18100</v>
      </c>
      <c r="C14371" s="5" t="str">
        <f>IFERROR(__xludf.DUMMYFUNCTION("GOOGLETRANSLATE(B14371,""en"",""zh-CN"")"),"妇女在酒吧手臂上摔跤，很多人在看着她们。")</f>
        <v>妇女在酒吧手臂上摔跤，很多人在看着她们。</v>
      </c>
    </row>
    <row r="14372">
      <c r="A14372" s="4" t="s">
        <v>18101</v>
      </c>
      <c r="B14372" s="4" t="s">
        <v>18102</v>
      </c>
      <c r="C14372" s="5" t="str">
        <f>IFERROR(__xludf.DUMMYFUNCTION("GOOGLETRANSLATE(B14372,""en"",""zh-CN"")"),"一个女人和一个穿着妖精的矮个男人一起玩啤酒乒乓球比赛。")</f>
        <v>一个女人和一个穿着妖精的矮个男人一起玩啤酒乒乓球比赛。</v>
      </c>
    </row>
    <row r="14373">
      <c r="A14373" s="4" t="s">
        <v>18101</v>
      </c>
      <c r="B14373" s="4" t="s">
        <v>18103</v>
      </c>
      <c r="C14373" s="5" t="str">
        <f>IFERROR(__xludf.DUMMYFUNCTION("GOOGLETRANSLATE(B14373,""en"",""zh-CN"")"),"DJ播放在舞台上为人群旋转一对转盘。")</f>
        <v>DJ播放在舞台上为人群旋转一对转盘。</v>
      </c>
    </row>
    <row r="14374">
      <c r="A14374" s="4" t="s">
        <v>18101</v>
      </c>
      <c r="B14374" s="4" t="s">
        <v>18104</v>
      </c>
      <c r="C14374" s="5" t="str">
        <f>IFERROR(__xludf.DUMMYFUNCTION("GOOGLETRANSLATE(B14374,""en"",""zh-CN"")"),"女人得分并庆祝。")</f>
        <v>女人得分并庆祝。</v>
      </c>
    </row>
    <row r="14375">
      <c r="A14375" s="4" t="s">
        <v>18101</v>
      </c>
      <c r="B14375" s="4" t="s">
        <v>18105</v>
      </c>
      <c r="C14375" s="5" t="str">
        <f>IFERROR(__xludf.DUMMYFUNCTION("GOOGLETRANSLATE(B14375,""en"",""zh-CN"")"),"两名球员互相拥抱，并在胜利中举起了女人的手臂。")</f>
        <v>两名球员互相拥抱，并在胜利中举起了女人的手臂。</v>
      </c>
    </row>
    <row r="14376">
      <c r="A14376" s="4" t="s">
        <v>18106</v>
      </c>
      <c r="B14376" s="6" t="s">
        <v>18107</v>
      </c>
      <c r="C14376" s="5" t="str">
        <f>IFERROR(__xludf.DUMMYFUNCTION("GOOGLETRANSLATE(B14376,""en"",""zh-CN"")"),"显示了动画的新纸剪辑，该视频由黑色块字母的一堆字母组成。")</f>
        <v>显示了动画的新纸剪辑，该视频由黑色块字母的一堆字母组成。</v>
      </c>
    </row>
    <row r="14377">
      <c r="A14377" s="4" t="s">
        <v>18106</v>
      </c>
      <c r="B14377" s="4" t="s">
        <v>18108</v>
      </c>
      <c r="C14377" s="5" t="str">
        <f>IFERROR(__xludf.DUMMYFUNCTION("GOOGLETRANSLATE(B14377,""en"",""zh-CN"")"),"不久之后，一位年轻的女性开始说话，并扔下卷发物。")</f>
        <v>不久之后，一位年轻的女性开始说话，并扔下卷发物。</v>
      </c>
    </row>
    <row r="14378">
      <c r="A14378" s="4" t="s">
        <v>18106</v>
      </c>
      <c r="B14378" s="6" t="s">
        <v>18109</v>
      </c>
      <c r="C14378" s="5" t="str">
        <f>IFERROR(__xludf.DUMMYFUNCTION("GOOGLETRANSLATE(B14378,""en"",""zh-CN"")"),"然后，这位年轻女子走到一个穿着黑色的男性，开始问他有关比赛的问题。")</f>
        <v>然后，这位年轻女子走到一个穿着黑色的男性，开始问他有关比赛的问题。</v>
      </c>
    </row>
    <row r="14379">
      <c r="A14379" s="4" t="s">
        <v>18106</v>
      </c>
      <c r="B14379" s="4" t="s">
        <v>18110</v>
      </c>
      <c r="C14379" s="5" t="str">
        <f>IFERROR(__xludf.DUMMYFUNCTION("GOOGLETRANSLATE(B14379,""en"",""zh-CN"")"),"当他们说话时，正在玩游戏，两个人看着他们。")</f>
        <v>当他们说话时，正在玩游戏，两个人看着他们。</v>
      </c>
    </row>
    <row r="14380">
      <c r="A14380" s="4" t="s">
        <v>18106</v>
      </c>
      <c r="B14380" s="6" t="s">
        <v>18111</v>
      </c>
      <c r="C14380" s="5" t="str">
        <f>IFERROR(__xludf.DUMMYFUNCTION("GOOGLETRANSLATE(B14380,""en"",""zh-CN"")"),"之后，该男子开始教她在游戏中使用的各种技术，他们开始在地板上滑动。")</f>
        <v>之后，该男子开始教她在游戏中使用的各种技术，他们开始在地板上滑动。</v>
      </c>
    </row>
    <row r="14381">
      <c r="A14381" s="4" t="s">
        <v>18106</v>
      </c>
      <c r="B14381" s="4" t="s">
        <v>18112</v>
      </c>
      <c r="C14381" s="5" t="str">
        <f>IFERROR(__xludf.DUMMYFUNCTION("GOOGLETRANSLATE(B14381,""en"",""zh-CN"")"),"一旦完成，女人就回到镜头前，开始谈论这项运动。")</f>
        <v>一旦完成，女人就回到镜头前，开始谈论这项运动。</v>
      </c>
    </row>
    <row r="14382">
      <c r="A14382" s="4" t="s">
        <v>18113</v>
      </c>
      <c r="B14382" s="6" t="s">
        <v>18114</v>
      </c>
      <c r="C14382" s="5" t="str">
        <f>IFERROR(__xludf.DUMMYFUNCTION("GOOGLETRANSLATE(B14382,""en"",""zh-CN"")"),"一只灰色的狗在户外行走，主人是年轻的白人男性，他和户外狗一起走路并与镜头交谈。")</f>
        <v>一只灰色的狗在户外行走，主人是年轻的白人男性，他和户外狗一起走路并与镜头交谈。</v>
      </c>
    </row>
    <row r="14383">
      <c r="A14383" s="4" t="s">
        <v>18113</v>
      </c>
      <c r="B14383" s="6" t="s">
        <v>18115</v>
      </c>
      <c r="C14383" s="5" t="str">
        <f>IFERROR(__xludf.DUMMYFUNCTION("GOOGLETRANSLATE(B14383,""en"",""zh-CN"")"),"出现一个屏幕，该屏幕在中间显示两个徽标，以及上方的徽标上方的文字读取“幕后”和徽标单词下方读取的“呈现：geico”。")</f>
        <v>出现一个屏幕，该屏幕在中间显示两个徽标，以及上方的徽标上方的文字读取“幕后”和徽标单词下方读取的“呈现：geico”。</v>
      </c>
    </row>
    <row r="14384">
      <c r="A14384" s="4" t="s">
        <v>18113</v>
      </c>
      <c r="B14384" s="6" t="s">
        <v>18116</v>
      </c>
      <c r="C14384" s="5" t="str">
        <f>IFERROR(__xludf.DUMMYFUNCTION("GOOGLETRANSLATE(B14384,""en"",""zh-CN"")"),"一个男人现在穿着防护装备，还有许多其他穿着的人加入了他的行列，他们的剪辑在开放区域和课程中弹奏彩弹枪。")</f>
        <v>一个男人现在穿着防护装备，还有许多其他穿着的人加入了他的行列，他们的剪辑在开放区域和课程中弹奏彩弹枪。</v>
      </c>
    </row>
    <row r="14385">
      <c r="A14385" s="4" t="s">
        <v>18113</v>
      </c>
      <c r="B14385" s="6" t="s">
        <v>18117</v>
      </c>
      <c r="C14385" s="5" t="str">
        <f>IFERROR(__xludf.DUMMYFUNCTION("GOOGLETRANSLATE(B14385,""en"",""zh-CN"")"),"一个人现在站在一个很高的平台上，低头看着一大批人，“ Comic-Con San Diego CA”一词在右下角，该男子跳到一个很大的空气床垫上，他起床了然后开始沿着一个很长的障碍路线奔跑，要求他做各种不同的事情，而景色是从他的脖子上戴着的相机来看的。")</f>
        <v>一个人现在站在一个很高的平台上，低头看着一大批人，“ Comic-Con San Diego CA”一词在右下角，该男子跳到一个很大的空气床垫上，他起床了然后开始沿着一个很长的障碍路线奔跑，要求他做各种不同的事情，而景色是从他的脖子上戴着的相机来看的。</v>
      </c>
    </row>
    <row r="14386">
      <c r="A14386" s="4" t="s">
        <v>18113</v>
      </c>
      <c r="B14386" s="6" t="s">
        <v>18118</v>
      </c>
      <c r="C14386" s="5" t="str">
        <f>IFERROR(__xludf.DUMMYFUNCTION("GOOGLETRANSLATE(B14386,""en"",""zh-CN"")"),"他完成了障碍课程，并且出现了一个遥远的屏幕，其中3个小型视频屏幕在主屏幕上播放，屏幕上的顶部单词说“ Geico呈现”。")</f>
        <v>他完成了障碍课程，并且出现了一个遥远的屏幕，其中3个小型视频屏幕在主屏幕上播放，屏幕上的顶部单词说“ Geico呈现”。</v>
      </c>
    </row>
    <row r="14387">
      <c r="A14387" s="4" t="s">
        <v>18119</v>
      </c>
      <c r="B14387" s="4" t="s">
        <v>18120</v>
      </c>
      <c r="C14387" s="5" t="str">
        <f>IFERROR(__xludf.DUMMYFUNCTION("GOOGLETRANSLATE(B14387,""en"",""zh-CN"")"),"显示一个女孩与相机交谈并显示各种油漆。")</f>
        <v>显示一个女孩与相机交谈并显示各种油漆。</v>
      </c>
    </row>
    <row r="14388">
      <c r="A14388" s="4" t="s">
        <v>18119</v>
      </c>
      <c r="B14388" s="4" t="s">
        <v>18121</v>
      </c>
      <c r="C14388" s="5" t="str">
        <f>IFERROR(__xludf.DUMMYFUNCTION("GOOGLETRANSLATE(B14388,""en"",""zh-CN"")"),"她放大了自己拥有的产品，并将油漆放在托盘上。")</f>
        <v>她放大了自己拥有的产品，并将油漆放在托盘上。</v>
      </c>
    </row>
    <row r="14389">
      <c r="A14389" s="4" t="s">
        <v>18119</v>
      </c>
      <c r="B14389" s="4" t="s">
        <v>18122</v>
      </c>
      <c r="C14389" s="5" t="str">
        <f>IFERROR(__xludf.DUMMYFUNCTION("GOOGLETRANSLATE(B14389,""en"",""zh-CN"")"),"她在油漆中擦了擦刷子，开始涂指甲。")</f>
        <v>她在油漆中擦了擦刷子，开始涂指甲。</v>
      </c>
    </row>
    <row r="14390">
      <c r="A14390" s="4" t="s">
        <v>18119</v>
      </c>
      <c r="B14390" s="4" t="s">
        <v>18123</v>
      </c>
      <c r="C14390" s="5" t="str">
        <f>IFERROR(__xludf.DUMMYFUNCTION("GOOGLETRANSLATE(B14390,""en"",""zh-CN"")"),"她在指甲上表现出几种不同的样式，并完成了几张成品指甲图片。")</f>
        <v>她在指甲上表现出几种不同的样式，并完成了几张成品指甲图片。</v>
      </c>
    </row>
    <row r="14391">
      <c r="A14391" s="4" t="s">
        <v>18124</v>
      </c>
      <c r="B14391" s="4" t="s">
        <v>18125</v>
      </c>
      <c r="C14391" s="5" t="str">
        <f>IFERROR(__xludf.DUMMYFUNCTION("GOOGLETRANSLATE(B14391,""en"",""zh-CN"")"),"一个人站在一个网球场上，准备为球服务。")</f>
        <v>一个人站在一个网球场上，准备为球服务。</v>
      </c>
    </row>
    <row r="14392">
      <c r="A14392" s="4" t="s">
        <v>18124</v>
      </c>
      <c r="B14392" s="4" t="s">
        <v>18126</v>
      </c>
      <c r="C14392" s="5" t="str">
        <f>IFERROR(__xludf.DUMMYFUNCTION("GOOGLETRANSLATE(B14392,""en"",""zh-CN"")"),"该男子在球场上打网球。")</f>
        <v>该男子在球场上打网球。</v>
      </c>
    </row>
    <row r="14393">
      <c r="A14393" s="4" t="s">
        <v>18124</v>
      </c>
      <c r="B14393" s="4" t="s">
        <v>18127</v>
      </c>
      <c r="C14393" s="5" t="str">
        <f>IFERROR(__xludf.DUMMYFUNCTION("GOOGLETRANSLATE(B14393,""en"",""zh-CN"")"),"该男子转身回到他的篮子里，从他的口袋里抓住了一个球。")</f>
        <v>该男子转身回到他的篮子里，从他的口袋里抓住了一个球。</v>
      </c>
    </row>
    <row r="14394">
      <c r="A14394" s="4" t="s">
        <v>18124</v>
      </c>
      <c r="B14394" s="4" t="s">
        <v>18128</v>
      </c>
      <c r="C14394" s="5" t="str">
        <f>IFERROR(__xludf.DUMMYFUNCTION("GOOGLETRANSLATE(B14394,""en"",""zh-CN"")"),"该男子弹跳到地面上。")</f>
        <v>该男子弹跳到地面上。</v>
      </c>
    </row>
    <row r="14395">
      <c r="A14395" s="4" t="s">
        <v>18129</v>
      </c>
      <c r="B14395" s="6" t="s">
        <v>18130</v>
      </c>
      <c r="C14395" s="5" t="str">
        <f>IFERROR(__xludf.DUMMYFUNCTION("GOOGLETRANSLATE(B14395,""en"",""zh-CN"")"),"看到一名妇女弯腰去喝一口水，并导致她在自己周围旋转着呼啦圈。")</f>
        <v>看到一名妇女弯腰去喝一口水，并导致她在自己周围旋转着呼啦圈。</v>
      </c>
    </row>
    <row r="14396">
      <c r="A14396" s="4" t="s">
        <v>18129</v>
      </c>
      <c r="B14396" s="6" t="s">
        <v>18131</v>
      </c>
      <c r="C14396" s="5" t="str">
        <f>IFERROR(__xludf.DUMMYFUNCTION("GOOGLETRANSLATE(B14396,""en"",""zh-CN"")"),"该名女子继续旋转呼啦圈，同时又抓住了几个，并在市中心表演了技巧。")</f>
        <v>该名女子继续旋转呼啦圈，同时又抓住了几个，并在市中心表演了技巧。</v>
      </c>
    </row>
    <row r="14397">
      <c r="A14397" s="4" t="s">
        <v>18132</v>
      </c>
      <c r="B14397" s="4" t="s">
        <v>18133</v>
      </c>
      <c r="C14397" s="5" t="str">
        <f>IFERROR(__xludf.DUMMYFUNCTION("GOOGLETRANSLATE(B14397,""en"",""zh-CN"")"),"看到一个男人挂在自行车轮上，并与镜头说话。")</f>
        <v>看到一个男人挂在自行车轮上，并与镜头说话。</v>
      </c>
    </row>
    <row r="14398">
      <c r="A14398" s="4" t="s">
        <v>18132</v>
      </c>
      <c r="B14398" s="4" t="s">
        <v>18134</v>
      </c>
      <c r="C14398" s="5" t="str">
        <f>IFERROR(__xludf.DUMMYFUNCTION("GOOGLETRANSLATE(B14398,""en"",""zh-CN"")"),"他开始调整自行车，并在背面拧开设置。")</f>
        <v>他开始调整自行车，并在背面拧开设置。</v>
      </c>
    </row>
    <row r="14399">
      <c r="A14399" s="4" t="s">
        <v>18132</v>
      </c>
      <c r="B14399" s="4" t="s">
        <v>18135</v>
      </c>
      <c r="C14399" s="5" t="str">
        <f>IFERROR(__xludf.DUMMYFUNCTION("GOOGLETRANSLATE(B14399,""en"",""zh-CN"")"),"然后，他穿上一对训练轮，展示其移动方式。")</f>
        <v>然后，他穿上一对训练轮，展示其移动方式。</v>
      </c>
    </row>
    <row r="14400">
      <c r="A14400" s="4" t="s">
        <v>18136</v>
      </c>
      <c r="B14400" s="4" t="s">
        <v>18137</v>
      </c>
      <c r="C14400" s="5" t="str">
        <f>IFERROR(__xludf.DUMMYFUNCTION("GOOGLETRANSLATE(B14400,""en"",""zh-CN"")"),"看到一只狗在一个露天的中间绕着一个男人奔跑。")</f>
        <v>看到一只狗在一个露天的中间绕着一个男人奔跑。</v>
      </c>
    </row>
    <row r="14401">
      <c r="A14401" s="4" t="s">
        <v>18136</v>
      </c>
      <c r="B14401" s="4" t="s">
        <v>18138</v>
      </c>
      <c r="C14401" s="5" t="str">
        <f>IFERROR(__xludf.DUMMYFUNCTION("GOOGLETRANSLATE(B14401,""en"",""zh-CN"")"),"当狗跳到后面时，男人与狗一起表演窍门。")</f>
        <v>当狗跳到后面时，男人与狗一起表演窍门。</v>
      </c>
    </row>
    <row r="14402">
      <c r="A14402" s="4" t="s">
        <v>18136</v>
      </c>
      <c r="B14402" s="4" t="s">
        <v>18139</v>
      </c>
      <c r="C14402" s="5" t="str">
        <f>IFERROR(__xludf.DUMMYFUNCTION("GOOGLETRANSLATE(B14402,""en"",""zh-CN"")"),"他继续与狗和飞盘一起表演技巧，继续漫游。")</f>
        <v>他继续与狗和飞盘一起表演技巧，继续漫游。</v>
      </c>
    </row>
    <row r="14403">
      <c r="A14403" s="4" t="s">
        <v>18140</v>
      </c>
      <c r="B14403" s="4" t="s">
        <v>18141</v>
      </c>
      <c r="C14403" s="5" t="str">
        <f>IFERROR(__xludf.DUMMYFUNCTION("GOOGLETRANSLATE(B14403,""en"",""zh-CN"")"),"显示了有关如何进行数字壁纸的图形。")</f>
        <v>显示了有关如何进行数字壁纸的图形。</v>
      </c>
    </row>
    <row r="14404">
      <c r="A14404" s="4" t="s">
        <v>18140</v>
      </c>
      <c r="B14404" s="4" t="s">
        <v>18142</v>
      </c>
      <c r="C14404" s="5" t="str">
        <f>IFERROR(__xludf.DUMMYFUNCTION("GOOGLETRANSLATE(B14404,""en"",""zh-CN"")"),"人在带有数字纸机的房间里，机器正在打印标牌。")</f>
        <v>人在带有数字纸机的房间里，机器正在打印标牌。</v>
      </c>
    </row>
    <row r="14405">
      <c r="A14405" s="4" t="s">
        <v>18140</v>
      </c>
      <c r="B14405" s="4" t="s">
        <v>18143</v>
      </c>
      <c r="C14405" s="5" t="str">
        <f>IFERROR(__xludf.DUMMYFUNCTION("GOOGLETRANSLATE(B14405,""en"",""zh-CN"")"),"人们将墙纸粘在白色的墙上。")</f>
        <v>人们将墙纸粘在白色的墙上。</v>
      </c>
    </row>
    <row r="14406">
      <c r="A14406" s="4" t="s">
        <v>18144</v>
      </c>
      <c r="B14406" s="4" t="s">
        <v>18145</v>
      </c>
      <c r="C14406" s="5" t="str">
        <f>IFERROR(__xludf.DUMMYFUNCTION("GOOGLETRANSLATE(B14406,""en"",""zh-CN"")"),"一个男孩正在跳绳，在圈子里四处做技巧。")</f>
        <v>一个男孩正在跳绳，在圈子里四处做技巧。</v>
      </c>
    </row>
    <row r="14407">
      <c r="A14407" s="4" t="s">
        <v>18144</v>
      </c>
      <c r="B14407" s="6" t="s">
        <v>18146</v>
      </c>
      <c r="C14407" s="5" t="str">
        <f>IFERROR(__xludf.DUMMYFUNCTION("GOOGLETRANSLATE(B14407,""en"",""zh-CN"")"),"然后，另一个男孩也在跳绳并四处旋转，他最终扔了绳子。")</f>
        <v>然后，另一个男孩也在跳绳并四处旋转，他最终扔了绳子。</v>
      </c>
    </row>
    <row r="14408">
      <c r="A14408" s="4" t="s">
        <v>18144</v>
      </c>
      <c r="B14408" s="4" t="s">
        <v>18147</v>
      </c>
      <c r="C14408" s="5" t="str">
        <f>IFERROR(__xludf.DUMMYFUNCTION("GOOGLETRANSLATE(B14408,""en"",""zh-CN"")"),"有一个较大的5组，可以同步跳绳，并做很多很酷的技巧。")</f>
        <v>有一个较大的5组，可以同步跳绳，并做很多很酷的技巧。</v>
      </c>
    </row>
    <row r="14409">
      <c r="A14409" s="4" t="s">
        <v>18144</v>
      </c>
      <c r="B14409" s="6" t="s">
        <v>18148</v>
      </c>
      <c r="C14409" s="5" t="str">
        <f>IFERROR(__xludf.DUMMYFUNCTION("GOOGLETRANSLATE(B14409,""en"",""zh-CN"")"),"紧随其后的是许多不同的人跳跃和团体一起进行比赛，娱乐或练习的视频。")</f>
        <v>紧随其后的是许多不同的人跳跃和团体一起进行比赛，娱乐或练习的视频。</v>
      </c>
    </row>
    <row r="14410">
      <c r="A14410" s="4" t="s">
        <v>18149</v>
      </c>
      <c r="B14410" s="4" t="s">
        <v>18150</v>
      </c>
      <c r="C14410" s="5" t="str">
        <f>IFERROR(__xludf.DUMMYFUNCTION("GOOGLETRANSLATE(B14410,""en"",""zh-CN"")"),"一个女人在场边鼓掌，为某人加油。")</f>
        <v>一个女人在场边鼓掌，为某人加油。</v>
      </c>
    </row>
    <row r="14411">
      <c r="A14411" s="4" t="s">
        <v>18149</v>
      </c>
      <c r="B14411" s="4" t="s">
        <v>18151</v>
      </c>
      <c r="C14411" s="5" t="str">
        <f>IFERROR(__xludf.DUMMYFUNCTION("GOOGLETRANSLATE(B14411,""en"",""zh-CN"")"),"教练站在栅栏的另一侧，看着评分。")</f>
        <v>教练站在栅栏的另一侧，看着评分。</v>
      </c>
    </row>
    <row r="14412">
      <c r="A14412" s="4" t="s">
        <v>18149</v>
      </c>
      <c r="B14412" s="4" t="s">
        <v>18152</v>
      </c>
      <c r="C14412" s="5" t="str">
        <f>IFERROR(__xludf.DUMMYFUNCTION("GOOGLETRANSLATE(B14412,""en"",""zh-CN"")"),"跑步者超级跑了草皮。")</f>
        <v>跑步者超级跑了草皮。</v>
      </c>
    </row>
    <row r="14413">
      <c r="A14413" s="4" t="s">
        <v>18149</v>
      </c>
      <c r="B14413" s="6" t="s">
        <v>18153</v>
      </c>
      <c r="C14413" s="5" t="str">
        <f>IFERROR(__xludf.DUMMYFUNCTION("GOOGLETRANSLATE(B14413,""en"",""zh-CN"")"),"他跳到末端，平稳地降落在沙滩上，而其中一位教练将一根绳子拉过来。")</f>
        <v>他跳到末端，平稳地降落在沙滩上，而其中一位教练将一根绳子拉过来。</v>
      </c>
    </row>
    <row r="14414">
      <c r="A14414" s="4" t="s">
        <v>18154</v>
      </c>
      <c r="B14414" s="4" t="s">
        <v>18155</v>
      </c>
      <c r="C14414" s="5" t="str">
        <f>IFERROR(__xludf.DUMMYFUNCTION("GOOGLETRANSLATE(B14414,""en"",""zh-CN"")"),"主持人向视频打招呼并介绍了她的食谱。")</f>
        <v>主持人向视频打招呼并介绍了她的食谱。</v>
      </c>
    </row>
    <row r="14415">
      <c r="A14415" s="4" t="s">
        <v>18154</v>
      </c>
      <c r="B14415" s="4" t="s">
        <v>18156</v>
      </c>
      <c r="C14415" s="5" t="str">
        <f>IFERROR(__xludf.DUMMYFUNCTION("GOOGLETRANSLATE(B14415,""en"",""zh-CN"")"),"出现成分列表，主机谈论它们。")</f>
        <v>出现成分列表，主机谈论它们。</v>
      </c>
    </row>
    <row r="14416">
      <c r="A14416" s="4" t="s">
        <v>18154</v>
      </c>
      <c r="B14416" s="4" t="s">
        <v>18157</v>
      </c>
      <c r="C14416" s="5" t="str">
        <f>IFERROR(__xludf.DUMMYFUNCTION("GOOGLETRANSLATE(B14416,""en"",""zh-CN"")"),"宿主开始通过糖浆开始饮料。")</f>
        <v>宿主开始通过糖浆开始饮料。</v>
      </c>
    </row>
    <row r="14417">
      <c r="A14417" s="4" t="s">
        <v>18154</v>
      </c>
      <c r="B14417" s="4" t="s">
        <v>18158</v>
      </c>
      <c r="C14417" s="5" t="str">
        <f>IFERROR(__xludf.DUMMYFUNCTION("GOOGLETRANSLATE(B14417,""en"",""zh-CN"")"),"接下来的柠檬切成切菜板。")</f>
        <v>接下来的柠檬切成切菜板。</v>
      </c>
    </row>
    <row r="14418">
      <c r="A14418" s="4" t="s">
        <v>18154</v>
      </c>
      <c r="B14418" s="4" t="s">
        <v>18159</v>
      </c>
      <c r="C14418" s="5" t="str">
        <f>IFERROR(__xludf.DUMMYFUNCTION("GOOGLETRANSLATE(B14418,""en"",""zh-CN"")"),"许多柠檬一汁。")</f>
        <v>许多柠檬一汁。</v>
      </c>
    </row>
    <row r="14419">
      <c r="A14419" s="4" t="s">
        <v>18154</v>
      </c>
      <c r="B14419" s="6" t="s">
        <v>18160</v>
      </c>
      <c r="C14419" s="5" t="str">
        <f>IFERROR(__xludf.DUMMYFUNCTION("GOOGLETRANSLATE(B14419,""en"",""zh-CN"")"),"主机用冰充满了容器，然后倒入液体成分，然后是罗勒和柠檬片。")</f>
        <v>主机用冰充满了容器，然后倒入液体成分，然后是罗勒和柠檬片。</v>
      </c>
    </row>
    <row r="14420">
      <c r="A14420" s="4" t="s">
        <v>18154</v>
      </c>
      <c r="B14420" s="4" t="s">
        <v>18161</v>
      </c>
      <c r="C14420" s="5" t="str">
        <f>IFERROR(__xludf.DUMMYFUNCTION("GOOGLETRANSLATE(B14420,""en"",""zh-CN"")"),"主人装饰了一些吸管，并完成了她的饮料。")</f>
        <v>主人装饰了一些吸管，并完成了她的饮料。</v>
      </c>
    </row>
    <row r="14421">
      <c r="A14421" s="4" t="s">
        <v>18162</v>
      </c>
      <c r="B14421" s="4" t="s">
        <v>18163</v>
      </c>
      <c r="C14421" s="5" t="str">
        <f>IFERROR(__xludf.DUMMYFUNCTION("GOOGLETRANSLATE(B14421,""en"",""zh-CN"")"),"看到一个大游泳池，然后一个人走进去，从木板上掉下来。")</f>
        <v>看到一个大游泳池，然后一个人走进去，从木板上掉下来。</v>
      </c>
    </row>
    <row r="14422">
      <c r="A14422" s="4" t="s">
        <v>18162</v>
      </c>
      <c r="B14422" s="4" t="s">
        <v>18164</v>
      </c>
      <c r="C14422" s="5" t="str">
        <f>IFERROR(__xludf.DUMMYFUNCTION("GOOGLETRANSLATE(B14422,""en"",""zh-CN"")"),"看到另一个人从潜水板上走去，跳入水中。")</f>
        <v>看到另一个人从潜水板上走去，跳入水中。</v>
      </c>
    </row>
    <row r="14423">
      <c r="A14423" s="4" t="s">
        <v>18162</v>
      </c>
      <c r="B14423" s="4" t="s">
        <v>18165</v>
      </c>
      <c r="C14423" s="5" t="str">
        <f>IFERROR(__xludf.DUMMYFUNCTION("GOOGLETRANSLATE(B14423,""en"",""zh-CN"")"),"还显示了一些人试图在水中潜水但失败的剪辑。")</f>
        <v>还显示了一些人试图在水中潜水但失败的剪辑。</v>
      </c>
    </row>
    <row r="14424">
      <c r="A14424" s="4" t="s">
        <v>18166</v>
      </c>
      <c r="B14424" s="6" t="s">
        <v>18167</v>
      </c>
      <c r="C14424" s="5" t="str">
        <f>IFERROR(__xludf.DUMMYFUNCTION("GOOGLETRANSLATE(B14424,""en"",""zh-CN"")"),"一支穿着苏格兰苏格兰短裙的乐队在大学前礼堂演奏风笛和其他乐器。")</f>
        <v>一支穿着苏格兰苏格兰短裙的乐队在大学前礼堂演奏风笛和其他乐器。</v>
      </c>
    </row>
    <row r="14425">
      <c r="A14425" s="4" t="s">
        <v>18166</v>
      </c>
      <c r="B14425" s="4" t="s">
        <v>18168</v>
      </c>
      <c r="C14425" s="5" t="str">
        <f>IFERROR(__xludf.DUMMYFUNCTION("GOOGLETRANSLATE(B14425,""en"",""zh-CN"")"),"人群环顾四周，预见了活动。")</f>
        <v>人群环顾四周，预见了活动。</v>
      </c>
    </row>
    <row r="14426">
      <c r="A14426" s="4" t="s">
        <v>18166</v>
      </c>
      <c r="B14426" s="4" t="s">
        <v>18169</v>
      </c>
      <c r="C14426" s="5" t="str">
        <f>IFERROR(__xludf.DUMMYFUNCTION("GOOGLETRANSLATE(B14426,""en"",""zh-CN"")"),"看到学校的标志悬挂在领奖台上方。")</f>
        <v>看到学校的标志悬挂在领奖台上方。</v>
      </c>
    </row>
    <row r="14427">
      <c r="A14427" s="4" t="s">
        <v>18170</v>
      </c>
      <c r="B14427" s="4" t="s">
        <v>18171</v>
      </c>
      <c r="C14427" s="5" t="str">
        <f>IFERROR(__xludf.DUMMYFUNCTION("GOOGLETRANSLATE(B14427,""en"",""zh-CN"")"),"一个穿着棕色西装的男人在说话。")</f>
        <v>一个穿着棕色西装的男人在说话。</v>
      </c>
    </row>
    <row r="14428">
      <c r="A14428" s="4" t="s">
        <v>18170</v>
      </c>
      <c r="B14428" s="4" t="s">
        <v>18172</v>
      </c>
      <c r="C14428" s="5" t="str">
        <f>IFERROR(__xludf.DUMMYFUNCTION("GOOGLETRANSLATE(B14428,""en"",""zh-CN"")"),"人们在玩曲棍球比赛中跑来跑去。")</f>
        <v>人们在玩曲棍球比赛中跑来跑去。</v>
      </c>
    </row>
    <row r="14429">
      <c r="A14429" s="4" t="s">
        <v>18173</v>
      </c>
      <c r="B14429" s="4" t="s">
        <v>18174</v>
      </c>
      <c r="C14429" s="5" t="str">
        <f>IFERROR(__xludf.DUMMYFUNCTION("GOOGLETRANSLATE(B14429,""en"",""zh-CN"")"),"一个女人跪在屏幕上，握着一根棍子。")</f>
        <v>一个女人跪在屏幕上，握着一根棍子。</v>
      </c>
    </row>
    <row r="14430">
      <c r="A14430" s="4" t="s">
        <v>18173</v>
      </c>
      <c r="B14430" s="4" t="s">
        <v>18175</v>
      </c>
      <c r="C14430" s="5" t="str">
        <f>IFERROR(__xludf.DUMMYFUNCTION("GOOGLETRANSLATE(B14430,""en"",""zh-CN"")"),"她开始将棍子保持平衡时开始更深地伸到位置。")</f>
        <v>她开始将棍子保持平衡时开始更深地伸到位置。</v>
      </c>
    </row>
    <row r="14431">
      <c r="A14431" s="4" t="s">
        <v>18173</v>
      </c>
      <c r="B14431" s="4" t="s">
        <v>18176</v>
      </c>
      <c r="C14431" s="5" t="str">
        <f>IFERROR(__xludf.DUMMYFUNCTION("GOOGLETRANSLATE(B14431,""en"",""zh-CN"")"),"在视频结束之前，她停下来。")</f>
        <v>在视频结束之前，她停下来。</v>
      </c>
    </row>
    <row r="14432">
      <c r="A14432" s="4" t="s">
        <v>18177</v>
      </c>
      <c r="B14432" s="4" t="s">
        <v>18178</v>
      </c>
      <c r="C14432" s="5" t="str">
        <f>IFERROR(__xludf.DUMMYFUNCTION("GOOGLETRANSLATE(B14432,""en"",""zh-CN"")"),"人们正在水上乘坐帆船。")</f>
        <v>人们正在水上乘坐帆船。</v>
      </c>
    </row>
    <row r="14433">
      <c r="A14433" s="4" t="s">
        <v>18177</v>
      </c>
      <c r="B14433" s="4" t="s">
        <v>18179</v>
      </c>
      <c r="C14433" s="5" t="str">
        <f>IFERROR(__xludf.DUMMYFUNCTION("GOOGLETRANSLATE(B14433,""en"",""zh-CN"")"),"人们站在船上的酒吧上。")</f>
        <v>人们站在船上的酒吧上。</v>
      </c>
    </row>
    <row r="14434">
      <c r="A14434" s="4" t="s">
        <v>18177</v>
      </c>
      <c r="B14434" s="4" t="s">
        <v>18180</v>
      </c>
      <c r="C14434" s="5" t="str">
        <f>IFERROR(__xludf.DUMMYFUNCTION("GOOGLETRANSLATE(B14434,""en"",""zh-CN"")"),"人们将帆从船上驶下。")</f>
        <v>人们将帆从船上驶下。</v>
      </c>
    </row>
    <row r="14435">
      <c r="A14435" s="4" t="s">
        <v>18181</v>
      </c>
      <c r="B14435" s="4" t="s">
        <v>18182</v>
      </c>
      <c r="C14435" s="5" t="str">
        <f>IFERROR(__xludf.DUMMYFUNCTION("GOOGLETRANSLATE(B14435,""en"",""zh-CN"")"),"人开始撕裂地毯底层。")</f>
        <v>人开始撕裂地毯底层。</v>
      </c>
    </row>
    <row r="14436">
      <c r="A14436" s="4" t="s">
        <v>18181</v>
      </c>
      <c r="B14436" s="4" t="s">
        <v>18183</v>
      </c>
      <c r="C14436" s="5" t="str">
        <f>IFERROR(__xludf.DUMMYFUNCTION("GOOGLETRANSLATE(B14436,""en"",""zh-CN"")"),"他测量了在门开口之间放置的板条。")</f>
        <v>他测量了在门开口之间放置的板条。</v>
      </c>
    </row>
    <row r="14437">
      <c r="A14437" s="4" t="s">
        <v>18181</v>
      </c>
      <c r="B14437" s="4" t="s">
        <v>18184</v>
      </c>
      <c r="C14437" s="5" t="str">
        <f>IFERROR(__xludf.DUMMYFUNCTION("GOOGLETRANSLATE(B14437,""en"",""zh-CN"")"),"然后，他将材料放在地毯底下下方。")</f>
        <v>然后，他将材料放在地毯底下下方。</v>
      </c>
    </row>
    <row r="14438">
      <c r="A14438" s="4" t="s">
        <v>18181</v>
      </c>
      <c r="B14438" s="4" t="s">
        <v>18185</v>
      </c>
      <c r="C14438" s="5" t="str">
        <f>IFERROR(__xludf.DUMMYFUNCTION("GOOGLETRANSLATE(B14438,""en"",""zh-CN"")"),"他在门口放了一个木板。")</f>
        <v>他在门口放了一个木板。</v>
      </c>
    </row>
    <row r="14439">
      <c r="A14439" s="4" t="s">
        <v>18181</v>
      </c>
      <c r="B14439" s="4" t="s">
        <v>18186</v>
      </c>
      <c r="C14439" s="5" t="str">
        <f>IFERROR(__xludf.DUMMYFUNCTION("GOOGLETRANSLATE(B14439,""en"",""zh-CN"")"),"他捡起板条。")</f>
        <v>他捡起板条。</v>
      </c>
    </row>
    <row r="14440">
      <c r="A14440" s="4" t="s">
        <v>18181</v>
      </c>
      <c r="B14440" s="4" t="s">
        <v>18187</v>
      </c>
      <c r="C14440" s="5" t="str">
        <f>IFERROR(__xludf.DUMMYFUNCTION("GOOGLETRANSLATE(B14440,""en"",""zh-CN"")"),"他切了板条。")</f>
        <v>他切了板条。</v>
      </c>
    </row>
    <row r="14441">
      <c r="A14441" s="4" t="s">
        <v>18181</v>
      </c>
      <c r="B14441" s="4" t="s">
        <v>18188</v>
      </c>
      <c r="C14441" s="5" t="str">
        <f>IFERROR(__xludf.DUMMYFUNCTION("GOOGLETRANSLATE(B14441,""en"",""zh-CN"")"),"他再次躺下。")</f>
        <v>他再次躺下。</v>
      </c>
    </row>
    <row r="14442">
      <c r="A14442" s="4" t="s">
        <v>18181</v>
      </c>
      <c r="B14442" s="4" t="s">
        <v>18189</v>
      </c>
      <c r="C14442" s="5" t="str">
        <f>IFERROR(__xludf.DUMMYFUNCTION("GOOGLETRANSLATE(B14442,""en"",""zh-CN"")"),"他将其钻进到位。")</f>
        <v>他将其钻进到位。</v>
      </c>
    </row>
    <row r="14443">
      <c r="A14443" s="4" t="s">
        <v>18181</v>
      </c>
      <c r="B14443" s="4" t="s">
        <v>18190</v>
      </c>
      <c r="C14443" s="5" t="str">
        <f>IFERROR(__xludf.DUMMYFUNCTION("GOOGLETRANSLATE(B14443,""en"",""zh-CN"")"),"然后，他将手放在板条的顶部。")</f>
        <v>然后，他将手放在板条的顶部。</v>
      </c>
    </row>
    <row r="14444">
      <c r="A14444" s="4" t="s">
        <v>18191</v>
      </c>
      <c r="B14444" s="4" t="s">
        <v>18192</v>
      </c>
      <c r="C14444" s="5" t="str">
        <f>IFERROR(__xludf.DUMMYFUNCTION("GOOGLETRANSLATE(B14444,""en"",""zh-CN"")"),"一位女士正在汽车上喂婴儿冰淇淋。")</f>
        <v>一位女士正在汽车上喂婴儿冰淇淋。</v>
      </c>
    </row>
    <row r="14445">
      <c r="A14445" s="4" t="s">
        <v>18191</v>
      </c>
      <c r="B14445" s="4" t="s">
        <v>18193</v>
      </c>
      <c r="C14445" s="5" t="str">
        <f>IFERROR(__xludf.DUMMYFUNCTION("GOOGLETRANSLATE(B14445,""en"",""zh-CN"")"),"女士将冰淇淋交给她旁边的女士，并给婴儿喂一些东西。")</f>
        <v>女士将冰淇淋交给她旁边的女士，并给婴儿喂一些东西。</v>
      </c>
    </row>
    <row r="14446">
      <c r="A14446" s="4" t="s">
        <v>18191</v>
      </c>
      <c r="B14446" s="4" t="s">
        <v>18194</v>
      </c>
      <c r="C14446" s="5" t="str">
        <f>IFERROR(__xludf.DUMMYFUNCTION("GOOGLETRANSLATE(B14446,""en"",""zh-CN"")"),"婴儿伸手去拿食物。")</f>
        <v>婴儿伸手去拿食物。</v>
      </c>
    </row>
    <row r="14447">
      <c r="A14447" s="4" t="s">
        <v>18191</v>
      </c>
      <c r="B14447" s="4" t="s">
        <v>18195</v>
      </c>
      <c r="C14447" s="5" t="str">
        <f>IFERROR(__xludf.DUMMYFUNCTION("GOOGLETRANSLATE(B14447,""en"",""zh-CN"")"),"婴儿再次伸手去拿食物。")</f>
        <v>婴儿再次伸手去拿食物。</v>
      </c>
    </row>
    <row r="14448">
      <c r="A14448" s="4" t="s">
        <v>18191</v>
      </c>
      <c r="B14448" s="4" t="s">
        <v>18196</v>
      </c>
      <c r="C14448" s="5" t="str">
        <f>IFERROR(__xludf.DUMMYFUNCTION("GOOGLETRANSLATE(B14448,""en"",""zh-CN"")"),"那位女士擦拭婴儿面对面，站起来。")</f>
        <v>那位女士擦拭婴儿面对面，站起来。</v>
      </c>
    </row>
    <row r="14449">
      <c r="A14449" s="4" t="s">
        <v>18191</v>
      </c>
      <c r="B14449" s="4" t="s">
        <v>18197</v>
      </c>
      <c r="C14449" s="5" t="str">
        <f>IFERROR(__xludf.DUMMYFUNCTION("GOOGLETRANSLATE(B14449,""en"",""zh-CN"")"),"我们看到女士在说话。")</f>
        <v>我们看到女士在说话。</v>
      </c>
    </row>
    <row r="14450">
      <c r="A14450" s="4" t="s">
        <v>18198</v>
      </c>
      <c r="B14450" s="4" t="s">
        <v>18199</v>
      </c>
      <c r="C14450" s="5" t="str">
        <f>IFERROR(__xludf.DUMMYFUNCTION("GOOGLETRANSLATE(B14450,""en"",""zh-CN"")"),"有一位女士在做如何制作棉质软的ogura蛋糕的教程。")</f>
        <v>有一位女士在做如何制作棉质软的ogura蛋糕的教程。</v>
      </c>
    </row>
    <row r="14451">
      <c r="A14451" s="4" t="s">
        <v>18198</v>
      </c>
      <c r="B14451" s="4" t="s">
        <v>18200</v>
      </c>
      <c r="C14451" s="5" t="str">
        <f>IFERROR(__xludf.DUMMYFUNCTION("GOOGLETRANSLATE(B14451,""en"",""zh-CN"")"),"她首先将放置在厨房柜台上的大碗中的成分混合。")</f>
        <v>她首先将放置在厨房柜台上的大碗中的成分混合。</v>
      </c>
    </row>
    <row r="14452">
      <c r="A14452" s="4" t="s">
        <v>18198</v>
      </c>
      <c r="B14452" s="4" t="s">
        <v>18201</v>
      </c>
      <c r="C14452" s="5" t="str">
        <f>IFERROR(__xludf.DUMMYFUNCTION("GOOGLETRANSLATE(B14452,""en"",""zh-CN"")"),"她与香草精华一起在面粉中添加了一些鸡蛋。")</f>
        <v>她与香草精华一起在面粉中添加了一些鸡蛋。</v>
      </c>
    </row>
    <row r="14453">
      <c r="A14453" s="4" t="s">
        <v>18198</v>
      </c>
      <c r="B14453" s="4" t="s">
        <v>18202</v>
      </c>
      <c r="C14453" s="5" t="str">
        <f>IFERROR(__xludf.DUMMYFUNCTION("GOOGLETRANSLATE(B14453,""en"",""zh-CN"")"),"然后，她使用手动搅拌机将成分混合在一起。")</f>
        <v>然后，她使用手动搅拌机将成分混合在一起。</v>
      </c>
    </row>
    <row r="14454">
      <c r="A14454" s="4" t="s">
        <v>18198</v>
      </c>
      <c r="B14454" s="4" t="s">
        <v>18203</v>
      </c>
      <c r="C14454" s="5" t="str">
        <f>IFERROR(__xludf.DUMMYFUNCTION("GOOGLETRANSLATE(B14454,""en"",""zh-CN"")"),"然后，她鞭打一些奶油和糖进行糖霜。")</f>
        <v>然后，她鞭打一些奶油和糖进行糖霜。</v>
      </c>
    </row>
    <row r="14455">
      <c r="A14455" s="4" t="s">
        <v>18198</v>
      </c>
      <c r="B14455" s="4" t="s">
        <v>18204</v>
      </c>
      <c r="C14455" s="5" t="str">
        <f>IFERROR(__xludf.DUMMYFUNCTION("GOOGLETRANSLATE(B14455,""en"",""zh-CN"")"),"她将糖霜添加到蛋糕面糊中，并很好地混合。")</f>
        <v>她将糖霜添加到蛋糕面糊中，并很好地混合。</v>
      </c>
    </row>
    <row r="14456">
      <c r="A14456" s="4" t="s">
        <v>18198</v>
      </c>
      <c r="B14456" s="4" t="s">
        <v>18205</v>
      </c>
      <c r="C14456" s="5" t="str">
        <f>IFERROR(__xludf.DUMMYFUNCTION("GOOGLETRANSLATE(B14456,""en"",""zh-CN"")"),"然后她将混合物倒入烤盘中。")</f>
        <v>然后她将混合物倒入烤盘中。</v>
      </c>
    </row>
    <row r="14457">
      <c r="A14457" s="4" t="s">
        <v>18198</v>
      </c>
      <c r="B14457" s="4" t="s">
        <v>18206</v>
      </c>
      <c r="C14457" s="5" t="str">
        <f>IFERROR(__xludf.DUMMYFUNCTION("GOOGLETRANSLATE(B14457,""en"",""zh-CN"")"),"她将碗放在饼干板上，然后将其放在烤箱架上。")</f>
        <v>她将碗放在饼干板上，然后将其放在烤箱架上。</v>
      </c>
    </row>
    <row r="14458">
      <c r="A14458" s="4" t="s">
        <v>18198</v>
      </c>
      <c r="B14458" s="4" t="s">
        <v>18207</v>
      </c>
      <c r="C14458" s="5" t="str">
        <f>IFERROR(__xludf.DUMMYFUNCTION("GOOGLETRANSLATE(B14458,""en"",""zh-CN"")"),"她烤蛋糕，然后将其拔出。")</f>
        <v>她烤蛋糕，然后将其拔出。</v>
      </c>
    </row>
    <row r="14459">
      <c r="A14459" s="4" t="s">
        <v>18198</v>
      </c>
      <c r="B14459" s="4" t="s">
        <v>18208</v>
      </c>
      <c r="C14459" s="5" t="str">
        <f>IFERROR(__xludf.DUMMYFUNCTION("GOOGLETRANSLATE(B14459,""en"",""zh-CN"")"),"她还展示了她准备的其他一些烘焙食品。")</f>
        <v>她还展示了她准备的其他一些烘焙食品。</v>
      </c>
    </row>
    <row r="14460">
      <c r="A14460" s="4" t="s">
        <v>18209</v>
      </c>
      <c r="B14460" s="4" t="s">
        <v>18210</v>
      </c>
      <c r="C14460" s="5" t="str">
        <f>IFERROR(__xludf.DUMMYFUNCTION("GOOGLETRANSLATE(B14460,""en"",""zh-CN"")"),"看到一名妇女主持了一个新闻节，这会导致狗跳的剪辑。")</f>
        <v>看到一名妇女主持了一个新闻节，这会导致狗跳的剪辑。</v>
      </c>
    </row>
    <row r="14461">
      <c r="A14461" s="4" t="s">
        <v>18209</v>
      </c>
      <c r="B14461" s="4" t="s">
        <v>18211</v>
      </c>
      <c r="C14461" s="5" t="str">
        <f>IFERROR(__xludf.DUMMYFUNCTION("GOOGLETRANSLATE(B14461,""en"",""zh-CN"")"),"人们被证明与狗一起做技巧，并在整个领域奔跑。")</f>
        <v>人们被证明与狗一起做技巧，并在整个领域奔跑。</v>
      </c>
    </row>
    <row r="14462">
      <c r="A14462" s="4" t="s">
        <v>18209</v>
      </c>
      <c r="B14462" s="4" t="s">
        <v>18212</v>
      </c>
      <c r="C14462" s="5" t="str">
        <f>IFERROR(__xludf.DUMMYFUNCTION("GOOGLETRANSLATE(B14462,""en"",""zh-CN"")"),"显示了更多的剪辑，人们随后扔了菜鸟和狗。")</f>
        <v>显示了更多的剪辑，人们随后扔了菜鸟和狗。</v>
      </c>
    </row>
    <row r="14463">
      <c r="A14463" s="4" t="s">
        <v>18213</v>
      </c>
      <c r="B14463" s="4" t="s">
        <v>18214</v>
      </c>
      <c r="C14463" s="5" t="str">
        <f>IFERROR(__xludf.DUMMYFUNCTION("GOOGLETRANSLATE(B14463,""en"",""zh-CN"")"),"几个人在户外，在开放盆地洗衣服。")</f>
        <v>几个人在户外，在开放盆地洗衣服。</v>
      </c>
    </row>
    <row r="14464">
      <c r="A14464" s="4" t="s">
        <v>18213</v>
      </c>
      <c r="B14464" s="4" t="s">
        <v>18215</v>
      </c>
      <c r="C14464" s="5" t="str">
        <f>IFERROR(__xludf.DUMMYFUNCTION("GOOGLETRANSLATE(B14464,""en"",""zh-CN"")"),"妇女使用泵将水带入盆地。")</f>
        <v>妇女使用泵将水带入盆地。</v>
      </c>
    </row>
    <row r="14465">
      <c r="A14465" s="4" t="s">
        <v>18216</v>
      </c>
      <c r="B14465" s="6" t="s">
        <v>18217</v>
      </c>
      <c r="C14465" s="5" t="str">
        <f>IFERROR(__xludf.DUMMYFUNCTION("GOOGLETRANSLATE(B14465,""en"",""zh-CN"")"),"看到一个女人在拿着呼啦圈的同时在相机上说话，然后继续旋转她的物体。")</f>
        <v>看到一个女人在拿着呼啦圈的同时在相机上说话，然后继续旋转她的物体。</v>
      </c>
    </row>
    <row r="14466">
      <c r="A14466" s="4" t="s">
        <v>18216</v>
      </c>
      <c r="B14466" s="6" t="s">
        <v>18218</v>
      </c>
      <c r="C14466" s="5" t="str">
        <f>IFERROR(__xludf.DUMMYFUNCTION("GOOGLETRANSLATE(B14466,""en"",""zh-CN"")"),"她继续一遍又一遍地徘徊，并导致呼啦圈的照片最终。")</f>
        <v>她继续一遍又一遍地徘徊，并导致呼啦圈的照片最终。</v>
      </c>
    </row>
    <row r="14467">
      <c r="A14467" s="4" t="s">
        <v>18219</v>
      </c>
      <c r="B14467" s="4" t="s">
        <v>18220</v>
      </c>
      <c r="C14467" s="5" t="str">
        <f>IFERROR(__xludf.DUMMYFUNCTION("GOOGLETRANSLATE(B14467,""en"",""zh-CN"")"),"一个男人在空中举起球，将球握在脖子上，将球扔得很远。")</f>
        <v>一个男人在空中举起球，将球握在脖子上，将球扔得很远。</v>
      </c>
    </row>
    <row r="14468">
      <c r="A14468" s="4" t="s">
        <v>18219</v>
      </c>
      <c r="B14468" s="4" t="s">
        <v>18221</v>
      </c>
      <c r="C14468" s="5" t="str">
        <f>IFERROR(__xludf.DUMMYFUNCTION("GOOGLETRANSLATE(B14468,""en"",""zh-CN"")"),"该男子将球握在脖子上，扭动他的背部并扔掉。")</f>
        <v>该男子将球握在脖子上，扭动他的背部并扔掉。</v>
      </c>
    </row>
    <row r="14469">
      <c r="A14469" s="4" t="s">
        <v>18219</v>
      </c>
      <c r="B14469" s="4" t="s">
        <v>18222</v>
      </c>
      <c r="C14469" s="5" t="str">
        <f>IFERROR(__xludf.DUMMYFUNCTION("GOOGLETRANSLATE(B14469,""en"",""zh-CN"")"),"该男子抓住球，在他身后迈出了一大步，扔了球。")</f>
        <v>该男子抓住球，在他身后迈出了一大步，扔了球。</v>
      </c>
    </row>
    <row r="14470">
      <c r="A14470" s="4" t="s">
        <v>18219</v>
      </c>
      <c r="B14470" s="4" t="s">
        <v>18223</v>
      </c>
      <c r="C14470" s="5" t="str">
        <f>IFERROR(__xludf.DUMMYFUNCTION("GOOGLETRANSLATE(B14470,""en"",""zh-CN"")"),"当他将球握在脖子上时，该男子扭曲了几次身体。")</f>
        <v>当他将球握在脖子上时，该男子扭曲了几次身体。</v>
      </c>
    </row>
    <row r="14471">
      <c r="A14471" s="4" t="s">
        <v>18219</v>
      </c>
      <c r="B14471" s="4" t="s">
        <v>18224</v>
      </c>
      <c r="C14471" s="5" t="str">
        <f>IFERROR(__xludf.DUMMYFUNCTION("GOOGLETRANSLATE(B14471,""en"",""zh-CN"")"),"当他将球握在脖子上时，该男子四处走动。")</f>
        <v>当他将球握在脖子上时，该男子四处走动。</v>
      </c>
    </row>
    <row r="14472">
      <c r="A14472" s="4" t="s">
        <v>18219</v>
      </c>
      <c r="B14472" s="4" t="s">
        <v>18225</v>
      </c>
      <c r="C14472" s="5" t="str">
        <f>IFERROR(__xludf.DUMMYFUNCTION("GOOGLETRANSLATE(B14472,""en"",""zh-CN"")"),"该男子用身体进行了整整180度的旋转，将球握在脖子上。")</f>
        <v>该男子用身体进行了整整180度的旋转，将球握在脖子上。</v>
      </c>
    </row>
    <row r="14473">
      <c r="A14473" s="4" t="s">
        <v>18219</v>
      </c>
      <c r="B14473" s="4" t="s">
        <v>18226</v>
      </c>
      <c r="C14473" s="5" t="str">
        <f>IFERROR(__xludf.DUMMYFUNCTION("GOOGLETRANSLATE(B14473,""en"",""zh-CN"")"),"当他将身体旋转成270度运动时，他假装握住球。")</f>
        <v>当他将身体旋转成270度运动时，他假装握住球。</v>
      </c>
    </row>
    <row r="14474">
      <c r="A14474" s="4" t="s">
        <v>18227</v>
      </c>
      <c r="B14474" s="4" t="s">
        <v>18228</v>
      </c>
      <c r="C14474" s="5" t="str">
        <f>IFERROR(__xludf.DUMMYFUNCTION("GOOGLETRANSLATE(B14474,""en"",""zh-CN"")"),"看到一个男人对镜头说话，并导致他将几个物体拿出在桌子上。")</f>
        <v>看到一个男人对镜头说话，并导致他将几个物体拿出在桌子上。</v>
      </c>
    </row>
    <row r="14475">
      <c r="A14475" s="4" t="s">
        <v>18227</v>
      </c>
      <c r="B14475" s="4" t="s">
        <v>18229</v>
      </c>
      <c r="C14475" s="5" t="str">
        <f>IFERROR(__xludf.DUMMYFUNCTION("GOOGLETRANSLATE(B14475,""en"",""zh-CN"")"),"然后，该男子在板上锐化了一个物体，并通过刷掉木板来完成。")</f>
        <v>然后，该男子在板上锐化了一个物体，并通过刷掉木板来完成。</v>
      </c>
    </row>
    <row r="14476">
      <c r="A14476" s="4" t="s">
        <v>18230</v>
      </c>
      <c r="B14476" s="4" t="s">
        <v>18231</v>
      </c>
      <c r="C14476" s="5" t="str">
        <f>IFERROR(__xludf.DUMMYFUNCTION("GOOGLETRANSLATE(B14476,""en"",""zh-CN"")"),"一个男人站着演奏萨克斯管。")</f>
        <v>一个男人站着演奏萨克斯管。</v>
      </c>
    </row>
    <row r="14477">
      <c r="A14477" s="4" t="s">
        <v>18230</v>
      </c>
      <c r="B14477" s="4" t="s">
        <v>18232</v>
      </c>
      <c r="C14477" s="5" t="str">
        <f>IFERROR(__xludf.DUMMYFUNCTION("GOOGLETRANSLATE(B14477,""en"",""zh-CN"")"),"乐队在他身后演奏。")</f>
        <v>乐队在他身后演奏。</v>
      </c>
    </row>
    <row r="14478">
      <c r="A14478" s="4" t="s">
        <v>18230</v>
      </c>
      <c r="B14478" s="4" t="s">
        <v>18233</v>
      </c>
      <c r="C14478" s="5" t="str">
        <f>IFERROR(__xludf.DUMMYFUNCTION("GOOGLETRANSLATE(B14478,""en"",""zh-CN"")"),"蓝色和白色的单词进入屏幕。")</f>
        <v>蓝色和白色的单词进入屏幕。</v>
      </c>
    </row>
    <row r="14479">
      <c r="A14479" s="4" t="s">
        <v>18234</v>
      </c>
      <c r="B14479" s="4" t="s">
        <v>18235</v>
      </c>
      <c r="C14479" s="5" t="str">
        <f>IFERROR(__xludf.DUMMYFUNCTION("GOOGLETRANSLATE(B14479,""en"",""zh-CN"")"),"我们在灰色上看到开头屏幕。")</f>
        <v>我们在灰色上看到开头屏幕。</v>
      </c>
    </row>
    <row r="14480">
      <c r="A14480" s="4" t="s">
        <v>18234</v>
      </c>
      <c r="B14480" s="4" t="s">
        <v>18236</v>
      </c>
      <c r="C14480" s="5" t="str">
        <f>IFERROR(__xludf.DUMMYFUNCTION("GOOGLETRANSLATE(B14480,""en"",""zh-CN"")"),"然后，我们看到一名男子在碟片上平滑混凝土地板。")</f>
        <v>然后，我们看到一名男子在碟片上平滑混凝土地板。</v>
      </c>
    </row>
    <row r="14481">
      <c r="A14481" s="4" t="s">
        <v>18234</v>
      </c>
      <c r="B14481" s="4" t="s">
        <v>18237</v>
      </c>
      <c r="C14481" s="5" t="str">
        <f>IFERROR(__xludf.DUMMYFUNCTION("GOOGLETRANSLATE(B14481,""en"",""zh-CN"")"),"该男子从抹子中卸下了混凝土。")</f>
        <v>该男子从抹子中卸下了混凝土。</v>
      </c>
    </row>
    <row r="14482">
      <c r="A14482" s="4" t="s">
        <v>18234</v>
      </c>
      <c r="B14482" s="4" t="s">
        <v>18238</v>
      </c>
      <c r="C14482" s="5" t="str">
        <f>IFERROR(__xludf.DUMMYFUNCTION("GOOGLETRANSLATE(B14482,""en"",""zh-CN"")"),"该男子用手去除混凝土。")</f>
        <v>该男子用手去除混凝土。</v>
      </c>
    </row>
    <row r="14483">
      <c r="A14483" s="4" t="s">
        <v>18234</v>
      </c>
      <c r="B14483" s="4" t="s">
        <v>1380</v>
      </c>
      <c r="C14483" s="5" t="str">
        <f>IFERROR(__xludf.DUMMYFUNCTION("GOOGLETRANSLATE(B14483,""en"",""zh-CN"")"),"然后，我们看到结局。")</f>
        <v>然后，我们看到结局。</v>
      </c>
    </row>
    <row r="14484">
      <c r="A14484" s="4" t="s">
        <v>18239</v>
      </c>
      <c r="B14484" s="4" t="s">
        <v>18240</v>
      </c>
      <c r="C14484" s="5" t="str">
        <f>IFERROR(__xludf.DUMMYFUNCTION("GOOGLETRANSLATE(B14484,""en"",""zh-CN"")"),"女人坐在工作室里给这个新闻。")</f>
        <v>女人坐在工作室里给这个新闻。</v>
      </c>
    </row>
    <row r="14485">
      <c r="A14485" s="4" t="s">
        <v>18239</v>
      </c>
      <c r="B14485" s="4" t="s">
        <v>18241</v>
      </c>
      <c r="C14485" s="5" t="str">
        <f>IFERROR(__xludf.DUMMYFUNCTION("GOOGLETRANSLATE(B14485,""en"",""zh-CN"")"),"一个人在院子里扫过干燥的叶子。")</f>
        <v>一个人在院子里扫过干燥的叶子。</v>
      </c>
    </row>
    <row r="14486">
      <c r="A14486" s="4" t="s">
        <v>18239</v>
      </c>
      <c r="B14486" s="4" t="s">
        <v>18242</v>
      </c>
      <c r="C14486" s="5" t="str">
        <f>IFERROR(__xludf.DUMMYFUNCTION("GOOGLETRANSLATE(B14486,""en"",""zh-CN"")"),"老妇人正在接受采访，并正在客厅里与镜头交谈。")</f>
        <v>老妇人正在接受采访，并正在客厅里与镜头交谈。</v>
      </c>
    </row>
    <row r="14487">
      <c r="A14487" s="4" t="s">
        <v>18239</v>
      </c>
      <c r="B14487" s="6" t="s">
        <v>18243</v>
      </c>
      <c r="C14487" s="5" t="str">
        <f>IFERROR(__xludf.DUMMYFUNCTION("GOOGLETRANSLATE(B14487,""en"",""zh-CN"")"),"一个女人和一个男人正在接受采访，并在扫除树叶时正在与镜头交谈。")</f>
        <v>一个女人和一个男人正在接受采访，并在扫除树叶时正在与镜头交谈。</v>
      </c>
    </row>
    <row r="14488">
      <c r="A14488" s="4" t="s">
        <v>18239</v>
      </c>
      <c r="B14488" s="4" t="s">
        <v>18244</v>
      </c>
      <c r="C14488" s="5" t="str">
        <f>IFERROR(__xludf.DUMMYFUNCTION("GOOGLETRANSLATE(B14488,""en"",""zh-CN"")"),"老妇人是阿加尼（Agani）的阿尔克（Agani Alking），然后回到工作室与镜头交谈。")</f>
        <v>老妇人是阿加尼（Agani）的阿尔克（Agani Alking），然后回到工作室与镜头交谈。</v>
      </c>
    </row>
    <row r="14489">
      <c r="A14489" s="4" t="s">
        <v>18245</v>
      </c>
      <c r="B14489" s="4" t="s">
        <v>18246</v>
      </c>
      <c r="C14489" s="5" t="str">
        <f>IFERROR(__xludf.DUMMYFUNCTION("GOOGLETRANSLATE(B14489,""en"",""zh-CN"")"),"食品服务员为冷冻酸奶分配器准备了一个冰淇淋蛋筒。")</f>
        <v>食品服务员为冷冻酸奶分配器准备了一个冰淇淋蛋筒。</v>
      </c>
    </row>
    <row r="14490">
      <c r="A14490" s="4" t="s">
        <v>18245</v>
      </c>
      <c r="B14490" s="4" t="s">
        <v>18247</v>
      </c>
      <c r="C14490" s="5" t="str">
        <f>IFERROR(__xludf.DUMMYFUNCTION("GOOGLETRANSLATE(B14490,""en"",""zh-CN"")"),"那个男人高兴地看着他的冰淇淋正在准备。")</f>
        <v>那个男人高兴地看着他的冰淇淋正在准备。</v>
      </c>
    </row>
    <row r="14491">
      <c r="A14491" s="4" t="s">
        <v>18245</v>
      </c>
      <c r="B14491" s="4" t="s">
        <v>18248</v>
      </c>
      <c r="C14491" s="5" t="str">
        <f>IFERROR(__xludf.DUMMYFUNCTION("GOOGLETRANSLATE(B14491,""en"",""zh-CN"")"),"这个男人喜欢的是冰淇淋尽可能快地吃它。")</f>
        <v>这个男人喜欢的是冰淇淋尽可能快地吃它。</v>
      </c>
    </row>
    <row r="14492">
      <c r="A14492" s="4" t="s">
        <v>18245</v>
      </c>
      <c r="B14492" s="4" t="s">
        <v>18249</v>
      </c>
      <c r="C14492" s="5" t="str">
        <f>IFERROR(__xludf.DUMMYFUNCTION("GOOGLETRANSLATE(B14492,""en"",""zh-CN"")"),"该男子揉着头，放心。")</f>
        <v>该男子揉着头，放心。</v>
      </c>
    </row>
    <row r="14493">
      <c r="A14493" s="4" t="s">
        <v>18250</v>
      </c>
      <c r="B14493" s="4" t="s">
        <v>18251</v>
      </c>
      <c r="C14493" s="5" t="str">
        <f>IFERROR(__xludf.DUMMYFUNCTION("GOOGLETRANSLATE(B14493,""en"",""zh-CN"")"),"一个男人在健身房里说话。")</f>
        <v>一个男人在健身房里说话。</v>
      </c>
    </row>
    <row r="14494">
      <c r="A14494" s="4" t="s">
        <v>18250</v>
      </c>
      <c r="B14494" s="4" t="s">
        <v>18252</v>
      </c>
      <c r="C14494" s="5" t="str">
        <f>IFERROR(__xludf.DUMMYFUNCTION("GOOGLETRANSLATE(B14494,""en"",""zh-CN"")"),"他躺在地面上坐下来，谈论该行为的机制。")</f>
        <v>他躺在地面上坐下来，谈论该行为的机制。</v>
      </c>
    </row>
    <row r="14495">
      <c r="A14495" s="4" t="s">
        <v>18250</v>
      </c>
      <c r="B14495" s="4" t="s">
        <v>18253</v>
      </c>
      <c r="C14495" s="5" t="str">
        <f>IFERROR(__xludf.DUMMYFUNCTION("GOOGLETRANSLATE(B14495,""en"",""zh-CN"")"),"该男子演示了如何一遍又一遍地坐下来。")</f>
        <v>该男子演示了如何一遍又一遍地坐下来。</v>
      </c>
    </row>
    <row r="14496">
      <c r="A14496" s="4" t="s">
        <v>18254</v>
      </c>
      <c r="B14496" s="4" t="s">
        <v>18255</v>
      </c>
      <c r="C14496" s="5" t="str">
        <f>IFERROR(__xludf.DUMMYFUNCTION("GOOGLETRANSLATE(B14496,""en"",""zh-CN"")"),"看到一个长发的女人坐在钢琴后面，在相机上说话。")</f>
        <v>看到一个长发的女人坐在钢琴后面，在相机上说话。</v>
      </c>
    </row>
    <row r="14497">
      <c r="A14497" s="4" t="s">
        <v>18254</v>
      </c>
      <c r="B14497" s="4" t="s">
        <v>18256</v>
      </c>
      <c r="C14497" s="5" t="str">
        <f>IFERROR(__xludf.DUMMYFUNCTION("GOOGLETRANSLATE(B14497,""en"",""zh-CN"")"),"她将手放在钢琴上，开始播放一首歌。")</f>
        <v>她将手放在钢琴上，开始播放一首歌。</v>
      </c>
    </row>
    <row r="14498">
      <c r="A14498" s="4" t="s">
        <v>18254</v>
      </c>
      <c r="B14498" s="4" t="s">
        <v>18257</v>
      </c>
      <c r="C14498" s="5" t="str">
        <f>IFERROR(__xludf.DUMMYFUNCTION("GOOGLETRANSLATE(B14498,""en"",""zh-CN"")"),"她继续演奏乐器，并停下来与镜头说话。")</f>
        <v>她继续演奏乐器，并停下来与镜头说话。</v>
      </c>
    </row>
    <row r="14499">
      <c r="A14499" s="4" t="s">
        <v>18254</v>
      </c>
      <c r="B14499" s="4" t="s">
        <v>18258</v>
      </c>
      <c r="C14499" s="5" t="str">
        <f>IFERROR(__xludf.DUMMYFUNCTION("GOOGLETRANSLATE(B14499,""en"",""zh-CN"")"),"她扮演更多的事情，最后她仍在与镜头说话。")</f>
        <v>她扮演更多的事情，最后她仍在与镜头说话。</v>
      </c>
    </row>
    <row r="14500">
      <c r="A14500" s="4" t="s">
        <v>18259</v>
      </c>
      <c r="B14500" s="4" t="s">
        <v>18260</v>
      </c>
      <c r="C14500" s="5" t="str">
        <f>IFERROR(__xludf.DUMMYFUNCTION("GOOGLETRANSLATE(B14500,""en"",""zh-CN"")"),"在灌木丛前的后院显示了长凳。")</f>
        <v>在灌木丛前的后院显示了长凳。</v>
      </c>
    </row>
    <row r="14501">
      <c r="A14501" s="4" t="s">
        <v>18259</v>
      </c>
      <c r="B14501" s="4" t="s">
        <v>18261</v>
      </c>
      <c r="C14501" s="5" t="str">
        <f>IFERROR(__xludf.DUMMYFUNCTION("GOOGLETRANSLATE(B14501,""en"",""zh-CN"")"),"一个人正在用梯子修剪树篱。")</f>
        <v>一个人正在用梯子修剪树篱。</v>
      </c>
    </row>
    <row r="14502">
      <c r="A14502" s="4" t="s">
        <v>18259</v>
      </c>
      <c r="B14502" s="4" t="s">
        <v>18262</v>
      </c>
      <c r="C14502" s="5" t="str">
        <f>IFERROR(__xludf.DUMMYFUNCTION("GOOGLETRANSLATE(B14502,""en"",""zh-CN"")"),"他移动了长凳，并带着梯子走来走去，继续修剪树篱。")</f>
        <v>他移动了长凳，并带着梯子走来走去，继续修剪树篱。</v>
      </c>
    </row>
    <row r="14503">
      <c r="A14503" s="4" t="s">
        <v>18263</v>
      </c>
      <c r="B14503" s="4" t="s">
        <v>18264</v>
      </c>
      <c r="C14503" s="5" t="str">
        <f>IFERROR(__xludf.DUMMYFUNCTION("GOOGLETRANSLATE(B14503,""en"",""zh-CN"")"),"看到一个人跳过酒吧，并在不同的位置扔一个物体。")</f>
        <v>看到一个人跳过酒吧，并在不同的位置扔一个物体。</v>
      </c>
    </row>
    <row r="14504">
      <c r="A14504" s="4" t="s">
        <v>18263</v>
      </c>
      <c r="B14504" s="6" t="s">
        <v>18265</v>
      </c>
      <c r="C14504" s="5" t="str">
        <f>IFERROR(__xludf.DUMMYFUNCTION("GOOGLETRANSLATE(B14504,""en"",""zh-CN"")"),"然后看到这些人举起重物，并将物体扔掉更多，然后离开相机。")</f>
        <v>然后看到这些人举起重物，并将物体扔掉更多，然后离开相机。</v>
      </c>
    </row>
    <row r="14505">
      <c r="A14505" s="4" t="s">
        <v>18263</v>
      </c>
      <c r="B14505" s="4" t="s">
        <v>18266</v>
      </c>
      <c r="C14505" s="5" t="str">
        <f>IFERROR(__xludf.DUMMYFUNCTION("GOOGLETRANSLATE(B14505,""en"",""zh-CN"")"),"他继续练习，通过将物体扔在动作之后和相机。")</f>
        <v>他继续练习，通过将物体扔在动作之后和相机。</v>
      </c>
    </row>
    <row r="14506">
      <c r="A14506" s="4" t="s">
        <v>18267</v>
      </c>
      <c r="B14506" s="4" t="s">
        <v>18268</v>
      </c>
      <c r="C14506" s="5" t="str">
        <f>IFERROR(__xludf.DUMMYFUNCTION("GOOGLETRANSLATE(B14506,""en"",""zh-CN"")"),"一个女孩走到滑梯上，坐下，然后沿着滑梯往下走。")</f>
        <v>一个女孩走到滑梯上，坐下，然后沿着滑梯往下走。</v>
      </c>
    </row>
    <row r="14507">
      <c r="A14507" s="4" t="s">
        <v>18267</v>
      </c>
      <c r="B14507" s="4" t="s">
        <v>18269</v>
      </c>
      <c r="C14507" s="5" t="str">
        <f>IFERROR(__xludf.DUMMYFUNCTION("GOOGLETRANSLATE(B14507,""en"",""zh-CN"")"),"她回去再做一次。")</f>
        <v>她回去再做一次。</v>
      </c>
    </row>
    <row r="14508">
      <c r="A14508" s="4" t="s">
        <v>18270</v>
      </c>
      <c r="B14508" s="6" t="s">
        <v>18271</v>
      </c>
      <c r="C14508" s="5" t="str">
        <f>IFERROR(__xludf.DUMMYFUNCTION("GOOGLETRANSLATE(B14508,""en"",""zh-CN"")"),"一匹小马在外面的田野里，绳子固定在缠绕在马脖子上的皮带上。")</f>
        <v>一匹小马在外面的田野里，绳子固定在缠绕在马脖子上的皮带上。</v>
      </c>
    </row>
    <row r="14509">
      <c r="A14509" s="4" t="s">
        <v>18270</v>
      </c>
      <c r="B14509" s="6" t="s">
        <v>18272</v>
      </c>
      <c r="C14509" s="5" t="str">
        <f>IFERROR(__xludf.DUMMYFUNCTION("GOOGLETRANSLATE(B14509,""en"",""zh-CN"")"),"手里拿着绳子的人的右手有火炬，但似乎只有空气，然后开始在马的脸和嘴巴上来回移动它。")</f>
        <v>手里拿着绳子的人的右手有火炬，但似乎只有空气，然后开始在马的脸和嘴巴上来回移动它。</v>
      </c>
    </row>
    <row r="14510">
      <c r="A14510" s="4" t="s">
        <v>18270</v>
      </c>
      <c r="B14510" s="6" t="s">
        <v>18273</v>
      </c>
      <c r="C14510" s="5" t="str">
        <f>IFERROR(__xludf.DUMMYFUNCTION("GOOGLETRANSLATE(B14510,""en"",""zh-CN"")"),"但是，这匹马似乎没有取悦，并开始移动嘴唇试图避免治疗。")</f>
        <v>但是，这匹马似乎没有取悦，并开始移动嘴唇试图避免治疗。</v>
      </c>
    </row>
    <row r="14511">
      <c r="A14511" s="4" t="s">
        <v>18274</v>
      </c>
      <c r="B14511" s="4" t="s">
        <v>18275</v>
      </c>
      <c r="C14511" s="5" t="str">
        <f>IFERROR(__xludf.DUMMYFUNCTION("GOOGLETRANSLATE(B14511,""en"",""zh-CN"")"),"一个男孩演示了如何以示例在街上骑滑板。")</f>
        <v>一个男孩演示了如何以示例在街上骑滑板。</v>
      </c>
    </row>
    <row r="14512">
      <c r="A14512" s="4" t="s">
        <v>18274</v>
      </c>
      <c r="B14512" s="6" t="s">
        <v>18276</v>
      </c>
      <c r="C14512" s="5" t="str">
        <f>IFERROR(__xludf.DUMMYFUNCTION("GOOGLETRANSLATE(B14512,""en"",""zh-CN"")"),"一个男孩站在户外，手臂上握着滑板，然后放下木板，开始踩踏。")</f>
        <v>一个男孩站在户外，手臂上握着滑板，然后放下木板，开始踩踏。</v>
      </c>
    </row>
    <row r="14513">
      <c r="A14513" s="4" t="s">
        <v>18274</v>
      </c>
      <c r="B14513" s="4" t="s">
        <v>18277</v>
      </c>
      <c r="C14513" s="5" t="str">
        <f>IFERROR(__xludf.DUMMYFUNCTION("GOOGLETRANSLATE(B14513,""en"",""zh-CN"")"),"然后，男孩站在板上，在板上来回摇摆。")</f>
        <v>然后，男孩站在板上，在板上来回摇摆。</v>
      </c>
    </row>
    <row r="14514">
      <c r="A14514" s="4" t="s">
        <v>18274</v>
      </c>
      <c r="B14514" s="6" t="s">
        <v>18278</v>
      </c>
      <c r="C14514" s="5" t="str">
        <f>IFERROR(__xludf.DUMMYFUNCTION("GOOGLETRANSLATE(B14514,""en"",""zh-CN"")"),"然后，男孩站在滑板上时表现出上半身的曲折，并最终推开并乘坐滑板上的街道。")</f>
        <v>然后，男孩站在滑板上时表现出上半身的曲折，并最终推开并乘坐滑板上的街道。</v>
      </c>
    </row>
    <row r="14515">
      <c r="A14515" s="4" t="s">
        <v>18274</v>
      </c>
      <c r="B14515" s="6" t="s">
        <v>18279</v>
      </c>
      <c r="C14515" s="5" t="str">
        <f>IFERROR(__xludf.DUMMYFUNCTION("GOOGLETRANSLATE(B14515,""en"",""zh-CN"")"),"然后，男孩返回路边，将一只脚放在木板上，另一只脚在地面上，因为他静止不动。")</f>
        <v>然后，男孩返回路边，将一只脚放在木板上，另一只脚在地面上，因为他静止不动。</v>
      </c>
    </row>
    <row r="14516">
      <c r="A14516" s="4" t="s">
        <v>18280</v>
      </c>
      <c r="B14516" s="4" t="s">
        <v>18281</v>
      </c>
      <c r="C14516" s="5" t="str">
        <f>IFERROR(__xludf.DUMMYFUNCTION("GOOGLETRANSLATE(B14516,""en"",""zh-CN"")"),"我们在地板上看到橡胶手套。")</f>
        <v>我们在地板上看到橡胶手套。</v>
      </c>
    </row>
    <row r="14517">
      <c r="A14517" s="4" t="s">
        <v>18280</v>
      </c>
      <c r="B14517" s="4" t="s">
        <v>18282</v>
      </c>
      <c r="C14517" s="5" t="str">
        <f>IFERROR(__xludf.DUMMYFUNCTION("GOOGLETRANSLATE(B14517,""en"",""zh-CN"")"),"一个人将手套切成两半，并在末端放了一个洞。")</f>
        <v>一个人将手套切成两半，并在末端放了一个洞。</v>
      </c>
    </row>
    <row r="14518">
      <c r="A14518" s="4" t="s">
        <v>18280</v>
      </c>
      <c r="B14518" s="4" t="s">
        <v>18283</v>
      </c>
      <c r="C14518" s="5" t="str">
        <f>IFERROR(__xludf.DUMMYFUNCTION("GOOGLETRANSLATE(B14518,""en"",""zh-CN"")"),"该人将手套戴在狗上，爪子粘在孔中。")</f>
        <v>该人将手套戴在狗上，爪子粘在孔中。</v>
      </c>
    </row>
    <row r="14519">
      <c r="A14519" s="4" t="s">
        <v>18280</v>
      </c>
      <c r="B14519" s="4" t="s">
        <v>18284</v>
      </c>
      <c r="C14519" s="5" t="str">
        <f>IFERROR(__xludf.DUMMYFUNCTION("GOOGLETRANSLATE(B14519,""en"",""zh-CN"")"),"一个人显示剪裁工具。")</f>
        <v>一个人显示剪裁工具。</v>
      </c>
    </row>
    <row r="14520">
      <c r="A14520" s="4" t="s">
        <v>18280</v>
      </c>
      <c r="B14520" s="4" t="s">
        <v>18285</v>
      </c>
      <c r="C14520" s="5" t="str">
        <f>IFERROR(__xludf.DUMMYFUNCTION("GOOGLETRANSLATE(B14520,""en"",""zh-CN"")"),"然后，该人用电砂光机将狗爪打磨。")</f>
        <v>然后，该人用电砂光机将狗爪打磨。</v>
      </c>
    </row>
    <row r="14521">
      <c r="A14521" s="4" t="s">
        <v>18286</v>
      </c>
      <c r="B14521" s="4" t="s">
        <v>18287</v>
      </c>
      <c r="C14521" s="5" t="str">
        <f>IFERROR(__xludf.DUMMYFUNCTION("GOOGLETRANSLATE(B14521,""en"",""zh-CN"")"),"两个小男孩在水槽里。")</f>
        <v>两个小男孩在水槽里。</v>
      </c>
    </row>
    <row r="14522">
      <c r="A14522" s="4" t="s">
        <v>18286</v>
      </c>
      <c r="B14522" s="4" t="s">
        <v>18288</v>
      </c>
      <c r="C14522" s="5" t="str">
        <f>IFERROR(__xludf.DUMMYFUNCTION("GOOGLETRANSLATE(B14522,""en"",""zh-CN"")"),"其中一个男孩没有手。")</f>
        <v>其中一个男孩没有手。</v>
      </c>
    </row>
    <row r="14523">
      <c r="A14523" s="4" t="s">
        <v>18286</v>
      </c>
      <c r="B14523" s="4" t="s">
        <v>18289</v>
      </c>
      <c r="C14523" s="5" t="str">
        <f>IFERROR(__xludf.DUMMYFUNCTION("GOOGLETRANSLATE(B14523,""en"",""zh-CN"")"),"他正在洗碗。")</f>
        <v>他正在洗碗。</v>
      </c>
    </row>
    <row r="14524">
      <c r="A14524" s="4" t="s">
        <v>18286</v>
      </c>
      <c r="B14524" s="4" t="s">
        <v>18290</v>
      </c>
      <c r="C14524" s="5" t="str">
        <f>IFERROR(__xludf.DUMMYFUNCTION("GOOGLETRANSLATE(B14524,""en"",""zh-CN"")"),"另一个男孩帮助他打扫。")</f>
        <v>另一个男孩帮助他打扫。</v>
      </c>
    </row>
    <row r="14525">
      <c r="A14525" s="4" t="s">
        <v>18291</v>
      </c>
      <c r="B14525" s="4" t="s">
        <v>18292</v>
      </c>
      <c r="C14525" s="5" t="str">
        <f>IFERROR(__xludf.DUMMYFUNCTION("GOOGLETRANSLATE(B14525,""en"",""zh-CN"")"),"啦啦队站在小组的健身房里。")</f>
        <v>啦啦队站在小组的健身房里。</v>
      </c>
    </row>
    <row r="14526">
      <c r="A14526" s="4" t="s">
        <v>18291</v>
      </c>
      <c r="B14526" s="4" t="s">
        <v>18293</v>
      </c>
      <c r="C14526" s="5" t="str">
        <f>IFERROR(__xludf.DUMMYFUNCTION("GOOGLETRANSLATE(B14526,""en"",""zh-CN"")"),"然后，女孩们进行例行。")</f>
        <v>然后，女孩们进行例行。</v>
      </c>
    </row>
    <row r="14527">
      <c r="A14527" s="4" t="s">
        <v>18291</v>
      </c>
      <c r="B14527" s="4" t="s">
        <v>18294</v>
      </c>
      <c r="C14527" s="5" t="str">
        <f>IFERROR(__xludf.DUMMYFUNCTION("GOOGLETRANSLATE(B14527,""en"",""zh-CN"")"),"女孩分为三组，两侧的两者跪下，而中间则下蹲。")</f>
        <v>女孩分为三组，两侧的两者跪下，而中间则下蹲。</v>
      </c>
    </row>
    <row r="14528">
      <c r="A14528" s="4" t="s">
        <v>18291</v>
      </c>
      <c r="B14528" s="4" t="s">
        <v>18295</v>
      </c>
      <c r="C14528" s="5" t="str">
        <f>IFERROR(__xludf.DUMMYFUNCTION("GOOGLETRANSLATE(B14528,""en"",""zh-CN"")"),"他们跪下，在结束时将手伸到空中。")</f>
        <v>他们跪下，在结束时将手伸到空中。</v>
      </c>
    </row>
    <row r="14529">
      <c r="A14529" s="4" t="s">
        <v>18296</v>
      </c>
      <c r="B14529" s="4" t="s">
        <v>18297</v>
      </c>
      <c r="C14529" s="5" t="str">
        <f>IFERROR(__xludf.DUMMYFUNCTION("GOOGLETRANSLATE(B14529,""en"",""zh-CN"")"),"穿着黑色衬衫的女人坐在长凳上。")</f>
        <v>穿着黑色衬衫的女人坐在长凳上。</v>
      </c>
    </row>
    <row r="14530">
      <c r="A14530" s="4" t="s">
        <v>18296</v>
      </c>
      <c r="B14530" s="4" t="s">
        <v>18298</v>
      </c>
      <c r="C14530" s="5" t="str">
        <f>IFERROR(__xludf.DUMMYFUNCTION("GOOGLETRANSLATE(B14530,""en"",""zh-CN"")"),"一个男人坐在桌子后面。")</f>
        <v>一个男人坐在桌子后面。</v>
      </c>
    </row>
    <row r="14531">
      <c r="A14531" s="4" t="s">
        <v>18296</v>
      </c>
      <c r="B14531" s="4" t="s">
        <v>18299</v>
      </c>
      <c r="C14531" s="5" t="str">
        <f>IFERROR(__xludf.DUMMYFUNCTION("GOOGLETRANSLATE(B14531,""en"",""zh-CN"")"),"两个人坐在豆袋椅子上。")</f>
        <v>两个人坐在豆袋椅子上。</v>
      </c>
    </row>
    <row r="14532">
      <c r="A14532" s="4" t="s">
        <v>18296</v>
      </c>
      <c r="B14532" s="4" t="s">
        <v>18300</v>
      </c>
      <c r="C14532" s="5" t="str">
        <f>IFERROR(__xludf.DUMMYFUNCTION("GOOGLETRANSLATE(B14532,""en"",""zh-CN"")"),"一个男人正在从杯子里喝酒。")</f>
        <v>一个男人正在从杯子里喝酒。</v>
      </c>
    </row>
    <row r="14533">
      <c r="A14533" s="4" t="s">
        <v>18301</v>
      </c>
      <c r="B14533" s="4" t="s">
        <v>18302</v>
      </c>
      <c r="C14533" s="5" t="str">
        <f>IFERROR(__xludf.DUMMYFUNCTION("GOOGLETRANSLATE(B14533,""en"",""zh-CN"")"),"一个穿着粉红色衬衫的女人在说话。")</f>
        <v>一个穿着粉红色衬衫的女人在说话。</v>
      </c>
    </row>
    <row r="14534">
      <c r="A14534" s="4" t="s">
        <v>18301</v>
      </c>
      <c r="B14534" s="4" t="s">
        <v>18303</v>
      </c>
      <c r="C14534" s="5" t="str">
        <f>IFERROR(__xludf.DUMMYFUNCTION("GOOGLETRANSLATE(B14534,""en"",""zh-CN"")"),"她拿起一个透明的盒子并打开它。")</f>
        <v>她拿起一个透明的盒子并打开它。</v>
      </c>
    </row>
    <row r="14535">
      <c r="A14535" s="4" t="s">
        <v>18301</v>
      </c>
      <c r="B14535" s="4" t="s">
        <v>18304</v>
      </c>
      <c r="C14535" s="5" t="str">
        <f>IFERROR(__xludf.DUMMYFUNCTION("GOOGLETRANSLATE(B14535,""en"",""zh-CN"")"),"她关闭盒子，然后把它放开。")</f>
        <v>她关闭盒子，然后把它放开。</v>
      </c>
    </row>
    <row r="14536">
      <c r="A14536" s="4" t="s">
        <v>18301</v>
      </c>
      <c r="B14536" s="4" t="s">
        <v>18305</v>
      </c>
      <c r="C14536" s="5" t="str">
        <f>IFERROR(__xludf.DUMMYFUNCTION("GOOGLETRANSLATE(B14536,""en"",""zh-CN"")"),"她捡起一只大毛绒动物。")</f>
        <v>她捡起一只大毛绒动物。</v>
      </c>
    </row>
    <row r="14537">
      <c r="A14537" s="4" t="s">
        <v>18301</v>
      </c>
      <c r="B14537" s="4" t="s">
        <v>18306</v>
      </c>
      <c r="C14537" s="5" t="str">
        <f>IFERROR(__xludf.DUMMYFUNCTION("GOOGLETRANSLATE(B14537,""en"",""zh-CN"")"),"然后，她拿起一个小红色袋子。")</f>
        <v>然后，她拿起一个小红色袋子。</v>
      </c>
    </row>
    <row r="14538">
      <c r="A14538" s="4" t="s">
        <v>18301</v>
      </c>
      <c r="B14538" s="4" t="s">
        <v>18307</v>
      </c>
      <c r="C14538" s="5" t="str">
        <f>IFERROR(__xludf.DUMMYFUNCTION("GOOGLETRANSLATE(B14538,""en"",""zh-CN"")"),"她捡起了一些不同的面料和丝带。")</f>
        <v>她捡起了一些不同的面料和丝带。</v>
      </c>
    </row>
    <row r="14539">
      <c r="A14539" s="4" t="s">
        <v>18308</v>
      </c>
      <c r="B14539" s="4" t="s">
        <v>18309</v>
      </c>
      <c r="C14539" s="5" t="str">
        <f>IFERROR(__xludf.DUMMYFUNCTION("GOOGLETRANSLATE(B14539,""en"",""zh-CN"")"),"真空零件显示在地板上。")</f>
        <v>真空零件显示在地板上。</v>
      </c>
    </row>
    <row r="14540">
      <c r="A14540" s="4" t="s">
        <v>18308</v>
      </c>
      <c r="B14540" s="4" t="s">
        <v>18310</v>
      </c>
      <c r="C14540" s="5" t="str">
        <f>IFERROR(__xludf.DUMMYFUNCTION("GOOGLETRANSLATE(B14540,""en"",""zh-CN"")"),"一个人吸尘地毯。")</f>
        <v>一个人吸尘地毯。</v>
      </c>
    </row>
    <row r="14541">
      <c r="A14541" s="4" t="s">
        <v>18308</v>
      </c>
      <c r="B14541" s="4" t="s">
        <v>18311</v>
      </c>
      <c r="C14541" s="5" t="str">
        <f>IFERROR(__xludf.DUMMYFUNCTION("GOOGLETRANSLATE(B14541,""en"",""zh-CN"")"),"一个人潮湿并吸尘地毯。")</f>
        <v>一个人潮湿并吸尘地毯。</v>
      </c>
    </row>
    <row r="14542">
      <c r="A14542" s="4" t="s">
        <v>18308</v>
      </c>
      <c r="B14542" s="4" t="s">
        <v>18312</v>
      </c>
      <c r="C14542" s="5" t="str">
        <f>IFERROR(__xludf.DUMMYFUNCTION("GOOGLETRANSLATE(B14542,""en"",""zh-CN"")"),"一个人吸尘或从地毯上吸收咖啡。")</f>
        <v>一个人吸尘或从地毯上吸收咖啡。</v>
      </c>
    </row>
    <row r="14543">
      <c r="A14543" s="4" t="s">
        <v>18308</v>
      </c>
      <c r="B14543" s="4" t="s">
        <v>18313</v>
      </c>
      <c r="C14543" s="5" t="str">
        <f>IFERROR(__xludf.DUMMYFUNCTION("GOOGLETRANSLATE(B14543,""en"",""zh-CN"")"),"一个人擦洗并用真空干燥瓷砖地板。")</f>
        <v>一个人擦洗并用真空干燥瓷砖地板。</v>
      </c>
    </row>
    <row r="14544">
      <c r="A14544" s="4" t="s">
        <v>18308</v>
      </c>
      <c r="B14544" s="4" t="s">
        <v>18314</v>
      </c>
      <c r="C14544" s="5" t="str">
        <f>IFERROR(__xludf.DUMMYFUNCTION("GOOGLETRANSLATE(B14544,""en"",""zh-CN"")"),"一个人在白色水槽中清空真空的内容。")</f>
        <v>一个人在白色水槽中清空真空的内容。</v>
      </c>
    </row>
    <row r="14545">
      <c r="A14545" s="4" t="s">
        <v>18308</v>
      </c>
      <c r="B14545" s="4" t="s">
        <v>18315</v>
      </c>
      <c r="C14545" s="5" t="str">
        <f>IFERROR(__xludf.DUMMYFUNCTION("GOOGLETRANSLATE(B14545,""en"",""zh-CN"")"),"可以在分裂屏幕中显示真空的方式。")</f>
        <v>可以在分裂屏幕中显示真空的方式。</v>
      </c>
    </row>
    <row r="14546">
      <c r="A14546" s="4" t="s">
        <v>18316</v>
      </c>
      <c r="B14546" s="6" t="s">
        <v>18317</v>
      </c>
      <c r="C14546" s="5" t="str">
        <f>IFERROR(__xludf.DUMMYFUNCTION("GOOGLETRANSLATE(B14546,""en"",""zh-CN"")"),"看到一条大波浪在水上移动，然后有几个人携带冲浪板并沿着水冲浪。")</f>
        <v>看到一条大波浪在水上移动，然后有几个人携带冲浪板并沿着水冲浪。</v>
      </c>
    </row>
    <row r="14547">
      <c r="A14547" s="4" t="s">
        <v>18316</v>
      </c>
      <c r="B14547" s="4" t="s">
        <v>18318</v>
      </c>
      <c r="C14547" s="5" t="str">
        <f>IFERROR(__xludf.DUMMYFUNCTION("GOOGLETRANSLATE(B14547,""en"",""zh-CN"")"),"人们继续沿着冲浪板上的水骑着水，然后在海滩上走来走去。")</f>
        <v>人们继续沿着冲浪板上的水骑着水，然后在海滩上走来走去。</v>
      </c>
    </row>
    <row r="14548">
      <c r="A14548" s="4" t="s">
        <v>18319</v>
      </c>
      <c r="B14548" s="4" t="s">
        <v>18320</v>
      </c>
      <c r="C14548" s="5" t="str">
        <f>IFERROR(__xludf.DUMMYFUNCTION("GOOGLETRANSLATE(B14548,""en"",""zh-CN"")"),"一个机器人坐在房间里的钢琴后面。")</f>
        <v>一个机器人坐在房间里的钢琴后面。</v>
      </c>
    </row>
    <row r="14549">
      <c r="A14549" s="4" t="s">
        <v>18319</v>
      </c>
      <c r="B14549" s="4" t="s">
        <v>18321</v>
      </c>
      <c r="C14549" s="5" t="str">
        <f>IFERROR(__xludf.DUMMYFUNCTION("GOOGLETRANSLATE(B14549,""en"",""zh-CN"")"),"它的手没有照亮钢琴钥匙。")</f>
        <v>它的手没有照亮钢琴钥匙。</v>
      </c>
    </row>
    <row r="14550">
      <c r="A14550" s="4" t="s">
        <v>18322</v>
      </c>
      <c r="B14550" s="4" t="s">
        <v>18323</v>
      </c>
      <c r="C14550" s="5" t="str">
        <f>IFERROR(__xludf.DUMMYFUNCTION("GOOGLETRANSLATE(B14550,""en"",""zh-CN"")"),"当相机从后面跟随时，看到一个人沿着滑板上的一条长街骑着一条长街。")</f>
        <v>当相机从后面跟随时，看到一个人沿着滑板上的一条长街骑着一条长街。</v>
      </c>
    </row>
    <row r="14551">
      <c r="A14551" s="4" t="s">
        <v>18322</v>
      </c>
      <c r="B14551" s="6" t="s">
        <v>18324</v>
      </c>
      <c r="C14551" s="5" t="str">
        <f>IFERROR(__xludf.DUMMYFUNCTION("GOOGLETRANSLATE(B14551,""en"",""zh-CN"")"),"该人继续骑着镜头捕捉风景和汽车，并将手放在他面前的寄宿生中。")</f>
        <v>该人继续骑着镜头捕捉风景和汽车，并将手放在他面前的寄宿生中。</v>
      </c>
    </row>
    <row r="14552">
      <c r="A14552" s="4" t="s">
        <v>18322</v>
      </c>
      <c r="B14552" s="4" t="s">
        <v>18325</v>
      </c>
      <c r="C14552" s="5" t="str">
        <f>IFERROR(__xludf.DUMMYFUNCTION("GOOGLETRANSLATE(B14552,""en"",""zh-CN"")"),"最后，他经过寄宿生，停在汽车上。")</f>
        <v>最后，他经过寄宿生，停在汽车上。</v>
      </c>
    </row>
    <row r="14553">
      <c r="A14553" s="4" t="s">
        <v>18326</v>
      </c>
      <c r="B14553" s="4" t="s">
        <v>18327</v>
      </c>
      <c r="C14553" s="5" t="str">
        <f>IFERROR(__xludf.DUMMYFUNCTION("GOOGLETRANSLATE(B14553,""en"",""zh-CN"")"),"一个男人躺在瓷砖地板上的背上。")</f>
        <v>一个男人躺在瓷砖地板上的背上。</v>
      </c>
    </row>
    <row r="14554">
      <c r="A14554" s="4" t="s">
        <v>18326</v>
      </c>
      <c r="B14554" s="6" t="s">
        <v>18328</v>
      </c>
      <c r="C14554" s="5" t="str">
        <f>IFERROR(__xludf.DUMMYFUNCTION("GOOGLETRANSLATE(B14554,""en"",""zh-CN"")"),"他正试图坐下来，放慢脚步和鬼脸，因为每个人的努力变得更加困难。")</f>
        <v>他正试图坐下来，放慢脚步和鬼脸，因为每个人的努力变得更加困难。</v>
      </c>
    </row>
    <row r="14555">
      <c r="A14555" s="4" t="s">
        <v>18326</v>
      </c>
      <c r="B14555" s="4" t="s">
        <v>18329</v>
      </c>
      <c r="C14555" s="5" t="str">
        <f>IFERROR(__xludf.DUMMYFUNCTION("GOOGLETRANSLATE(B14555,""en"",""zh-CN"")"),"他停下来，向后笑着笑。")</f>
        <v>他停下来，向后笑着笑。</v>
      </c>
    </row>
    <row r="14556">
      <c r="A14556" s="4" t="s">
        <v>18330</v>
      </c>
      <c r="B14556" s="4" t="s">
        <v>18331</v>
      </c>
      <c r="C14556" s="5" t="str">
        <f>IFERROR(__xludf.DUMMYFUNCTION("GOOGLETRANSLATE(B14556,""en"",""zh-CN"")"),"一个女孩在后廊上玩跳雪花。")</f>
        <v>一个女孩在后廊上玩跳雪花。</v>
      </c>
    </row>
    <row r="14557">
      <c r="A14557" s="4" t="s">
        <v>18330</v>
      </c>
      <c r="B14557" s="4" t="s">
        <v>18332</v>
      </c>
      <c r="C14557" s="5" t="str">
        <f>IFERROR(__xludf.DUMMYFUNCTION("GOOGLETRANSLATE(B14557,""en"",""zh-CN"")"),"一个人坐在野餐桌上看着他们。")</f>
        <v>一个人坐在野餐桌上看着他们。</v>
      </c>
    </row>
    <row r="14558">
      <c r="A14558" s="4" t="s">
        <v>18330</v>
      </c>
      <c r="B14558" s="4" t="s">
        <v>18333</v>
      </c>
      <c r="C14558" s="5" t="str">
        <f>IFERROR(__xludf.DUMMYFUNCTION("GOOGLETRANSLATE(B14558,""en"",""zh-CN"")"),"另一个人起床开始比赛。")</f>
        <v>另一个人起床开始比赛。</v>
      </c>
    </row>
    <row r="14559">
      <c r="A14559" s="4" t="s">
        <v>18334</v>
      </c>
      <c r="B14559" s="4" t="s">
        <v>18335</v>
      </c>
      <c r="C14559" s="5" t="str">
        <f>IFERROR(__xludf.DUMMYFUNCTION("GOOGLETRANSLATE(B14559,""en"",""zh-CN"")"),"看到一个人从盒子里拉出物品，并将其呈现给相机。")</f>
        <v>看到一个人从盒子里拉出物品，并将其呈现给相机。</v>
      </c>
    </row>
    <row r="14560">
      <c r="A14560" s="4" t="s">
        <v>18334</v>
      </c>
      <c r="B14560" s="6" t="s">
        <v>18336</v>
      </c>
      <c r="C14560" s="5" t="str">
        <f>IFERROR(__xludf.DUMMYFUNCTION("GOOGLETRANSLATE(B14560,""en"",""zh-CN"")"),"然后，该男子用抹布擦了擦鞋子，并在锅周围时向相机展示更多物品。")</f>
        <v>然后，该男子用抹布擦了擦鞋子，并在锅周围时向相机展示更多物品。</v>
      </c>
    </row>
    <row r="14561">
      <c r="A14561" s="4" t="s">
        <v>18337</v>
      </c>
      <c r="B14561" s="6" t="s">
        <v>18338</v>
      </c>
      <c r="C14561" s="5" t="str">
        <f>IFERROR(__xludf.DUMMYFUNCTION("GOOGLETRANSLATE(B14561,""en"",""zh-CN"")"),"看到一个人绑着他们的鞋子，并导致几个人在绳子上跳来跳去。")</f>
        <v>看到一个人绑着他们的鞋子，并导致几个人在绳子上跳来跳去。</v>
      </c>
    </row>
    <row r="14562">
      <c r="A14562" s="4" t="s">
        <v>18337</v>
      </c>
      <c r="B14562" s="6" t="s">
        <v>18339</v>
      </c>
      <c r="C14562" s="5" t="str">
        <f>IFERROR(__xludf.DUMMYFUNCTION("GOOGLETRANSLATE(B14562,""en"",""zh-CN"")"),"显示了几镜的景观，以及更多的人试图在树木与树木绑在一起的长绳上跳跃和窍门。")</f>
        <v>显示了几镜的景观，以及更多的人试图在树木与树木绑在一起的长绳上跳跃和窍门。</v>
      </c>
    </row>
    <row r="14563">
      <c r="A14563" s="4" t="s">
        <v>18340</v>
      </c>
      <c r="B14563" s="4" t="s">
        <v>18341</v>
      </c>
      <c r="C14563" s="5" t="str">
        <f>IFERROR(__xludf.DUMMYFUNCTION("GOOGLETRANSLATE(B14563,""en"",""zh-CN"")"),"一个女人和一个小男孩在轮胎秋千上摇摆。")</f>
        <v>一个女人和一个小男孩在轮胎秋千上摇摆。</v>
      </c>
    </row>
    <row r="14564">
      <c r="A14564" s="4" t="s">
        <v>18340</v>
      </c>
      <c r="B14564" s="4" t="s">
        <v>18342</v>
      </c>
      <c r="C14564" s="5" t="str">
        <f>IFERROR(__xludf.DUMMYFUNCTION("GOOGLETRANSLATE(B14564,""en"",""zh-CN"")"),"推动婴儿车的人在他们身后。")</f>
        <v>推动婴儿车的人在他们身后。</v>
      </c>
    </row>
    <row r="14565">
      <c r="A14565" s="4" t="s">
        <v>18340</v>
      </c>
      <c r="B14565" s="4" t="s">
        <v>18343</v>
      </c>
      <c r="C14565" s="5" t="str">
        <f>IFERROR(__xludf.DUMMYFUNCTION("GOOGLETRANSLATE(B14565,""en"",""zh-CN"")"),"这个男孩从相机上转身。")</f>
        <v>这个男孩从相机上转身。</v>
      </c>
    </row>
    <row r="14566">
      <c r="A14566" s="4" t="s">
        <v>18344</v>
      </c>
      <c r="B14566" s="4" t="s">
        <v>18345</v>
      </c>
      <c r="C14566" s="5" t="str">
        <f>IFERROR(__xludf.DUMMYFUNCTION("GOOGLETRANSLATE(B14566,""en"",""zh-CN"")"),"一个女人在水下，她从下面优雅地出现。")</f>
        <v>一个女人在水下，她从下面优雅地出现。</v>
      </c>
    </row>
    <row r="14567">
      <c r="A14567" s="4" t="s">
        <v>18344</v>
      </c>
      <c r="B14567" s="4" t="s">
        <v>18346</v>
      </c>
      <c r="C14567" s="5" t="str">
        <f>IFERROR(__xludf.DUMMYFUNCTION("GOOGLETRANSLATE(B14567,""en"",""zh-CN"")"),"后来她和汤姆和杰里一起游泳很漂亮。")</f>
        <v>后来她和汤姆和杰里一起游泳很漂亮。</v>
      </c>
    </row>
    <row r="14568">
      <c r="A14568" s="4" t="s">
        <v>18344</v>
      </c>
      <c r="B14568" s="4" t="s">
        <v>18347</v>
      </c>
      <c r="C14568" s="5" t="str">
        <f>IFERROR(__xludf.DUMMYFUNCTION("GOOGLETRANSLATE(B14568,""en"",""zh-CN"")"),"然后，她从上方的箍上挂着一个，跳入水中。")</f>
        <v>然后，她从上方的箍上挂着一个，跳入水中。</v>
      </c>
    </row>
    <row r="14569">
      <c r="A14569" s="4" t="s">
        <v>18344</v>
      </c>
      <c r="B14569" s="4" t="s">
        <v>18348</v>
      </c>
      <c r="C14569" s="5" t="str">
        <f>IFERROR(__xludf.DUMMYFUNCTION("GOOGLETRANSLATE(B14569,""en"",""zh-CN"")"),"她做了很多不同的演出，涉及她的跳舞和在水中游泳。")</f>
        <v>她做了很多不同的演出，涉及她的跳舞和在水中游泳。</v>
      </c>
    </row>
    <row r="14570">
      <c r="A14570" s="4" t="s">
        <v>18349</v>
      </c>
      <c r="B14570" s="6" t="s">
        <v>18350</v>
      </c>
      <c r="C14570" s="5" t="str">
        <f>IFERROR(__xludf.DUMMYFUNCTION("GOOGLETRANSLATE(B14570,""en"",""zh-CN"")"),"白屏上出现了一个黑色的品牌名称，上面写着“木植物”，并在猪一词中有一张猪的照片。")</f>
        <v>白屏上出现了一个黑色的品牌名称，上面写着“木植物”，并在猪一词中有一张猪的照片。</v>
      </c>
    </row>
    <row r="14571">
      <c r="A14571" s="4" t="s">
        <v>18349</v>
      </c>
      <c r="B14571" s="6" t="s">
        <v>18351</v>
      </c>
      <c r="C14571" s="5" t="str">
        <f>IFERROR(__xludf.DUMMYFUNCTION("GOOGLETRANSLATE(B14571,""en"",""zh-CN"")"),"显示了一个红色和黑色工具的快速图片，然后一个人在说话，然后在男人说话时显示的瞬间之间删除带状疱疹的剪辑。")</f>
        <v>显示了一个红色和黑色工具的快速图片，然后一个人在说话，然后在男人说话时显示的瞬间之间删除带状疱疹的剪辑。</v>
      </c>
    </row>
    <row r="14572">
      <c r="A14572" s="4" t="s">
        <v>18349</v>
      </c>
      <c r="B14572" s="6" t="s">
        <v>18352</v>
      </c>
      <c r="C14572" s="5" t="str">
        <f>IFERROR(__xludf.DUMMYFUNCTION("GOOGLETRANSLATE(B14572,""en"",""zh-CN"")"),"该工具现在自行显示，品牌和徽标显示在右上角的屏幕上。")</f>
        <v>该工具现在自行显示，品牌和徽标显示在右上角的屏幕上。</v>
      </c>
    </row>
    <row r="14573">
      <c r="A14573" s="4" t="s">
        <v>18349</v>
      </c>
      <c r="B14573" s="6" t="s">
        <v>18353</v>
      </c>
      <c r="C14573" s="5" t="str">
        <f>IFERROR(__xludf.DUMMYFUNCTION("GOOGLETRANSLATE(B14573,""en"",""zh-CN"")"),"现在，屋顶上有几个人使用该工具去除带状疱疹的夹子，该男子再次出现在夹子之间。")</f>
        <v>现在，屋顶上有几个人使用该工具去除带状疱疹的夹子，该男子再次出现在夹子之间。</v>
      </c>
    </row>
    <row r="14574">
      <c r="A14574" s="4" t="s">
        <v>18349</v>
      </c>
      <c r="B14574" s="6" t="s">
        <v>18354</v>
      </c>
      <c r="C14574" s="5" t="str">
        <f>IFERROR(__xludf.DUMMYFUNCTION("GOOGLETRANSLATE(B14574,""en"",""zh-CN"")"),"出现一个黑屏，它的列表上有很多白色的单词，标题是“ Shingle Hog Savings”。")</f>
        <v>出现一个黑屏，它的列表上有很多白色的单词，标题是“ Shingle Hog Savings”。</v>
      </c>
    </row>
    <row r="14575">
      <c r="A14575" s="4" t="s">
        <v>18349</v>
      </c>
      <c r="B14575" s="6" t="s">
        <v>18355</v>
      </c>
      <c r="C14575" s="5" t="str">
        <f>IFERROR(__xludf.DUMMYFUNCTION("GOOGLETRANSLATE(B14575,""en"",""zh-CN"")"),"该男子谈话和使用木瓦机器播放的男子的剪辑，直到出现白色的Outro屏幕，其中包括品牌名称，徽标，产品信息和网站。")</f>
        <v>该男子谈话和使用木瓦机器播放的男子的剪辑，直到出现白色的Outro屏幕，其中包括品牌名称，徽标，产品信息和网站。</v>
      </c>
    </row>
    <row r="14576">
      <c r="A14576" s="4" t="s">
        <v>18356</v>
      </c>
      <c r="B14576" s="4" t="s">
        <v>18357</v>
      </c>
      <c r="C14576" s="5" t="str">
        <f>IFERROR(__xludf.DUMMYFUNCTION("GOOGLETRANSLATE(B14576,""en"",""zh-CN"")"),"显示了四名穿着运动服的男人以及有关AIB的信息。")</f>
        <v>显示了四名穿着运动服的男人以及有关AIB的信息。</v>
      </c>
    </row>
    <row r="14577">
      <c r="A14577" s="4" t="s">
        <v>18356</v>
      </c>
      <c r="B14577" s="4" t="s">
        <v>18358</v>
      </c>
      <c r="C14577" s="5" t="str">
        <f>IFERROR(__xludf.DUMMYFUNCTION("GOOGLETRANSLATE(B14577,""en"",""zh-CN"")"),"第一个男人介绍自己。")</f>
        <v>第一个男人介绍自己。</v>
      </c>
    </row>
    <row r="14578">
      <c r="A14578" s="4" t="s">
        <v>18356</v>
      </c>
      <c r="B14578" s="4" t="s">
        <v>18359</v>
      </c>
      <c r="C14578" s="5" t="str">
        <f>IFERROR(__xludf.DUMMYFUNCTION("GOOGLETRANSLATE(B14578,""en"",""zh-CN"")"),"第二个人介绍自己。")</f>
        <v>第二个人介绍自己。</v>
      </c>
    </row>
    <row r="14579">
      <c r="A14579" s="4" t="s">
        <v>18356</v>
      </c>
      <c r="B14579" s="4" t="s">
        <v>18360</v>
      </c>
      <c r="C14579" s="5" t="str">
        <f>IFERROR(__xludf.DUMMYFUNCTION("GOOGLETRANSLATE(B14579,""en"",""zh-CN"")"),"第三个人介绍自己。")</f>
        <v>第三个人介绍自己。</v>
      </c>
    </row>
    <row r="14580">
      <c r="A14580" s="4" t="s">
        <v>18356</v>
      </c>
      <c r="B14580" s="4" t="s">
        <v>18361</v>
      </c>
      <c r="C14580" s="5" t="str">
        <f>IFERROR(__xludf.DUMMYFUNCTION("GOOGLETRANSLATE(B14580,""en"",""zh-CN"")"),"最后，第四个人介绍了自己。")</f>
        <v>最后，第四个人介绍了自己。</v>
      </c>
    </row>
    <row r="14581">
      <c r="A14581" s="4" t="s">
        <v>18356</v>
      </c>
      <c r="B14581" s="4" t="s">
        <v>18362</v>
      </c>
      <c r="C14581" s="5" t="str">
        <f>IFERROR(__xludf.DUMMYFUNCTION("GOOGLETRANSLATE(B14581,""en"",""zh-CN"")"),"然后，通过试图击中墙上的目标来显示第一个人。")</f>
        <v>然后，通过试图击中墙上的目标来显示第一个人。</v>
      </c>
    </row>
    <row r="14582">
      <c r="A14582" s="4" t="s">
        <v>18356</v>
      </c>
      <c r="B14582" s="4" t="s">
        <v>18363</v>
      </c>
      <c r="C14582" s="5" t="str">
        <f>IFERROR(__xludf.DUMMYFUNCTION("GOOGLETRANSLATE(B14582,""en"",""zh-CN"")"),"第二个介绍自己的人转弯试图击中墙上的目标。")</f>
        <v>第二个介绍自己的人转弯试图击中墙上的目标。</v>
      </c>
    </row>
    <row r="14583">
      <c r="A14583" s="4" t="s">
        <v>18356</v>
      </c>
      <c r="B14583" s="4" t="s">
        <v>18364</v>
      </c>
      <c r="C14583" s="5" t="str">
        <f>IFERROR(__xludf.DUMMYFUNCTION("GOOGLETRANSLATE(B14583,""en"",""zh-CN"")"),"穿着白色短裤的那个人然后尝试练习墙。")</f>
        <v>穿着白色短裤的那个人然后尝试练习墙。</v>
      </c>
    </row>
    <row r="14584">
      <c r="A14584" s="4" t="s">
        <v>18356</v>
      </c>
      <c r="B14584" s="4" t="s">
        <v>18365</v>
      </c>
      <c r="C14584" s="5" t="str">
        <f>IFERROR(__xludf.DUMMYFUNCTION("GOOGLETRANSLATE(B14584,""en"",""zh-CN"")"),"最后，那个有红头发的人可以尝试一下。")</f>
        <v>最后，那个有红头发的人可以尝试一下。</v>
      </c>
    </row>
    <row r="14585">
      <c r="A14585" s="4" t="s">
        <v>18356</v>
      </c>
      <c r="B14585" s="4" t="s">
        <v>18366</v>
      </c>
      <c r="C14585" s="5" t="str">
        <f>IFERROR(__xludf.DUMMYFUNCTION("GOOGLETRANSLATE(B14585,""en"",""zh-CN"")"),"第一个练习的人对他的表现发表了评论。")</f>
        <v>第一个练习的人对他的表现发表了评论。</v>
      </c>
    </row>
    <row r="14586">
      <c r="A14586" s="4" t="s">
        <v>18356</v>
      </c>
      <c r="B14586" s="4" t="s">
        <v>18367</v>
      </c>
      <c r="C14586" s="5" t="str">
        <f>IFERROR(__xludf.DUMMYFUNCTION("GOOGLETRANSLATE(B14586,""en"",""zh-CN"")"),"最后一个用红色发来练习的人。")</f>
        <v>最后一个用红色发来练习的人。</v>
      </c>
    </row>
    <row r="14587">
      <c r="A14587" s="4" t="s">
        <v>18356</v>
      </c>
      <c r="B14587" s="4" t="s">
        <v>18368</v>
      </c>
      <c r="C14587" s="5" t="str">
        <f>IFERROR(__xludf.DUMMYFUNCTION("GOOGLETRANSLATE(B14587,""en"",""zh-CN"")"),"显示了有关AIB和即将到来的游戏的信息。")</f>
        <v>显示了有关AIB和即将到来的游戏的信息。</v>
      </c>
    </row>
    <row r="14588">
      <c r="A14588" s="4" t="s">
        <v>18369</v>
      </c>
      <c r="B14588" s="6" t="s">
        <v>18370</v>
      </c>
      <c r="C14588" s="5" t="str">
        <f>IFERROR(__xludf.DUMMYFUNCTION("GOOGLETRANSLATE(B14588,""en"",""zh-CN"")"),"看到一大批人坐在海滩上，身上有几种防晒霜。")</f>
        <v>看到一大批人坐在海滩上，身上有几种防晒霜。</v>
      </c>
    </row>
    <row r="14589">
      <c r="A14589" s="4" t="s">
        <v>18369</v>
      </c>
      <c r="B14589" s="6" t="s">
        <v>18371</v>
      </c>
      <c r="C14589" s="5" t="str">
        <f>IFERROR(__xludf.DUMMYFUNCTION("GOOGLETRANSLATE(B14589,""en"",""zh-CN"")"),"显示了科学家的镜头，在彼此互动并与摄像机交谈的同时，进行了防晒霜。")</f>
        <v>显示了科学家的镜头，在彼此互动并与摄像机交谈的同时，进行了防晒霜。</v>
      </c>
    </row>
    <row r="14590">
      <c r="A14590" s="4" t="s">
        <v>18369</v>
      </c>
      <c r="B14590" s="4" t="s">
        <v>18372</v>
      </c>
      <c r="C14590" s="5" t="str">
        <f>IFERROR(__xludf.DUMMYFUNCTION("GOOGLETRANSLATE(B14590,""en"",""zh-CN"")"),"最后，看到一个男人在商店里打包一条鱼。")</f>
        <v>最后，看到一个男人在商店里打包一条鱼。</v>
      </c>
    </row>
    <row r="14591">
      <c r="A14591" s="4" t="s">
        <v>18373</v>
      </c>
      <c r="B14591" s="4" t="s">
        <v>18374</v>
      </c>
      <c r="C14591" s="5" t="str">
        <f>IFERROR(__xludf.DUMMYFUNCTION("GOOGLETRANSLATE(B14591,""en"",""zh-CN"")"),"孩子拿着鼓风机，正在街上吹叶子。")</f>
        <v>孩子拿着鼓风机，正在街上吹叶子。</v>
      </c>
    </row>
    <row r="14592">
      <c r="A14592" s="4" t="s">
        <v>18373</v>
      </c>
      <c r="B14592" s="4" t="s">
        <v>18375</v>
      </c>
      <c r="C14592" s="5" t="str">
        <f>IFERROR(__xludf.DUMMYFUNCTION("GOOGLETRANSLATE(B14592,""en"",""zh-CN"")"),"孩子走在人行道上，用鼓风机清洁干叶，男人帮助他。")</f>
        <v>孩子走在人行道上，用鼓风机清洁干叶，男人帮助他。</v>
      </c>
    </row>
    <row r="14593">
      <c r="A14593" s="4" t="s">
        <v>18373</v>
      </c>
      <c r="B14593" s="4" t="s">
        <v>18376</v>
      </c>
      <c r="C14593" s="5" t="str">
        <f>IFERROR(__xludf.DUMMYFUNCTION("GOOGLETRANSLATE(B14593,""en"",""zh-CN"")"),"老人拿着耙子耙干叶。")</f>
        <v>老人拿着耙子耙干叶。</v>
      </c>
    </row>
    <row r="14594">
      <c r="A14594" s="4" t="s">
        <v>18377</v>
      </c>
      <c r="B14594" s="4" t="s">
        <v>18378</v>
      </c>
      <c r="C14594" s="5" t="str">
        <f>IFERROR(__xludf.DUMMYFUNCTION("GOOGLETRANSLATE(B14594,""en"",""zh-CN"")"),"一个小男孩在一个凌乱的客厅里。")</f>
        <v>一个小男孩在一个凌乱的客厅里。</v>
      </c>
    </row>
    <row r="14595">
      <c r="A14595" s="4" t="s">
        <v>18377</v>
      </c>
      <c r="B14595" s="4" t="s">
        <v>18379</v>
      </c>
      <c r="C14595" s="5" t="str">
        <f>IFERROR(__xludf.DUMMYFUNCTION("GOOGLETRANSLATE(B14595,""en"",""zh-CN"")"),"他正在使用电动牙刷。")</f>
        <v>他正在使用电动牙刷。</v>
      </c>
    </row>
    <row r="14596">
      <c r="A14596" s="4" t="s">
        <v>18377</v>
      </c>
      <c r="B14596" s="4" t="s">
        <v>18380</v>
      </c>
      <c r="C14596" s="5" t="str">
        <f>IFERROR(__xludf.DUMMYFUNCTION("GOOGLETRANSLATE(B14596,""en"",""zh-CN"")"),"当他微笑时，他用牙刷擦洗牙齿。")</f>
        <v>当他微笑时，他用牙刷擦洗牙齿。</v>
      </c>
    </row>
    <row r="14597">
      <c r="A14597" s="4" t="s">
        <v>18381</v>
      </c>
      <c r="B14597" s="4" t="s">
        <v>18382</v>
      </c>
      <c r="C14597" s="5" t="str">
        <f>IFERROR(__xludf.DUMMYFUNCTION("GOOGLETRANSLATE(B14597,""en"",""zh-CN"")"),"一个穿着浅蓝色衬衫的男人打破了泳池球以开始比赛。")</f>
        <v>一个穿着浅蓝色衬衫的男人打破了泳池球以开始比赛。</v>
      </c>
    </row>
    <row r="14598">
      <c r="A14598" s="4" t="s">
        <v>18381</v>
      </c>
      <c r="B14598" s="4" t="s">
        <v>18383</v>
      </c>
      <c r="C14598" s="5" t="str">
        <f>IFERROR(__xludf.DUMMYFUNCTION("GOOGLETRANSLATE(B14598,""en"",""zh-CN"")"),"他在桌子上走来走去，寻找一个好地方。")</f>
        <v>他在桌子上走来走去，寻找一个好地方。</v>
      </c>
    </row>
    <row r="14599">
      <c r="A14599" s="4" t="s">
        <v>18381</v>
      </c>
      <c r="B14599" s="4" t="s">
        <v>18384</v>
      </c>
      <c r="C14599" s="5" t="str">
        <f>IFERROR(__xludf.DUMMYFUNCTION("GOOGLETRANSLATE(B14599,""en"",""zh-CN"")"),"然后他再次在桌子上移动，然后再次进入。")</f>
        <v>然后他再次在桌子上移动，然后再次进入。</v>
      </c>
    </row>
    <row r="14600">
      <c r="A14600" s="4" t="s">
        <v>18381</v>
      </c>
      <c r="B14600" s="4" t="s">
        <v>18385</v>
      </c>
      <c r="C14600" s="5" t="str">
        <f>IFERROR(__xludf.DUMMYFUNCTION("GOOGLETRANSLATE(B14600,""en"",""zh-CN"")"),"他终于击中了黑球并结束了比赛。")</f>
        <v>他终于击中了黑球并结束了比赛。</v>
      </c>
    </row>
    <row r="14601">
      <c r="A14601" s="4" t="s">
        <v>18386</v>
      </c>
      <c r="B14601" s="4" t="s">
        <v>18387</v>
      </c>
      <c r="C14601" s="5" t="str">
        <f>IFERROR(__xludf.DUMMYFUNCTION("GOOGLETRANSLATE(B14601,""en"",""zh-CN"")"),"一个女人跳入游泳池。")</f>
        <v>一个女人跳入游泳池。</v>
      </c>
    </row>
    <row r="14602">
      <c r="A14602" s="4" t="s">
        <v>18386</v>
      </c>
      <c r="B14602" s="4" t="s">
        <v>18388</v>
      </c>
      <c r="C14602" s="5" t="str">
        <f>IFERROR(__xludf.DUMMYFUNCTION("GOOGLETRANSLATE(B14602,""en"",""zh-CN"")"),"一个女人拿着一台大型摄像头笑。")</f>
        <v>一个女人拿着一台大型摄像头笑。</v>
      </c>
    </row>
    <row r="14603">
      <c r="A14603" s="4" t="s">
        <v>18386</v>
      </c>
      <c r="B14603" s="4" t="s">
        <v>18389</v>
      </c>
      <c r="C14603" s="5" t="str">
        <f>IFERROR(__xludf.DUMMYFUNCTION("GOOGLETRANSLATE(B14603,""en"",""zh-CN"")"),"还有几名妇女从潜水板上潜水。")</f>
        <v>还有几名妇女从潜水板上潜水。</v>
      </c>
    </row>
    <row r="14604">
      <c r="A14604" s="4" t="s">
        <v>18390</v>
      </c>
      <c r="B14604" s="4" t="s">
        <v>18391</v>
      </c>
      <c r="C14604" s="5" t="str">
        <f>IFERROR(__xludf.DUMMYFUNCTION("GOOGLETRANSLATE(B14604,""en"",""zh-CN"")"),"厨师在相机上说话。")</f>
        <v>厨师在相机上说话。</v>
      </c>
    </row>
    <row r="14605">
      <c r="A14605" s="4" t="s">
        <v>18390</v>
      </c>
      <c r="B14605" s="4" t="s">
        <v>18392</v>
      </c>
      <c r="C14605" s="5" t="str">
        <f>IFERROR(__xludf.DUMMYFUNCTION("GOOGLETRANSLATE(B14605,""en"",""zh-CN"")"),"她继续切割很多蘑菇。")</f>
        <v>她继续切割很多蘑菇。</v>
      </c>
    </row>
    <row r="14606">
      <c r="A14606" s="4" t="s">
        <v>18390</v>
      </c>
      <c r="B14606" s="4" t="s">
        <v>18393</v>
      </c>
      <c r="C14606" s="5" t="str">
        <f>IFERROR(__xludf.DUMMYFUNCTION("GOOGLETRANSLATE(B14606,""en"",""zh-CN"")"),"她绕着蘑菇移动，她刚切下。")</f>
        <v>她绕着蘑菇移动，她刚切下。</v>
      </c>
    </row>
    <row r="14607">
      <c r="A14607" s="4" t="s">
        <v>18394</v>
      </c>
      <c r="B14607" s="4" t="s">
        <v>18395</v>
      </c>
      <c r="C14607" s="5" t="str">
        <f>IFERROR(__xludf.DUMMYFUNCTION("GOOGLETRANSLATE(B14607,""en"",""zh-CN"")"),"我们看到了首发标题卡。")</f>
        <v>我们看到了首发标题卡。</v>
      </c>
    </row>
    <row r="14608">
      <c r="A14608" s="4" t="s">
        <v>18394</v>
      </c>
      <c r="B14608" s="4" t="s">
        <v>18396</v>
      </c>
      <c r="C14608" s="5" t="str">
        <f>IFERROR(__xludf.DUMMYFUNCTION("GOOGLETRANSLATE(B14608,""en"",""zh-CN"")"),"一名啦啦队长跳，一个男孩走上去谈话。")</f>
        <v>一名啦啦队长跳，一个男孩走上去谈话。</v>
      </c>
    </row>
    <row r="14609">
      <c r="A14609" s="4" t="s">
        <v>18394</v>
      </c>
      <c r="B14609" s="4" t="s">
        <v>18397</v>
      </c>
      <c r="C14609" s="5" t="str">
        <f>IFERROR(__xludf.DUMMYFUNCTION("GOOGLETRANSLATE(B14609,""en"",""zh-CN"")"),"我们看到女孩表演啦啦队长跳和手臂演习。")</f>
        <v>我们看到女孩表演啦啦队长跳和手臂演习。</v>
      </c>
    </row>
    <row r="14610">
      <c r="A14610" s="4" t="s">
        <v>18394</v>
      </c>
      <c r="B14610" s="4" t="s">
        <v>18398</v>
      </c>
      <c r="C14610" s="5" t="str">
        <f>IFERROR(__xludf.DUMMYFUNCTION("GOOGLETRANSLATE(B14610,""en"",""zh-CN"")"),"我们看到她的脚靠近。")</f>
        <v>我们看到她的脚靠近。</v>
      </c>
    </row>
    <row r="14611">
      <c r="A14611" s="4" t="s">
        <v>18394</v>
      </c>
      <c r="B14611" s="4" t="s">
        <v>18399</v>
      </c>
      <c r="C14611" s="5" t="str">
        <f>IFERROR(__xludf.DUMMYFUNCTION("GOOGLETRANSLATE(B14611,""en"",""zh-CN"")"),"女孩通过弯曲到地面而伸展，坐在地面上伸展。")</f>
        <v>女孩通过弯曲到地面而伸展，坐在地面上伸展。</v>
      </c>
    </row>
    <row r="14612">
      <c r="A14612" s="4" t="s">
        <v>18394</v>
      </c>
      <c r="B14612" s="4" t="s">
        <v>777</v>
      </c>
      <c r="C14612" s="5" t="str">
        <f>IFERROR(__xludf.DUMMYFUNCTION("GOOGLETRANSLATE(B14612,""en"",""zh-CN"")"),"我们看到结尾标题屏幕。")</f>
        <v>我们看到结尾标题屏幕。</v>
      </c>
    </row>
    <row r="14613">
      <c r="A14613" s="4" t="s">
        <v>18400</v>
      </c>
      <c r="B14613" s="4" t="s">
        <v>18401</v>
      </c>
      <c r="C14613" s="5" t="str">
        <f>IFERROR(__xludf.DUMMYFUNCTION("GOOGLETRANSLATE(B14613,""en"",""zh-CN"")"),"这位长长的金发的年轻女子表现出手术中有几种疤痕的手腕。")</f>
        <v>这位长长的金发的年轻女子表现出手术中有几种疤痕的手腕。</v>
      </c>
    </row>
    <row r="14614">
      <c r="A14614" s="4" t="s">
        <v>18400</v>
      </c>
      <c r="B14614" s="4" t="s">
        <v>18402</v>
      </c>
      <c r="C14614" s="5" t="str">
        <f>IFERROR(__xludf.DUMMYFUNCTION("GOOGLETRANSLATE(B14614,""en"",""zh-CN"")"),"然后，她拿起霓虹绿色的呼啦圈，并在她的身体上旋转。")</f>
        <v>然后，她拿起霓虹绿色的呼啦圈，并在她的身体上旋转。</v>
      </c>
    </row>
    <row r="14615">
      <c r="A14615" s="4" t="s">
        <v>18400</v>
      </c>
      <c r="B14615" s="6" t="s">
        <v>18403</v>
      </c>
      <c r="C14615" s="5" t="str">
        <f>IFERROR(__xludf.DUMMYFUNCTION("GOOGLETRANSLATE(B14615,""en"",""zh-CN"")"),"她演示了如何通过将箍朝胸部抬起来有效地使用呼啦圈。")</f>
        <v>她演示了如何通过将箍朝胸部抬起来有效地使用呼啦圈。</v>
      </c>
    </row>
    <row r="14616">
      <c r="A14616" s="4" t="s">
        <v>18400</v>
      </c>
      <c r="B14616" s="4" t="s">
        <v>18404</v>
      </c>
      <c r="C14616" s="5" t="str">
        <f>IFERROR(__xludf.DUMMYFUNCTION("GOOGLETRANSLATE(B14616,""en"",""zh-CN"")"),"然后她开始用箍上的箍旋转。")</f>
        <v>然后她开始用箍上的箍旋转。</v>
      </c>
    </row>
    <row r="14617">
      <c r="A14617" s="4" t="s">
        <v>18400</v>
      </c>
      <c r="B14617" s="4" t="s">
        <v>18405</v>
      </c>
      <c r="C14617" s="5" t="str">
        <f>IFERROR(__xludf.DUMMYFUNCTION("GOOGLETRANSLATE(B14617,""en"",""zh-CN"")"),"她展示了如何旋转箍并将箍旋转在她的身体周围而不掉下。")</f>
        <v>她展示了如何旋转箍并将箍旋转在她的身体周围而不掉下。</v>
      </c>
    </row>
    <row r="14618">
      <c r="A14618" s="4" t="s">
        <v>18400</v>
      </c>
      <c r="B14618" s="6" t="s">
        <v>18406</v>
      </c>
      <c r="C14618" s="5" t="str">
        <f>IFERROR(__xludf.DUMMYFUNCTION("GOOGLETRANSLATE(B14618,""en"",""zh-CN"")"),"她继续展示如何将双手放在身体旁边正确旋转和旋转箍。")</f>
        <v>她继续展示如何将双手放在身体旁边正确旋转和旋转箍。</v>
      </c>
    </row>
    <row r="14619">
      <c r="A14619" s="4" t="s">
        <v>18400</v>
      </c>
      <c r="B14619" s="4" t="s">
        <v>18407</v>
      </c>
      <c r="C14619" s="5" t="str">
        <f>IFERROR(__xludf.DUMMYFUNCTION("GOOGLETRANSLATE(B14619,""en"",""zh-CN"")"),"然后她停下来并旋转手中的箍。")</f>
        <v>然后她停下来并旋转手中的箍。</v>
      </c>
    </row>
    <row r="14620">
      <c r="A14620" s="4" t="s">
        <v>18408</v>
      </c>
      <c r="B14620" s="4" t="s">
        <v>18409</v>
      </c>
      <c r="C14620" s="5" t="str">
        <f>IFERROR(__xludf.DUMMYFUNCTION("GOOGLETRANSLATE(B14620,""en"",""zh-CN"")"),"一个人正在焊接圆形金属件。")</f>
        <v>一个人正在焊接圆形金属件。</v>
      </c>
    </row>
    <row r="14621">
      <c r="A14621" s="4" t="s">
        <v>18408</v>
      </c>
      <c r="B14621" s="4" t="s">
        <v>18410</v>
      </c>
      <c r="C14621" s="5" t="str">
        <f>IFERROR(__xludf.DUMMYFUNCTION("GOOGLETRANSLATE(B14621,""en"",""zh-CN"")"),"没有什么地方出现绿灯。")</f>
        <v>没有什么地方出现绿灯。</v>
      </c>
    </row>
    <row r="14622">
      <c r="A14622" s="4" t="s">
        <v>18408</v>
      </c>
      <c r="B14622" s="4" t="s">
        <v>18411</v>
      </c>
      <c r="C14622" s="5" t="str">
        <f>IFERROR(__xludf.DUMMYFUNCTION("GOOGLETRANSLATE(B14622,""en"",""zh-CN"")"),"该男子继续焊接圆形金属件。")</f>
        <v>该男子继续焊接圆形金属件。</v>
      </c>
    </row>
    <row r="14623">
      <c r="A14623" s="4" t="s">
        <v>18412</v>
      </c>
      <c r="B14623" s="6" t="s">
        <v>18413</v>
      </c>
      <c r="C14623" s="5" t="str">
        <f>IFERROR(__xludf.DUMMYFUNCTION("GOOGLETRANSLATE(B14623,""en"",""zh-CN"")"),"一只黑白狗在狗公园里，主人在看着他时弯下腰并在狗前移动。")</f>
        <v>一只黑白狗在狗公园里，主人在看着他时弯下腰并在狗前移动。</v>
      </c>
    </row>
    <row r="14624">
      <c r="A14624" s="4" t="s">
        <v>18412</v>
      </c>
      <c r="B14624" s="6" t="s">
        <v>18414</v>
      </c>
      <c r="C14624" s="5" t="str">
        <f>IFERROR(__xludf.DUMMYFUNCTION("GOOGLETRANSLATE(B14624,""en"",""zh-CN"")"),"然后，主人更多地走进握在菜鸟上的草中，不仅被黑白狗加入，而且还有另一只棕色和白色的狗。")</f>
        <v>然后，主人更多地走进握在菜鸟上的草中，不仅被黑白狗加入，而且还有另一只棕色和白色的狗。</v>
      </c>
    </row>
    <row r="14625">
      <c r="A14625" s="4" t="s">
        <v>18412</v>
      </c>
      <c r="B14625" s="6" t="s">
        <v>18415</v>
      </c>
      <c r="C14625" s="5" t="str">
        <f>IFERROR(__xludf.DUMMYFUNCTION("GOOGLETRANSLATE(B14625,""en"",""zh-CN"")"),"该男子开始将飞盘扔在空中，狗转过身来抓住它们，并做技巧，甚至包括跳上男人的背上。")</f>
        <v>该男子开始将飞盘扔在空中，狗转过身来抓住它们，并做技巧，甚至包括跳上男人的背上。</v>
      </c>
    </row>
    <row r="14626">
      <c r="A14626" s="4" t="s">
        <v>18416</v>
      </c>
      <c r="B14626" s="4" t="s">
        <v>18417</v>
      </c>
      <c r="C14626" s="5" t="str">
        <f>IFERROR(__xludf.DUMMYFUNCTION("GOOGLETRANSLATE(B14626,""en"",""zh-CN"")"),"人们在田野里骑马。")</f>
        <v>人们在田野里骑马。</v>
      </c>
    </row>
    <row r="14627">
      <c r="A14627" s="4" t="s">
        <v>18416</v>
      </c>
      <c r="B14627" s="4" t="s">
        <v>18418</v>
      </c>
      <c r="C14627" s="5" t="str">
        <f>IFERROR(__xludf.DUMMYFUNCTION("GOOGLETRANSLATE(B14627,""en"",""zh-CN"")"),"他们在马上玩马球。")</f>
        <v>他们在马上玩马球。</v>
      </c>
    </row>
    <row r="14628">
      <c r="A14628" s="4" t="s">
        <v>18416</v>
      </c>
      <c r="B14628" s="4" t="s">
        <v>18419</v>
      </c>
      <c r="C14628" s="5" t="str">
        <f>IFERROR(__xludf.DUMMYFUNCTION("GOOGLETRANSLATE(B14628,""en"",""zh-CN"")"),"站在场边的人挥舞着白旗。")</f>
        <v>站在场边的人挥舞着白旗。</v>
      </c>
    </row>
    <row r="14629">
      <c r="A14629" s="4" t="s">
        <v>18420</v>
      </c>
      <c r="B14629" s="4" t="s">
        <v>18421</v>
      </c>
      <c r="C14629" s="5" t="str">
        <f>IFERROR(__xludf.DUMMYFUNCTION("GOOGLETRANSLATE(B14629,""en"",""zh-CN"")"),"两个女孩走到游泳池，准备潜水。")</f>
        <v>两个女孩走到游泳池，准备潜水。</v>
      </c>
    </row>
    <row r="14630">
      <c r="A14630" s="4" t="s">
        <v>18420</v>
      </c>
      <c r="B14630" s="4" t="s">
        <v>18422</v>
      </c>
      <c r="C14630" s="5" t="str">
        <f>IFERROR(__xludf.DUMMYFUNCTION("GOOGLETRANSLATE(B14630,""en"",""zh-CN"")"),"其中一个将手臂抬高到空中，然后在浮出水面前潜入水中。")</f>
        <v>其中一个将手臂抬高到空中，然后在浮出水面前潜入水中。</v>
      </c>
    </row>
    <row r="14631">
      <c r="A14631" s="4" t="s">
        <v>18423</v>
      </c>
      <c r="B14631" s="4" t="s">
        <v>18424</v>
      </c>
      <c r="C14631" s="5" t="str">
        <f>IFERROR(__xludf.DUMMYFUNCTION("GOOGLETRANSLATE(B14631,""en"",""zh-CN"")"),"将焊接工具应用于表面。")</f>
        <v>将焊接工具应用于表面。</v>
      </c>
    </row>
    <row r="14632">
      <c r="A14632" s="4" t="s">
        <v>18423</v>
      </c>
      <c r="B14632" s="4" t="s">
        <v>18425</v>
      </c>
      <c r="C14632" s="5" t="str">
        <f>IFERROR(__xludf.DUMMYFUNCTION("GOOGLETRANSLATE(B14632,""en"",""zh-CN"")"),"一个持有焊接工具的人戴着头盔。")</f>
        <v>一个持有焊接工具的人戴着头盔。</v>
      </c>
    </row>
    <row r="14633">
      <c r="A14633" s="4" t="s">
        <v>18423</v>
      </c>
      <c r="B14633" s="4" t="s">
        <v>18426</v>
      </c>
      <c r="C14633" s="5" t="str">
        <f>IFERROR(__xludf.DUMMYFUNCTION("GOOGLETRANSLATE(B14633,""en"",""zh-CN"")"),"两只手套的手正在使用焊接枪并粘在物体上。")</f>
        <v>两只手套的手正在使用焊接枪并粘在物体上。</v>
      </c>
    </row>
    <row r="14634">
      <c r="A14634" s="4" t="s">
        <v>18427</v>
      </c>
      <c r="B14634" s="4" t="s">
        <v>18428</v>
      </c>
      <c r="C14634" s="5" t="str">
        <f>IFERROR(__xludf.DUMMYFUNCTION("GOOGLETRANSLATE(B14634,""en"",""zh-CN"")"),"一个男人穿着深色中世纪的盔甲。")</f>
        <v>一个男人穿着深色中世纪的盔甲。</v>
      </c>
    </row>
    <row r="14635">
      <c r="A14635" s="4" t="s">
        <v>18427</v>
      </c>
      <c r="B14635" s="6" t="s">
        <v>18429</v>
      </c>
      <c r="C14635" s="5" t="str">
        <f>IFERROR(__xludf.DUMMYFUNCTION("GOOGLETRANSLATE(B14635,""en"",""zh-CN"")"),"几个穿着不同种类的盔甲和握住各种盾牌的人的实例正在互相抗衡。")</f>
        <v>几个穿着不同种类的盔甲和握住各种盾牌的人的实例正在互相抗衡。</v>
      </c>
    </row>
    <row r="14636">
      <c r="A14636" s="4" t="s">
        <v>18427</v>
      </c>
      <c r="B14636" s="6" t="s">
        <v>18430</v>
      </c>
      <c r="C14636" s="5" t="str">
        <f>IFERROR(__xludf.DUMMYFUNCTION("GOOGLETRANSLATE(B14636,""en"",""zh-CN"")"),"最终，当他摔倒在地面并刺伤后面时，戴着圆形盾牌的人被击败。")</f>
        <v>最终，当他摔倒在地面并刺伤后面时，戴着圆形盾牌的人被击败。</v>
      </c>
    </row>
    <row r="14637">
      <c r="A14637" s="4" t="s">
        <v>18427</v>
      </c>
      <c r="B14637" s="4" t="s">
        <v>18431</v>
      </c>
      <c r="C14637" s="5" t="str">
        <f>IFERROR(__xludf.DUMMYFUNCTION("GOOGLETRANSLATE(B14637,""en"",""zh-CN"")"),"现在，获胜者对抗一个携带蓝色钻石形盾牌的男子。")</f>
        <v>现在，获胜者对抗一个携带蓝色钻石形盾牌的男子。</v>
      </c>
    </row>
    <row r="14638">
      <c r="A14638" s="4" t="s">
        <v>18427</v>
      </c>
      <c r="B14638" s="6" t="s">
        <v>18432</v>
      </c>
      <c r="C14638" s="5" t="str">
        <f>IFERROR(__xludf.DUMMYFUNCTION("GOOGLETRANSLATE(B14638,""en"",""zh-CN"")"),"他们几次撞击，但是当他的头部和胸部被击中并落在另一个战士的膝盖上时，他的蓝盾男子被击败。")</f>
        <v>他们几次撞击，但是当他的头部和胸部被击中并落在另一个战士的膝盖上时，他的蓝盾男子被击败。</v>
      </c>
    </row>
    <row r="14639">
      <c r="A14639" s="4" t="s">
        <v>18427</v>
      </c>
      <c r="B14639" s="4" t="s">
        <v>18433</v>
      </c>
      <c r="C14639" s="5" t="str">
        <f>IFERROR(__xludf.DUMMYFUNCTION("GOOGLETRANSLATE(B14639,""en"",""zh-CN"")"),"展示了幸存的战士的特写，对他的胜利显然感到满意。")</f>
        <v>展示了幸存的战士的特写，对他的胜利显然感到满意。</v>
      </c>
    </row>
    <row r="14640">
      <c r="A14640" s="4" t="s">
        <v>18434</v>
      </c>
      <c r="B14640" s="4" t="s">
        <v>18435</v>
      </c>
      <c r="C14640" s="5" t="str">
        <f>IFERROR(__xludf.DUMMYFUNCTION("GOOGLETRANSLATE(B14640,""en"",""zh-CN"")"),"该视频从标题序列和徽标开始。")</f>
        <v>该视频从标题序列和徽标开始。</v>
      </c>
    </row>
    <row r="14641">
      <c r="A14641" s="4" t="s">
        <v>18434</v>
      </c>
      <c r="B14641" s="4" t="s">
        <v>18436</v>
      </c>
      <c r="C14641" s="5" t="str">
        <f>IFERROR(__xludf.DUMMYFUNCTION("GOOGLETRANSLATE(B14641,""en"",""zh-CN"")"),"几个片段开始与观众一起玩排球场。")</f>
        <v>几个片段开始与观众一起玩排球场。</v>
      </c>
    </row>
    <row r="14642">
      <c r="A14642" s="4" t="s">
        <v>18434</v>
      </c>
      <c r="B14642" s="4" t="s">
        <v>18437</v>
      </c>
      <c r="C14642" s="5" t="str">
        <f>IFERROR(__xludf.DUMMYFUNCTION("GOOGLETRANSLATE(B14642,""en"",""zh-CN"")"),"第一个剪辑显示了玩家庆祝的。")</f>
        <v>第一个剪辑显示了玩家庆祝的。</v>
      </c>
    </row>
    <row r="14643">
      <c r="A14643" s="4" t="s">
        <v>18434</v>
      </c>
      <c r="B14643" s="4" t="s">
        <v>18438</v>
      </c>
      <c r="C14643" s="5" t="str">
        <f>IFERROR(__xludf.DUMMYFUNCTION("GOOGLETRANSLATE(B14643,""en"",""zh-CN"")"),"该视频转移到了乐队的成员身上。")</f>
        <v>该视频转移到了乐队的成员身上。</v>
      </c>
    </row>
    <row r="14644">
      <c r="A14644" s="4" t="s">
        <v>18434</v>
      </c>
      <c r="B14644" s="4" t="s">
        <v>18439</v>
      </c>
      <c r="C14644" s="5" t="str">
        <f>IFERROR(__xludf.DUMMYFUNCTION("GOOGLETRANSLATE(B14644,""en"",""zh-CN"")"),"然后，它继续显示出打排球的男人的剪辑。")</f>
        <v>然后，它继续显示出打排球的男人的剪辑。</v>
      </c>
    </row>
    <row r="14645">
      <c r="A14645" s="4" t="s">
        <v>18434</v>
      </c>
      <c r="B14645" s="4" t="s">
        <v>18440</v>
      </c>
      <c r="C14645" s="5" t="str">
        <f>IFERROR(__xludf.DUMMYFUNCTION("GOOGLETRANSLATE(B14645,""en"",""zh-CN"")"),"视频以观众的特写和标题序列结尾。")</f>
        <v>视频以观众的特写和标题序列结尾。</v>
      </c>
    </row>
    <row r="14646">
      <c r="A14646" s="4" t="s">
        <v>18441</v>
      </c>
      <c r="B14646" s="4" t="s">
        <v>18442</v>
      </c>
      <c r="C14646" s="5" t="str">
        <f>IFERROR(__xludf.DUMMYFUNCTION("GOOGLETRANSLATE(B14646,""en"",""zh-CN"")"),"人们开始潜入一个空的游泳池，您会在水下看到它们。")</f>
        <v>人们开始潜入一个空的游泳池，您会在水下看到它们。</v>
      </c>
    </row>
    <row r="14647">
      <c r="A14647" s="4" t="s">
        <v>18441</v>
      </c>
      <c r="B14647" s="4" t="s">
        <v>18443</v>
      </c>
      <c r="C14647" s="5" t="str">
        <f>IFERROR(__xludf.DUMMYFUNCTION("GOOGLETRANSLATE(B14647,""en"",""zh-CN"")"),"然后，在潜水板上的上方有两个游泳者站在旁边，其中一个人潜入其中。")</f>
        <v>然后，在潜水板上的上方有两个游泳者站在旁边，其中一个人潜入其中。</v>
      </c>
    </row>
    <row r="14648">
      <c r="A14648" s="4" t="s">
        <v>18441</v>
      </c>
      <c r="B14648" s="6" t="s">
        <v>18444</v>
      </c>
      <c r="C14648" s="5" t="str">
        <f>IFERROR(__xludf.DUMMYFUNCTION("GOOGLETRANSLATE(B14648,""en"",""zh-CN"")"),"一群拿着相机电影的孩子自己跳入并进行酷炫的技巧并翻转游泳池。")</f>
        <v>一群拿着相机电影的孩子自己跳入并进行酷炫的技巧并翻转游泳池。</v>
      </c>
    </row>
    <row r="14649">
      <c r="A14649" s="4" t="s">
        <v>18441</v>
      </c>
      <c r="B14649" s="6" t="s">
        <v>18445</v>
      </c>
      <c r="C14649" s="5" t="str">
        <f>IFERROR(__xludf.DUMMYFUNCTION("GOOGLETRANSLATE(B14649,""en"",""zh-CN"")"),"从高度上方，他们从顶部到水的景色，一旦进入水游泳。")</f>
        <v>从高度上方，他们从顶部到水的景色，一旦进入水游泳。</v>
      </c>
    </row>
    <row r="14650">
      <c r="A14650" s="4" t="s">
        <v>18446</v>
      </c>
      <c r="B14650" s="4" t="s">
        <v>18447</v>
      </c>
      <c r="C14650" s="5" t="str">
        <f>IFERROR(__xludf.DUMMYFUNCTION("GOOGLETRANSLATE(B14650,""en"",""zh-CN"")"),"两名摔跤妇女在戒指上战斗。")</f>
        <v>两名摔跤妇女在戒指上战斗。</v>
      </c>
    </row>
    <row r="14651">
      <c r="A14651" s="4" t="s">
        <v>18446</v>
      </c>
      <c r="B14651" s="4" t="s">
        <v>18448</v>
      </c>
      <c r="C14651" s="5" t="str">
        <f>IFERROR(__xludf.DUMMYFUNCTION("GOOGLETRANSLATE(B14651,""en"",""zh-CN"")"),"他们做一个suplex，裁判员算是三头妇女获胜。")</f>
        <v>他们做一个suplex，裁判员算是三头妇女获胜。</v>
      </c>
    </row>
    <row r="14652">
      <c r="A14652" s="4" t="s">
        <v>18449</v>
      </c>
      <c r="B14652" s="4" t="s">
        <v>18450</v>
      </c>
      <c r="C14652" s="5" t="str">
        <f>IFERROR(__xludf.DUMMYFUNCTION("GOOGLETRANSLATE(B14652,""en"",""zh-CN"")"),"一群男孩在球场上打球。")</f>
        <v>一群男孩在球场上打球。</v>
      </c>
    </row>
    <row r="14653">
      <c r="A14653" s="4" t="s">
        <v>18449</v>
      </c>
      <c r="B14653" s="4" t="s">
        <v>18451</v>
      </c>
      <c r="C14653" s="5" t="str">
        <f>IFERROR(__xludf.DUMMYFUNCTION("GOOGLETRANSLATE(B14653,""en"",""zh-CN"")"),"他们受到教练的指导。")</f>
        <v>他们受到教练的指导。</v>
      </c>
    </row>
    <row r="14654">
      <c r="A14654" s="4" t="s">
        <v>18449</v>
      </c>
      <c r="B14654" s="4" t="s">
        <v>18452</v>
      </c>
      <c r="C14654" s="5" t="str">
        <f>IFERROR(__xludf.DUMMYFUNCTION("GOOGLETRANSLATE(B14654,""en"",""zh-CN"")"),"他们用球奔跑，试图做篮子。")</f>
        <v>他们用球奔跑，试图做篮子。</v>
      </c>
    </row>
    <row r="14655">
      <c r="A14655" s="4" t="s">
        <v>18453</v>
      </c>
      <c r="B14655" s="4" t="s">
        <v>18454</v>
      </c>
      <c r="C14655" s="5" t="str">
        <f>IFERROR(__xludf.DUMMYFUNCTION("GOOGLETRANSLATE(B14655,""en"",""zh-CN"")"),"一只手用水装满杯子。")</f>
        <v>一只手用水装满杯子。</v>
      </c>
    </row>
    <row r="14656">
      <c r="A14656" s="4" t="s">
        <v>18453</v>
      </c>
      <c r="B14656" s="4" t="s">
        <v>18455</v>
      </c>
      <c r="C14656" s="5" t="str">
        <f>IFERROR(__xludf.DUMMYFUNCTION("GOOGLETRANSLATE(B14656,""en"",""zh-CN"")"),"一个女人在柜台上戴了两杯眼镜。")</f>
        <v>一个女人在柜台上戴了两杯眼镜。</v>
      </c>
    </row>
    <row r="14657">
      <c r="A14657" s="4" t="s">
        <v>18453</v>
      </c>
      <c r="B14657" s="4" t="s">
        <v>18456</v>
      </c>
      <c r="C14657" s="5" t="str">
        <f>IFERROR(__xludf.DUMMYFUNCTION("GOOGLETRANSLATE(B14657,""en"",""zh-CN"")"),"那个女人将啤酒和橙汁放在大玻璃杯中，然后将酒倒在小玻璃杯中。")</f>
        <v>那个女人将啤酒和橙汁放在大玻璃杯中，然后将酒倒在小玻璃杯中。</v>
      </c>
    </row>
    <row r="14658">
      <c r="A14658" s="4" t="s">
        <v>18453</v>
      </c>
      <c r="B14658" s="4" t="s">
        <v>18457</v>
      </c>
      <c r="C14658" s="5" t="str">
        <f>IFERROR(__xludf.DUMMYFUNCTION("GOOGLETRANSLATE(B14658,""en"",""zh-CN"")"),"之后，女人将小玻璃杯放在大玻璃杯内。")</f>
        <v>之后，女人将小玻璃杯放在大玻璃杯内。</v>
      </c>
    </row>
    <row r="14659">
      <c r="A14659" s="4" t="s">
        <v>18458</v>
      </c>
      <c r="B14659" s="4" t="s">
        <v>18459</v>
      </c>
      <c r="C14659" s="5" t="str">
        <f>IFERROR(__xludf.DUMMYFUNCTION("GOOGLETRANSLATE(B14659,""en"",""zh-CN"")"),"显示了一个大浪，后面是一个站在冲浪板上的人。")</f>
        <v>显示了一个大浪，后面是一个站在冲浪板上的人。</v>
      </c>
    </row>
    <row r="14660">
      <c r="A14660" s="4" t="s">
        <v>18458</v>
      </c>
      <c r="B14660" s="4" t="s">
        <v>18460</v>
      </c>
      <c r="C14660" s="5" t="str">
        <f>IFERROR(__xludf.DUMMYFUNCTION("GOOGLETRANSLATE(B14660,""en"",""zh-CN"")"),"当摄像机从后面拍摄时，该人都沿着水面冲浪。")</f>
        <v>当摄像机从后面拍摄时，该人都沿着水面冲浪。</v>
      </c>
    </row>
    <row r="14661">
      <c r="A14661" s="4" t="s">
        <v>18458</v>
      </c>
      <c r="B14661" s="4" t="s">
        <v>18461</v>
      </c>
      <c r="C14661" s="5" t="str">
        <f>IFERROR(__xludf.DUMMYFUNCTION("GOOGLETRANSLATE(B14661,""en"",""zh-CN"")"),"该男子继续冲浪，向船划水。")</f>
        <v>该男子继续冲浪，向船划水。</v>
      </c>
    </row>
    <row r="14662">
      <c r="A14662" s="4" t="s">
        <v>18462</v>
      </c>
      <c r="B14662" s="4" t="s">
        <v>18463</v>
      </c>
      <c r="C14662" s="5" t="str">
        <f>IFERROR(__xludf.DUMMYFUNCTION("GOOGLETRANSLATE(B14662,""en"",""zh-CN"")"),"一个穿着红色衬衫的男人在草坪周围驾驶橙色拖拉机。")</f>
        <v>一个穿着红色衬衫的男人在草坪周围驾驶橙色拖拉机。</v>
      </c>
    </row>
    <row r="14663">
      <c r="A14663" s="4" t="s">
        <v>18462</v>
      </c>
      <c r="B14663" s="4" t="s">
        <v>18464</v>
      </c>
      <c r="C14663" s="5" t="str">
        <f>IFERROR(__xludf.DUMMYFUNCTION("GOOGLETRANSLATE(B14663,""en"",""zh-CN"")"),"一只狗在院子里奔跑。")</f>
        <v>一只狗在院子里奔跑。</v>
      </c>
    </row>
    <row r="14664">
      <c r="A14664" s="4" t="s">
        <v>18462</v>
      </c>
      <c r="B14664" s="4" t="s">
        <v>18465</v>
      </c>
      <c r="C14664" s="5" t="str">
        <f>IFERROR(__xludf.DUMMYFUNCTION("GOOGLETRANSLATE(B14664,""en"",""zh-CN"")"),"一个女人开着橙色的拖拉机。")</f>
        <v>一个女人开着橙色的拖拉机。</v>
      </c>
    </row>
    <row r="14665">
      <c r="A14665" s="4" t="s">
        <v>18466</v>
      </c>
      <c r="B14665" s="4" t="s">
        <v>18467</v>
      </c>
      <c r="C14665" s="5" t="str">
        <f>IFERROR(__xludf.DUMMYFUNCTION("GOOGLETRANSLATE(B14665,""en"",""zh-CN"")"),"看到两个女人在舞台上行走，并带领他们表演肚皮舞的例行活动。")</f>
        <v>看到两个女人在舞台上行走，并带领他们表演肚皮舞的例行活动。</v>
      </c>
    </row>
    <row r="14666">
      <c r="A14666" s="4" t="s">
        <v>18466</v>
      </c>
      <c r="B14666" s="4" t="s">
        <v>18468</v>
      </c>
      <c r="C14666" s="5" t="str">
        <f>IFERROR(__xludf.DUMMYFUNCTION("GOOGLETRANSLATE(B14666,""en"",""zh-CN"")"),"女人在舞台周围跳舞，灯光闪烁。")</f>
        <v>女人在舞台周围跳舞，灯光闪烁。</v>
      </c>
    </row>
    <row r="14667">
      <c r="A14667" s="4" t="s">
        <v>18466</v>
      </c>
      <c r="B14667" s="4" t="s">
        <v>18469</v>
      </c>
      <c r="C14667" s="5" t="str">
        <f>IFERROR(__xludf.DUMMYFUNCTION("GOOGLETRANSLATE(B14667,""en"",""zh-CN"")"),"女人们继续互相跳舞，结束时彼此笑。")</f>
        <v>女人们继续互相跳舞，结束时彼此笑。</v>
      </c>
    </row>
    <row r="14668">
      <c r="A14668" s="4" t="s">
        <v>18470</v>
      </c>
      <c r="B14668" s="4" t="s">
        <v>18471</v>
      </c>
      <c r="C14668" s="5" t="str">
        <f>IFERROR(__xludf.DUMMYFUNCTION("GOOGLETRANSLATE(B14668,""en"",""zh-CN"")"),"一个新闻女人正在和镜头说话。")</f>
        <v>一个新闻女人正在和镜头说话。</v>
      </c>
    </row>
    <row r="14669">
      <c r="A14669" s="4" t="s">
        <v>18470</v>
      </c>
      <c r="B14669" s="4" t="s">
        <v>18472</v>
      </c>
      <c r="C14669" s="5" t="str">
        <f>IFERROR(__xludf.DUMMYFUNCTION("GOOGLETRANSLATE(B14669,""en"",""zh-CN"")"),"她与一个也是新闻报道的男人进行了交谈。")</f>
        <v>她与一个也是新闻报道的男人进行了交谈。</v>
      </c>
    </row>
    <row r="14670">
      <c r="A14670" s="4" t="s">
        <v>18470</v>
      </c>
      <c r="B14670" s="4" t="s">
        <v>18473</v>
      </c>
      <c r="C14670" s="5" t="str">
        <f>IFERROR(__xludf.DUMMYFUNCTION("GOOGLETRANSLATE(B14670,""en"",""zh-CN"")"),"手工模具的图像显示在背景中。")</f>
        <v>手工模具的图像显示在背景中。</v>
      </c>
    </row>
    <row r="14671">
      <c r="A14671" s="4" t="s">
        <v>18474</v>
      </c>
      <c r="B14671" s="6" t="s">
        <v>18475</v>
      </c>
      <c r="C14671" s="5" t="str">
        <f>IFERROR(__xludf.DUMMYFUNCTION("GOOGLETRANSLATE(B14671,""en"",""zh-CN"")"),"出现了一个黑屏，上面有白色的单词，上面写着“罗布·莱恩是百万富翁的人”。")</f>
        <v>出现了一个黑屏，上面有白色的单词，上面写着“罗布·莱恩是百万富翁的人”。</v>
      </c>
    </row>
    <row r="14672">
      <c r="A14672" s="4" t="s">
        <v>18474</v>
      </c>
      <c r="B14672" s="6" t="s">
        <v>18476</v>
      </c>
      <c r="C14672" s="5" t="str">
        <f>IFERROR(__xludf.DUMMYFUNCTION("GOOGLETRANSLATE(B14672,""en"",""zh-CN"")"),"一个戴着眼镜的男人在围栏前户外出现，他拿着一台空气刷机说话。")</f>
        <v>一个戴着眼镜的男人在围栏前户外出现，他拿着一台空气刷机说话。</v>
      </c>
    </row>
    <row r="14673">
      <c r="A14673" s="4" t="s">
        <v>18474</v>
      </c>
      <c r="B14673" s="4" t="s">
        <v>18477</v>
      </c>
      <c r="C14673" s="5" t="str">
        <f>IFERROR(__xludf.DUMMYFUNCTION("GOOGLETRANSLATE(B14673,""en"",""zh-CN"")"),"然后，那个男人转身走到篱笆上，开始喷枪。")</f>
        <v>然后，那个男人转身走到篱笆上，开始喷枪。</v>
      </c>
    </row>
    <row r="14674">
      <c r="A14674" s="4" t="s">
        <v>18474</v>
      </c>
      <c r="B14674" s="6" t="s">
        <v>18478</v>
      </c>
      <c r="C14674" s="5" t="str">
        <f>IFERROR(__xludf.DUMMYFUNCTION("GOOGLETRANSLATE(B14674,""en"",""zh-CN"")"),"该男子停止喷枪，并在手动到栅栏和这台喷枪机器时再次开始交谈。")</f>
        <v>该男子停止喷枪，并在手动到栅栏和这台喷枪机器时再次开始交谈。</v>
      </c>
    </row>
    <row r="14675">
      <c r="A14675" s="4" t="s">
        <v>18479</v>
      </c>
      <c r="B14675" s="4" t="s">
        <v>18480</v>
      </c>
      <c r="C14675" s="5" t="str">
        <f>IFERROR(__xludf.DUMMYFUNCTION("GOOGLETRANSLATE(B14675,""en"",""zh-CN"")"),"看到一个女人在相机上说话，而一张小的春场桌子坐在她面前。")</f>
        <v>看到一个女人在相机上说话，而一张小的春场桌子坐在她面前。</v>
      </c>
    </row>
    <row r="14676">
      <c r="A14676" s="4" t="s">
        <v>18479</v>
      </c>
      <c r="B14676" s="6" t="s">
        <v>18481</v>
      </c>
      <c r="C14676" s="5" t="str">
        <f>IFERROR(__xludf.DUMMYFUNCTION("GOOGLETRANSLATE(B14676,""en"",""zh-CN"")"),"当她偶尔在比赛周围旋转时，这个女人继续讲话，并与另一个女孩一起玩。")</f>
        <v>当她偶尔在比赛周围旋转时，这个女人继续讲话，并与另一个女孩一起玩。</v>
      </c>
    </row>
    <row r="14677">
      <c r="A14677" s="4" t="s">
        <v>18482</v>
      </c>
      <c r="B14677" s="4" t="s">
        <v>18483</v>
      </c>
      <c r="C14677" s="5" t="str">
        <f>IFERROR(__xludf.DUMMYFUNCTION("GOOGLETRANSLATE(B14677,""en"",""zh-CN"")"),"屏幕上出现了一个哑铃，上面覆盖着“催化剂田径”一词。")</f>
        <v>屏幕上出现了一个哑铃，上面覆盖着“催化剂田径”一词。</v>
      </c>
    </row>
    <row r="14678">
      <c r="A14678" s="4" t="s">
        <v>18482</v>
      </c>
      <c r="B14678" s="4" t="s">
        <v>18484</v>
      </c>
      <c r="C14678" s="5" t="str">
        <f>IFERROR(__xludf.DUMMYFUNCTION("GOOGLETRANSLATE(B14678,""en"",""zh-CN"")"),"一个男人在健身房里举起重物。")</f>
        <v>一个男人在健身房里举起重物。</v>
      </c>
    </row>
    <row r="14679">
      <c r="A14679" s="4" t="s">
        <v>18482</v>
      </c>
      <c r="B14679" s="4" t="s">
        <v>18485</v>
      </c>
      <c r="C14679" s="5" t="str">
        <f>IFERROR(__xludf.DUMMYFUNCTION("GOOGLETRANSLATE(B14679,""en"",""zh-CN"")"),"然后，一个女人将重物抬起头顶。")</f>
        <v>然后，一个女人将重物抬起头顶。</v>
      </c>
    </row>
    <row r="14680">
      <c r="A14680" s="4" t="s">
        <v>18482</v>
      </c>
      <c r="B14680" s="4" t="s">
        <v>18486</v>
      </c>
      <c r="C14680" s="5" t="str">
        <f>IFERROR(__xludf.DUMMYFUNCTION("GOOGLETRANSLATE(B14680,""en"",""zh-CN"")"),"具有社交媒体链接的“ Catalyst Athletics”徽标。")</f>
        <v>具有社交媒体链接的“ Catalyst Athletics”徽标。</v>
      </c>
    </row>
    <row r="14681">
      <c r="A14681" s="4" t="s">
        <v>18487</v>
      </c>
      <c r="B14681" s="4" t="s">
        <v>18488</v>
      </c>
      <c r="C14681" s="5" t="str">
        <f>IFERROR(__xludf.DUMMYFUNCTION("GOOGLETRANSLATE(B14681,""en"",""zh-CN"")"),"一个男孩在潜水板的尽头保持平衡。")</f>
        <v>一个男孩在潜水板的尽头保持平衡。</v>
      </c>
    </row>
    <row r="14682">
      <c r="A14682" s="4" t="s">
        <v>18487</v>
      </c>
      <c r="B14682" s="4" t="s">
        <v>18489</v>
      </c>
      <c r="C14682" s="5" t="str">
        <f>IFERROR(__xludf.DUMMYFUNCTION("GOOGLETRANSLATE(B14682,""en"",""zh-CN"")"),"他潜入，随着他的走向向后翻转。")</f>
        <v>他潜入，随着他的走向向后翻转。</v>
      </c>
    </row>
    <row r="14683">
      <c r="A14683" s="4" t="s">
        <v>18487</v>
      </c>
      <c r="B14683" s="4" t="s">
        <v>18490</v>
      </c>
      <c r="C14683" s="5" t="str">
        <f>IFERROR(__xludf.DUMMYFUNCTION("GOOGLETRANSLATE(B14683,""en"",""zh-CN"")"),"他优雅地降落在水中。")</f>
        <v>他优雅地降落在水中。</v>
      </c>
    </row>
    <row r="14684">
      <c r="A14684" s="4" t="s">
        <v>18491</v>
      </c>
      <c r="B14684" s="6" t="s">
        <v>18492</v>
      </c>
      <c r="C14684" s="5" t="str">
        <f>IFERROR(__xludf.DUMMYFUNCTION("GOOGLETRANSLATE(B14684,""en"",""zh-CN"")"),"一个人使用课程刷和手巾准备滑雪板，以便在架子上坐在架子上。")</f>
        <v>一个人使用课程刷和手巾准备滑雪板，以便在架子上坐在架子上。</v>
      </c>
    </row>
    <row r="14685">
      <c r="A14685" s="4" t="s">
        <v>18491</v>
      </c>
      <c r="B14685" s="4" t="s">
        <v>18493</v>
      </c>
      <c r="C14685" s="5" t="str">
        <f>IFERROR(__xludf.DUMMYFUNCTION("GOOGLETRANSLATE(B14685,""en"",""zh-CN"")"),"该男子用铁在滑雪表面上融化蜡条，然后用它在蜡中混合。")</f>
        <v>该男子用铁在滑雪表面上融化蜡条，然后用它在蜡中混合。</v>
      </c>
    </row>
    <row r="14686">
      <c r="A14686" s="4" t="s">
        <v>18491</v>
      </c>
      <c r="B14686" s="4" t="s">
        <v>18494</v>
      </c>
      <c r="C14686" s="5" t="str">
        <f>IFERROR(__xludf.DUMMYFUNCTION("GOOGLETRANSLATE(B14686,""en"",""zh-CN"")"),"一个人锐化平坦的边缘，然后从滑雪板表面刮下蜡的外层。")</f>
        <v>一个人锐化平坦的边缘，然后从滑雪板表面刮下蜡的外层。</v>
      </c>
    </row>
    <row r="14687">
      <c r="A14687" s="4" t="s">
        <v>18491</v>
      </c>
      <c r="B14687" s="4" t="s">
        <v>18495</v>
      </c>
      <c r="C14687" s="5" t="str">
        <f>IFERROR(__xludf.DUMMYFUNCTION("GOOGLETRANSLATE(B14687,""en"",""zh-CN"")"),"该男子使用课程刷，然后用毛巾来制备滑雪板表面。")</f>
        <v>该男子使用课程刷，然后用毛巾来制备滑雪板表面。</v>
      </c>
    </row>
    <row r="14688">
      <c r="A14688" s="4" t="s">
        <v>18496</v>
      </c>
      <c r="B14688" s="4" t="s">
        <v>18497</v>
      </c>
      <c r="C14688" s="5" t="str">
        <f>IFERROR(__xludf.DUMMYFUNCTION("GOOGLETRANSLATE(B14688,""en"",""zh-CN"")"),"显示了一盘奶油小木屋，成分出现在小透明菜肴中。")</f>
        <v>显示了一盘奶油小木屋，成分出现在小透明菜肴中。</v>
      </c>
    </row>
    <row r="14689">
      <c r="A14689" s="4" t="s">
        <v>18496</v>
      </c>
      <c r="B14689" s="4" t="s">
        <v>18498</v>
      </c>
      <c r="C14689" s="5" t="str">
        <f>IFERROR(__xludf.DUMMYFUNCTION("GOOGLETRANSLATE(B14689,""en"",""zh-CN"")"),"然后将盐加入锅中，意大利面开始沸腾。")</f>
        <v>然后将盐加入锅中，意大利面开始沸腾。</v>
      </c>
    </row>
    <row r="14690">
      <c r="A14690" s="4" t="s">
        <v>18496</v>
      </c>
      <c r="B14690" s="4" t="s">
        <v>18499</v>
      </c>
      <c r="C14690" s="5" t="str">
        <f>IFERROR(__xludf.DUMMYFUNCTION("GOOGLETRANSLATE(B14690,""en"",""zh-CN"")"),"然后将一些油放入煎锅中，加拿大培根，洋葱被炸。")</f>
        <v>然后将一些油放入煎锅中，加拿大培根，洋葱被炸。</v>
      </c>
    </row>
    <row r="14691">
      <c r="A14691" s="4" t="s">
        <v>18496</v>
      </c>
      <c r="B14691" s="4" t="s">
        <v>18500</v>
      </c>
      <c r="C14691" s="5" t="str">
        <f>IFERROR(__xludf.DUMMYFUNCTION("GOOGLETRANSLATE(B14691,""en"",""zh-CN"")"),"接下来，添加更多的成分，面食和蛋黄。")</f>
        <v>接下来，添加更多的成分，面食和蛋黄。</v>
      </c>
    </row>
    <row r="14692">
      <c r="A14692" s="4" t="s">
        <v>18496</v>
      </c>
      <c r="B14692" s="6" t="s">
        <v>18501</v>
      </c>
      <c r="C14692" s="5" t="str">
        <f>IFERROR(__xludf.DUMMYFUNCTION("GOOGLETRANSLATE(B14692,""en"",""zh-CN"")"),"最后，将酱汁完成，并将所有成分汇总，并将奶酪添加到盘子上时，将其添加到盘子上。")</f>
        <v>最后，将酱汁完成，并将所有成分汇总，并将奶酪添加到盘子上时，将其添加到盘子上。</v>
      </c>
    </row>
    <row r="14693">
      <c r="A14693" s="4" t="s">
        <v>18496</v>
      </c>
      <c r="B14693" s="4" t="s">
        <v>18502</v>
      </c>
      <c r="C14693" s="5" t="str">
        <f>IFERROR(__xludf.DUMMYFUNCTION("GOOGLETRANSLATE(B14693,""en"",""zh-CN"")"),"之后，显示了更多的主菜，屏幕在Ulampinoy网站的URL上结束。")</f>
        <v>之后，显示了更多的主菜，屏幕在Ulampinoy网站的URL上结束。</v>
      </c>
    </row>
    <row r="14694">
      <c r="A14694" s="4" t="s">
        <v>18503</v>
      </c>
      <c r="B14694" s="6" t="s">
        <v>18504</v>
      </c>
      <c r="C14694" s="5" t="str">
        <f>IFERROR(__xludf.DUMMYFUNCTION("GOOGLETRANSLATE(B14694,""en"",""zh-CN"")"),"一名妇女演示了如何使用一个容器的粉状色素来制作许多不同的头发，指甲和脸部化妆品。")</f>
        <v>一名妇女演示了如何使用一个容器的粉状色素来制作许多不同的头发，指甲和脸部化妆品。</v>
      </c>
    </row>
    <row r="14695">
      <c r="A14695" s="4" t="s">
        <v>18503</v>
      </c>
      <c r="B14695" s="4" t="s">
        <v>18505</v>
      </c>
      <c r="C14695" s="5" t="str">
        <f>IFERROR(__xludf.DUMMYFUNCTION("GOOGLETRANSLATE(B14695,""en"",""zh-CN"")"),"一个女人在装满化妆的柜台前与相机交谈。")</f>
        <v>一个女人在装满化妆的柜台前与相机交谈。</v>
      </c>
    </row>
    <row r="14696">
      <c r="A14696" s="4" t="s">
        <v>18503</v>
      </c>
      <c r="B14696" s="6" t="s">
        <v>18506</v>
      </c>
      <c r="C14696" s="5" t="str">
        <f>IFERROR(__xludf.DUMMYFUNCTION("GOOGLETRANSLATE(B14696,""en"",""zh-CN"")"),"相机显示出不同的化妆品，并在削减女人说话之间，并带有随附的描述卡。")</f>
        <v>相机显示出不同的化妆品，并在削减女人说话之间，并带有随附的描述卡。</v>
      </c>
    </row>
    <row r="14697">
      <c r="A14697" s="4" t="s">
        <v>18503</v>
      </c>
      <c r="B14697" s="6" t="s">
        <v>18507</v>
      </c>
      <c r="C14697" s="5" t="str">
        <f>IFERROR(__xludf.DUMMYFUNCTION("GOOGLETRANSLATE(B14697,""en"",""zh-CN"")"),"该名女子开始将一些化妆品涂在她的脸上，包括嘴唇和通过指甲油指甲。")</f>
        <v>该名女子开始将一些化妆品涂在她的脸上，包括嘴唇和通过指甲油指甲。</v>
      </c>
    </row>
    <row r="14698">
      <c r="A14698" s="4" t="s">
        <v>18503</v>
      </c>
      <c r="B14698" s="4" t="s">
        <v>18508</v>
      </c>
      <c r="C14698" s="5" t="str">
        <f>IFERROR(__xludf.DUMMYFUNCTION("GOOGLETRANSLATE(B14698,""en"",""zh-CN"")"),"该女人用一些化妆来使他人的头发脱发。")</f>
        <v>该女人用一些化妆来使他人的头发脱发。</v>
      </c>
    </row>
    <row r="14699">
      <c r="A14699" s="4" t="s">
        <v>18503</v>
      </c>
      <c r="B14699" s="6" t="s">
        <v>18509</v>
      </c>
      <c r="C14699" s="5" t="str">
        <f>IFERROR(__xludf.DUMMYFUNCTION("GOOGLETRANSLATE(B14699,""en"",""zh-CN"")"),"然后，该名女士使用粉末状妆容的容器来制作粉底和眼影，然后微笑并展示整个颜色并显示营销图形。")</f>
        <v>然后，该名女士使用粉末状妆容的容器来制作粉底和眼影，然后微笑并展示整个颜色并显示营销图形。</v>
      </c>
    </row>
    <row r="14700">
      <c r="A14700" s="4" t="s">
        <v>18510</v>
      </c>
      <c r="B14700" s="4" t="s">
        <v>18511</v>
      </c>
      <c r="C14700" s="5" t="str">
        <f>IFERROR(__xludf.DUMMYFUNCTION("GOOGLETRANSLATE(B14700,""en"",""zh-CN"")"),"看到一小群男孩站在游泳池的边缘，互相抓住。")</f>
        <v>看到一小群男孩站在游泳池的边缘，互相抓住。</v>
      </c>
    </row>
    <row r="14701">
      <c r="A14701" s="4" t="s">
        <v>18510</v>
      </c>
      <c r="B14701" s="4" t="s">
        <v>18512</v>
      </c>
      <c r="C14701" s="5" t="str">
        <f>IFERROR(__xludf.DUMMYFUNCTION("GOOGLETRANSLATE(B14701,""en"",""zh-CN"")"),"然后，男孩们都一起看着相机立刻一起跳入游泳池。")</f>
        <v>然后，男孩们都一起看着相机立刻一起跳入游泳池。</v>
      </c>
    </row>
    <row r="14702">
      <c r="A14702" s="4" t="s">
        <v>18513</v>
      </c>
      <c r="B14702" s="6" t="s">
        <v>18514</v>
      </c>
      <c r="C14702" s="5" t="str">
        <f>IFERROR(__xludf.DUMMYFUNCTION("GOOGLETRANSLATE(B14702,""en"",""zh-CN"")"),"看到一个男人在相机上说话，而摄像机将纸牌和人交易卡的人摇晃。")</f>
        <v>看到一个男人在相机上说话，而摄像机将纸牌和人交易卡的人摇晃。</v>
      </c>
    </row>
    <row r="14703">
      <c r="A14703" s="4" t="s">
        <v>18513</v>
      </c>
      <c r="B14703" s="6" t="s">
        <v>18515</v>
      </c>
      <c r="C14703" s="5" t="str">
        <f>IFERROR(__xludf.DUMMYFUNCTION("GOOGLETRANSLATE(B14703,""en"",""zh-CN"")"),"该男子在翻转更多的同时，指着桌子上布置的物体。")</f>
        <v>该男子在翻转更多的同时，指着桌子上布置的物体。</v>
      </c>
    </row>
    <row r="14704">
      <c r="A14704" s="4" t="s">
        <v>18516</v>
      </c>
      <c r="B14704" s="6" t="s">
        <v>18517</v>
      </c>
      <c r="C14704" s="5" t="str">
        <f>IFERROR(__xludf.DUMMYFUNCTION("GOOGLETRANSLATE(B14704,""en"",""zh-CN"")"),"各种成分都放在桌子上，并导致将食材倒入碗中的人。")</f>
        <v>各种成分都放在桌子上，并导致将食材倒入碗中的人。</v>
      </c>
    </row>
    <row r="14705">
      <c r="A14705" s="4" t="s">
        <v>18516</v>
      </c>
      <c r="B14705" s="4" t="s">
        <v>18518</v>
      </c>
      <c r="C14705" s="5" t="str">
        <f>IFERROR(__xludf.DUMMYFUNCTION("GOOGLETRANSLATE(B14705,""en"",""zh-CN"")"),"该人彻底搅拌，然后用布擦拭桌子。")</f>
        <v>该人彻底搅拌，然后用布擦拭桌子。</v>
      </c>
    </row>
    <row r="14706">
      <c r="A14706" s="4" t="s">
        <v>18519</v>
      </c>
      <c r="B14706" s="6" t="s">
        <v>18520</v>
      </c>
      <c r="C14706" s="5" t="str">
        <f>IFERROR(__xludf.DUMMYFUNCTION("GOOGLETRANSLATE(B14706,""en"",""zh-CN"")"),"电视节目主持人和一位女演员正在将Google放在带有白色奶油的馅饼的前面玩岩石，纸和剪刀派。")</f>
        <v>电视节目主持人和一位女演员正在将Google放在带有白色奶油的馅饼的前面玩岩石，纸和剪刀派。</v>
      </c>
    </row>
    <row r="14707">
      <c r="A14707" s="4" t="s">
        <v>18519</v>
      </c>
      <c r="B14707" s="6" t="s">
        <v>18521</v>
      </c>
      <c r="C14707" s="5" t="str">
        <f>IFERROR(__xludf.DUMMYFUNCTION("GOOGLETRANSLATE(B14707,""en"",""zh-CN"")"),"玩了一段时间后，女人转过头，将馅饼抬高到女演员的脸上。")</f>
        <v>玩了一段时间后，女人转过头，将馅饼抬高到女演员的脸上。</v>
      </c>
    </row>
    <row r="14708">
      <c r="A14708" s="4" t="s">
        <v>18519</v>
      </c>
      <c r="B14708" s="6" t="s">
        <v>18522</v>
      </c>
      <c r="C14708" s="5" t="str">
        <f>IFERROR(__xludf.DUMMYFUNCTION("GOOGLETRANSLATE(B14708,""en"",""zh-CN"")"),"然后，馅饼第二次降落在女演员的表面上，并在电视节目主持人的脸上降落。")</f>
        <v>然后，馅饼第二次降落在女演员的表面上，并在电视节目主持人的脸上降落。</v>
      </c>
    </row>
    <row r="14709">
      <c r="A14709" s="4" t="s">
        <v>18519</v>
      </c>
      <c r="B14709" s="6" t="s">
        <v>18523</v>
      </c>
      <c r="C14709" s="5" t="str">
        <f>IFERROR(__xludf.DUMMYFUNCTION("GOOGLETRANSLATE(B14709,""en"",""zh-CN"")"),"电视节目主持人站着双手拿着鸭子，然后他假装在右手吃鸭子。")</f>
        <v>电视节目主持人站着双手拿着鸭子，然后他假装在右手吃鸭子。</v>
      </c>
    </row>
    <row r="14710">
      <c r="A14710" s="4" t="s">
        <v>18524</v>
      </c>
      <c r="B14710" s="4" t="s">
        <v>18525</v>
      </c>
      <c r="C14710" s="5" t="str">
        <f>IFERROR(__xludf.DUMMYFUNCTION("GOOGLETRANSLATE(B14710,""en"",""zh-CN"")"),"展示了一个城市的几枪，以及人们四处走动并互相交谈。")</f>
        <v>展示了一个城市的几枪，以及人们四处走动并互相交谈。</v>
      </c>
    </row>
    <row r="14711">
      <c r="A14711" s="4" t="s">
        <v>18524</v>
      </c>
      <c r="B14711" s="6" t="s">
        <v>18526</v>
      </c>
      <c r="C14711" s="5" t="str">
        <f>IFERROR(__xludf.DUMMYFUNCTION("GOOGLETRANSLATE(B14711,""en"",""zh-CN"")"),"然后看到人们沿着墙壁铺路，分发小册子并互相交谈。")</f>
        <v>然后看到人们沿着墙壁铺路，分发小册子并互相交谈。</v>
      </c>
    </row>
    <row r="14712">
      <c r="A14712" s="4" t="s">
        <v>18524</v>
      </c>
      <c r="B14712" s="4" t="s">
        <v>18527</v>
      </c>
      <c r="C14712" s="5" t="str">
        <f>IFERROR(__xludf.DUMMYFUNCTION("GOOGLETRANSLATE(B14712,""en"",""zh-CN"")"),"人们通过与摄像机说话来触摸墙壁上的材料。")</f>
        <v>人们通过与摄像机说话来触摸墙壁上的材料。</v>
      </c>
    </row>
    <row r="14713">
      <c r="A14713" s="4" t="s">
        <v>18528</v>
      </c>
      <c r="B14713" s="4" t="s">
        <v>18529</v>
      </c>
      <c r="C14713" s="5" t="str">
        <f>IFERROR(__xludf.DUMMYFUNCTION("GOOGLETRANSLATE(B14713,""en"",""zh-CN"")"),"显示了一些发光鞋所需的物资。")</f>
        <v>显示了一些发光鞋所需的物资。</v>
      </c>
    </row>
    <row r="14714">
      <c r="A14714" s="4" t="s">
        <v>18528</v>
      </c>
      <c r="B14714" s="6" t="s">
        <v>18530</v>
      </c>
      <c r="C14714" s="5" t="str">
        <f>IFERROR(__xludf.DUMMYFUNCTION("GOOGLETRANSLATE(B14714,""en"",""zh-CN"")"),"一个年长的男人闪耀鞋子，谈论他如何照亮鞋子以及他小时候如何闪耀鞋子。")</f>
        <v>一个年长的男人闪耀鞋子，谈论他如何照亮鞋子以及他小时候如何闪耀鞋子。</v>
      </c>
    </row>
    <row r="14715">
      <c r="A14715" s="4" t="s">
        <v>18528</v>
      </c>
      <c r="B14715" s="4" t="s">
        <v>18531</v>
      </c>
      <c r="C14715" s="5" t="str">
        <f>IFERROR(__xludf.DUMMYFUNCTION("GOOGLETRANSLATE(B14715,""en"",""zh-CN"")"),"同一个人闪耀着另一鞋。")</f>
        <v>同一个人闪耀着另一鞋。</v>
      </c>
    </row>
    <row r="14716">
      <c r="A14716" s="4" t="s">
        <v>18528</v>
      </c>
      <c r="B14716" s="4" t="s">
        <v>18532</v>
      </c>
      <c r="C14716" s="5" t="str">
        <f>IFERROR(__xludf.DUMMYFUNCTION("GOOGLETRANSLATE(B14716,""en"",""zh-CN"")"),"当其他人坐下或四处走走时，同一个人在商店里闪耀鞋子。")</f>
        <v>当其他人坐下或四处走走时，同一个人在商店里闪耀鞋子。</v>
      </c>
    </row>
    <row r="14717">
      <c r="A14717" s="4" t="s">
        <v>18528</v>
      </c>
      <c r="B14717" s="4" t="s">
        <v>18533</v>
      </c>
      <c r="C14717" s="5" t="str">
        <f>IFERROR(__xludf.DUMMYFUNCTION("GOOGLETRANSLATE(B14717,""en"",""zh-CN"")"),"一张理发店显示了一张旧的黑白照片。")</f>
        <v>一张理发店显示了一张旧的黑白照片。</v>
      </c>
    </row>
    <row r="14718">
      <c r="A14718" s="4" t="s">
        <v>18528</v>
      </c>
      <c r="B14718" s="4" t="s">
        <v>18534</v>
      </c>
      <c r="C14718" s="5" t="str">
        <f>IFERROR(__xludf.DUMMYFUNCTION("GOOGLETRANSLATE(B14718,""en"",""zh-CN"")"),"年长的男人照亮了另一条鞋，并谈论闪亮的鞋子。")</f>
        <v>年长的男人照亮了另一条鞋，并谈论闪亮的鞋子。</v>
      </c>
    </row>
    <row r="14719">
      <c r="A14719" s="4" t="s">
        <v>18528</v>
      </c>
      <c r="B14719" s="4" t="s">
        <v>18535</v>
      </c>
      <c r="C14719" s="5" t="str">
        <f>IFERROR(__xludf.DUMMYFUNCTION("GOOGLETRANSLATE(B14719,""en"",""zh-CN"")"),"在背景中看到另一个男人走开。")</f>
        <v>在背景中看到另一个男人走开。</v>
      </c>
    </row>
    <row r="14720">
      <c r="A14720" s="4" t="s">
        <v>18536</v>
      </c>
      <c r="B14720" s="4" t="s">
        <v>18537</v>
      </c>
      <c r="C14720" s="5" t="str">
        <f>IFERROR(__xludf.DUMMYFUNCTION("GOOGLETRANSLATE(B14720,""en"",""zh-CN"")"),"人正站在蹦床中，使泳池陷入困境。")</f>
        <v>人正站在蹦床中，使泳池陷入困境。</v>
      </c>
    </row>
    <row r="14721">
      <c r="A14721" s="4" t="s">
        <v>18536</v>
      </c>
      <c r="B14721" s="4" t="s">
        <v>18538</v>
      </c>
      <c r="C14721" s="5" t="str">
        <f>IFERROR(__xludf.DUMMYFUNCTION("GOOGLETRANSLATE(B14721,""en"",""zh-CN"")"),"两名男子坐在蹦床的一楼看着跳跃。")</f>
        <v>两名男子坐在蹦床的一楼看着跳跃。</v>
      </c>
    </row>
    <row r="14722">
      <c r="A14722" s="4" t="s">
        <v>18536</v>
      </c>
      <c r="B14722" s="4" t="s">
        <v>18539</v>
      </c>
      <c r="C14722" s="5" t="str">
        <f>IFERROR(__xludf.DUMMYFUNCTION("GOOGLETRANSLATE(B14722,""en"",""zh-CN"")"),"男人拿出游泳池，拿一条毛巾，干脸。")</f>
        <v>男人拿出游泳池，拿一条毛巾，干脸。</v>
      </c>
    </row>
    <row r="14723">
      <c r="A14723" s="4" t="s">
        <v>18536</v>
      </c>
      <c r="B14723" s="4" t="s">
        <v>18540</v>
      </c>
      <c r="C14723" s="5" t="str">
        <f>IFERROR(__xludf.DUMMYFUNCTION("GOOGLETRANSLATE(B14723,""en"",""zh-CN"")"),"人们在游泳池周围携带袋子。")</f>
        <v>人们在游泳池周围携带袋子。</v>
      </c>
    </row>
    <row r="14724">
      <c r="A14724" s="4" t="s">
        <v>18541</v>
      </c>
      <c r="B14724" s="4" t="s">
        <v>18542</v>
      </c>
      <c r="C14724" s="5" t="str">
        <f>IFERROR(__xludf.DUMMYFUNCTION("GOOGLETRANSLATE(B14724,""en"",""zh-CN"")"),"一个男人坐在房间里。")</f>
        <v>一个男人坐在房间里。</v>
      </c>
    </row>
    <row r="14725">
      <c r="A14725" s="4" t="s">
        <v>18541</v>
      </c>
      <c r="B14725" s="4" t="s">
        <v>18543</v>
      </c>
      <c r="C14725" s="5" t="str">
        <f>IFERROR(__xludf.DUMMYFUNCTION("GOOGLETRANSLATE(B14725,""en"",""zh-CN"")"),"他正在和摄像机动画交谈。")</f>
        <v>他正在和摄像机动画交谈。</v>
      </c>
    </row>
    <row r="14726">
      <c r="A14726" s="4" t="s">
        <v>18541</v>
      </c>
      <c r="B14726" s="4" t="s">
        <v>18544</v>
      </c>
      <c r="C14726" s="5" t="str">
        <f>IFERROR(__xludf.DUMMYFUNCTION("GOOGLETRANSLATE(B14726,""en"",""zh-CN"")"),"他正在谈论并演示如何演奏口琴。")</f>
        <v>他正在谈论并演示如何演奏口琴。</v>
      </c>
    </row>
    <row r="14727">
      <c r="A14727" s="4" t="s">
        <v>18545</v>
      </c>
      <c r="B14727" s="6" t="s">
        <v>18546</v>
      </c>
      <c r="C14727" s="5" t="str">
        <f>IFERROR(__xludf.DUMMYFUNCTION("GOOGLETRANSLATE(B14727,""en"",""zh-CN"")"),"几个步行或骑马的人走到前景，而相机专注于背景中的一群人。")</f>
        <v>几个步行或骑马的人走到前景，而相机专注于背景中的一群人。</v>
      </c>
    </row>
    <row r="14728">
      <c r="A14728" s="4" t="s">
        <v>18545</v>
      </c>
      <c r="B14728" s="4" t="s">
        <v>18547</v>
      </c>
      <c r="C14728" s="5" t="str">
        <f>IFERROR(__xludf.DUMMYFUNCTION("GOOGLETRANSLATE(B14728,""en"",""zh-CN"")"),"大门打开，一个骑马的男人追逐一头牛。")</f>
        <v>大门打开，一个骑马的男人追逐一头牛。</v>
      </c>
    </row>
    <row r="14729">
      <c r="A14729" s="4" t="s">
        <v>18545</v>
      </c>
      <c r="B14729" s="4" t="s">
        <v>18548</v>
      </c>
      <c r="C14729" s="5" t="str">
        <f>IFERROR(__xludf.DUMMYFUNCTION("GOOGLETRANSLATE(B14729,""en"",""zh-CN"")"),"男人的套索并固定了牛。")</f>
        <v>男人的套索并固定了牛。</v>
      </c>
    </row>
    <row r="14730">
      <c r="A14730" s="4" t="s">
        <v>18545</v>
      </c>
      <c r="B14730" s="4" t="s">
        <v>18549</v>
      </c>
      <c r="C14730" s="5" t="str">
        <f>IFERROR(__xludf.DUMMYFUNCTION("GOOGLETRANSLATE(B14730,""en"",""zh-CN"")"),"其他人则跑来帮助牛。")</f>
        <v>其他人则跑来帮助牛。</v>
      </c>
    </row>
    <row r="14731">
      <c r="A14731" s="4" t="s">
        <v>18550</v>
      </c>
      <c r="B14731" s="6" t="s">
        <v>18551</v>
      </c>
      <c r="C14731" s="5" t="str">
        <f>IFERROR(__xludf.DUMMYFUNCTION("GOOGLETRANSLATE(B14731,""en"",""zh-CN"")"),"一位穿着白色和灰色衬衫的女人在说话，然后显示了一杯柠檬水的玻璃杯和稻草的投手。")</f>
        <v>一位穿着白色和灰色衬衫的女人在说话，然后显示了一杯柠檬水的玻璃杯和稻草的投手。</v>
      </c>
    </row>
    <row r="14732">
      <c r="A14732" s="4" t="s">
        <v>18550</v>
      </c>
      <c r="B14732" s="6" t="s">
        <v>18552</v>
      </c>
      <c r="C14732" s="5" t="str">
        <f>IFERROR(__xludf.DUMMYFUNCTION("GOOGLETRANSLATE(B14732,""en"",""zh-CN"")"),"两个柠檬在小碗中，然后在相机中说话的金发女郎说话，一只手切柠檬，将柠檬挤在碗中，用滤网将柠檬倒入投手中。")</f>
        <v>两个柠檬在小碗中，然后在相机中说话的金发女郎说话，一只手切柠檬，将柠檬挤在碗中，用滤网将柠檬倒入投手中。</v>
      </c>
    </row>
    <row r="14733">
      <c r="A14733" s="4" t="s">
        <v>18550</v>
      </c>
      <c r="B14733" s="6" t="s">
        <v>18553</v>
      </c>
      <c r="C14733" s="5" t="str">
        <f>IFERROR(__xludf.DUMMYFUNCTION("GOOGLETRANSLATE(B14733,""en"",""zh-CN"")"),"女人说话，然后将锅放在炉子中，加水，然后加入糖，加入柠檬皮并混合锅，女人在投手中加入黄色液体，加入冰和切成薄片的柠檬，然后将果汁倒入玻璃。")</f>
        <v>女人说话，然后将锅放在炉子中，加水，然后加入糖，加入柠檬皮并混合锅，女人在投手中加入黄色液体，加入冰和切成薄片的柠檬，然后将果汁倒入玻璃。</v>
      </c>
    </row>
    <row r="14734">
      <c r="A14734" s="4" t="s">
        <v>18554</v>
      </c>
      <c r="B14734" s="4" t="s">
        <v>18555</v>
      </c>
      <c r="C14734" s="5" t="str">
        <f>IFERROR(__xludf.DUMMYFUNCTION("GOOGLETRANSLATE(B14734,""en"",""zh-CN"")"),"看到一个人沿着冲浪板上的水以及其他人互相交谈。")</f>
        <v>看到一个人沿着冲浪板上的水以及其他人互相交谈。</v>
      </c>
    </row>
    <row r="14735">
      <c r="A14735" s="4" t="s">
        <v>18554</v>
      </c>
      <c r="B14735" s="4" t="s">
        <v>18556</v>
      </c>
      <c r="C14735" s="5" t="str">
        <f>IFERROR(__xludf.DUMMYFUNCTION("GOOGLETRANSLATE(B14735,""en"",""zh-CN"")"),"看到一个男人在相机上说话，还有更多的人骑在水面上。")</f>
        <v>看到一个男人在相机上说话，还有更多的人骑在水面上。</v>
      </c>
    </row>
    <row r="14736">
      <c r="A14736" s="4" t="s">
        <v>18554</v>
      </c>
      <c r="B14736" s="6" t="s">
        <v>18557</v>
      </c>
      <c r="C14736" s="5" t="str">
        <f>IFERROR(__xludf.DUMMYFUNCTION("GOOGLETRANSLATE(B14736,""en"",""zh-CN"")"),"越来越多的人互相交谈，并在相机上互相交谈，然后骑在木板上。")</f>
        <v>越来越多的人互相交谈，并在相机上互相交谈，然后骑在木板上。</v>
      </c>
    </row>
    <row r="14737">
      <c r="A14737" s="4" t="s">
        <v>18558</v>
      </c>
      <c r="B14737" s="4" t="s">
        <v>18559</v>
      </c>
      <c r="C14737" s="5" t="str">
        <f>IFERROR(__xludf.DUMMYFUNCTION("GOOGLETRANSLATE(B14737,""en"",""zh-CN"")"),"一个戴着胸罩的女人站在房间里。")</f>
        <v>一个戴着胸罩的女人站在房间里。</v>
      </c>
    </row>
    <row r="14738">
      <c r="A14738" s="4" t="s">
        <v>18558</v>
      </c>
      <c r="B14738" s="4" t="s">
        <v>18560</v>
      </c>
      <c r="C14738" s="5" t="str">
        <f>IFERROR(__xludf.DUMMYFUNCTION("GOOGLETRANSLATE(B14738,""en"",""zh-CN"")"),"她在整个房间里扔了一只飞镖。")</f>
        <v>她在整个房间里扔了一只飞镖。</v>
      </c>
    </row>
    <row r="14739">
      <c r="A14739" s="4" t="s">
        <v>18558</v>
      </c>
      <c r="B14739" s="4" t="s">
        <v>18561</v>
      </c>
      <c r="C14739" s="5" t="str">
        <f>IFERROR(__xludf.DUMMYFUNCTION("GOOGLETRANSLATE(B14739,""en"",""zh-CN"")"),"一个戴着帽子的人站在她旁边。")</f>
        <v>一个戴着帽子的人站在她旁边。</v>
      </c>
    </row>
    <row r="14740">
      <c r="A14740" s="4" t="s">
        <v>18562</v>
      </c>
      <c r="B14740" s="4" t="s">
        <v>18563</v>
      </c>
      <c r="C14740" s="5" t="str">
        <f>IFERROR(__xludf.DUMMYFUNCTION("GOOGLETRANSLATE(B14740,""en"",""zh-CN"")"),"一个宽阔的肩膀和猪尾的年轻女士正在准备舞台。")</f>
        <v>一个宽阔的肩膀和猪尾的年轻女士正在准备舞台。</v>
      </c>
    </row>
    <row r="14741">
      <c r="A14741" s="4" t="s">
        <v>18562</v>
      </c>
      <c r="B14741" s="4" t="s">
        <v>18564</v>
      </c>
      <c r="C14741" s="5" t="str">
        <f>IFERROR(__xludf.DUMMYFUNCTION("GOOGLETRANSLATE(B14741,""en"",""zh-CN"")"),"那位女士裂开了她的指关节，然后弯下腰，试图举重。")</f>
        <v>那位女士裂开了她的指关节，然后弯下腰，试图举重。</v>
      </c>
    </row>
    <row r="14742">
      <c r="A14742" s="4" t="s">
        <v>18562</v>
      </c>
      <c r="B14742" s="6" t="s">
        <v>18565</v>
      </c>
      <c r="C14742" s="5" t="str">
        <f>IFERROR(__xludf.DUMMYFUNCTION("GOOGLETRANSLATE(B14742,""en"",""zh-CN"")"),"酒吧里的体重过多，女孩最终将她的手臂绕圈扭曲，掉下酒吧，痛苦地哭了起来。")</f>
        <v>酒吧里的体重过多，女孩最终将她的手臂绕圈扭曲，掉下酒吧，痛苦地哭了起来。</v>
      </c>
    </row>
    <row r="14743">
      <c r="A14743" s="4" t="s">
        <v>18562</v>
      </c>
      <c r="B14743" s="4" t="s">
        <v>18566</v>
      </c>
      <c r="C14743" s="5" t="str">
        <f>IFERROR(__xludf.DUMMYFUNCTION("GOOGLETRANSLATE(B14743,""en"",""zh-CN"")"),"然后，另一个女孩走上去，抬起一半的酒吧，意识到她无能为力并将其放下。")</f>
        <v>然后，另一个女孩走上去，抬起一半的酒吧，意识到她无能为力并将其放下。</v>
      </c>
    </row>
    <row r="14744">
      <c r="A14744" s="4" t="s">
        <v>18562</v>
      </c>
      <c r="B14744" s="6" t="s">
        <v>18567</v>
      </c>
      <c r="C14744" s="5" t="str">
        <f>IFERROR(__xludf.DUMMYFUNCTION("GOOGLETRANSLATE(B14744,""en"",""zh-CN"")"),"她走了下来后，她刷了自己，再次尝试，将其抬起头，掉下它，然后走开祝贺自己。")</f>
        <v>她走了下来后，她刷了自己，再次尝试，将其抬起头，掉下它，然后走开祝贺自己。</v>
      </c>
    </row>
    <row r="14745">
      <c r="A14745" s="4" t="s">
        <v>18562</v>
      </c>
      <c r="B14745" s="4" t="s">
        <v>18568</v>
      </c>
      <c r="C14745" s="5" t="str">
        <f>IFERROR(__xludf.DUMMYFUNCTION("GOOGLETRANSLATE(B14745,""en"",""zh-CN"")"),"然后显示一个分数屏幕，另一个女孩尝试体重。")</f>
        <v>然后显示一个分数屏幕，另一个女孩尝试体重。</v>
      </c>
    </row>
    <row r="14746">
      <c r="A14746" s="4" t="s">
        <v>18562</v>
      </c>
      <c r="B14746" s="6" t="s">
        <v>18569</v>
      </c>
      <c r="C14746" s="5" t="str">
        <f>IFERROR(__xludf.DUMMYFUNCTION("GOOGLETRANSLATE(B14746,""en"",""zh-CN"")"),"第二位年轻女士回来了，做同样的事情和跟随她的女性。")</f>
        <v>第二位年轻女士回来了，做同样的事情和跟随她的女性。</v>
      </c>
    </row>
    <row r="14747">
      <c r="A14747" s="4" t="s">
        <v>18562</v>
      </c>
      <c r="B14747" s="4" t="s">
        <v>18570</v>
      </c>
      <c r="C14747" s="5" t="str">
        <f>IFERROR(__xludf.DUMMYFUNCTION("GOOGLETRANSLATE(B14747,""en"",""zh-CN"")"),"女孩回来了，但意识到体重太重了，放弃了举起。")</f>
        <v>女孩回来了，但意识到体重太重了，放弃了举起。</v>
      </c>
    </row>
    <row r="14748">
      <c r="A14748" s="4" t="s">
        <v>18562</v>
      </c>
      <c r="B14748" s="6" t="s">
        <v>18571</v>
      </c>
      <c r="C14748" s="5" t="str">
        <f>IFERROR(__xludf.DUMMYFUNCTION("GOOGLETRANSLATE(B14748,""en"",""zh-CN"")"),"但是，原始的女孩回来了，继续轻松地举起越来越轻松的体重，直到最后一次，她鞠躬，他们走到奥林匹克舞台上并获得金属。")</f>
        <v>但是，原始的女孩回来了，继续轻松地举起越来越轻松的体重，直到最后一次，她鞠躬，他们走到奥林匹克舞台上并获得金属。</v>
      </c>
    </row>
    <row r="14749">
      <c r="A14749" s="4" t="s">
        <v>18572</v>
      </c>
      <c r="B14749" s="4" t="s">
        <v>18573</v>
      </c>
      <c r="C14749" s="5" t="str">
        <f>IFERROR(__xludf.DUMMYFUNCTION("GOOGLETRANSLATE(B14749,""en"",""zh-CN"")"),"一张照片放大了一个被公牛抚摸的男人。")</f>
        <v>一张照片放大了一个被公牛抚摸的男人。</v>
      </c>
    </row>
    <row r="14750">
      <c r="A14750" s="4" t="s">
        <v>18572</v>
      </c>
      <c r="B14750" s="4" t="s">
        <v>18574</v>
      </c>
      <c r="C14750" s="5" t="str">
        <f>IFERROR(__xludf.DUMMYFUNCTION("GOOGLETRANSLATE(B14750,""en"",""zh-CN"")"),"公牛向一个男人指控，将他撞倒，直到人们出来分散他的注意力。")</f>
        <v>公牛向一个男人指控，将他撞倒，直到人们出来分散他的注意力。</v>
      </c>
    </row>
    <row r="14751">
      <c r="A14751" s="4" t="s">
        <v>18572</v>
      </c>
      <c r="B14751" s="4" t="s">
        <v>18575</v>
      </c>
      <c r="C14751" s="5" t="str">
        <f>IFERROR(__xludf.DUMMYFUNCTION("GOOGLETRANSLATE(B14751,""en"",""zh-CN"")"),"它再次被公牛指控。")</f>
        <v>它再次被公牛指控。</v>
      </c>
    </row>
    <row r="14752">
      <c r="A14752" s="4" t="s">
        <v>18572</v>
      </c>
      <c r="B14752" s="4" t="s">
        <v>18576</v>
      </c>
      <c r="C14752" s="5" t="str">
        <f>IFERROR(__xludf.DUMMYFUNCTION("GOOGLETRANSLATE(B14752,""en"",""zh-CN"")"),"他再次被撞倒，直到人们出来分散公牛的注意力。")</f>
        <v>他再次被撞倒，直到人们出来分散公牛的注意力。</v>
      </c>
    </row>
    <row r="14753">
      <c r="A14753" s="4" t="s">
        <v>18572</v>
      </c>
      <c r="B14753" s="4" t="s">
        <v>18577</v>
      </c>
      <c r="C14753" s="5" t="str">
        <f>IFERROR(__xludf.DUMMYFUNCTION("GOOGLETRANSLATE(B14753,""en"",""zh-CN"")"),"他被带出戒指。")</f>
        <v>他被带出戒指。</v>
      </c>
    </row>
    <row r="14754">
      <c r="A14754" s="4" t="s">
        <v>18572</v>
      </c>
      <c r="B14754" s="4" t="s">
        <v>18578</v>
      </c>
      <c r="C14754" s="5" t="str">
        <f>IFERROR(__xludf.DUMMYFUNCTION("GOOGLETRANSLATE(B14754,""en"",""zh-CN"")"),"公牛再次向男人冲锋，将他击倒。")</f>
        <v>公牛再次向男人冲锋，将他击倒。</v>
      </c>
    </row>
    <row r="14755">
      <c r="A14755" s="4" t="s">
        <v>18572</v>
      </c>
      <c r="B14755" s="4" t="s">
        <v>18579</v>
      </c>
      <c r="C14755" s="5" t="str">
        <f>IFERROR(__xludf.DUMMYFUNCTION("GOOGLETRANSLATE(B14755,""en"",""zh-CN"")"),"人们出来分散了公牛的注意力。")</f>
        <v>人们出来分散了公牛的注意力。</v>
      </c>
    </row>
    <row r="14756">
      <c r="A14756" s="4" t="s">
        <v>18572</v>
      </c>
      <c r="B14756" s="4" t="s">
        <v>18580</v>
      </c>
      <c r="C14756" s="5" t="str">
        <f>IFERROR(__xludf.DUMMYFUNCTION("GOOGLETRANSLATE(B14756,""en"",""zh-CN"")"),"他最后一次进行。")</f>
        <v>他最后一次进行。</v>
      </c>
    </row>
    <row r="14757">
      <c r="A14757" s="4" t="s">
        <v>18581</v>
      </c>
      <c r="B14757" s="4" t="s">
        <v>18582</v>
      </c>
      <c r="C14757" s="5" t="str">
        <f>IFERROR(__xludf.DUMMYFUNCTION("GOOGLETRANSLATE(B14757,""en"",""zh-CN"")"),"看到一个年长的男人坐在钢琴前的公共场所的木头上。")</f>
        <v>看到一个年长的男人坐在钢琴前的公共场所的木头上。</v>
      </c>
    </row>
    <row r="14758">
      <c r="A14758" s="4" t="s">
        <v>18581</v>
      </c>
      <c r="B14758" s="4" t="s">
        <v>18583</v>
      </c>
      <c r="C14758" s="5" t="str">
        <f>IFERROR(__xludf.DUMMYFUNCTION("GOOGLETRANSLATE(B14758,""en"",""zh-CN"")"),"然后，当相机捕捉他弹奏时，该男子弹钢琴。")</f>
        <v>然后，当相机捕捉他弹奏时，该男子弹钢琴。</v>
      </c>
    </row>
    <row r="14759">
      <c r="A14759" s="4" t="s">
        <v>18581</v>
      </c>
      <c r="B14759" s="6" t="s">
        <v>18584</v>
      </c>
      <c r="C14759" s="5" t="str">
        <f>IFERROR(__xludf.DUMMYFUNCTION("GOOGLETRANSLATE(B14759,""en"",""zh-CN"")"),"该男子在继续演奏的同时唱着相机，相机在动作周围移动。")</f>
        <v>该男子在继续演奏的同时唱着相机，相机在动作周围移动。</v>
      </c>
    </row>
    <row r="14760">
      <c r="A14760" s="4" t="s">
        <v>18585</v>
      </c>
      <c r="B14760" s="4" t="s">
        <v>18586</v>
      </c>
      <c r="C14760" s="5" t="str">
        <f>IFERROR(__xludf.DUMMYFUNCTION("GOOGLETRANSLATE(B14760,""en"",""zh-CN"")"),"大量人群聚集在外面。")</f>
        <v>大量人群聚集在外面。</v>
      </c>
    </row>
    <row r="14761">
      <c r="A14761" s="4" t="s">
        <v>18585</v>
      </c>
      <c r="B14761" s="4" t="s">
        <v>18587</v>
      </c>
      <c r="C14761" s="5" t="str">
        <f>IFERROR(__xludf.DUMMYFUNCTION("GOOGLETRANSLATE(B14761,""en"",""zh-CN"")"),"他们都在表演一个名为Zumba的运动舞。")</f>
        <v>他们都在表演一个名为Zumba的运动舞。</v>
      </c>
    </row>
    <row r="14762">
      <c r="A14762" s="4" t="s">
        <v>18588</v>
      </c>
      <c r="B14762" s="4" t="s">
        <v>18589</v>
      </c>
      <c r="C14762" s="5" t="str">
        <f>IFERROR(__xludf.DUMMYFUNCTION("GOOGLETRANSLATE(B14762,""en"",""zh-CN"")"),"看到一个运动员站起来，他的手臂站起来，开始进行体操例行。")</f>
        <v>看到一个运动员站起来，他的手臂站起来，开始进行体操例行。</v>
      </c>
    </row>
    <row r="14763">
      <c r="A14763" s="4" t="s">
        <v>18588</v>
      </c>
      <c r="B14763" s="6" t="s">
        <v>18590</v>
      </c>
      <c r="C14763" s="5" t="str">
        <f>IFERROR(__xludf.DUMMYFUNCTION("GOOGLETRANSLATE(B14763,""en"",""zh-CN"")"),"他在酒吧里旋转着几次翻转和窍门，并以他的手臂向上伸向空中。")</f>
        <v>他在酒吧里旋转着几次翻转和窍门，并以他的手臂向上伸向空中。</v>
      </c>
    </row>
    <row r="14764">
      <c r="A14764" s="4" t="s">
        <v>18591</v>
      </c>
      <c r="B14764" s="4" t="s">
        <v>18592</v>
      </c>
      <c r="C14764" s="5" t="str">
        <f>IFERROR(__xludf.DUMMYFUNCTION("GOOGLETRANSLATE(B14764,""en"",""zh-CN"")"),"一个小男孩在他卧室里的镜头说话。")</f>
        <v>一个小男孩在他卧室里的镜头说话。</v>
      </c>
    </row>
    <row r="14765">
      <c r="A14765" s="4" t="s">
        <v>18591</v>
      </c>
      <c r="B14765" s="4" t="s">
        <v>18593</v>
      </c>
      <c r="C14765" s="5" t="str">
        <f>IFERROR(__xludf.DUMMYFUNCTION("GOOGLETRANSLATE(B14765,""en"",""zh-CN"")"),"他从抽屉中取出东西，例如唇彩，并将其戴在相机上。")</f>
        <v>他从抽屉中取出东西，例如唇彩，并将其戴在相机上。</v>
      </c>
    </row>
    <row r="14766">
      <c r="A14766" s="4" t="s">
        <v>18591</v>
      </c>
      <c r="B14766" s="4" t="s">
        <v>18594</v>
      </c>
      <c r="C14766" s="5" t="str">
        <f>IFERROR(__xludf.DUMMYFUNCTION("GOOGLETRANSLATE(B14766,""en"",""zh-CN"")"),"他为摄像机涂上了凌乱的化妆和姿势。")</f>
        <v>他为摄像机涂上了凌乱的化妆和姿势。</v>
      </c>
    </row>
    <row r="14767">
      <c r="A14767" s="4" t="s">
        <v>18595</v>
      </c>
      <c r="B14767" s="4" t="s">
        <v>18596</v>
      </c>
      <c r="C14767" s="5" t="str">
        <f>IFERROR(__xludf.DUMMYFUNCTION("GOOGLETRANSLATE(B14767,""en"",""zh-CN"")"),"一个摄像机在海滩周围的整个海滩上摇摆，海浪坠毁。")</f>
        <v>一个摄像机在海滩周围的整个海滩上摇摆，海浪坠毁。</v>
      </c>
    </row>
    <row r="14768">
      <c r="A14768" s="4" t="s">
        <v>18595</v>
      </c>
      <c r="B14768" s="4" t="s">
        <v>18597</v>
      </c>
      <c r="C14768" s="5" t="str">
        <f>IFERROR(__xludf.DUMMYFUNCTION("GOOGLETRANSLATE(B14768,""en"",""zh-CN"")"),"然后看到一个人戴着手套并涂上扶手椅。")</f>
        <v>然后看到一个人戴着手套并涂上扶手椅。</v>
      </c>
    </row>
    <row r="14769">
      <c r="A14769" s="4" t="s">
        <v>18595</v>
      </c>
      <c r="B14769" s="4" t="s">
        <v>18598</v>
      </c>
      <c r="C14769" s="5" t="str">
        <f>IFERROR(__xludf.DUMMYFUNCTION("GOOGLETRANSLATE(B14769,""en"",""zh-CN"")"),"该人继续绘画椅子并最终炫耀。")</f>
        <v>该人继续绘画椅子并最终炫耀。</v>
      </c>
    </row>
    <row r="14770">
      <c r="A14770" s="4" t="s">
        <v>18599</v>
      </c>
      <c r="B14770" s="4" t="s">
        <v>18600</v>
      </c>
      <c r="C14770" s="5" t="str">
        <f>IFERROR(__xludf.DUMMYFUNCTION("GOOGLETRANSLATE(B14770,""en"",""zh-CN"")"),"孩子们在健身房踢室内足球的侧面显示。")</f>
        <v>孩子们在健身房踢室内足球的侧面显示。</v>
      </c>
    </row>
    <row r="14771">
      <c r="A14771" s="4" t="s">
        <v>18599</v>
      </c>
      <c r="B14771" s="4" t="s">
        <v>18601</v>
      </c>
      <c r="C14771" s="5" t="str">
        <f>IFERROR(__xludf.DUMMYFUNCTION("GOOGLETRANSLATE(B14771,""en"",""zh-CN"")"),"其中一个孩子迈出了伟大的举动，要绕过后卫和几乎得分。")</f>
        <v>其中一个孩子迈出了伟大的举动，要绕过后卫和几乎得分。</v>
      </c>
    </row>
    <row r="14772">
      <c r="A14772" s="4" t="s">
        <v>18599</v>
      </c>
      <c r="B14772" s="4" t="s">
        <v>18602</v>
      </c>
      <c r="C14772" s="5" t="str">
        <f>IFERROR(__xludf.DUMMYFUNCTION("GOOGLETRANSLATE(B14772,""en"",""zh-CN"")"),"然后，在视频结束之前，他在不同场合显示他的得分。")</f>
        <v>然后，在视频结束之前，他在不同场合显示他的得分。</v>
      </c>
    </row>
    <row r="14773">
      <c r="A14773" s="4" t="s">
        <v>18603</v>
      </c>
      <c r="B14773" s="4" t="s">
        <v>18604</v>
      </c>
      <c r="C14773" s="5" t="str">
        <f>IFERROR(__xludf.DUMMYFUNCTION("GOOGLETRANSLATE(B14773,""en"",""zh-CN"")"),"看到一个年轻人对镜头说话，并导致他将飞镖扔到木板上。")</f>
        <v>看到一个年轻人对镜头说话，并导致他将飞镖扔到木板上。</v>
      </c>
    </row>
    <row r="14774">
      <c r="A14774" s="4" t="s">
        <v>18603</v>
      </c>
      <c r="B14774" s="4" t="s">
        <v>18605</v>
      </c>
      <c r="C14774" s="5" t="str">
        <f>IFERROR(__xludf.DUMMYFUNCTION("GOOGLETRANSLATE(B14774,""en"",""zh-CN"")"),"当摄像机放大飞镖时，他举起双手举起。")</f>
        <v>当摄像机放大飞镖时，他举起双手举起。</v>
      </c>
    </row>
    <row r="14775">
      <c r="A14775" s="4" t="s">
        <v>18606</v>
      </c>
      <c r="B14775" s="4" t="s">
        <v>18607</v>
      </c>
      <c r="C14775" s="5" t="str">
        <f>IFERROR(__xludf.DUMMYFUNCTION("GOOGLETRANSLATE(B14775,""en"",""zh-CN"")"),"MJ的妈妈正在玩她的头发，使它张开。")</f>
        <v>MJ的妈妈正在玩她的头发，使它张开。</v>
      </c>
    </row>
    <row r="14776">
      <c r="A14776" s="4" t="s">
        <v>18606</v>
      </c>
      <c r="B14776" s="4" t="s">
        <v>18608</v>
      </c>
      <c r="C14776" s="5" t="str">
        <f>IFERROR(__xludf.DUMMYFUNCTION("GOOGLETRANSLATE(B14776,""en"",""zh-CN"")"),"她带着夹子夹在浴室里，出去洗礼和洗发水。")</f>
        <v>她带着夹子夹在浴室里，出去洗礼和洗发水。</v>
      </c>
    </row>
    <row r="14777">
      <c r="A14777" s="4" t="s">
        <v>18606</v>
      </c>
      <c r="B14777" s="6" t="s">
        <v>18609</v>
      </c>
      <c r="C14777" s="5" t="str">
        <f>IFERROR(__xludf.DUMMYFUNCTION("GOOGLETRANSLATE(B14777,""en"",""zh-CN"")"),"她开始将头发的东西涂在头发上并梳理，她开始分开头发并放入卷发器。")</f>
        <v>她开始将头发的东西涂在头发上并梳理，她开始分开头发并放入卷发器。</v>
      </c>
    </row>
    <row r="14778">
      <c r="A14778" s="4" t="s">
        <v>18606</v>
      </c>
      <c r="B14778" s="6" t="s">
        <v>18610</v>
      </c>
      <c r="C14778" s="5" t="str">
        <f>IFERROR(__xludf.DUMMYFUNCTION("GOOGLETRANSLATE(B14778,""en"",""zh-CN"")"),"当她等待拿出卷发器时，她开始谈论自己的头发在做什么，当她把头发拿出时，她的头发完全卷曲了。")</f>
        <v>当她等待拿出卷发器时，她开始谈论自己的头发在做什么，当她把头发拿出时，她的头发完全卷曲了。</v>
      </c>
    </row>
    <row r="14779">
      <c r="A14779" s="4" t="s">
        <v>18611</v>
      </c>
      <c r="B14779" s="6" t="s">
        <v>18612</v>
      </c>
      <c r="C14779" s="5" t="str">
        <f>IFERROR(__xludf.DUMMYFUNCTION("GOOGLETRANSLATE(B14779,""en"",""zh-CN"")"),"看到一个男人在拿着网球球拍时与镜头说话，并开始演示如何击球。")</f>
        <v>看到一个男人在拿着网球球拍时与镜头说话，并开始演示如何击球。</v>
      </c>
    </row>
    <row r="14780">
      <c r="A14780" s="4" t="s">
        <v>18611</v>
      </c>
      <c r="B14780" s="6" t="s">
        <v>18613</v>
      </c>
      <c r="C14780" s="5" t="str">
        <f>IFERROR(__xludf.DUMMYFUNCTION("GOOGLETRANSLATE(B14780,""en"",""zh-CN"")"),"该男子在健身房移动并挥舞相机时继续说话并击球。")</f>
        <v>该男子在健身房移动并挥舞相机时继续说话并击球。</v>
      </c>
    </row>
    <row r="14781">
      <c r="A14781" s="4" t="s">
        <v>18614</v>
      </c>
      <c r="B14781" s="4" t="s">
        <v>18615</v>
      </c>
      <c r="C14781" s="5" t="str">
        <f>IFERROR(__xludf.DUMMYFUNCTION("GOOGLETRANSLATE(B14781,""en"",""zh-CN"")"),"显示了圣诞树的特写，后面是装饰品的特写。")</f>
        <v>显示了圣诞树的特写，后面是装饰品的特写。</v>
      </c>
    </row>
    <row r="14782">
      <c r="A14782" s="4" t="s">
        <v>18614</v>
      </c>
      <c r="B14782" s="4" t="s">
        <v>18616</v>
      </c>
      <c r="C14782" s="5" t="str">
        <f>IFERROR(__xludf.DUMMYFUNCTION("GOOGLETRANSLATE(B14782,""en"",""zh-CN"")"),"然后看到两个人在树木的装饰周围移动，并关闭灯光。")</f>
        <v>然后看到两个人在树木的装饰周围移动，并关闭灯光。</v>
      </c>
    </row>
    <row r="14783">
      <c r="A14783" s="4" t="s">
        <v>18614</v>
      </c>
      <c r="B14783" s="4" t="s">
        <v>18617</v>
      </c>
      <c r="C14783" s="5" t="str">
        <f>IFERROR(__xludf.DUMMYFUNCTION("GOOGLETRANSLATE(B14783,""en"",""zh-CN"")"),"他们完成了装饰树，互相玩耍并大笑。")</f>
        <v>他们完成了装饰树，互相玩耍并大笑。</v>
      </c>
    </row>
    <row r="14784">
      <c r="A14784" s="4" t="s">
        <v>18614</v>
      </c>
      <c r="B14784" s="4" t="s">
        <v>18618</v>
      </c>
      <c r="C14784" s="5" t="str">
        <f>IFERROR(__xludf.DUMMYFUNCTION("GOOGLETRANSLATE(B14784,""en"",""zh-CN"")"),"最终，展示了树木的近距离和熊。")</f>
        <v>最终，展示了树木的近距离和熊。</v>
      </c>
    </row>
    <row r="14785">
      <c r="A14785" s="4" t="s">
        <v>18619</v>
      </c>
      <c r="B14785" s="4" t="s">
        <v>18620</v>
      </c>
      <c r="C14785" s="5" t="str">
        <f>IFERROR(__xludf.DUMMYFUNCTION("GOOGLETRANSLATE(B14785,""en"",""zh-CN"")"),"看到一个男人吹着一个吻，脱下外套并与另一个男人互动。")</f>
        <v>看到一个男人吹着一个吻，脱下外套并与另一个男人互动。</v>
      </c>
    </row>
    <row r="14786">
      <c r="A14786" s="4" t="s">
        <v>18619</v>
      </c>
      <c r="B14786" s="4" t="s">
        <v>18621</v>
      </c>
      <c r="C14786" s="5" t="str">
        <f>IFERROR(__xludf.DUMMYFUNCTION("GOOGLETRANSLATE(B14786,""en"",""zh-CN"")"),"当对方握住他的手时，该男子准备手臂，他假装踢头。")</f>
        <v>当对方握住他的手时，该男子准备手臂，他假装踢头。</v>
      </c>
    </row>
    <row r="14787">
      <c r="A14787" s="4" t="s">
        <v>18619</v>
      </c>
      <c r="B14787" s="6" t="s">
        <v>18622</v>
      </c>
      <c r="C14787" s="5" t="str">
        <f>IFERROR(__xludf.DUMMYFUNCTION("GOOGLETRANSLATE(B14787,""en"",""zh-CN"")"),"在展示食物时，越来越多的人加紧摔跤，失败者在他身上得到食物。")</f>
        <v>在展示食物时，越来越多的人加紧摔跤，失败者在他身上得到食物。</v>
      </c>
    </row>
    <row r="14788">
      <c r="A14788" s="4" t="s">
        <v>18623</v>
      </c>
      <c r="B14788" s="4" t="s">
        <v>18624</v>
      </c>
      <c r="C14788" s="5" t="str">
        <f>IFERROR(__xludf.DUMMYFUNCTION("GOOGLETRANSLATE(B14788,""en"",""zh-CN"")"),"看到两个人跪在地面上，彼此说话。")</f>
        <v>看到两个人跪在地面上，彼此说话。</v>
      </c>
    </row>
    <row r="14789">
      <c r="A14789" s="4" t="s">
        <v>18623</v>
      </c>
      <c r="B14789" s="6" t="s">
        <v>18625</v>
      </c>
      <c r="C14789" s="5" t="str">
        <f>IFERROR(__xludf.DUMMYFUNCTION("GOOGLETRANSLATE(B14789,""en"",""zh-CN"")"),"这些人继续在植物周围移动污垢，并站在树旁边，将根部拉开并在其周围倾倒更多土壤。")</f>
        <v>这些人继续在植物周围移动污垢，并站在树旁边，将根部拉开并在其周围倾倒更多土壤。</v>
      </c>
    </row>
    <row r="14790">
      <c r="A14790" s="4" t="s">
        <v>18626</v>
      </c>
      <c r="B14790" s="4" t="s">
        <v>18627</v>
      </c>
      <c r="C14790" s="5" t="str">
        <f>IFERROR(__xludf.DUMMYFUNCTION("GOOGLETRANSLATE(B14790,""en"",""zh-CN"")"),"泳池室显示了一个特写。")</f>
        <v>泳池室显示了一个特写。</v>
      </c>
    </row>
    <row r="14791">
      <c r="A14791" s="4" t="s">
        <v>18626</v>
      </c>
      <c r="B14791" s="4" t="s">
        <v>18628</v>
      </c>
      <c r="C14791" s="5" t="str">
        <f>IFERROR(__xludf.DUMMYFUNCTION("GOOGLETRANSLATE(B14791,""en"",""zh-CN"")"),"一个男人和女人进入房间，抓住提示。")</f>
        <v>一个男人和女人进入房间，抓住提示。</v>
      </c>
    </row>
    <row r="14792">
      <c r="A14792" s="4" t="s">
        <v>18626</v>
      </c>
      <c r="B14792" s="4" t="s">
        <v>18629</v>
      </c>
      <c r="C14792" s="5" t="str">
        <f>IFERROR(__xludf.DUMMYFUNCTION("GOOGLETRANSLATE(B14792,""en"",""zh-CN"")"),"他们一起参与游泳池游戏，将球撞到口袋里。")</f>
        <v>他们一起参与游泳池游戏，将球撞到口袋里。</v>
      </c>
    </row>
    <row r="14793">
      <c r="A14793" s="4" t="s">
        <v>18630</v>
      </c>
      <c r="B14793" s="6" t="s">
        <v>18631</v>
      </c>
      <c r="C14793" s="5" t="str">
        <f>IFERROR(__xludf.DUMMYFUNCTION("GOOGLETRANSLATE(B14793,""en"",""zh-CN"")"),"逐步说明要制作奶油意大利面，首先将意大利面放入沸水中并搅拌。")</f>
        <v>逐步说明要制作奶油意大利面，首先将意大利面放入沸水中并搅拌。</v>
      </c>
    </row>
    <row r="14794">
      <c r="A14794" s="4" t="s">
        <v>18630</v>
      </c>
      <c r="B14794" s="4" t="s">
        <v>18632</v>
      </c>
      <c r="C14794" s="5" t="str">
        <f>IFERROR(__xludf.DUMMYFUNCTION("GOOGLETRANSLATE(B14794,""en"",""zh-CN"")"),"然后在另一个锅中加入香肠和洋葱，然后将它们搅拌在一起。")</f>
        <v>然后在另一个锅中加入香肠和洋葱，然后将它们搅拌在一起。</v>
      </c>
    </row>
    <row r="14795">
      <c r="A14795" s="4" t="s">
        <v>18630</v>
      </c>
      <c r="B14795" s="4" t="s">
        <v>18633</v>
      </c>
      <c r="C14795" s="5" t="str">
        <f>IFERROR(__xludf.DUMMYFUNCTION("GOOGLETRANSLATE(B14795,""en"",""zh-CN"")"),"加入西红柿和浓奶油使其糊状。")</f>
        <v>加入西红柿和浓奶油使其糊状。</v>
      </c>
    </row>
    <row r="14796">
      <c r="A14796" s="4" t="s">
        <v>18630</v>
      </c>
      <c r="B14796" s="4" t="s">
        <v>18634</v>
      </c>
      <c r="C14796" s="5" t="str">
        <f>IFERROR(__xludf.DUMMYFUNCTION("GOOGLETRANSLATE(B14796,""en"",""zh-CN"")"),"最终将意大利面加入其中，以及一些奶酪和欧芹片，然后将所有面食混合在一起。")</f>
        <v>最终将意大利面加入其中，以及一些奶酪和欧芹片，然后将所有面食混合在一起。</v>
      </c>
    </row>
    <row r="14797">
      <c r="A14797" s="4" t="s">
        <v>18635</v>
      </c>
      <c r="B14797" s="4" t="s">
        <v>18636</v>
      </c>
      <c r="C14797" s="5" t="str">
        <f>IFERROR(__xludf.DUMMYFUNCTION("GOOGLETRANSLATE(B14797,""en"",""zh-CN"")"),"一个男人站在一个年轻女孩旁边，穿着健身房穿着体操服，与镜头交谈。")</f>
        <v>一个男人站在一个年轻女孩旁边，穿着健身房穿着体操服，与镜头交谈。</v>
      </c>
    </row>
    <row r="14798">
      <c r="A14798" s="4" t="s">
        <v>18635</v>
      </c>
      <c r="B14798" s="6" t="s">
        <v>18637</v>
      </c>
      <c r="C14798" s="5" t="str">
        <f>IFERROR(__xludf.DUMMYFUNCTION("GOOGLETRANSLATE(B14798,""en"",""zh-CN"")"),"然后，该男子在体操练习中指导女孩在健身酒吧上的教练，因为女孩在健身房里的健身房里摇摆在酒吧里，这些孩子充满了其他练习体操的孩子。")</f>
        <v>然后，该男子在体操练习中指导女孩在健身酒吧上的教练，因为女孩在健身房里的健身房里摇摆在酒吧里，这些孩子充满了其他练习体操的孩子。</v>
      </c>
    </row>
    <row r="14799">
      <c r="A14799" s="4" t="s">
        <v>18635</v>
      </c>
      <c r="B14799" s="4" t="s">
        <v>18638</v>
      </c>
      <c r="C14799" s="5" t="str">
        <f>IFERROR(__xludf.DUMMYFUNCTION("GOOGLETRANSLATE(B14799,""en"",""zh-CN"")"),"然后，男人再次关闭了女孩旁边，然后聊着相机。")</f>
        <v>然后，男人再次关闭了女孩旁边，然后聊着相机。</v>
      </c>
    </row>
    <row r="14800">
      <c r="A14800" s="4" t="s">
        <v>18639</v>
      </c>
      <c r="B14800" s="4" t="s">
        <v>18640</v>
      </c>
      <c r="C14800" s="5" t="str">
        <f>IFERROR(__xludf.DUMMYFUNCTION("GOOGLETRANSLATE(B14800,""en"",""zh-CN"")"),"一个人在波涛汹涌的海水中冲浪。")</f>
        <v>一个人在波涛汹涌的海水中冲浪。</v>
      </c>
    </row>
    <row r="14801">
      <c r="A14801" s="4" t="s">
        <v>18639</v>
      </c>
      <c r="B14801" s="6" t="s">
        <v>18641</v>
      </c>
      <c r="C14801" s="5" t="str">
        <f>IFERROR(__xludf.DUMMYFUNCTION("GOOGLETRANSLATE(B14801,""en"",""zh-CN"")"),"一个女人站在前面的游泳池里说话，然后显示了一个幻灯片，并显示了一个男人在事件中说话。")</f>
        <v>一个女人站在前面的游泳池里说话，然后显示了一个幻灯片，并显示了一个男人在事件中说话。</v>
      </c>
    </row>
    <row r="14802">
      <c r="A14802" s="4" t="s">
        <v>18639</v>
      </c>
      <c r="B14802" s="4" t="s">
        <v>18642</v>
      </c>
      <c r="C14802" s="5" t="str">
        <f>IFERROR(__xludf.DUMMYFUNCTION("GOOGLETRANSLATE(B14802,""en"",""zh-CN"")"),"然后，当人们跳舞和表演时，英格兰的哈里王子坐在一个活动中。")</f>
        <v>然后，当人们跳舞和表演时，英格兰的哈里王子坐在一个活动中。</v>
      </c>
    </row>
    <row r="14803">
      <c r="A14803" s="4" t="s">
        <v>18639</v>
      </c>
      <c r="B14803" s="6" t="s">
        <v>18643</v>
      </c>
      <c r="C14803" s="5" t="str">
        <f>IFERROR(__xludf.DUMMYFUNCTION("GOOGLETRANSLATE(B14803,""en"",""zh-CN"")"),"之后，人们在田野里玩马球，骑马用杆子扔球，还有女人和男人说话。")</f>
        <v>之后，人们在田野里玩马球，骑马用杆子扔球，还有女人和男人说话。</v>
      </c>
    </row>
    <row r="14804">
      <c r="A14804" s="4" t="s">
        <v>18644</v>
      </c>
      <c r="B14804" s="4" t="s">
        <v>18645</v>
      </c>
      <c r="C14804" s="5" t="str">
        <f>IFERROR(__xludf.DUMMYFUNCTION("GOOGLETRANSLATE(B14804,""en"",""zh-CN"")"),"几张照片显示了人们在大型体育馆中进行令人印象深刻的体操翻转。")</f>
        <v>几张照片显示了人们在大型体育馆中进行令人印象深刻的体操翻转。</v>
      </c>
    </row>
    <row r="14805">
      <c r="A14805" s="4" t="s">
        <v>18644</v>
      </c>
      <c r="B14805" s="6" t="s">
        <v>18646</v>
      </c>
      <c r="C14805" s="5" t="str">
        <f>IFERROR(__xludf.DUMMYFUNCTION("GOOGLETRANSLATE(B14805,""en"",""zh-CN"")"),"人们不断地在垫子上进行翻转和窍门，其中一些被慢动作和图片显示。")</f>
        <v>人们不断地在垫子上进行翻转和窍门，其中一些被慢动作和图片显示。</v>
      </c>
    </row>
    <row r="14806">
      <c r="A14806" s="4" t="s">
        <v>18647</v>
      </c>
      <c r="B14806" s="4" t="s">
        <v>18648</v>
      </c>
      <c r="C14806" s="5" t="str">
        <f>IFERROR(__xludf.DUMMYFUNCTION("GOOGLETRANSLATE(B14806,""en"",""zh-CN"")"),"一个男人拿着酒杯并说话。")</f>
        <v>一个男人拿着酒杯并说话。</v>
      </c>
    </row>
    <row r="14807">
      <c r="A14807" s="4" t="s">
        <v>18647</v>
      </c>
      <c r="B14807" s="4" t="s">
        <v>18649</v>
      </c>
      <c r="C14807" s="5" t="str">
        <f>IFERROR(__xludf.DUMMYFUNCTION("GOOGLETRANSLATE(B14807,""en"",""zh-CN"")"),"他喝了一杯葡萄酒，将玻璃杯放下。")</f>
        <v>他喝了一杯葡萄酒，将玻璃杯放下。</v>
      </c>
    </row>
    <row r="14808">
      <c r="A14808" s="4" t="s">
        <v>18647</v>
      </c>
      <c r="B14808" s="4" t="s">
        <v>18650</v>
      </c>
      <c r="C14808" s="5" t="str">
        <f>IFERROR(__xludf.DUMMYFUNCTION("GOOGLETRANSLATE(B14808,""en"",""zh-CN"")"),"他展示了坐在柜台上的瓶子。")</f>
        <v>他展示了坐在柜台上的瓶子。</v>
      </c>
    </row>
    <row r="14809">
      <c r="A14809" s="4" t="s">
        <v>18647</v>
      </c>
      <c r="B14809" s="4" t="s">
        <v>18651</v>
      </c>
      <c r="C14809" s="5" t="str">
        <f>IFERROR(__xludf.DUMMYFUNCTION("GOOGLETRANSLATE(B14809,""en"",""zh-CN"")"),"他将油倒入炉子上的锅中。")</f>
        <v>他将油倒入炉子上的锅中。</v>
      </c>
    </row>
    <row r="14810">
      <c r="A14810" s="4" t="s">
        <v>18647</v>
      </c>
      <c r="B14810" s="4" t="s">
        <v>18652</v>
      </c>
      <c r="C14810" s="5" t="str">
        <f>IFERROR(__xludf.DUMMYFUNCTION("GOOGLETRANSLATE(B14810,""en"",""zh-CN"")"),"他在锅中添加了调味料。")</f>
        <v>他在锅中添加了调味料。</v>
      </c>
    </row>
    <row r="14811">
      <c r="A14811" s="4" t="s">
        <v>18647</v>
      </c>
      <c r="B14811" s="4" t="s">
        <v>18653</v>
      </c>
      <c r="C14811" s="5" t="str">
        <f>IFERROR(__xludf.DUMMYFUNCTION("GOOGLETRANSLATE(B14811,""en"",""zh-CN"")"),"他搅拌了一个炉子上的锅。")</f>
        <v>他搅拌了一个炉子上的锅。</v>
      </c>
    </row>
    <row r="14812">
      <c r="A14812" s="4" t="s">
        <v>18647</v>
      </c>
      <c r="B14812" s="4" t="s">
        <v>18654</v>
      </c>
      <c r="C14812" s="5" t="str">
        <f>IFERROR(__xludf.DUMMYFUNCTION("GOOGLETRANSLATE(B14812,""en"",""zh-CN"")"),"他拿了一勺锅中的东西，并将其添加到锅中。")</f>
        <v>他拿了一勺锅中的东西，并将其添加到锅中。</v>
      </c>
    </row>
    <row r="14813">
      <c r="A14813" s="4" t="s">
        <v>18647</v>
      </c>
      <c r="B14813" s="4" t="s">
        <v>18655</v>
      </c>
      <c r="C14813" s="5" t="str">
        <f>IFERROR(__xludf.DUMMYFUNCTION("GOOGLETRANSLATE(B14813,""en"",""zh-CN"")"),"他开始搅拌锅中的意大利面。")</f>
        <v>他开始搅拌锅中的意大利面。</v>
      </c>
    </row>
    <row r="14814">
      <c r="A14814" s="4" t="s">
        <v>18647</v>
      </c>
      <c r="B14814" s="4" t="s">
        <v>18656</v>
      </c>
      <c r="C14814" s="5" t="str">
        <f>IFERROR(__xludf.DUMMYFUNCTION("GOOGLETRANSLATE(B14814,""en"",""zh-CN"")"),"他将面食从锅中铲出到盘子上。")</f>
        <v>他将面食从锅中铲出到盘子上。</v>
      </c>
    </row>
    <row r="14815">
      <c r="A14815" s="4" t="s">
        <v>18647</v>
      </c>
      <c r="B14815" s="4" t="s">
        <v>18657</v>
      </c>
      <c r="C14815" s="5" t="str">
        <f>IFERROR(__xludf.DUMMYFUNCTION("GOOGLETRANSLATE(B14815,""en"",""zh-CN"")"),"他再次拿起酒杯。")</f>
        <v>他再次拿起酒杯。</v>
      </c>
    </row>
    <row r="14816">
      <c r="A14816" s="4" t="s">
        <v>18658</v>
      </c>
      <c r="B14816" s="4" t="s">
        <v>18659</v>
      </c>
      <c r="C14816" s="5" t="str">
        <f>IFERROR(__xludf.DUMMYFUNCTION("GOOGLETRANSLATE(B14816,""en"",""zh-CN"")"),"一群越野骑自行车的人正在等待坡道。")</f>
        <v>一群越野骑自行车的人正在等待坡道。</v>
      </c>
    </row>
    <row r="14817">
      <c r="A14817" s="4" t="s">
        <v>18658</v>
      </c>
      <c r="B14817" s="4" t="s">
        <v>18660</v>
      </c>
      <c r="C14817" s="5" t="str">
        <f>IFERROR(__xludf.DUMMYFUNCTION("GOOGLETRANSLATE(B14817,""en"",""zh-CN"")"),"他们在打开时起飞，在赛道上四处走动，互相比赛。")</f>
        <v>他们在打开时起飞，在赛道上四处走动，互相比赛。</v>
      </c>
    </row>
    <row r="14818">
      <c r="A14818" s="4" t="s">
        <v>18658</v>
      </c>
      <c r="B14818" s="4" t="s">
        <v>18661</v>
      </c>
      <c r="C14818" s="5" t="str">
        <f>IFERROR(__xludf.DUMMYFUNCTION("GOOGLETRANSLATE(B14818,""en"",""zh-CN"")"),"有些人从他们的自行车上掉下来。")</f>
        <v>有些人从他们的自行车上掉下来。</v>
      </c>
    </row>
    <row r="14819">
      <c r="A14819" s="4" t="s">
        <v>18658</v>
      </c>
      <c r="B14819" s="4" t="s">
        <v>18662</v>
      </c>
      <c r="C14819" s="5" t="str">
        <f>IFERROR(__xludf.DUMMYFUNCTION("GOOGLETRANSLATE(B14819,""en"",""zh-CN"")"),"他们通过终点线完成比赛，结束了比赛。")</f>
        <v>他们通过终点线完成比赛，结束了比赛。</v>
      </c>
    </row>
    <row r="14820">
      <c r="A14820" s="4" t="s">
        <v>18663</v>
      </c>
      <c r="B14820" s="4" t="s">
        <v>18664</v>
      </c>
      <c r="C14820" s="5" t="str">
        <f>IFERROR(__xludf.DUMMYFUNCTION("GOOGLETRANSLATE(B14820,""en"",""zh-CN"")"),"一个女人用一对跳跃设备迈出了几步。")</f>
        <v>一个女人用一对跳跃设备迈出了几步。</v>
      </c>
    </row>
    <row r="14821">
      <c r="A14821" s="4" t="s">
        <v>18663</v>
      </c>
      <c r="B14821" s="4" t="s">
        <v>18665</v>
      </c>
      <c r="C14821" s="5" t="str">
        <f>IFERROR(__xludf.DUMMYFUNCTION("GOOGLETRANSLATE(B14821,""en"",""zh-CN"")"),"女人开始迅速跳来跳去。")</f>
        <v>女人开始迅速跳来跳去。</v>
      </c>
    </row>
    <row r="14822">
      <c r="A14822" s="4" t="s">
        <v>18663</v>
      </c>
      <c r="B14822" s="4" t="s">
        <v>18666</v>
      </c>
      <c r="C14822" s="5" t="str">
        <f>IFERROR(__xludf.DUMMYFUNCTION("GOOGLETRANSLATE(B14822,""en"",""zh-CN"")"),"该名男子也是一个男人加入的，他也在一对跳跃机构中跳来跳去。")</f>
        <v>该名男子也是一个男人加入的，他也在一对跳跃机构中跳来跳去。</v>
      </c>
    </row>
    <row r="14823">
      <c r="A14823" s="4" t="s">
        <v>18667</v>
      </c>
      <c r="B14823" s="4" t="s">
        <v>18668</v>
      </c>
      <c r="C14823" s="5" t="str">
        <f>IFERROR(__xludf.DUMMYFUNCTION("GOOGLETRANSLATE(B14823,""en"",""zh-CN"")"),"看到一个男人骑在一条长河上，另一个人骑在后面。")</f>
        <v>看到一个男人骑在一条长河上，另一个人骑在后面。</v>
      </c>
    </row>
    <row r="14824">
      <c r="A14824" s="4" t="s">
        <v>18667</v>
      </c>
      <c r="B14824" s="4" t="s">
        <v>18669</v>
      </c>
      <c r="C14824" s="5" t="str">
        <f>IFERROR(__xludf.DUMMYFUNCTION("GOOGLETRANSLATE(B14824,""en"",""zh-CN"")"),"摄像机过渡到几个骑着管子的人，然后将自己推到河上。")</f>
        <v>摄像机过渡到几个骑着管子的人，然后将自己推到河上。</v>
      </c>
    </row>
    <row r="14825">
      <c r="A14825" s="4" t="s">
        <v>18670</v>
      </c>
      <c r="B14825" s="4" t="s">
        <v>18671</v>
      </c>
      <c r="C14825" s="5" t="str">
        <f>IFERROR(__xludf.DUMMYFUNCTION("GOOGLETRANSLATE(B14825,""en"",""zh-CN"")"),"看到一个女孩躺在桌子上，而一个戴着手套的男人则将剪刀绑在她的肚脐上。")</f>
        <v>看到一个女孩躺在桌子上，而一个戴着手套的男人则将剪刀绑在她的肚脐上。</v>
      </c>
    </row>
    <row r="14826">
      <c r="A14826" s="4" t="s">
        <v>18670</v>
      </c>
      <c r="B14826" s="4" t="s">
        <v>18672</v>
      </c>
      <c r="C14826" s="5" t="str">
        <f>IFERROR(__xludf.DUMMYFUNCTION("GOOGLETRANSLATE(B14826,""en"",""zh-CN"")"),"然后，他刺穿了女孩的肚子，她坐起来，在微笑着走开。")</f>
        <v>然后，他刺穿了女孩的肚子，她坐起来，在微笑着走开。</v>
      </c>
    </row>
    <row r="14827">
      <c r="A14827" s="4" t="s">
        <v>18673</v>
      </c>
      <c r="B14827" s="6" t="s">
        <v>18674</v>
      </c>
      <c r="C14827" s="5" t="str">
        <f>IFERROR(__xludf.DUMMYFUNCTION("GOOGLETRANSLATE(B14827,""en"",""zh-CN"")"),"一个男人在战斗=，他有一张粉红色的床单，并从向他走来的公牛倒退。")</f>
        <v>一个男人在战斗=，他有一张粉红色的床单，并从向他走来的公牛倒退。</v>
      </c>
    </row>
    <row r="14828">
      <c r="A14828" s="4" t="s">
        <v>18673</v>
      </c>
      <c r="B14828" s="4" t="s">
        <v>18675</v>
      </c>
      <c r="C14828" s="5" t="str">
        <f>IFERROR(__xludf.DUMMYFUNCTION("GOOGLETRANSLATE(B14828,""en"",""zh-CN"")"),"现在有三个人，其中一个被公牛完全践踏。")</f>
        <v>现在有三个人，其中一个被公牛完全践踏。</v>
      </c>
    </row>
    <row r="14829">
      <c r="A14829" s="4" t="s">
        <v>18673</v>
      </c>
      <c r="B14829" s="4" t="s">
        <v>18676</v>
      </c>
      <c r="C14829" s="5" t="str">
        <f>IFERROR(__xludf.DUMMYFUNCTION("GOOGLETRANSLATE(B14829,""en"",""zh-CN"")"),"然后大约六个人站在一条与公牛混乱的界线中。")</f>
        <v>然后大约六个人站在一条与公牛混乱的界线中。</v>
      </c>
    </row>
    <row r="14830">
      <c r="A14830" s="4" t="s">
        <v>18673</v>
      </c>
      <c r="B14830" s="4" t="s">
        <v>18677</v>
      </c>
      <c r="C14830" s="5" t="str">
        <f>IFERROR(__xludf.DUMMYFUNCTION("GOOGLETRANSLATE(B14830,""en"",""zh-CN"")"),"公牛弄乱他是非常危险的，这些人会严重受伤。")</f>
        <v>公牛弄乱他是非常危险的，这些人会严重受伤。</v>
      </c>
    </row>
    <row r="14831">
      <c r="A14831" s="4" t="s">
        <v>18678</v>
      </c>
      <c r="B14831" s="4" t="s">
        <v>18679</v>
      </c>
      <c r="C14831" s="5" t="str">
        <f>IFERROR(__xludf.DUMMYFUNCTION("GOOGLETRANSLATE(B14831,""en"",""zh-CN"")"),"可以看到彩色的标题屏幕。")</f>
        <v>可以看到彩色的标题屏幕。</v>
      </c>
    </row>
    <row r="14832">
      <c r="A14832" s="4" t="s">
        <v>18678</v>
      </c>
      <c r="B14832" s="4" t="s">
        <v>18680</v>
      </c>
      <c r="C14832" s="5" t="str">
        <f>IFERROR(__xludf.DUMMYFUNCTION("GOOGLETRANSLATE(B14832,""en"",""zh-CN"")"),"两个房间里的两个人慢慢跳动。")</f>
        <v>两个房间里的两个人慢慢跳动。</v>
      </c>
    </row>
    <row r="14833">
      <c r="A14833" s="4" t="s">
        <v>18678</v>
      </c>
      <c r="B14833" s="4" t="s">
        <v>18681</v>
      </c>
      <c r="C14833" s="5" t="str">
        <f>IFERROR(__xludf.DUMMYFUNCTION("GOOGLETRANSLATE(B14833,""en"",""zh-CN"")"),"标题屏幕加载，我们看到那个人独自跳舞。")</f>
        <v>标题屏幕加载，我们看到那个人独自跳舞。</v>
      </c>
    </row>
    <row r="14834">
      <c r="A14834" s="4" t="s">
        <v>18678</v>
      </c>
      <c r="B14834" s="4" t="s">
        <v>18682</v>
      </c>
      <c r="C14834" s="5" t="str">
        <f>IFERROR(__xludf.DUMMYFUNCTION("GOOGLETRANSLATE(B14834,""en"",""zh-CN"")"),"我们看到一个头衔和绿色房间里的女士独自跳舞。")</f>
        <v>我们看到一个头衔和绿色房间里的女士独自跳舞。</v>
      </c>
    </row>
    <row r="14835">
      <c r="A14835" s="4" t="s">
        <v>18678</v>
      </c>
      <c r="B14835" s="4" t="s">
        <v>18683</v>
      </c>
      <c r="C14835" s="5" t="str">
        <f>IFERROR(__xludf.DUMMYFUNCTION("GOOGLETRANSLATE(B14835,""en"",""zh-CN"")"),"标题加载了，我们在跳舞时看到该男子的脚。")</f>
        <v>标题加载了，我们在跳舞时看到该男子的脚。</v>
      </c>
    </row>
    <row r="14836">
      <c r="A14836" s="4" t="s">
        <v>18678</v>
      </c>
      <c r="B14836" s="4" t="s">
        <v>18684</v>
      </c>
      <c r="C14836" s="5" t="str">
        <f>IFERROR(__xludf.DUMMYFUNCTION("GOOGLETRANSLATE(B14836,""en"",""zh-CN"")"),"标题加载，我们在跳舞时看到女士的脚。")</f>
        <v>标题加载，我们在跳舞时看到女士的脚。</v>
      </c>
    </row>
    <row r="14837">
      <c r="A14837" s="4" t="s">
        <v>18685</v>
      </c>
      <c r="B14837" s="4" t="s">
        <v>18686</v>
      </c>
      <c r="C14837" s="5" t="str">
        <f>IFERROR(__xludf.DUMMYFUNCTION("GOOGLETRANSLATE(B14837,""en"",""zh-CN"")"),"看到一个男人在梳理头发并环顾浴室时在相机上说话。")</f>
        <v>看到一个男人在梳理头发并环顾浴室时在相机上说话。</v>
      </c>
    </row>
    <row r="14838">
      <c r="A14838" s="4" t="s">
        <v>18685</v>
      </c>
      <c r="B14838" s="4" t="s">
        <v>18687</v>
      </c>
      <c r="C14838" s="5" t="str">
        <f>IFERROR(__xludf.DUMMYFUNCTION("GOOGLETRANSLATE(B14838,""en"",""zh-CN"")"),"该男子继续梳理头发，开始玩他的面部头发。")</f>
        <v>该男子继续梳理头发，开始玩他的面部头发。</v>
      </c>
    </row>
    <row r="14839">
      <c r="A14839" s="4" t="s">
        <v>18685</v>
      </c>
      <c r="B14839" s="4" t="s">
        <v>18688</v>
      </c>
      <c r="C14839" s="5" t="str">
        <f>IFERROR(__xludf.DUMMYFUNCTION("GOOGLETRANSLATE(B14839,""en"",""zh-CN"")"),"那个男人将相机指向他的头部，炫耀他的头发，并向相机微笑。")</f>
        <v>那个男人将相机指向他的头部，炫耀他的头发，并向相机微笑。</v>
      </c>
    </row>
    <row r="14840">
      <c r="A14840" s="4" t="s">
        <v>18689</v>
      </c>
      <c r="B14840" s="4" t="s">
        <v>18690</v>
      </c>
      <c r="C14840" s="5" t="str">
        <f>IFERROR(__xludf.DUMMYFUNCTION("GOOGLETRANSLATE(B14840,""en"",""zh-CN"")"),"当足球在电视上，人们正在建筑物内部打室内网球。")</f>
        <v>当足球在电视上，人们正在建筑物内部打室内网球。</v>
      </c>
    </row>
    <row r="14841">
      <c r="A14841" s="4" t="s">
        <v>18689</v>
      </c>
      <c r="B14841" s="4" t="s">
        <v>18691</v>
      </c>
      <c r="C14841" s="5" t="str">
        <f>IFERROR(__xludf.DUMMYFUNCTION("GOOGLETRANSLATE(B14841,""en"",""zh-CN"")"),"他们来回击球一会儿。")</f>
        <v>他们来回击球一会儿。</v>
      </c>
    </row>
    <row r="14842">
      <c r="A14842" s="4" t="s">
        <v>18689</v>
      </c>
      <c r="B14842" s="4" t="s">
        <v>18692</v>
      </c>
      <c r="C14842" s="5" t="str">
        <f>IFERROR(__xludf.DUMMYFUNCTION("GOOGLETRANSLATE(B14842,""en"",""zh-CN"")"),"房间里的其他男人偶尔抬头。")</f>
        <v>房间里的其他男人偶尔抬头。</v>
      </c>
    </row>
    <row r="14843">
      <c r="A14843" s="4" t="s">
        <v>18693</v>
      </c>
      <c r="B14843" s="4" t="s">
        <v>18694</v>
      </c>
      <c r="C14843" s="5" t="str">
        <f>IFERROR(__xludf.DUMMYFUNCTION("GOOGLETRANSLATE(B14843,""en"",""zh-CN"")"),"我们在工作室里看到新闻媒体。")</f>
        <v>我们在工作室里看到新闻媒体。</v>
      </c>
    </row>
    <row r="14844">
      <c r="A14844" s="4" t="s">
        <v>18693</v>
      </c>
      <c r="B14844" s="4" t="s">
        <v>18695</v>
      </c>
      <c r="C14844" s="5" t="str">
        <f>IFERROR(__xludf.DUMMYFUNCTION("GOOGLETRANSLATE(B14844,""en"",""zh-CN"")"),"然后，我们在室内看到足球比赛。")</f>
        <v>然后，我们在室内看到足球比赛。</v>
      </c>
    </row>
    <row r="14845">
      <c r="A14845" s="4" t="s">
        <v>18693</v>
      </c>
      <c r="B14845" s="4" t="s">
        <v>18696</v>
      </c>
      <c r="C14845" s="5" t="str">
        <f>IFERROR(__xludf.DUMMYFUNCTION("GOOGLETRANSLATE(B14845,""en"",""zh-CN"")"),"一个男人在镜头前说话，我们看到人群。")</f>
        <v>一个男人在镜头前说话，我们看到人群。</v>
      </c>
    </row>
    <row r="14846">
      <c r="A14846" s="4" t="s">
        <v>18693</v>
      </c>
      <c r="B14846" s="4" t="s">
        <v>18697</v>
      </c>
      <c r="C14846" s="5" t="str">
        <f>IFERROR(__xludf.DUMMYFUNCTION("GOOGLETRANSLATE(B14846,""en"",""zh-CN"")"),"我们看到了正在进行的游戏。")</f>
        <v>我们看到了正在进行的游戏。</v>
      </c>
    </row>
    <row r="14847">
      <c r="A14847" s="4" t="s">
        <v>18693</v>
      </c>
      <c r="B14847" s="4" t="s">
        <v>18698</v>
      </c>
      <c r="C14847" s="5" t="str">
        <f>IFERROR(__xludf.DUMMYFUNCTION("GOOGLETRANSLATE(B14847,""en"",""zh-CN"")"),"该男子再次交谈，我们再次看到游戏。")</f>
        <v>该男子再次交谈，我们再次看到游戏。</v>
      </c>
    </row>
    <row r="14848">
      <c r="A14848" s="4" t="s">
        <v>18693</v>
      </c>
      <c r="B14848" s="4" t="s">
        <v>18699</v>
      </c>
      <c r="C14848" s="5" t="str">
        <f>IFERROR(__xludf.DUMMYFUNCTION("GOOGLETRANSLATE(B14848,""en"",""zh-CN"")"),"该男子再谈一次，我们返回游戏。")</f>
        <v>该男子再谈一次，我们返回游戏。</v>
      </c>
    </row>
    <row r="14849">
      <c r="A14849" s="4" t="s">
        <v>18693</v>
      </c>
      <c r="B14849" s="4" t="s">
        <v>18700</v>
      </c>
      <c r="C14849" s="5" t="str">
        <f>IFERROR(__xludf.DUMMYFUNCTION("GOOGLETRANSLATE(B14849,""en"",""zh-CN"")"),"我们再次在录音室中看到新闻媒体。")</f>
        <v>我们再次在录音室中看到新闻媒体。</v>
      </c>
    </row>
    <row r="14850">
      <c r="A14850" s="4" t="s">
        <v>18701</v>
      </c>
      <c r="B14850" s="4" t="s">
        <v>18702</v>
      </c>
      <c r="C14850" s="5" t="str">
        <f>IFERROR(__xludf.DUMMYFUNCTION("GOOGLETRANSLATE(B14850,""en"",""zh-CN"")"),"我们看到许多男人投掷飞镖和一个保持得分的女人。")</f>
        <v>我们看到许多男人投掷飞镖和一个保持得分的女人。</v>
      </c>
    </row>
    <row r="14851">
      <c r="A14851" s="4" t="s">
        <v>18701</v>
      </c>
      <c r="B14851" s="4" t="s">
        <v>18703</v>
      </c>
      <c r="C14851" s="5" t="str">
        <f>IFERROR(__xludf.DUMMYFUNCTION("GOOGLETRANSLATE(B14851,""en"",""zh-CN"")"),"该男子抓住飞镖从董事会上拿走，走开了。")</f>
        <v>该男子抓住飞镖从董事会上拿走，走开了。</v>
      </c>
    </row>
    <row r="14852">
      <c r="A14852" s="4" t="s">
        <v>18701</v>
      </c>
      <c r="B14852" s="4" t="s">
        <v>18704</v>
      </c>
      <c r="C14852" s="5" t="str">
        <f>IFERROR(__xludf.DUMMYFUNCTION("GOOGLETRANSLATE(B14852,""en"",""zh-CN"")"),"另一个男人射击，抓住飞镖。")</f>
        <v>另一个男人射击，抓住飞镖。</v>
      </c>
    </row>
    <row r="14853">
      <c r="A14853" s="4" t="s">
        <v>18701</v>
      </c>
      <c r="B14853" s="4" t="s">
        <v>18705</v>
      </c>
      <c r="C14853" s="5" t="str">
        <f>IFERROR(__xludf.DUMMYFUNCTION("GOOGLETRANSLATE(B14853,""en"",""zh-CN"")"),"第三个人射击飞镖。")</f>
        <v>第三个人射击飞镖。</v>
      </c>
    </row>
    <row r="14854">
      <c r="A14854" s="4" t="s">
        <v>18701</v>
      </c>
      <c r="B14854" s="4" t="s">
        <v>18706</v>
      </c>
      <c r="C14854" s="5" t="str">
        <f>IFERROR(__xludf.DUMMYFUNCTION("GOOGLETRANSLATE(B14854,""en"",""zh-CN"")"),"第四个家伙射击了。")</f>
        <v>第四个家伙射击了。</v>
      </c>
    </row>
    <row r="14855">
      <c r="A14855" s="4" t="s">
        <v>18701</v>
      </c>
      <c r="B14855" s="4" t="s">
        <v>18707</v>
      </c>
      <c r="C14855" s="5" t="str">
        <f>IFERROR(__xludf.DUMMYFUNCTION("GOOGLETRANSLATE(B14855,""en"",""zh-CN"")"),"第一个家伙返回了另一个机会。")</f>
        <v>第一个家伙返回了另一个机会。</v>
      </c>
    </row>
    <row r="14856">
      <c r="A14856" s="4" t="s">
        <v>18701</v>
      </c>
      <c r="B14856" s="4" t="s">
        <v>18708</v>
      </c>
      <c r="C14856" s="5" t="str">
        <f>IFERROR(__xludf.DUMMYFUNCTION("GOOGLETRANSLATE(B14856,""en"",""zh-CN"")"),"第二个家伙又去了。")</f>
        <v>第二个家伙又去了。</v>
      </c>
    </row>
    <row r="14857">
      <c r="A14857" s="4" t="s">
        <v>18701</v>
      </c>
      <c r="B14857" s="4" t="s">
        <v>18709</v>
      </c>
      <c r="C14857" s="5" t="str">
        <f>IFERROR(__xludf.DUMMYFUNCTION("GOOGLETRANSLATE(B14857,""en"",""zh-CN"")"),"第三个家伙再次扮演。")</f>
        <v>第三个家伙再次扮演。</v>
      </c>
    </row>
    <row r="14858">
      <c r="A14858" s="4" t="s">
        <v>18701</v>
      </c>
      <c r="B14858" s="4" t="s">
        <v>18710</v>
      </c>
      <c r="C14858" s="5" t="str">
        <f>IFERROR(__xludf.DUMMYFUNCTION("GOOGLETRANSLATE(B14858,""en"",""zh-CN"")"),"第四个人轮到他了。")</f>
        <v>第四个人轮到他了。</v>
      </c>
    </row>
    <row r="14859">
      <c r="A14859" s="4" t="s">
        <v>18701</v>
      </c>
      <c r="B14859" s="4" t="s">
        <v>18711</v>
      </c>
      <c r="C14859" s="5" t="str">
        <f>IFERROR(__xludf.DUMMYFUNCTION("GOOGLETRANSLATE(B14859,""en"",""zh-CN"")"),"我们看到他们重复。")</f>
        <v>我们看到他们重复。</v>
      </c>
    </row>
    <row r="14860">
      <c r="A14860" s="4" t="s">
        <v>18712</v>
      </c>
      <c r="B14860" s="4" t="s">
        <v>18713</v>
      </c>
      <c r="C14860" s="5" t="str">
        <f>IFERROR(__xludf.DUMMYFUNCTION("GOOGLETRANSLATE(B14860,""en"",""zh-CN"")"),"体操运动员准备安装梁。")</f>
        <v>体操运动员准备安装梁。</v>
      </c>
    </row>
    <row r="14861">
      <c r="A14861" s="4" t="s">
        <v>18712</v>
      </c>
      <c r="B14861" s="4" t="s">
        <v>18714</v>
      </c>
      <c r="C14861" s="5" t="str">
        <f>IFERROR(__xludf.DUMMYFUNCTION("GOOGLETRANSLATE(B14861,""en"",""zh-CN"")"),"他安装，然后旋转并翻转几次。")</f>
        <v>他安装，然后旋转并翻转几次。</v>
      </c>
    </row>
    <row r="14862">
      <c r="A14862" s="4" t="s">
        <v>18712</v>
      </c>
      <c r="B14862" s="4" t="s">
        <v>18715</v>
      </c>
      <c r="C14862" s="5" t="str">
        <f>IFERROR(__xludf.DUMMYFUNCTION("GOOGLETRANSLATE(B14862,""en"",""zh-CN"")"),"他卸下，将手臂抬到空中。")</f>
        <v>他卸下，将手臂抬到空中。</v>
      </c>
    </row>
    <row r="14863">
      <c r="A14863" s="4" t="s">
        <v>18716</v>
      </c>
      <c r="B14863" s="4" t="s">
        <v>18717</v>
      </c>
      <c r="C14863" s="5" t="str">
        <f>IFERROR(__xludf.DUMMYFUNCTION("GOOGLETRANSLATE(B14863,""en"",""zh-CN"")"),"我们看到了几个开放屏幕。")</f>
        <v>我们看到了几个开放屏幕。</v>
      </c>
    </row>
    <row r="14864">
      <c r="A14864" s="4" t="s">
        <v>18716</v>
      </c>
      <c r="B14864" s="4" t="s">
        <v>18718</v>
      </c>
      <c r="C14864" s="5" t="str">
        <f>IFERROR(__xludf.DUMMYFUNCTION("GOOGLETRANSLATE(B14864,""en"",""zh-CN"")"),"我们看到一个穿着蓝色衬衫保龄球的男人在保龄球馆里说话。")</f>
        <v>我们看到一个穿着蓝色衬衫保龄球的男人在保龄球馆里说话。</v>
      </c>
    </row>
    <row r="14865">
      <c r="A14865" s="4" t="s">
        <v>18716</v>
      </c>
      <c r="B14865" s="4" t="s">
        <v>18719</v>
      </c>
      <c r="C14865" s="5" t="str">
        <f>IFERROR(__xludf.DUMMYFUNCTION("GOOGLETRANSLATE(B14865,""en"",""zh-CN"")"),"该男子从分配器中挑选紫色球，然后与相机交谈。")</f>
        <v>该男子从分配器中挑选紫色球，然后与相机交谈。</v>
      </c>
    </row>
    <row r="14866">
      <c r="A14866" s="4" t="s">
        <v>18716</v>
      </c>
      <c r="B14866" s="4" t="s">
        <v>18720</v>
      </c>
      <c r="C14866" s="5" t="str">
        <f>IFERROR(__xludf.DUMMYFUNCTION("GOOGLETRANSLATE(B14866,""en"",""zh-CN"")"),"该男子将球拿出来，然后我们看到他将手指放在球上，然后与镜头交谈。")</f>
        <v>该男子将球拿出来，然后我们看到他将手指放在球上，然后与镜头交谈。</v>
      </c>
    </row>
    <row r="14867">
      <c r="A14867" s="4" t="s">
        <v>18716</v>
      </c>
      <c r="B14867" s="4" t="s">
        <v>18721</v>
      </c>
      <c r="C14867" s="5" t="str">
        <f>IFERROR(__xludf.DUMMYFUNCTION("GOOGLETRANSLATE(B14867,""en"",""zh-CN"")"),"该男子把球放下来，抓住另一个，然后另一个人说话。")</f>
        <v>该男子把球放下来，抓住另一个，然后另一个人说话。</v>
      </c>
    </row>
    <row r="14868">
      <c r="A14868" s="4" t="s">
        <v>18716</v>
      </c>
      <c r="B14868" s="4" t="s">
        <v>18722</v>
      </c>
      <c r="C14868" s="5" t="str">
        <f>IFERROR(__xludf.DUMMYFUNCTION("GOOGLETRANSLATE(B14868,""en"",""zh-CN"")"),"然后，我们看到那个人将球滚下过道。")</f>
        <v>然后，我们看到那个人将球滚下过道。</v>
      </c>
    </row>
    <row r="14869">
      <c r="A14869" s="4" t="s">
        <v>18723</v>
      </c>
      <c r="B14869" s="4" t="s">
        <v>18724</v>
      </c>
      <c r="C14869" s="5" t="str">
        <f>IFERROR(__xludf.DUMMYFUNCTION("GOOGLETRANSLATE(B14869,""en"",""zh-CN"")"),"一个男人用球拍为网球服务。")</f>
        <v>一个男人用球拍为网球服务。</v>
      </c>
    </row>
    <row r="14870">
      <c r="A14870" s="4" t="s">
        <v>18723</v>
      </c>
      <c r="B14870" s="4" t="s">
        <v>18725</v>
      </c>
      <c r="C14870" s="5" t="str">
        <f>IFERROR(__xludf.DUMMYFUNCTION("GOOGLETRANSLATE(B14870,""en"",""zh-CN"")"),"他把球拍带到他的身边。")</f>
        <v>他把球拍带到他的身边。</v>
      </c>
    </row>
    <row r="14871">
      <c r="A14871" s="4" t="s">
        <v>18726</v>
      </c>
      <c r="B14871" s="4" t="s">
        <v>18727</v>
      </c>
      <c r="C14871" s="5" t="str">
        <f>IFERROR(__xludf.DUMMYFUNCTION("GOOGLETRANSLATE(B14871,""en"",""zh-CN"")"),"小女孩在球场中间拿着警棍做体操。")</f>
        <v>小女孩在球场中间拿着警棍做体操。</v>
      </c>
    </row>
    <row r="14872">
      <c r="A14872" s="4" t="s">
        <v>18726</v>
      </c>
      <c r="B14872" s="4" t="s">
        <v>18728</v>
      </c>
      <c r="C14872" s="5" t="str">
        <f>IFERROR(__xludf.DUMMYFUNCTION("GOOGLETRANSLATE(B14872,""en"",""zh-CN"")"),"显示了女人的照片。")</f>
        <v>显示了女人的照片。</v>
      </c>
    </row>
    <row r="14873">
      <c r="A14873" s="4" t="s">
        <v>18729</v>
      </c>
      <c r="B14873" s="4" t="s">
        <v>18730</v>
      </c>
      <c r="C14873" s="5" t="str">
        <f>IFERROR(__xludf.DUMMYFUNCTION("GOOGLETRANSLATE(B14873,""en"",""zh-CN"")"),"穿着运动衣服的女人正在爬楼梯和与镜头交谈。")</f>
        <v>穿着运动衣服的女人正在爬楼梯和与镜头交谈。</v>
      </c>
    </row>
    <row r="14874">
      <c r="A14874" s="4" t="s">
        <v>18729</v>
      </c>
      <c r="B14874" s="6" t="s">
        <v>18731</v>
      </c>
      <c r="C14874" s="5" t="str">
        <f>IFERROR(__xludf.DUMMYFUNCTION("GOOGLETRANSLATE(B14874,""en"",""zh-CN"")"),"女人在体育馆在镜头和其他男人在轨道上进行运动时与其他男人聊天。")</f>
        <v>女人在体育馆在镜头和其他男人在轨道上进行运动时与其他男人聊天。</v>
      </c>
    </row>
    <row r="14875">
      <c r="A14875" s="4" t="s">
        <v>18732</v>
      </c>
      <c r="B14875" s="4" t="s">
        <v>18733</v>
      </c>
      <c r="C14875" s="5" t="str">
        <f>IFERROR(__xludf.DUMMYFUNCTION("GOOGLETRANSLATE(B14875,""en"",""zh-CN"")"),"一个人使用叶子鼓风机从草坪和人行道上吹下叶。")</f>
        <v>一个人使用叶子鼓风机从草坪和人行道上吹下叶。</v>
      </c>
    </row>
    <row r="14876">
      <c r="A14876" s="4" t="s">
        <v>18732</v>
      </c>
      <c r="B14876" s="4" t="s">
        <v>18734</v>
      </c>
      <c r="C14876" s="5" t="str">
        <f>IFERROR(__xludf.DUMMYFUNCTION("GOOGLETRANSLATE(B14876,""en"",""zh-CN"")"),"该人首先将叶子吹向灌木丛和草附近的叶子。")</f>
        <v>该人首先将叶子吹向灌木丛和草附近的叶子。</v>
      </c>
    </row>
    <row r="14877">
      <c r="A14877" s="4" t="s">
        <v>18732</v>
      </c>
      <c r="B14877" s="4" t="s">
        <v>18735</v>
      </c>
      <c r="C14877" s="5" t="str">
        <f>IFERROR(__xludf.DUMMYFUNCTION("GOOGLETRANSLATE(B14877,""en"",""zh-CN"")"),"该人从一个紧绷的角落吹出，然后走到人行道。")</f>
        <v>该人从一个紧绷的角落吹出，然后走到人行道。</v>
      </c>
    </row>
    <row r="14878">
      <c r="A14878" s="4" t="s">
        <v>18732</v>
      </c>
      <c r="B14878" s="4" t="s">
        <v>18736</v>
      </c>
      <c r="C14878" s="5" t="str">
        <f>IFERROR(__xludf.DUMMYFUNCTION("GOOGLETRANSLATE(B14878,""en"",""zh-CN"")"),"该人从人行道和草坪上吹来。")</f>
        <v>该人从人行道和草坪上吹来。</v>
      </c>
    </row>
    <row r="14879">
      <c r="A14879" s="4" t="s">
        <v>18737</v>
      </c>
      <c r="B14879" s="4" t="s">
        <v>18738</v>
      </c>
      <c r="C14879" s="5" t="str">
        <f>IFERROR(__xludf.DUMMYFUNCTION("GOOGLETRANSLATE(B14879,""en"",""zh-CN"")"),"厨房里戴着厨师帽子的厨师正在提供有关如何锐化刀的说明。")</f>
        <v>厨房里戴着厨师帽子的厨师正在提供有关如何锐化刀的说明。</v>
      </c>
    </row>
    <row r="14880">
      <c r="A14880" s="4" t="s">
        <v>18737</v>
      </c>
      <c r="B14880" s="4" t="s">
        <v>18739</v>
      </c>
      <c r="C14880" s="5" t="str">
        <f>IFERROR(__xludf.DUMMYFUNCTION("GOOGLETRANSLATE(B14880,""en"",""zh-CN"")"),"他将刀带到磨刀器上，开始缓慢地展示。")</f>
        <v>他将刀带到磨刀器上，开始缓慢地展示。</v>
      </c>
    </row>
    <row r="14881">
      <c r="A14881" s="4" t="s">
        <v>18737</v>
      </c>
      <c r="B14881" s="4" t="s">
        <v>18740</v>
      </c>
      <c r="C14881" s="5" t="str">
        <f>IFERROR(__xludf.DUMMYFUNCTION("GOOGLETRANSLATE(B14881,""en"",""zh-CN"")"),"他拾取了锐化工具，并谈论他接下来要做什么，然后开始再次锐化。")</f>
        <v>他拾取了锐化工具，并谈论他接下来要做什么，然后开始再次锐化。</v>
      </c>
    </row>
    <row r="14882">
      <c r="A14882" s="4" t="s">
        <v>18737</v>
      </c>
      <c r="B14882" s="4" t="s">
        <v>18741</v>
      </c>
      <c r="C14882" s="5" t="str">
        <f>IFERROR(__xludf.DUMMYFUNCTION("GOOGLETRANSLATE(B14882,""en"",""zh-CN"")"),"然后，他展示了套件随附的所有作品，并谈论了这一切。")</f>
        <v>然后，他展示了套件随附的所有作品，并谈论了这一切。</v>
      </c>
    </row>
    <row r="14883">
      <c r="A14883" s="4" t="s">
        <v>18742</v>
      </c>
      <c r="B14883" s="6" t="s">
        <v>18743</v>
      </c>
      <c r="C14883" s="5" t="str">
        <f>IFERROR(__xludf.DUMMYFUNCTION("GOOGLETRANSLATE(B14883,""en"",""zh-CN"")"),"看到一小群孩子在曲棍球场上跑来跑去，彼此玩游戏。")</f>
        <v>看到一小群孩子在曲棍球场上跑来跑去，彼此玩游戏。</v>
      </c>
    </row>
    <row r="14884">
      <c r="A14884" s="4" t="s">
        <v>18742</v>
      </c>
      <c r="B14884" s="6" t="s">
        <v>18744</v>
      </c>
      <c r="C14884" s="5" t="str">
        <f>IFERROR(__xludf.DUMMYFUNCTION("GOOGLETRANSLATE(B14884,""en"",""zh-CN"")"),"当人们追逐球并在场上奔跑时，相机继续跟随周围的人。")</f>
        <v>当人们追逐球并在场上奔跑时，相机继续跟随周围的人。</v>
      </c>
    </row>
    <row r="14885">
      <c r="A14885" s="4" t="s">
        <v>18745</v>
      </c>
      <c r="B14885" s="4" t="s">
        <v>18746</v>
      </c>
      <c r="C14885" s="5" t="str">
        <f>IFERROR(__xludf.DUMMYFUNCTION("GOOGLETRANSLATE(B14885,""en"",""zh-CN"")"),"一对夫妇坐在外面说话。")</f>
        <v>一对夫妇坐在外面说话。</v>
      </c>
    </row>
    <row r="14886">
      <c r="A14886" s="4" t="s">
        <v>18745</v>
      </c>
      <c r="B14886" s="4" t="s">
        <v>18747</v>
      </c>
      <c r="C14886" s="5" t="str">
        <f>IFERROR(__xludf.DUMMYFUNCTION("GOOGLETRANSLATE(B14886,""en"",""zh-CN"")"),"他们走进屋子，收集剃须的用品，并在屏幕上列出。")</f>
        <v>他们走进屋子，收集剃须的用品，并在屏幕上列出。</v>
      </c>
    </row>
    <row r="14887">
      <c r="A14887" s="4" t="s">
        <v>18745</v>
      </c>
      <c r="B14887" s="6" t="s">
        <v>18748</v>
      </c>
      <c r="C14887" s="5" t="str">
        <f>IFERROR(__xludf.DUMMYFUNCTION("GOOGLETRANSLATE(B14887,""en"",""zh-CN"")"),"女人把男人抬起来，然后用海狸野猪刷和剃须刀刮胡子和胡须。")</f>
        <v>女人把男人抬起来，然后用海狸野猪刷和剃须刀刮胡子和胡须。</v>
      </c>
    </row>
    <row r="14888">
      <c r="A14888" s="4" t="s">
        <v>18745</v>
      </c>
      <c r="B14888" s="4" t="s">
        <v>18749</v>
      </c>
      <c r="C14888" s="5" t="str">
        <f>IFERROR(__xludf.DUMMYFUNCTION("GOOGLETRANSLATE(B14888,""en"",""zh-CN"")"),"然后，她将他冲洗干净，并涂上须后水。")</f>
        <v>然后，她将他冲洗干净，并涂上须后水。</v>
      </c>
    </row>
    <row r="14889">
      <c r="A14889" s="4" t="s">
        <v>18745</v>
      </c>
      <c r="B14889" s="4" t="s">
        <v>18750</v>
      </c>
      <c r="C14889" s="5" t="str">
        <f>IFERROR(__xludf.DUMMYFUNCTION("GOOGLETRANSLATE(B14889,""en"",""zh-CN"")"),"然后向他展示给她肩膀摩擦。")</f>
        <v>然后向他展示给她肩膀摩擦。</v>
      </c>
    </row>
    <row r="14890">
      <c r="A14890" s="4" t="s">
        <v>18751</v>
      </c>
      <c r="B14890" s="4" t="s">
        <v>18752</v>
      </c>
      <c r="C14890" s="5" t="str">
        <f>IFERROR(__xludf.DUMMYFUNCTION("GOOGLETRANSLATE(B14890,""en"",""zh-CN"")"),"一个高大的瘦男性站在被酒包围的酒吧里。")</f>
        <v>一个高大的瘦男性站在被酒包围的酒吧里。</v>
      </c>
    </row>
    <row r="14891">
      <c r="A14891" s="4" t="s">
        <v>18751</v>
      </c>
      <c r="B14891" s="6" t="s">
        <v>18753</v>
      </c>
      <c r="C14891" s="5" t="str">
        <f>IFERROR(__xludf.DUMMYFUNCTION("GOOGLETRANSLATE(B14891,""en"",""zh-CN"")"),"雄性在他面前有一杯冰，然后将他倒入普通玻璃杯中，然后将酒加入。")</f>
        <v>雄性在他面前有一杯冰，然后将他倒入普通玻璃杯中，然后将酒加入。</v>
      </c>
    </row>
    <row r="14892">
      <c r="A14892" s="4" t="s">
        <v>18751</v>
      </c>
      <c r="B14892" s="4" t="s">
        <v>18754</v>
      </c>
      <c r="C14892" s="5" t="str">
        <f>IFERROR(__xludf.DUMMYFUNCTION("GOOGLETRANSLATE(B14892,""en"",""zh-CN"")"),"然后是另外两次不同的透明酒。")</f>
        <v>然后是另外两次不同的透明酒。</v>
      </c>
    </row>
    <row r="14893">
      <c r="A14893" s="4" t="s">
        <v>18751</v>
      </c>
      <c r="B14893" s="4" t="s">
        <v>18755</v>
      </c>
      <c r="C14893" s="5" t="str">
        <f>IFERROR(__xludf.DUMMYFUNCTION("GOOGLETRANSLATE(B14893,""en"",""zh-CN"")"),"然后，他将两种糖浆像酒一样，然后将其倒入杯子中。")</f>
        <v>然后，他将两种糖浆像酒一样，然后将其倒入杯子中。</v>
      </c>
    </row>
    <row r="14894">
      <c r="A14894" s="4" t="s">
        <v>18751</v>
      </c>
      <c r="B14894" s="4" t="s">
        <v>18756</v>
      </c>
      <c r="C14894" s="5" t="str">
        <f>IFERROR(__xludf.DUMMYFUNCTION("GOOGLETRANSLATE(B14894,""en"",""zh-CN"")"),"一旦所有东西都放在玻璃杯中，他就将搅拌机放在上面并摇动。")</f>
        <v>一旦所有东西都放在玻璃杯中，他就将搅拌机放在上面并摇动。</v>
      </c>
    </row>
    <row r="14895">
      <c r="A14895" s="4" t="s">
        <v>18751</v>
      </c>
      <c r="B14895" s="6" t="s">
        <v>18757</v>
      </c>
      <c r="C14895" s="5" t="str">
        <f>IFERROR(__xludf.DUMMYFUNCTION("GOOGLETRANSLATE(B14895,""en"",""zh-CN"")"),"最后，饮料已经完成，他将其倒入另一杯玻璃杯中，并添加一根吸管以供应它。")</f>
        <v>最后，饮料已经完成，他将其倒入另一杯玻璃杯中，并添加一根吸管以供应它。</v>
      </c>
    </row>
    <row r="14896">
      <c r="A14896" s="4" t="s">
        <v>18758</v>
      </c>
      <c r="B14896" s="4" t="s">
        <v>18759</v>
      </c>
      <c r="C14896" s="5" t="str">
        <f>IFERROR(__xludf.DUMMYFUNCTION("GOOGLETRANSLATE(B14896,""en"",""zh-CN"")"),"看到一个年轻人站在镜头前玩一套风笛。")</f>
        <v>看到一个年轻人站在镜头前玩一套风笛。</v>
      </c>
    </row>
    <row r="14897">
      <c r="A14897" s="4" t="s">
        <v>18758</v>
      </c>
      <c r="B14897" s="6" t="s">
        <v>18760</v>
      </c>
      <c r="C14897" s="5" t="str">
        <f>IFERROR(__xludf.DUMMYFUNCTION("GOOGLETRANSLATE(B14897,""en"",""zh-CN"")"),"他继续演奏乐器，并将其握在手中和弹吉他的照片结束。")</f>
        <v>他继续演奏乐器，并将其握在手中和弹吉他的照片结束。</v>
      </c>
    </row>
    <row r="14898">
      <c r="A14898" s="4" t="s">
        <v>18761</v>
      </c>
      <c r="B14898" s="6" t="s">
        <v>18762</v>
      </c>
      <c r="C14898" s="5" t="str">
        <f>IFERROR(__xludf.DUMMYFUNCTION("GOOGLETRANSLATE(B14898,""en"",""zh-CN"")"),"看到一个人通过一波骑着冲浪板骑着冲浪板，并导致几个人骑着海浪，沿着水面坐着。")</f>
        <v>看到一个人通过一波骑着冲浪板骑着冲浪板，并导致几个人骑着海浪，沿着水面坐着。</v>
      </c>
    </row>
    <row r="14899">
      <c r="A14899" s="4" t="s">
        <v>18761</v>
      </c>
      <c r="B14899" s="6" t="s">
        <v>18763</v>
      </c>
      <c r="C14899" s="5" t="str">
        <f>IFERROR(__xludf.DUMMYFUNCTION("GOOGLETRANSLATE(B14899,""en"",""zh-CN"")"),"显示了更多的人冲浪令人难以置信的海浪，有些擦拭，但总体上骑行。")</f>
        <v>显示了更多的人冲浪令人难以置信的海浪，有些擦拭，但总体上骑行。</v>
      </c>
    </row>
    <row r="14900">
      <c r="A14900" s="4" t="s">
        <v>18764</v>
      </c>
      <c r="B14900" s="4" t="s">
        <v>18765</v>
      </c>
      <c r="C14900" s="5" t="str">
        <f>IFERROR(__xludf.DUMMYFUNCTION("GOOGLETRANSLATE(B14900,""en"",""zh-CN"")"),"看到船通过黑暗的海水航行。")</f>
        <v>看到船通过黑暗的海水航行。</v>
      </c>
    </row>
    <row r="14901">
      <c r="A14901" s="4" t="s">
        <v>18764</v>
      </c>
      <c r="B14901" s="4" t="s">
        <v>18766</v>
      </c>
      <c r="C14901" s="5" t="str">
        <f>IFERROR(__xludf.DUMMYFUNCTION("GOOGLETRANSLATE(B14901,""en"",""zh-CN"")"),"我们看到在船上航行的第一人称视角。")</f>
        <v>我们看到在船上航行的第一人称视角。</v>
      </c>
    </row>
    <row r="14902">
      <c r="A14902" s="4" t="s">
        <v>18764</v>
      </c>
      <c r="B14902" s="4" t="s">
        <v>18767</v>
      </c>
      <c r="C14902" s="5" t="str">
        <f>IFERROR(__xludf.DUMMYFUNCTION("GOOGLETRANSLATE(B14902,""en"",""zh-CN"")"),"看到船漂浮在水中。")</f>
        <v>看到船漂浮在水中。</v>
      </c>
    </row>
    <row r="14903">
      <c r="A14903" s="4" t="s">
        <v>18768</v>
      </c>
      <c r="B14903" s="4" t="s">
        <v>18769</v>
      </c>
      <c r="C14903" s="5" t="str">
        <f>IFERROR(__xludf.DUMMYFUNCTION("GOOGLETRANSLATE(B14903,""en"",""zh-CN"")"),"人们坐在牛仔竞技表演的长凳上。")</f>
        <v>人们坐在牛仔竞技表演的长凳上。</v>
      </c>
    </row>
    <row r="14904">
      <c r="A14904" s="4" t="s">
        <v>18768</v>
      </c>
      <c r="B14904" s="4" t="s">
        <v>18770</v>
      </c>
      <c r="C14904" s="5" t="str">
        <f>IFERROR(__xludf.DUMMYFUNCTION("GOOGLETRANSLATE(B14904,""en"",""zh-CN"")"),"我们看到人们站在篱笆周围。")</f>
        <v>我们看到人们站在篱笆周围。</v>
      </c>
    </row>
    <row r="14905">
      <c r="A14905" s="4" t="s">
        <v>18768</v>
      </c>
      <c r="B14905" s="4" t="s">
        <v>18771</v>
      </c>
      <c r="C14905" s="5" t="str">
        <f>IFERROR(__xludf.DUMMYFUNCTION("GOOGLETRANSLATE(B14905,""en"",""zh-CN"")"),"大门打开，小腿和一个男人出来，我们看到四个男人霍格蒂小牛。")</f>
        <v>大门打开，小腿和一个男人出来，我们看到四个男人霍格蒂小牛。</v>
      </c>
    </row>
    <row r="14906">
      <c r="A14906" s="4" t="s">
        <v>18768</v>
      </c>
      <c r="B14906" s="4" t="s">
        <v>18772</v>
      </c>
      <c r="C14906" s="5" t="str">
        <f>IFERROR(__xludf.DUMMYFUNCTION("GOOGLETRANSLATE(B14906,""en"",""zh-CN"")"),"我们看到一只小腿在戒指上奔跑，另一只小腿被刺入。")</f>
        <v>我们看到一只小腿在戒指上奔跑，另一只小腿被刺入。</v>
      </c>
    </row>
    <row r="14907">
      <c r="A14907" s="4" t="s">
        <v>18768</v>
      </c>
      <c r="B14907" s="4" t="s">
        <v>18773</v>
      </c>
      <c r="C14907" s="5" t="str">
        <f>IFERROR(__xludf.DUMMYFUNCTION("GOOGLETRANSLATE(B14907,""en"",""zh-CN"")"),"一个男人和一个小男孩正在走路，握住一匹马。")</f>
        <v>一个男人和一个小男孩正在走路，握住一匹马。</v>
      </c>
    </row>
    <row r="14908">
      <c r="A14908" s="4" t="s">
        <v>18768</v>
      </c>
      <c r="B14908" s="4" t="s">
        <v>18774</v>
      </c>
      <c r="C14908" s="5" t="str">
        <f>IFERROR(__xludf.DUMMYFUNCTION("GOOGLETRANSLATE(B14908,""en"",""zh-CN"")"),"我们看到一个年长的男人拿着马的the绳。")</f>
        <v>我们看到一个年长的男人拿着马的the绳。</v>
      </c>
    </row>
    <row r="14909">
      <c r="A14909" s="4" t="s">
        <v>18768</v>
      </c>
      <c r="B14909" s="4" t="s">
        <v>18775</v>
      </c>
      <c r="C14909" s="5" t="str">
        <f>IFERROR(__xludf.DUMMYFUNCTION("GOOGLETRANSLATE(B14909,""en"",""zh-CN"")"),"相机指向地面，视频结束。")</f>
        <v>相机指向地面，视频结束。</v>
      </c>
    </row>
    <row r="14910">
      <c r="A14910" s="4" t="s">
        <v>18776</v>
      </c>
      <c r="B14910" s="4" t="s">
        <v>18777</v>
      </c>
      <c r="C14910" s="5" t="str">
        <f>IFERROR(__xludf.DUMMYFUNCTION("GOOGLETRANSLATE(B14910,""en"",""zh-CN"")"),"看到一个男人从一个也从瓶子里喝酒的女人拿着杯子里喝酒。")</f>
        <v>看到一个男人从一个也从瓶子里喝酒的女人拿着杯子里喝酒。</v>
      </c>
    </row>
    <row r="14911">
      <c r="A14911" s="4" t="s">
        <v>18776</v>
      </c>
      <c r="B14911" s="4" t="s">
        <v>18778</v>
      </c>
      <c r="C14911" s="5" t="str">
        <f>IFERROR(__xludf.DUMMYFUNCTION("GOOGLETRANSLATE(B14911,""en"",""zh-CN"")"),"当其他人记录下来时，两人继续喝酒，然后立即停止。")</f>
        <v>当其他人记录下来时，两人继续喝酒，然后立即停止。</v>
      </c>
    </row>
    <row r="14912">
      <c r="A14912" s="4" t="s">
        <v>18779</v>
      </c>
      <c r="B14912" s="6" t="s">
        <v>18780</v>
      </c>
      <c r="C14912" s="5" t="str">
        <f>IFERROR(__xludf.DUMMYFUNCTION("GOOGLETRANSLATE(B14912,""en"",""zh-CN"")"),"一群学生在比赛中锻炼身体和欢呼，然后男孩穿着红色T恤投掷保龄球，扔掉所有的别针并庆祝。")</f>
        <v>一群学生在比赛中锻炼身体和欢呼，然后男孩穿着红色T恤投掷保龄球，扔掉所有的别针并庆祝。</v>
      </c>
    </row>
    <row r="14913">
      <c r="A14913" s="4" t="s">
        <v>18779</v>
      </c>
      <c r="B14913" s="4" t="s">
        <v>18781</v>
      </c>
      <c r="C14913" s="5" t="str">
        <f>IFERROR(__xludf.DUMMYFUNCTION("GOOGLETRANSLATE(B14913,""en"",""zh-CN"")"),"然后，穿着绿色T恤的年轻人成功打保龄球。")</f>
        <v>然后，穿着绿色T恤的年轻人成功打保龄球。</v>
      </c>
    </row>
    <row r="14914">
      <c r="A14914" s="4" t="s">
        <v>18779</v>
      </c>
      <c r="B14914" s="4" t="s">
        <v>18782</v>
      </c>
      <c r="C14914" s="5" t="str">
        <f>IFERROR(__xludf.DUMMYFUNCTION("GOOGLETRANSLATE(B14914,""en"",""zh-CN"")"),"之后，女孩打保龄球，她用保龄球碗投掷所有别针。")</f>
        <v>之后，女孩打保龄球，她用保龄球碗投掷所有别针。</v>
      </c>
    </row>
    <row r="14915">
      <c r="A14915" s="4" t="s">
        <v>18779</v>
      </c>
      <c r="B14915" s="4" t="s">
        <v>18783</v>
      </c>
      <c r="C14915" s="5" t="str">
        <f>IFERROR(__xludf.DUMMYFUNCTION("GOOGLETRANSLATE(B14915,""en"",""zh-CN"")"),"比赛的优胜者获得了封闭的信封和奖杯。")</f>
        <v>比赛的优胜者获得了封闭的信封和奖杯。</v>
      </c>
    </row>
    <row r="14916">
      <c r="A14916" s="4" t="s">
        <v>18784</v>
      </c>
      <c r="B14916" s="4" t="s">
        <v>18785</v>
      </c>
      <c r="C14916" s="5" t="str">
        <f>IFERROR(__xludf.DUMMYFUNCTION("GOOGLETRANSLATE(B14916,""en"",""zh-CN"")"),"一个女人跪在沙滩上。")</f>
        <v>一个女人跪在沙滩上。</v>
      </c>
    </row>
    <row r="14917">
      <c r="A14917" s="4" t="s">
        <v>18784</v>
      </c>
      <c r="B14917" s="4" t="s">
        <v>18786</v>
      </c>
      <c r="C14917" s="5" t="str">
        <f>IFERROR(__xludf.DUMMYFUNCTION("GOOGLETRANSLATE(B14917,""en"",""zh-CN"")"),"她正在用晒黑乳液帮助婴儿。")</f>
        <v>她正在用晒黑乳液帮助婴儿。</v>
      </c>
    </row>
    <row r="14918">
      <c r="A14918" s="4" t="s">
        <v>18784</v>
      </c>
      <c r="B14918" s="4" t="s">
        <v>18787</v>
      </c>
      <c r="C14918" s="5" t="str">
        <f>IFERROR(__xludf.DUMMYFUNCTION("GOOGLETRANSLATE(B14918,""en"",""zh-CN"")"),"她在婴儿的皮肤上擦乳液。")</f>
        <v>她在婴儿的皮肤上擦乳液。</v>
      </c>
    </row>
    <row r="14919">
      <c r="A14919" s="4" t="s">
        <v>18788</v>
      </c>
      <c r="B14919" s="4" t="s">
        <v>18789</v>
      </c>
      <c r="C14919" s="5" t="str">
        <f>IFERROR(__xludf.DUMMYFUNCTION("GOOGLETRANSLATE(B14919,""en"",""zh-CN"")"),"四个男人在打坏手套。")</f>
        <v>四个男人在打坏手套。</v>
      </c>
    </row>
    <row r="14920">
      <c r="A14920" s="4" t="s">
        <v>18788</v>
      </c>
      <c r="B14920" s="4" t="s">
        <v>18790</v>
      </c>
      <c r="C14920" s="5" t="str">
        <f>IFERROR(__xludf.DUMMYFUNCTION("GOOGLETRANSLATE(B14920,""en"",""zh-CN"")"),"团队有很多很棒的镜头。")</f>
        <v>团队有很多很棒的镜头。</v>
      </c>
    </row>
    <row r="14921">
      <c r="A14921" s="4" t="s">
        <v>18788</v>
      </c>
      <c r="B14921" s="4" t="s">
        <v>18791</v>
      </c>
      <c r="C14921" s="5" t="str">
        <f>IFERROR(__xludf.DUMMYFUNCTION("GOOGLETRANSLATE(B14921,""en"",""zh-CN"")"),"黄队连续得出几分。")</f>
        <v>黄队连续得出几分。</v>
      </c>
    </row>
    <row r="14922">
      <c r="A14922" s="4" t="s">
        <v>18788</v>
      </c>
      <c r="B14922" s="4" t="s">
        <v>18792</v>
      </c>
      <c r="C14922" s="5" t="str">
        <f>IFERROR(__xludf.DUMMYFUNCTION("GOOGLETRANSLATE(B14922,""en"",""zh-CN"")"),"丹麦的团队得分了几分。")</f>
        <v>丹麦的团队得分了几分。</v>
      </c>
    </row>
    <row r="14923">
      <c r="A14923" s="4" t="s">
        <v>18788</v>
      </c>
      <c r="B14923" s="4" t="s">
        <v>18793</v>
      </c>
      <c r="C14923" s="5" t="str">
        <f>IFERROR(__xludf.DUMMYFUNCTION("GOOGLETRANSLATE(B14923,""en"",""zh-CN"")"),"剪辑以持有奖杯的黄队结束。")</f>
        <v>剪辑以持有奖杯的黄队结束。</v>
      </c>
    </row>
    <row r="14924">
      <c r="A14924" s="4" t="s">
        <v>18794</v>
      </c>
      <c r="B14924" s="4" t="s">
        <v>18795</v>
      </c>
      <c r="C14924" s="5" t="str">
        <f>IFERROR(__xludf.DUMMYFUNCTION("GOOGLETRANSLATE(B14924,""en"",""zh-CN"")"),"一个男人正在为一个女人打夏威夷四弦琴，而男人从窗帘后面看着。")</f>
        <v>一个男人正在为一个女人打夏威夷四弦琴，而男人从窗帘后面看着。</v>
      </c>
    </row>
    <row r="14925">
      <c r="A14925" s="4" t="s">
        <v>18794</v>
      </c>
      <c r="B14925" s="4" t="s">
        <v>18796</v>
      </c>
      <c r="C14925" s="5" t="str">
        <f>IFERROR(__xludf.DUMMYFUNCTION("GOOGLETRANSLATE(B14925,""en"",""zh-CN"")"),"突然，该视频削减了几个不同的人进行窗口清洗技巧。")</f>
        <v>突然，该视频削减了几个不同的人进行窗口清洗技巧。</v>
      </c>
    </row>
    <row r="14926">
      <c r="A14926" s="4" t="s">
        <v>18794</v>
      </c>
      <c r="B14926" s="4" t="s">
        <v>18797</v>
      </c>
      <c r="C14926" s="5" t="str">
        <f>IFERROR(__xludf.DUMMYFUNCTION("GOOGLETRANSLATE(B14926,""en"",""zh-CN"")"),"视频以电话上的一个男人在窗户上进行喜剧短剧而结束。")</f>
        <v>视频以电话上的一个男人在窗户上进行喜剧短剧而结束。</v>
      </c>
    </row>
    <row r="14927">
      <c r="A14927" s="4" t="s">
        <v>18798</v>
      </c>
      <c r="B14927" s="4" t="s">
        <v>18799</v>
      </c>
      <c r="C14927" s="5" t="str">
        <f>IFERROR(__xludf.DUMMYFUNCTION("GOOGLETRANSLATE(B14927,""en"",""zh-CN"")"),"看到一个人使用一块运动设备在机器上上下移动的运动设备。")</f>
        <v>看到一个人使用一块运动设备在机器上上下移动的运动设备。</v>
      </c>
    </row>
    <row r="14928">
      <c r="A14928" s="4" t="s">
        <v>18798</v>
      </c>
      <c r="B14928" s="6" t="s">
        <v>18800</v>
      </c>
      <c r="C14928" s="5" t="str">
        <f>IFERROR(__xludf.DUMMYFUNCTION("GOOGLETRANSLATE(B14928,""en"",""zh-CN"")"),"相机使用机器周围的整个人，并在那个男人周围放大。")</f>
        <v>相机使用机器周围的整个人，并在那个男人周围放大。</v>
      </c>
    </row>
    <row r="14929">
      <c r="A14929" s="4" t="s">
        <v>18801</v>
      </c>
      <c r="B14929" s="4" t="s">
        <v>18802</v>
      </c>
      <c r="C14929" s="5" t="str">
        <f>IFERROR(__xludf.DUMMYFUNCTION("GOOGLETRANSLATE(B14929,""en"",""zh-CN"")"),"看到摄像机在建筑物上放大，并导致一个爬上一块大石头的人。")</f>
        <v>看到摄像机在建筑物上放大，并导致一个爬上一块大石头的人。</v>
      </c>
    </row>
    <row r="14930">
      <c r="A14930" s="4" t="s">
        <v>18801</v>
      </c>
      <c r="B14930" s="6" t="s">
        <v>18803</v>
      </c>
      <c r="C14930" s="5" t="str">
        <f>IFERROR(__xludf.DUMMYFUNCTION("GOOGLETRANSLATE(B14930,""en"",""zh-CN"")"),"该男子不断地爬上岩石，一边环顾四周，终于在摄像机竖起时爬到了岩石。")</f>
        <v>该男子不断地爬上岩石，一边环顾四周，终于在摄像机竖起时爬到了岩石。</v>
      </c>
    </row>
    <row r="14931">
      <c r="A14931" s="4" t="s">
        <v>18804</v>
      </c>
      <c r="B14931" s="4" t="s">
        <v>18805</v>
      </c>
      <c r="C14931" s="5" t="str">
        <f>IFERROR(__xludf.DUMMYFUNCTION("GOOGLETRANSLATE(B14931,""en"",""zh-CN"")"),"标题屏幕上显示了香草海绵蛋糕。")</f>
        <v>标题屏幕上显示了香草海绵蛋糕。</v>
      </c>
    </row>
    <row r="14932">
      <c r="A14932" s="4" t="s">
        <v>18804</v>
      </c>
      <c r="B14932" s="4" t="s">
        <v>18806</v>
      </c>
      <c r="C14932" s="5" t="str">
        <f>IFERROR(__xludf.DUMMYFUNCTION("GOOGLETRANSLATE(B14932,""en"",""zh-CN"")"),"然后将白板放在四个棕色鸡蛋的棕色桌子上。")</f>
        <v>然后将白板放在四个棕色鸡蛋的棕色桌子上。</v>
      </c>
    </row>
    <row r="14933">
      <c r="A14933" s="4" t="s">
        <v>18804</v>
      </c>
      <c r="B14933" s="6" t="s">
        <v>18807</v>
      </c>
      <c r="C14933" s="5" t="str">
        <f>IFERROR(__xludf.DUMMYFUNCTION("GOOGLETRANSLATE(B14933,""en"",""zh-CN"")"),"然后将它们放入一个银碗中，并在糖逐渐加入糖并继续搅拌时以快速的速度搅拌。")</f>
        <v>然后将它们放入一个银碗中，并在糖逐渐加入糖并继续搅拌时以快速的速度搅拌。</v>
      </c>
    </row>
    <row r="14934">
      <c r="A14934" s="4" t="s">
        <v>18804</v>
      </c>
      <c r="B14934" s="4" t="s">
        <v>18808</v>
      </c>
      <c r="C14934" s="5" t="str">
        <f>IFERROR(__xludf.DUMMYFUNCTION("GOOGLETRANSLATE(B14934,""en"",""zh-CN"")"),"之后，桌子上显示了牛奶，黄油，面粉，香蕉布丁，盐和香草提取物。")</f>
        <v>之后，桌子上显示了牛奶，黄油，面粉，香蕉布丁，盐和香草提取物。</v>
      </c>
    </row>
    <row r="14935">
      <c r="A14935" s="4" t="s">
        <v>18804</v>
      </c>
      <c r="B14935" s="4" t="s">
        <v>18809</v>
      </c>
      <c r="C14935" s="5" t="str">
        <f>IFERROR(__xludf.DUMMYFUNCTION("GOOGLETRANSLATE(B14935,""en"",""zh-CN"")"),"将牛奶和黄油加热，然后在一个大碗中加入蛋糕面糊。")</f>
        <v>将牛奶和黄油加热，然后在一个大碗中加入蛋糕面糊。</v>
      </c>
    </row>
    <row r="14936">
      <c r="A14936" s="4" t="s">
        <v>18804</v>
      </c>
      <c r="B14936" s="4" t="s">
        <v>18810</v>
      </c>
      <c r="C14936" s="5" t="str">
        <f>IFERROR(__xludf.DUMMYFUNCTION("GOOGLETRANSLATE(B14936,""en"",""zh-CN"")"),"然后添加香草，然后将其倒入另一个碗中，然后才显示最终产品。")</f>
        <v>然后添加香草，然后将其倒入另一个碗中，然后才显示最终产品。</v>
      </c>
    </row>
    <row r="14937">
      <c r="A14937" s="4" t="s">
        <v>18811</v>
      </c>
      <c r="B14937" s="4" t="s">
        <v>18812</v>
      </c>
      <c r="C14937" s="5" t="str">
        <f>IFERROR(__xludf.DUMMYFUNCTION("GOOGLETRANSLATE(B14937,""en"",""zh-CN"")"),"看到一个女人踢一个男人戴着手套。")</f>
        <v>看到一个女人踢一个男人戴着手套。</v>
      </c>
    </row>
    <row r="14938">
      <c r="A14938" s="4" t="s">
        <v>18811</v>
      </c>
      <c r="B14938" s="4" t="s">
        <v>18813</v>
      </c>
      <c r="C14938" s="5" t="str">
        <f>IFERROR(__xludf.DUMMYFUNCTION("GOOGLETRANSLATE(B14938,""en"",""zh-CN"")"),"然后，那个男人在圈子里走来走去，而人们轮流击中男人。")</f>
        <v>然后，那个男人在圈子里走来走去，而人们轮流击中男人。</v>
      </c>
    </row>
    <row r="14939">
      <c r="A14939" s="4" t="s">
        <v>18811</v>
      </c>
      <c r="B14939" s="4" t="s">
        <v>18814</v>
      </c>
      <c r="C14939" s="5" t="str">
        <f>IFERROR(__xludf.DUMMYFUNCTION("GOOGLETRANSLATE(B14939,""en"",""zh-CN"")"),"那个男人在打他时继续四处走动。")</f>
        <v>那个男人在打他时继续四处走动。</v>
      </c>
    </row>
    <row r="14940">
      <c r="A14940" s="4" t="s">
        <v>18815</v>
      </c>
      <c r="B14940" s="4" t="s">
        <v>18816</v>
      </c>
      <c r="C14940" s="5" t="str">
        <f>IFERROR(__xludf.DUMMYFUNCTION("GOOGLETRANSLATE(B14940,""en"",""zh-CN"")"),"显示了一个椭圆教练及其组件。")</f>
        <v>显示了一个椭圆教练及其组件。</v>
      </c>
    </row>
    <row r="14941">
      <c r="A14941" s="4" t="s">
        <v>18815</v>
      </c>
      <c r="B14941" s="4" t="s">
        <v>18817</v>
      </c>
      <c r="C14941" s="5" t="str">
        <f>IFERROR(__xludf.DUMMYFUNCTION("GOOGLETRANSLATE(B14941,""en"",""zh-CN"")"),"一个女人被显示在椭圆形上。")</f>
        <v>一个女人被显示在椭圆形上。</v>
      </c>
    </row>
    <row r="14942">
      <c r="A14942" s="4" t="s">
        <v>18815</v>
      </c>
      <c r="B14942" s="4" t="s">
        <v>18818</v>
      </c>
      <c r="C14942" s="5" t="str">
        <f>IFERROR(__xludf.DUMMYFUNCTION("GOOGLETRANSLATE(B14942,""en"",""zh-CN"")"),"她踏板并演示了编程屏幕的机制。")</f>
        <v>她踏板并演示了编程屏幕的机制。</v>
      </c>
    </row>
    <row r="14943">
      <c r="A14943" s="4" t="s">
        <v>18819</v>
      </c>
      <c r="B14943" s="4" t="s">
        <v>18820</v>
      </c>
      <c r="C14943" s="5" t="str">
        <f>IFERROR(__xludf.DUMMYFUNCTION("GOOGLETRANSLATE(B14943,""en"",""zh-CN"")"),"一只狗穿着衣服，一个人在他身后只伸出手。")</f>
        <v>一只狗穿着衣服，一个人在他身后只伸出手。</v>
      </c>
    </row>
    <row r="14944">
      <c r="A14944" s="4" t="s">
        <v>18819</v>
      </c>
      <c r="B14944" s="4" t="s">
        <v>18821</v>
      </c>
      <c r="C14944" s="5" t="str">
        <f>IFERROR(__xludf.DUMMYFUNCTION("GOOGLETRANSLATE(B14944,""en"",""zh-CN"")"),"看起来像狗是人类的一部分，像人类一样。")</f>
        <v>看起来像狗是人类的一部分，像人类一样。</v>
      </c>
    </row>
    <row r="14945">
      <c r="A14945" s="4" t="s">
        <v>18819</v>
      </c>
      <c r="B14945" s="4" t="s">
        <v>18822</v>
      </c>
      <c r="C14945" s="5" t="str">
        <f>IFERROR(__xludf.DUMMYFUNCTION("GOOGLETRANSLATE(B14945,""en"",""zh-CN"")"),"他正在喂早餐，然后擦脸。")</f>
        <v>他正在喂早餐，然后擦脸。</v>
      </c>
    </row>
    <row r="14946">
      <c r="A14946" s="4" t="s">
        <v>18819</v>
      </c>
      <c r="B14946" s="4" t="s">
        <v>18823</v>
      </c>
      <c r="C14946" s="5" t="str">
        <f>IFERROR(__xludf.DUMMYFUNCTION("GOOGLETRANSLATE(B14946,""en"",""zh-CN"")"),"之后，他喝了一杯咖啡喝。")</f>
        <v>之后，他喝了一杯咖啡喝。</v>
      </c>
    </row>
    <row r="14947">
      <c r="A14947" s="4" t="s">
        <v>18819</v>
      </c>
      <c r="B14947" s="4" t="s">
        <v>18824</v>
      </c>
      <c r="C14947" s="5" t="str">
        <f>IFERROR(__xludf.DUMMYFUNCTION("GOOGLETRANSLATE(B14947,""en"",""zh-CN"")"),"他努力抓住另一个餐巾再擦脸。")</f>
        <v>他努力抓住另一个餐巾再擦脸。</v>
      </c>
    </row>
    <row r="14948">
      <c r="A14948" s="4" t="s">
        <v>18825</v>
      </c>
      <c r="B14948" s="4" t="s">
        <v>18826</v>
      </c>
      <c r="C14948" s="5" t="str">
        <f>IFERROR(__xludf.DUMMYFUNCTION("GOOGLETRANSLATE(B14948,""en"",""zh-CN"")"),"看到一个男人在船后滑雪。")</f>
        <v>看到一个男人在船后滑雪。</v>
      </c>
    </row>
    <row r="14949">
      <c r="A14949" s="4" t="s">
        <v>18825</v>
      </c>
      <c r="B14949" s="4" t="s">
        <v>18827</v>
      </c>
      <c r="C14949" s="5" t="str">
        <f>IFERROR(__xludf.DUMMYFUNCTION("GOOGLETRANSLATE(B14949,""en"",""zh-CN"")"),"当他被拉到水中时，他紧紧抓住。")</f>
        <v>当他被拉到水中时，他紧紧抓住。</v>
      </c>
    </row>
    <row r="14950">
      <c r="A14950" s="4" t="s">
        <v>18825</v>
      </c>
      <c r="B14950" s="4" t="s">
        <v>18828</v>
      </c>
      <c r="C14950" s="5" t="str">
        <f>IFERROR(__xludf.DUMMYFUNCTION("GOOGLETRANSLATE(B14950,""en"",""zh-CN"")"),"该男子一直在滑水，直到剪辑的尽头。")</f>
        <v>该男子一直在滑水，直到剪辑的尽头。</v>
      </c>
    </row>
    <row r="14951">
      <c r="A14951" s="4" t="s">
        <v>18829</v>
      </c>
      <c r="B14951" s="6" t="s">
        <v>18830</v>
      </c>
      <c r="C14951" s="5" t="str">
        <f>IFERROR(__xludf.DUMMYFUNCTION("GOOGLETRANSLATE(B14951,""en"",""zh-CN"")"),"看到一个运动员在拿着标枪时准备就绪，然后沿着赛道跑，将杆子扔进了一个田野。")</f>
        <v>看到一个运动员在拿着标枪时准备就绪，然后沿着赛道跑，将杆子扔进了一个田野。</v>
      </c>
    </row>
    <row r="14952">
      <c r="A14952" s="4" t="s">
        <v>18829</v>
      </c>
      <c r="B14952" s="4" t="s">
        <v>18831</v>
      </c>
      <c r="C14952" s="5" t="str">
        <f>IFERROR(__xludf.DUMMYFUNCTION("GOOGLETRANSLATE(B14952,""en"",""zh-CN"")"),"他的手在臀部上走开，再次显示了同一投掷。")</f>
        <v>他的手在臀部上走开，再次显示了同一投掷。</v>
      </c>
    </row>
    <row r="14953">
      <c r="A14953" s="4" t="s">
        <v>18829</v>
      </c>
      <c r="B14953" s="6" t="s">
        <v>18832</v>
      </c>
      <c r="C14953" s="5" t="str">
        <f>IFERROR(__xludf.DUMMYFUNCTION("GOOGLETRANSLATE(B14953,""en"",""zh-CN"")"),"又有几名运动员加紧努力，将标枪扔进了场地，然后再次显示出同样的投掷，然后他们笑着摄影机。")</f>
        <v>又有几名运动员加紧努力，将标枪扔进了场地，然后再次显示出同样的投掷，然后他们笑着摄影机。</v>
      </c>
    </row>
    <row r="14954">
      <c r="A14954" s="4" t="s">
        <v>18833</v>
      </c>
      <c r="B14954" s="6" t="s">
        <v>18834</v>
      </c>
      <c r="C14954" s="5" t="str">
        <f>IFERROR(__xludf.DUMMYFUNCTION("GOOGLETRANSLATE(B14954,""en"",""zh-CN"")"),"一个大绿色田野中的一个人练习了七个锤子，在他的面前扔了一条卷尺，沿着地面伸展。")</f>
        <v>一个大绿色田野中的一个人练习了七个锤子，在他的面前扔了一条卷尺，沿着地面伸展。</v>
      </c>
    </row>
    <row r="14955">
      <c r="A14955" s="4" t="s">
        <v>18833</v>
      </c>
      <c r="B14955" s="6" t="s">
        <v>18835</v>
      </c>
      <c r="C14955" s="5" t="str">
        <f>IFERROR(__xludf.DUMMYFUNCTION("GOOGLETRANSLATE(B14955,""en"",""zh-CN"")"),"一个裸露的胸部男子穿着黑色轨道的裤子旋转着一把锤子，直到他释放到他面前的田野上。")</f>
        <v>一个裸露的胸部男子穿着黑色轨道的裤子旋转着一把锤子，直到他释放到他面前的田野上。</v>
      </c>
    </row>
    <row r="14956">
      <c r="A14956" s="4" t="s">
        <v>18833</v>
      </c>
      <c r="B14956" s="6" t="s">
        <v>18836</v>
      </c>
      <c r="C14956" s="5" t="str">
        <f>IFERROR(__xludf.DUMMYFUNCTION("GOOGLETRANSLATE(B14956,""en"",""zh-CN"")"),"然后，该男子继续在同一位置以相同的方式进行至少六次锤子。")</f>
        <v>然后，该男子继续在同一位置以相同的方式进行至少六次锤子。</v>
      </c>
    </row>
    <row r="14957">
      <c r="A14957" s="4" t="s">
        <v>18837</v>
      </c>
      <c r="B14957" s="4" t="s">
        <v>18838</v>
      </c>
      <c r="C14957" s="5" t="str">
        <f>IFERROR(__xludf.DUMMYFUNCTION("GOOGLETRANSLATE(B14957,""en"",""zh-CN"")"),"人正站在一个格伦的田野里，开始跳绳。")</f>
        <v>人正站在一个格伦的田野里，开始跳绳。</v>
      </c>
    </row>
    <row r="14958">
      <c r="A14958" s="4" t="s">
        <v>18837</v>
      </c>
      <c r="B14958" s="4" t="s">
        <v>18839</v>
      </c>
      <c r="C14958" s="5" t="str">
        <f>IFERROR(__xludf.DUMMYFUNCTION("GOOGLETRANSLATE(B14958,""en"",""zh-CN"")"),"人丢下绳子，解释如何跳跃并再次握住绳索。")</f>
        <v>人丢下绳子，解释如何跳跃并再次握住绳索。</v>
      </c>
    </row>
    <row r="14959">
      <c r="A14959" s="4" t="s">
        <v>18840</v>
      </c>
      <c r="B14959" s="4" t="s">
        <v>18841</v>
      </c>
      <c r="C14959" s="5" t="str">
        <f>IFERROR(__xludf.DUMMYFUNCTION("GOOGLETRANSLATE(B14959,""en"",""zh-CN"")"),"伙计们在观众面前玩游泳池。")</f>
        <v>伙计们在观众面前玩游泳池。</v>
      </c>
    </row>
    <row r="14960">
      <c r="A14960" s="4" t="s">
        <v>18840</v>
      </c>
      <c r="B14960" s="4" t="s">
        <v>18842</v>
      </c>
      <c r="C14960" s="5" t="str">
        <f>IFERROR(__xludf.DUMMYFUNCTION("GOOGLETRANSLATE(B14960,""en"",""zh-CN"")"),"一个人改变了泳池。")</f>
        <v>一个人改变了泳池。</v>
      </c>
    </row>
    <row r="14961">
      <c r="A14961" s="4" t="s">
        <v>18840</v>
      </c>
      <c r="B14961" s="4" t="s">
        <v>18843</v>
      </c>
      <c r="C14961" s="5" t="str">
        <f>IFERROR(__xludf.DUMMYFUNCTION("GOOGLETRANSLATE(B14961,""en"",""zh-CN"")"),"这两个人站在一起，接受采访。")</f>
        <v>这两个人站在一起，接受采访。</v>
      </c>
    </row>
    <row r="14962">
      <c r="A14962" s="4" t="s">
        <v>18840</v>
      </c>
      <c r="B14962" s="4" t="s">
        <v>18844</v>
      </c>
      <c r="C14962" s="5" t="str">
        <f>IFERROR(__xludf.DUMMYFUNCTION("GOOGLETRANSLATE(B14962,""en"",""zh-CN"")"),"一个男人把手臂围在伴侣的肩膀上，伴侣跳舞。")</f>
        <v>一个男人把手臂围在伴侣的肩膀上，伴侣跳舞。</v>
      </c>
    </row>
    <row r="14963">
      <c r="A14963" s="4" t="s">
        <v>18840</v>
      </c>
      <c r="B14963" s="4" t="s">
        <v>18845</v>
      </c>
      <c r="C14963" s="5" t="str">
        <f>IFERROR(__xludf.DUMMYFUNCTION("GOOGLETRANSLATE(B14963,""en"",""zh-CN"")"),"一名男子开枪后坐在他的泳池比赛伙伴的腿上。")</f>
        <v>一名男子开枪后坐在他的泳池比赛伙伴的腿上。</v>
      </c>
    </row>
    <row r="14964">
      <c r="A14964" s="4" t="s">
        <v>18846</v>
      </c>
      <c r="B14964" s="6" t="s">
        <v>18847</v>
      </c>
      <c r="C14964" s="5" t="str">
        <f>IFERROR(__xludf.DUMMYFUNCTION("GOOGLETRANSLATE(B14964,""en"",""zh-CN"")"),"一个人将腿润滑油涂在腿上，然后继续刮腿，然后用湿的抹布擦拭腿。")</f>
        <v>一个人将腿润滑油涂在腿上，然后继续刮腿，然后用湿的抹布擦拭腿。</v>
      </c>
    </row>
    <row r="14965">
      <c r="A14965" s="4" t="s">
        <v>18846</v>
      </c>
      <c r="B14965" s="4" t="s">
        <v>18848</v>
      </c>
      <c r="C14965" s="5" t="str">
        <f>IFERROR(__xludf.DUMMYFUNCTION("GOOGLETRANSLATE(B14965,""en"",""zh-CN"")"),"一个人在浴室里，一只脚在厕所盖的顶部摩擦腿润滑油。")</f>
        <v>一个人在浴室里，一只脚在厕所盖的顶部摩擦腿润滑油。</v>
      </c>
    </row>
    <row r="14966">
      <c r="A14966" s="4" t="s">
        <v>18846</v>
      </c>
      <c r="B14966" s="4" t="s">
        <v>18849</v>
      </c>
      <c r="C14966" s="5" t="str">
        <f>IFERROR(__xludf.DUMMYFUNCTION("GOOGLETRANSLATE(B14966,""en"",""zh-CN"")"),"然后，该人开始用蓝色剃须刀剃光腿的长度。")</f>
        <v>然后，该人开始用蓝色剃须刀剃光腿的长度。</v>
      </c>
    </row>
    <row r="14967">
      <c r="A14967" s="4" t="s">
        <v>18846</v>
      </c>
      <c r="B14967" s="6" t="s">
        <v>18850</v>
      </c>
      <c r="C14967" s="5" t="str">
        <f>IFERROR(__xludf.DUMMYFUNCTION("GOOGLETRANSLATE(B14967,""en"",""zh-CN"")"),"在浴室水槽下方握住抹布后，该人用湿抹布擦拭腿部，然后用特写景色将一瓶腿润滑油握在手中。")</f>
        <v>在浴室水槽下方握住抹布后，该人用湿抹布擦拭腿部，然后用特写景色将一瓶腿润滑油握在手中。</v>
      </c>
    </row>
    <row r="14968">
      <c r="A14968" s="4" t="s">
        <v>18851</v>
      </c>
      <c r="B14968" s="4" t="s">
        <v>18852</v>
      </c>
      <c r="C14968" s="5" t="str">
        <f>IFERROR(__xludf.DUMMYFUNCTION("GOOGLETRANSLATE(B14968,""en"",""zh-CN"")"),"一个女人和一个男人在舞台上跳舞。")</f>
        <v>一个女人和一个男人在舞台上跳舞。</v>
      </c>
    </row>
    <row r="14969">
      <c r="A14969" s="4" t="s">
        <v>18851</v>
      </c>
      <c r="B14969" s="4" t="s">
        <v>18853</v>
      </c>
      <c r="C14969" s="5" t="str">
        <f>IFERROR(__xludf.DUMMYFUNCTION("GOOGLETRANSLATE(B14969,""en"",""zh-CN"")"),"他们身后有一个乐队。")</f>
        <v>他们身后有一个乐队。</v>
      </c>
    </row>
    <row r="14970">
      <c r="A14970" s="4" t="s">
        <v>18851</v>
      </c>
      <c r="B14970" s="4" t="s">
        <v>18854</v>
      </c>
      <c r="C14970" s="5" t="str">
        <f>IFERROR(__xludf.DUMMYFUNCTION("GOOGLETRANSLATE(B14970,""en"",""zh-CN"")"),"有一个观众坐在椅子上鼓掌。")</f>
        <v>有一个观众坐在椅子上鼓掌。</v>
      </c>
    </row>
    <row r="14971">
      <c r="A14971" s="4" t="s">
        <v>18855</v>
      </c>
      <c r="B14971" s="4" t="s">
        <v>18856</v>
      </c>
      <c r="C14971" s="5" t="str">
        <f>IFERROR(__xludf.DUMMYFUNCTION("GOOGLETRANSLATE(B14971,""en"",""zh-CN"")"),"一个穿着绿色紧身连衣裤的年轻女孩开始旋转警棍并做技巧。")</f>
        <v>一个穿着绿色紧身连衣裤的年轻女孩开始旋转警棍并做技巧。</v>
      </c>
    </row>
    <row r="14972">
      <c r="A14972" s="4" t="s">
        <v>18855</v>
      </c>
      <c r="B14972" s="6" t="s">
        <v>18857</v>
      </c>
      <c r="C14972" s="5" t="str">
        <f>IFERROR(__xludf.DUMMYFUNCTION("GOOGLETRANSLATE(B14972,""en"",""zh-CN"")"),"这个女孩开始合并她的手臂，进行翻转，并继续将接力棒翻转过她的手和手臂。")</f>
        <v>这个女孩开始合并她的手臂，进行翻转，并继续将接力棒翻转过她的手和手臂。</v>
      </c>
    </row>
    <row r="14973">
      <c r="A14973" s="4" t="s">
        <v>18855</v>
      </c>
      <c r="B14973" s="6" t="s">
        <v>18858</v>
      </c>
      <c r="C14973" s="5" t="str">
        <f>IFERROR(__xludf.DUMMYFUNCTION("GOOGLETRANSLATE(B14973,""en"",""zh-CN"")"),"当这位年轻女士继续表演时，她在双腿之间和头顶上旋转着指挥棒，抓住它并做了疾驰。")</f>
        <v>当这位年轻女士继续表演时，她在双腿之间和头顶上旋转着指挥棒，抓住它并做了疾驰。</v>
      </c>
    </row>
    <row r="14974">
      <c r="A14974" s="4" t="s">
        <v>18855</v>
      </c>
      <c r="B14974" s="6" t="s">
        <v>18859</v>
      </c>
      <c r="C14974" s="5" t="str">
        <f>IFERROR(__xludf.DUMMYFUNCTION("GOOGLETRANSLATE(B14974,""en"",""zh-CN"")"),"年轻女孩的其余表演是一组旋转和扭曲，然后她从地板上跑出来完成表演。")</f>
        <v>年轻女孩的其余表演是一组旋转和扭曲，然后她从地板上跑出来完成表演。</v>
      </c>
    </row>
    <row r="14975">
      <c r="A14975" s="4" t="s">
        <v>18860</v>
      </c>
      <c r="B14975" s="6" t="s">
        <v>18861</v>
      </c>
      <c r="C14975" s="5" t="str">
        <f>IFERROR(__xludf.DUMMYFUNCTION("GOOGLETRANSLATE(B14975,""en"",""zh-CN"")"),"一个人举起90公斤重的重量直到肩膀，然后在头顶上方，然后该男子将重量放到地板上。")</f>
        <v>一个人举起90公斤重的重量直到肩膀，然后在头顶上方，然后该男子将重量放到地板上。</v>
      </c>
    </row>
    <row r="14976">
      <c r="A14976" s="4" t="s">
        <v>18860</v>
      </c>
      <c r="B14976" s="4" t="s">
        <v>18862</v>
      </c>
      <c r="C14976" s="5" t="str">
        <f>IFERROR(__xludf.DUMMYFUNCTION("GOOGLETRANSLATE(B14976,""en"",""zh-CN"")"),"然后，该男子在头顶上举起95公斤重的重量。")</f>
        <v>然后，该男子在头顶上举起95公斤重的重量。</v>
      </c>
    </row>
    <row r="14977">
      <c r="A14977" s="4" t="s">
        <v>18860</v>
      </c>
      <c r="B14977" s="4" t="s">
        <v>18863</v>
      </c>
      <c r="C14977" s="5" t="str">
        <f>IFERROR(__xludf.DUMMYFUNCTION("GOOGLETRANSLATE(B14977,""en"",""zh-CN"")"),"之后，该男子成功举起101公斤的重量。")</f>
        <v>之后，该男子成功举起101公斤的重量。</v>
      </c>
    </row>
    <row r="14978">
      <c r="A14978" s="4" t="s">
        <v>18864</v>
      </c>
      <c r="B14978" s="4" t="s">
        <v>18865</v>
      </c>
      <c r="C14978" s="5" t="str">
        <f>IFERROR(__xludf.DUMMYFUNCTION("GOOGLETRANSLATE(B14978,""en"",""zh-CN"")"),"看到汽车的特写镜头之后是一个拿着刮板的人。")</f>
        <v>看到汽车的特写镜头之后是一个拿着刮板的人。</v>
      </c>
    </row>
    <row r="14979">
      <c r="A14979" s="4" t="s">
        <v>18864</v>
      </c>
      <c r="B14979" s="4" t="s">
        <v>18866</v>
      </c>
      <c r="C14979" s="5" t="str">
        <f>IFERROR(__xludf.DUMMYFUNCTION("GOOGLETRANSLATE(B14979,""en"",""zh-CN"")"),"该人在看着相机时将冰沿着汽车推着。")</f>
        <v>该人在看着相机时将冰沿着汽车推着。</v>
      </c>
    </row>
    <row r="14980">
      <c r="A14980" s="4" t="s">
        <v>18864</v>
      </c>
      <c r="B14980" s="4" t="s">
        <v>18867</v>
      </c>
      <c r="C14980" s="5" t="str">
        <f>IFERROR(__xludf.DUMMYFUNCTION("GOOGLETRANSLATE(B14980,""en"",""zh-CN"")"),"当相机捕捉她的动作时，该人继续用刮板清理冰。")</f>
        <v>当相机捕捉她的动作时，该人继续用刮板清理冰。</v>
      </c>
    </row>
    <row r="14981">
      <c r="A14981" s="4" t="s">
        <v>18868</v>
      </c>
      <c r="B14981" s="4" t="s">
        <v>18869</v>
      </c>
      <c r="C14981" s="5" t="str">
        <f>IFERROR(__xludf.DUMMYFUNCTION("GOOGLETRANSLATE(B14981,""en"",""zh-CN"")"),"一名女摔跤手颠倒了另一名摔跤手。")</f>
        <v>一名女摔跤手颠倒了另一名摔跤手。</v>
      </c>
    </row>
    <row r="14982">
      <c r="A14982" s="4" t="s">
        <v>18868</v>
      </c>
      <c r="B14982" s="4" t="s">
        <v>18870</v>
      </c>
      <c r="C14982" s="5" t="str">
        <f>IFERROR(__xludf.DUMMYFUNCTION("GOOGLETRANSLATE(B14982,""en"",""zh-CN"")"),"她把她猛撞到垫子上，在她的背上。")</f>
        <v>她把她猛撞到垫子上，在她的背上。</v>
      </c>
    </row>
    <row r="14983">
      <c r="A14983" s="4" t="s">
        <v>18871</v>
      </c>
      <c r="B14983" s="6" t="s">
        <v>18872</v>
      </c>
      <c r="C14983" s="5" t="str">
        <f>IFERROR(__xludf.DUMMYFUNCTION("GOOGLETRANSLATE(B14983,""en"",""zh-CN"")"),"显示了各种景观的镜头，包括鹿头和树屋，并导致一名男子射击弓箭。")</f>
        <v>显示了各种景观的镜头，包括鹿头和树屋，并导致一名男子射击弓箭。</v>
      </c>
    </row>
    <row r="14984">
      <c r="A14984" s="4" t="s">
        <v>18871</v>
      </c>
      <c r="B14984" s="6" t="s">
        <v>18873</v>
      </c>
      <c r="C14984" s="5" t="str">
        <f>IFERROR(__xludf.DUMMYFUNCTION("GOOGLETRANSLATE(B14984,""en"",""zh-CN"")"),"他击中了毛绒动物，并用弓箭向他带来了更多的镜头。")</f>
        <v>他击中了毛绒动物，并用弓箭向他带来了更多的镜头。</v>
      </c>
    </row>
    <row r="14985">
      <c r="A14985" s="4" t="s">
        <v>18871</v>
      </c>
      <c r="B14985" s="4" t="s">
        <v>18874</v>
      </c>
      <c r="C14985" s="5" t="str">
        <f>IFERROR(__xludf.DUMMYFUNCTION("GOOGLETRANSLATE(B14985,""en"",""zh-CN"")"),"相机在他们击中的区域周围竖起，并显示一个男人走开。")</f>
        <v>相机在他们击中的区域周围竖起，并显示一个男人走开。</v>
      </c>
    </row>
    <row r="14986">
      <c r="A14986" s="4" t="s">
        <v>18875</v>
      </c>
      <c r="B14986" s="4" t="s">
        <v>18876</v>
      </c>
      <c r="C14986" s="5" t="str">
        <f>IFERROR(__xludf.DUMMYFUNCTION("GOOGLETRANSLATE(B14986,""en"",""zh-CN"")"),"有些人在崎rough绕的海浪冲浪。")</f>
        <v>有些人在崎rough绕的海浪冲浪。</v>
      </c>
    </row>
    <row r="14987">
      <c r="A14987" s="4" t="s">
        <v>18875</v>
      </c>
      <c r="B14987" s="4" t="s">
        <v>18877</v>
      </c>
      <c r="C14987" s="5" t="str">
        <f>IFERROR(__xludf.DUMMYFUNCTION("GOOGLETRANSLATE(B14987,""en"",""zh-CN"")"),"他们躺在木板上，消失在水中。")</f>
        <v>他们躺在木板上，消失在水中。</v>
      </c>
    </row>
    <row r="14988">
      <c r="A14988" s="4" t="s">
        <v>18875</v>
      </c>
      <c r="B14988" s="4" t="s">
        <v>18878</v>
      </c>
      <c r="C14988" s="5" t="str">
        <f>IFERROR(__xludf.DUMMYFUNCTION("GOOGLETRANSLATE(B14988,""en"",""zh-CN"")"),"这个女孩只是和父亲的帮助一起骑冲浪。")</f>
        <v>这个女孩只是和父亲的帮助一起骑冲浪。</v>
      </c>
    </row>
    <row r="14989">
      <c r="A14989" s="4" t="s">
        <v>18879</v>
      </c>
      <c r="B14989" s="4" t="s">
        <v>18880</v>
      </c>
      <c r="C14989" s="5" t="str">
        <f>IFERROR(__xludf.DUMMYFUNCTION("GOOGLETRANSLATE(B14989,""en"",""zh-CN"")"),"一个人站在梯子上擦墙壁。")</f>
        <v>一个人站在梯子上擦墙壁。</v>
      </c>
    </row>
    <row r="14990">
      <c r="A14990" s="4" t="s">
        <v>18879</v>
      </c>
      <c r="B14990" s="4" t="s">
        <v>18881</v>
      </c>
      <c r="C14990" s="5" t="str">
        <f>IFERROR(__xludf.DUMMYFUNCTION("GOOGLETRANSLATE(B14990,""en"",""zh-CN"")"),"一个黑色的水桶坐在他旁边。")</f>
        <v>一个黑色的水桶坐在他旁边。</v>
      </c>
    </row>
    <row r="14991">
      <c r="A14991" s="4" t="s">
        <v>18879</v>
      </c>
      <c r="B14991" s="4" t="s">
        <v>18882</v>
      </c>
      <c r="C14991" s="5" t="str">
        <f>IFERROR(__xludf.DUMMYFUNCTION("GOOGLETRANSLATE(B14991,""en"",""zh-CN"")"),"一个人站着向墙壁扔泥。")</f>
        <v>一个人站着向墙壁扔泥。</v>
      </c>
    </row>
    <row r="14992">
      <c r="A14992" s="4" t="s">
        <v>18883</v>
      </c>
      <c r="B14992" s="6" t="s">
        <v>18884</v>
      </c>
      <c r="C14992" s="5" t="str">
        <f>IFERROR(__xludf.DUMMYFUNCTION("GOOGLETRANSLATE(B14992,""en"",""zh-CN"")"),"看到一个女人站在马旁边，抚摸马旁边的镜头说话。")</f>
        <v>看到一个女人站在马旁边，抚摸马旁边的镜头说话。</v>
      </c>
    </row>
    <row r="14993">
      <c r="A14993" s="4" t="s">
        <v>18883</v>
      </c>
      <c r="B14993" s="4" t="s">
        <v>18885</v>
      </c>
      <c r="C14993" s="5" t="str">
        <f>IFERROR(__xludf.DUMMYFUNCTION("GOOGLETRANSLATE(B14993,""en"",""zh-CN"")"),"那匹马在女人周围嗅着，而她将他送给他，最后转过头。")</f>
        <v>那匹马在女人周围嗅着，而她将他送给他，最后转过头。</v>
      </c>
    </row>
    <row r="14994">
      <c r="A14994" s="4" t="s">
        <v>18886</v>
      </c>
      <c r="B14994" s="4" t="s">
        <v>18887</v>
      </c>
      <c r="C14994" s="5" t="str">
        <f>IFERROR(__xludf.DUMMYFUNCTION("GOOGLETRANSLATE(B14994,""en"",""zh-CN"")"),"一台摄像头倒出一张木桌，上面放着一个男孩，戴着眼镜。")</f>
        <v>一台摄像头倒出一张木桌，上面放着一个男孩，戴着眼镜。</v>
      </c>
    </row>
    <row r="14995">
      <c r="A14995" s="4" t="s">
        <v>18886</v>
      </c>
      <c r="B14995" s="4" t="s">
        <v>18888</v>
      </c>
      <c r="C14995" s="5" t="str">
        <f>IFERROR(__xludf.DUMMYFUNCTION("GOOGLETRANSLATE(B14995,""en"",""zh-CN"")"),"这个男孩将各种冰球推到木板上，以查看其结束的位置。")</f>
        <v>这个男孩将各种冰球推到木板上，以查看其结束的位置。</v>
      </c>
    </row>
    <row r="14996">
      <c r="A14996" s="4" t="s">
        <v>18886</v>
      </c>
      <c r="B14996" s="6" t="s">
        <v>18889</v>
      </c>
      <c r="C14996" s="5" t="str">
        <f>IFERROR(__xludf.DUMMYFUNCTION("GOOGLETRANSLATE(B14996,""en"",""zh-CN"")"),"这个男孩推了几个冰球，拿着相机的男孩走到最后，以显示结果。")</f>
        <v>这个男孩推了几个冰球，拿着相机的男孩走到最后，以显示结果。</v>
      </c>
    </row>
    <row r="14997">
      <c r="A14997" s="4" t="s">
        <v>18890</v>
      </c>
      <c r="B14997" s="4" t="s">
        <v>18891</v>
      </c>
      <c r="C14997" s="5" t="str">
        <f>IFERROR(__xludf.DUMMYFUNCTION("GOOGLETRANSLATE(B14997,""en"",""zh-CN"")"),"一个女孩正与一群人站在一个长长的木头平台上。")</f>
        <v>一个女孩正与一群人站在一个长长的木头平台上。</v>
      </c>
    </row>
    <row r="14998">
      <c r="A14998" s="4" t="s">
        <v>18890</v>
      </c>
      <c r="B14998" s="6" t="s">
        <v>18892</v>
      </c>
      <c r="C14998" s="5" t="str">
        <f>IFERROR(__xludf.DUMMYFUNCTION("GOOGLETRANSLATE(B14998,""en"",""zh-CN"")"),"她依附在绳子上，后面有几个人，然后她被推开，参加了自由跌倒的看台。")</f>
        <v>她依附在绳子上，后面有几个人，然后她被推开，参加了自由跌倒的看台。</v>
      </c>
    </row>
    <row r="14999">
      <c r="A14999" s="4" t="s">
        <v>18890</v>
      </c>
      <c r="B14999" s="4" t="s">
        <v>18893</v>
      </c>
      <c r="C14999" s="5" t="str">
        <f>IFERROR(__xludf.DUMMYFUNCTION("GOOGLETRANSLATE(B14999,""en"",""zh-CN"")"),"然后，雌性跌倒了很长一段时间。")</f>
        <v>然后，雌性跌倒了很长一段时间。</v>
      </c>
    </row>
    <row r="15000">
      <c r="A15000" s="4" t="s">
        <v>18894</v>
      </c>
      <c r="B15000" s="6" t="s">
        <v>18895</v>
      </c>
      <c r="C15000" s="5" t="str">
        <f>IFERROR(__xludf.DUMMYFUNCTION("GOOGLETRANSLATE(B15000,""en"",""zh-CN"")"),"看到一个女人在梳理头发的同时看着相机看着相机，并带着她的头发进入马尾辫。")</f>
        <v>看到一个女人在梳理头发的同时看着相机看着相机，并带着她的头发进入马尾辫。</v>
      </c>
    </row>
    <row r="15001">
      <c r="A15001" s="4" t="s">
        <v>18894</v>
      </c>
      <c r="B15001" s="4" t="s">
        <v>18896</v>
      </c>
      <c r="C15001" s="5" t="str">
        <f>IFERROR(__xludf.DUMMYFUNCTION("GOOGLETRANSLATE(B15001,""en"",""zh-CN"")"),"然后，女孩将更多的头发编织到她身上，并通过向相机挥手结束。")</f>
        <v>然后，女孩将更多的头发编织到她身上，并通过向相机挥手结束。</v>
      </c>
    </row>
    <row r="15002">
      <c r="A15002" s="4" t="s">
        <v>18897</v>
      </c>
      <c r="B15002" s="4" t="s">
        <v>18898</v>
      </c>
      <c r="C15002" s="5" t="str">
        <f>IFERROR(__xludf.DUMMYFUNCTION("GOOGLETRANSLATE(B15002,""en"",""zh-CN"")"),"视频开始时，路上有一辆卡车在道路上驾驶。")</f>
        <v>视频开始时，路上有一辆卡车在道路上驾驶。</v>
      </c>
    </row>
    <row r="15003">
      <c r="A15003" s="4" t="s">
        <v>18897</v>
      </c>
      <c r="B15003" s="4" t="s">
        <v>18899</v>
      </c>
      <c r="C15003" s="5" t="str">
        <f>IFERROR(__xludf.DUMMYFUNCTION("GOOGLETRANSLATE(B15003,""en"",""zh-CN"")"),"然后，一个男人坐在池畔旁边，与其他人一起在水中冲浪。")</f>
        <v>然后，一个男人坐在池畔旁边，与其他人一起在水中冲浪。</v>
      </c>
    </row>
    <row r="15004">
      <c r="A15004" s="4" t="s">
        <v>18900</v>
      </c>
      <c r="B15004" s="6" t="s">
        <v>18901</v>
      </c>
      <c r="C15004" s="5" t="str">
        <f>IFERROR(__xludf.DUMMYFUNCTION("GOOGLETRANSLATE(B15004,""en"",""zh-CN"")"),"人们看到人们在一个下雪的区域里走来走去，手里拿着木板，沿着小径骑行。")</f>
        <v>人们看到人们在一个下雪的区域里走来走去，手里拿着木板，沿着小径骑行。</v>
      </c>
    </row>
    <row r="15005">
      <c r="A15005" s="4" t="s">
        <v>18900</v>
      </c>
      <c r="B15005" s="4" t="s">
        <v>18902</v>
      </c>
      <c r="C15005" s="5" t="str">
        <f>IFERROR(__xludf.DUMMYFUNCTION("GOOGLETRANSLATE(B15005,""en"",""zh-CN"")"),"人们回望镜头时，人们不断地沿着雪山骑行。")</f>
        <v>人们回望镜头时，人们不断地沿着雪山骑行。</v>
      </c>
    </row>
    <row r="15006">
      <c r="A15006" s="4" t="s">
        <v>18900</v>
      </c>
      <c r="B15006" s="4" t="s">
        <v>18903</v>
      </c>
      <c r="C15006" s="5" t="str">
        <f>IFERROR(__xludf.DUMMYFUNCTION("GOOGLETRANSLATE(B15006,""en"",""zh-CN"")"),"人们在放大脚步时继续骑车。")</f>
        <v>人们在放大脚步时继续骑车。</v>
      </c>
    </row>
    <row r="15007">
      <c r="A15007" s="4" t="s">
        <v>18904</v>
      </c>
      <c r="B15007" s="6" t="s">
        <v>18905</v>
      </c>
      <c r="C15007" s="5" t="str">
        <f>IFERROR(__xludf.DUMMYFUNCTION("GOOGLETRANSLATE(B15007,""en"",""zh-CN"")"),"看到一个女人在拿着呼啦圈的摄像机上说话，并在呼啦圈周围旋转。")</f>
        <v>看到一个女人在拿着呼啦圈的摄像机上说话，并在呼啦圈周围旋转。</v>
      </c>
    </row>
    <row r="15008">
      <c r="A15008" s="4" t="s">
        <v>18904</v>
      </c>
      <c r="B15008" s="6" t="s">
        <v>18906</v>
      </c>
      <c r="C15008" s="5" t="str">
        <f>IFERROR(__xludf.DUMMYFUNCTION("GOOGLETRANSLATE(B15008,""en"",""zh-CN"")"),"该名女子继续将物体推到腰间，同时旋转着自己，并在适当的位置跳舞。")</f>
        <v>该名女子继续将物体推到腰间，同时旋转着自己，并在适当的位置跳舞。</v>
      </c>
    </row>
    <row r="15009">
      <c r="A15009" s="4" t="s">
        <v>18907</v>
      </c>
      <c r="B15009" s="4" t="s">
        <v>18908</v>
      </c>
      <c r="C15009" s="5" t="str">
        <f>IFERROR(__xludf.DUMMYFUNCTION("GOOGLETRANSLATE(B15009,""en"",""zh-CN"")"),"一个瘦小的男人和一个胖子在摄影师拍摄时表演手臂摔跤。")</f>
        <v>一个瘦小的男人和一个胖子在摄影师拍摄时表演手臂摔跤。</v>
      </c>
    </row>
    <row r="15010">
      <c r="A15010" s="4" t="s">
        <v>18907</v>
      </c>
      <c r="B15010" s="4" t="s">
        <v>18909</v>
      </c>
      <c r="C15010" s="5" t="str">
        <f>IFERROR(__xludf.DUMMYFUNCTION("GOOGLETRANSLATE(B15010,""en"",""zh-CN"")"),"瘦弱的男人赢得了手臂摔跤比赛。")</f>
        <v>瘦弱的男人赢得了手臂摔跤比赛。</v>
      </c>
    </row>
    <row r="15011">
      <c r="A15011" s="4" t="s">
        <v>18910</v>
      </c>
      <c r="B15011" s="4" t="s">
        <v>18911</v>
      </c>
      <c r="C15011" s="5" t="str">
        <f>IFERROR(__xludf.DUMMYFUNCTION("GOOGLETRANSLATE(B15011,""en"",""zh-CN"")"),"线束上的人们在平台上行走，树木在背景中远低于。")</f>
        <v>线束上的人们在平台上行走，树木在背景中远低于。</v>
      </c>
    </row>
    <row r="15012">
      <c r="A15012" s="4" t="s">
        <v>18910</v>
      </c>
      <c r="B15012" s="4" t="s">
        <v>18912</v>
      </c>
      <c r="C15012" s="5" t="str">
        <f>IFERROR(__xludf.DUMMYFUNCTION("GOOGLETRANSLATE(B15012,""en"",""zh-CN"")"),"该男子坐在长凳上，被钩在一条大的白色绳子上。")</f>
        <v>该男子坐在长凳上，被钩在一条大的白色绳子上。</v>
      </c>
    </row>
    <row r="15013">
      <c r="A15013" s="4" t="s">
        <v>18910</v>
      </c>
      <c r="B15013" s="4" t="s">
        <v>18913</v>
      </c>
      <c r="C15013" s="5" t="str">
        <f>IFERROR(__xludf.DUMMYFUNCTION("GOOGLETRANSLATE(B15013,""en"",""zh-CN"")"),"该男子握手一只女士的手。")</f>
        <v>该男子握手一只女士的手。</v>
      </c>
    </row>
    <row r="15014">
      <c r="A15014" s="4" t="s">
        <v>18910</v>
      </c>
      <c r="B15014" s="4" t="s">
        <v>18914</v>
      </c>
      <c r="C15014" s="5" t="str">
        <f>IFERROR(__xludf.DUMMYFUNCTION("GOOGLETRANSLATE(B15014,""en"",""zh-CN"")"),"该男子站着，走到由两个人协助的平台边缘。")</f>
        <v>该男子站着，走到由两个人协助的平台边缘。</v>
      </c>
    </row>
    <row r="15015">
      <c r="A15015" s="4" t="s">
        <v>18910</v>
      </c>
      <c r="B15015" s="6" t="s">
        <v>18915</v>
      </c>
      <c r="C15015" s="5" t="str">
        <f>IFERROR(__xludf.DUMMYFUNCTION("GOOGLETRANSLATE(B15015,""en"",""zh-CN"")"),"然后，这位女士将男人从边缘推开，相机向下看，看着男人的蹦极跳。")</f>
        <v>然后，这位女士将男人从边缘推开，相机向下看，看着男人的蹦极跳。</v>
      </c>
    </row>
    <row r="15016">
      <c r="A15016" s="4" t="s">
        <v>18910</v>
      </c>
      <c r="B15016" s="4" t="s">
        <v>18916</v>
      </c>
      <c r="C15016" s="5" t="str">
        <f>IFERROR(__xludf.DUMMYFUNCTION("GOOGLETRANSLATE(B15016,""en"",""zh-CN"")"),"一个有棍子的男人将其拿出来，那个男人抓住了它，他们从绳子上释放了这个人。")</f>
        <v>一个有棍子的男人将其拿出来，那个男人抓住了它，他们从绳子上释放了这个人。</v>
      </c>
    </row>
    <row r="15017">
      <c r="A15017" s="4" t="s">
        <v>18917</v>
      </c>
      <c r="B15017" s="4" t="s">
        <v>18918</v>
      </c>
      <c r="C15017" s="5" t="str">
        <f>IFERROR(__xludf.DUMMYFUNCTION("GOOGLETRANSLATE(B15017,""en"",""zh-CN"")"),"几个人躺在雪中的管子里。")</f>
        <v>几个人躺在雪中的管子里。</v>
      </c>
    </row>
    <row r="15018">
      <c r="A15018" s="4" t="s">
        <v>18917</v>
      </c>
      <c r="B15018" s="4" t="s">
        <v>18919</v>
      </c>
      <c r="C15018" s="5" t="str">
        <f>IFERROR(__xludf.DUMMYFUNCTION("GOOGLETRANSLATE(B15018,""en"",""zh-CN"")"),"越来越多的人站在他们周围。")</f>
        <v>越来越多的人站在他们周围。</v>
      </c>
    </row>
    <row r="15019">
      <c r="A15019" s="4" t="s">
        <v>18917</v>
      </c>
      <c r="B15019" s="4" t="s">
        <v>18920</v>
      </c>
      <c r="C15019" s="5" t="str">
        <f>IFERROR(__xludf.DUMMYFUNCTION("GOOGLETRANSLATE(B15019,""en"",""zh-CN"")"),"最终，其中一些人走下山。")</f>
        <v>最终，其中一些人走下山。</v>
      </c>
    </row>
    <row r="15020">
      <c r="A15020" s="4" t="s">
        <v>18917</v>
      </c>
      <c r="B15020" s="4" t="s">
        <v>18921</v>
      </c>
      <c r="C15020" s="5" t="str">
        <f>IFERROR(__xludf.DUMMYFUNCTION("GOOGLETRANSLATE(B15020,""en"",""zh-CN"")"),"他们到达山的底部。")</f>
        <v>他们到达山的底部。</v>
      </c>
    </row>
    <row r="15021">
      <c r="A15021" s="4" t="s">
        <v>18922</v>
      </c>
      <c r="B15021" s="4" t="s">
        <v>18923</v>
      </c>
      <c r="C15021" s="5" t="str">
        <f>IFERROR(__xludf.DUMMYFUNCTION("GOOGLETRANSLATE(B15021,""en"",""zh-CN"")"),"一个男人把剃须膏放在他的脸上。")</f>
        <v>一个男人把剃须膏放在他的脸上。</v>
      </c>
    </row>
    <row r="15022">
      <c r="A15022" s="4" t="s">
        <v>18922</v>
      </c>
      <c r="B15022" s="4" t="s">
        <v>18924</v>
      </c>
      <c r="C15022" s="5" t="str">
        <f>IFERROR(__xludf.DUMMYFUNCTION("GOOGLETRANSLATE(B15022,""en"",""zh-CN"")"),"他开始用剃刀剃光脸。")</f>
        <v>他开始用剃刀剃光脸。</v>
      </c>
    </row>
    <row r="15023">
      <c r="A15023" s="4" t="s">
        <v>18922</v>
      </c>
      <c r="B15023" s="4" t="s">
        <v>18925</v>
      </c>
      <c r="C15023" s="5" t="str">
        <f>IFERROR(__xludf.DUMMYFUNCTION("GOOGLETRANSLATE(B15023,""en"",""zh-CN"")"),"他用毛巾干了脸。")</f>
        <v>他用毛巾干了脸。</v>
      </c>
    </row>
    <row r="15024">
      <c r="A15024" s="4" t="s">
        <v>18926</v>
      </c>
      <c r="B15024" s="6" t="s">
        <v>18927</v>
      </c>
      <c r="C15024" s="5" t="str">
        <f>IFERROR(__xludf.DUMMYFUNCTION("GOOGLETRANSLATE(B15024,""en"",""zh-CN"")"),"显示了健身房的镜头，然后显示了一个试图射线和其他社交活动的人的几个剪辑。")</f>
        <v>显示了健身房的镜头，然后显示了一个试图射线和其他社交活动的人的几个剪辑。</v>
      </c>
    </row>
    <row r="15025">
      <c r="A15025" s="4" t="s">
        <v>18926</v>
      </c>
      <c r="B15025" s="4" t="s">
        <v>18928</v>
      </c>
      <c r="C15025" s="5" t="str">
        <f>IFERROR(__xludf.DUMMYFUNCTION("GOOGLETRANSLATE(B15025,""en"",""zh-CN"")"),"几个人对镜头说话，并带入他们的杆子。")</f>
        <v>几个人对镜头说话，并带入他们的杆子。</v>
      </c>
    </row>
    <row r="15026">
      <c r="A15026" s="4" t="s">
        <v>18926</v>
      </c>
      <c r="B15026" s="6" t="s">
        <v>18929</v>
      </c>
      <c r="C15026" s="5" t="str">
        <f>IFERROR(__xludf.DUMMYFUNCTION("GOOGLETRANSLATE(B15026,""en"",""zh-CN"")"),"看到越来越多的人互相说话，以及相机，并使用杆子越过酒吧。")</f>
        <v>看到越来越多的人互相说话，以及相机，并使用杆子越过酒吧。</v>
      </c>
    </row>
    <row r="15027">
      <c r="A15027" s="4" t="s">
        <v>18930</v>
      </c>
      <c r="B15027" s="4" t="s">
        <v>18931</v>
      </c>
      <c r="C15027" s="5" t="str">
        <f>IFERROR(__xludf.DUMMYFUNCTION("GOOGLETRANSLATE(B15027,""en"",""zh-CN"")"),"一个小的白色球冲进球场，击中了一名球员的头部。")</f>
        <v>一个小的白色球冲进球场，击中了一名球员的头部。</v>
      </c>
    </row>
    <row r="15028">
      <c r="A15028" s="4" t="s">
        <v>18930</v>
      </c>
      <c r="B15028" s="6" t="s">
        <v>18932</v>
      </c>
      <c r="C15028" s="5" t="str">
        <f>IFERROR(__xludf.DUMMYFUNCTION("GOOGLETRANSLATE(B15028,""en"",""zh-CN"")"),"然后，另一个球员偷球并开始踢球，直到他的控制权进一步进入，然后将其直接踢入进球。")</f>
        <v>然后，另一个球员偷球并开始踢球，直到他的控制权进一步进入，然后将其直接踢入进球。</v>
      </c>
    </row>
    <row r="15029">
      <c r="A15029" s="4" t="s">
        <v>18930</v>
      </c>
      <c r="B15029" s="4" t="s">
        <v>18933</v>
      </c>
      <c r="C15029" s="5" t="str">
        <f>IFERROR(__xludf.DUMMYFUNCTION("GOOGLETRANSLATE(B15029,""en"",""zh-CN"")"),"一个小的重播显示了他如何设法将其踢到那里。")</f>
        <v>一个小的重播显示了他如何设法将其踢到那里。</v>
      </c>
    </row>
    <row r="15030">
      <c r="A15030" s="4" t="s">
        <v>18930</v>
      </c>
      <c r="B15030" s="4" t="s">
        <v>18934</v>
      </c>
      <c r="C15030" s="5" t="str">
        <f>IFERROR(__xludf.DUMMYFUNCTION("GOOGLETRANSLATE(B15030,""en"",""zh-CN"")"),"短暂的类似动作的蒙太奇，球员将球直接踢进球。")</f>
        <v>短暂的类似动作的蒙太奇，球员将球直接踢进球。</v>
      </c>
    </row>
    <row r="15031">
      <c r="A15031" s="4" t="s">
        <v>18930</v>
      </c>
      <c r="B15031" s="4" t="s">
        <v>18935</v>
      </c>
      <c r="C15031" s="5" t="str">
        <f>IFERROR(__xludf.DUMMYFUNCTION("GOOGLETRANSLATE(B15031,""en"",""zh-CN"")"),"大量的镜头显示了玩家对自己的射门的反应。")</f>
        <v>大量的镜头显示了玩家对自己的射门的反应。</v>
      </c>
    </row>
    <row r="15032">
      <c r="A15032" s="4" t="s">
        <v>18936</v>
      </c>
      <c r="B15032" s="4" t="s">
        <v>18937</v>
      </c>
      <c r="C15032" s="5" t="str">
        <f>IFERROR(__xludf.DUMMYFUNCTION("GOOGLETRANSLATE(B15032,""en"",""zh-CN"")"),"一个人在董事会边缘冲浪。")</f>
        <v>一个人在董事会边缘冲浪。</v>
      </c>
    </row>
    <row r="15033">
      <c r="A15033" s="4" t="s">
        <v>18936</v>
      </c>
      <c r="B15033" s="4" t="s">
        <v>18938</v>
      </c>
      <c r="C15033" s="5" t="str">
        <f>IFERROR(__xludf.DUMMYFUNCTION("GOOGLETRANSLATE(B15033,""en"",""zh-CN"")"),"相机放大并显示板，然后放大。")</f>
        <v>相机放大并显示板，然后放大。</v>
      </c>
    </row>
    <row r="15034">
      <c r="A15034" s="4" t="s">
        <v>18936</v>
      </c>
      <c r="B15034" s="4" t="s">
        <v>18939</v>
      </c>
      <c r="C15034" s="5" t="str">
        <f>IFERROR(__xludf.DUMMYFUNCTION("GOOGLETRANSLATE(B15034,""en"",""zh-CN"")"),"我们看到远处的道路，看到汽车驾驶。")</f>
        <v>我们看到远处的道路，看到汽车驾驶。</v>
      </c>
    </row>
    <row r="15035">
      <c r="A15035" s="4" t="s">
        <v>18936</v>
      </c>
      <c r="B15035" s="4" t="s">
        <v>18940</v>
      </c>
      <c r="C15035" s="5" t="str">
        <f>IFERROR(__xludf.DUMMYFUNCTION("GOOGLETRANSLATE(B15035,""en"",""zh-CN"")"),"我们看到第二个人风筝冲浪。")</f>
        <v>我们看到第二个人风筝冲浪。</v>
      </c>
    </row>
    <row r="15036">
      <c r="A15036" s="4" t="s">
        <v>18941</v>
      </c>
      <c r="B15036" s="6" t="s">
        <v>18942</v>
      </c>
      <c r="C15036" s="5" t="str">
        <f>IFERROR(__xludf.DUMMYFUNCTION("GOOGLETRANSLATE(B15036,""en"",""zh-CN"")"),"看到一名体操运动员跳上一组不均匀的酒吧，并在其他人面前进行体操例行。")</f>
        <v>看到一名体操运动员跳上一组不均匀的酒吧，并在其他人面前进行体操例行。</v>
      </c>
    </row>
    <row r="15037">
      <c r="A15037" s="4" t="s">
        <v>18941</v>
      </c>
      <c r="B15037" s="6" t="s">
        <v>18943</v>
      </c>
      <c r="C15037" s="5" t="str">
        <f>IFERROR(__xludf.DUMMYFUNCTION("GOOGLETRANSLATE(B15037,""en"",""zh-CN"")"),"该男子继续在酒吧里翻转，最后他跳下来，向人群鞠躬。")</f>
        <v>该男子继续在酒吧里翻转，最后他跳下来，向人群鞠躬。</v>
      </c>
    </row>
    <row r="15038">
      <c r="A15038" s="4" t="s">
        <v>18944</v>
      </c>
      <c r="B15038" s="4" t="s">
        <v>18945</v>
      </c>
      <c r="C15038" s="5" t="str">
        <f>IFERROR(__xludf.DUMMYFUNCTION("GOOGLETRANSLATE(B15038,""en"",""zh-CN"")"),"看到一个小孩非常缓慢地在操场上爬上滑梯。")</f>
        <v>看到一个小孩非常缓慢地在操场上爬上滑梯。</v>
      </c>
    </row>
    <row r="15039">
      <c r="A15039" s="4" t="s">
        <v>18944</v>
      </c>
      <c r="B15039" s="4" t="s">
        <v>18946</v>
      </c>
      <c r="C15039" s="5" t="str">
        <f>IFERROR(__xludf.DUMMYFUNCTION("GOOGLETRANSLATE(B15039,""en"",""zh-CN"")"),"她向上向上向上，然后滑下滑梯。")</f>
        <v>她向上向上向上，然后滑下滑梯。</v>
      </c>
    </row>
    <row r="15040">
      <c r="A15040" s="4" t="s">
        <v>18947</v>
      </c>
      <c r="B15040" s="4" t="s">
        <v>18948</v>
      </c>
      <c r="C15040" s="5" t="str">
        <f>IFERROR(__xludf.DUMMYFUNCTION("GOOGLETRANSLATE(B15040,""en"",""zh-CN"")"),"展示了一个独奏杯的近距离，后面是一个男人投掷球。")</f>
        <v>展示了一个独奏杯的近距离，后面是一个男人投掷球。</v>
      </c>
    </row>
    <row r="15041">
      <c r="A15041" s="4" t="s">
        <v>18947</v>
      </c>
      <c r="B15041" s="6" t="s">
        <v>18949</v>
      </c>
      <c r="C15041" s="5" t="str">
        <f>IFERROR(__xludf.DUMMYFUNCTION("GOOGLETRANSLATE(B15041,""en"",""zh-CN"")"),"一个人将杯子移动到桌子旁边，而人们继续投掷，男人切换位置。")</f>
        <v>一个人将杯子移动到桌子旁边，而人们继续投掷，男人切换位置。</v>
      </c>
    </row>
    <row r="15042">
      <c r="A15042" s="4" t="s">
        <v>18947</v>
      </c>
      <c r="B15042" s="4" t="s">
        <v>18950</v>
      </c>
      <c r="C15042" s="5" t="str">
        <f>IFERROR(__xludf.DUMMYFUNCTION("GOOGLETRANSLATE(B15042,""en"",""zh-CN"")"),"当相机捕获他们的动作时，这两个继续轮流。")</f>
        <v>当相机捕获他们的动作时，这两个继续轮流。</v>
      </c>
    </row>
    <row r="15043">
      <c r="A15043" s="4" t="s">
        <v>18951</v>
      </c>
      <c r="B15043" s="6" t="s">
        <v>18952</v>
      </c>
      <c r="C15043" s="5" t="str">
        <f>IFERROR(__xludf.DUMMYFUNCTION("GOOGLETRANSLATE(B15043,""en"",""zh-CN"")"),"两名穿着充气相扑摔跤手服装的男子通过在公共广场上表演的街头娱乐公众。")</f>
        <v>两名穿着充气相扑摔跤手服装的男子通过在公共广场上表演的街头娱乐公众。</v>
      </c>
    </row>
    <row r="15044">
      <c r="A15044" s="4" t="s">
        <v>18951</v>
      </c>
      <c r="B15044" s="6" t="s">
        <v>18953</v>
      </c>
      <c r="C15044" s="5" t="str">
        <f>IFERROR(__xludf.DUMMYFUNCTION("GOOGLETRANSLATE(B15044,""en"",""zh-CN"")"),"两名穿着充气相扑摔跤手的男子与镜头交谈，并开始娱乐他们在铺好的公共广场上经过的人们。")</f>
        <v>两名穿着充气相扑摔跤手的男子与镜头交谈，并开始娱乐他们在铺好的公共广场上经过的人们。</v>
      </c>
    </row>
    <row r="15045">
      <c r="A15045" s="4" t="s">
        <v>18951</v>
      </c>
      <c r="B15045" s="6" t="s">
        <v>18954</v>
      </c>
      <c r="C15045" s="5" t="str">
        <f>IFERROR(__xludf.DUMMYFUNCTION("GOOGLETRANSLATE(B15045,""en"",""zh-CN"")"),"这两个男人向一个小男孩展示了如何使用自动踏板车，进行模拟的相扑摔跤比赛，并与观众拍照，并与观众跳舞，然后再结束表演并再次与镜头交谈。")</f>
        <v>这两个男人向一个小男孩展示了如何使用自动踏板车，进行模拟的相扑摔跤比赛，并与观众拍照，并与观众跳舞，然后再结束表演并再次与镜头交谈。</v>
      </c>
    </row>
    <row r="15046">
      <c r="A15046" s="4" t="s">
        <v>18955</v>
      </c>
      <c r="B15046" s="4" t="s">
        <v>18956</v>
      </c>
      <c r="C15046" s="5" t="str">
        <f>IFERROR(__xludf.DUMMYFUNCTION("GOOGLETRANSLATE(B15046,""en"",""zh-CN"")"),"我们看到一个人把狗带到庇护所。")</f>
        <v>我们看到一个人把狗带到庇护所。</v>
      </c>
    </row>
    <row r="15047">
      <c r="A15047" s="4" t="s">
        <v>18955</v>
      </c>
      <c r="B15047" s="4" t="s">
        <v>18957</v>
      </c>
      <c r="C15047" s="5" t="str">
        <f>IFERROR(__xludf.DUMMYFUNCTION("GOOGLETRANSLATE(B15047,""en"",""zh-CN"")"),"我们看到一个带有写作的黑屏。")</f>
        <v>我们看到一个带有写作的黑屏。</v>
      </c>
    </row>
    <row r="15048">
      <c r="A15048" s="4" t="s">
        <v>18955</v>
      </c>
      <c r="B15048" s="4" t="s">
        <v>18958</v>
      </c>
      <c r="C15048" s="5" t="str">
        <f>IFERROR(__xludf.DUMMYFUNCTION("GOOGLETRANSLATE(B15048,""en"",""zh-CN"")"),"然后，我们看到一位女士使用电动剃须刀，然后剪刀修饰狗。")</f>
        <v>然后，我们看到一位女士使用电动剃须刀，然后剪刀修饰狗。</v>
      </c>
    </row>
    <row r="15049">
      <c r="A15049" s="4" t="s">
        <v>18955</v>
      </c>
      <c r="B15049" s="4" t="s">
        <v>18959</v>
      </c>
      <c r="C15049" s="5" t="str">
        <f>IFERROR(__xludf.DUMMYFUNCTION("GOOGLETRANSLATE(B15049,""en"",""zh-CN"")"),"美容师亲吻小狗。")</f>
        <v>美容师亲吻小狗。</v>
      </c>
    </row>
    <row r="15050">
      <c r="A15050" s="4" t="s">
        <v>18955</v>
      </c>
      <c r="B15050" s="4" t="s">
        <v>18960</v>
      </c>
      <c r="C15050" s="5" t="str">
        <f>IFERROR(__xludf.DUMMYFUNCTION("GOOGLETRANSLATE(B15050,""en"",""zh-CN"")"),"我们看到修饰后的狗射击。")</f>
        <v>我们看到修饰后的狗射击。</v>
      </c>
    </row>
    <row r="15051">
      <c r="A15051" s="4" t="s">
        <v>18955</v>
      </c>
      <c r="B15051" s="4" t="s">
        <v>18961</v>
      </c>
      <c r="C15051" s="5" t="str">
        <f>IFERROR(__xludf.DUMMYFUNCTION("GOOGLETRANSLATE(B15051,""en"",""zh-CN"")"),"然后，我们看到一个黑色标题屏幕。")</f>
        <v>然后，我们看到一个黑色标题屏幕。</v>
      </c>
    </row>
    <row r="15052">
      <c r="A15052" s="4" t="s">
        <v>18962</v>
      </c>
      <c r="B15052" s="4" t="s">
        <v>18963</v>
      </c>
      <c r="C15052" s="5" t="str">
        <f>IFERROR(__xludf.DUMMYFUNCTION("GOOGLETRANSLATE(B15052,""en"",""zh-CN"")"),"女人在谷仓里骑马，另一个女人用绳子带领马。")</f>
        <v>女人在谷仓里骑马，另一个女人用绳子带领马。</v>
      </c>
    </row>
    <row r="15053">
      <c r="A15053" s="4" t="s">
        <v>18962</v>
      </c>
      <c r="B15053" s="4" t="s">
        <v>18964</v>
      </c>
      <c r="C15053" s="5" t="str">
        <f>IFERROR(__xludf.DUMMYFUNCTION("GOOGLETRANSLATE(B15053,""en"",""zh-CN"")"),"显示了各种骑马的照片。")</f>
        <v>显示了各种骑马的照片。</v>
      </c>
    </row>
    <row r="15054">
      <c r="A15054" s="4" t="s">
        <v>18962</v>
      </c>
      <c r="B15054" s="4" t="s">
        <v>18965</v>
      </c>
      <c r="C15054" s="5" t="str">
        <f>IFERROR(__xludf.DUMMYFUNCTION("GOOGLETRANSLATE(B15054,""en"",""zh-CN"")"),"瓦瓦（Woma）正在骑谷仓里骑马，并骑马的照片。")</f>
        <v>瓦瓦（Woma）正在骑谷仓里骑马，并骑马的照片。</v>
      </c>
    </row>
    <row r="15055">
      <c r="A15055" s="4" t="s">
        <v>18962</v>
      </c>
      <c r="B15055" s="4" t="s">
        <v>18966</v>
      </c>
      <c r="C15055" s="5" t="str">
        <f>IFERROR(__xludf.DUMMYFUNCTION("GOOGLETRANSLATE(B15055,""en"",""zh-CN"")"),"女人正在骑马骑马。")</f>
        <v>女人正在骑马骑马。</v>
      </c>
    </row>
    <row r="15056">
      <c r="A15056" s="4" t="s">
        <v>18962</v>
      </c>
      <c r="B15056" s="4" t="s">
        <v>18967</v>
      </c>
      <c r="C15056" s="5" t="str">
        <f>IFERROR(__xludf.DUMMYFUNCTION("GOOGLETRANSLATE(B15056,""en"",""zh-CN"")"),"一个女孩也在轨道上跳跃。")</f>
        <v>一个女孩也在轨道上跳跃。</v>
      </c>
    </row>
    <row r="15057">
      <c r="A15057" s="4" t="s">
        <v>18962</v>
      </c>
      <c r="B15057" s="4" t="s">
        <v>18968</v>
      </c>
      <c r="C15057" s="5" t="str">
        <f>IFERROR(__xludf.DUMMYFUNCTION("GOOGLETRANSLATE(B15057,""en"",""zh-CN"")"),"孩子们在电视前在客厅里玩耍，并显示了他们在心情上的图片。")</f>
        <v>孩子们在电视前在客厅里玩耍，并显示了他们在心情上的图片。</v>
      </c>
    </row>
    <row r="15058">
      <c r="A15058" s="4" t="s">
        <v>18962</v>
      </c>
      <c r="B15058" s="4" t="s">
        <v>18969</v>
      </c>
      <c r="C15058" s="5" t="str">
        <f>IFERROR(__xludf.DUMMYFUNCTION("GOOGLETRANSLATE(B15058,""en"",""zh-CN"")"),"孩子们在桥上跳舞，跳入游泳池。")</f>
        <v>孩子们在桥上跳舞，跳入游泳池。</v>
      </c>
    </row>
    <row r="15059">
      <c r="A15059" s="4" t="s">
        <v>18970</v>
      </c>
      <c r="B15059" s="6" t="s">
        <v>18971</v>
      </c>
      <c r="C15059" s="5" t="str">
        <f>IFERROR(__xludf.DUMMYFUNCTION("GOOGLETRANSLATE(B15059,""en"",""zh-CN"")"),"该视频导致了几张冲浪者沿着水和其他人骑行的冲浪者的镜头。")</f>
        <v>该视频导致了几张冲浪者沿着水和其他人骑行的冲浪者的镜头。</v>
      </c>
    </row>
    <row r="15060">
      <c r="A15060" s="4" t="s">
        <v>18970</v>
      </c>
      <c r="B15060" s="6" t="s">
        <v>18972</v>
      </c>
      <c r="C15060" s="5" t="str">
        <f>IFERROR(__xludf.DUMMYFUNCTION("GOOGLETRANSLATE(B15060,""en"",""zh-CN"")"),"在如何正确冲浪上显示了几张镜头，然后在慢动作中显示更多镜头。")</f>
        <v>在如何正确冲浪上显示了几张镜头，然后在慢动作中显示更多镜头。</v>
      </c>
    </row>
    <row r="15061">
      <c r="A15061" s="4" t="s">
        <v>18973</v>
      </c>
      <c r="B15061" s="6" t="s">
        <v>18974</v>
      </c>
      <c r="C15061" s="5" t="str">
        <f>IFERROR(__xludf.DUMMYFUNCTION("GOOGLETRANSLATE(B15061,""en"",""zh-CN"")"),"速度船的背面显示后面是脚跳入水中，环顾四周。")</f>
        <v>速度船的背面显示后面是脚跳入水中，环顾四周。</v>
      </c>
    </row>
    <row r="15062">
      <c r="A15062" s="4" t="s">
        <v>18973</v>
      </c>
      <c r="B15062" s="4" t="s">
        <v>18975</v>
      </c>
      <c r="C15062" s="5" t="str">
        <f>IFERROR(__xludf.DUMMYFUNCTION("GOOGLETRANSLATE(B15062,""en"",""zh-CN"")"),"一个人握住一个棍子，抓住鱼和戳鲨。")</f>
        <v>一个人握住一个棍子，抓住鱼和戳鲨。</v>
      </c>
    </row>
    <row r="15063">
      <c r="A15063" s="4" t="s">
        <v>18976</v>
      </c>
      <c r="B15063" s="4" t="s">
        <v>18977</v>
      </c>
      <c r="C15063" s="5" t="str">
        <f>IFERROR(__xludf.DUMMYFUNCTION("GOOGLETRANSLATE(B15063,""en"",""zh-CN"")"),"一个人在面对相机时演奏萨克斯管。")</f>
        <v>一个人在面对相机时演奏萨克斯管。</v>
      </c>
    </row>
    <row r="15064">
      <c r="A15064" s="4" t="s">
        <v>18976</v>
      </c>
      <c r="B15064" s="4" t="s">
        <v>18978</v>
      </c>
      <c r="C15064" s="5" t="str">
        <f>IFERROR(__xludf.DUMMYFUNCTION("GOOGLETRANSLATE(B15064,""en"",""zh-CN"")"),"该男子在演奏乐器上演奏并微笑。")</f>
        <v>该男子在演奏乐器上演奏并微笑。</v>
      </c>
    </row>
    <row r="15065">
      <c r="A15065" s="4" t="s">
        <v>18979</v>
      </c>
      <c r="B15065" s="4" t="s">
        <v>18980</v>
      </c>
      <c r="C15065" s="5" t="str">
        <f>IFERROR(__xludf.DUMMYFUNCTION("GOOGLETRANSLATE(B15065,""en"",""zh-CN"")"),"一个人几次踩着棕褐色垫子。")</f>
        <v>一个人几次踩着棕褐色垫子。</v>
      </c>
    </row>
    <row r="15066">
      <c r="A15066" s="4" t="s">
        <v>18979</v>
      </c>
      <c r="B15066" s="4" t="s">
        <v>18981</v>
      </c>
      <c r="C15066" s="5" t="str">
        <f>IFERROR(__xludf.DUMMYFUNCTION("GOOGLETRANSLATE(B15066,""en"",""zh-CN"")"),"他们脱下鞋子，穿上一双不同的鞋子。")</f>
        <v>他们脱下鞋子，穿上一双不同的鞋子。</v>
      </c>
    </row>
    <row r="15067">
      <c r="A15067" s="4" t="s">
        <v>18979</v>
      </c>
      <c r="B15067" s="4" t="s">
        <v>18982</v>
      </c>
      <c r="C15067" s="5" t="str">
        <f>IFERROR(__xludf.DUMMYFUNCTION("GOOGLETRANSLATE(B15067,""en"",""zh-CN"")"),"他们继续踩新鞋的垫子。")</f>
        <v>他们继续踩新鞋的垫子。</v>
      </c>
    </row>
    <row r="15068">
      <c r="A15068" s="4" t="s">
        <v>18979</v>
      </c>
      <c r="B15068" s="4" t="s">
        <v>18983</v>
      </c>
      <c r="C15068" s="5" t="str">
        <f>IFERROR(__xludf.DUMMYFUNCTION("GOOGLETRANSLATE(B15068,""en"",""zh-CN"")"),"他们脱下鞋子走开。")</f>
        <v>他们脱下鞋子走开。</v>
      </c>
    </row>
    <row r="15069">
      <c r="A15069" s="4" t="s">
        <v>18984</v>
      </c>
      <c r="B15069" s="4" t="s">
        <v>18985</v>
      </c>
      <c r="C15069" s="5" t="str">
        <f>IFERROR(__xludf.DUMMYFUNCTION("GOOGLETRANSLATE(B15069,""en"",""zh-CN"")"),"一个男人在森林里，脚上有和没有鞋子。")</f>
        <v>一个男人在森林里，脚上有和没有鞋子。</v>
      </c>
    </row>
    <row r="15070">
      <c r="A15070" s="4" t="s">
        <v>18984</v>
      </c>
      <c r="B15070" s="4" t="s">
        <v>18986</v>
      </c>
      <c r="C15070" s="5" t="str">
        <f>IFERROR(__xludf.DUMMYFUNCTION("GOOGLETRANSLATE(B15070,""en"",""zh-CN"")"),"他在上面安装了一根绳索和平衡。")</f>
        <v>他在上面安装了一根绳索和平衡。</v>
      </c>
    </row>
    <row r="15071">
      <c r="A15071" s="4" t="s">
        <v>18984</v>
      </c>
      <c r="B15071" s="4" t="s">
        <v>18987</v>
      </c>
      <c r="C15071" s="5" t="str">
        <f>IFERROR(__xludf.DUMMYFUNCTION("GOOGLETRANSLATE(B15071,""en"",""zh-CN"")"),"他使用绳索行走，显示出适当的位置以保持平衡。")</f>
        <v>他使用绳索行走，显示出适当的位置以保持平衡。</v>
      </c>
    </row>
    <row r="15072">
      <c r="A15072" s="4" t="s">
        <v>18988</v>
      </c>
      <c r="B15072" s="4" t="s">
        <v>18989</v>
      </c>
      <c r="C15072" s="5" t="str">
        <f>IFERROR(__xludf.DUMMYFUNCTION("GOOGLETRANSLATE(B15072,""en"",""zh-CN"")"),"一个女人在一个装满红子弹的瓶子上拍照。")</f>
        <v>一个女人在一个装满红子弹的瓶子上拍照。</v>
      </c>
    </row>
    <row r="15073">
      <c r="A15073" s="4" t="s">
        <v>18988</v>
      </c>
      <c r="B15073" s="4" t="s">
        <v>18990</v>
      </c>
      <c r="C15073" s="5" t="str">
        <f>IFERROR(__xludf.DUMMYFUNCTION("GOOGLETRANSLATE(B15073,""en"",""zh-CN"")"),"卸下棉垫，然后装载枪。")</f>
        <v>卸下棉垫，然后装载枪。</v>
      </c>
    </row>
    <row r="15074">
      <c r="A15074" s="4" t="s">
        <v>18988</v>
      </c>
      <c r="B15074" s="4" t="s">
        <v>18991</v>
      </c>
      <c r="C15074" s="5" t="str">
        <f>IFERROR(__xludf.DUMMYFUNCTION("GOOGLETRANSLATE(B15074,""en"",""zh-CN"")"),"她将绘画子弹射向目标，将其溅出红色。")</f>
        <v>她将绘画子弹射向目标，将其溅出红色。</v>
      </c>
    </row>
    <row r="15075">
      <c r="A15075" s="4" t="s">
        <v>18988</v>
      </c>
      <c r="B15075" s="4" t="s">
        <v>18992</v>
      </c>
      <c r="C15075" s="5" t="str">
        <f>IFERROR(__xludf.DUMMYFUNCTION("GOOGLETRANSLATE(B15075,""en"",""zh-CN"")"),"显示几个目标被溅出。")</f>
        <v>显示几个目标被溅出。</v>
      </c>
    </row>
    <row r="15076">
      <c r="A15076" s="4" t="s">
        <v>18993</v>
      </c>
      <c r="B15076" s="4" t="s">
        <v>18994</v>
      </c>
      <c r="C15076" s="5" t="str">
        <f>IFERROR(__xludf.DUMMYFUNCTION("GOOGLETRANSLATE(B15076,""en"",""zh-CN"")"),"一个男人在地铁上拆开自行车。")</f>
        <v>一个男人在地铁上拆开自行车。</v>
      </c>
    </row>
    <row r="15077">
      <c r="A15077" s="4" t="s">
        <v>18993</v>
      </c>
      <c r="B15077" s="4" t="s">
        <v>18995</v>
      </c>
      <c r="C15077" s="5" t="str">
        <f>IFERROR(__xludf.DUMMYFUNCTION("GOOGLETRANSLATE(B15077,""en"",""zh-CN"")"),"他把轮胎放回自行车上。")</f>
        <v>他把轮胎放回自行车上。</v>
      </c>
    </row>
    <row r="15078">
      <c r="A15078" s="4" t="s">
        <v>18996</v>
      </c>
      <c r="B15078" s="4" t="s">
        <v>16432</v>
      </c>
      <c r="C15078" s="5" t="str">
        <f>IFERROR(__xludf.DUMMYFUNCTION("GOOGLETRANSLATE(B15078,""en"",""zh-CN"")"),"一个男人正在塞篮球。")</f>
        <v>一个男人正在塞篮球。</v>
      </c>
    </row>
    <row r="15079">
      <c r="A15079" s="4" t="s">
        <v>18996</v>
      </c>
      <c r="B15079" s="4" t="s">
        <v>18997</v>
      </c>
      <c r="C15079" s="5" t="str">
        <f>IFERROR(__xludf.DUMMYFUNCTION("GOOGLETRANSLATE(B15079,""en"",""zh-CN"")"),"他们在球场上奔跑，继续运球。")</f>
        <v>他们在球场上奔跑，继续运球。</v>
      </c>
    </row>
    <row r="15080">
      <c r="A15080" s="4" t="s">
        <v>18996</v>
      </c>
      <c r="B15080" s="4" t="s">
        <v>18998</v>
      </c>
      <c r="C15080" s="5" t="str">
        <f>IFERROR(__xludf.DUMMYFUNCTION("GOOGLETRANSLATE(B15080,""en"",""zh-CN"")"),"他们跳了起来，做篮子。")</f>
        <v>他们跳了起来，做篮子。</v>
      </c>
    </row>
    <row r="15081">
      <c r="A15081" s="4" t="s">
        <v>18999</v>
      </c>
      <c r="B15081" s="4" t="s">
        <v>19000</v>
      </c>
      <c r="C15081" s="5" t="str">
        <f>IFERROR(__xludf.DUMMYFUNCTION("GOOGLETRANSLATE(B15081,""en"",""zh-CN"")"),"MOP的属性通过各个部分的计算机图形特写来证明。")</f>
        <v>MOP的属性通过各个部分的计算机图形特写来证明。</v>
      </c>
    </row>
    <row r="15082">
      <c r="A15082" s="4" t="s">
        <v>18999</v>
      </c>
      <c r="B15082" s="4" t="s">
        <v>19001</v>
      </c>
      <c r="C15082" s="5" t="str">
        <f>IFERROR(__xludf.DUMMYFUNCTION("GOOGLETRANSLATE(B15082,""en"",""zh-CN"")"),"在实际使用中证明了拖把。")</f>
        <v>在实际使用中证明了拖把。</v>
      </c>
    </row>
    <row r="15083">
      <c r="A15083" s="4" t="s">
        <v>18999</v>
      </c>
      <c r="B15083" s="4" t="s">
        <v>19002</v>
      </c>
      <c r="C15083" s="5" t="str">
        <f>IFERROR(__xludf.DUMMYFUNCTION("GOOGLETRANSLATE(B15083,""en"",""zh-CN"")"),"显示了拖把头的准备。")</f>
        <v>显示了拖把头的准备。</v>
      </c>
    </row>
    <row r="15084">
      <c r="A15084" s="4" t="s">
        <v>18999</v>
      </c>
      <c r="B15084" s="4" t="s">
        <v>19003</v>
      </c>
      <c r="C15084" s="5" t="str">
        <f>IFERROR(__xludf.DUMMYFUNCTION("GOOGLETRANSLATE(B15084,""en"",""zh-CN"")"),"显示了更多组件特写。")</f>
        <v>显示了更多组件特写。</v>
      </c>
    </row>
    <row r="15085">
      <c r="A15085" s="4" t="s">
        <v>18999</v>
      </c>
      <c r="B15085" s="4" t="s">
        <v>19004</v>
      </c>
      <c r="C15085" s="5" t="str">
        <f>IFERROR(__xludf.DUMMYFUNCTION("GOOGLETRANSLATE(B15085,""en"",""zh-CN"")"),"拖把头再次被演示。")</f>
        <v>拖把头再次被演示。</v>
      </c>
    </row>
    <row r="15086">
      <c r="A15086" s="4" t="s">
        <v>19005</v>
      </c>
      <c r="B15086" s="4" t="s">
        <v>19006</v>
      </c>
      <c r="C15086" s="5" t="str">
        <f>IFERROR(__xludf.DUMMYFUNCTION("GOOGLETRANSLATE(B15086,""en"",""zh-CN"")"),"一个人坐下来纹身。")</f>
        <v>一个人坐下来纹身。</v>
      </c>
    </row>
    <row r="15087">
      <c r="A15087" s="4" t="s">
        <v>19005</v>
      </c>
      <c r="B15087" s="4" t="s">
        <v>19007</v>
      </c>
      <c r="C15087" s="5" t="str">
        <f>IFERROR(__xludf.DUMMYFUNCTION("GOOGLETRANSLATE(B15087,""en"",""zh-CN"")"),"他们站起来展示纹身。")</f>
        <v>他们站起来展示纹身。</v>
      </c>
    </row>
    <row r="15088">
      <c r="A15088" s="4" t="s">
        <v>19008</v>
      </c>
      <c r="B15088" s="4" t="s">
        <v>19009</v>
      </c>
      <c r="C15088" s="5" t="str">
        <f>IFERROR(__xludf.DUMMYFUNCTION("GOOGLETRANSLATE(B15088,""en"",""zh-CN"")"),"看到一名体操运动员站起来准备站起来，转身面对光束。")</f>
        <v>看到一名体操运动员站起来准备站起来，转身面对光束。</v>
      </c>
    </row>
    <row r="15089">
      <c r="A15089" s="4" t="s">
        <v>19008</v>
      </c>
      <c r="B15089" s="4" t="s">
        <v>19010</v>
      </c>
      <c r="C15089" s="5" t="str">
        <f>IFERROR(__xludf.DUMMYFUNCTION("GOOGLETRANSLATE(B15089,""en"",""zh-CN"")"),"只是跳上光束，开始进行体操例程，直到她摔倒。")</f>
        <v>只是跳上光束，开始进行体操例程，直到她摔倒。</v>
      </c>
    </row>
    <row r="15090">
      <c r="A15090" s="4" t="s">
        <v>19008</v>
      </c>
      <c r="B15090" s="4" t="s">
        <v>19011</v>
      </c>
      <c r="C15090" s="5" t="str">
        <f>IFERROR(__xludf.DUMMYFUNCTION("GOOGLETRANSLATE(B15090,""en"",""zh-CN"")"),"她爬上梁上，然后从光束上翻转。")</f>
        <v>她爬上梁上，然后从光束上翻转。</v>
      </c>
    </row>
    <row r="15091">
      <c r="A15091" s="4" t="s">
        <v>19012</v>
      </c>
      <c r="B15091" s="6" t="s">
        <v>19013</v>
      </c>
      <c r="C15091" s="5" t="str">
        <f>IFERROR(__xludf.DUMMYFUNCTION("GOOGLETRANSLATE(B15091,""en"",""zh-CN"")"),"看到两个人站在一个沙滩上，一个踢球并将球传给另一个。")</f>
        <v>看到两个人站在一个沙滩上，一个踢球并将球传给另一个。</v>
      </c>
    </row>
    <row r="15092">
      <c r="A15092" s="4" t="s">
        <v>19012</v>
      </c>
      <c r="B15092" s="6" t="s">
        <v>19014</v>
      </c>
      <c r="C15092" s="5" t="str">
        <f>IFERROR(__xludf.DUMMYFUNCTION("GOOGLETRANSLATE(B15092,""en"",""zh-CN"")"),"男孩们继续向后传球，而看到许多人在水中四处走动。")</f>
        <v>男孩们继续向后传球，而看到许多人在水中四处走动。</v>
      </c>
    </row>
    <row r="15093">
      <c r="A15093" s="4" t="s">
        <v>19015</v>
      </c>
      <c r="B15093" s="4" t="s">
        <v>19016</v>
      </c>
      <c r="C15093" s="5" t="str">
        <f>IFERROR(__xludf.DUMMYFUNCTION("GOOGLETRANSLATE(B15093,""en"",""zh-CN"")"),"两支曲棍球运动员在溜冰场内玩游戏。")</f>
        <v>两支曲棍球运动员在溜冰场内玩游戏。</v>
      </c>
    </row>
    <row r="15094">
      <c r="A15094" s="4" t="s">
        <v>19015</v>
      </c>
      <c r="B15094" s="4" t="s">
        <v>19017</v>
      </c>
      <c r="C15094" s="5" t="str">
        <f>IFERROR(__xludf.DUMMYFUNCTION("GOOGLETRANSLATE(B15094,""en"",""zh-CN"")"),"冰球受到进球的攻击，球队击中了比赛，比赛仍在继续。")</f>
        <v>冰球受到进球的攻击，球队击中了比赛，比赛仍在继续。</v>
      </c>
    </row>
    <row r="15095">
      <c r="A15095" s="4" t="s">
        <v>19015</v>
      </c>
      <c r="B15095" s="4" t="s">
        <v>19018</v>
      </c>
      <c r="C15095" s="5" t="str">
        <f>IFERROR(__xludf.DUMMYFUNCTION("GOOGLETRANSLATE(B15095,""en"",""zh-CN"")"),"为之奋斗后，球员在另一端击败了冰球，守门员阻止了冰球。")</f>
        <v>为之奋斗后，球员在另一端击败了冰球，守门员阻止了冰球。</v>
      </c>
    </row>
    <row r="15096">
      <c r="A15096" s="4" t="s">
        <v>19015</v>
      </c>
      <c r="B15096" s="6" t="s">
        <v>19019</v>
      </c>
      <c r="C15096" s="5" t="str">
        <f>IFERROR(__xludf.DUMMYFUNCTION("GOOGLETRANSLATE(B15096,""en"",""zh-CN"")"),"每个团队都与冰球来回召集，但他们俩都没有成功，他们在溜冰场的两端都被阻止。")</f>
        <v>每个团队都与冰球来回召集，但他们俩都没有成功，他们在溜冰场的两端都被阻止。</v>
      </c>
    </row>
    <row r="15097">
      <c r="A15097" s="4" t="s">
        <v>19020</v>
      </c>
      <c r="B15097" s="4" t="s">
        <v>19021</v>
      </c>
      <c r="C15097" s="5" t="str">
        <f>IFERROR(__xludf.DUMMYFUNCTION("GOOGLETRANSLATE(B15097,""en"",""zh-CN"")"),"一个人在健身房练习武术，转身旋转。")</f>
        <v>一个人在健身房练习武术，转身旋转。</v>
      </c>
    </row>
    <row r="15098">
      <c r="A15098" s="4" t="s">
        <v>19020</v>
      </c>
      <c r="B15098" s="4" t="s">
        <v>19022</v>
      </c>
      <c r="C15098" s="5" t="str">
        <f>IFERROR(__xludf.DUMMYFUNCTION("GOOGLETRANSLATE(B15098,""en"",""zh-CN"")"),"然后，男人靠在她的手上旋转身体并转弯。")</f>
        <v>然后，男人靠在她的手上旋转身体并转弯。</v>
      </c>
    </row>
    <row r="15099">
      <c r="A15099" s="4" t="s">
        <v>19020</v>
      </c>
      <c r="B15099" s="4" t="s">
        <v>19023</v>
      </c>
      <c r="C15099" s="5" t="str">
        <f>IFERROR(__xludf.DUMMYFUNCTION("GOOGLETRANSLATE(B15099,""en"",""zh-CN"")"),"之后，那个男人站在他的手上，将身体倾斜到侧面和前部。")</f>
        <v>之后，那个男人站在他的手上，将身体倾斜到侧面和前部。</v>
      </c>
    </row>
    <row r="15100">
      <c r="A15100" s="4" t="s">
        <v>19020</v>
      </c>
      <c r="B15100" s="4" t="s">
        <v>19024</v>
      </c>
      <c r="C15100" s="5" t="str">
        <f>IFERROR(__xludf.DUMMYFUNCTION("GOOGLETRANSLATE(B15100,""en"",""zh-CN"")"),"接下来，站在他的手上，旋转他的身体。")</f>
        <v>接下来，站在他的手上，旋转他的身体。</v>
      </c>
    </row>
    <row r="15101">
      <c r="A15101" s="4" t="s">
        <v>19025</v>
      </c>
      <c r="B15101" s="4" t="s">
        <v>19026</v>
      </c>
      <c r="C15101" s="5" t="str">
        <f>IFERROR(__xludf.DUMMYFUNCTION("GOOGLETRANSLATE(B15101,""en"",""zh-CN"")"),"两名男子用一张滚出的纸沿着木板走下去，然后将胶带放在木板上。")</f>
        <v>两名男子用一张滚出的纸沿着木板走下去，然后将胶带放在木板上。</v>
      </c>
    </row>
    <row r="15102">
      <c r="A15102" s="4" t="s">
        <v>19025</v>
      </c>
      <c r="B15102" s="4" t="s">
        <v>19027</v>
      </c>
      <c r="C15102" s="5" t="str">
        <f>IFERROR(__xludf.DUMMYFUNCTION("GOOGLETRANSLATE(B15102,""en"",""zh-CN"")"),"其他男人放下一张绿色的纸，然后继续贴上纸张。")</f>
        <v>其他男人放下一张绿色的纸，然后继续贴上纸张。</v>
      </c>
    </row>
    <row r="15103">
      <c r="A15103" s="4" t="s">
        <v>19025</v>
      </c>
      <c r="B15103" s="4" t="s">
        <v>19028</v>
      </c>
      <c r="C15103" s="5" t="str">
        <f>IFERROR(__xludf.DUMMYFUNCTION("GOOGLETRANSLATE(B15103,""en"",""zh-CN"")"),"最后一组纸是用胶带铺设的，男人继续工作。")</f>
        <v>最后一组纸是用胶带铺设的，男人继续工作。</v>
      </c>
    </row>
    <row r="15104">
      <c r="A15104" s="4" t="s">
        <v>19029</v>
      </c>
      <c r="B15104" s="4" t="s">
        <v>19030</v>
      </c>
      <c r="C15104" s="5" t="str">
        <f>IFERROR(__xludf.DUMMYFUNCTION("GOOGLETRANSLATE(B15104,""en"",""zh-CN"")"),"我们看到女性正在玩大学排球比赛。")</f>
        <v>我们看到女性正在玩大学排球比赛。</v>
      </c>
    </row>
    <row r="15105">
      <c r="A15105" s="4" t="s">
        <v>19029</v>
      </c>
      <c r="B15105" s="4" t="s">
        <v>19031</v>
      </c>
      <c r="C15105" s="5" t="str">
        <f>IFERROR(__xludf.DUMMYFUNCTION("GOOGLETRANSLATE(B15105,""en"",""zh-CN"")"),"一群女士通过。")</f>
        <v>一群女士通过。</v>
      </c>
    </row>
    <row r="15106">
      <c r="A15106" s="4" t="s">
        <v>19029</v>
      </c>
      <c r="B15106" s="4" t="s">
        <v>19032</v>
      </c>
      <c r="C15106" s="5" t="str">
        <f>IFERROR(__xludf.DUMMYFUNCTION("GOOGLETRANSLATE(B15106,""en"",""zh-CN"")"),"一位女士跌倒并滑过地面。")</f>
        <v>一位女士跌倒并滑过地面。</v>
      </c>
    </row>
    <row r="15107">
      <c r="A15107" s="4" t="s">
        <v>19029</v>
      </c>
      <c r="B15107" s="4" t="s">
        <v>19033</v>
      </c>
      <c r="C15107" s="5" t="str">
        <f>IFERROR(__xludf.DUMMYFUNCTION("GOOGLETRANSLATE(B15107,""en"",""zh-CN"")"),"两个女士彼此高五。")</f>
        <v>两个女士彼此高五。</v>
      </c>
    </row>
    <row r="15108">
      <c r="A15108" s="4" t="s">
        <v>19029</v>
      </c>
      <c r="B15108" s="4" t="s">
        <v>19034</v>
      </c>
      <c r="C15108" s="5" t="str">
        <f>IFERROR(__xludf.DUMMYFUNCTION("GOOGLETRANSLATE(B15108,""en"",""zh-CN"")"),"三位女士落入左边的人群。")</f>
        <v>三位女士落入左边的人群。</v>
      </c>
    </row>
    <row r="15109">
      <c r="A15109" s="4" t="s">
        <v>19029</v>
      </c>
      <c r="B15109" s="4" t="s">
        <v>19035</v>
      </c>
      <c r="C15109" s="5" t="str">
        <f>IFERROR(__xludf.DUMMYFUNCTION("GOOGLETRANSLATE(B15109,""en"",""zh-CN"")"),"一位女士想念和瀑布。")</f>
        <v>一位女士想念和瀑布。</v>
      </c>
    </row>
    <row r="15110">
      <c r="A15110" s="4" t="s">
        <v>19029</v>
      </c>
      <c r="B15110" s="4" t="s">
        <v>19036</v>
      </c>
      <c r="C15110" s="5" t="str">
        <f>IFERROR(__xludf.DUMMYFUNCTION("GOOGLETRANSLATE(B15110,""en"",""zh-CN"")"),"一个人悬挂一组钥匙。")</f>
        <v>一个人悬挂一组钥匙。</v>
      </c>
    </row>
    <row r="15111">
      <c r="A15111" s="4" t="s">
        <v>19037</v>
      </c>
      <c r="B15111" s="4" t="s">
        <v>19038</v>
      </c>
      <c r="C15111" s="5" t="str">
        <f>IFERROR(__xludf.DUMMYFUNCTION("GOOGLETRANSLATE(B15111,""en"",""zh-CN"")"),"人们的特写镜头坐在雪山上，看着相机。")</f>
        <v>人们的特写镜头坐在雪山上，看着相机。</v>
      </c>
    </row>
    <row r="15112">
      <c r="A15112" s="4" t="s">
        <v>19037</v>
      </c>
      <c r="B15112" s="4" t="s">
        <v>19039</v>
      </c>
      <c r="C15112" s="5" t="str">
        <f>IFERROR(__xludf.DUMMYFUNCTION("GOOGLETRANSLATE(B15112,""en"",""zh-CN"")"),"然后，人们都在雪道上骑着管子，底部有一条小径。")</f>
        <v>然后，人们都在雪道上骑着管子，底部有一条小径。</v>
      </c>
    </row>
    <row r="15113">
      <c r="A15113" s="4" t="s">
        <v>19040</v>
      </c>
      <c r="B15113" s="4" t="s">
        <v>19041</v>
      </c>
      <c r="C15113" s="5" t="str">
        <f>IFERROR(__xludf.DUMMYFUNCTION("GOOGLETRANSLATE(B15113,""en"",""zh-CN"")"),"一个十几岁的男孩手里拿着一堆飞镖。")</f>
        <v>一个十几岁的男孩手里拿着一堆飞镖。</v>
      </c>
    </row>
    <row r="15114">
      <c r="A15114" s="4" t="s">
        <v>19040</v>
      </c>
      <c r="B15114" s="4" t="s">
        <v>19042</v>
      </c>
      <c r="C15114" s="5" t="str">
        <f>IFERROR(__xludf.DUMMYFUNCTION("GOOGLETRANSLATE(B15114,""en"",""zh-CN"")"),"他投掷每只飞镖，试图击中他的目标。")</f>
        <v>他投掷每只飞镖，试图击中他的目标。</v>
      </c>
    </row>
    <row r="15115">
      <c r="A15115" s="4" t="s">
        <v>19040</v>
      </c>
      <c r="B15115" s="6" t="s">
        <v>19043</v>
      </c>
      <c r="C15115" s="5" t="str">
        <f>IFERROR(__xludf.DUMMYFUNCTION("GOOGLETRANSLATE(B15115,""en"",""zh-CN"")"),"飞镖板上的手机摄像头在投掷时记录，然后被飞镖击中，然后掉到地毯上。")</f>
        <v>飞镖板上的手机摄像头在投掷时记录，然后被飞镖击中，然后掉到地毯上。</v>
      </c>
    </row>
    <row r="15116">
      <c r="A15116" s="4" t="s">
        <v>19044</v>
      </c>
      <c r="B15116" s="4" t="s">
        <v>19045</v>
      </c>
      <c r="C15116" s="5" t="str">
        <f>IFERROR(__xludf.DUMMYFUNCTION("GOOGLETRANSLATE(B15116,""en"",""zh-CN"")"),"看到一大批孩子在一个房间里跳舞，然后男人四处走动。")</f>
        <v>看到一大批孩子在一个房间里跳舞，然后男人四处走动。</v>
      </c>
    </row>
    <row r="15117">
      <c r="A15117" s="4" t="s">
        <v>19044</v>
      </c>
      <c r="B15117" s="4" t="s">
        <v>19046</v>
      </c>
      <c r="C15117" s="5" t="str">
        <f>IFERROR(__xludf.DUMMYFUNCTION("GOOGLETRANSLATE(B15117,""en"",""zh-CN"")"),"显示了更多的剪辑，人们在不同的房间里跳绳并彼此大笑。")</f>
        <v>显示了更多的剪辑，人们在不同的房间里跳绳并彼此大笑。</v>
      </c>
    </row>
    <row r="15118">
      <c r="A15118" s="4" t="s">
        <v>19047</v>
      </c>
      <c r="B15118" s="4" t="s">
        <v>19048</v>
      </c>
      <c r="C15118" s="5" t="str">
        <f>IFERROR(__xludf.DUMMYFUNCTION("GOOGLETRANSLATE(B15118,""en"",""zh-CN"")"),"黑屏上出现了黄色的写作。")</f>
        <v>黑屏上出现了黄色的写作。</v>
      </c>
    </row>
    <row r="15119">
      <c r="A15119" s="4" t="s">
        <v>19047</v>
      </c>
      <c r="B15119" s="6" t="s">
        <v>19049</v>
      </c>
      <c r="C15119" s="5" t="str">
        <f>IFERROR(__xludf.DUMMYFUNCTION("GOOGLETRANSLATE(B15119,""en"",""zh-CN"")"),"一旦消失，就会显示一个场，而Buff女性将射门投掷到场上，并显示一个重播。")</f>
        <v>一旦消失，就会显示一个场，而Buff女性将射门投掷到场上，并显示一个重播。</v>
      </c>
    </row>
    <row r="15120">
      <c r="A15120" s="4" t="s">
        <v>19050</v>
      </c>
      <c r="B15120" s="4" t="s">
        <v>19051</v>
      </c>
      <c r="C15120" s="5" t="str">
        <f>IFERROR(__xludf.DUMMYFUNCTION("GOOGLETRANSLATE(B15120,""en"",""zh-CN"")"),"一个男人的身体猛击另一个男人。")</f>
        <v>一个男人的身体猛击另一个男人。</v>
      </c>
    </row>
    <row r="15121">
      <c r="A15121" s="4" t="s">
        <v>19050</v>
      </c>
      <c r="B15121" s="4" t="s">
        <v>19052</v>
      </c>
      <c r="C15121" s="5" t="str">
        <f>IFERROR(__xludf.DUMMYFUNCTION("GOOGLETRANSLATE(B15121,""en"",""zh-CN"")"),"一名裁判在地面上几次。")</f>
        <v>一名裁判在地面上几次。</v>
      </c>
    </row>
    <row r="15122">
      <c r="A15122" s="4" t="s">
        <v>19050</v>
      </c>
      <c r="B15122" s="4" t="s">
        <v>19053</v>
      </c>
      <c r="C15122" s="5" t="str">
        <f>IFERROR(__xludf.DUMMYFUNCTION("GOOGLETRANSLATE(B15122,""en"",""zh-CN"")"),"人群为人们欢呼。")</f>
        <v>人群为人们欢呼。</v>
      </c>
    </row>
    <row r="15123">
      <c r="A15123" s="4" t="s">
        <v>19054</v>
      </c>
      <c r="B15123" s="4" t="s">
        <v>1487</v>
      </c>
      <c r="C15123" s="5" t="str">
        <f>IFERROR(__xludf.DUMMYFUNCTION("GOOGLETRANSLATE(B15123,""en"",""zh-CN"")"),"我们看到一个开放标题屏幕。")</f>
        <v>我们看到一个开放标题屏幕。</v>
      </c>
    </row>
    <row r="15124">
      <c r="A15124" s="4" t="s">
        <v>19054</v>
      </c>
      <c r="B15124" s="4" t="s">
        <v>19055</v>
      </c>
      <c r="C15124" s="5" t="str">
        <f>IFERROR(__xludf.DUMMYFUNCTION("GOOGLETRANSLATE(B15124,""en"",""zh-CN"")"),"男人咆哮，我们看到排球比赛的人群和镜头。")</f>
        <v>男人咆哮，我们看到排球比赛的人群和镜头。</v>
      </c>
    </row>
    <row r="15125">
      <c r="A15125" s="4" t="s">
        <v>19054</v>
      </c>
      <c r="B15125" s="4" t="s">
        <v>19056</v>
      </c>
      <c r="C15125" s="5" t="str">
        <f>IFERROR(__xludf.DUMMYFUNCTION("GOOGLETRANSLATE(B15125,""en"",""zh-CN"")"),"我们在场外看到女士。")</f>
        <v>我们在场外看到女士。</v>
      </c>
    </row>
    <row r="15126">
      <c r="A15126" s="4" t="s">
        <v>19054</v>
      </c>
      <c r="B15126" s="4" t="s">
        <v>19057</v>
      </c>
      <c r="C15126" s="5" t="str">
        <f>IFERROR(__xludf.DUMMYFUNCTION("GOOGLETRANSLATE(B15126,""en"",""zh-CN"")"),"一个高个子的男人在跳跃时从腿上显示出来。")</f>
        <v>一个高个子的男人在跳跃时从腿上显示出来。</v>
      </c>
    </row>
    <row r="15127">
      <c r="A15127" s="4" t="s">
        <v>19054</v>
      </c>
      <c r="B15127" s="4" t="s">
        <v>19058</v>
      </c>
      <c r="C15127" s="5" t="str">
        <f>IFERROR(__xludf.DUMMYFUNCTION("GOOGLETRANSLATE(B15127,""en"",""zh-CN"")"),"一个男人错过了一枪，看着他，两个人看着他们身后。")</f>
        <v>一个男人错过了一枪，看着他，两个人看着他们身后。</v>
      </c>
    </row>
    <row r="15128">
      <c r="A15128" s="4" t="s">
        <v>19054</v>
      </c>
      <c r="B15128" s="4" t="s">
        <v>19059</v>
      </c>
      <c r="C15128" s="5" t="str">
        <f>IFERROR(__xludf.DUMMYFUNCTION("GOOGLETRANSLATE(B15128,""en"",""zh-CN"")"),"我们看到男人欢呼雀跃。")</f>
        <v>我们看到男人欢呼雀跃。</v>
      </c>
    </row>
    <row r="15129">
      <c r="A15129" s="4" t="s">
        <v>19054</v>
      </c>
      <c r="B15129" s="4" t="s">
        <v>19060</v>
      </c>
      <c r="C15129" s="5" t="str">
        <f>IFERROR(__xludf.DUMMYFUNCTION("GOOGLETRANSLATE(B15129,""en"",""zh-CN"")"),"开枪并拥抱团队。")</f>
        <v>开枪并拥抱团队。</v>
      </c>
    </row>
    <row r="15130">
      <c r="A15130" s="4" t="s">
        <v>19061</v>
      </c>
      <c r="B15130" s="4" t="s">
        <v>19062</v>
      </c>
      <c r="C15130" s="5" t="str">
        <f>IFERROR(__xludf.DUMMYFUNCTION("GOOGLETRANSLATE(B15130,""en"",""zh-CN"")"),"一个男人用刷子清洁轮辋，然后用软管冲洗汽车。")</f>
        <v>一个男人用刷子清洁轮辋，然后用软管冲洗汽车。</v>
      </c>
    </row>
    <row r="15131">
      <c r="A15131" s="4" t="s">
        <v>19061</v>
      </c>
      <c r="B15131" s="4" t="s">
        <v>19063</v>
      </c>
      <c r="C15131" s="5" t="str">
        <f>IFERROR(__xludf.DUMMYFUNCTION("GOOGLETRANSLATE(B15131,""en"",""zh-CN"")"),"之后，该男子用洗涤刷涂抹洗涤剂。")</f>
        <v>之后，该男子用洗涤刷涂抹洗涤剂。</v>
      </c>
    </row>
    <row r="15132">
      <c r="A15132" s="4" t="s">
        <v>19061</v>
      </c>
      <c r="B15132" s="4" t="s">
        <v>19064</v>
      </c>
      <c r="C15132" s="5" t="str">
        <f>IFERROR(__xludf.DUMMYFUNCTION("GOOGLETRANSLATE(B15132,""en"",""zh-CN"")"),"接下来，汽车进入自动洗车机内。")</f>
        <v>接下来，汽车进入自动洗车机内。</v>
      </c>
    </row>
    <row r="15133">
      <c r="A15133" s="4" t="s">
        <v>19065</v>
      </c>
      <c r="B15133" s="4" t="s">
        <v>19066</v>
      </c>
      <c r="C15133" s="5" t="str">
        <f>IFERROR(__xludf.DUMMYFUNCTION("GOOGLETRANSLATE(B15133,""en"",""zh-CN"")"),"两个人手臂摔跤，脱下衣服。")</f>
        <v>两个人手臂摔跤，脱下衣服。</v>
      </c>
    </row>
    <row r="15134">
      <c r="A15134" s="4" t="s">
        <v>19065</v>
      </c>
      <c r="B15134" s="4" t="s">
        <v>19067</v>
      </c>
      <c r="C15134" s="5" t="str">
        <f>IFERROR(__xludf.DUMMYFUNCTION("GOOGLETRANSLATE(B15134,""en"",""zh-CN"")"),"他们打扮得很厉害，在飓风中飞行了极端风筝。")</f>
        <v>他们打扮得很厉害，在飓风中飞行了极端风筝。</v>
      </c>
    </row>
    <row r="15135">
      <c r="A15135" s="4" t="s">
        <v>19065</v>
      </c>
      <c r="B15135" s="4" t="s">
        <v>19068</v>
      </c>
      <c r="C15135" s="5" t="str">
        <f>IFERROR(__xludf.DUMMYFUNCTION("GOOGLETRANSLATE(B15135,""en"",""zh-CN"")"),"风筝曾经撞向人们。")</f>
        <v>风筝曾经撞向人们。</v>
      </c>
    </row>
    <row r="15136">
      <c r="A15136" s="4" t="s">
        <v>19069</v>
      </c>
      <c r="B15136" s="4" t="s">
        <v>19070</v>
      </c>
      <c r="C15136" s="5" t="str">
        <f>IFERROR(__xludf.DUMMYFUNCTION("GOOGLETRANSLATE(B15136,""en"",""zh-CN"")"),"人们在田野上骑马。")</f>
        <v>人们在田野上骑马。</v>
      </c>
    </row>
    <row r="15137">
      <c r="A15137" s="4" t="s">
        <v>19069</v>
      </c>
      <c r="B15137" s="4" t="s">
        <v>19071</v>
      </c>
      <c r="C15137" s="5" t="str">
        <f>IFERROR(__xludf.DUMMYFUNCTION("GOOGLETRANSLATE(B15137,""en"",""zh-CN"")"),"狗和一个人在相机前交叉。")</f>
        <v>狗和一个人在相机前交叉。</v>
      </c>
    </row>
    <row r="15138">
      <c r="A15138" s="4" t="s">
        <v>19069</v>
      </c>
      <c r="B15138" s="4" t="s">
        <v>19072</v>
      </c>
      <c r="C15138" s="5" t="str">
        <f>IFERROR(__xludf.DUMMYFUNCTION("GOOGLETRANSLATE(B15138,""en"",""zh-CN"")"),"马正在野外跑来跑去。")</f>
        <v>马正在野外跑来跑去。</v>
      </c>
    </row>
    <row r="15139">
      <c r="A15139" s="4" t="s">
        <v>19073</v>
      </c>
      <c r="B15139" s="6" t="s">
        <v>19074</v>
      </c>
      <c r="C15139" s="5" t="str">
        <f>IFERROR(__xludf.DUMMYFUNCTION("GOOGLETRANSLATE(B15139,""en"",""zh-CN"")"),"显示了一家企业的外部，上面显示了蓝色和白色的标志，说“硼犬狗美容和宠物用品”，上面有一张狗的照片，并在其侧面覆盖着泡沫和爪子印花，而“狗”一词修饰”是沿着壁架的前面面向伸出的。")</f>
        <v>显示了一家企业的外部，上面显示了蓝色和白色的标志，说“硼犬狗美容和宠物用品”，上面有一张狗的照片，并在其侧面覆盖着泡沫和爪子印花，而“狗”一词修饰”是沿着壁架的前面面向伸出的。</v>
      </c>
    </row>
    <row r="15140">
      <c r="A15140" s="4" t="s">
        <v>19073</v>
      </c>
      <c r="B15140" s="6" t="s">
        <v>19075</v>
      </c>
      <c r="C15140" s="5" t="str">
        <f>IFERROR(__xludf.DUMMYFUNCTION("GOOGLETRANSLATE(B15140,""en"",""zh-CN"")"),"一个女人在聊天，在两者之间，有一些剪辑片播放美容狗，顾客，狗在商店中行走的狗，在商店里散步的狗。")</f>
        <v>一个女人在聊天，在两者之间，有一些剪辑片播放美容狗，顾客，狗在商店中行走的狗，在商店里散步的狗。</v>
      </c>
    </row>
    <row r="15141">
      <c r="A15141" s="4" t="s">
        <v>19073</v>
      </c>
      <c r="B15141" s="6" t="s">
        <v>19076</v>
      </c>
      <c r="C15141" s="5" t="str">
        <f>IFERROR(__xludf.DUMMYFUNCTION("GOOGLETRANSLATE(B15141,""en"",""zh-CN"")"),"开头显示的建筑物外部的相同剪辑是在末尾显示的外部视图。")</f>
        <v>开头显示的建筑物外部的相同剪辑是在末尾显示的外部视图。</v>
      </c>
    </row>
    <row r="15142">
      <c r="A15142" s="4" t="s">
        <v>19077</v>
      </c>
      <c r="B15142" s="6" t="s">
        <v>19078</v>
      </c>
      <c r="C15142" s="5" t="str">
        <f>IFERROR(__xludf.DUMMYFUNCTION("GOOGLETRANSLATE(B15142,""en"",""zh-CN"")"),"女人将黄油放入糖的碗中，然后将其混合在厨房辅助中，加入鸡蛋，香草和面粉，当混合物是同质的添加巧克力片时。")</f>
        <v>女人将黄油放入糖的碗中，然后将其混合在厨房辅助中，加入鸡蛋，香草和面粉，当混合物是同质的添加巧克力片时。</v>
      </c>
    </row>
    <row r="15143">
      <c r="A15143" s="4" t="s">
        <v>19077</v>
      </c>
      <c r="B15143" s="4" t="s">
        <v>19079</v>
      </c>
      <c r="C15143" s="5" t="str">
        <f>IFERROR(__xludf.DUMMYFUNCTION("GOOGLETRANSLATE(B15143,""en"",""zh-CN"")"),"面团以球和烤箱的托盘模制。")</f>
        <v>面团以球和烤箱的托盘模制。</v>
      </c>
    </row>
    <row r="15144">
      <c r="A15144" s="4" t="s">
        <v>19080</v>
      </c>
      <c r="B15144" s="4" t="s">
        <v>19081</v>
      </c>
      <c r="C15144" s="5" t="str">
        <f>IFERROR(__xludf.DUMMYFUNCTION("GOOGLETRANSLATE(B15144,""en"",""zh-CN"")"),"相机在黑暗的厨房周围摇晃，并导致那个人走下楼梯。")</f>
        <v>相机在黑暗的厨房周围摇晃，并导致那个人走下楼梯。</v>
      </c>
    </row>
    <row r="15145">
      <c r="A15145" s="4" t="s">
        <v>19080</v>
      </c>
      <c r="B15145" s="6" t="s">
        <v>19082</v>
      </c>
      <c r="C15145" s="5" t="str">
        <f>IFERROR(__xludf.DUMMYFUNCTION("GOOGLETRANSLATE(B15145,""en"",""zh-CN"")"),"在地板上看到衣服，然后是一名卷发者的女人抽烟并在计算机上玩耍。")</f>
        <v>在地板上看到衣服，然后是一名卷发者的女人抽烟并在计算机上玩耍。</v>
      </c>
    </row>
    <row r="15146">
      <c r="A15146" s="4" t="s">
        <v>19080</v>
      </c>
      <c r="B15146" s="4" t="s">
        <v>19083</v>
      </c>
      <c r="C15146" s="5" t="str">
        <f>IFERROR(__xludf.DUMMYFUNCTION("GOOGLETRANSLATE(B15146,""en"",""zh-CN"")"),"她与镜头说话，并为她和相机的男人拍了镜头。")</f>
        <v>她与镜头说话，并为她和相机的男人拍了镜头。</v>
      </c>
    </row>
    <row r="15147">
      <c r="A15147" s="4" t="s">
        <v>19084</v>
      </c>
      <c r="B15147" s="4" t="s">
        <v>19085</v>
      </c>
      <c r="C15147" s="5" t="str">
        <f>IFERROR(__xludf.DUMMYFUNCTION("GOOGLETRANSLATE(B15147,""en"",""zh-CN"")"),"一个男人在覆盖有土豆的切菜板前。")</f>
        <v>一个男人在覆盖有土豆的切菜板前。</v>
      </c>
    </row>
    <row r="15148">
      <c r="A15148" s="4" t="s">
        <v>19084</v>
      </c>
      <c r="B15148" s="4" t="s">
        <v>19086</v>
      </c>
      <c r="C15148" s="5" t="str">
        <f>IFERROR(__xludf.DUMMYFUNCTION("GOOGLETRANSLATE(B15148,""en"",""zh-CN"")"),"他用果皮从土豆上剥皮。")</f>
        <v>他用果皮从土豆上剥皮。</v>
      </c>
    </row>
    <row r="15149">
      <c r="A15149" s="4" t="s">
        <v>19084</v>
      </c>
      <c r="B15149" s="4" t="s">
        <v>19087</v>
      </c>
      <c r="C15149" s="5" t="str">
        <f>IFERROR(__xludf.DUMMYFUNCTION("GOOGLETRANSLATE(B15149,""en"",""zh-CN"")"),"他迅速移动，剥皮直到所有土豆都裸露。")</f>
        <v>他迅速移动，剥皮直到所有土豆都裸露。</v>
      </c>
    </row>
    <row r="15150">
      <c r="A15150" s="4" t="s">
        <v>19088</v>
      </c>
      <c r="B15150" s="4" t="s">
        <v>19089</v>
      </c>
      <c r="C15150" s="5" t="str">
        <f>IFERROR(__xludf.DUMMYFUNCTION("GOOGLETRANSLATE(B15150,""en"",""zh-CN"")"),"一个男孩坐在咖啡馆里的木桌上。")</f>
        <v>一个男孩坐在咖啡馆里的木桌上。</v>
      </c>
    </row>
    <row r="15151">
      <c r="A15151" s="4" t="s">
        <v>19088</v>
      </c>
      <c r="B15151" s="4" t="s">
        <v>19090</v>
      </c>
      <c r="C15151" s="5" t="str">
        <f>IFERROR(__xludf.DUMMYFUNCTION("GOOGLETRANSLATE(B15151,""en"",""zh-CN"")"),"他点燃了一个水烟，然后拉动烟雾。")</f>
        <v>他点燃了一个水烟，然后拉动烟雾。</v>
      </c>
    </row>
    <row r="15152">
      <c r="A15152" s="4" t="s">
        <v>19088</v>
      </c>
      <c r="B15152" s="4" t="s">
        <v>19091</v>
      </c>
      <c r="C15152" s="5" t="str">
        <f>IFERROR(__xludf.DUMMYFUNCTION("GOOGLETRANSLATE(B15152,""en"",""zh-CN"")"),"他坐下来，从嘴里吹出烟。")</f>
        <v>他坐下来，从嘴里吹出烟。</v>
      </c>
    </row>
    <row r="15153">
      <c r="A15153" s="4" t="s">
        <v>19092</v>
      </c>
      <c r="B15153" s="4" t="s">
        <v>19093</v>
      </c>
      <c r="C15153" s="5" t="str">
        <f>IFERROR(__xludf.DUMMYFUNCTION("GOOGLETRANSLATE(B15153,""en"",""zh-CN"")"),"当一个女孩得到传统的波利尼西亚纹身时，一个女孩坐着并忍受痛苦。")</f>
        <v>当一个女孩得到传统的波利尼西亚纹身时，一个女孩坐着并忍受痛苦。</v>
      </c>
    </row>
    <row r="15154">
      <c r="A15154" s="4" t="s">
        <v>19092</v>
      </c>
      <c r="B15154" s="4" t="s">
        <v>19094</v>
      </c>
      <c r="C15154" s="5" t="str">
        <f>IFERROR(__xludf.DUMMYFUNCTION("GOOGLETRANSLATE(B15154,""en"",""zh-CN"")"),"艺术家停了一会儿，清理了该地区。")</f>
        <v>艺术家停了一会儿，清理了该地区。</v>
      </c>
    </row>
    <row r="15155">
      <c r="A15155" s="4" t="s">
        <v>19092</v>
      </c>
      <c r="B15155" s="4" t="s">
        <v>19095</v>
      </c>
      <c r="C15155" s="5" t="str">
        <f>IFERROR(__xludf.DUMMYFUNCTION("GOOGLETRANSLATE(B15155,""en"",""zh-CN"")"),"当她忍受明显的疼痛时，他们开始继续刺穿她的手。")</f>
        <v>当她忍受明显的疼痛时，他们开始继续刺穿她的手。</v>
      </c>
    </row>
    <row r="15156">
      <c r="A15156" s="4" t="s">
        <v>19096</v>
      </c>
      <c r="B15156" s="4" t="s">
        <v>19097</v>
      </c>
      <c r="C15156" s="5" t="str">
        <f>IFERROR(__xludf.DUMMYFUNCTION("GOOGLETRANSLATE(B15156,""en"",""zh-CN"")"),"该视频从沿着赛道骑行的BMX骑手进行了几枪开始，其中一张陷入困境。")</f>
        <v>该视频从沿着赛道骑行的BMX骑手进行了几枪开始，其中一张陷入困境。</v>
      </c>
    </row>
    <row r="15157">
      <c r="A15157" s="4" t="s">
        <v>19096</v>
      </c>
      <c r="B15157" s="6" t="s">
        <v>19098</v>
      </c>
      <c r="C15157" s="5" t="str">
        <f>IFERROR(__xludf.DUMMYFUNCTION("GOOGLETRANSLATE(B15157,""en"",""zh-CN"")"),"还显示了另外几枪的骑在赛道上的人，有许多人站在场上观看。")</f>
        <v>还显示了另外几枪的骑在赛道上的人，有许多人站在场上观看。</v>
      </c>
    </row>
    <row r="15158">
      <c r="A15158" s="4" t="s">
        <v>19096</v>
      </c>
      <c r="B15158" s="4" t="s">
        <v>19099</v>
      </c>
      <c r="C15158" s="5" t="str">
        <f>IFERROR(__xludf.DUMMYFUNCTION("GOOGLETRANSLATE(B15158,""en"",""zh-CN"")"),"显示出更多的跌倒，并具有慢动作影响，更多的人继续四处走动。")</f>
        <v>显示出更多的跌倒，并具有慢动作影响，更多的人继续四处走动。</v>
      </c>
    </row>
    <row r="15159">
      <c r="A15159" s="4" t="s">
        <v>19100</v>
      </c>
      <c r="B15159" s="6" t="s">
        <v>19101</v>
      </c>
      <c r="C15159" s="5" t="str">
        <f>IFERROR(__xludf.DUMMYFUNCTION("GOOGLETRANSLATE(B15159,""en"",""zh-CN"")"),"黑屏上出现了白色，红色，绿色和蓝色的单词，其中一个屏幕上的“膜电影”，“ Mateo Bervelillo”和“ Trillizos”。")</f>
        <v>黑屏上出现了白色，红色，绿色和蓝色的单词，其中一个屏幕上的“膜电影”，“ Mateo Bervelillo”和“ Trillizos”。</v>
      </c>
    </row>
    <row r="15160">
      <c r="A15160" s="4" t="s">
        <v>19100</v>
      </c>
      <c r="B15160" s="6" t="s">
        <v>19102</v>
      </c>
      <c r="C15160" s="5" t="str">
        <f>IFERROR(__xludf.DUMMYFUNCTION("GOOGLETRANSLATE(B15160,""en"",""zh-CN"")"),"一个男人现在在户外，坐在木箱上，开始用手指敲打盒子，将脚蹦蹦跳跳。")</f>
        <v>一个男人现在在户外，坐在木箱上，开始用手指敲打盒子，将脚蹦蹦跳跳。</v>
      </c>
    </row>
    <row r="15161">
      <c r="A15161" s="4" t="s">
        <v>19100</v>
      </c>
      <c r="B15161" s="6" t="s">
        <v>19103</v>
      </c>
      <c r="C15161" s="5" t="str">
        <f>IFERROR(__xludf.DUMMYFUNCTION("GOOGLETRANSLATE(B15161,""en"",""zh-CN"")"),"另一个看起来像第一个男人的人从门出来，坐在第一个男人附近的户外坐在椅子上，他开始击中邦戈。")</f>
        <v>另一个看起来像第一个男人的人从门出来，坐在第一个男人附近的户外坐在椅子上，他开始击中邦戈。</v>
      </c>
    </row>
    <row r="15162">
      <c r="A15162" s="4" t="s">
        <v>19100</v>
      </c>
      <c r="B15162" s="6" t="s">
        <v>19104</v>
      </c>
      <c r="C15162" s="5" t="str">
        <f>IFERROR(__xludf.DUMMYFUNCTION("GOOGLETRANSLATE(B15162,""en"",""zh-CN"")"),"第三个人看上去像以前的两个男人，从门出来，坐在最后一把椅子上，他在邦戈身上踢球。")</f>
        <v>第三个人看上去像以前的两个男人，从门出来，坐在最后一把椅子上，他在邦戈身上踢球。</v>
      </c>
    </row>
    <row r="15163">
      <c r="A15163" s="4" t="s">
        <v>19105</v>
      </c>
      <c r="B15163" s="4" t="s">
        <v>19106</v>
      </c>
      <c r="C15163" s="5" t="str">
        <f>IFERROR(__xludf.DUMMYFUNCTION("GOOGLETRANSLATE(B15163,""en"",""zh-CN"")"),"女人正站在一个白色房间里玩她头发的白色房间的镜头前。")</f>
        <v>女人正站在一个白色房间里玩她头发的白色房间的镜头前。</v>
      </c>
    </row>
    <row r="15164">
      <c r="A15164" s="4" t="s">
        <v>19105</v>
      </c>
      <c r="B15164" s="6" t="s">
        <v>19107</v>
      </c>
      <c r="C15164" s="5" t="str">
        <f>IFERROR(__xludf.DUMMYFUNCTION("GOOGLETRANSLATE(B15164,""en"",""zh-CN"")"),"女人正坐在shair里，她身后的一个女人开始抓住一小部分头发，用辫子锚定上鲍比别针，并用头发装饰它。")</f>
        <v>女人正坐在shair里，她身后的一个女人开始抓住一小部分头发，用辫子锚定上鲍比别针，并用头发装饰它。</v>
      </c>
    </row>
    <row r="15165">
      <c r="A15165" s="4" t="s">
        <v>19108</v>
      </c>
      <c r="B15165" s="4" t="s">
        <v>19109</v>
      </c>
      <c r="C15165" s="5" t="str">
        <f>IFERROR(__xludf.DUMMYFUNCTION("GOOGLETRANSLATE(B15165,""en"",""zh-CN"")"),"我们看到黑色标题屏幕。")</f>
        <v>我们看到黑色标题屏幕。</v>
      </c>
    </row>
    <row r="15166">
      <c r="A15166" s="4" t="s">
        <v>19108</v>
      </c>
      <c r="B15166" s="4" t="s">
        <v>19110</v>
      </c>
      <c r="C15166" s="5" t="str">
        <f>IFERROR(__xludf.DUMMYFUNCTION("GOOGLETRANSLATE(B15166,""en"",""zh-CN"")"),"我们看到一个女士和一个男人在机器上工作。")</f>
        <v>我们看到一个女士和一个男人在机器上工作。</v>
      </c>
    </row>
    <row r="15167">
      <c r="A15167" s="4" t="s">
        <v>19108</v>
      </c>
      <c r="B15167" s="4" t="s">
        <v>19111</v>
      </c>
      <c r="C15167" s="5" t="str">
        <f>IFERROR(__xludf.DUMMYFUNCTION("GOOGLETRANSLATE(B15167,""en"",""zh-CN"")"),"我们看到人们站着并用机器镜头谈论产品。")</f>
        <v>我们看到人们站着并用机器镜头谈论产品。</v>
      </c>
    </row>
    <row r="15168">
      <c r="A15168" s="4" t="s">
        <v>19108</v>
      </c>
      <c r="B15168" s="4" t="s">
        <v>19112</v>
      </c>
      <c r="C15168" s="5" t="str">
        <f>IFERROR(__xludf.DUMMYFUNCTION("GOOGLETRANSLATE(B15168,""en"",""zh-CN"")"),"我们在计算机上看到显示。")</f>
        <v>我们在计算机上看到显示。</v>
      </c>
    </row>
    <row r="15169">
      <c r="A15169" s="4" t="s">
        <v>19108</v>
      </c>
      <c r="B15169" s="4" t="s">
        <v>19113</v>
      </c>
      <c r="C15169" s="5" t="str">
        <f>IFERROR(__xludf.DUMMYFUNCTION("GOOGLETRANSLATE(B15169,""en"",""zh-CN"")"),"女士继续前进，设定时间，并在机器上运行。")</f>
        <v>女士继续前进，设定时间，并在机器上运行。</v>
      </c>
    </row>
    <row r="15170">
      <c r="A15170" s="4" t="s">
        <v>19108</v>
      </c>
      <c r="B15170" s="4" t="s">
        <v>19114</v>
      </c>
      <c r="C15170" s="5" t="str">
        <f>IFERROR(__xludf.DUMMYFUNCTION("GOOGLETRANSLATE(B15170,""en"",""zh-CN"")"),"我们看到那个男人在说话然后使用机器。")</f>
        <v>我们看到那个男人在说话然后使用机器。</v>
      </c>
    </row>
    <row r="15171">
      <c r="A15171" s="4" t="s">
        <v>19108</v>
      </c>
      <c r="B15171" s="4" t="s">
        <v>19115</v>
      </c>
      <c r="C15171" s="5" t="str">
        <f>IFERROR(__xludf.DUMMYFUNCTION("GOOGLETRANSLATE(B15171,""en"",""zh-CN"")"),"我们回到人们一起聊天。")</f>
        <v>我们回到人们一起聊天。</v>
      </c>
    </row>
    <row r="15172">
      <c r="A15172" s="4" t="s">
        <v>19108</v>
      </c>
      <c r="B15172" s="4" t="s">
        <v>19116</v>
      </c>
      <c r="C15172" s="5" t="str">
        <f>IFERROR(__xludf.DUMMYFUNCTION("GOOGLETRANSLATE(B15172,""en"",""zh-CN"")"),"我们看到关闭标题屏幕。")</f>
        <v>我们看到关闭标题屏幕。</v>
      </c>
    </row>
    <row r="15173">
      <c r="A15173" s="4" t="s">
        <v>19117</v>
      </c>
      <c r="B15173" s="6" t="s">
        <v>19118</v>
      </c>
      <c r="C15173" s="5" t="str">
        <f>IFERROR(__xludf.DUMMYFUNCTION("GOOGLETRANSLATE(B15173,""en"",""zh-CN"")"),"该视频以标题序列开始，显示一个女孩在男人和标题屏幕上扔衣服。")</f>
        <v>该视频以标题序列开始，显示一个女孩在男人和标题屏幕上扔衣服。</v>
      </c>
    </row>
    <row r="15174">
      <c r="A15174" s="4" t="s">
        <v>19117</v>
      </c>
      <c r="B15174" s="4" t="s">
        <v>19119</v>
      </c>
      <c r="C15174" s="5" t="str">
        <f>IFERROR(__xludf.DUMMYFUNCTION("GOOGLETRANSLATE(B15174,""en"",""zh-CN"")"),"这个男人和他的家人在一个后院对镜头说话。")</f>
        <v>这个男人和他的家人在一个后院对镜头说话。</v>
      </c>
    </row>
    <row r="15175">
      <c r="A15175" s="4" t="s">
        <v>19117</v>
      </c>
      <c r="B15175" s="4" t="s">
        <v>19120</v>
      </c>
      <c r="C15175" s="5" t="str">
        <f>IFERROR(__xludf.DUMMYFUNCTION("GOOGLETRANSLATE(B15175,""en"",""zh-CN"")"),"他讲话后，他们欢呼。")</f>
        <v>他讲话后，他们欢呼。</v>
      </c>
    </row>
    <row r="15176">
      <c r="A15176" s="4" t="s">
        <v>19117</v>
      </c>
      <c r="B15176" s="4" t="s">
        <v>19121</v>
      </c>
      <c r="C15176" s="5" t="str">
        <f>IFERROR(__xludf.DUMMYFUNCTION("GOOGLETRANSLATE(B15176,""en"",""zh-CN"")"),"男人和女人戴上芭蕾舞短裙和蒙住眼睛。")</f>
        <v>男人和女人戴上芭蕾舞短裙和蒙住眼睛。</v>
      </c>
    </row>
    <row r="15177">
      <c r="A15177" s="4" t="s">
        <v>19117</v>
      </c>
      <c r="B15177" s="4" t="s">
        <v>19122</v>
      </c>
      <c r="C15177" s="5" t="str">
        <f>IFERROR(__xludf.DUMMYFUNCTION("GOOGLETRANSLATE(B15177,""en"",""zh-CN"")"),"然后，他们开始呼啦圈，直到女人失去。")</f>
        <v>然后，他们开始呼啦圈，直到女人失去。</v>
      </c>
    </row>
    <row r="15178">
      <c r="A15178" s="4" t="s">
        <v>19117</v>
      </c>
      <c r="B15178" s="4" t="s">
        <v>19123</v>
      </c>
      <c r="C15178" s="5" t="str">
        <f>IFERROR(__xludf.DUMMYFUNCTION("GOOGLETRANSLATE(B15178,""en"",""zh-CN"")"),"之后，他们与相机说话并告别。")</f>
        <v>之后，他们与相机说话并告别。</v>
      </c>
    </row>
    <row r="15179">
      <c r="A15179" s="4" t="s">
        <v>19124</v>
      </c>
      <c r="B15179" s="6" t="s">
        <v>19125</v>
      </c>
      <c r="C15179" s="5" t="str">
        <f>IFERROR(__xludf.DUMMYFUNCTION("GOOGLETRANSLATE(B15179,""en"",""zh-CN"")"),"显示了几张风景的镜头，后面是一个在滑板上表演技巧的人，其他人则骑着山坡。")</f>
        <v>显示了几张风景的镜头，后面是一个在滑板上表演技巧的人，其他人则骑着山坡。</v>
      </c>
    </row>
    <row r="15180">
      <c r="A15180" s="4" t="s">
        <v>19124</v>
      </c>
      <c r="B15180" s="6" t="s">
        <v>19126</v>
      </c>
      <c r="C15180" s="5" t="str">
        <f>IFERROR(__xludf.DUMMYFUNCTION("GOOGLETRANSLATE(B15180,""en"",""zh-CN"")"),"显示了几张镜头，人们在滑板上骑着街上骑着街，并在摄像机放大时做了几个技巧。")</f>
        <v>显示了几张镜头，人们在滑板上骑着街上骑着街，并在摄像机放大时做了几个技巧。</v>
      </c>
    </row>
    <row r="15181">
      <c r="A15181" s="4" t="s">
        <v>19124</v>
      </c>
      <c r="B15181" s="4" t="s">
        <v>19127</v>
      </c>
      <c r="C15181" s="5" t="str">
        <f>IFERROR(__xludf.DUMMYFUNCTION("GOOGLETRANSLATE(B15181,""en"",""zh-CN"")"),"一个人倒在最后，他的董事会沿着侧面坠毁。")</f>
        <v>一个人倒在最后，他的董事会沿着侧面坠毁。</v>
      </c>
    </row>
    <row r="15182">
      <c r="A15182" s="4" t="s">
        <v>19128</v>
      </c>
      <c r="B15182" s="4" t="s">
        <v>19129</v>
      </c>
      <c r="C15182" s="5" t="str">
        <f>IFERROR(__xludf.DUMMYFUNCTION("GOOGLETRANSLATE(B15182,""en"",""zh-CN"")"),"看到一个男人在后院站出来时在相机上说话。")</f>
        <v>看到一个男人在后院站出来时在相机上说话。</v>
      </c>
    </row>
    <row r="15183">
      <c r="A15183" s="4" t="s">
        <v>19128</v>
      </c>
      <c r="B15183" s="4" t="s">
        <v>19130</v>
      </c>
      <c r="C15183" s="5" t="str">
        <f>IFERROR(__xludf.DUMMYFUNCTION("GOOGLETRANSLATE(B15183,""en"",""zh-CN"")"),"他向一个男人摇晃，用软管喷洒篱笆，另一个男人在侧面看着。")</f>
        <v>他向一个男人摇晃，用软管喷洒篱笆，另一个男人在侧面看着。</v>
      </c>
    </row>
    <row r="15184">
      <c r="A15184" s="4" t="s">
        <v>19128</v>
      </c>
      <c r="B15184" s="6" t="s">
        <v>19131</v>
      </c>
      <c r="C15184" s="5" t="str">
        <f>IFERROR(__xludf.DUMMYFUNCTION("GOOGLETRANSLATE(B15184,""en"",""zh-CN"")"),"该男子继续向软管喷洒，而另一只手表在侧面，然后将其放回摄影师。")</f>
        <v>该男子继续向软管喷洒，而另一只手表在侧面，然后将其放回摄影师。</v>
      </c>
    </row>
    <row r="15185">
      <c r="A15185" s="4" t="s">
        <v>19132</v>
      </c>
      <c r="B15185" s="6" t="s">
        <v>19133</v>
      </c>
      <c r="C15185" s="5" t="str">
        <f>IFERROR(__xludf.DUMMYFUNCTION("GOOGLETRANSLATE(B15185,""en"",""zh-CN"")"),"一位穿着白色连衣裙的苍白的年轻女子站在森林里，长卷曲褐色的碎头发，开始跳过。")</f>
        <v>一位穿着白色连衣裙的苍白的年轻女子站在森林里，长卷曲褐色的碎头发，开始跳过。</v>
      </c>
    </row>
    <row r="15186">
      <c r="A15186" s="4" t="s">
        <v>19132</v>
      </c>
      <c r="B15186" s="4" t="s">
        <v>19134</v>
      </c>
      <c r="C15186" s="5" t="str">
        <f>IFERROR(__xludf.DUMMYFUNCTION("GOOGLETRANSLATE(B15186,""en"",""zh-CN"")"),"然后她穿着黑色衬衫和长发，并开始在黑暗的楼梯上说话。")</f>
        <v>然后她穿着黑色衬衫和长发，并开始在黑暗的楼梯上说话。</v>
      </c>
    </row>
    <row r="15187">
      <c r="A15187" s="4" t="s">
        <v>19132</v>
      </c>
      <c r="B15187" s="6" t="s">
        <v>19135</v>
      </c>
      <c r="C15187" s="5" t="str">
        <f>IFERROR(__xludf.DUMMYFUNCTION("GOOGLETRANSLATE(B15187,""en"",""zh-CN"")"),"她站起来，翻转小马的尾巴，摄像机抚摸着她的衣服，穿着黑色衬衫和蓝色短裤，开始走上楼梯。")</f>
        <v>她站起来，翻转小马的尾巴，摄像机抚摸着她的衣服，穿着黑色衬衫和蓝色短裤，开始走上楼梯。</v>
      </c>
    </row>
    <row r="15188">
      <c r="A15188" s="4" t="s">
        <v>19132</v>
      </c>
      <c r="B15188" s="4" t="s">
        <v>19136</v>
      </c>
      <c r="C15188" s="5" t="str">
        <f>IFERROR(__xludf.DUMMYFUNCTION("GOOGLETRANSLATE(B15188,""en"",""zh-CN"")"),"接下来，她走进一个房间，开始与一个黑色衬衫和金发的女人交谈。")</f>
        <v>接下来，她走进一个房间，开始与一个黑色衬衫和金发的女人交谈。</v>
      </c>
    </row>
    <row r="15189">
      <c r="A15189" s="4" t="s">
        <v>19132</v>
      </c>
      <c r="B15189" s="4" t="s">
        <v>19137</v>
      </c>
      <c r="C15189" s="5" t="str">
        <f>IFERROR(__xludf.DUMMYFUNCTION("GOOGLETRANSLATE(B15189,""en"",""zh-CN"")"),"这位女士拿着一张白色索引卡，上面有两个头的草图。")</f>
        <v>这位女士拿着一张白色索引卡，上面有两个头的草图。</v>
      </c>
    </row>
    <row r="15190">
      <c r="A15190" s="4" t="s">
        <v>19132</v>
      </c>
      <c r="B15190" s="4" t="s">
        <v>19138</v>
      </c>
      <c r="C15190" s="5" t="str">
        <f>IFERROR(__xludf.DUMMYFUNCTION("GOOGLETRANSLATE(B15190,""en"",""zh-CN"")"),"那位女士洗头，开始用一双剪切剪到很短的长度上。")</f>
        <v>那位女士洗头，开始用一双剪切剪到很短的长度上。</v>
      </c>
    </row>
    <row r="15191">
      <c r="A15191" s="4" t="s">
        <v>19132</v>
      </c>
      <c r="B15191" s="6" t="s">
        <v>19139</v>
      </c>
      <c r="C15191" s="5" t="str">
        <f>IFERROR(__xludf.DUMMYFUNCTION("GOOGLETRANSLATE(B15191,""en"",""zh-CN"")"),"女孩坐在椅子上，开始摇动耳朵长的头发，并用手中的剪掉头发。")</f>
        <v>女孩坐在椅子上，开始摇动耳朵长的头发，并用手中的剪掉头发。</v>
      </c>
    </row>
    <row r="15192">
      <c r="A15192" s="4" t="s">
        <v>19132</v>
      </c>
      <c r="B15192" s="4" t="s">
        <v>19140</v>
      </c>
      <c r="C15192" s="5" t="str">
        <f>IFERROR(__xludf.DUMMYFUNCTION("GOOGLETRANSLATE(B15192,""en"",""zh-CN"")"),"美发师开始吹干头发，切开并造型。")</f>
        <v>美发师开始吹干头发，切开并造型。</v>
      </c>
    </row>
    <row r="15193">
      <c r="A15193" s="4" t="s">
        <v>19132</v>
      </c>
      <c r="B15193" s="4" t="s">
        <v>19141</v>
      </c>
      <c r="C15193" s="5" t="str">
        <f>IFERROR(__xludf.DUMMYFUNCTION("GOOGLETRANSLATE(B15193,""en"",""zh-CN"")"),"当她的头发被遮住在柜台和地板上时，她继续抬起头发。")</f>
        <v>当她的头发被遮住在柜台和地板上时，她继续抬起头发。</v>
      </c>
    </row>
    <row r="15194">
      <c r="A15194" s="4" t="s">
        <v>19132</v>
      </c>
      <c r="B15194" s="4" t="s">
        <v>19142</v>
      </c>
      <c r="C15194" s="5" t="str">
        <f>IFERROR(__xludf.DUMMYFUNCTION("GOOGLETRANSLATE(B15194,""en"",""zh-CN"")"),"然后，她坐在长凳上，想到自己的短发。")</f>
        <v>然后，她坐在长凳上，想到自己的短发。</v>
      </c>
    </row>
    <row r="15195">
      <c r="A15195" s="4" t="s">
        <v>19143</v>
      </c>
      <c r="B15195" s="4" t="s">
        <v>19144</v>
      </c>
      <c r="C15195" s="5" t="str">
        <f>IFERROR(__xludf.DUMMYFUNCTION("GOOGLETRANSLATE(B15195,""en"",""zh-CN"")"),"看到一个人走进大壁橱前的框架。")</f>
        <v>看到一个人走进大壁橱前的框架。</v>
      </c>
    </row>
    <row r="15196">
      <c r="A15196" s="4" t="s">
        <v>19143</v>
      </c>
      <c r="B15196" s="4" t="s">
        <v>19145</v>
      </c>
      <c r="C15196" s="5" t="str">
        <f>IFERROR(__xludf.DUMMYFUNCTION("GOOGLETRANSLATE(B15196,""en"",""zh-CN"")"),"那个女人然后让她的头发沿着她的背部掉下来。")</f>
        <v>那个女人然后让她的头发沿着她的背部掉下来。</v>
      </c>
    </row>
    <row r="15197">
      <c r="A15197" s="4" t="s">
        <v>19143</v>
      </c>
      <c r="B15197" s="4" t="s">
        <v>19146</v>
      </c>
      <c r="C15197" s="5" t="str">
        <f>IFERROR(__xludf.DUMMYFUNCTION("GOOGLETRANSLATE(B15197,""en"",""zh-CN"")"),"她连续刷头发，然后走出框架。")</f>
        <v>她连续刷头发，然后走出框架。</v>
      </c>
    </row>
    <row r="15198">
      <c r="A15198" s="4" t="s">
        <v>19147</v>
      </c>
      <c r="B15198" s="4" t="s">
        <v>19148</v>
      </c>
      <c r="C15198" s="5" t="str">
        <f>IFERROR(__xludf.DUMMYFUNCTION("GOOGLETRANSLATE(B15198,""en"",""zh-CN"")"),"看到一小群人站在一张紫罗花桌上抓住杆子之前。")</f>
        <v>看到一小群人站在一张紫罗花桌上抓住杆子之前。</v>
      </c>
    </row>
    <row r="15199">
      <c r="A15199" s="4" t="s">
        <v>19147</v>
      </c>
      <c r="B15199" s="4" t="s">
        <v>19149</v>
      </c>
      <c r="C15199" s="5" t="str">
        <f>IFERROR(__xludf.DUMMYFUNCTION("GOOGLETRANSLATE(B15199,""en"",""zh-CN"")"),"这些人在休息时互相比赛，喝一杯，并与队友交谈。")</f>
        <v>这些人在休息时互相比赛，喝一杯，并与队友交谈。</v>
      </c>
    </row>
    <row r="15200">
      <c r="A15200" s="4" t="s">
        <v>19147</v>
      </c>
      <c r="B15200" s="4" t="s">
        <v>19150</v>
      </c>
      <c r="C15200" s="5" t="str">
        <f>IFERROR(__xludf.DUMMYFUNCTION("GOOGLETRANSLATE(B15200,""en"",""zh-CN"")"),"人们彼此握手，拥抱朋友和家人。")</f>
        <v>人们彼此握手，拥抱朋友和家人。</v>
      </c>
    </row>
    <row r="15201">
      <c r="A15201" s="4" t="s">
        <v>19151</v>
      </c>
      <c r="B15201" s="6" t="s">
        <v>19152</v>
      </c>
      <c r="C15201" s="5" t="str">
        <f>IFERROR(__xludf.DUMMYFUNCTION("GOOGLETRANSLATE(B15201,""en"",""zh-CN"")"),"一个女人站在花园里，旁边的花园和植物床以及装满覆盖物的独轮车。")</f>
        <v>一个女人站在花园里，旁边的花园和植物床以及装满覆盖物的独轮车。</v>
      </c>
    </row>
    <row r="15202">
      <c r="A15202" s="4" t="s">
        <v>19151</v>
      </c>
      <c r="B15202" s="6" t="s">
        <v>19153</v>
      </c>
      <c r="C15202" s="5" t="str">
        <f>IFERROR(__xludf.DUMMYFUNCTION("GOOGLETRANSLATE(B15202,""en"",""zh-CN"")"),"一个草药花园出现，一个女人站在它旁边的一个大花园里，旁边是装满覆盖物的独轮车。")</f>
        <v>一个草药花园出现，一个女人站在它旁边的一个大花园里，旁边是装满覆盖物的独轮车。</v>
      </c>
    </row>
    <row r="15203">
      <c r="A15203" s="4" t="s">
        <v>19151</v>
      </c>
      <c r="B15203" s="6" t="s">
        <v>19154</v>
      </c>
      <c r="C15203" s="5" t="str">
        <f>IFERROR(__xludf.DUMMYFUNCTION("GOOGLETRANSLATE(B15203,""en"",""zh-CN"")"),"该名女子在示意花底和覆盖物的同时开始与镜头交谈，然后最终捡起少数覆盖物。")</f>
        <v>该名女子在示意花底和覆盖物的同时开始与镜头交谈，然后最终捡起少数覆盖物。</v>
      </c>
    </row>
    <row r="15204">
      <c r="A15204" s="4" t="s">
        <v>19151</v>
      </c>
      <c r="B15204" s="6" t="s">
        <v>19155</v>
      </c>
      <c r="C15204" s="5" t="str">
        <f>IFERROR(__xludf.DUMMYFUNCTION("GOOGLETRANSLATE(B15204,""en"",""zh-CN"")"),"该名女子继续在现场演变成录像带的视频，该视频被根拉在地面上。")</f>
        <v>该名女子继续在现场演变成录像带的视频，该视频被根拉在地面上。</v>
      </c>
    </row>
    <row r="15205">
      <c r="A15205" s="4" t="s">
        <v>19156</v>
      </c>
      <c r="B15205" s="4" t="s">
        <v>19157</v>
      </c>
      <c r="C15205" s="5" t="str">
        <f>IFERROR(__xludf.DUMMYFUNCTION("GOOGLETRANSLATE(B15205,""en"",""zh-CN"")"),"人们站在屋顶上抬头。")</f>
        <v>人们站在屋顶上抬头。</v>
      </c>
    </row>
    <row r="15206">
      <c r="A15206" s="4" t="s">
        <v>19156</v>
      </c>
      <c r="B15206" s="4" t="s">
        <v>19158</v>
      </c>
      <c r="C15206" s="5" t="str">
        <f>IFERROR(__xludf.DUMMYFUNCTION("GOOGLETRANSLATE(B15206,""en"",""zh-CN"")"),"穿着绿色衬衫的女人吃薯条。")</f>
        <v>穿着绿色衬衫的女人吃薯条。</v>
      </c>
    </row>
    <row r="15207">
      <c r="A15207" s="4" t="s">
        <v>19156</v>
      </c>
      <c r="B15207" s="4" t="s">
        <v>19159</v>
      </c>
      <c r="C15207" s="5" t="str">
        <f>IFERROR(__xludf.DUMMYFUNCTION("GOOGLETRANSLATE(B15207,""en"",""zh-CN"")"),"一个穿着蓝色衬衫的男人指向天空，然后圈出他的手。")</f>
        <v>一个穿着蓝色衬衫的男人指向天空，然后圈出他的手。</v>
      </c>
    </row>
    <row r="15208">
      <c r="A15208" s="4" t="s">
        <v>19156</v>
      </c>
      <c r="B15208" s="4" t="s">
        <v>19160</v>
      </c>
      <c r="C15208" s="5" t="str">
        <f>IFERROR(__xludf.DUMMYFUNCTION("GOOGLETRANSLATE(B15208,""en"",""zh-CN"")"),"他们周围的天空中有许多风筝。")</f>
        <v>他们周围的天空中有许多风筝。</v>
      </c>
    </row>
    <row r="15209">
      <c r="A15209" s="4" t="s">
        <v>19161</v>
      </c>
      <c r="B15209" s="4" t="s">
        <v>19162</v>
      </c>
      <c r="C15209" s="5" t="str">
        <f>IFERROR(__xludf.DUMMYFUNCTION("GOOGLETRANSLATE(B15209,""en"",""zh-CN"")"),"我们看到一个人使用电动砂光机来锐化各种事情。")</f>
        <v>我们看到一个人使用电动砂光机来锐化各种事情。</v>
      </c>
    </row>
    <row r="15210">
      <c r="A15210" s="4" t="s">
        <v>19161</v>
      </c>
      <c r="B15210" s="4" t="s">
        <v>19163</v>
      </c>
      <c r="C15210" s="5" t="str">
        <f>IFERROR(__xludf.DUMMYFUNCTION("GOOGLETRANSLATE(B15210,""en"",""zh-CN"")"),"他在物品上使用卡尺和标尺。")</f>
        <v>他在物品上使用卡尺和标尺。</v>
      </c>
    </row>
    <row r="15211">
      <c r="A15211" s="4" t="s">
        <v>19161</v>
      </c>
      <c r="B15211" s="4" t="s">
        <v>19164</v>
      </c>
      <c r="C15211" s="5" t="str">
        <f>IFERROR(__xludf.DUMMYFUNCTION("GOOGLETRANSLATE(B15211,""en"",""zh-CN"")"),"我们看到他锐化了更多的东西，并倾斜了工具。")</f>
        <v>我们看到他锐化了更多的东西，并倾斜了工具。</v>
      </c>
    </row>
    <row r="15212">
      <c r="A15212" s="4" t="s">
        <v>19161</v>
      </c>
      <c r="B15212" s="4" t="s">
        <v>19165</v>
      </c>
      <c r="C15212" s="5" t="str">
        <f>IFERROR(__xludf.DUMMYFUNCTION("GOOGLETRANSLATE(B15212,""en"",""zh-CN"")"),"该男子调整一些螺钉并移动手臂。")</f>
        <v>该男子调整一些螺钉并移动手臂。</v>
      </c>
    </row>
    <row r="15213">
      <c r="A15213" s="4" t="s">
        <v>19161</v>
      </c>
      <c r="B15213" s="4" t="s">
        <v>19166</v>
      </c>
      <c r="C15213" s="5" t="str">
        <f>IFERROR(__xludf.DUMMYFUNCTION("GOOGLETRANSLATE(B15213,""en"",""zh-CN"")"),"我们看到该物品配备了7年的保修。")</f>
        <v>我们看到该物品配备了7年的保修。</v>
      </c>
    </row>
    <row r="15214">
      <c r="A15214" s="4" t="s">
        <v>19161</v>
      </c>
      <c r="B15214" s="4" t="s">
        <v>19167</v>
      </c>
      <c r="C15214" s="5" t="str">
        <f>IFERROR(__xludf.DUMMYFUNCTION("GOOGLETRANSLATE(B15214,""en"",""zh-CN"")"),"该男子向物品添加了油，我们看到了包装。")</f>
        <v>该男子向物品添加了油，我们看到了包装。</v>
      </c>
    </row>
    <row r="15215">
      <c r="A15215" s="4" t="s">
        <v>19161</v>
      </c>
      <c r="B15215" s="4" t="s">
        <v>19168</v>
      </c>
      <c r="C15215" s="5" t="str">
        <f>IFERROR(__xludf.DUMMYFUNCTION("GOOGLETRANSLATE(B15215,""en"",""zh-CN"")"),"我们看到了视频的结局。")</f>
        <v>我们看到了视频的结局。</v>
      </c>
    </row>
    <row r="15216">
      <c r="A15216" s="4" t="s">
        <v>19169</v>
      </c>
      <c r="B15216" s="6" t="s">
        <v>19170</v>
      </c>
      <c r="C15216" s="5" t="str">
        <f>IFERROR(__xludf.DUMMYFUNCTION("GOOGLETRANSLATE(B15216,""en"",""zh-CN"")"),"看到一小群妇女一起跳舞一起进行编舞，其中一个领导着这群人。")</f>
        <v>看到一小群妇女一起跳舞一起进行编舞，其中一个领导着这群人。</v>
      </c>
    </row>
    <row r="15217">
      <c r="A15217" s="4" t="s">
        <v>19169</v>
      </c>
      <c r="B15217" s="6" t="s">
        <v>19171</v>
      </c>
      <c r="C15217" s="5" t="str">
        <f>IFERROR(__xludf.DUMMYFUNCTION("GOOGLETRANSLATE(B15217,""en"",""zh-CN"")"),"女人继续彼此跳舞，并以背景中显示的Zumba徽标结束。")</f>
        <v>女人继续彼此跳舞，并以背景中显示的Zumba徽标结束。</v>
      </c>
    </row>
    <row r="15218">
      <c r="A15218" s="4" t="s">
        <v>19172</v>
      </c>
      <c r="B15218" s="6" t="s">
        <v>19173</v>
      </c>
      <c r="C15218" s="5" t="str">
        <f>IFERROR(__xludf.DUMMYFUNCTION("GOOGLETRANSLATE(B15218,""en"",""zh-CN"")"),"看到一个女人站在镜子前，在镜头微笑时开始跳绳。")</f>
        <v>看到一个女人站在镜子前，在镜头微笑时开始跳绳。</v>
      </c>
    </row>
    <row r="15219">
      <c r="A15219" s="4" t="s">
        <v>19172</v>
      </c>
      <c r="B15219" s="6" t="s">
        <v>19174</v>
      </c>
      <c r="C15219" s="5" t="str">
        <f>IFERROR(__xludf.DUMMYFUNCTION("GOOGLETRANSLATE(B15219,""en"",""zh-CN"")"),"她继续一遍又一遍地跳动，挥舞着手臂和结束，停下来微笑着镜头。")</f>
        <v>她继续一遍又一遍地跳动，挥舞着手臂和结束，停下来微笑着镜头。</v>
      </c>
    </row>
    <row r="15220">
      <c r="A15220" s="4" t="s">
        <v>19175</v>
      </c>
      <c r="B15220" s="4" t="s">
        <v>19176</v>
      </c>
      <c r="C15220" s="5" t="str">
        <f>IFERROR(__xludf.DUMMYFUNCTION("GOOGLETRANSLATE(B15220,""en"",""zh-CN"")"),"女人站在拿着门的相机前的厨房里。")</f>
        <v>女人站在拿着门的相机前的厨房里。</v>
      </c>
    </row>
    <row r="15221">
      <c r="A15221" s="4" t="s">
        <v>19175</v>
      </c>
      <c r="B15221" s="4" t="s">
        <v>19177</v>
      </c>
      <c r="C15221" s="5" t="str">
        <f>IFERROR(__xludf.DUMMYFUNCTION("GOOGLETRANSLATE(B15221,""en"",""zh-CN"")"),"女人切开门，将巧克力奶油撒在上面，然后放一层蛋糕。")</f>
        <v>女人切开门，将巧克力奶油撒在上面，然后放一层蛋糕。</v>
      </c>
    </row>
    <row r="15222">
      <c r="A15222" s="4" t="s">
        <v>19175</v>
      </c>
      <c r="B15222" s="6" t="s">
        <v>19178</v>
      </c>
      <c r="C15222" s="5" t="str">
        <f>IFERROR(__xludf.DUMMYFUNCTION("GOOGLETRANSLATE(B15222,""en"",""zh-CN"")"),"该名女子再次将巧克力奶油撒在顶部，然后放一层蛋糕，然后将奶油铺在顶部和侧面。")</f>
        <v>该名女子再次将巧克力奶油撒在顶部，然后放一层蛋糕，然后将奶油铺在顶部和侧面。</v>
      </c>
    </row>
    <row r="15223">
      <c r="A15223" s="4" t="s">
        <v>19175</v>
      </c>
      <c r="B15223" s="4" t="s">
        <v>19179</v>
      </c>
      <c r="C15223" s="5" t="str">
        <f>IFERROR(__xludf.DUMMYFUNCTION("GOOGLETRANSLATE(B15223,""en"",""zh-CN"")"),"女人将奶油弄平并清漆。")</f>
        <v>女人将奶油弄平并清漆。</v>
      </c>
    </row>
    <row r="15224">
      <c r="A15224" s="4" t="s">
        <v>19175</v>
      </c>
      <c r="B15224" s="6" t="s">
        <v>19180</v>
      </c>
      <c r="C15224" s="5" t="str">
        <f>IFERROR(__xludf.DUMMYFUNCTION("GOOGLETRANSLATE(B15224,""en"",""zh-CN"")"),"女人抓住白色软糖并揉捏它，然后用手用双手遮住蛋糕，并切断剩下的蛋糕，上面添加了装饰品。")</f>
        <v>女人抓住白色软糖并揉捏它，然后用手用双手遮住蛋糕，并切断剩下的蛋糕，上面添加了装饰品。</v>
      </c>
    </row>
    <row r="15225">
      <c r="A15225" s="4" t="s">
        <v>19181</v>
      </c>
      <c r="B15225" s="4" t="s">
        <v>19182</v>
      </c>
      <c r="C15225" s="5" t="str">
        <f>IFERROR(__xludf.DUMMYFUNCTION("GOOGLETRANSLATE(B15225,""en"",""zh-CN"")"),"一个男人骑自行车。")</f>
        <v>一个男人骑自行车。</v>
      </c>
    </row>
    <row r="15226">
      <c r="A15226" s="4" t="s">
        <v>19181</v>
      </c>
      <c r="B15226" s="4" t="s">
        <v>19183</v>
      </c>
      <c r="C15226" s="5" t="str">
        <f>IFERROR(__xludf.DUMMYFUNCTION("GOOGLETRANSLATE(B15226,""en"",""zh-CN"")"),"他正在厨房里的手机上聊天。")</f>
        <v>他正在厨房里的手机上聊天。</v>
      </c>
    </row>
    <row r="15227">
      <c r="A15227" s="4" t="s">
        <v>19181</v>
      </c>
      <c r="B15227" s="4" t="s">
        <v>19184</v>
      </c>
      <c r="C15227" s="5" t="str">
        <f>IFERROR(__xludf.DUMMYFUNCTION("GOOGLETRANSLATE(B15227,""en"",""zh-CN"")"),"然后，他在车库附近的电话上说话。")</f>
        <v>然后，他在车库附近的电话上说话。</v>
      </c>
    </row>
    <row r="15228">
      <c r="A15228" s="4" t="s">
        <v>19181</v>
      </c>
      <c r="B15228" s="4" t="s">
        <v>19185</v>
      </c>
      <c r="C15228" s="5" t="str">
        <f>IFERROR(__xludf.DUMMYFUNCTION("GOOGLETRANSLATE(B15228,""en"",""zh-CN"")"),"他开始绘画木篱笆。")</f>
        <v>他开始绘画木篱笆。</v>
      </c>
    </row>
    <row r="15229">
      <c r="A15229" s="4" t="s">
        <v>19181</v>
      </c>
      <c r="B15229" s="4" t="s">
        <v>19186</v>
      </c>
      <c r="C15229" s="5" t="str">
        <f>IFERROR(__xludf.DUMMYFUNCTION("GOOGLETRANSLATE(B15229,""en"",""zh-CN"")"),"他坐下来吃食物。")</f>
        <v>他坐下来吃食物。</v>
      </c>
    </row>
    <row r="15230">
      <c r="A15230" s="4" t="s">
        <v>19181</v>
      </c>
      <c r="B15230" s="4" t="s">
        <v>19187</v>
      </c>
      <c r="C15230" s="5" t="str">
        <f>IFERROR(__xludf.DUMMYFUNCTION("GOOGLETRANSLATE(B15230,""en"",""zh-CN"")"),"然后，他完成了栅栏的绘画。")</f>
        <v>然后，他完成了栅栏的绘画。</v>
      </c>
    </row>
    <row r="15231">
      <c r="A15231" s="4" t="s">
        <v>19181</v>
      </c>
      <c r="B15231" s="4" t="s">
        <v>19188</v>
      </c>
      <c r="C15231" s="5" t="str">
        <f>IFERROR(__xludf.DUMMYFUNCTION("GOOGLETRANSLATE(B15231,""en"",""zh-CN"")"),"他跳上空中庆祝。")</f>
        <v>他跳上空中庆祝。</v>
      </c>
    </row>
    <row r="15232">
      <c r="A15232" s="4" t="s">
        <v>19189</v>
      </c>
      <c r="B15232" s="4" t="s">
        <v>19190</v>
      </c>
      <c r="C15232" s="5" t="str">
        <f>IFERROR(__xludf.DUMMYFUNCTION("GOOGLETRANSLATE(B15232,""en"",""zh-CN"")"),"一个婴儿坐在外面的小桌子旁。")</f>
        <v>一个婴儿坐在外面的小桌子旁。</v>
      </c>
    </row>
    <row r="15233">
      <c r="A15233" s="4" t="s">
        <v>19189</v>
      </c>
      <c r="B15233" s="4" t="s">
        <v>19191</v>
      </c>
      <c r="C15233" s="5" t="str">
        <f>IFERROR(__xludf.DUMMYFUNCTION("GOOGLETRANSLATE(B15233,""en"",""zh-CN"")"),"他正在抽烟，向成年人挥手。")</f>
        <v>他正在抽烟，向成年人挥手。</v>
      </c>
    </row>
    <row r="15234">
      <c r="A15234" s="4" t="s">
        <v>19189</v>
      </c>
      <c r="B15234" s="4" t="s">
        <v>19192</v>
      </c>
      <c r="C15234" s="5" t="str">
        <f>IFERROR(__xludf.DUMMYFUNCTION("GOOGLETRANSLATE(B15234,""en"",""zh-CN"")"),"他高高地围着一个女人，然后继续吸烟。")</f>
        <v>他高高地围着一个女人，然后继续吸烟。</v>
      </c>
    </row>
    <row r="15235">
      <c r="A15235" s="4" t="s">
        <v>19193</v>
      </c>
      <c r="B15235" s="6" t="s">
        <v>19194</v>
      </c>
      <c r="C15235" s="5" t="str">
        <f>IFERROR(__xludf.DUMMYFUNCTION("GOOGLETRANSLATE(B15235,""en"",""zh-CN"")"),"看到一名妇女在与镜头和沸水交谈时，手里拿着食材。")</f>
        <v>看到一名妇女在与镜头和沸水交谈时，手里拿着食材。</v>
      </c>
    </row>
    <row r="15236">
      <c r="A15236" s="4" t="s">
        <v>19193</v>
      </c>
      <c r="B15236" s="6" t="s">
        <v>19195</v>
      </c>
      <c r="C15236" s="5" t="str">
        <f>IFERROR(__xludf.DUMMYFUNCTION("GOOGLETRANSLATE(B15236,""en"",""zh-CN"")"),"她在锅上薯条薯条，将它们倒在盘子上，同时将更多的成分混合到锅中，然后将其倒在坚果上。")</f>
        <v>她在锅上薯条薯条，将它们倒在盘子上，同时将更多的成分混合到锅中，然后将其倒在坚果上。</v>
      </c>
    </row>
    <row r="15237">
      <c r="A15237" s="4" t="s">
        <v>19193</v>
      </c>
      <c r="B15237" s="4" t="s">
        <v>19196</v>
      </c>
      <c r="C15237" s="5" t="str">
        <f>IFERROR(__xludf.DUMMYFUNCTION("GOOGLETRANSLATE(B15237,""en"",""zh-CN"")"),"她将它们混合在一起，最后炫耀几盘。")</f>
        <v>她将它们混合在一起，最后炫耀几盘。</v>
      </c>
    </row>
    <row r="15238">
      <c r="A15238" s="4" t="s">
        <v>19197</v>
      </c>
      <c r="B15238" s="4" t="s">
        <v>19198</v>
      </c>
      <c r="C15238" s="5" t="str">
        <f>IFERROR(__xludf.DUMMYFUNCTION("GOOGLETRANSLATE(B15238,""en"",""zh-CN"")"),"看到吉他的近距离接着，后面是一个弹奏背部的人。")</f>
        <v>看到吉他的近距离接着，后面是一个弹奏背部的人。</v>
      </c>
    </row>
    <row r="15239">
      <c r="A15239" s="4" t="s">
        <v>19197</v>
      </c>
      <c r="B15239" s="4" t="s">
        <v>19199</v>
      </c>
      <c r="C15239" s="5" t="str">
        <f>IFERROR(__xludf.DUMMYFUNCTION("GOOGLETRANSLATE(B15239,""en"",""zh-CN"")"),"该人在将吉他的脖子上下移动，同时将其移动弹奏。")</f>
        <v>该人在将吉他的脖子上下移动，同时将其移动弹奏。</v>
      </c>
    </row>
    <row r="15240">
      <c r="A15240" s="4" t="s">
        <v>19197</v>
      </c>
      <c r="B15240" s="4" t="s">
        <v>19200</v>
      </c>
      <c r="C15240" s="5" t="str">
        <f>IFERROR(__xludf.DUMMYFUNCTION("GOOGLETRANSLATE(B15240,""en"",""zh-CN"")"),"该男子继续演奏乐器，最后停下来。")</f>
        <v>该男子继续演奏乐器，最后停下来。</v>
      </c>
    </row>
    <row r="15241">
      <c r="A15241" s="4" t="s">
        <v>19201</v>
      </c>
      <c r="B15241" s="4" t="s">
        <v>19202</v>
      </c>
      <c r="C15241" s="5" t="str">
        <f>IFERROR(__xludf.DUMMYFUNCTION("GOOGLETRANSLATE(B15241,""en"",""zh-CN"")"),"看到一个女人在与镜头说话并把脸放在奶油的情况下走进框架。")</f>
        <v>看到一个女人在与镜头说话并把脸放在奶油的情况下走进框架。</v>
      </c>
    </row>
    <row r="15242">
      <c r="A15242" s="4" t="s">
        <v>19201</v>
      </c>
      <c r="B15242" s="4" t="s">
        <v>19203</v>
      </c>
      <c r="C15242" s="5" t="str">
        <f>IFERROR(__xludf.DUMMYFUNCTION("GOOGLETRANSLATE(B15242,""en"",""zh-CN"")"),"那个女人然后仍在与镜头说话的同时，将奶油擦在她的脸上。")</f>
        <v>那个女人然后仍在与镜头说话的同时，将奶油擦在她的脸上。</v>
      </c>
    </row>
    <row r="15243">
      <c r="A15243" s="4" t="s">
        <v>19201</v>
      </c>
      <c r="B15243" s="4" t="s">
        <v>19204</v>
      </c>
      <c r="C15243" s="5" t="str">
        <f>IFERROR(__xludf.DUMMYFUNCTION("GOOGLETRANSLATE(B15243,""en"",""zh-CN"")"),"当女人继续在乳液中擦手时，摄像机在厨房周围摇晃。")</f>
        <v>当女人继续在乳液中擦手时，摄像机在厨房周围摇晃。</v>
      </c>
    </row>
    <row r="15244">
      <c r="A15244" s="4" t="s">
        <v>19205</v>
      </c>
      <c r="B15244" s="4" t="s">
        <v>19206</v>
      </c>
      <c r="C15244" s="5" t="str">
        <f>IFERROR(__xludf.DUMMYFUNCTION("GOOGLETRANSLATE(B15244,""en"",""zh-CN"")"),"我们看到一个人在船后滑行。")</f>
        <v>我们看到一个人在船后滑行。</v>
      </c>
    </row>
    <row r="15245">
      <c r="A15245" s="4" t="s">
        <v>19205</v>
      </c>
      <c r="B15245" s="4" t="s">
        <v>19207</v>
      </c>
      <c r="C15245" s="5" t="str">
        <f>IFERROR(__xludf.DUMMYFUNCTION("GOOGLETRANSLATE(B15245,""en"",""zh-CN"")"),"该船搁浅一些刷子。")</f>
        <v>该船搁浅一些刷子。</v>
      </c>
    </row>
    <row r="15246">
      <c r="A15246" s="4" t="s">
        <v>19205</v>
      </c>
      <c r="B15246" s="4" t="s">
        <v>19208</v>
      </c>
      <c r="C15246" s="5" t="str">
        <f>IFERROR(__xludf.DUMMYFUNCTION("GOOGLETRANSLATE(B15246,""en"",""zh-CN"")"),"滑雪者躺在湖中。")</f>
        <v>滑雪者躺在湖中。</v>
      </c>
    </row>
    <row r="15247">
      <c r="A15247" s="4" t="s">
        <v>19209</v>
      </c>
      <c r="B15247" s="4" t="s">
        <v>19210</v>
      </c>
      <c r="C15247" s="5" t="str">
        <f>IFERROR(__xludf.DUMMYFUNCTION("GOOGLETRANSLATE(B15247,""en"",""zh-CN"")"),"一个人在街上扮演手风琴。")</f>
        <v>一个人在街上扮演手风琴。</v>
      </c>
    </row>
    <row r="15248">
      <c r="A15248" s="4" t="s">
        <v>19209</v>
      </c>
      <c r="B15248" s="4" t="s">
        <v>19211</v>
      </c>
      <c r="C15248" s="5" t="str">
        <f>IFERROR(__xludf.DUMMYFUNCTION("GOOGLETRANSLATE(B15248,""en"",""zh-CN"")"),"他穿着连帽衫。")</f>
        <v>他穿着连帽衫。</v>
      </c>
    </row>
    <row r="15249">
      <c r="A15249" s="4" t="s">
        <v>19209</v>
      </c>
      <c r="B15249" s="4" t="s">
        <v>19212</v>
      </c>
      <c r="C15249" s="5" t="str">
        <f>IFERROR(__xludf.DUMMYFUNCTION("GOOGLETRANSLATE(B15249,""en"",""zh-CN"")"),"他坐在自行车旁边。")</f>
        <v>他坐在自行车旁边。</v>
      </c>
    </row>
    <row r="15250">
      <c r="A15250" s="4" t="s">
        <v>19209</v>
      </c>
      <c r="B15250" s="4" t="s">
        <v>19213</v>
      </c>
      <c r="C15250" s="5" t="str">
        <f>IFERROR(__xludf.DUMMYFUNCTION("GOOGLETRANSLATE(B15250,""en"",""zh-CN"")"),"一个男人在背景中行走。")</f>
        <v>一个男人在背景中行走。</v>
      </c>
    </row>
    <row r="15251">
      <c r="A15251" s="4" t="s">
        <v>19214</v>
      </c>
      <c r="B15251" s="4" t="s">
        <v>19215</v>
      </c>
      <c r="C15251" s="5" t="str">
        <f>IFERROR(__xludf.DUMMYFUNCTION("GOOGLETRANSLATE(B15251,""en"",""zh-CN"")"),"“镜头放”一词出现在运动员上。")</f>
        <v>“镜头放”一词出现在运动员上。</v>
      </c>
    </row>
    <row r="15252">
      <c r="A15252" s="4" t="s">
        <v>19214</v>
      </c>
      <c r="B15252" s="4" t="s">
        <v>19216</v>
      </c>
      <c r="C15252" s="5" t="str">
        <f>IFERROR(__xludf.DUMMYFUNCTION("GOOGLETRANSLATE(B15252,""en"",""zh-CN"")"),"屏幕上出现了“射门介绍”，随后有几名运动员进行这项运动。")</f>
        <v>屏幕上出现了“射门介绍”，随后有几名运动员进行这项运动。</v>
      </c>
    </row>
    <row r="15253">
      <c r="A15253" s="4" t="s">
        <v>19214</v>
      </c>
      <c r="B15253" s="4" t="s">
        <v>19217</v>
      </c>
      <c r="C15253" s="5" t="str">
        <f>IFERROR(__xludf.DUMMYFUNCTION("GOOGLETRANSLATE(B15253,""en"",""zh-CN"")"),"屏幕上出现“谢谢您的观看”一词。")</f>
        <v>屏幕上出现“谢谢您的观看”一词。</v>
      </c>
    </row>
    <row r="15254">
      <c r="A15254" s="4" t="s">
        <v>19218</v>
      </c>
      <c r="B15254" s="4" t="s">
        <v>19219</v>
      </c>
      <c r="C15254" s="5" t="str">
        <f>IFERROR(__xludf.DUMMYFUNCTION("GOOGLETRANSLATE(B15254,""en"",""zh-CN"")"),"一个男人抬起大型啤酒，开始喝酒。")</f>
        <v>一个男人抬起大型啤酒，开始喝酒。</v>
      </c>
    </row>
    <row r="15255">
      <c r="A15255" s="4" t="s">
        <v>19218</v>
      </c>
      <c r="B15255" s="4" t="s">
        <v>19220</v>
      </c>
      <c r="C15255" s="5" t="str">
        <f>IFERROR(__xludf.DUMMYFUNCTION("GOOGLETRANSLATE(B15255,""en"",""zh-CN"")"),"坐在桌子周围的人们为他加油打气。")</f>
        <v>坐在桌子周围的人们为他加油打气。</v>
      </c>
    </row>
    <row r="15256">
      <c r="A15256" s="4" t="s">
        <v>19218</v>
      </c>
      <c r="B15256" s="4" t="s">
        <v>19221</v>
      </c>
      <c r="C15256" s="5" t="str">
        <f>IFERROR(__xludf.DUMMYFUNCTION("GOOGLETRANSLATE(B15256,""en"",""zh-CN"")"),"那个男人把手放在空中笑。")</f>
        <v>那个男人把手放在空中笑。</v>
      </c>
    </row>
    <row r="15257">
      <c r="A15257" s="4" t="s">
        <v>19218</v>
      </c>
      <c r="B15257" s="4" t="s">
        <v>19222</v>
      </c>
      <c r="C15257" s="5" t="str">
        <f>IFERROR(__xludf.DUMMYFUNCTION("GOOGLETRANSLATE(B15257,""en"",""zh-CN"")"),"桌子周围的人开始向空中抽水。")</f>
        <v>桌子周围的人开始向空中抽水。</v>
      </c>
    </row>
    <row r="15258">
      <c r="A15258" s="4" t="s">
        <v>19218</v>
      </c>
      <c r="B15258" s="4" t="s">
        <v>19223</v>
      </c>
      <c r="C15258" s="5" t="str">
        <f>IFERROR(__xludf.DUMMYFUNCTION("GOOGLETRANSLATE(B15258,""en"",""zh-CN"")"),"那个男人拍了拍手。")</f>
        <v>那个男人拍了拍手。</v>
      </c>
    </row>
    <row r="15259">
      <c r="A15259" s="4" t="s">
        <v>19224</v>
      </c>
      <c r="B15259" s="4" t="s">
        <v>19225</v>
      </c>
      <c r="C15259" s="5" t="str">
        <f>IFERROR(__xludf.DUMMYFUNCTION("GOOGLETRANSLATE(B15259,""en"",""zh-CN"")"),"一个人站在烤箱上煮东西。")</f>
        <v>一个人站在烤箱上煮东西。</v>
      </c>
    </row>
    <row r="15260">
      <c r="A15260" s="4" t="s">
        <v>19224</v>
      </c>
      <c r="B15260" s="4" t="s">
        <v>19226</v>
      </c>
      <c r="C15260" s="5" t="str">
        <f>IFERROR(__xludf.DUMMYFUNCTION("GOOGLETRANSLATE(B15260,""en"",""zh-CN"")"),"他弯下腰​​检查火焰。")</f>
        <v>他弯下腰​​检查火焰。</v>
      </c>
    </row>
    <row r="15261">
      <c r="A15261" s="4" t="s">
        <v>19224</v>
      </c>
      <c r="B15261" s="4" t="s">
        <v>19227</v>
      </c>
      <c r="C15261" s="5" t="str">
        <f>IFERROR(__xludf.DUMMYFUNCTION("GOOGLETRANSLATE(B15261,""en"",""zh-CN"")"),"他扔了几次锅。")</f>
        <v>他扔了几次锅。</v>
      </c>
    </row>
    <row r="15262">
      <c r="A15262" s="4" t="s">
        <v>19224</v>
      </c>
      <c r="B15262" s="4" t="s">
        <v>19228</v>
      </c>
      <c r="C15262" s="5" t="str">
        <f>IFERROR(__xludf.DUMMYFUNCTION("GOOGLETRANSLATE(B15262,""en"",""zh-CN"")"),"他正在为锅增加调味料。")</f>
        <v>他正在为锅增加调味料。</v>
      </c>
    </row>
    <row r="15263">
      <c r="A15263" s="4" t="s">
        <v>19224</v>
      </c>
      <c r="B15263" s="4" t="s">
        <v>19229</v>
      </c>
      <c r="C15263" s="5" t="str">
        <f>IFERROR(__xludf.DUMMYFUNCTION("GOOGLETRANSLATE(B15263,""en"",""zh-CN"")"),"他将液体倒入锅中。")</f>
        <v>他将液体倒入锅中。</v>
      </c>
    </row>
    <row r="15264">
      <c r="A15264" s="4" t="s">
        <v>19224</v>
      </c>
      <c r="B15264" s="4" t="s">
        <v>19230</v>
      </c>
      <c r="C15264" s="5" t="str">
        <f>IFERROR(__xludf.DUMMYFUNCTION("GOOGLETRANSLATE(B15264,""en"",""zh-CN"")"),"他再次摇晃锅。")</f>
        <v>他再次摇晃锅。</v>
      </c>
    </row>
    <row r="15265">
      <c r="A15265" s="4" t="s">
        <v>19231</v>
      </c>
      <c r="B15265" s="4" t="s">
        <v>19232</v>
      </c>
      <c r="C15265" s="5" t="str">
        <f>IFERROR(__xludf.DUMMYFUNCTION("GOOGLETRANSLATE(B15265,""en"",""zh-CN"")"),"一个人帮助另一个人在人行道上的高跷行走。")</f>
        <v>一个人帮助另一个人在人行道上的高跷行走。</v>
      </c>
    </row>
    <row r="15266">
      <c r="A15266" s="4" t="s">
        <v>19231</v>
      </c>
      <c r="B15266" s="4" t="s">
        <v>19233</v>
      </c>
      <c r="C15266" s="5" t="str">
        <f>IFERROR(__xludf.DUMMYFUNCTION("GOOGLETRANSLATE(B15266,""en"",""zh-CN"")"),"这个人自己走。")</f>
        <v>这个人自己走。</v>
      </c>
    </row>
    <row r="15267">
      <c r="A15267" s="4" t="s">
        <v>19231</v>
      </c>
      <c r="B15267" s="4" t="s">
        <v>19234</v>
      </c>
      <c r="C15267" s="5" t="str">
        <f>IFERROR(__xludf.DUMMYFUNCTION("GOOGLETRANSLATE(B15267,""en"",""zh-CN"")"),"该男子坐在椅子上。")</f>
        <v>该男子坐在椅子上。</v>
      </c>
    </row>
    <row r="15268">
      <c r="A15268" s="4" t="s">
        <v>19235</v>
      </c>
      <c r="B15268" s="4" t="s">
        <v>19236</v>
      </c>
      <c r="C15268" s="5" t="str">
        <f>IFERROR(__xludf.DUMMYFUNCTION("GOOGLETRANSLATE(B15268,""en"",""zh-CN"")"),"几个屏幕显示在黑色背景上的明亮橙色字母。")</f>
        <v>几个屏幕显示在黑色背景上的明亮橙色字母。</v>
      </c>
    </row>
    <row r="15269">
      <c r="A15269" s="4" t="s">
        <v>19235</v>
      </c>
      <c r="B15269" s="6" t="s">
        <v>19237</v>
      </c>
      <c r="C15269" s="5" t="str">
        <f>IFERROR(__xludf.DUMMYFUNCTION("GOOGLETRANSLATE(B15269,""en"",""zh-CN"")"),"一个男人和一个女人正直立在游泳池里，男人正在向女人展示游泳技巧。")</f>
        <v>一个男人和一个女人正直立在游泳池里，男人正在向女人展示游泳技巧。</v>
      </c>
    </row>
    <row r="15270">
      <c r="A15270" s="4" t="s">
        <v>19235</v>
      </c>
      <c r="B15270" s="6" t="s">
        <v>19238</v>
      </c>
      <c r="C15270" s="5" t="str">
        <f>IFERROR(__xludf.DUMMYFUNCTION("GOOGLETRANSLATE(B15270,""en"",""zh-CN"")"),"女人开始模仿男人的动作，移动手臂，将头浸在水面下。")</f>
        <v>女人开始模仿男人的动作，移动手臂，将头浸在水面下。</v>
      </c>
    </row>
    <row r="15271">
      <c r="A15271" s="4" t="s">
        <v>19235</v>
      </c>
      <c r="B15271" s="4" t="s">
        <v>19239</v>
      </c>
      <c r="C15271" s="5" t="str">
        <f>IFERROR(__xludf.DUMMYFUNCTION("GOOGLETRANSLATE(B15271,""en"",""zh-CN"")"),"该男子向她展示了如何通过自己这样做向外游泳。")</f>
        <v>该男子向她展示了如何通过自己这样做向外游泳。</v>
      </c>
    </row>
    <row r="15272">
      <c r="A15272" s="4" t="s">
        <v>19235</v>
      </c>
      <c r="B15272" s="4" t="s">
        <v>19240</v>
      </c>
      <c r="C15272" s="5" t="str">
        <f>IFERROR(__xludf.DUMMYFUNCTION("GOOGLETRANSLATE(B15272,""en"",""zh-CN"")"),"女人看着他游泳。")</f>
        <v>女人看着他游泳。</v>
      </c>
    </row>
    <row r="15273">
      <c r="A15273" s="4" t="s">
        <v>19241</v>
      </c>
      <c r="B15273" s="4" t="s">
        <v>19242</v>
      </c>
      <c r="C15273" s="5" t="str">
        <f>IFERROR(__xludf.DUMMYFUNCTION("GOOGLETRANSLATE(B15273,""en"",""zh-CN"")"),"一个女孩正在将食材倒入碗中，然后将它们混合在一起。")</f>
        <v>一个女孩正在将食材倒入碗中，然后将它们混合在一起。</v>
      </c>
    </row>
    <row r="15274">
      <c r="A15274" s="4" t="s">
        <v>19241</v>
      </c>
      <c r="B15274" s="4" t="s">
        <v>19243</v>
      </c>
      <c r="C15274" s="5" t="str">
        <f>IFERROR(__xludf.DUMMYFUNCTION("GOOGLETRANSLATE(B15274,""en"",""zh-CN"")"),"她使用饼干切割机从面团中切出形状。")</f>
        <v>她使用饼干切割机从面团中切出形状。</v>
      </c>
    </row>
    <row r="15275">
      <c r="A15275" s="4" t="s">
        <v>19241</v>
      </c>
      <c r="B15275" s="4" t="s">
        <v>19244</v>
      </c>
      <c r="C15275" s="5" t="str">
        <f>IFERROR(__xludf.DUMMYFUNCTION("GOOGLETRANSLATE(B15275,""en"",""zh-CN"")"),"她将面团浸入白色釉中。")</f>
        <v>她将面团浸入白色釉中。</v>
      </c>
    </row>
    <row r="15276">
      <c r="A15276" s="4" t="s">
        <v>19245</v>
      </c>
      <c r="B15276" s="4" t="s">
        <v>19246</v>
      </c>
      <c r="C15276" s="5" t="str">
        <f>IFERROR(__xludf.DUMMYFUNCTION("GOOGLETRANSLATE(B15276,""en"",""zh-CN"")"),"一个人在院子里吹叶。")</f>
        <v>一个人在院子里吹叶。</v>
      </c>
    </row>
    <row r="15277">
      <c r="A15277" s="4" t="s">
        <v>19245</v>
      </c>
      <c r="B15277" s="4" t="s">
        <v>19247</v>
      </c>
      <c r="C15277" s="5" t="str">
        <f>IFERROR(__xludf.DUMMYFUNCTION("GOOGLETRANSLATE(B15277,""en"",""zh-CN"")"),"这个孩子遇到了一些麻烦，但通常做得很好。")</f>
        <v>这个孩子遇到了一些麻烦，但通常做得很好。</v>
      </c>
    </row>
    <row r="15278">
      <c r="A15278" s="4" t="s">
        <v>19248</v>
      </c>
      <c r="B15278" s="4" t="s">
        <v>19249</v>
      </c>
      <c r="C15278" s="5" t="str">
        <f>IFERROR(__xludf.DUMMYFUNCTION("GOOGLETRANSLATE(B15278,""en"",""zh-CN"")"),"一个新闻主播在大型新闻编辑室里的桌子后面展示了一个故事。")</f>
        <v>一个新闻主播在大型新闻编辑室里的桌子后面展示了一个故事。</v>
      </c>
    </row>
    <row r="15279">
      <c r="A15279" s="4" t="s">
        <v>19248</v>
      </c>
      <c r="B15279" s="4" t="s">
        <v>19250</v>
      </c>
      <c r="C15279" s="5" t="str">
        <f>IFERROR(__xludf.DUMMYFUNCTION("GOOGLETRANSLATE(B15279,""en"",""zh-CN"")"),"人们看到人们抽烟和电香烟。")</f>
        <v>人们看到人们抽烟和电香烟。</v>
      </c>
    </row>
    <row r="15280">
      <c r="A15280" s="4" t="s">
        <v>19248</v>
      </c>
      <c r="B15280" s="4" t="s">
        <v>19251</v>
      </c>
      <c r="C15280" s="5" t="str">
        <f>IFERROR(__xludf.DUMMYFUNCTION("GOOGLETRANSLATE(B15280,""en"",""zh-CN"")"),"新闻主播与新闻编辑室中的客人交谈。")</f>
        <v>新闻主播与新闻编辑室中的客人交谈。</v>
      </c>
    </row>
    <row r="15281">
      <c r="A15281" s="4" t="s">
        <v>19248</v>
      </c>
      <c r="B15281" s="4" t="s">
        <v>19252</v>
      </c>
      <c r="C15281" s="5" t="str">
        <f>IFERROR(__xludf.DUMMYFUNCTION("GOOGLETRANSLATE(B15281,""en"",""zh-CN"")"),"在那里的办公室中看到专业人士讨论该主题。")</f>
        <v>在那里的办公室中看到专业人士讨论该主题。</v>
      </c>
    </row>
    <row r="15282">
      <c r="A15282" s="4" t="s">
        <v>19248</v>
      </c>
      <c r="B15282" s="4" t="s">
        <v>19253</v>
      </c>
      <c r="C15282" s="5" t="str">
        <f>IFERROR(__xludf.DUMMYFUNCTION("GOOGLETRANSLATE(B15282,""en"",""zh-CN"")"),"在带有网站和信息的红色背景中可以看到文本。")</f>
        <v>在带有网站和信息的红色背景中可以看到文本。</v>
      </c>
    </row>
    <row r="15283">
      <c r="A15283" s="4" t="s">
        <v>19254</v>
      </c>
      <c r="B15283" s="4" t="s">
        <v>19255</v>
      </c>
      <c r="C15283" s="5" t="str">
        <f>IFERROR(__xludf.DUMMYFUNCTION("GOOGLETRANSLATE(B15283,""en"",""zh-CN"")"),"一个男人的微笑着，聊着镜头，把一个小男孩抱在水槽上。")</f>
        <v>一个男人的微笑着，聊着镜头，把一个小男孩抱在水槽上。</v>
      </c>
    </row>
    <row r="15284">
      <c r="A15284" s="4" t="s">
        <v>19254</v>
      </c>
      <c r="B15284" s="4" t="s">
        <v>19256</v>
      </c>
      <c r="C15284" s="5" t="str">
        <f>IFERROR(__xludf.DUMMYFUNCTION("GOOGLETRANSLATE(B15284,""en"",""zh-CN"")"),"该男子睁开眼睛，笑着刷牙。")</f>
        <v>该男子睁开眼睛，笑着刷牙。</v>
      </c>
    </row>
    <row r="15285">
      <c r="A15285" s="4" t="s">
        <v>19257</v>
      </c>
      <c r="B15285" s="4" t="s">
        <v>19258</v>
      </c>
      <c r="C15285" s="5" t="str">
        <f>IFERROR(__xludf.DUMMYFUNCTION("GOOGLETRANSLATE(B15285,""en"",""zh-CN"")"),"芭蕾舞演员开始在舞台上跳舞。")</f>
        <v>芭蕾舞演员开始在舞台上跳舞。</v>
      </c>
    </row>
    <row r="15286">
      <c r="A15286" s="4" t="s">
        <v>19257</v>
      </c>
      <c r="B15286" s="4" t="s">
        <v>19259</v>
      </c>
      <c r="C15286" s="5" t="str">
        <f>IFERROR(__xludf.DUMMYFUNCTION("GOOGLETRANSLATE(B15286,""en"",""zh-CN"")"),"她在舞台上做了几次旋转。")</f>
        <v>她在舞台上做了几次旋转。</v>
      </c>
    </row>
    <row r="15287">
      <c r="A15287" s="4" t="s">
        <v>19257</v>
      </c>
      <c r="B15287" s="4" t="s">
        <v>19260</v>
      </c>
      <c r="C15287" s="5" t="str">
        <f>IFERROR(__xludf.DUMMYFUNCTION("GOOGLETRANSLATE(B15287,""en"",""zh-CN"")"),"她在舞台上飞跃。")</f>
        <v>她在舞台上飞跃。</v>
      </c>
    </row>
    <row r="15288">
      <c r="A15288" s="4" t="s">
        <v>19257</v>
      </c>
      <c r="B15288" s="4" t="s">
        <v>19261</v>
      </c>
      <c r="C15288" s="5" t="str">
        <f>IFERROR(__xludf.DUMMYFUNCTION("GOOGLETRANSLATE(B15288,""en"",""zh-CN"")"),"她躺在舞台上。")</f>
        <v>她躺在舞台上。</v>
      </c>
    </row>
    <row r="15289">
      <c r="A15289" s="4" t="s">
        <v>19262</v>
      </c>
      <c r="B15289" s="4" t="s">
        <v>19263</v>
      </c>
      <c r="C15289" s="5" t="str">
        <f>IFERROR(__xludf.DUMMYFUNCTION("GOOGLETRANSLATE(B15289,""en"",""zh-CN"")"),"看到一个男人对摄像机说话，该相机会导致一个人玩钩针编织的人。")</f>
        <v>看到一个男人对摄像机说话，该相机会导致一个人玩钩针编织的人。</v>
      </c>
    </row>
    <row r="15290">
      <c r="A15290" s="4" t="s">
        <v>19262</v>
      </c>
      <c r="B15290" s="4" t="s">
        <v>19264</v>
      </c>
      <c r="C15290" s="5" t="str">
        <f>IFERROR(__xludf.DUMMYFUNCTION("GOOGLETRANSLATE(B15290,""en"",""zh-CN"")"),"几张照片显示了孩子击球以及与镜头说话的镜头。")</f>
        <v>几张照片显示了孩子击球以及与镜头说话的镜头。</v>
      </c>
    </row>
    <row r="15291">
      <c r="A15291" s="4" t="s">
        <v>19262</v>
      </c>
      <c r="B15291" s="4" t="s">
        <v>19265</v>
      </c>
      <c r="C15291" s="5" t="str">
        <f>IFERROR(__xludf.DUMMYFUNCTION("GOOGLETRANSLATE(B15291,""en"",""zh-CN"")"),"越来越多的孩子和成人在摄像机上说话，同时展示了他们如何击球。")</f>
        <v>越来越多的孩子和成人在摄像机上说话，同时展示了他们如何击球。</v>
      </c>
    </row>
    <row r="15292">
      <c r="A15292" s="4" t="s">
        <v>19266</v>
      </c>
      <c r="B15292" s="4" t="s">
        <v>19267</v>
      </c>
      <c r="C15292" s="5" t="str">
        <f>IFERROR(__xludf.DUMMYFUNCTION("GOOGLETRANSLATE(B15292,""en"",""zh-CN"")"),"看到一个人沿着长长的轨道奔跑，并试图将自己推向前进。")</f>
        <v>看到一个人沿着长长的轨道奔跑，并试图将自己推向前进。</v>
      </c>
    </row>
    <row r="15293">
      <c r="A15293" s="4" t="s">
        <v>19266</v>
      </c>
      <c r="B15293" s="4" t="s">
        <v>19268</v>
      </c>
      <c r="C15293" s="5" t="str">
        <f>IFERROR(__xludf.DUMMYFUNCTION("GOOGLETRANSLATE(B15293,""en"",""zh-CN"")"),"当另一个人试图推到杆子并失败时，她的跑步再次以慢动作显示。")</f>
        <v>当另一个人试图推到杆子并失败时，她的跑步再次以慢动作显示。</v>
      </c>
    </row>
    <row r="15294">
      <c r="A15294" s="4" t="s">
        <v>19266</v>
      </c>
      <c r="B15294" s="4" t="s">
        <v>19269</v>
      </c>
      <c r="C15294" s="5" t="str">
        <f>IFERROR(__xludf.DUMMYFUNCTION("GOOGLETRANSLATE(B15294,""en"",""zh-CN"")"),"显示了更多的剪辑，该剪辑试图跳过墙壁而不使其高得足够高。")</f>
        <v>显示了更多的剪辑，该剪辑试图跳过墙壁而不使其高得足够高。</v>
      </c>
    </row>
    <row r="15295">
      <c r="A15295" s="4" t="s">
        <v>19270</v>
      </c>
      <c r="B15295" s="4" t="s">
        <v>19271</v>
      </c>
      <c r="C15295" s="5" t="str">
        <f>IFERROR(__xludf.DUMMYFUNCTION("GOOGLETRANSLATE(B15295,""en"",""zh-CN"")"),"两个孩子在卡车后面玩耍。")</f>
        <v>两个孩子在卡车后面玩耍。</v>
      </c>
    </row>
    <row r="15296">
      <c r="A15296" s="4" t="s">
        <v>19270</v>
      </c>
      <c r="B15296" s="4" t="s">
        <v>19272</v>
      </c>
      <c r="C15296" s="5" t="str">
        <f>IFERROR(__xludf.DUMMYFUNCTION("GOOGLETRANSLATE(B15296,""en"",""zh-CN"")"),"人们站在黄色的冰淇淋卡车周围。")</f>
        <v>人们站在黄色的冰淇淋卡车周围。</v>
      </c>
    </row>
    <row r="15297">
      <c r="A15297" s="4" t="s">
        <v>19270</v>
      </c>
      <c r="B15297" s="4" t="s">
        <v>19273</v>
      </c>
      <c r="C15297" s="5" t="str">
        <f>IFERROR(__xludf.DUMMYFUNCTION("GOOGLETRANSLATE(B15297,""en"",""zh-CN"")"),"两个孩子坐在人行道上吃冰淇淋。")</f>
        <v>两个孩子坐在人行道上吃冰淇淋。</v>
      </c>
    </row>
    <row r="15298">
      <c r="A15298" s="4" t="s">
        <v>19274</v>
      </c>
      <c r="B15298" s="4" t="s">
        <v>1487</v>
      </c>
      <c r="C15298" s="5" t="str">
        <f>IFERROR(__xludf.DUMMYFUNCTION("GOOGLETRANSLATE(B15298,""en"",""zh-CN"")"),"我们看到一个开放标题屏幕。")</f>
        <v>我们看到一个开放标题屏幕。</v>
      </c>
    </row>
    <row r="15299">
      <c r="A15299" s="4" t="s">
        <v>19274</v>
      </c>
      <c r="B15299" s="4" t="s">
        <v>19275</v>
      </c>
      <c r="C15299" s="5" t="str">
        <f>IFERROR(__xludf.DUMMYFUNCTION("GOOGLETRANSLATE(B15299,""en"",""zh-CN"")"),"然后，我们看到一个女孩在滑倒上跑来跑去。")</f>
        <v>然后，我们看到一个女孩在滑倒上跑来跑去。</v>
      </c>
    </row>
    <row r="15300">
      <c r="A15300" s="4" t="s">
        <v>19274</v>
      </c>
      <c r="B15300" s="4" t="s">
        <v>19276</v>
      </c>
      <c r="C15300" s="5" t="str">
        <f>IFERROR(__xludf.DUMMYFUNCTION("GOOGLETRANSLATE(B15300,""en"",""zh-CN"")"),"我们看到另一个标题屏幕，看着孩子们滑下滑梯，穿过他们的滑动和滑梯。")</f>
        <v>我们看到另一个标题屏幕，看着孩子们滑下滑梯，穿过他们的滑动和滑梯。</v>
      </c>
    </row>
    <row r="15301">
      <c r="A15301" s="4" t="s">
        <v>19274</v>
      </c>
      <c r="B15301" s="4" t="s">
        <v>19277</v>
      </c>
      <c r="C15301" s="5" t="str">
        <f>IFERROR(__xludf.DUMMYFUNCTION("GOOGLETRANSLATE(B15301,""en"",""zh-CN"")"),"一个孩子从木筏上滑动的幻灯片。")</f>
        <v>一个孩子从木筏上滑动的幻灯片。</v>
      </c>
    </row>
    <row r="15302">
      <c r="A15302" s="4" t="s">
        <v>19278</v>
      </c>
      <c r="B15302" s="4" t="s">
        <v>19279</v>
      </c>
      <c r="C15302" s="5" t="str">
        <f>IFERROR(__xludf.DUMMYFUNCTION("GOOGLETRANSLATE(B15302,""en"",""zh-CN"")"),"一个人正在演示如何点燃一小坑的火坑。")</f>
        <v>一个人正在演示如何点燃一小坑的火坑。</v>
      </c>
    </row>
    <row r="15303">
      <c r="A15303" s="4" t="s">
        <v>19278</v>
      </c>
      <c r="B15303" s="4" t="s">
        <v>19280</v>
      </c>
      <c r="C15303" s="5" t="str">
        <f>IFERROR(__xludf.DUMMYFUNCTION("GOOGLETRANSLATE(B15303,""en"",""zh-CN"")"),"首先，那个男人炫耀了他为火的火石。")</f>
        <v>首先，那个男人炫耀了他为火的火石。</v>
      </c>
    </row>
    <row r="15304">
      <c r="A15304" s="4" t="s">
        <v>19278</v>
      </c>
      <c r="B15304" s="4" t="s">
        <v>19281</v>
      </c>
      <c r="C15304" s="5" t="str">
        <f>IFERROR(__xludf.DUMMYFUNCTION("GOOGLETRANSLATE(B15304,""en"",""zh-CN"")"),"然后，他将火石放入一堆木头中。")</f>
        <v>然后，他将火石放入一堆木头中。</v>
      </c>
    </row>
    <row r="15305">
      <c r="A15305" s="4" t="s">
        <v>19278</v>
      </c>
      <c r="B15305" s="4" t="s">
        <v>19282</v>
      </c>
      <c r="C15305" s="5" t="str">
        <f>IFERROR(__xludf.DUMMYFUNCTION("GOOGLETRANSLATE(B15305,""en"",""zh-CN"")"),"然后那个男人点燃火，慢慢地散布在整个木头上。")</f>
        <v>然后那个男人点燃火，慢慢地散布在整个木头上。</v>
      </c>
    </row>
    <row r="15306">
      <c r="A15306" s="4" t="s">
        <v>19278</v>
      </c>
      <c r="B15306" s="4" t="s">
        <v>19283</v>
      </c>
      <c r="C15306" s="5" t="str">
        <f>IFERROR(__xludf.DUMMYFUNCTION("GOOGLETRANSLATE(B15306,""en"",""zh-CN"")"),"然后，那个男人用一块扁平的木头戳火以散发火。")</f>
        <v>然后，那个男人用一块扁平的木头戳火以散发火。</v>
      </c>
    </row>
    <row r="15307">
      <c r="A15307" s="4" t="s">
        <v>19278</v>
      </c>
      <c r="B15307" s="4" t="s">
        <v>19284</v>
      </c>
      <c r="C15307" s="5" t="str">
        <f>IFERROR(__xludf.DUMMYFUNCTION("GOOGLETRANSLATE(B15307,""en"",""zh-CN"")"),"然后，那个男人摇晃树枝上的树枝，进一步散布大火。")</f>
        <v>然后，那个男人摇晃树枝上的树枝，进一步散布大火。</v>
      </c>
    </row>
    <row r="15308">
      <c r="A15308" s="4" t="s">
        <v>19285</v>
      </c>
      <c r="B15308" s="4" t="s">
        <v>19286</v>
      </c>
      <c r="C15308" s="5" t="str">
        <f>IFERROR(__xludf.DUMMYFUNCTION("GOOGLETRANSLATE(B15308,""en"",""zh-CN"")"),"地下室有两个男人在地下室里玩乒乓球。")</f>
        <v>地下室有两个男人在地下室里玩乒乓球。</v>
      </c>
    </row>
    <row r="15309">
      <c r="A15309" s="4" t="s">
        <v>19285</v>
      </c>
      <c r="B15309" s="4" t="s">
        <v>19287</v>
      </c>
      <c r="C15309" s="5" t="str">
        <f>IFERROR(__xludf.DUMMYFUNCTION("GOOGLETRANSLATE(B15309,""en"",""zh-CN"")"),"其中一名球员穿着黑色衬衫，另一个是蓝色衬衫。")</f>
        <v>其中一名球员穿着黑色衬衫，另一个是蓝色衬衫。</v>
      </c>
    </row>
    <row r="15310">
      <c r="A15310" s="4" t="s">
        <v>19285</v>
      </c>
      <c r="B15310" s="4" t="s">
        <v>19288</v>
      </c>
      <c r="C15310" s="5" t="str">
        <f>IFERROR(__xludf.DUMMYFUNCTION("GOOGLETRANSLATE(B15310,""en"",""zh-CN"")"),"床垫靠在地下室墙上。")</f>
        <v>床垫靠在地下室墙上。</v>
      </c>
    </row>
    <row r="15311">
      <c r="A15311" s="4" t="s">
        <v>19285</v>
      </c>
      <c r="B15311" s="4" t="s">
        <v>19289</v>
      </c>
      <c r="C15311" s="5" t="str">
        <f>IFERROR(__xludf.DUMMYFUNCTION("GOOGLETRANSLATE(B15311,""en"",""zh-CN"")"),"球员们继续进行平稳的集会。")</f>
        <v>球员们继续进行平稳的集会。</v>
      </c>
    </row>
    <row r="15312">
      <c r="A15312" s="4" t="s">
        <v>19285</v>
      </c>
      <c r="B15312" s="4" t="s">
        <v>19290</v>
      </c>
      <c r="C15312" s="5" t="str">
        <f>IFERROR(__xludf.DUMMYFUNCTION("GOOGLETRANSLATE(B15312,""en"",""zh-CN"")"),"然后黑色的人错过了镜头。")</f>
        <v>然后黑色的人错过了镜头。</v>
      </c>
    </row>
    <row r="15313">
      <c r="A15313" s="4" t="s">
        <v>19285</v>
      </c>
      <c r="B15313" s="4" t="s">
        <v>19291</v>
      </c>
      <c r="C15313" s="5" t="str">
        <f>IFERROR(__xludf.DUMMYFUNCTION("GOOGLETRANSLATE(B15313,""en"",""zh-CN"")"),"他们继续打乒乓球几回合。")</f>
        <v>他们继续打乒乓球几回合。</v>
      </c>
    </row>
    <row r="15314">
      <c r="A15314" s="4" t="s">
        <v>19285</v>
      </c>
      <c r="B15314" s="4" t="s">
        <v>19292</v>
      </c>
      <c r="C15314" s="5" t="str">
        <f>IFERROR(__xludf.DUMMYFUNCTION("GOOGLETRANSLATE(B15314,""en"",""zh-CN"")"),"蓝色的人击中了球。")</f>
        <v>蓝色的人击中了球。</v>
      </c>
    </row>
    <row r="15315">
      <c r="A15315" s="4" t="s">
        <v>19285</v>
      </c>
      <c r="B15315" s="4" t="s">
        <v>19293</v>
      </c>
      <c r="C15315" s="5" t="str">
        <f>IFERROR(__xludf.DUMMYFUNCTION("GOOGLETRANSLATE(B15315,""en"",""zh-CN"")"),"他们继续打更多的比赛，直到蓝色的人将球丢在地面上。")</f>
        <v>他们继续打更多的比赛，直到蓝色的人将球丢在地面上。</v>
      </c>
    </row>
    <row r="15316">
      <c r="A15316" s="4" t="s">
        <v>19294</v>
      </c>
      <c r="B15316" s="4" t="s">
        <v>19295</v>
      </c>
      <c r="C15316" s="5" t="str">
        <f>IFERROR(__xludf.DUMMYFUNCTION("GOOGLETRANSLATE(B15316,""en"",""zh-CN"")"),"一个人使用树篱修剪器修剪粉红色树篱的顶部。")</f>
        <v>一个人使用树篱修剪器修剪粉红色树篱的顶部。</v>
      </c>
    </row>
    <row r="15317">
      <c r="A15317" s="4" t="s">
        <v>19294</v>
      </c>
      <c r="B15317" s="4" t="s">
        <v>19296</v>
      </c>
      <c r="C15317" s="5" t="str">
        <f>IFERROR(__xludf.DUMMYFUNCTION("GOOGLETRANSLATE(B15317,""en"",""zh-CN"")"),"然后，那个男人在房子的前面修剪了粉红色树篱的侧面。")</f>
        <v>然后，那个男人在房子的前面修剪了粉红色树篱的侧面。</v>
      </c>
    </row>
    <row r="15318">
      <c r="A15318" s="4" t="s">
        <v>19297</v>
      </c>
      <c r="B15318" s="4" t="s">
        <v>19298</v>
      </c>
      <c r="C15318" s="5" t="str">
        <f>IFERROR(__xludf.DUMMYFUNCTION("GOOGLETRANSLATE(B15318,""en"",""zh-CN"")"),"一个女孩和一匹马显示的各种照片，并导致一个骑马跳过的人。")</f>
        <v>一个女孩和一匹马显示的各种照片，并导致一个骑马跳过的人。</v>
      </c>
    </row>
    <row r="15319">
      <c r="A15319" s="4" t="s">
        <v>19297</v>
      </c>
      <c r="B15319" s="6" t="s">
        <v>19299</v>
      </c>
      <c r="C15319" s="5" t="str">
        <f>IFERROR(__xludf.DUMMYFUNCTION("GOOGLETRANSLATE(B15319,""en"",""zh-CN"")"),"向马和人一起显示了更多图片，然后是骑马的女孩的更多剪辑。")</f>
        <v>向马和人一起显示了更多图片，然后是骑马的女孩的更多剪辑。</v>
      </c>
    </row>
    <row r="15320">
      <c r="A15320" s="4" t="s">
        <v>19297</v>
      </c>
      <c r="B15320" s="4" t="s">
        <v>19300</v>
      </c>
      <c r="C15320" s="5" t="str">
        <f>IFERROR(__xludf.DUMMYFUNCTION("GOOGLETRANSLATE(B15320,""en"",""zh-CN"")"),"最后，看到这匹马被绑在马s上，女孩在他周围徘徊。")</f>
        <v>最后，看到这匹马被绑在马s上，女孩在他周围徘徊。</v>
      </c>
    </row>
    <row r="15321">
      <c r="A15321" s="4" t="s">
        <v>19301</v>
      </c>
      <c r="B15321" s="4" t="s">
        <v>19302</v>
      </c>
      <c r="C15321" s="5" t="str">
        <f>IFERROR(__xludf.DUMMYFUNCTION("GOOGLETRANSLATE(B15321,""en"",""zh-CN"")"),"纹身艺术家开始做他的工作时，一个年轻女子坐在红色休息室椅子上。")</f>
        <v>纹身艺术家开始做他的工作时，一个年轻女子坐在红色休息室椅子上。</v>
      </c>
    </row>
    <row r="15322">
      <c r="A15322" s="4" t="s">
        <v>19301</v>
      </c>
      <c r="B15322" s="4" t="s">
        <v>19303</v>
      </c>
      <c r="C15322" s="5" t="str">
        <f>IFERROR(__xludf.DUMMYFUNCTION("GOOGLETRANSLATE(B15322,""en"",""zh-CN"")"),"当他用针刺时，女孩在她的脸上皱着眉头，但尽可能保持。")</f>
        <v>当他用针刺时，女孩在她的脸上皱着眉头，但尽可能保持。</v>
      </c>
    </row>
    <row r="15323">
      <c r="A15323" s="4" t="s">
        <v>19301</v>
      </c>
      <c r="B15323" s="4" t="s">
        <v>19304</v>
      </c>
      <c r="C15323" s="5" t="str">
        <f>IFERROR(__xludf.DUMMYFUNCTION("GOOGLETRANSLATE(B15323,""en"",""zh-CN"")"),"纹身终于完成了，男人在她的脚上擦了其余的纹身。")</f>
        <v>纹身终于完成了，男人在她的脚上擦了其余的纹身。</v>
      </c>
    </row>
    <row r="15324">
      <c r="A15324" s="4" t="s">
        <v>19305</v>
      </c>
      <c r="B15324" s="4" t="s">
        <v>19306</v>
      </c>
      <c r="C15324" s="5" t="str">
        <f>IFERROR(__xludf.DUMMYFUNCTION("GOOGLETRANSLATE(B15324,""en"",""zh-CN"")"),"一个男人走进一个田野上的圈子。")</f>
        <v>一个男人走进一个田野上的圈子。</v>
      </c>
    </row>
    <row r="15325">
      <c r="A15325" s="4" t="s">
        <v>19305</v>
      </c>
      <c r="B15325" s="4" t="s">
        <v>19307</v>
      </c>
      <c r="C15325" s="5" t="str">
        <f>IFERROR(__xludf.DUMMYFUNCTION("GOOGLETRANSLATE(B15325,""en"",""zh-CN"")"),"他拿着光盘时旋转。")</f>
        <v>他拿着光盘时旋转。</v>
      </c>
    </row>
    <row r="15326">
      <c r="A15326" s="4" t="s">
        <v>19305</v>
      </c>
      <c r="B15326" s="4" t="s">
        <v>19308</v>
      </c>
      <c r="C15326" s="5" t="str">
        <f>IFERROR(__xludf.DUMMYFUNCTION("GOOGLETRANSLATE(B15326,""en"",""zh-CN"")"),"他放开光盘，让它在空中飞行。")</f>
        <v>他放开光盘，让它在空中飞行。</v>
      </c>
    </row>
    <row r="15327">
      <c r="A15327" s="4" t="s">
        <v>19309</v>
      </c>
      <c r="B15327" s="4" t="s">
        <v>19310</v>
      </c>
      <c r="C15327" s="5" t="str">
        <f>IFERROR(__xludf.DUMMYFUNCTION("GOOGLETRANSLATE(B15327,""en"",""zh-CN"")"),"一个男人坐在椅子上。")</f>
        <v>一个男人坐在椅子上。</v>
      </c>
    </row>
    <row r="15328">
      <c r="A15328" s="4" t="s">
        <v>19309</v>
      </c>
      <c r="B15328" s="4" t="s">
        <v>19311</v>
      </c>
      <c r="C15328" s="5" t="str">
        <f>IFERROR(__xludf.DUMMYFUNCTION("GOOGLETRANSLATE(B15328,""en"",""zh-CN"")"),"他的脸上戴着面具。")</f>
        <v>他的脸上戴着面具。</v>
      </c>
    </row>
    <row r="15329">
      <c r="A15329" s="4" t="s">
        <v>19309</v>
      </c>
      <c r="B15329" s="4" t="s">
        <v>19312</v>
      </c>
      <c r="C15329" s="5" t="str">
        <f>IFERROR(__xludf.DUMMYFUNCTION("GOOGLETRANSLATE(B15329,""en"",""zh-CN"")"),"他在他面前焊接一些东西。")</f>
        <v>他在他面前焊接一些东西。</v>
      </c>
    </row>
    <row r="15330">
      <c r="A15330" s="4" t="s">
        <v>19313</v>
      </c>
      <c r="B15330" s="4" t="s">
        <v>19314</v>
      </c>
      <c r="C15330" s="5" t="str">
        <f>IFERROR(__xludf.DUMMYFUNCTION("GOOGLETRANSLATE(B15330,""en"",""zh-CN"")"),"看到一个小男孩坐在椅子上，看着别人走过。")</f>
        <v>看到一个小男孩坐在椅子上，看着别人走过。</v>
      </c>
    </row>
    <row r="15331">
      <c r="A15331" s="4" t="s">
        <v>19313</v>
      </c>
      <c r="B15331" s="4" t="s">
        <v>19315</v>
      </c>
      <c r="C15331" s="5" t="str">
        <f>IFERROR(__xludf.DUMMYFUNCTION("GOOGLETRANSLATE(B15331,""en"",""zh-CN"")"),"然后，男人喝了一口饮料，做出有趣的脸。")</f>
        <v>然后，男人喝了一口饮料，做出有趣的脸。</v>
      </c>
    </row>
    <row r="15332">
      <c r="A15332" s="4" t="s">
        <v>19316</v>
      </c>
      <c r="B15332" s="6" t="s">
        <v>19317</v>
      </c>
      <c r="C15332" s="5" t="str">
        <f>IFERROR(__xludf.DUMMYFUNCTION("GOOGLETRANSLATE(B15332,""en"",""zh-CN"")"),"看到一大批人在雪地里行走，其中几个人在镜头上接受采访。")</f>
        <v>看到一大批人在雪地里行走，其中几个人在镜头上接受采访。</v>
      </c>
    </row>
    <row r="15333">
      <c r="A15333" s="4" t="s">
        <v>19316</v>
      </c>
      <c r="B15333" s="4" t="s">
        <v>19318</v>
      </c>
      <c r="C15333" s="5" t="str">
        <f>IFERROR(__xludf.DUMMYFUNCTION("GOOGLETRANSLATE(B15333,""en"",""zh-CN"")"),"在商店里，他们看到他们在锐化滑雪板上，彼此大笑。")</f>
        <v>在商店里，他们看到他们在锐化滑雪板上，彼此大笑。</v>
      </c>
    </row>
    <row r="15334">
      <c r="A15334" s="4" t="s">
        <v>19319</v>
      </c>
      <c r="B15334" s="6" t="s">
        <v>19320</v>
      </c>
      <c r="C15334" s="5" t="str">
        <f>IFERROR(__xludf.DUMMYFUNCTION("GOOGLETRANSLATE(B15334,""en"",""zh-CN"")"),"看到一小群人与一个妇女站在一起，拿着迹象并引导到拔拔战的人。")</f>
        <v>看到一小群人与一个妇女站在一起，拿着迹象并引导到拔拔战的人。</v>
      </c>
    </row>
    <row r="15335">
      <c r="A15335" s="4" t="s">
        <v>19319</v>
      </c>
      <c r="B15335" s="4" t="s">
        <v>19321</v>
      </c>
      <c r="C15335" s="5" t="str">
        <f>IFERROR(__xludf.DUMMYFUNCTION("GOOGLETRANSLATE(B15335,""en"",""zh-CN"")"),"展示了几次游戏的镜头，以及一个女孩跳舞和孩子们的热身。")</f>
        <v>展示了几次游戏的镜头，以及一个女孩跳舞和孩子们的热身。</v>
      </c>
    </row>
    <row r="15336">
      <c r="A15336" s="4" t="s">
        <v>19319</v>
      </c>
      <c r="B15336" s="4" t="s">
        <v>19322</v>
      </c>
      <c r="C15336" s="5" t="str">
        <f>IFERROR(__xludf.DUMMYFUNCTION("GOOGLETRANSLATE(B15336,""en"",""zh-CN"")"),"慢动作，孩子们玩更多的战争拖船，一个人的脸也可以看到一个人的脸。")</f>
        <v>慢动作，孩子们玩更多的战争拖船，一个人的脸也可以看到一个人的脸。</v>
      </c>
    </row>
    <row r="15337">
      <c r="A15337" s="4" t="s">
        <v>19323</v>
      </c>
      <c r="B15337" s="4" t="s">
        <v>19324</v>
      </c>
      <c r="C15337" s="5" t="str">
        <f>IFERROR(__xludf.DUMMYFUNCTION("GOOGLETRANSLATE(B15337,""en"",""zh-CN"")"),"一个女人坐在外面的白色椅子上在手风琴上踢球。")</f>
        <v>一个女人坐在外面的白色椅子上在手风琴上踢球。</v>
      </c>
    </row>
    <row r="15338">
      <c r="A15338" s="4" t="s">
        <v>19323</v>
      </c>
      <c r="B15338" s="4" t="s">
        <v>19325</v>
      </c>
      <c r="C15338" s="5" t="str">
        <f>IFERROR(__xludf.DUMMYFUNCTION("GOOGLETRANSLATE(B15338,""en"",""zh-CN"")"),"她面前有一个音乐架。")</f>
        <v>她面前有一个音乐架。</v>
      </c>
    </row>
    <row r="15339">
      <c r="A15339" s="4" t="s">
        <v>19326</v>
      </c>
      <c r="B15339" s="4" t="s">
        <v>19327</v>
      </c>
      <c r="C15339" s="5" t="str">
        <f>IFERROR(__xludf.DUMMYFUNCTION("GOOGLETRANSLATE(B15339,""en"",""zh-CN"")"),"我们看到一个男人穿上装备，然后曲棍球运动员走到溜冰场。")</f>
        <v>我们看到一个男人穿上装备，然后曲棍球运动员走到溜冰场。</v>
      </c>
    </row>
    <row r="15340">
      <c r="A15340" s="4" t="s">
        <v>19326</v>
      </c>
      <c r="B15340" s="4" t="s">
        <v>19328</v>
      </c>
      <c r="C15340" s="5" t="str">
        <f>IFERROR(__xludf.DUMMYFUNCTION("GOOGLETRANSLATE(B15340,""en"",""zh-CN"")"),"我们看到人群鼓掌。")</f>
        <v>我们看到人群鼓掌。</v>
      </c>
    </row>
    <row r="15341">
      <c r="A15341" s="4" t="s">
        <v>19326</v>
      </c>
      <c r="B15341" s="4" t="s">
        <v>19329</v>
      </c>
      <c r="C15341" s="5" t="str">
        <f>IFERROR(__xludf.DUMMYFUNCTION("GOOGLETRANSLATE(B15341,""en"",""zh-CN"")"),"我们看到正在玩曲棍球游戏。")</f>
        <v>我们看到正在玩曲棍球游戏。</v>
      </c>
    </row>
    <row r="15342">
      <c r="A15342" s="4" t="s">
        <v>19326</v>
      </c>
      <c r="B15342" s="4" t="s">
        <v>19330</v>
      </c>
      <c r="C15342" s="5" t="str">
        <f>IFERROR(__xludf.DUMMYFUNCTION("GOOGLETRANSLATE(B15342,""en"",""zh-CN"")"),"我们看到人们在人群中鼓掌。")</f>
        <v>我们看到人们在人群中鼓掌。</v>
      </c>
    </row>
    <row r="15343">
      <c r="A15343" s="4" t="s">
        <v>19326</v>
      </c>
      <c r="B15343" s="4" t="s">
        <v>19331</v>
      </c>
      <c r="C15343" s="5" t="str">
        <f>IFERROR(__xludf.DUMMYFUNCTION("GOOGLETRANSLATE(B15343,""en"",""zh-CN"")"),"一个男人的手握住，看到整个团队在冰上。")</f>
        <v>一个男人的手握住，看到整个团队在冰上。</v>
      </c>
    </row>
    <row r="15344">
      <c r="A15344" s="4" t="s">
        <v>19332</v>
      </c>
      <c r="B15344" s="4" t="s">
        <v>19333</v>
      </c>
      <c r="C15344" s="5" t="str">
        <f>IFERROR(__xludf.DUMMYFUNCTION("GOOGLETRANSLATE(B15344,""en"",""zh-CN"")"),"看到一个男人解决一个鲁巴克斯数据集是他旁边的另一个人看着。")</f>
        <v>看到一个男人解决一个鲁巴克斯数据集是他旁边的另一个人看着。</v>
      </c>
    </row>
    <row r="15345">
      <c r="A15345" s="4" t="s">
        <v>19332</v>
      </c>
      <c r="B15345" s="4" t="s">
        <v>19334</v>
      </c>
      <c r="C15345" s="5" t="str">
        <f>IFERROR(__xludf.DUMMYFUNCTION("GOOGLETRANSLATE(B15345,""en"",""zh-CN"")"),"他解决了难题，将其放在桌子上，然后对相机微笑。")</f>
        <v>他解决了难题，将其放在桌子上，然后对相机微笑。</v>
      </c>
    </row>
    <row r="15346">
      <c r="A15346" s="4" t="s">
        <v>19335</v>
      </c>
      <c r="B15346" s="6" t="s">
        <v>19336</v>
      </c>
      <c r="C15346" s="5" t="str">
        <f>IFERROR(__xludf.DUMMYFUNCTION("GOOGLETRANSLATE(B15346,""en"",""zh-CN"")"),"射箭比赛的蒙太奇视频显示，在田野，酒店会议厅，室内竞技场和仓库中进行了挑战。")</f>
        <v>射箭比赛的蒙太奇视频显示，在田野，酒店会议厅，室内竞技场和仓库中进行了挑战。</v>
      </c>
    </row>
    <row r="15347">
      <c r="A15347" s="4" t="s">
        <v>19335</v>
      </c>
      <c r="B15347" s="4" t="s">
        <v>19337</v>
      </c>
      <c r="C15347" s="5" t="str">
        <f>IFERROR(__xludf.DUMMYFUNCTION("GOOGLETRANSLATE(B15347,""en"",""zh-CN"")"),"出现射箭标签的徽标，并为另一个视频和订阅而进行广告播放。")</f>
        <v>出现射箭标签的徽标，并为另一个视频和订阅而进行广告播放。</v>
      </c>
    </row>
    <row r="15348">
      <c r="A15348" s="4" t="s">
        <v>19338</v>
      </c>
      <c r="B15348" s="4" t="s">
        <v>19339</v>
      </c>
      <c r="C15348" s="5" t="str">
        <f>IFERROR(__xludf.DUMMYFUNCTION("GOOGLETRANSLATE(B15348,""en"",""zh-CN"")"),"显示了一个水槽的特写，后面是一个人打开水龙头并抓住相机。")</f>
        <v>显示了一个水槽的特写，后面是一个人打开水龙头并抓住相机。</v>
      </c>
    </row>
    <row r="15349">
      <c r="A15349" s="4" t="s">
        <v>19338</v>
      </c>
      <c r="B15349" s="4" t="s">
        <v>19340</v>
      </c>
      <c r="C15349" s="5" t="str">
        <f>IFERROR(__xludf.DUMMYFUNCTION("GOOGLETRANSLATE(B15349,""en"",""zh-CN"")"),"她面对一张桌子，喷出抹布，然后将抹布推到地板上。")</f>
        <v>她面对一张桌子，喷出抹布，然后将抹布推到地板上。</v>
      </c>
    </row>
    <row r="15350">
      <c r="A15350" s="4" t="s">
        <v>19338</v>
      </c>
      <c r="B15350" s="4" t="s">
        <v>19341</v>
      </c>
      <c r="C15350" s="5" t="str">
        <f>IFERROR(__xludf.DUMMYFUNCTION("GOOGLETRANSLATE(B15350,""en"",""zh-CN"")"),"女人继续清理地板，然后回到相机。")</f>
        <v>女人继续清理地板，然后回到相机。</v>
      </c>
    </row>
    <row r="15351">
      <c r="A15351" s="4" t="s">
        <v>19342</v>
      </c>
      <c r="B15351" s="4" t="s">
        <v>19343</v>
      </c>
      <c r="C15351" s="5" t="str">
        <f>IFERROR(__xludf.DUMMYFUNCTION("GOOGLETRANSLATE(B15351,""en"",""zh-CN"")"),"有两个小女孩站在室内法庭上学习壁球。")</f>
        <v>有两个小女孩站在室内法庭上学习壁球。</v>
      </c>
    </row>
    <row r="15352">
      <c r="A15352" s="4" t="s">
        <v>19342</v>
      </c>
      <c r="B15352" s="4" t="s">
        <v>19344</v>
      </c>
      <c r="C15352" s="5" t="str">
        <f>IFERROR(__xludf.DUMMYFUNCTION("GOOGLETRANSLATE(B15352,""en"",""zh-CN"")"),"他们正与球拍站在一起，试图将球撞到墙上。")</f>
        <v>他们正与球拍站在一起，试图将球撞到墙上。</v>
      </c>
    </row>
    <row r="15353">
      <c r="A15353" s="4" t="s">
        <v>19342</v>
      </c>
      <c r="B15353" s="4" t="s">
        <v>19345</v>
      </c>
      <c r="C15353" s="5" t="str">
        <f>IFERROR(__xludf.DUMMYFUNCTION("GOOGLETRANSLATE(B15353,""en"",""zh-CN"")"),"他们试图击球，但最终将其刷在地板上。")</f>
        <v>他们试图击球，但最终将其刷在地板上。</v>
      </c>
    </row>
    <row r="15354">
      <c r="A15354" s="4" t="s">
        <v>19342</v>
      </c>
      <c r="B15354" s="4" t="s">
        <v>19346</v>
      </c>
      <c r="C15354" s="5" t="str">
        <f>IFERROR(__xludf.DUMMYFUNCTION("GOOGLETRANSLATE(B15354,""en"",""zh-CN"")"),"他们在球场上跑来跑去，试图用球拍接球。")</f>
        <v>他们在球场上跑来跑去，试图用球拍接球。</v>
      </c>
    </row>
    <row r="15355">
      <c r="A15355" s="4" t="s">
        <v>19342</v>
      </c>
      <c r="B15355" s="4" t="s">
        <v>19347</v>
      </c>
      <c r="C15355" s="5" t="str">
        <f>IFERROR(__xludf.DUMMYFUNCTION("GOOGLETRANSLATE(B15355,""en"",""zh-CN"")"),"他们用超大的球拍跑来跑去微笑，并跑到球场周围。")</f>
        <v>他们用超大的球拍跑来跑去微笑，并跑到球场周围。</v>
      </c>
    </row>
    <row r="15356">
      <c r="A15356" s="4" t="s">
        <v>19348</v>
      </c>
      <c r="B15356" s="4" t="s">
        <v>19349</v>
      </c>
      <c r="C15356" s="5" t="str">
        <f>IFERROR(__xludf.DUMMYFUNCTION("GOOGLETRANSLATE(B15356,""en"",""zh-CN"")"),"四个年轻女人和一个男人在舞台上，而一个女孩正在弹吉他。")</f>
        <v>四个年轻女人和一个男人在舞台上，而一个女孩正在弹吉他。</v>
      </c>
    </row>
    <row r="15357">
      <c r="A15357" s="4" t="s">
        <v>19348</v>
      </c>
      <c r="B15357" s="4" t="s">
        <v>19350</v>
      </c>
      <c r="C15357" s="5" t="str">
        <f>IFERROR(__xludf.DUMMYFUNCTION("GOOGLETRANSLATE(B15357,""en"",""zh-CN"")"),"黄色的女士开始唱歌，然后是穿着粉红色衬衫的女士。")</f>
        <v>黄色的女士开始唱歌，然后是穿着粉红色衬衫的女士。</v>
      </c>
    </row>
    <row r="15358">
      <c r="A15358" s="4" t="s">
        <v>19348</v>
      </c>
      <c r="B15358" s="4" t="s">
        <v>19351</v>
      </c>
      <c r="C15358" s="5" t="str">
        <f>IFERROR(__xludf.DUMMYFUNCTION("GOOGLETRANSLATE(B15358,""en"",""zh-CN"")"),"当女孩们唱歌时，人群欢呼雀跃。")</f>
        <v>当女孩们唱歌时，人群欢呼雀跃。</v>
      </c>
    </row>
    <row r="15359">
      <c r="A15359" s="4" t="s">
        <v>19352</v>
      </c>
      <c r="B15359" s="4" t="s">
        <v>19353</v>
      </c>
      <c r="C15359" s="5" t="str">
        <f>IFERROR(__xludf.DUMMYFUNCTION("GOOGLETRANSLATE(B15359,""en"",""zh-CN"")"),"我们看到一个人反向倒在水中。")</f>
        <v>我们看到一个人反向倒在水中。</v>
      </c>
    </row>
    <row r="15360">
      <c r="A15360" s="4" t="s">
        <v>19352</v>
      </c>
      <c r="B15360" s="4" t="s">
        <v>19354</v>
      </c>
      <c r="C15360" s="5" t="str">
        <f>IFERROR(__xludf.DUMMYFUNCTION("GOOGLETRANSLATE(B15360,""en"",""zh-CN"")"),"我们看着人们在松弛的线上走过一条水。")</f>
        <v>我们看着人们在松弛的线上走过一条水。</v>
      </c>
    </row>
    <row r="15361">
      <c r="A15361" s="4" t="s">
        <v>19352</v>
      </c>
      <c r="B15361" s="4" t="s">
        <v>19355</v>
      </c>
      <c r="C15361" s="5" t="str">
        <f>IFERROR(__xludf.DUMMYFUNCTION("GOOGLETRANSLATE(B15361,""en"",""zh-CN"")"),"我们看到一系列瀑布。")</f>
        <v>我们看到一系列瀑布。</v>
      </c>
    </row>
    <row r="15362">
      <c r="A15362" s="4" t="s">
        <v>19352</v>
      </c>
      <c r="B15362" s="4" t="s">
        <v>19356</v>
      </c>
      <c r="C15362" s="5" t="str">
        <f>IFERROR(__xludf.DUMMYFUNCTION("GOOGLETRANSLATE(B15362,""en"",""zh-CN"")"),"一个男人穿越。")</f>
        <v>一个男人穿越。</v>
      </c>
    </row>
    <row r="15363">
      <c r="A15363" s="4" t="s">
        <v>19352</v>
      </c>
      <c r="B15363" s="4" t="s">
        <v>19357</v>
      </c>
      <c r="C15363" s="5" t="str">
        <f>IFERROR(__xludf.DUMMYFUNCTION("GOOGLETRANSLATE(B15363,""en"",""zh-CN"")"),"我们看到一个人爬树并得到椰子。")</f>
        <v>我们看到一个人爬树并得到椰子。</v>
      </c>
    </row>
    <row r="15364">
      <c r="A15364" s="4" t="s">
        <v>19352</v>
      </c>
      <c r="B15364" s="4" t="s">
        <v>19358</v>
      </c>
      <c r="C15364" s="5" t="str">
        <f>IFERROR(__xludf.DUMMYFUNCTION("GOOGLETRANSLATE(B15364,""en"",""zh-CN"")"),"锅在椰子上放一根水龙头，将其倒在地上时将其倒在嘴里。")</f>
        <v>锅在椰子上放一根水龙头，将其倒在地上时将其倒在嘴里。</v>
      </c>
    </row>
    <row r="15365">
      <c r="A15365" s="4" t="s">
        <v>19352</v>
      </c>
      <c r="B15365" s="4" t="s">
        <v>19359</v>
      </c>
      <c r="C15365" s="5" t="str">
        <f>IFERROR(__xludf.DUMMYFUNCTION("GOOGLETRANSLATE(B15365,""en"",""zh-CN"")"),"这个男人坐起来微笑。")</f>
        <v>这个男人坐起来微笑。</v>
      </c>
    </row>
    <row r="15366">
      <c r="A15366" s="4" t="s">
        <v>19360</v>
      </c>
      <c r="B15366" s="4" t="s">
        <v>19361</v>
      </c>
      <c r="C15366" s="5" t="str">
        <f>IFERROR(__xludf.DUMMYFUNCTION("GOOGLETRANSLATE(B15366,""en"",""zh-CN"")"),"看到靴子的特写和挖洞的人。")</f>
        <v>看到靴子的特写和挖洞的人。</v>
      </c>
    </row>
    <row r="15367">
      <c r="A15367" s="4" t="s">
        <v>19360</v>
      </c>
      <c r="B15367" s="4" t="s">
        <v>19362</v>
      </c>
      <c r="C15367" s="5" t="str">
        <f>IFERROR(__xludf.DUMMYFUNCTION("GOOGLETRANSLATE(B15367,""en"",""zh-CN"")"),"该人放置污垢并切入一个洞，同时还将植物放在里面。")</f>
        <v>该人放置污垢并切入一个洞，同时还将植物放在里面。</v>
      </c>
    </row>
    <row r="15368">
      <c r="A15368" s="4" t="s">
        <v>19360</v>
      </c>
      <c r="B15368" s="4" t="s">
        <v>19363</v>
      </c>
      <c r="C15368" s="5" t="str">
        <f>IFERROR(__xludf.DUMMYFUNCTION("GOOGLETRANSLATE(B15368,""en"",""zh-CN"")"),"该人浇水植物，结束，以铺设更多的污垢。")</f>
        <v>该人浇水植物，结束，以铺设更多的污垢。</v>
      </c>
    </row>
    <row r="15369">
      <c r="A15369" s="4" t="s">
        <v>19364</v>
      </c>
      <c r="B15369" s="4" t="s">
        <v>19365</v>
      </c>
      <c r="C15369" s="5" t="str">
        <f>IFERROR(__xludf.DUMMYFUNCTION("GOOGLETRANSLATE(B15369,""en"",""zh-CN"")"),"一个男孩站在飞镖板向后的柜台上。")</f>
        <v>一个男孩站在飞镖板向后的柜台上。</v>
      </c>
    </row>
    <row r="15370">
      <c r="A15370" s="4" t="s">
        <v>19364</v>
      </c>
      <c r="B15370" s="4" t="s">
        <v>19366</v>
      </c>
      <c r="C15370" s="5" t="str">
        <f>IFERROR(__xludf.DUMMYFUNCTION("GOOGLETRANSLATE(B15370,""en"",""zh-CN"")"),"他的妈妈正站在他旁边，他正准备扔飞镖。")</f>
        <v>他的妈妈正站在他旁边，他正准备扔飞镖。</v>
      </c>
    </row>
    <row r="15371">
      <c r="A15371" s="4" t="s">
        <v>19364</v>
      </c>
      <c r="B15371" s="4" t="s">
        <v>19367</v>
      </c>
      <c r="C15371" s="5" t="str">
        <f>IFERROR(__xludf.DUMMYFUNCTION("GOOGLETRANSLATE(B15371,""en"",""zh-CN"")"),"他扔了它，完全错过了飞镖板。")</f>
        <v>他扔了它，完全错过了飞镖板。</v>
      </c>
    </row>
    <row r="15372">
      <c r="A15372" s="4" t="s">
        <v>19364</v>
      </c>
      <c r="B15372" s="4" t="s">
        <v>19368</v>
      </c>
      <c r="C15372" s="5" t="str">
        <f>IFERROR(__xludf.DUMMYFUNCTION("GOOGLETRANSLATE(B15372,""en"",""zh-CN"")"),"他撞到了墙的顶部，然后伸手去拿它。")</f>
        <v>他撞到了墙的顶部，然后伸手去拿它。</v>
      </c>
    </row>
    <row r="15373">
      <c r="A15373" s="4" t="s">
        <v>19369</v>
      </c>
      <c r="B15373" s="4" t="s">
        <v>19370</v>
      </c>
      <c r="C15373" s="5" t="str">
        <f>IFERROR(__xludf.DUMMYFUNCTION("GOOGLETRANSLATE(B15373,""en"",""zh-CN"")"),"一个男人将木材拆分为在草地上使用斧头，而他的妻子取回碎片。")</f>
        <v>一个男人将木材拆分为在草地上使用斧头，而他的妻子取回碎片。</v>
      </c>
    </row>
    <row r="15374">
      <c r="A15374" s="4" t="s">
        <v>19369</v>
      </c>
      <c r="B15374" s="4" t="s">
        <v>19371</v>
      </c>
      <c r="C15374" s="5" t="str">
        <f>IFERROR(__xludf.DUMMYFUNCTION("GOOGLETRANSLATE(B15374,""en"",""zh-CN"")"),"一个男人自己在院子里分裂。")</f>
        <v>一个男人自己在院子里分裂。</v>
      </c>
    </row>
    <row r="15375">
      <c r="A15375" s="4" t="s">
        <v>19369</v>
      </c>
      <c r="B15375" s="4" t="s">
        <v>19372</v>
      </c>
      <c r="C15375" s="5" t="str">
        <f>IFERROR(__xludf.DUMMYFUNCTION("GOOGLETRANSLATE(B15375,""en"",""zh-CN"")"),"该男子将斧头刀片放入原木中，并刹车。")</f>
        <v>该男子将斧头刀片放入原木中，并刹车。</v>
      </c>
    </row>
    <row r="15376">
      <c r="A15376" s="4" t="s">
        <v>19373</v>
      </c>
      <c r="B15376" s="4" t="s">
        <v>19374</v>
      </c>
      <c r="C15376" s="5" t="str">
        <f>IFERROR(__xludf.DUMMYFUNCTION("GOOGLETRANSLATE(B15376,""en"",""zh-CN"")"),"一个穿着蓝色衬衫的男人正坐在运动机上拿着酒吧。")</f>
        <v>一个穿着蓝色衬衫的男人正坐在运动机上拿着酒吧。</v>
      </c>
    </row>
    <row r="15377">
      <c r="A15377" s="4" t="s">
        <v>19373</v>
      </c>
      <c r="B15377" s="4" t="s">
        <v>19375</v>
      </c>
      <c r="C15377" s="5" t="str">
        <f>IFERROR(__xludf.DUMMYFUNCTION("GOOGLETRANSLATE(B15377,""en"",""zh-CN"")"),"他推开并使用运动机。")</f>
        <v>他推开并使用运动机。</v>
      </c>
    </row>
    <row r="15378">
      <c r="A15378" s="4" t="s">
        <v>19376</v>
      </c>
      <c r="B15378" s="4" t="s">
        <v>19377</v>
      </c>
      <c r="C15378" s="5" t="str">
        <f>IFERROR(__xludf.DUMMYFUNCTION("GOOGLETRANSLATE(B15378,""en"",""zh-CN"")"),"我们看到一个男人在妇女脚下擦地板。")</f>
        <v>我们看到一个男人在妇女脚下擦地板。</v>
      </c>
    </row>
    <row r="15379">
      <c r="A15379" s="4" t="s">
        <v>19376</v>
      </c>
      <c r="B15379" s="4" t="s">
        <v>19378</v>
      </c>
      <c r="C15379" s="5" t="str">
        <f>IFERROR(__xludf.DUMMYFUNCTION("GOOGLETRANSLATE(B15379,""en"",""zh-CN"")"),"中女用脚移动拖把。")</f>
        <v>中女用脚移动拖把。</v>
      </c>
    </row>
    <row r="15380">
      <c r="A15380" s="4" t="s">
        <v>19376</v>
      </c>
      <c r="B15380" s="4" t="s">
        <v>19379</v>
      </c>
      <c r="C15380" s="5" t="str">
        <f>IFERROR(__xludf.DUMMYFUNCTION("GOOGLETRANSLATE(B15380,""en"",""zh-CN"")"),"然后，左女士用脚移动拖把。")</f>
        <v>然后，左女士用脚移动拖把。</v>
      </c>
    </row>
    <row r="15381">
      <c r="A15381" s="4" t="s">
        <v>19376</v>
      </c>
      <c r="B15381" s="4" t="s">
        <v>19380</v>
      </c>
      <c r="C15381" s="5" t="str">
        <f>IFERROR(__xludf.DUMMYFUNCTION("GOOGLETRANSLATE(B15381,""en"",""zh-CN"")"),"中间女士再次做到这一点，然后男人完成了地板。")</f>
        <v>中间女士再次做到这一点，然后男人完成了地板。</v>
      </c>
    </row>
    <row r="15382">
      <c r="A15382" s="4" t="s">
        <v>19381</v>
      </c>
      <c r="B15382" s="4" t="s">
        <v>19382</v>
      </c>
      <c r="C15382" s="5" t="str">
        <f>IFERROR(__xludf.DUMMYFUNCTION("GOOGLETRANSLATE(B15382,""en"",""zh-CN"")"),"一个人在地面上爬行。")</f>
        <v>一个人在地面上爬行。</v>
      </c>
    </row>
    <row r="15383">
      <c r="A15383" s="4" t="s">
        <v>19381</v>
      </c>
      <c r="B15383" s="4" t="s">
        <v>19383</v>
      </c>
      <c r="C15383" s="5" t="str">
        <f>IFERROR(__xludf.DUMMYFUNCTION("GOOGLETRANSLATE(B15383,""en"",""zh-CN"")"),"这个家伙正在用盒刀剪下地毯。")</f>
        <v>这个家伙正在用盒刀剪下地毯。</v>
      </c>
    </row>
    <row r="15384">
      <c r="A15384" s="4" t="s">
        <v>19381</v>
      </c>
      <c r="B15384" s="4" t="s">
        <v>19384</v>
      </c>
      <c r="C15384" s="5" t="str">
        <f>IFERROR(__xludf.DUMMYFUNCTION("GOOGLETRANSLATE(B15384,""en"",""zh-CN"")"),"那家伙看着他。")</f>
        <v>那家伙看着他。</v>
      </c>
    </row>
    <row r="15385">
      <c r="A15385" s="4" t="s">
        <v>19381</v>
      </c>
      <c r="B15385" s="4" t="s">
        <v>19385</v>
      </c>
      <c r="C15385" s="5" t="str">
        <f>IFERROR(__xludf.DUMMYFUNCTION("GOOGLETRANSLATE(B15385,""en"",""zh-CN"")"),"墙上有很多论文。")</f>
        <v>墙上有很多论文。</v>
      </c>
    </row>
    <row r="15386">
      <c r="A15386" s="4" t="s">
        <v>19386</v>
      </c>
      <c r="B15386" s="4" t="s">
        <v>19387</v>
      </c>
      <c r="C15386" s="5" t="str">
        <f>IFERROR(__xludf.DUMMYFUNCTION("GOOGLETRANSLATE(B15386,""en"",""zh-CN"")"),"一群男人在骆驼上骑行时，一群男人带领骆驼。")</f>
        <v>一群男人在骆驼上骑行时，一群男人带领骆驼。</v>
      </c>
    </row>
    <row r="15387">
      <c r="A15387" s="4" t="s">
        <v>19386</v>
      </c>
      <c r="B15387" s="6" t="s">
        <v>19388</v>
      </c>
      <c r="C15387" s="5" t="str">
        <f>IFERROR(__xludf.DUMMYFUNCTION("GOOGLETRANSLATE(B15387,""en"",""zh-CN"")"),"一个人带着上面的人带领相机，并从侧面记录他们。")</f>
        <v>一个人带着上面的人带领相机，并从侧面记录他们。</v>
      </c>
    </row>
    <row r="15388">
      <c r="A15388" s="4" t="s">
        <v>19386</v>
      </c>
      <c r="B15388" s="6" t="s">
        <v>19389</v>
      </c>
      <c r="C15388" s="5" t="str">
        <f>IFERROR(__xludf.DUMMYFUNCTION("GOOGLETRANSLATE(B15388,""en"",""zh-CN"")"),"该男子将骆驼放下，供该人爬下来，骑手微笑着向相机挥手。")</f>
        <v>该男子将骆驼放下，供该人爬下来，骑手微笑着向相机挥手。</v>
      </c>
    </row>
    <row r="15389">
      <c r="A15389" s="4" t="s">
        <v>19390</v>
      </c>
      <c r="B15389" s="4" t="s">
        <v>19391</v>
      </c>
      <c r="C15389" s="5" t="str">
        <f>IFERROR(__xludf.DUMMYFUNCTION("GOOGLETRANSLATE(B15389,""en"",""zh-CN"")"),"一个男人以慢动作的方式沿着田野的一条路线奔跑，准备投掷标枪。")</f>
        <v>一个男人以慢动作的方式沿着田野的一条路线奔跑，准备投掷标枪。</v>
      </c>
    </row>
    <row r="15390">
      <c r="A15390" s="4" t="s">
        <v>19390</v>
      </c>
      <c r="B15390" s="4" t="s">
        <v>19392</v>
      </c>
      <c r="C15390" s="5" t="str">
        <f>IFERROR(__xludf.DUMMYFUNCTION("GOOGLETRANSLATE(B15390,""en"",""zh-CN"")"),"当他越来越近时，他开始转身侧向奔跑，扔标枪。")</f>
        <v>当他越来越近时，他开始转身侧向奔跑，扔标枪。</v>
      </c>
    </row>
    <row r="15391">
      <c r="A15391" s="4" t="s">
        <v>19390</v>
      </c>
      <c r="B15391" s="6" t="s">
        <v>19393</v>
      </c>
      <c r="C15391" s="5" t="str">
        <f>IFERROR(__xludf.DUMMYFUNCTION("GOOGLETRANSLATE(B15391,""en"",""zh-CN"")"),"一旦释放，他就会跌跌撞撞，并且很难与他的平衡保持平衡，因为周围的其他人看着他的距离。")</f>
        <v>一旦释放，他就会跌跌撞撞，并且很难与他的平衡保持平衡，因为周围的其他人看着他的距离。</v>
      </c>
    </row>
    <row r="15392">
      <c r="A15392" s="4" t="s">
        <v>19394</v>
      </c>
      <c r="B15392" s="4" t="s">
        <v>19395</v>
      </c>
      <c r="C15392" s="5" t="str">
        <f>IFERROR(__xludf.DUMMYFUNCTION("GOOGLETRANSLATE(B15392,""en"",""zh-CN"")"),"一名体操运动员在看台上的人群前面的一匹鞍马上表演。")</f>
        <v>一名体操运动员在看台上的人群前面的一匹鞍马上表演。</v>
      </c>
    </row>
    <row r="15393">
      <c r="A15393" s="4" t="s">
        <v>19394</v>
      </c>
      <c r="B15393" s="4" t="s">
        <v>19396</v>
      </c>
      <c r="C15393" s="5" t="str">
        <f>IFERROR(__xludf.DUMMYFUNCTION("GOOGLETRANSLATE(B15393,""en"",""zh-CN"")"),"然后，她向后翻转，降落在泡沫垫上。")</f>
        <v>然后，她向后翻转，降落在泡沫垫上。</v>
      </c>
    </row>
    <row r="15394">
      <c r="A15394" s="4" t="s">
        <v>19397</v>
      </c>
      <c r="B15394" s="4" t="s">
        <v>19398</v>
      </c>
      <c r="C15394" s="5" t="str">
        <f>IFERROR(__xludf.DUMMYFUNCTION("GOOGLETRANSLATE(B15394,""en"",""zh-CN"")"),"看到一个男人射击弓箭，然后是另一个男人鞠躬和瞄准。")</f>
        <v>看到一个男人射击弓箭，然后是另一个男人鞠躬和瞄准。</v>
      </c>
    </row>
    <row r="15395">
      <c r="A15395" s="4" t="s">
        <v>19397</v>
      </c>
      <c r="B15395" s="4" t="s">
        <v>19399</v>
      </c>
      <c r="C15395" s="5" t="str">
        <f>IFERROR(__xludf.DUMMYFUNCTION("GOOGLETRANSLATE(B15395,""en"",""zh-CN"")"),"看到另一个男人在弓箭前跪下，然后与镜头说话。")</f>
        <v>看到另一个男人在弓箭前跪下，然后与镜头说话。</v>
      </c>
    </row>
    <row r="15396">
      <c r="A15396" s="4" t="s">
        <v>19397</v>
      </c>
      <c r="B15396" s="4" t="s">
        <v>19400</v>
      </c>
      <c r="C15396" s="5" t="str">
        <f>IFERROR(__xludf.DUMMYFUNCTION("GOOGLETRANSLATE(B15396,""en"",""zh-CN"")"),"他指着各种盒子，继续看着相机和说话。")</f>
        <v>他指着各种盒子，继续看着相机和说话。</v>
      </c>
    </row>
    <row r="15397">
      <c r="A15397" s="4" t="s">
        <v>19401</v>
      </c>
      <c r="B15397" s="4" t="s">
        <v>19402</v>
      </c>
      <c r="C15397" s="5" t="str">
        <f>IFERROR(__xludf.DUMMYFUNCTION("GOOGLETRANSLATE(B15397,""en"",""zh-CN"")"),"该视频是有关安装甲板瓷砖的教程。")</f>
        <v>该视频是有关安装甲板瓷砖的教程。</v>
      </c>
    </row>
    <row r="15398">
      <c r="A15398" s="4" t="s">
        <v>19401</v>
      </c>
      <c r="B15398" s="4" t="s">
        <v>19403</v>
      </c>
      <c r="C15398" s="5" t="str">
        <f>IFERROR(__xludf.DUMMYFUNCTION("GOOGLETRANSLATE(B15398,""en"",""zh-CN"")"),"有一个承包商在甲板上工作。")</f>
        <v>有一个承包商在甲板上工作。</v>
      </c>
    </row>
    <row r="15399">
      <c r="A15399" s="4" t="s">
        <v>19401</v>
      </c>
      <c r="B15399" s="4" t="s">
        <v>19404</v>
      </c>
      <c r="C15399" s="5" t="str">
        <f>IFERROR(__xludf.DUMMYFUNCTION("GOOGLETRANSLATE(B15399,""en"",""zh-CN"")"),"他开始在混凝土甲板表面安装互锁的木制瓷砖。")</f>
        <v>他开始在混凝土甲板表面安装互锁的木制瓷砖。</v>
      </c>
    </row>
    <row r="15400">
      <c r="A15400" s="4" t="s">
        <v>19401</v>
      </c>
      <c r="B15400" s="4" t="s">
        <v>19405</v>
      </c>
      <c r="C15400" s="5" t="str">
        <f>IFERROR(__xludf.DUMMYFUNCTION("GOOGLETRANSLATE(B15400,""en"",""zh-CN"")"),"他用木制瓷砖覆盖了整个甲板，均匀地覆盖了表面积。")</f>
        <v>他用木制瓷砖覆盖了整个甲板，均匀地覆盖了表面积。</v>
      </c>
    </row>
    <row r="15401">
      <c r="A15401" s="4" t="s">
        <v>19406</v>
      </c>
      <c r="B15401" s="4" t="s">
        <v>19407</v>
      </c>
      <c r="C15401" s="5" t="str">
        <f>IFERROR(__xludf.DUMMYFUNCTION("GOOGLETRANSLATE(B15401,""en"",""zh-CN"")"),"一个年长的男人在游泳池里，他在脸前拿着黄色的球。")</f>
        <v>一个年长的男人在游泳池里，他在脸前拿着黄色的球。</v>
      </c>
    </row>
    <row r="15402">
      <c r="A15402" s="4" t="s">
        <v>19406</v>
      </c>
      <c r="B15402" s="6" t="s">
        <v>19408</v>
      </c>
      <c r="C15402" s="5" t="str">
        <f>IFERROR(__xludf.DUMMYFUNCTION("GOOGLETRANSLATE(B15402,""en"",""zh-CN"")"),"该男子把它扔给了一只在蓝色浮动装置上平衡的狗，然后狗用鼻子将其击回了男人。")</f>
        <v>该男子把它扔给了一只在蓝色浮动装置上平衡的狗，然后狗用鼻子将其击回了男人。</v>
      </c>
    </row>
    <row r="15403">
      <c r="A15403" s="4" t="s">
        <v>19406</v>
      </c>
      <c r="B15403" s="6" t="s">
        <v>19409</v>
      </c>
      <c r="C15403" s="5" t="str">
        <f>IFERROR(__xludf.DUMMYFUNCTION("GOOGLETRANSLATE(B15403,""en"",""zh-CN"")"),"该男子将其扔回到狗身上，狗将其击退，然后从浮动装置上滑下并溅入水中。")</f>
        <v>该男子将其扔回到狗身上，狗将其击退，然后从浮动装置上滑下并溅入水中。</v>
      </c>
    </row>
    <row r="15404">
      <c r="A15404" s="4" t="s">
        <v>19410</v>
      </c>
      <c r="B15404" s="4" t="s">
        <v>19411</v>
      </c>
      <c r="C15404" s="5" t="str">
        <f>IFERROR(__xludf.DUMMYFUNCTION("GOOGLETRANSLATE(B15404,""en"",""zh-CN"")"),"妇女是一个浴缸，用塞姆和水将她的腿伸开。")</f>
        <v>妇女是一个浴缸，用塞姆和水将她的腿伸开。</v>
      </c>
    </row>
    <row r="15405">
      <c r="A15405" s="4" t="s">
        <v>19410</v>
      </c>
      <c r="B15405" s="4" t="s">
        <v>19412</v>
      </c>
      <c r="C15405" s="5" t="str">
        <f>IFERROR(__xludf.DUMMYFUNCTION("GOOGLETRANSLATE(B15405,""en"",""zh-CN"")"),"女人在镜子前笑。")</f>
        <v>女人在镜子前笑。</v>
      </c>
    </row>
    <row r="15406">
      <c r="A15406" s="4" t="s">
        <v>19413</v>
      </c>
      <c r="B15406" s="4" t="s">
        <v>19414</v>
      </c>
      <c r="C15406" s="5" t="str">
        <f>IFERROR(__xludf.DUMMYFUNCTION("GOOGLETRANSLATE(B15406,""en"",""zh-CN"")"),"我们看到狼落在标题屏幕上。")</f>
        <v>我们看到狼落在标题屏幕上。</v>
      </c>
    </row>
    <row r="15407">
      <c r="A15407" s="4" t="s">
        <v>19413</v>
      </c>
      <c r="B15407" s="4" t="s">
        <v>19415</v>
      </c>
      <c r="C15407" s="5" t="str">
        <f>IFERROR(__xludf.DUMMYFUNCTION("GOOGLETRANSLATE(B15407,""en"",""zh-CN"")"),"我们看到一个小镇的景观。")</f>
        <v>我们看到一个小镇的景观。</v>
      </c>
    </row>
    <row r="15408">
      <c r="A15408" s="4" t="s">
        <v>19413</v>
      </c>
      <c r="B15408" s="4" t="s">
        <v>19416</v>
      </c>
      <c r="C15408" s="5" t="str">
        <f>IFERROR(__xludf.DUMMYFUNCTION("GOOGLETRANSLATE(B15408,""en"",""zh-CN"")"),"一个男孩在滑板上骑着街上。")</f>
        <v>一个男孩在滑板上骑着街上。</v>
      </c>
    </row>
    <row r="15409">
      <c r="A15409" s="4" t="s">
        <v>19413</v>
      </c>
      <c r="B15409" s="4" t="s">
        <v>19417</v>
      </c>
      <c r="C15409" s="5" t="str">
        <f>IFERROR(__xludf.DUMMYFUNCTION("GOOGLETRANSLATE(B15409,""en"",""zh-CN"")"),"四个男孩在滑板上骑行。")</f>
        <v>四个男孩在滑板上骑行。</v>
      </c>
    </row>
    <row r="15410">
      <c r="A15410" s="4" t="s">
        <v>19413</v>
      </c>
      <c r="B15410" s="4" t="s">
        <v>19418</v>
      </c>
      <c r="C15410" s="5" t="str">
        <f>IFERROR(__xludf.DUMMYFUNCTION("GOOGLETRANSLATE(B15410,""en"",""zh-CN"")"),"我们看到一个男孩几乎跌倒了两次。")</f>
        <v>我们看到一个男孩几乎跌倒了两次。</v>
      </c>
    </row>
    <row r="15411">
      <c r="A15411" s="4" t="s">
        <v>19413</v>
      </c>
      <c r="B15411" s="4" t="s">
        <v>19419</v>
      </c>
      <c r="C15411" s="5" t="str">
        <f>IFERROR(__xludf.DUMMYFUNCTION("GOOGLETRANSLATE(B15411,""en"",""zh-CN"")"),"我们在路边看到董事会。")</f>
        <v>我们在路边看到董事会。</v>
      </c>
    </row>
    <row r="15412">
      <c r="A15412" s="4" t="s">
        <v>19413</v>
      </c>
      <c r="B15412" s="4" t="s">
        <v>19420</v>
      </c>
      <c r="C15412" s="5" t="str">
        <f>IFERROR(__xludf.DUMMYFUNCTION("GOOGLETRANSLATE(B15412,""en"",""zh-CN"")"),"一群男孩在山上走去。")</f>
        <v>一群男孩在山上走去。</v>
      </c>
    </row>
    <row r="15413">
      <c r="A15413" s="4" t="s">
        <v>19413</v>
      </c>
      <c r="B15413" s="4" t="s">
        <v>19421</v>
      </c>
      <c r="C15413" s="5" t="str">
        <f>IFERROR(__xludf.DUMMYFUNCTION("GOOGLETRANSLATE(B15413,""en"",""zh-CN"")"),"最终学分发挥了作用，我们看到一个男孩在公共汽车上。")</f>
        <v>最终学分发挥了作用，我们看到一个男孩在公共汽车上。</v>
      </c>
    </row>
    <row r="15414">
      <c r="A15414" s="4" t="s">
        <v>19422</v>
      </c>
      <c r="B15414" s="6" t="s">
        <v>19423</v>
      </c>
      <c r="C15414" s="5" t="str">
        <f>IFERROR(__xludf.DUMMYFUNCTION("GOOGLETRANSLATE(B15414,""en"",""zh-CN"")"),"一个穿着黑色运动衫和黑色短裤的男人以及穿着白色运动服的另一个人站在网附近的网球场上。")</f>
        <v>一个穿着黑色运动衫和黑色短裤的男人以及穿着白色运动服的另一个人站在网附近的网球场上。</v>
      </c>
    </row>
    <row r="15415">
      <c r="A15415" s="4" t="s">
        <v>19422</v>
      </c>
      <c r="B15415" s="4" t="s">
        <v>19424</v>
      </c>
      <c r="C15415" s="5" t="str">
        <f>IFERROR(__xludf.DUMMYFUNCTION("GOOGLETRANSLATE(B15415,""en"",""zh-CN"")"),"他们都拿着网球球拍。")</f>
        <v>他们都拿着网球球拍。</v>
      </c>
    </row>
    <row r="15416">
      <c r="A15416" s="4" t="s">
        <v>19422</v>
      </c>
      <c r="B15416" s="4" t="s">
        <v>19425</v>
      </c>
      <c r="C15416" s="5" t="str">
        <f>IFERROR(__xludf.DUMMYFUNCTION("GOOGLETRANSLATE(B15416,""en"",""zh-CN"")"),"黑色的人正在提供有关如何在网球中退还发球的教程。")</f>
        <v>黑色的人正在提供有关如何在网球中退还发球的教程。</v>
      </c>
    </row>
    <row r="15417">
      <c r="A15417" s="4" t="s">
        <v>19422</v>
      </c>
      <c r="B15417" s="4" t="s">
        <v>19426</v>
      </c>
      <c r="C15417" s="5" t="str">
        <f>IFERROR(__xludf.DUMMYFUNCTION("GOOGLETRANSLATE(B15417,""en"",""zh-CN"")"),"正如教练解释的那样，有一个球员证明了球员。")</f>
        <v>正如教练解释的那样，有一个球员证明了球员。</v>
      </c>
    </row>
    <row r="15418">
      <c r="A15418" s="4" t="s">
        <v>19422</v>
      </c>
      <c r="B15418" s="6" t="s">
        <v>19427</v>
      </c>
      <c r="C15418" s="5" t="str">
        <f>IFERROR(__xludf.DUMMYFUNCTION("GOOGLETRANSLATE(B15418,""en"",""zh-CN"")"),"然后，白人的人开始更多地了解网球发球以及如何有效打球。")</f>
        <v>然后，白人的人开始更多地了解网球发球以及如何有效打球。</v>
      </c>
    </row>
    <row r="15419">
      <c r="A15419" s="4" t="s">
        <v>19422</v>
      </c>
      <c r="B15419" s="4" t="s">
        <v>19428</v>
      </c>
      <c r="C15419" s="5" t="str">
        <f>IFERROR(__xludf.DUMMYFUNCTION("GOOGLETRANSLATE(B15419,""en"",""zh-CN"")"),"玩家继续演示这份。")</f>
        <v>玩家继续演示这份。</v>
      </c>
    </row>
    <row r="15420">
      <c r="A15420" s="4" t="s">
        <v>19429</v>
      </c>
      <c r="B15420" s="4" t="s">
        <v>19430</v>
      </c>
      <c r="C15420" s="5" t="str">
        <f>IFERROR(__xludf.DUMMYFUNCTION("GOOGLETRANSLATE(B15420,""en"",""zh-CN"")"),"人们正在对滚筒刀片进行技巧。")</f>
        <v>人们正在对滚筒刀片进行技巧。</v>
      </c>
    </row>
    <row r="15421">
      <c r="A15421" s="4" t="s">
        <v>19429</v>
      </c>
      <c r="B15421" s="4" t="s">
        <v>19431</v>
      </c>
      <c r="C15421" s="5" t="str">
        <f>IFERROR(__xludf.DUMMYFUNCTION("GOOGLETRANSLATE(B15421,""en"",""zh-CN"")"),"一个男人跳下滚筒上的楼梯。")</f>
        <v>一个男人跳下滚筒上的楼梯。</v>
      </c>
    </row>
    <row r="15422">
      <c r="A15422" s="4" t="s">
        <v>19429</v>
      </c>
      <c r="B15422" s="4" t="s">
        <v>19432</v>
      </c>
      <c r="C15422" s="5" t="str">
        <f>IFERROR(__xludf.DUMMYFUNCTION("GOOGLETRANSLATE(B15422,""en"",""zh-CN"")"),"一个穿着白衬衫的男人跳下楼梯。")</f>
        <v>一个穿着白衬衫的男人跳下楼梯。</v>
      </c>
    </row>
    <row r="15423">
      <c r="A15423" s="4" t="s">
        <v>19433</v>
      </c>
      <c r="B15423" s="4" t="s">
        <v>19434</v>
      </c>
      <c r="C15423" s="5" t="str">
        <f>IFERROR(__xludf.DUMMYFUNCTION("GOOGLETRANSLATE(B15423,""en"",""zh-CN"")"),"三个人被设置为扮演飞镖。")</f>
        <v>三个人被设置为扮演飞镖。</v>
      </c>
    </row>
    <row r="15424">
      <c r="A15424" s="4" t="s">
        <v>19433</v>
      </c>
      <c r="B15424" s="4" t="s">
        <v>19435</v>
      </c>
      <c r="C15424" s="5" t="str">
        <f>IFERROR(__xludf.DUMMYFUNCTION("GOOGLETRANSLATE(B15424,""en"",""zh-CN"")"),"桃衬衫中的那个人在飞镖板上投掷飞镖。")</f>
        <v>桃衬衫中的那个人在飞镖板上投掷飞镖。</v>
      </c>
    </row>
    <row r="15425">
      <c r="A15425" s="4" t="s">
        <v>19433</v>
      </c>
      <c r="B15425" s="4" t="s">
        <v>19436</v>
      </c>
      <c r="C15425" s="5" t="str">
        <f>IFERROR(__xludf.DUMMYFUNCTION("GOOGLETRANSLATE(B15425,""en"",""zh-CN"")"),"一个蓝色的男人击中了一个提示球。")</f>
        <v>一个蓝色的男人击中了一个提示球。</v>
      </c>
    </row>
    <row r="15426">
      <c r="A15426" s="4" t="s">
        <v>19433</v>
      </c>
      <c r="B15426" s="4" t="s">
        <v>19437</v>
      </c>
      <c r="C15426" s="5" t="str">
        <f>IFERROR(__xludf.DUMMYFUNCTION("GOOGLETRANSLATE(B15426,""en"",""zh-CN"")"),"桃子线上的那个人向后抬起，在飞镖板上射出三个飞镖，然后将其取下。")</f>
        <v>桃子线上的那个人向后抬起，在飞镖板上射出三个飞镖，然后将其取下。</v>
      </c>
    </row>
    <row r="15427">
      <c r="A15427" s="4" t="s">
        <v>19433</v>
      </c>
      <c r="B15427" s="4" t="s">
        <v>19438</v>
      </c>
      <c r="C15427" s="5" t="str">
        <f>IFERROR(__xludf.DUMMYFUNCTION("GOOGLETRANSLATE(B15427,""en"",""zh-CN"")"),"他排在板前，再抛出一只飞镖。")</f>
        <v>他排在板前，再抛出一只飞镖。</v>
      </c>
    </row>
    <row r="15428">
      <c r="A15428" s="4" t="s">
        <v>19433</v>
      </c>
      <c r="B15428" s="6" t="s">
        <v>19439</v>
      </c>
      <c r="C15428" s="5" t="str">
        <f>IFERROR(__xludf.DUMMYFUNCTION("GOOGLETRANSLATE(B15428,""en"",""zh-CN"")"),"当两个男人从飞镖板上移走飞镖，然后走了一段距离，越来越多的人聚集在一起。")</f>
        <v>当两个男人从飞镖板上移走飞镖，然后走了一段距离，越来越多的人聚集在一起。</v>
      </c>
    </row>
    <row r="15429">
      <c r="A15429" s="4" t="s">
        <v>19433</v>
      </c>
      <c r="B15429" s="4" t="s">
        <v>19440</v>
      </c>
      <c r="C15429" s="5" t="str">
        <f>IFERROR(__xludf.DUMMYFUNCTION("GOOGLETRANSLATE(B15429,""en"",""zh-CN"")"),"两人都在飞镖板上投掷飞镖。")</f>
        <v>两人都在飞镖板上投掷飞镖。</v>
      </c>
    </row>
    <row r="15430">
      <c r="A15430" s="4" t="s">
        <v>19433</v>
      </c>
      <c r="B15430" s="4" t="s">
        <v>19441</v>
      </c>
      <c r="C15430" s="5" t="str">
        <f>IFERROR(__xludf.DUMMYFUNCTION("GOOGLETRANSLATE(B15430,""en"",""zh-CN"")"),"桃子中的那个人走路去除了飞镖。")</f>
        <v>桃子中的那个人走路去除了飞镖。</v>
      </c>
    </row>
    <row r="15431">
      <c r="A15431" s="4" t="s">
        <v>19433</v>
      </c>
      <c r="B15431" s="4" t="s">
        <v>19442</v>
      </c>
      <c r="C15431" s="5" t="str">
        <f>IFERROR(__xludf.DUMMYFUNCTION("GOOGLETRANSLATE(B15431,""en"",""zh-CN"")"),"一个女人站在飞镖板上，微笑。")</f>
        <v>一个女人站在飞镖板上，微笑。</v>
      </c>
    </row>
    <row r="15432">
      <c r="A15432" s="4" t="s">
        <v>19433</v>
      </c>
      <c r="B15432" s="4" t="s">
        <v>19443</v>
      </c>
      <c r="C15432" s="5" t="str">
        <f>IFERROR(__xludf.DUMMYFUNCTION("GOOGLETRANSLATE(B15432,""en"",""zh-CN"")"),"桃子中的那个人再次向董事会扔了三个飞镖，并在去除它们时微笑着。")</f>
        <v>桃子中的那个人再次向董事会扔了三个飞镖，并在去除它们时微笑着。</v>
      </c>
    </row>
    <row r="15433">
      <c r="A15433" s="4" t="s">
        <v>19444</v>
      </c>
      <c r="B15433" s="4" t="s">
        <v>19445</v>
      </c>
      <c r="C15433" s="5" t="str">
        <f>IFERROR(__xludf.DUMMYFUNCTION("GOOGLETRANSLATE(B15433,""en"",""zh-CN"")"),"我们看到一个小男孩站在丛林健身房的平台上。")</f>
        <v>我们看到一个小男孩站在丛林健身房的平台上。</v>
      </c>
    </row>
    <row r="15434">
      <c r="A15434" s="4" t="s">
        <v>19444</v>
      </c>
      <c r="B15434" s="4" t="s">
        <v>19446</v>
      </c>
      <c r="C15434" s="5" t="str">
        <f>IFERROR(__xludf.DUMMYFUNCTION("GOOGLETRANSLATE(B15434,""en"",""zh-CN"")"),"男孩爬上猴子酒吧。")</f>
        <v>男孩爬上猴子酒吧。</v>
      </c>
    </row>
    <row r="15435">
      <c r="A15435" s="4" t="s">
        <v>19444</v>
      </c>
      <c r="B15435" s="4" t="s">
        <v>19447</v>
      </c>
      <c r="C15435" s="5" t="str">
        <f>IFERROR(__xludf.DUMMYFUNCTION("GOOGLETRANSLATE(B15435,""en"",""zh-CN"")"),"这个男孩到达另一个平台，转向相机的微笑。")</f>
        <v>这个男孩到达另一个平台，转向相机的微笑。</v>
      </c>
    </row>
    <row r="15436">
      <c r="A15436" s="4" t="s">
        <v>19448</v>
      </c>
      <c r="B15436" s="4" t="s">
        <v>19449</v>
      </c>
      <c r="C15436" s="5" t="str">
        <f>IFERROR(__xludf.DUMMYFUNCTION("GOOGLETRANSLATE(B15436,""en"",""zh-CN"")"),"两个男人坐在一个房间里抽烟，一个在键盘上弹吉他。")</f>
        <v>两个男人坐在一个房间里抽烟，一个在键盘上弹吉他。</v>
      </c>
    </row>
    <row r="15437">
      <c r="A15437" s="4" t="s">
        <v>19448</v>
      </c>
      <c r="B15437" s="4" t="s">
        <v>19450</v>
      </c>
      <c r="C15437" s="5" t="str">
        <f>IFERROR(__xludf.DUMMYFUNCTION("GOOGLETRANSLATE(B15437,""en"",""zh-CN"")"),"右边吉他的那个人将香烟从嘴里拿出来，把它放下。")</f>
        <v>右边吉他的那个人将香烟从嘴里拿出来，把它放下。</v>
      </c>
    </row>
    <row r="15438">
      <c r="A15438" s="4" t="s">
        <v>19448</v>
      </c>
      <c r="B15438" s="4" t="s">
        <v>19451</v>
      </c>
      <c r="C15438" s="5" t="str">
        <f>IFERROR(__xludf.DUMMYFUNCTION("GOOGLETRANSLATE(B15438,""en"",""zh-CN"")"),"左边的那个人将香烟拿出来，擦了擦嘴。")</f>
        <v>左边的那个人将香烟拿出来，擦了擦嘴。</v>
      </c>
    </row>
    <row r="15439">
      <c r="A15439" s="4" t="s">
        <v>19448</v>
      </c>
      <c r="B15439" s="6" t="s">
        <v>19452</v>
      </c>
      <c r="C15439" s="5" t="str">
        <f>IFERROR(__xludf.DUMMYFUNCTION("GOOGLETRANSLATE(B15439,""en"",""zh-CN"")"),"他们结束了，左边的那个男人擦了他的嘴，右手将香烟吹出并吹起烟雾。")</f>
        <v>他们结束了，左边的那个男人擦了他的嘴，右手将香烟吹出并吹起烟雾。</v>
      </c>
    </row>
    <row r="15440">
      <c r="A15440" s="4" t="s">
        <v>19453</v>
      </c>
      <c r="B15440" s="4" t="s">
        <v>19454</v>
      </c>
      <c r="C15440" s="5" t="str">
        <f>IFERROR(__xludf.DUMMYFUNCTION("GOOGLETRANSLATE(B15440,""en"",""zh-CN"")"),"看到一个年长的女人和幼儿在水槽里洗碗，彼此交谈。")</f>
        <v>看到一个年长的女人和幼儿在水槽里洗碗，彼此交谈。</v>
      </c>
    </row>
    <row r="15441">
      <c r="A15441" s="4" t="s">
        <v>19453</v>
      </c>
      <c r="B15441" s="4" t="s">
        <v>19455</v>
      </c>
      <c r="C15441" s="5" t="str">
        <f>IFERROR(__xludf.DUMMYFUNCTION("GOOGLETRANSLATE(B15441,""en"",""zh-CN"")"),"人们在水中玩耍，女孩在洗碗时打泡泡。")</f>
        <v>人们在水中玩耍，女孩在洗碗时打泡泡。</v>
      </c>
    </row>
    <row r="15442">
      <c r="A15442" s="4" t="s">
        <v>19456</v>
      </c>
      <c r="B15442" s="4" t="s">
        <v>19457</v>
      </c>
      <c r="C15442" s="5" t="str">
        <f>IFERROR(__xludf.DUMMYFUNCTION("GOOGLETRANSLATE(B15442,""en"",""zh-CN"")"),"五颜六色的六角形风筝在空中飞得很高。")</f>
        <v>五颜六色的六角形风筝在空中飞得很高。</v>
      </c>
    </row>
    <row r="15443">
      <c r="A15443" s="4" t="s">
        <v>19456</v>
      </c>
      <c r="B15443" s="4" t="s">
        <v>19458</v>
      </c>
      <c r="C15443" s="5" t="str">
        <f>IFERROR(__xludf.DUMMYFUNCTION("GOOGLETRANSLATE(B15443,""en"",""zh-CN"")"),"晴朗的蓝天和明亮的阳光照耀着风筝看起来非常丰富多彩和光彩照人。")</f>
        <v>晴朗的蓝天和明亮的阳光照耀着风筝看起来非常丰富多彩和光彩照人。</v>
      </c>
    </row>
    <row r="15444">
      <c r="A15444" s="4" t="s">
        <v>19459</v>
      </c>
      <c r="B15444" s="4" t="s">
        <v>19460</v>
      </c>
      <c r="C15444" s="5" t="str">
        <f>IFERROR(__xludf.DUMMYFUNCTION("GOOGLETRANSLATE(B15444,""en"",""zh-CN"")"),"显示了一个卡通动画视频，人们四处游荡，火箭被射击。")</f>
        <v>显示了一个卡通动画视频，人们四处游荡，火箭被射击。</v>
      </c>
    </row>
    <row r="15445">
      <c r="A15445" s="4" t="s">
        <v>19459</v>
      </c>
      <c r="B15445" s="4" t="s">
        <v>19461</v>
      </c>
      <c r="C15445" s="5" t="str">
        <f>IFERROR(__xludf.DUMMYFUNCTION("GOOGLETRANSLATE(B15445,""en"",""zh-CN"")"),"两个人与邪恶的机器人作斗争，并以a继续结束。")</f>
        <v>两个人与邪恶的机器人作斗争，并以a继续结束。</v>
      </c>
    </row>
    <row r="15446">
      <c r="A15446" s="4" t="s">
        <v>19462</v>
      </c>
      <c r="B15446" s="6" t="s">
        <v>19463</v>
      </c>
      <c r="C15446" s="5" t="str">
        <f>IFERROR(__xludf.DUMMYFUNCTION("GOOGLETRANSLATE(B15446,""en"",""zh-CN"")"),"看到一个女人在相机上说话，并导致她将各种食物并将食材混合到搅拌机中。")</f>
        <v>看到一个女人在相机上说话，并导致她将各种食物并将食材混合到搅拌机中。</v>
      </c>
    </row>
    <row r="15447">
      <c r="A15447" s="4" t="s">
        <v>19462</v>
      </c>
      <c r="B15447" s="4" t="s">
        <v>19464</v>
      </c>
      <c r="C15447" s="5" t="str">
        <f>IFERROR(__xludf.DUMMYFUNCTION("GOOGLETRANSLATE(B15447,""en"",""zh-CN"")"),"她将更多的面粉倒入搅拌机中，并显示了正在制作的几镜。")</f>
        <v>她将更多的面粉倒入搅拌机中，并显示了正在制作的几镜。</v>
      </c>
    </row>
    <row r="15448">
      <c r="A15448" s="4" t="s">
        <v>19462</v>
      </c>
      <c r="B15448" s="6" t="s">
        <v>19465</v>
      </c>
      <c r="C15448" s="5" t="str">
        <f>IFERROR(__xludf.DUMMYFUNCTION("GOOGLETRANSLATE(B15448,""en"",""zh-CN"")"),"她将更多的食材，倒入一汤匙的面团上，然后拆开煮熟的饼干。")</f>
        <v>她将更多的食材，倒入一汤匙的面团上，然后拆开煮熟的饼干。</v>
      </c>
    </row>
    <row r="15449">
      <c r="A15449" s="4" t="s">
        <v>19466</v>
      </c>
      <c r="B15449" s="4" t="s">
        <v>19467</v>
      </c>
      <c r="C15449" s="5" t="str">
        <f>IFERROR(__xludf.DUMMYFUNCTION("GOOGLETRANSLATE(B15449,""en"",""zh-CN"")"),"一名老人在走路，一只大鸟在他的右脚咬着。")</f>
        <v>一名老人在走路，一只大鸟在他的右脚咬着。</v>
      </c>
    </row>
    <row r="15450">
      <c r="A15450" s="4" t="s">
        <v>19466</v>
      </c>
      <c r="B15450" s="4" t="s">
        <v>19468</v>
      </c>
      <c r="C15450" s="5" t="str">
        <f>IFERROR(__xludf.DUMMYFUNCTION("GOOGLETRANSLATE(B15450,""en"",""zh-CN"")"),"该男子转过身来，指着责骂那只鸟，继续走路。")</f>
        <v>该男子转过身来，指着责骂那只鸟，继续走路。</v>
      </c>
    </row>
    <row r="15451">
      <c r="A15451" s="4" t="s">
        <v>19466</v>
      </c>
      <c r="B15451" s="6" t="s">
        <v>19469</v>
      </c>
      <c r="C15451" s="5" t="str">
        <f>IFERROR(__xludf.DUMMYFUNCTION("GOOGLETRANSLATE(B15451,""en"",""zh-CN"")"),"然后，该男子在一些楼梯附近弯下腰，擦拭建筑物的外部，鸟继续攻击该人。")</f>
        <v>然后，该男子在一些楼梯附近弯下腰，擦拭建筑物的外部，鸟继续攻击该人。</v>
      </c>
    </row>
    <row r="15452">
      <c r="A15452" s="4" t="s">
        <v>19466</v>
      </c>
      <c r="B15452" s="6" t="s">
        <v>19470</v>
      </c>
      <c r="C15452" s="5" t="str">
        <f>IFERROR(__xludf.DUMMYFUNCTION("GOOGLETRANSLATE(B15452,""en"",""zh-CN"")"),"该男子再次责骂那只鸟，并向那只小狗运动，那只狗和鸟应该互动，但鸟不断与那个男人弄乱，狗却远离它。")</f>
        <v>该男子再次责骂那只鸟，并向那只小狗运动，那只狗和鸟应该互动，但鸟不断与那个男人弄乱，狗却远离它。</v>
      </c>
    </row>
    <row r="15453">
      <c r="A15453" s="4" t="s">
        <v>19471</v>
      </c>
      <c r="B15453" s="4" t="s">
        <v>19472</v>
      </c>
      <c r="C15453" s="5" t="str">
        <f>IFERROR(__xludf.DUMMYFUNCTION("GOOGLETRANSLATE(B15453,""en"",""zh-CN"")"),"看到各种女人看着相机，然后是一个男人在相机上说话。")</f>
        <v>看到各种女人看着相机，然后是一个男人在相机上说话。</v>
      </c>
    </row>
    <row r="15454">
      <c r="A15454" s="4" t="s">
        <v>19471</v>
      </c>
      <c r="B15454" s="4" t="s">
        <v>19473</v>
      </c>
      <c r="C15454" s="5" t="str">
        <f>IFERROR(__xludf.DUMMYFUNCTION("GOOGLETRANSLATE(B15454,""en"",""zh-CN"")"),"几种工具表明，lea陷入了一个女人刷头发的女人。")</f>
        <v>几种工具表明，lea陷入了一个女人刷头发的女人。</v>
      </c>
    </row>
    <row r="15455">
      <c r="A15455" s="4" t="s">
        <v>19471</v>
      </c>
      <c r="B15455" s="6" t="s">
        <v>19474</v>
      </c>
      <c r="C15455" s="5" t="str">
        <f>IFERROR(__xludf.DUMMYFUNCTION("GOOGLETRANSLATE(B15455,""en"",""zh-CN"")"),"另一个女人梳理她的头发，并导致更多的女人微笑着，看着相机。")</f>
        <v>另一个女人梳理她的头发，并导致更多的女人微笑着，看着相机。</v>
      </c>
    </row>
    <row r="15456">
      <c r="A15456" s="4" t="s">
        <v>19475</v>
      </c>
      <c r="B15456" s="4" t="s">
        <v>19476</v>
      </c>
      <c r="C15456" s="5" t="str">
        <f>IFERROR(__xludf.DUMMYFUNCTION("GOOGLETRANSLATE(B15456,""en"",""zh-CN"")"),"两个人在房间里打墙球。")</f>
        <v>两个人在房间里打墙球。</v>
      </c>
    </row>
    <row r="15457">
      <c r="A15457" s="4" t="s">
        <v>19475</v>
      </c>
      <c r="B15457" s="4" t="s">
        <v>19477</v>
      </c>
      <c r="C15457" s="5" t="str">
        <f>IFERROR(__xludf.DUMMYFUNCTION("GOOGLETRANSLATE(B15457,""en"",""zh-CN"")"),"一个男孩跌倒了球。")</f>
        <v>一个男孩跌倒了球。</v>
      </c>
    </row>
    <row r="15458">
      <c r="A15458" s="4" t="s">
        <v>19475</v>
      </c>
      <c r="B15458" s="4" t="s">
        <v>19478</v>
      </c>
      <c r="C15458" s="5" t="str">
        <f>IFERROR(__xludf.DUMMYFUNCTION("GOOGLETRANSLATE(B15458,""en"",""zh-CN"")"),"一个人在房间前行走。")</f>
        <v>一个人在房间前行走。</v>
      </c>
    </row>
    <row r="15459">
      <c r="A15459" s="4" t="s">
        <v>19479</v>
      </c>
      <c r="B15459" s="4" t="s">
        <v>19480</v>
      </c>
      <c r="C15459" s="5" t="str">
        <f>IFERROR(__xludf.DUMMYFUNCTION("GOOGLETRANSLATE(B15459,""en"",""zh-CN"")"),"一个人在室内，因为他从地上拿起飞盘。")</f>
        <v>一个人在室内，因为他从地上拿起飞盘。</v>
      </c>
    </row>
    <row r="15460">
      <c r="A15460" s="4" t="s">
        <v>19479</v>
      </c>
      <c r="B15460" s="4" t="s">
        <v>19481</v>
      </c>
      <c r="C15460" s="5" t="str">
        <f>IFERROR(__xludf.DUMMYFUNCTION("GOOGLETRANSLATE(B15460,""en"",""zh-CN"")"),"然后，他使用几个飞盘来训练并展示中型牧羊犬的特技。")</f>
        <v>然后，他使用几个飞盘来训练并展示中型牧羊犬的特技。</v>
      </c>
    </row>
    <row r="15461">
      <c r="A15461" s="4" t="s">
        <v>19479</v>
      </c>
      <c r="B15461" s="4" t="s">
        <v>19482</v>
      </c>
      <c r="C15461" s="5" t="str">
        <f>IFERROR(__xludf.DUMMYFUNCTION("GOOGLETRANSLATE(B15461,""en"",""zh-CN"")"),"狗从屏幕上跑来跑去，带回了飞盘。")</f>
        <v>狗从屏幕上跑来跑去，带回了飞盘。</v>
      </c>
    </row>
    <row r="15462">
      <c r="A15462" s="4" t="s">
        <v>19479</v>
      </c>
      <c r="B15462" s="4" t="s">
        <v>19483</v>
      </c>
      <c r="C15462" s="5" t="str">
        <f>IFERROR(__xludf.DUMMYFUNCTION("GOOGLETRANSLATE(B15462,""en"",""zh-CN"")"),"场景以狗拼命地从座位的人的手中取出飞盘而结束。")</f>
        <v>场景以狗拼命地从座位的人的手中取出飞盘而结束。</v>
      </c>
    </row>
    <row r="15463">
      <c r="A15463" s="4" t="s">
        <v>19484</v>
      </c>
      <c r="B15463" s="4" t="s">
        <v>19485</v>
      </c>
      <c r="C15463" s="5" t="str">
        <f>IFERROR(__xludf.DUMMYFUNCTION("GOOGLETRANSLATE(B15463,""en"",""zh-CN"")"),"看到一个年长的男人走向相机，指向他周围的各种植物。")</f>
        <v>看到一个年长的男人走向相机，指向他周围的各种植物。</v>
      </c>
    </row>
    <row r="15464">
      <c r="A15464" s="4" t="s">
        <v>19484</v>
      </c>
      <c r="B15464" s="4" t="s">
        <v>19486</v>
      </c>
      <c r="C15464" s="5" t="str">
        <f>IFERROR(__xludf.DUMMYFUNCTION("GOOGLETRANSLATE(B15464,""en"",""zh-CN"")"),"相机在该区域周围竖起，所有植物都在生长，并显示该男子拿着工具。")</f>
        <v>相机在该区域周围竖起，所有植物都在生长，并显示该男子拿着工具。</v>
      </c>
    </row>
    <row r="15465">
      <c r="A15465" s="4" t="s">
        <v>19484</v>
      </c>
      <c r="B15465" s="6" t="s">
        <v>19487</v>
      </c>
      <c r="C15465" s="5" t="str">
        <f>IFERROR(__xludf.DUMMYFUNCTION("GOOGLETRANSLATE(B15465,""en"",""zh-CN"")"),"然后，该男子在回头看着相机时沿着灌木丛的树篱使用该工具。")</f>
        <v>然后，该男子在回头看着相机时沿着灌木丛的树篱使用该工具。</v>
      </c>
    </row>
    <row r="15466">
      <c r="A15466" s="4" t="s">
        <v>19488</v>
      </c>
      <c r="B15466" s="4" t="s">
        <v>19489</v>
      </c>
      <c r="C15466" s="5" t="str">
        <f>IFERROR(__xludf.DUMMYFUNCTION("GOOGLETRANSLATE(B15466,""en"",""zh-CN"")"),"看到一个年轻的女孩在一场霍普苏格兰威士忌的比赛之前与摄像机说话。")</f>
        <v>看到一个年轻的女孩在一场霍普苏格兰威士忌的比赛之前与摄像机说话。</v>
      </c>
    </row>
    <row r="15467">
      <c r="A15467" s="4" t="s">
        <v>19488</v>
      </c>
      <c r="B15467" s="4" t="s">
        <v>19490</v>
      </c>
      <c r="C15467" s="5" t="str">
        <f>IFERROR(__xludf.DUMMYFUNCTION("GOOGLETRANSLATE(B15467,""en"",""zh-CN"")"),"然后，女孩扔了一块岩石，啤酒终结，一边抓住它并跳回去。")</f>
        <v>然后，女孩扔了一块岩石，啤酒终结，一边抓住它并跳回去。</v>
      </c>
    </row>
    <row r="15468">
      <c r="A15468" s="4" t="s">
        <v>19491</v>
      </c>
      <c r="B15468" s="4" t="s">
        <v>19492</v>
      </c>
      <c r="C15468" s="5" t="str">
        <f>IFERROR(__xludf.DUMMYFUNCTION("GOOGLETRANSLATE(B15468,""en"",""zh-CN"")"),"一个女人站在真空后面。")</f>
        <v>一个女人站在真空后面。</v>
      </c>
    </row>
    <row r="15469">
      <c r="A15469" s="4" t="s">
        <v>19491</v>
      </c>
      <c r="B15469" s="4" t="s">
        <v>19493</v>
      </c>
      <c r="C15469" s="5" t="str">
        <f>IFERROR(__xludf.DUMMYFUNCTION("GOOGLETRANSLATE(B15469,""en"",""zh-CN"")"),"她开始吸尘地毯。")</f>
        <v>她开始吸尘地毯。</v>
      </c>
    </row>
    <row r="15470">
      <c r="A15470" s="4" t="s">
        <v>19491</v>
      </c>
      <c r="B15470" s="4" t="s">
        <v>19494</v>
      </c>
      <c r="C15470" s="5" t="str">
        <f>IFERROR(__xludf.DUMMYFUNCTION("GOOGLETRANSLATE(B15470,""en"",""zh-CN"")"),"她脱下软管附件，清理灯和楼梯。")</f>
        <v>她脱下软管附件，清理灯和楼梯。</v>
      </c>
    </row>
    <row r="15471">
      <c r="A15471" s="4" t="s">
        <v>19491</v>
      </c>
      <c r="B15471" s="4" t="s">
        <v>19495</v>
      </c>
      <c r="C15471" s="5" t="str">
        <f>IFERROR(__xludf.DUMMYFUNCTION("GOOGLETRANSLATE(B15471,""en"",""zh-CN"")"),"她将真空的过滤器清空到垃圾桶中。")</f>
        <v>她将真空的过滤器清空到垃圾桶中。</v>
      </c>
    </row>
    <row r="15472">
      <c r="A15472" s="4" t="s">
        <v>19496</v>
      </c>
      <c r="B15472" s="4" t="s">
        <v>19497</v>
      </c>
      <c r="C15472" s="5" t="str">
        <f>IFERROR(__xludf.DUMMYFUNCTION("GOOGLETRANSLATE(B15472,""en"",""zh-CN"")"),"显示了制作Limeade的食谱。")</f>
        <v>显示了制作Limeade的食谱。</v>
      </c>
    </row>
    <row r="15473">
      <c r="A15473" s="4" t="s">
        <v>19496</v>
      </c>
      <c r="B15473" s="4" t="s">
        <v>19498</v>
      </c>
      <c r="C15473" s="5" t="str">
        <f>IFERROR(__xludf.DUMMYFUNCTION("GOOGLETRANSLATE(B15473,""en"",""zh-CN"")"),"酸橙是汁液，然后与水和糖混合。")</f>
        <v>酸橙是汁液，然后与水和糖混合。</v>
      </c>
    </row>
    <row r="15474">
      <c r="A15474" s="4" t="s">
        <v>19496</v>
      </c>
      <c r="B15474" s="4" t="s">
        <v>19499</v>
      </c>
      <c r="C15474" s="5" t="str">
        <f>IFERROR(__xludf.DUMMYFUNCTION("GOOGLETRANSLATE(B15474,""en"",""zh-CN"")"),"整个事情都被搅动了。")</f>
        <v>整个事情都被搅动了。</v>
      </c>
    </row>
    <row r="15475">
      <c r="A15475" s="4" t="s">
        <v>19500</v>
      </c>
      <c r="B15475" s="4" t="s">
        <v>19501</v>
      </c>
      <c r="C15475" s="5" t="str">
        <f>IFERROR(__xludf.DUMMYFUNCTION("GOOGLETRANSLATE(B15475,""en"",""zh-CN"")"),"有两个穿着黑色衬衫的健美运动员在健身房里展示举重。")</f>
        <v>有两个穿着黑色衬衫的健美运动员在健身房里展示举重。</v>
      </c>
    </row>
    <row r="15476">
      <c r="A15476" s="4" t="s">
        <v>19500</v>
      </c>
      <c r="B15476" s="6" t="s">
        <v>19502</v>
      </c>
      <c r="C15476" s="5" t="str">
        <f>IFERROR(__xludf.DUMMYFUNCTION("GOOGLETRANSLATE(B15476,""en"",""zh-CN"")"),"一位健美运动员正在举重，而另一个是在解释正确的方法。")</f>
        <v>一位健美运动员正在举重，而另一个是在解释正确的方法。</v>
      </c>
    </row>
    <row r="15477">
      <c r="A15477" s="4" t="s">
        <v>19500</v>
      </c>
      <c r="B15477" s="6" t="s">
        <v>19503</v>
      </c>
      <c r="C15477" s="5" t="str">
        <f>IFERROR(__xludf.DUMMYFUNCTION("GOOGLETRANSLATE(B15477,""en"",""zh-CN"")"),"他的健美运动员刚开始逐渐举重，然后迅速抬起身子来增加体重。")</f>
        <v>他的健美运动员刚开始逐渐举重，然后迅速抬起身子来增加体重。</v>
      </c>
    </row>
    <row r="15478">
      <c r="A15478" s="4" t="s">
        <v>19500</v>
      </c>
      <c r="B15478" s="4" t="s">
        <v>19504</v>
      </c>
      <c r="C15478" s="5" t="str">
        <f>IFERROR(__xludf.DUMMYFUNCTION("GOOGLETRANSLATE(B15478,""en"",""zh-CN"")"),"另一个健美运动员继续解释专业使用的举重策略。")</f>
        <v>另一个健美运动员继续解释专业使用的举重策略。</v>
      </c>
    </row>
    <row r="15479">
      <c r="A15479" s="4" t="s">
        <v>19505</v>
      </c>
      <c r="B15479" s="4" t="s">
        <v>19506</v>
      </c>
      <c r="C15479" s="5" t="str">
        <f>IFERROR(__xludf.DUMMYFUNCTION("GOOGLETRANSLATE(B15479,""en"",""zh-CN"")"),"我们看到一个标题屏幕从屏幕上滑动。")</f>
        <v>我们看到一个标题屏幕从屏幕上滑动。</v>
      </c>
    </row>
    <row r="15480">
      <c r="A15480" s="4" t="s">
        <v>19505</v>
      </c>
      <c r="B15480" s="4" t="s">
        <v>19507</v>
      </c>
      <c r="C15480" s="5" t="str">
        <f>IFERROR(__xludf.DUMMYFUNCTION("GOOGLETRANSLATE(B15480,""en"",""zh-CN"")"),"然后，我们看着一个大男孩和一个男孩碗在保龄球馆里。")</f>
        <v>然后，我们看着一个大男孩和一个男孩碗在保龄球馆里。</v>
      </c>
    </row>
    <row r="15481">
      <c r="A15481" s="4" t="s">
        <v>19505</v>
      </c>
      <c r="B15481" s="4" t="s">
        <v>19508</v>
      </c>
      <c r="C15481" s="5" t="str">
        <f>IFERROR(__xludf.DUMMYFUNCTION("GOOGLETRANSLATE(B15481,""en"",""zh-CN"")"),"一个穿着橙色衬衫的小男孩将球从过道上滚下来。")</f>
        <v>一个穿着橙色衬衫的小男孩将球从过道上滚下来。</v>
      </c>
    </row>
    <row r="15482">
      <c r="A15482" s="4" t="s">
        <v>19505</v>
      </c>
      <c r="B15482" s="4" t="s">
        <v>19509</v>
      </c>
      <c r="C15482" s="5" t="str">
        <f>IFERROR(__xludf.DUMMYFUNCTION("GOOGLETRANSLATE(B15482,""en"",""zh-CN"")"),"我们看着一个穿着绿色衬衫的大男孩掷球5次，并获得4次罢工。")</f>
        <v>我们看着一个穿着绿色衬衫的大男孩掷球5次，并获得4次罢工。</v>
      </c>
    </row>
    <row r="15483">
      <c r="A15483" s="4" t="s">
        <v>19505</v>
      </c>
      <c r="B15483" s="4" t="s">
        <v>19510</v>
      </c>
      <c r="C15483" s="5" t="str">
        <f>IFERROR(__xludf.DUMMYFUNCTION("GOOGLETRANSLATE(B15483,""en"",""zh-CN"")"),"我们看到了一个标题屏幕和大男孩的镜头之一的慢动作。")</f>
        <v>我们看到了一个标题屏幕和大男孩的镜头之一的慢动作。</v>
      </c>
    </row>
    <row r="15484">
      <c r="A15484" s="4" t="s">
        <v>19511</v>
      </c>
      <c r="B15484" s="6" t="s">
        <v>19512</v>
      </c>
      <c r="C15484" s="5" t="str">
        <f>IFERROR(__xludf.DUMMYFUNCTION("GOOGLETRANSLATE(B15484,""en"",""zh-CN"")"),"一名男子在一个小子公园外面显示，一双黑色和白色的Puma运动鞋上有灰色短裤。")</f>
        <v>一名男子在一个小子公园外面显示，一双黑色和白色的Puma运动鞋上有灰色短裤。</v>
      </c>
    </row>
    <row r="15485">
      <c r="A15485" s="4" t="s">
        <v>19511</v>
      </c>
      <c r="B15485" s="6" t="s">
        <v>19513</v>
      </c>
      <c r="C15485" s="5" t="str">
        <f>IFERROR(__xludf.DUMMYFUNCTION("GOOGLETRANSLATE(B15485,""en"",""zh-CN"")"),"然后，他将自己拉到猴子酒吧的顶部，然后站在它们的顶部，然后进入手持架。")</f>
        <v>然后，他将自己拉到猴子酒吧的顶部，然后站在它们的顶部，然后进入手持架。</v>
      </c>
    </row>
    <row r="15486">
      <c r="A15486" s="4" t="s">
        <v>19511</v>
      </c>
      <c r="B15486" s="4" t="s">
        <v>19514</v>
      </c>
      <c r="C15486" s="5" t="str">
        <f>IFERROR(__xludf.DUMMYFUNCTION("GOOGLETRANSLATE(B15486,""en"",""zh-CN"")"),"一旦他达到平衡，他就会走过，然后跳下了他已经结束的。")</f>
        <v>一旦他达到平衡，他就会走过，然后跳下了他已经结束的。</v>
      </c>
    </row>
    <row r="15487">
      <c r="A15487" s="4" t="s">
        <v>19515</v>
      </c>
      <c r="B15487" s="4" t="s">
        <v>19516</v>
      </c>
      <c r="C15487" s="5" t="str">
        <f>IFERROR(__xludf.DUMMYFUNCTION("GOOGLETRANSLATE(B15487,""en"",""zh-CN"")"),"三个人坐在舞台上进行对话。")</f>
        <v>三个人坐在舞台上进行对话。</v>
      </c>
    </row>
    <row r="15488">
      <c r="A15488" s="4" t="s">
        <v>19515</v>
      </c>
      <c r="B15488" s="4" t="s">
        <v>19517</v>
      </c>
      <c r="C15488" s="5" t="str">
        <f>IFERROR(__xludf.DUMMYFUNCTION("GOOGLETRANSLATE(B15488,""en"",""zh-CN"")"),"两个男孩以同样的方式跳舞。")</f>
        <v>两个男孩以同样的方式跳舞。</v>
      </c>
    </row>
    <row r="15489">
      <c r="A15489" s="4" t="s">
        <v>19515</v>
      </c>
      <c r="B15489" s="4" t="s">
        <v>19518</v>
      </c>
      <c r="C15489" s="5" t="str">
        <f>IFERROR(__xludf.DUMMYFUNCTION("GOOGLETRANSLATE(B15489,""en"",""zh-CN"")"),"男人的图像与舞者合并到屏幕中。")</f>
        <v>男人的图像与舞者合并到屏幕中。</v>
      </c>
    </row>
    <row r="15490">
      <c r="A15490" s="4" t="s">
        <v>19515</v>
      </c>
      <c r="B15490" s="4" t="s">
        <v>19519</v>
      </c>
      <c r="C15490" s="5" t="str">
        <f>IFERROR(__xludf.DUMMYFUNCTION("GOOGLETRANSLATE(B15490,""en"",""zh-CN"")"),"那个男人用手遮住脸。")</f>
        <v>那个男人用手遮住脸。</v>
      </c>
    </row>
    <row r="15491">
      <c r="A15491" s="4" t="s">
        <v>19515</v>
      </c>
      <c r="B15491" s="4" t="s">
        <v>19520</v>
      </c>
      <c r="C15491" s="5" t="str">
        <f>IFERROR(__xludf.DUMMYFUNCTION("GOOGLETRANSLATE(B15491,""en"",""zh-CN"")"),"男人和女人姿态舞者手动。")</f>
        <v>男人和女人姿态舞者手动。</v>
      </c>
    </row>
    <row r="15492">
      <c r="A15492" s="4" t="s">
        <v>19515</v>
      </c>
      <c r="B15492" s="4" t="s">
        <v>19521</v>
      </c>
      <c r="C15492" s="5" t="str">
        <f>IFERROR(__xludf.DUMMYFUNCTION("GOOGLETRANSLATE(B15492,""en"",""zh-CN"")"),"这个男人坐下坐下。")</f>
        <v>这个男人坐下坐下。</v>
      </c>
    </row>
    <row r="15493">
      <c r="A15493" s="4" t="s">
        <v>19515</v>
      </c>
      <c r="B15493" s="4" t="s">
        <v>19522</v>
      </c>
      <c r="C15493" s="5" t="str">
        <f>IFERROR(__xludf.DUMMYFUNCTION("GOOGLETRANSLATE(B15493,""en"",""zh-CN"")"),"那个男人膝盖坐下来。")</f>
        <v>那个男人膝盖坐下来。</v>
      </c>
    </row>
    <row r="15494">
      <c r="A15494" s="4" t="s">
        <v>19515</v>
      </c>
      <c r="B15494" s="4" t="s">
        <v>19523</v>
      </c>
      <c r="C15494" s="5" t="str">
        <f>IFERROR(__xludf.DUMMYFUNCTION("GOOGLETRANSLATE(B15494,""en"",""zh-CN"")"),"坐着的男人和女性触摸双手。")</f>
        <v>坐着的男人和女性触摸双手。</v>
      </c>
    </row>
    <row r="15495">
      <c r="A15495" s="4" t="s">
        <v>19515</v>
      </c>
      <c r="B15495" s="4" t="s">
        <v>19524</v>
      </c>
      <c r="C15495" s="5" t="str">
        <f>IFERROR(__xludf.DUMMYFUNCTION("GOOGLETRANSLATE(B15495,""en"",""zh-CN"")"),"那个男人拍了拍双手。")</f>
        <v>那个男人拍了拍双手。</v>
      </c>
    </row>
    <row r="15496">
      <c r="A15496" s="4" t="s">
        <v>19515</v>
      </c>
      <c r="B15496" s="4" t="s">
        <v>19525</v>
      </c>
      <c r="C15496" s="5" t="str">
        <f>IFERROR(__xludf.DUMMYFUNCTION("GOOGLETRANSLATE(B15496,""en"",""zh-CN"")"),"该男子向后台挥手加入他们。")</f>
        <v>该男子向后台挥手加入他们。</v>
      </c>
    </row>
    <row r="15497">
      <c r="A15497" s="4" t="s">
        <v>19515</v>
      </c>
      <c r="B15497" s="4" t="s">
        <v>19526</v>
      </c>
      <c r="C15497" s="5" t="str">
        <f>IFERROR(__xludf.DUMMYFUNCTION("GOOGLETRANSLATE(B15497,""en"",""zh-CN"")"),"后台拍手的站立人。")</f>
        <v>后台拍手的站立人。</v>
      </c>
    </row>
    <row r="15498">
      <c r="A15498" s="4" t="s">
        <v>19515</v>
      </c>
      <c r="B15498" s="4" t="s">
        <v>19527</v>
      </c>
      <c r="C15498" s="5" t="str">
        <f>IFERROR(__xludf.DUMMYFUNCTION("GOOGLETRANSLATE(B15498,""en"",""zh-CN"")"),"两只男孩伸出一只手。")</f>
        <v>两只男孩伸出一只手。</v>
      </c>
    </row>
    <row r="15499">
      <c r="A15499" s="4" t="s">
        <v>19515</v>
      </c>
      <c r="B15499" s="4" t="s">
        <v>19528</v>
      </c>
      <c r="C15499" s="5" t="str">
        <f>IFERROR(__xludf.DUMMYFUNCTION("GOOGLETRANSLATE(B15499,""en"",""zh-CN"")"),"一个男人从后台走路。")</f>
        <v>一个男人从后台走路。</v>
      </c>
    </row>
    <row r="15500">
      <c r="A15500" s="4" t="s">
        <v>19515</v>
      </c>
      <c r="B15500" s="4" t="s">
        <v>19529</v>
      </c>
      <c r="C15500" s="5" t="str">
        <f>IFERROR(__xludf.DUMMYFUNCTION("GOOGLETRANSLATE(B15500,""en"",""zh-CN"")"),"该男子握手，拥抱舞台上的一个人。")</f>
        <v>该男子握手，拥抱舞台上的一个人。</v>
      </c>
    </row>
    <row r="15501">
      <c r="A15501" s="4" t="s">
        <v>19515</v>
      </c>
      <c r="B15501" s="4" t="s">
        <v>19530</v>
      </c>
      <c r="C15501" s="5" t="str">
        <f>IFERROR(__xludf.DUMMYFUNCTION("GOOGLETRANSLATE(B15501,""en"",""zh-CN"")"),"女性站着，也拥抱男人。")</f>
        <v>女性站着，也拥抱男人。</v>
      </c>
    </row>
    <row r="15502">
      <c r="A15502" s="4" t="s">
        <v>19515</v>
      </c>
      <c r="B15502" s="4" t="s">
        <v>19531</v>
      </c>
      <c r="C15502" s="5" t="str">
        <f>IFERROR(__xludf.DUMMYFUNCTION("GOOGLETRANSLATE(B15502,""en"",""zh-CN"")"),"一个人站着，然后坐着。")</f>
        <v>一个人站着，然后坐着。</v>
      </c>
    </row>
    <row r="15503">
      <c r="A15503" s="4" t="s">
        <v>19515</v>
      </c>
      <c r="B15503" s="4" t="s">
        <v>19532</v>
      </c>
      <c r="C15503" s="5" t="str">
        <f>IFERROR(__xludf.DUMMYFUNCTION("GOOGLETRANSLATE(B15503,""en"",""zh-CN"")"),"穿着黑色西装的男人跳舞，然后坐着。")</f>
        <v>穿着黑色西装的男人跳舞，然后坐着。</v>
      </c>
    </row>
    <row r="15504">
      <c r="A15504" s="4" t="s">
        <v>19515</v>
      </c>
      <c r="B15504" s="4" t="s">
        <v>19533</v>
      </c>
      <c r="C15504" s="5" t="str">
        <f>IFERROR(__xludf.DUMMYFUNCTION("GOOGLETRANSLATE(B15504,""en"",""zh-CN"")"),"穿着棕色西装的男人返回后台。")</f>
        <v>穿着棕色西装的男人返回后台。</v>
      </c>
    </row>
    <row r="15505">
      <c r="A15505" s="4" t="s">
        <v>19515</v>
      </c>
      <c r="B15505" s="4" t="s">
        <v>19534</v>
      </c>
      <c r="C15505" s="5" t="str">
        <f>IFERROR(__xludf.DUMMYFUNCTION("GOOGLETRANSLATE(B15505,""en"",""zh-CN"")"),"后台显示该男子。")</f>
        <v>后台显示该男子。</v>
      </c>
    </row>
    <row r="15506">
      <c r="A15506" s="4" t="s">
        <v>19515</v>
      </c>
      <c r="B15506" s="4" t="s">
        <v>19535</v>
      </c>
      <c r="C15506" s="5" t="str">
        <f>IFERROR(__xludf.DUMMYFUNCTION("GOOGLETRANSLATE(B15506,""en"",""zh-CN"")"),"该节目的名称已显示。")</f>
        <v>该节目的名称已显示。</v>
      </c>
    </row>
    <row r="15507">
      <c r="A15507" s="4" t="s">
        <v>19536</v>
      </c>
      <c r="B15507" s="6" t="s">
        <v>19537</v>
      </c>
      <c r="C15507" s="5" t="str">
        <f>IFERROR(__xludf.DUMMYFUNCTION("GOOGLETRANSLATE(B15507,""en"",""zh-CN"")"),"显示了一些人将帆船推入水中以及彼此骑行。")</f>
        <v>显示了一些人将帆船推入水中以及彼此骑行。</v>
      </c>
    </row>
    <row r="15508">
      <c r="A15508" s="4" t="s">
        <v>19536</v>
      </c>
      <c r="B15508" s="6" t="s">
        <v>19538</v>
      </c>
      <c r="C15508" s="5" t="str">
        <f>IFERROR(__xludf.DUMMYFUNCTION("GOOGLETRANSLATE(B15508,""en"",""zh-CN"")"),"人们看到人们在船上乘坐摩托艇骑行，以及展示的船只的特写以及水下。")</f>
        <v>人们看到人们在船上乘坐摩托艇骑行，以及展示的船只的特写以及水下。</v>
      </c>
    </row>
    <row r="15509">
      <c r="A15509" s="4" t="s">
        <v>19536</v>
      </c>
      <c r="B15509" s="4" t="s">
        <v>19539</v>
      </c>
      <c r="C15509" s="5" t="str">
        <f>IFERROR(__xludf.DUMMYFUNCTION("GOOGLETRANSLATE(B15509,""en"",""zh-CN"")"),"看到越来越多的人骑在较小的船上，最后将船拖回岸边。")</f>
        <v>看到越来越多的人骑在较小的船上，最后将船拖回岸边。</v>
      </c>
    </row>
    <row r="15510">
      <c r="A15510" s="4" t="s">
        <v>19540</v>
      </c>
      <c r="B15510" s="4" t="s">
        <v>19541</v>
      </c>
      <c r="C15510" s="5" t="str">
        <f>IFERROR(__xludf.DUMMYFUNCTION("GOOGLETRANSLATE(B15510,""en"",""zh-CN"")"),"孩子们在泥土轨道上骑自行车。")</f>
        <v>孩子们在泥土轨道上骑自行车。</v>
      </c>
    </row>
    <row r="15511">
      <c r="A15511" s="4" t="s">
        <v>19540</v>
      </c>
      <c r="B15511" s="4" t="s">
        <v>19542</v>
      </c>
      <c r="C15511" s="5" t="str">
        <f>IFERROR(__xludf.DUMMYFUNCTION("GOOGLETRANSLATE(B15511,""en"",""zh-CN"")"),"其中一个提示跌落。")</f>
        <v>其中一个提示跌落。</v>
      </c>
    </row>
    <row r="15512">
      <c r="A15512" s="4" t="s">
        <v>19540</v>
      </c>
      <c r="B15512" s="4" t="s">
        <v>19543</v>
      </c>
      <c r="C15512" s="5" t="str">
        <f>IFERROR(__xludf.DUMMYFUNCTION("GOOGLETRANSLATE(B15512,""en"",""zh-CN"")"),"他们继续绕着赛道。")</f>
        <v>他们继续绕着赛道。</v>
      </c>
    </row>
    <row r="15513">
      <c r="A15513" s="4" t="s">
        <v>19540</v>
      </c>
      <c r="B15513" s="4" t="s">
        <v>19544</v>
      </c>
      <c r="C15513" s="5" t="str">
        <f>IFERROR(__xludf.DUMMYFUNCTION("GOOGLETRANSLATE(B15513,""en"",""zh-CN"")"),"另一个人坠毁并跌倒。")</f>
        <v>另一个人坠毁并跌倒。</v>
      </c>
    </row>
    <row r="15514">
      <c r="A15514" s="4" t="s">
        <v>19545</v>
      </c>
      <c r="B15514" s="4" t="s">
        <v>19546</v>
      </c>
      <c r="C15514" s="5" t="str">
        <f>IFERROR(__xludf.DUMMYFUNCTION("GOOGLETRANSLATE(B15514,""en"",""zh-CN"")"),"一群穿着红色服装的舞者在舞台上跳舞。")</f>
        <v>一群穿着红色服装的舞者在舞台上跳舞。</v>
      </c>
    </row>
    <row r="15515">
      <c r="A15515" s="4" t="s">
        <v>19545</v>
      </c>
      <c r="B15515" s="4" t="s">
        <v>19547</v>
      </c>
      <c r="C15515" s="5" t="str">
        <f>IFERROR(__xludf.DUMMYFUNCTION("GOOGLETRANSLATE(B15515,""en"",""zh-CN"")"),"一群粉红色的啦啦队在一个田野上站立，而怀特（White）的一群人则走上了教练。")</f>
        <v>一群粉红色的啦啦队在一个田野上站立，而怀特（White）的一群人则走上了教练。</v>
      </c>
    </row>
    <row r="15516">
      <c r="A15516" s="4" t="s">
        <v>19545</v>
      </c>
      <c r="B15516" s="4" t="s">
        <v>19548</v>
      </c>
      <c r="C15516" s="5" t="str">
        <f>IFERROR(__xludf.DUMMYFUNCTION("GOOGLETRANSLATE(B15516,""en"",""zh-CN"")"),"一位穿着红色上衣的独奏妇女讨论了房间里的事件，背景上有字母。")</f>
        <v>一位穿着红色上衣的独奏妇女讨论了房间里的事件，背景上有字母。</v>
      </c>
    </row>
    <row r="15517">
      <c r="A15517" s="4" t="s">
        <v>19545</v>
      </c>
      <c r="B15517" s="4" t="s">
        <v>19549</v>
      </c>
      <c r="C15517" s="5" t="str">
        <f>IFERROR(__xludf.DUMMYFUNCTION("GOOGLETRANSLATE(B15517,""en"",""zh-CN"")"),"两支妇女团队在场上排队。")</f>
        <v>两支妇女团队在场上排队。</v>
      </c>
    </row>
    <row r="15518">
      <c r="A15518" s="4" t="s">
        <v>19545</v>
      </c>
      <c r="B15518" s="4" t="s">
        <v>19550</v>
      </c>
      <c r="C15518" s="5" t="str">
        <f>IFERROR(__xludf.DUMMYFUNCTION("GOOGLETRANSLATE(B15518,""en"",""zh-CN"")"),"两组妇女都与领先的教练一致一起跳舞。")</f>
        <v>两组妇女都与领先的教练一致一起跳舞。</v>
      </c>
    </row>
    <row r="15519">
      <c r="A15519" s="4" t="s">
        <v>19545</v>
      </c>
      <c r="B15519" s="4" t="s">
        <v>19551</v>
      </c>
      <c r="C15519" s="5" t="str">
        <f>IFERROR(__xludf.DUMMYFUNCTION("GOOGLETRANSLATE(B15519,""en"",""zh-CN"")"),"穿着粉红色制服的女人在田野上跳舞。")</f>
        <v>穿着粉红色制服的女人在田野上跳舞。</v>
      </c>
    </row>
    <row r="15520">
      <c r="A15520" s="4" t="s">
        <v>19545</v>
      </c>
      <c r="B15520" s="4" t="s">
        <v>19552</v>
      </c>
      <c r="C15520" s="5" t="str">
        <f>IFERROR(__xludf.DUMMYFUNCTION("GOOGLETRANSLATE(B15520,""en"",""zh-CN"")"),"穿着白色制服的女人在田野上跳舞。")</f>
        <v>穿着白色制服的女人在田野上跳舞。</v>
      </c>
    </row>
    <row r="15521">
      <c r="A15521" s="4" t="s">
        <v>19553</v>
      </c>
      <c r="B15521" s="4" t="s">
        <v>1487</v>
      </c>
      <c r="C15521" s="5" t="str">
        <f>IFERROR(__xludf.DUMMYFUNCTION("GOOGLETRANSLATE(B15521,""en"",""zh-CN"")"),"我们看到一个开放标题屏幕。")</f>
        <v>我们看到一个开放标题屏幕。</v>
      </c>
    </row>
    <row r="15522">
      <c r="A15522" s="4" t="s">
        <v>19553</v>
      </c>
      <c r="B15522" s="4" t="s">
        <v>19554</v>
      </c>
      <c r="C15522" s="5" t="str">
        <f>IFERROR(__xludf.DUMMYFUNCTION("GOOGLETRANSLATE(B15522,""en"",""zh-CN"")"),"我们看到一个男人撬开烟斗。")</f>
        <v>我们看到一个男人撬开烟斗。</v>
      </c>
    </row>
    <row r="15523">
      <c r="A15523" s="4" t="s">
        <v>19553</v>
      </c>
      <c r="B15523" s="4" t="s">
        <v>19555</v>
      </c>
      <c r="C15523" s="5" t="str">
        <f>IFERROR(__xludf.DUMMYFUNCTION("GOOGLETRANSLATE(B15523,""en"",""zh-CN"")"),"然后，该男子将管道向下推并钉住。")</f>
        <v>然后，该男子将管道向下推并钉住。</v>
      </c>
    </row>
    <row r="15524">
      <c r="A15524" s="4" t="s">
        <v>19553</v>
      </c>
      <c r="B15524" s="4" t="s">
        <v>19556</v>
      </c>
      <c r="C15524" s="5" t="str">
        <f>IFERROR(__xludf.DUMMYFUNCTION("GOOGLETRANSLATE(B15524,""en"",""zh-CN"")"),"该男子在管道上添加焦油，并在其周围钉扎。")</f>
        <v>该男子在管道上添加焦油，并在其周围钉扎。</v>
      </c>
    </row>
    <row r="15525">
      <c r="A15525" s="4" t="s">
        <v>19553</v>
      </c>
      <c r="B15525" s="4" t="s">
        <v>19557</v>
      </c>
      <c r="C15525" s="5" t="str">
        <f>IFERROR(__xludf.DUMMYFUNCTION("GOOGLETRANSLATE(B15525,""en"",""zh-CN"")"),"然后，该男子将焦油放在顶部的木瓦下。")</f>
        <v>然后，该男子将焦油放在顶部的木瓦下。</v>
      </c>
    </row>
    <row r="15526">
      <c r="A15526" s="4" t="s">
        <v>19553</v>
      </c>
      <c r="B15526" s="4" t="s">
        <v>19558</v>
      </c>
      <c r="C15526" s="5" t="str">
        <f>IFERROR(__xludf.DUMMYFUNCTION("GOOGLETRANSLATE(B15526,""en"",""zh-CN"")"),"我们看到房子和一辆卡车停在车道上。")</f>
        <v>我们看到房子和一辆卡车停在车道上。</v>
      </c>
    </row>
    <row r="15527">
      <c r="A15527" s="4" t="s">
        <v>19559</v>
      </c>
      <c r="B15527" s="6" t="s">
        <v>19560</v>
      </c>
      <c r="C15527" s="5" t="str">
        <f>IFERROR(__xludf.DUMMYFUNCTION("GOOGLETRANSLATE(B15527,""en"",""zh-CN"")"),"一个女人在混凝土地面跪在户外，然后用金属桶冲洗衣服，然后用金属桶洗净，并将地面作为衣服的洗衣板。")</f>
        <v>一个女人在混凝土地面跪在户外，然后用金属桶冲洗衣服，然后用金属桶洗净，并将地面作为衣服的洗衣板。</v>
      </c>
    </row>
    <row r="15528">
      <c r="A15528" s="4" t="s">
        <v>19559</v>
      </c>
      <c r="B15528" s="6" t="s">
        <v>19561</v>
      </c>
      <c r="C15528" s="5" t="str">
        <f>IFERROR(__xludf.DUMMYFUNCTION("GOOGLETRANSLATE(B15528,""en"",""zh-CN"")"),"一个小女孩走到女人身上，在女人的金属桶中倒更多的水，然后走开，站在另一个女人跪着和以相同方式洗衣服的井旁边。")</f>
        <v>一个小女孩走到女人身上，在女人的金属桶中倒更多的水，然后走开，站在另一个女人跪着和以相同方式洗衣服的井旁边。</v>
      </c>
    </row>
    <row r="15529">
      <c r="A15529" s="4" t="s">
        <v>19559</v>
      </c>
      <c r="B15529" s="6" t="s">
        <v>19562</v>
      </c>
      <c r="C15529" s="5" t="str">
        <f>IFERROR(__xludf.DUMMYFUNCTION("GOOGLETRANSLATE(B15529,""en"",""zh-CN"")"),"这次再次显示了第一位妇女，再次使用金属桶以用于供水的金属桶在地面上洗了一张大白板。")</f>
        <v>这次再次显示了第一位妇女，再次使用金属桶以用于供水的金属桶在地面上洗了一张大白板。</v>
      </c>
    </row>
    <row r="15530">
      <c r="A15530" s="4" t="s">
        <v>19563</v>
      </c>
      <c r="B15530" s="4" t="s">
        <v>19564</v>
      </c>
      <c r="C15530" s="5" t="str">
        <f>IFERROR(__xludf.DUMMYFUNCTION("GOOGLETRANSLATE(B15530,""en"",""zh-CN"")"),"一个坚强的男人在平行的酒吧上抬起双腿。")</f>
        <v>一个坚强的男人在平行的酒吧上抬起双腿。</v>
      </c>
    </row>
    <row r="15531">
      <c r="A15531" s="4" t="s">
        <v>19563</v>
      </c>
      <c r="B15531" s="4" t="s">
        <v>19565</v>
      </c>
      <c r="C15531" s="5" t="str">
        <f>IFERROR(__xludf.DUMMYFUNCTION("GOOGLETRANSLATE(B15531,""en"",""zh-CN"")"),"他开始在酒吧上耸耸肩。")</f>
        <v>他开始在酒吧上耸耸肩。</v>
      </c>
    </row>
    <row r="15532">
      <c r="A15532" s="4" t="s">
        <v>19563</v>
      </c>
      <c r="B15532" s="4" t="s">
        <v>19566</v>
      </c>
      <c r="C15532" s="5" t="str">
        <f>IFERROR(__xludf.DUMMYFUNCTION("GOOGLETRANSLATE(B15532,""en"",""zh-CN"")"),"他开始用手走过身体。")</f>
        <v>他开始用手走过身体。</v>
      </c>
    </row>
    <row r="15533">
      <c r="A15533" s="4" t="s">
        <v>19563</v>
      </c>
      <c r="B15533" s="4" t="s">
        <v>19567</v>
      </c>
      <c r="C15533" s="5" t="str">
        <f>IFERROR(__xludf.DUMMYFUNCTION("GOOGLETRANSLATE(B15533,""en"",""zh-CN"")"),"他用手臂在酒吧的边缘盘旋。")</f>
        <v>他用手臂在酒吧的边缘盘旋。</v>
      </c>
    </row>
    <row r="15534">
      <c r="A15534" s="4" t="s">
        <v>19563</v>
      </c>
      <c r="B15534" s="4" t="s">
        <v>19568</v>
      </c>
      <c r="C15534" s="5" t="str">
        <f>IFERROR(__xludf.DUMMYFUNCTION("GOOGLETRANSLATE(B15534,""en"",""zh-CN"")"),"他挥动双腿，双臂跳过平行的酒吧。")</f>
        <v>他挥动双腿，双臂跳过平行的酒吧。</v>
      </c>
    </row>
    <row r="15535">
      <c r="A15535" s="4" t="s">
        <v>19563</v>
      </c>
      <c r="B15535" s="4" t="s">
        <v>19569</v>
      </c>
      <c r="C15535" s="5" t="str">
        <f>IFERROR(__xludf.DUMMYFUNCTION("GOOGLETRANSLATE(B15535,""en"",""zh-CN"")"),"一个人确实在平行条上浸入。")</f>
        <v>一个人确实在平行条上浸入。</v>
      </c>
    </row>
    <row r="15536">
      <c r="A15536" s="4" t="s">
        <v>19563</v>
      </c>
      <c r="B15536" s="4" t="s">
        <v>19570</v>
      </c>
      <c r="C15536" s="5" t="str">
        <f>IFERROR(__xludf.DUMMYFUNCTION("GOOGLETRANSLATE(B15536,""en"",""zh-CN"")"),"另一个男人确实在平行条上浸入肘部。")</f>
        <v>另一个男人确实在平行条上浸入肘部。</v>
      </c>
    </row>
    <row r="15537">
      <c r="A15537" s="4" t="s">
        <v>19563</v>
      </c>
      <c r="B15537" s="6" t="s">
        <v>19571</v>
      </c>
      <c r="C15537" s="5" t="str">
        <f>IFERROR(__xludf.DUMMYFUNCTION("GOOGLETRANSLATE(B15537,""en"",""zh-CN"")"),"然后，他开始在称为俄罗斯倾角的平行条上向下倾斜，同时保持双腿悬空。")</f>
        <v>然后，他开始在称为俄罗斯倾角的平行条上向下倾斜，同时保持双腿悬空。</v>
      </c>
    </row>
    <row r="15538">
      <c r="A15538" s="4" t="s">
        <v>19563</v>
      </c>
      <c r="B15538" s="4" t="s">
        <v>19572</v>
      </c>
      <c r="C15538" s="5" t="str">
        <f>IFERROR(__xludf.DUMMYFUNCTION("GOOGLETRANSLATE(B15538,""en"",""zh-CN"")"),"一个男人确实在酒吧前面浸入身体，腿在酒吧下面摇摆。")</f>
        <v>一个男人确实在酒吧前面浸入身体，腿在酒吧下面摇摆。</v>
      </c>
    </row>
    <row r="15539">
      <c r="A15539" s="4" t="s">
        <v>19563</v>
      </c>
      <c r="B15539" s="4" t="s">
        <v>19573</v>
      </c>
      <c r="C15539" s="5" t="str">
        <f>IFERROR(__xludf.DUMMYFUNCTION("GOOGLETRANSLATE(B15539,""en"",""zh-CN"")"),"然后，他通过向下走，向前，然后向上进行俯卧撑。")</f>
        <v>然后，他通过向下走，向前，然后向上进行俯卧撑。</v>
      </c>
    </row>
    <row r="15540">
      <c r="A15540" s="4" t="s">
        <v>19563</v>
      </c>
      <c r="B15540" s="4" t="s">
        <v>19574</v>
      </c>
      <c r="C15540" s="5" t="str">
        <f>IFERROR(__xludf.DUMMYFUNCTION("GOOGLETRANSLATE(B15540,""en"",""zh-CN"")"),"他开始用平行的酒吧藏着膝盖，用膝盖塞住俯卧撑。")</f>
        <v>他开始用平行的酒吧藏着膝盖，用膝盖塞住俯卧撑。</v>
      </c>
    </row>
    <row r="15541">
      <c r="A15541" s="4" t="s">
        <v>19563</v>
      </c>
      <c r="B15541" s="6" t="s">
        <v>19575</v>
      </c>
      <c r="C15541" s="5" t="str">
        <f>IFERROR(__xludf.DUMMYFUNCTION("GOOGLETRANSLATE(B15541,""en"",""zh-CN"")"),"另一个男人的腿会倾斜，将双腿向上摇摆，每个平行条围绕着每个平行杆，并在平行条上向前推。")</f>
        <v>另一个男人的腿会倾斜，将双腿向上摇摆，每个平行条围绕着每个平行杆，并在平行条上向前推。</v>
      </c>
    </row>
    <row r="15542">
      <c r="A15542" s="4" t="s">
        <v>19563</v>
      </c>
      <c r="B15542" s="6" t="s">
        <v>19576</v>
      </c>
      <c r="C15542" s="5" t="str">
        <f>IFERROR(__xludf.DUMMYFUNCTION("GOOGLETRANSLATE(B15542,""en"",""zh-CN"")"),"当他到达末端时，他将膝盖塞住，将身体抬起并垂直于酒吧。")</f>
        <v>当他到达末端时，他将膝盖塞住，将身体抬起并垂直于酒吧。</v>
      </c>
    </row>
    <row r="15543">
      <c r="A15543" s="4" t="s">
        <v>19563</v>
      </c>
      <c r="B15543" s="4" t="s">
        <v>19577</v>
      </c>
      <c r="C15543" s="5" t="str">
        <f>IFERROR(__xludf.DUMMYFUNCTION("GOOGLETRANSLATE(B15543,""en"",""zh-CN"")"),"然后，他膝盖并抬起腿。")</f>
        <v>然后，他膝盖并抬起腿。</v>
      </c>
    </row>
    <row r="15544">
      <c r="A15544" s="4" t="s">
        <v>19563</v>
      </c>
      <c r="B15544" s="4" t="s">
        <v>19578</v>
      </c>
      <c r="C15544" s="5" t="str">
        <f>IFERROR(__xludf.DUMMYFUNCTION("GOOGLETRANSLATE(B15544,""en"",""zh-CN"")"),"另一个男人将双腿伸直，将它们移到每个酒吧。")</f>
        <v>另一个男人将双腿伸直，将它们移到每个酒吧。</v>
      </c>
    </row>
    <row r="15545">
      <c r="A15545" s="4" t="s">
        <v>19563</v>
      </c>
      <c r="B15545" s="4" t="s">
        <v>19579</v>
      </c>
      <c r="C15545" s="5" t="str">
        <f>IFERROR(__xludf.DUMMYFUNCTION("GOOGLETRANSLATE(B15545,""en"",""zh-CN"")"),"另一个男人将双腿伸直到酒吧上的V形。")</f>
        <v>另一个男人将双腿伸直到酒吧上的V形。</v>
      </c>
    </row>
    <row r="15546">
      <c r="A15546" s="4" t="s">
        <v>19563</v>
      </c>
      <c r="B15546" s="6" t="s">
        <v>19580</v>
      </c>
      <c r="C15546" s="5" t="str">
        <f>IFERROR(__xludf.DUMMYFUNCTION("GOOGLETRANSLATE(B15546,""en"",""zh-CN"")"),"然后，他将肘部放在酒吧上，并垂直于酒吧挥动身体，然后平行于酒吧。")</f>
        <v>然后，他将肘部放在酒吧上，并垂直于酒吧挥动身体，然后平行于酒吧。</v>
      </c>
    </row>
    <row r="15547">
      <c r="A15547" s="4" t="s">
        <v>19563</v>
      </c>
      <c r="B15547" s="4" t="s">
        <v>19581</v>
      </c>
      <c r="C15547" s="5" t="str">
        <f>IFERROR(__xludf.DUMMYFUNCTION("GOOGLETRANSLATE(B15547,""en"",""zh-CN"")"),"他开始在酒吧上做肩膀。")</f>
        <v>他开始在酒吧上做肩膀。</v>
      </c>
    </row>
    <row r="15548">
      <c r="A15548" s="4" t="s">
        <v>19563</v>
      </c>
      <c r="B15548" s="4" t="s">
        <v>19582</v>
      </c>
      <c r="C15548" s="5" t="str">
        <f>IFERROR(__xludf.DUMMYFUNCTION("GOOGLETRANSLATE(B15548,""en"",""zh-CN"")"),"他切换到头架并握住。")</f>
        <v>他切换到头架并握住。</v>
      </c>
    </row>
    <row r="15549">
      <c r="A15549" s="4" t="s">
        <v>19563</v>
      </c>
      <c r="B15549" s="6" t="s">
        <v>19583</v>
      </c>
      <c r="C15549" s="5" t="str">
        <f>IFERROR(__xludf.DUMMYFUNCTION("GOOGLETRANSLATE(B15549,""en"",""zh-CN"")"),"另一个男人开始从酒吧下方摆动自己的身体，并将自己压在酒吧上。")</f>
        <v>另一个男人开始从酒吧下方摆动自己的身体，并将自己压在酒吧上。</v>
      </c>
    </row>
    <row r="15550">
      <c r="A15550" s="4" t="s">
        <v>19584</v>
      </c>
      <c r="B15550" s="4" t="s">
        <v>19585</v>
      </c>
      <c r="C15550" s="5" t="str">
        <f>IFERROR(__xludf.DUMMYFUNCTION("GOOGLETRANSLATE(B15550,""en"",""zh-CN"")"),"一群人聚集在市场上。")</f>
        <v>一群人聚集在市场上。</v>
      </c>
    </row>
    <row r="15551">
      <c r="A15551" s="4" t="s">
        <v>19584</v>
      </c>
      <c r="B15551" s="4" t="s">
        <v>19586</v>
      </c>
      <c r="C15551" s="5" t="str">
        <f>IFERROR(__xludf.DUMMYFUNCTION("GOOGLETRANSLATE(B15551,""en"",""zh-CN"")"),"人们通过看所有的商品走路。")</f>
        <v>人们通过看所有的商品走路。</v>
      </c>
    </row>
    <row r="15552">
      <c r="A15552" s="4" t="s">
        <v>19584</v>
      </c>
      <c r="B15552" s="4" t="s">
        <v>19587</v>
      </c>
      <c r="C15552" s="5" t="str">
        <f>IFERROR(__xludf.DUMMYFUNCTION("GOOGLETRANSLATE(B15552,""en"",""zh-CN"")"),"当人们继续喧嚣时，一只狗出现了。")</f>
        <v>当人们继续喧嚣时，一只狗出现了。</v>
      </c>
    </row>
    <row r="15553">
      <c r="A15553" s="4" t="s">
        <v>19588</v>
      </c>
      <c r="B15553" s="4" t="s">
        <v>19589</v>
      </c>
      <c r="C15553" s="5" t="str">
        <f>IFERROR(__xludf.DUMMYFUNCTION("GOOGLETRANSLATE(B15553,""en"",""zh-CN"")"),"一名体操运动员在人群前面坐下一条低光束。")</f>
        <v>一名体操运动员在人群前面坐下一条低光束。</v>
      </c>
    </row>
    <row r="15554">
      <c r="A15554" s="4" t="s">
        <v>19588</v>
      </c>
      <c r="B15554" s="4" t="s">
        <v>19590</v>
      </c>
      <c r="C15554" s="5" t="str">
        <f>IFERROR(__xludf.DUMMYFUNCTION("GOOGLETRANSLATE(B15554,""en"",""zh-CN"")"),"她确实在梁上弯曲，手动和前后翻转。")</f>
        <v>她确实在梁上弯曲，手动和前后翻转。</v>
      </c>
    </row>
    <row r="15555">
      <c r="A15555" s="4" t="s">
        <v>19588</v>
      </c>
      <c r="B15555" s="4" t="s">
        <v>19591</v>
      </c>
      <c r="C15555" s="5" t="str">
        <f>IFERROR(__xludf.DUMMYFUNCTION("GOOGLETRANSLATE(B15555,""en"",""zh-CN"")"),"她自豪地卸下，将手臂抬到空中。")</f>
        <v>她自豪地卸下，将手臂抬到空中。</v>
      </c>
    </row>
    <row r="15556">
      <c r="A15556" s="4" t="s">
        <v>19592</v>
      </c>
      <c r="B15556" s="4" t="s">
        <v>19593</v>
      </c>
      <c r="C15556" s="5" t="str">
        <f>IFERROR(__xludf.DUMMYFUNCTION("GOOGLETRANSLATE(B15556,""en"",""zh-CN"")"),"看到一个男人坐在一匹马上，手里拿着绳子。")</f>
        <v>看到一个男人坐在一匹马上，手里拿着绳子。</v>
      </c>
    </row>
    <row r="15557">
      <c r="A15557" s="4" t="s">
        <v>19592</v>
      </c>
      <c r="B15557" s="4" t="s">
        <v>19594</v>
      </c>
      <c r="C15557" s="5" t="str">
        <f>IFERROR(__xludf.DUMMYFUNCTION("GOOGLETRANSLATE(B15557,""en"",""zh-CN"")"),"然后，他骑着马骑着马，用绳子绑住小牛。")</f>
        <v>然后，他骑着马骑着马，用绳子绑住小牛。</v>
      </c>
    </row>
    <row r="15558">
      <c r="A15558" s="4" t="s">
        <v>19592</v>
      </c>
      <c r="B15558" s="4" t="s">
        <v>19595</v>
      </c>
      <c r="C15558" s="5" t="str">
        <f>IFERROR(__xludf.DUMMYFUNCTION("GOOGLETRANSLATE(B15558,""en"",""zh-CN"")"),"几个人被显示在骑牛里，而另一些人则在侧面看。")</f>
        <v>几个人被显示在骑牛里，而另一些人则在侧面看。</v>
      </c>
    </row>
    <row r="15559">
      <c r="A15559" s="4" t="s">
        <v>19596</v>
      </c>
      <c r="B15559" s="4" t="s">
        <v>19597</v>
      </c>
      <c r="C15559" s="5" t="str">
        <f>IFERROR(__xludf.DUMMYFUNCTION("GOOGLETRANSLATE(B15559,""en"",""zh-CN"")"),"一个男人靠在台球桌上，用他的提示击中球。")</f>
        <v>一个男人靠在台球桌上，用他的提示击中球。</v>
      </c>
    </row>
    <row r="15560">
      <c r="A15560" s="4" t="s">
        <v>19596</v>
      </c>
      <c r="B15560" s="4" t="s">
        <v>19598</v>
      </c>
      <c r="C15560" s="5" t="str">
        <f>IFERROR(__xludf.DUMMYFUNCTION("GOOGLETRANSLATE(B15560,""en"",""zh-CN"")"),"一位穿着粉红色比基尼的女人在等待她的提示。")</f>
        <v>一位穿着粉红色比基尼的女人在等待她的提示。</v>
      </c>
    </row>
    <row r="15561">
      <c r="A15561" s="4" t="s">
        <v>19596</v>
      </c>
      <c r="B15561" s="4" t="s">
        <v>19599</v>
      </c>
      <c r="C15561" s="5" t="str">
        <f>IFERROR(__xludf.DUMMYFUNCTION("GOOGLETRANSLATE(B15561,""en"",""zh-CN"")"),"然后，她向球射击，将它们撞到孔中。")</f>
        <v>然后，她向球射击，将它们撞到孔中。</v>
      </c>
    </row>
    <row r="15562">
      <c r="A15562" s="4" t="s">
        <v>19600</v>
      </c>
      <c r="B15562" s="4" t="s">
        <v>19601</v>
      </c>
      <c r="C15562" s="5" t="str">
        <f>IFERROR(__xludf.DUMMYFUNCTION("GOOGLETRANSLATE(B15562,""en"",""zh-CN"")"),"两名男子在法院中间互相抗争。")</f>
        <v>两名男子在法院中间互相抗争。</v>
      </c>
    </row>
    <row r="15563">
      <c r="A15563" s="4" t="s">
        <v>19600</v>
      </c>
      <c r="B15563" s="4" t="s">
        <v>19602</v>
      </c>
      <c r="C15563" s="5" t="str">
        <f>IFERROR(__xludf.DUMMYFUNCTION("GOOGLETRANSLATE(B15563,""en"",""zh-CN"")"),"他们正在练习自己的举动，而其他人则陪伴着观看。")</f>
        <v>他们正在练习自己的举动，而其他人则陪伴着观看。</v>
      </c>
    </row>
    <row r="15564">
      <c r="A15564" s="4" t="s">
        <v>19600</v>
      </c>
      <c r="B15564" s="4" t="s">
        <v>19603</v>
      </c>
      <c r="C15564" s="5" t="str">
        <f>IFERROR(__xludf.DUMMYFUNCTION("GOOGLETRANSLATE(B15564,""en"",""zh-CN"")"),"这就像许多真正喜欢它并认为这是一项有趣的运动的文化。")</f>
        <v>这就像许多真正喜欢它并认为这是一项有趣的运动的文化。</v>
      </c>
    </row>
    <row r="15565">
      <c r="A15565" s="4" t="s">
        <v>19600</v>
      </c>
      <c r="B15565" s="4" t="s">
        <v>19604</v>
      </c>
      <c r="C15565" s="5" t="str">
        <f>IFERROR(__xludf.DUMMYFUNCTION("GOOGLETRANSLATE(B15565,""en"",""zh-CN"")"),"他们非常重视它，有些打架，有些喜欢看。")</f>
        <v>他们非常重视它，有些打架，有些喜欢看。</v>
      </c>
    </row>
    <row r="15566">
      <c r="A15566" s="4" t="s">
        <v>19605</v>
      </c>
      <c r="B15566" s="6" t="s">
        <v>19606</v>
      </c>
      <c r="C15566" s="5" t="str">
        <f>IFERROR(__xludf.DUMMYFUNCTION("GOOGLETRANSLATE(B15566,""en"",""zh-CN"")"),"一个高大的建筑物屋顶上的年轻人，拥有城市天际线的背景，进行了一系列的舞蹈动作，体操动作，翻滚动作和高踢。")</f>
        <v>一个高大的建筑物屋顶上的年轻人，拥有城市天际线的背景，进行了一系列的舞蹈动作，体操动作，翻滚动作和高踢。</v>
      </c>
    </row>
    <row r="15567">
      <c r="A15567" s="4" t="s">
        <v>19605</v>
      </c>
      <c r="B15567" s="4" t="s">
        <v>19607</v>
      </c>
      <c r="C15567" s="5" t="str">
        <f>IFERROR(__xludf.DUMMYFUNCTION("GOOGLETRANSLATE(B15567,""en"",""zh-CN"")"),"该男子从背对镜头开始，站在屋顶顶部的城市天际线。")</f>
        <v>该男子从背对镜头开始，站在屋顶顶部的城市天际线。</v>
      </c>
    </row>
    <row r="15568">
      <c r="A15568" s="4" t="s">
        <v>19605</v>
      </c>
      <c r="B15568" s="4" t="s">
        <v>19608</v>
      </c>
      <c r="C15568" s="5" t="str">
        <f>IFERROR(__xludf.DUMMYFUNCTION("GOOGLETRANSLATE(B15568,""en"",""zh-CN"")"),"然后，该男子开始了一系列高踢，无手的后背翻转和磨损动作。")</f>
        <v>然后，该男子开始了一系列高踢，无手的后背翻转和磨损动作。</v>
      </c>
    </row>
    <row r="15569">
      <c r="A15569" s="4" t="s">
        <v>19605</v>
      </c>
      <c r="B15569" s="6" t="s">
        <v>19609</v>
      </c>
      <c r="C15569" s="5" t="str">
        <f>IFERROR(__xludf.DUMMYFUNCTION("GOOGLETRANSLATE(B15569,""en"",""zh-CN"")"),"舞蹈动作以更高的脚踢，头架和半武术的移动结束，当摄像机圈出男人时，男人盘旋，然后又回到镜头，再次走到屋顶的边缘。")</f>
        <v>舞蹈动作以更高的脚踢，头架和半武术的移动结束，当摄像机圈出男人时，男人盘旋，然后又回到镜头，再次走到屋顶的边缘。</v>
      </c>
    </row>
    <row r="15570">
      <c r="A15570" s="4" t="s">
        <v>19610</v>
      </c>
      <c r="B15570" s="4" t="s">
        <v>19611</v>
      </c>
      <c r="C15570" s="5" t="str">
        <f>IFERROR(__xludf.DUMMYFUNCTION("GOOGLETRANSLATE(B15570,""en"",""zh-CN"")"),"看到一个穿着服装的人坐在街上播放手风琴。")</f>
        <v>看到一个穿着服装的人坐在街上播放手风琴。</v>
      </c>
    </row>
    <row r="15571">
      <c r="A15571" s="4" t="s">
        <v>19610</v>
      </c>
      <c r="B15571" s="6" t="s">
        <v>19612</v>
      </c>
      <c r="C15571" s="5" t="str">
        <f>IFERROR(__xludf.DUMMYFUNCTION("GOOGLETRANSLATE(B15571,""en"",""zh-CN"")"),"当相机放大时，该人继续播放，几辆汽车和人们在他身后移动。")</f>
        <v>当相机放大时，该人继续播放，几辆汽车和人们在他身后移动。</v>
      </c>
    </row>
    <row r="15572">
      <c r="A15572" s="4" t="s">
        <v>19613</v>
      </c>
      <c r="B15572" s="4" t="s">
        <v>19614</v>
      </c>
      <c r="C15572" s="5" t="str">
        <f>IFERROR(__xludf.DUMMYFUNCTION("GOOGLETRANSLATE(B15572,""en"",""zh-CN"")"),"我们看到一个男人在和相机聊天。")</f>
        <v>我们看到一个男人在和相机聊天。</v>
      </c>
    </row>
    <row r="15573">
      <c r="A15573" s="4" t="s">
        <v>19613</v>
      </c>
      <c r="B15573" s="4" t="s">
        <v>19615</v>
      </c>
      <c r="C15573" s="5" t="str">
        <f>IFERROR(__xludf.DUMMYFUNCTION("GOOGLETRANSLATE(B15573,""en"",""zh-CN"")"),"我们看到人和一群人的镜头。")</f>
        <v>我们看到人和一群人的镜头。</v>
      </c>
    </row>
    <row r="15574">
      <c r="A15574" s="4" t="s">
        <v>19613</v>
      </c>
      <c r="B15574" s="4" t="s">
        <v>19616</v>
      </c>
      <c r="C15574" s="5" t="str">
        <f>IFERROR(__xludf.DUMMYFUNCTION("GOOGLETRANSLATE(B15574,""en"",""zh-CN"")"),"这些人玩岩石剪刀。")</f>
        <v>这些人玩岩石剪刀。</v>
      </c>
    </row>
    <row r="15575">
      <c r="A15575" s="4" t="s">
        <v>19613</v>
      </c>
      <c r="B15575" s="4" t="s">
        <v>19617</v>
      </c>
      <c r="C15575" s="5" t="str">
        <f>IFERROR(__xludf.DUMMYFUNCTION("GOOGLETRANSLATE(B15575,""en"",""zh-CN"")"),"人群中的一位女士跳来跳去。")</f>
        <v>人群中的一位女士跳来跳去。</v>
      </c>
    </row>
    <row r="15576">
      <c r="A15576" s="4" t="s">
        <v>19613</v>
      </c>
      <c r="B15576" s="4" t="s">
        <v>19618</v>
      </c>
      <c r="C15576" s="5" t="str">
        <f>IFERROR(__xludf.DUMMYFUNCTION("GOOGLETRANSLATE(B15576,""en"",""zh-CN"")"),"我们看到这个男人彼此高五。")</f>
        <v>我们看到这个男人彼此高五。</v>
      </c>
    </row>
    <row r="15577">
      <c r="A15577" s="4" t="s">
        <v>19613</v>
      </c>
      <c r="B15577" s="4" t="s">
        <v>19619</v>
      </c>
      <c r="C15577" s="5" t="str">
        <f>IFERROR(__xludf.DUMMYFUNCTION("GOOGLETRANSLATE(B15577,""en"",""zh-CN"")"),"我们看到一位穿着服装的人在面前。")</f>
        <v>我们看到一位穿着服装的人在面前。</v>
      </c>
    </row>
    <row r="15578">
      <c r="A15578" s="4" t="s">
        <v>19613</v>
      </c>
      <c r="B15578" s="4" t="s">
        <v>19620</v>
      </c>
      <c r="C15578" s="5" t="str">
        <f>IFERROR(__xludf.DUMMYFUNCTION("GOOGLETRANSLATE(B15578,""en"",""zh-CN"")"),"红色的男人以胜利举手。")</f>
        <v>红色的男人以胜利举手。</v>
      </c>
    </row>
    <row r="15579">
      <c r="A15579" s="4" t="s">
        <v>19613</v>
      </c>
      <c r="B15579" s="4" t="s">
        <v>19621</v>
      </c>
      <c r="C15579" s="5" t="str">
        <f>IFERROR(__xludf.DUMMYFUNCTION("GOOGLETRANSLATE(B15579,""en"",""zh-CN"")"),"女士们为红色的男人带来了一个大笔支票。")</f>
        <v>女士们为红色的男人带来了一个大笔支票。</v>
      </c>
    </row>
    <row r="15580">
      <c r="A15580" s="4" t="s">
        <v>19622</v>
      </c>
      <c r="B15580" s="4" t="s">
        <v>19623</v>
      </c>
      <c r="C15580" s="5" t="str">
        <f>IFERROR(__xludf.DUMMYFUNCTION("GOOGLETRANSLATE(B15580,""en"",""zh-CN"")"),"人们在山上滑动的充气雪橇滑动。")</f>
        <v>人们在山上滑动的充气雪橇滑动。</v>
      </c>
    </row>
    <row r="15581">
      <c r="A15581" s="4" t="s">
        <v>19622</v>
      </c>
      <c r="B15581" s="4" t="s">
        <v>19624</v>
      </c>
      <c r="C15581" s="5" t="str">
        <f>IFERROR(__xludf.DUMMYFUNCTION("GOOGLETRANSLATE(B15581,""en"",""zh-CN"")"),"人们轮流驶下山丘。")</f>
        <v>人们轮流驶下山丘。</v>
      </c>
    </row>
    <row r="15582">
      <c r="A15582" s="4" t="s">
        <v>19622</v>
      </c>
      <c r="B15582" s="4" t="s">
        <v>19625</v>
      </c>
      <c r="C15582" s="5" t="str">
        <f>IFERROR(__xludf.DUMMYFUNCTION("GOOGLETRANSLATE(B15582,""en"",""zh-CN"")"),"然后人们聚在一起参加雪橇。")</f>
        <v>然后人们聚在一起参加雪橇。</v>
      </c>
    </row>
    <row r="15583">
      <c r="A15583" s="4" t="s">
        <v>19622</v>
      </c>
      <c r="B15583" s="4" t="s">
        <v>19626</v>
      </c>
      <c r="C15583" s="5" t="str">
        <f>IFERROR(__xludf.DUMMYFUNCTION("GOOGLETRANSLATE(B15583,""en"",""zh-CN"")"),"另外，人们沿着山坡上的一条线拖着。")</f>
        <v>另外，人们沿着山坡上的一条线拖着。</v>
      </c>
    </row>
    <row r="15584">
      <c r="A15584" s="4" t="s">
        <v>19627</v>
      </c>
      <c r="B15584" s="4" t="s">
        <v>19628</v>
      </c>
      <c r="C15584" s="5" t="str">
        <f>IFERROR(__xludf.DUMMYFUNCTION("GOOGLETRANSLATE(B15584,""en"",""zh-CN"")"),"看到一个女人在街上跳舞，放置乐器，而其他人则在旁边看。")</f>
        <v>看到一个女人在街上跳舞，放置乐器，而其他人则在旁边看。</v>
      </c>
    </row>
    <row r="15585">
      <c r="A15585" s="4" t="s">
        <v>19627</v>
      </c>
      <c r="B15585" s="6" t="s">
        <v>19629</v>
      </c>
      <c r="C15585" s="5" t="str">
        <f>IFERROR(__xludf.DUMMYFUNCTION("GOOGLETRANSLATE(B15585,""en"",""zh-CN"")"),"该名女子继续演奏乐器，同时上下移动她的腿，人们在侧面拍手。")</f>
        <v>该名女子继续演奏乐器，同时上下移动她的腿，人们在侧面拍手。</v>
      </c>
    </row>
    <row r="15586">
      <c r="A15586" s="4" t="s">
        <v>19630</v>
      </c>
      <c r="B15586" s="4" t="s">
        <v>19631</v>
      </c>
      <c r="C15586" s="5" t="str">
        <f>IFERROR(__xludf.DUMMYFUNCTION("GOOGLETRANSLATE(B15586,""en"",""zh-CN"")"),"首先，男人把粉红色的口红放在嘴唇上，他说他是个小丑。")</f>
        <v>首先，男人把粉红色的口红放在嘴唇上，他说他是个小丑。</v>
      </c>
    </row>
    <row r="15587">
      <c r="A15587" s="4" t="s">
        <v>19630</v>
      </c>
      <c r="B15587" s="4" t="s">
        <v>19632</v>
      </c>
      <c r="C15587" s="5" t="str">
        <f>IFERROR(__xludf.DUMMYFUNCTION("GOOGLETRANSLATE(B15587,""en"",""zh-CN"")"),"然后，他把它放在嘴唇的侧面，人们笑了。")</f>
        <v>然后，他把它放在嘴唇的侧面，人们笑了。</v>
      </c>
    </row>
    <row r="15588">
      <c r="A15588" s="4" t="s">
        <v>19630</v>
      </c>
      <c r="B15588" s="6" t="s">
        <v>19633</v>
      </c>
      <c r="C15588" s="5" t="str">
        <f>IFERROR(__xludf.DUMMYFUNCTION("GOOGLETRANSLATE(B15588,""en"",""zh-CN"")"),"接下来，他把它的2条厚线放在他的眼睛下，他说了些什么，他还试图将其放在下巴上，但视频结束了。")</f>
        <v>接下来，他把它的2条厚线放在他的眼睛下，他说了些什么，他还试图将其放在下巴上，但视频结束了。</v>
      </c>
    </row>
    <row r="15589">
      <c r="A15589" s="4" t="s">
        <v>19634</v>
      </c>
      <c r="B15589" s="4" t="s">
        <v>19635</v>
      </c>
      <c r="C15589" s="5" t="str">
        <f>IFERROR(__xludf.DUMMYFUNCTION("GOOGLETRANSLATE(B15589,""en"",""zh-CN"")"),"文字简介导致一个男孩坐在凳子上，拿着手风琴。")</f>
        <v>文字简介导致一个男孩坐在凳子上，拿着手风琴。</v>
      </c>
    </row>
    <row r="15590">
      <c r="A15590" s="4" t="s">
        <v>19634</v>
      </c>
      <c r="B15590" s="4" t="s">
        <v>19636</v>
      </c>
      <c r="C15590" s="5" t="str">
        <f>IFERROR(__xludf.DUMMYFUNCTION("GOOGLETRANSLATE(B15590,""en"",""zh-CN"")"),"然后，男孩一边看着相机，开始演奏乐器。")</f>
        <v>然后，男孩一边看着相机，开始演奏乐器。</v>
      </c>
    </row>
    <row r="15591">
      <c r="A15591" s="4" t="s">
        <v>19634</v>
      </c>
      <c r="B15591" s="4" t="s">
        <v>19637</v>
      </c>
      <c r="C15591" s="5" t="str">
        <f>IFERROR(__xludf.DUMMYFUNCTION("GOOGLETRANSLATE(B15591,""en"",""zh-CN"")"),"这个男孩在环顾房间并拉动手风琴时继续玩耍。")</f>
        <v>这个男孩在环顾房间并拉动手风琴时继续玩耍。</v>
      </c>
    </row>
    <row r="15592">
      <c r="A15592" s="4" t="s">
        <v>19638</v>
      </c>
      <c r="B15592" s="4" t="s">
        <v>19639</v>
      </c>
      <c r="C15592" s="5" t="str">
        <f>IFERROR(__xludf.DUMMYFUNCTION("GOOGLETRANSLATE(B15592,""en"",""zh-CN"")"),"一个女孩举起手臂，准备将平衡梁安装在舞台上。")</f>
        <v>一个女孩举起手臂，准备将平衡梁安装在舞台上。</v>
      </c>
    </row>
    <row r="15593">
      <c r="A15593" s="4" t="s">
        <v>19638</v>
      </c>
      <c r="B15593" s="4" t="s">
        <v>19640</v>
      </c>
      <c r="C15593" s="5" t="str">
        <f>IFERROR(__xludf.DUMMYFUNCTION("GOOGLETRANSLATE(B15593,""en"",""zh-CN"")"),"女孩继续进行平衡梁上的例行程序。")</f>
        <v>女孩继续进行平衡梁上的例行程序。</v>
      </c>
    </row>
    <row r="15594">
      <c r="A15594" s="4" t="s">
        <v>19638</v>
      </c>
      <c r="B15594" s="4" t="s">
        <v>19641</v>
      </c>
      <c r="C15594" s="5" t="str">
        <f>IFERROR(__xludf.DUMMYFUNCTION("GOOGLETRANSLATE(B15594,""en"",""zh-CN"")"),"女孩躺在梁上，然后翻转站立位置。")</f>
        <v>女孩躺在梁上，然后翻转站立位置。</v>
      </c>
    </row>
    <row r="15595">
      <c r="A15595" s="4" t="s">
        <v>19638</v>
      </c>
      <c r="B15595" s="4" t="s">
        <v>19642</v>
      </c>
      <c r="C15595" s="5" t="str">
        <f>IFERROR(__xludf.DUMMYFUNCTION("GOOGLETRANSLATE(B15595,""en"",""zh-CN"")"),"女孩翻转过光束。")</f>
        <v>女孩翻转过光束。</v>
      </c>
    </row>
    <row r="15596">
      <c r="A15596" s="4" t="s">
        <v>19638</v>
      </c>
      <c r="B15596" s="4" t="s">
        <v>19643</v>
      </c>
      <c r="C15596" s="5" t="str">
        <f>IFERROR(__xludf.DUMMYFUNCTION("GOOGLETRANSLATE(B15596,""en"",""zh-CN"")"),"这个女孩翻转并卸下了光束。")</f>
        <v>这个女孩翻转并卸下了光束。</v>
      </c>
    </row>
    <row r="15597">
      <c r="A15597" s="4" t="s">
        <v>19638</v>
      </c>
      <c r="B15597" s="4" t="s">
        <v>19644</v>
      </c>
      <c r="C15597" s="5" t="str">
        <f>IFERROR(__xludf.DUMMYFUNCTION("GOOGLETRANSLATE(B15597,""en"",""zh-CN"")"),"当女孩举手时，人群为女孩欢呼和鼓掌。")</f>
        <v>当女孩举手时，人群为女孩欢呼和鼓掌。</v>
      </c>
    </row>
    <row r="15598">
      <c r="A15598" s="4" t="s">
        <v>19645</v>
      </c>
      <c r="B15598" s="4" t="s">
        <v>19646</v>
      </c>
      <c r="C15598" s="5" t="str">
        <f>IFERROR(__xludf.DUMMYFUNCTION("GOOGLETRANSLATE(B15598,""en"",""zh-CN"")"),"看到一个女人在手中拿着锐化工具的相机说话。")</f>
        <v>看到一个女人在手中拿着锐化工具的相机说话。</v>
      </c>
    </row>
    <row r="15599">
      <c r="A15599" s="4" t="s">
        <v>19645</v>
      </c>
      <c r="B15599" s="6" t="s">
        <v>19647</v>
      </c>
      <c r="C15599" s="5" t="str">
        <f>IFERROR(__xludf.DUMMYFUNCTION("GOOGLETRANSLATE(B15599,""en"",""zh-CN"")"),"然后，她演示了如何在说话时正确切刀并将物体放下。")</f>
        <v>然后，她演示了如何在说话时正确切刀并将物体放下。</v>
      </c>
    </row>
    <row r="15600">
      <c r="A15600" s="4" t="s">
        <v>19648</v>
      </c>
      <c r="B15600" s="4" t="s">
        <v>19649</v>
      </c>
      <c r="C15600" s="5" t="str">
        <f>IFERROR(__xludf.DUMMYFUNCTION("GOOGLETRANSLATE(B15600,""en"",""zh-CN"")"),"一名接力棒旋转器站在健身房的地板上。")</f>
        <v>一名接力棒旋转器站在健身房的地板上。</v>
      </c>
    </row>
    <row r="15601">
      <c r="A15601" s="4" t="s">
        <v>19648</v>
      </c>
      <c r="B15601" s="4" t="s">
        <v>19650</v>
      </c>
      <c r="C15601" s="5" t="str">
        <f>IFERROR(__xludf.DUMMYFUNCTION("GOOGLETRANSLATE(B15601,""en"",""zh-CN"")"),"她开始例行。")</f>
        <v>她开始例行。</v>
      </c>
    </row>
    <row r="15602">
      <c r="A15602" s="4" t="s">
        <v>19648</v>
      </c>
      <c r="B15602" s="4" t="s">
        <v>19651</v>
      </c>
      <c r="C15602" s="5" t="str">
        <f>IFERROR(__xludf.DUMMYFUNCTION("GOOGLETRANSLATE(B15602,""en"",""zh-CN"")"),"她将接力棒扔在空中。")</f>
        <v>她将接力棒扔在空中。</v>
      </c>
    </row>
    <row r="15603">
      <c r="A15603" s="4" t="s">
        <v>19648</v>
      </c>
      <c r="B15603" s="4" t="s">
        <v>19652</v>
      </c>
      <c r="C15603" s="5" t="str">
        <f>IFERROR(__xludf.DUMMYFUNCTION("GOOGLETRANSLATE(B15603,""en"",""zh-CN"")"),"她确实翻转和扭曲。")</f>
        <v>她确实翻转和扭曲。</v>
      </c>
    </row>
    <row r="15604">
      <c r="A15604" s="4" t="s">
        <v>19648</v>
      </c>
      <c r="B15604" s="4" t="s">
        <v>19653</v>
      </c>
      <c r="C15604" s="5" t="str">
        <f>IFERROR(__xludf.DUMMYFUNCTION("GOOGLETRANSLATE(B15604,""en"",""zh-CN"")"),"她继续旋转接力棒和跳舞。")</f>
        <v>她继续旋转接力棒和跳舞。</v>
      </c>
    </row>
    <row r="15605">
      <c r="A15605" s="4" t="s">
        <v>19648</v>
      </c>
      <c r="B15605" s="4" t="s">
        <v>19654</v>
      </c>
      <c r="C15605" s="5" t="str">
        <f>IFERROR(__xludf.DUMMYFUNCTION("GOOGLETRANSLATE(B15605,""en"",""zh-CN"")"),"她放下了警棍，然后继续前进。")</f>
        <v>她放下了警棍，然后继续前进。</v>
      </c>
    </row>
    <row r="15606">
      <c r="A15606" s="4" t="s">
        <v>19648</v>
      </c>
      <c r="B15606" s="4" t="s">
        <v>19655</v>
      </c>
      <c r="C15606" s="5" t="str">
        <f>IFERROR(__xludf.DUMMYFUNCTION("GOOGLETRANSLATE(B15606,""en"",""zh-CN"")"),"她旋转，跳舞和翻转。")</f>
        <v>她旋转，跳舞和翻转。</v>
      </c>
    </row>
    <row r="15607">
      <c r="A15607" s="4" t="s">
        <v>19648</v>
      </c>
      <c r="B15607" s="4" t="s">
        <v>19656</v>
      </c>
      <c r="C15607" s="5" t="str">
        <f>IFERROR(__xludf.DUMMYFUNCTION("GOOGLETRANSLATE(B15607,""en"",""zh-CN"")"),"她再次丢下警棍。")</f>
        <v>她再次丢下警棍。</v>
      </c>
    </row>
    <row r="15608">
      <c r="A15608" s="4" t="s">
        <v>19648</v>
      </c>
      <c r="B15608" s="4" t="s">
        <v>19657</v>
      </c>
      <c r="C15608" s="5" t="str">
        <f>IFERROR(__xludf.DUMMYFUNCTION("GOOGLETRANSLATE(B15608,""en"",""zh-CN"")"),"她现在有两个警棍，正在旋转和跳舞，然后将它们扔向空中。")</f>
        <v>她现在有两个警棍，正在旋转和跳舞，然后将它们扔向空中。</v>
      </c>
    </row>
    <row r="15609">
      <c r="A15609" s="4" t="s">
        <v>19648</v>
      </c>
      <c r="B15609" s="4" t="s">
        <v>19658</v>
      </c>
      <c r="C15609" s="5" t="str">
        <f>IFERROR(__xludf.DUMMYFUNCTION("GOOGLETRANSLATE(B15609,""en"",""zh-CN"")"),"她第三次丢下它。")</f>
        <v>她第三次丢下它。</v>
      </c>
    </row>
    <row r="15610">
      <c r="A15610" s="4" t="s">
        <v>19648</v>
      </c>
      <c r="B15610" s="4" t="s">
        <v>19659</v>
      </c>
      <c r="C15610" s="5" t="str">
        <f>IFERROR(__xludf.DUMMYFUNCTION("GOOGLETRANSLATE(B15610,""en"",""zh-CN"")"),"她拿起它，添加了第三只接力棒，并完成了例行工作。")</f>
        <v>她拿起它，添加了第三只接力棒，并完成了例行工作。</v>
      </c>
    </row>
    <row r="15611">
      <c r="A15611" s="4" t="s">
        <v>19660</v>
      </c>
      <c r="B15611" s="4" t="s">
        <v>19661</v>
      </c>
      <c r="C15611" s="5" t="str">
        <f>IFERROR(__xludf.DUMMYFUNCTION("GOOGLETRANSLATE(B15611,""en"",""zh-CN"")"),"老人拿着一根绿色的杆子在房间中间撞到一个piñata。")</f>
        <v>老人拿着一根绿色的杆子在房间中间撞到一个piñata。</v>
      </c>
    </row>
    <row r="15612">
      <c r="A15612" s="4" t="s">
        <v>19660</v>
      </c>
      <c r="B15612" s="4" t="s">
        <v>19662</v>
      </c>
      <c r="C15612" s="5" t="str">
        <f>IFERROR(__xludf.DUMMYFUNCTION("GOOGLETRANSLATE(B15612,""en"",""zh-CN"")"),"小孩子是丹辛和跳跃的男人。")</f>
        <v>小孩子是丹辛和跳跃的男人。</v>
      </c>
    </row>
    <row r="15613">
      <c r="A15613" s="4" t="s">
        <v>19660</v>
      </c>
      <c r="B15613" s="4" t="s">
        <v>19663</v>
      </c>
      <c r="C15613" s="5" t="str">
        <f>IFERROR(__xludf.DUMMYFUNCTION("GOOGLETRANSLATE(B15613,""en"",""zh-CN"")"),"男人将杆子送给一个孩子，其他孩子站在他身后。")</f>
        <v>男人将杆子送给一个孩子，其他孩子站在他身后。</v>
      </c>
    </row>
    <row r="15614">
      <c r="A15614" s="4" t="s">
        <v>19664</v>
      </c>
      <c r="B15614" s="4" t="s">
        <v>19665</v>
      </c>
      <c r="C15614" s="5" t="str">
        <f>IFERROR(__xludf.DUMMYFUNCTION("GOOGLETRANSLATE(B15614,""en"",""zh-CN"")"),"有些人在文化中心用纱线和针织针编织。")</f>
        <v>有些人在文化中心用纱线和针织针编织。</v>
      </c>
    </row>
    <row r="15615">
      <c r="A15615" s="4" t="s">
        <v>19664</v>
      </c>
      <c r="B15615" s="4" t="s">
        <v>19666</v>
      </c>
      <c r="C15615" s="5" t="str">
        <f>IFERROR(__xludf.DUMMYFUNCTION("GOOGLETRANSLATE(B15615,""en"",""zh-CN"")"),"一块针织帽子和毛衣在墙壁上堆叠。")</f>
        <v>一块针织帽子和毛衣在墙壁上堆叠。</v>
      </c>
    </row>
    <row r="15616">
      <c r="A15616" s="4" t="s">
        <v>19664</v>
      </c>
      <c r="B15616" s="4" t="s">
        <v>19667</v>
      </c>
      <c r="C15616" s="5" t="str">
        <f>IFERROR(__xludf.DUMMYFUNCTION("GOOGLETRANSLATE(B15616,""en"",""zh-CN"")"),"显示了一件带有黑色刺绣的灰色毛衣。")</f>
        <v>显示了一件带有黑色刺绣的灰色毛衣。</v>
      </c>
    </row>
    <row r="15617">
      <c r="A15617" s="4" t="s">
        <v>19664</v>
      </c>
      <c r="B15617" s="4" t="s">
        <v>19668</v>
      </c>
      <c r="C15617" s="5" t="str">
        <f>IFERROR(__xludf.DUMMYFUNCTION("GOOGLETRANSLATE(B15617,""en"",""zh-CN"")"),"代表每日新闻频道的女性正在谈论毛衣，然后她穿着。")</f>
        <v>代表每日新闻频道的女性正在谈论毛衣，然后她穿着。</v>
      </c>
    </row>
    <row r="15618">
      <c r="A15618" s="4" t="s">
        <v>19664</v>
      </c>
      <c r="B15618" s="4" t="s">
        <v>19669</v>
      </c>
      <c r="C15618" s="5" t="str">
        <f>IFERROR(__xludf.DUMMYFUNCTION("GOOGLETRANSLATE(B15618,""en"",""zh-CN"")"),"有人坐在纱线和针织面上编织。")</f>
        <v>有人坐在纱线和针织面上编织。</v>
      </c>
    </row>
    <row r="15619">
      <c r="A15619" s="4" t="s">
        <v>19664</v>
      </c>
      <c r="B15619" s="4" t="s">
        <v>19670</v>
      </c>
      <c r="C15619" s="5" t="str">
        <f>IFERROR(__xludf.DUMMYFUNCTION("GOOGLETRANSLATE(B15619,""en"",""zh-CN"")"),"有一个叫约翰·乔治（John George）的人谈论他在课堂上的编织经历。")</f>
        <v>有一个叫约翰·乔治（John George）的人谈论他在课堂上的编织经历。</v>
      </c>
    </row>
    <row r="15620">
      <c r="A15620" s="4" t="s">
        <v>19664</v>
      </c>
      <c r="B15620" s="4" t="s">
        <v>19671</v>
      </c>
      <c r="C15620" s="5" t="str">
        <f>IFERROR(__xludf.DUMMYFUNCTION("GOOGLETRANSLATE(B15620,""en"",""zh-CN"")"),"他与其他同伴编织者一起展示了他们如何编织。")</f>
        <v>他与其他同伴编织者一起展示了他们如何编织。</v>
      </c>
    </row>
    <row r="15621">
      <c r="A15621" s="4" t="s">
        <v>19664</v>
      </c>
      <c r="B15621" s="6" t="s">
        <v>19672</v>
      </c>
      <c r="C15621" s="5" t="str">
        <f>IFERROR(__xludf.DUMMYFUNCTION("GOOGLETRANSLATE(B15621,""en"",""zh-CN"")"),"另一个名叫查尔斯·亨利（Charles Henry）的人正在谈论他在文化中心的编织体验。")</f>
        <v>另一个名叫查尔斯·亨利（Charles Henry）的人正在谈论他在文化中心的编织体验。</v>
      </c>
    </row>
    <row r="15622">
      <c r="A15622" s="4" t="s">
        <v>19664</v>
      </c>
      <c r="B15622" s="6" t="s">
        <v>19673</v>
      </c>
      <c r="C15622" s="5" t="str">
        <f>IFERROR(__xludf.DUMMYFUNCTION("GOOGLETRANSLATE(B15622,""en"",""zh-CN"")"),"当组织者之一谈论时，在文化中心坐在一起编织的文化中心被发现。")</f>
        <v>当组织者之一谈论时，在文化中心坐在一起编织的文化中心被发现。</v>
      </c>
    </row>
    <row r="15623">
      <c r="A15623" s="4" t="s">
        <v>19664</v>
      </c>
      <c r="B15623" s="4" t="s">
        <v>19674</v>
      </c>
      <c r="C15623" s="5" t="str">
        <f>IFERROR(__xludf.DUMMYFUNCTION("GOOGLETRANSLATE(B15623,""en"",""zh-CN"")"),"新闻记者穿着灰色毛衣，看起来很开心。")</f>
        <v>新闻记者穿着灰色毛衣，看起来很开心。</v>
      </c>
    </row>
    <row r="15624">
      <c r="A15624" s="4" t="s">
        <v>19675</v>
      </c>
      <c r="B15624" s="6" t="s">
        <v>19676</v>
      </c>
      <c r="C15624" s="5" t="str">
        <f>IFERROR(__xludf.DUMMYFUNCTION("GOOGLETRANSLATE(B15624,""en"",""zh-CN"")"),"有两个人在圆点围墙的房间里围起来，穿着栅栏和栅栏，包括围栏武器。")</f>
        <v>有两个人在圆点围墙的房间里围起来，穿着栅栏和栅栏，包括围栏武器。</v>
      </c>
    </row>
    <row r="15625">
      <c r="A15625" s="4" t="s">
        <v>19675</v>
      </c>
      <c r="B15625" s="6" t="s">
        <v>19677</v>
      </c>
      <c r="C15625" s="5" t="str">
        <f>IFERROR(__xludf.DUMMYFUNCTION("GOOGLETRANSLATE(B15625,""en"",""zh-CN"")"),"动画图形填充了两个动画人物，显示了两个栅栏图案，显示了两个栅栏图案的体格。")</f>
        <v>动画图形填充了两个动画人物，显示了两个栅栏图案，显示了两个栅栏图案的体格。</v>
      </c>
    </row>
    <row r="15626">
      <c r="A15626" s="4" t="s">
        <v>19675</v>
      </c>
      <c r="B15626" s="6" t="s">
        <v>19678</v>
      </c>
      <c r="C15626" s="5" t="str">
        <f>IFERROR(__xludf.DUMMYFUNCTION("GOOGLETRANSLATE(B15626,""en"",""zh-CN"")"),"有几个人在极端围栏前面面试和与镜头交谈的人以及准备围栏的人们的静止图像。")</f>
        <v>有几个人在极端围栏前面面试和与镜头交谈的人以及准备围栏的人们的静止图像。</v>
      </c>
    </row>
    <row r="15627">
      <c r="A15627" s="4" t="s">
        <v>19675</v>
      </c>
      <c r="B15627" s="4" t="s">
        <v>19679</v>
      </c>
      <c r="C15627" s="5" t="str">
        <f>IFERROR(__xludf.DUMMYFUNCTION("GOOGLETRANSLATE(B15627,""en"",""zh-CN"")"),"穿着围栏服装的两个人开始在示威中围起来。")</f>
        <v>穿着围栏服装的两个人开始在示威中围起来。</v>
      </c>
    </row>
    <row r="15628">
      <c r="A15628" s="4" t="s">
        <v>19680</v>
      </c>
      <c r="B15628" s="4" t="s">
        <v>19681</v>
      </c>
      <c r="C15628" s="5" t="str">
        <f>IFERROR(__xludf.DUMMYFUNCTION("GOOGLETRANSLATE(B15628,""en"",""zh-CN"")"),"CBS新闻主播报告了一个故事。")</f>
        <v>CBS新闻主播报告了一个故事。</v>
      </c>
    </row>
    <row r="15629">
      <c r="A15629" s="4" t="s">
        <v>19680</v>
      </c>
      <c r="B15629" s="4" t="s">
        <v>19682</v>
      </c>
      <c r="C15629" s="5" t="str">
        <f>IFERROR(__xludf.DUMMYFUNCTION("GOOGLETRANSLATE(B15629,""en"",""zh-CN"")"),"一支游行乐队出现在大型田野表演中。")</f>
        <v>一支游行乐队出现在大型田野表演中。</v>
      </c>
    </row>
    <row r="15630">
      <c r="A15630" s="4" t="s">
        <v>19680</v>
      </c>
      <c r="B15630" s="4" t="s">
        <v>19683</v>
      </c>
      <c r="C15630" s="5" t="str">
        <f>IFERROR(__xludf.DUMMYFUNCTION("GOOGLETRANSLATE(B15630,""en"",""zh-CN"")"),"游行乐队的一名学生与游行乐队教练一起进行了采访。")</f>
        <v>游行乐队的一名学生与游行乐队教练一起进行了采访。</v>
      </c>
    </row>
    <row r="15631">
      <c r="A15631" s="4" t="s">
        <v>19680</v>
      </c>
      <c r="B15631" s="4" t="s">
        <v>19684</v>
      </c>
      <c r="C15631" s="5" t="str">
        <f>IFERROR(__xludf.DUMMYFUNCTION("GOOGLETRANSLATE(B15631,""en"",""zh-CN"")"),"游行乐队练习他们的表现。")</f>
        <v>游行乐队练习他们的表现。</v>
      </c>
    </row>
    <row r="15632">
      <c r="A15632" s="4" t="s">
        <v>19685</v>
      </c>
      <c r="B15632" s="4" t="s">
        <v>19686</v>
      </c>
      <c r="C15632" s="5" t="str">
        <f>IFERROR(__xludf.DUMMYFUNCTION("GOOGLETRANSLATE(B15632,""en"",""zh-CN"")"),"这个年轻女子在弹奏钢琴的录音室里。")</f>
        <v>这个年轻女子在弹奏钢琴的录音室里。</v>
      </c>
    </row>
    <row r="15633">
      <c r="A15633" s="4" t="s">
        <v>19685</v>
      </c>
      <c r="B15633" s="4" t="s">
        <v>19687</v>
      </c>
      <c r="C15633" s="5" t="str">
        <f>IFERROR(__xludf.DUMMYFUNCTION("GOOGLETRANSLATE(B15633,""en"",""zh-CN"")"),"没有其他人和她在一起，她看上去很认真。")</f>
        <v>没有其他人和她在一起，她看上去很认真。</v>
      </c>
    </row>
    <row r="15634">
      <c r="A15634" s="4" t="s">
        <v>19685</v>
      </c>
      <c r="B15634" s="4" t="s">
        <v>19688</v>
      </c>
      <c r="C15634" s="5" t="str">
        <f>IFERROR(__xludf.DUMMYFUNCTION("GOOGLETRANSLATE(B15634,""en"",""zh-CN"")"),"她穿着粉红色的T恤和花色的绑腿，然后在某个时候停下来。")</f>
        <v>她穿着粉红色的T恤和花色的绑腿，然后在某个时候停下来。</v>
      </c>
    </row>
    <row r="15635">
      <c r="A15635" s="4" t="s">
        <v>19689</v>
      </c>
      <c r="B15635" s="4" t="s">
        <v>19690</v>
      </c>
      <c r="C15635" s="5" t="str">
        <f>IFERROR(__xludf.DUMMYFUNCTION("GOOGLETRANSLATE(B15635,""en"",""zh-CN"")"),"一群人站在户外桥上。")</f>
        <v>一群人站在户外桥上。</v>
      </c>
    </row>
    <row r="15636">
      <c r="A15636" s="4" t="s">
        <v>19689</v>
      </c>
      <c r="B15636" s="4" t="s">
        <v>19691</v>
      </c>
      <c r="C15636" s="5" t="str">
        <f>IFERROR(__xludf.DUMMYFUNCTION("GOOGLETRANSLATE(B15636,""en"",""zh-CN"")"),"他们正在将彼此的身体置于保护它们的身上。")</f>
        <v>他们正在将彼此的身体置于保护它们的身上。</v>
      </c>
    </row>
    <row r="15637">
      <c r="A15637" s="4" t="s">
        <v>19689</v>
      </c>
      <c r="B15637" s="4" t="s">
        <v>19692</v>
      </c>
      <c r="C15637" s="5" t="str">
        <f>IFERROR(__xludf.DUMMYFUNCTION("GOOGLETRANSLATE(B15637,""en"",""zh-CN"")"),"该人在蹦极绳上跳下桥的侧面，在下面的水面上摆动。")</f>
        <v>该人在蹦极绳上跳下桥的侧面，在下面的水面上摆动。</v>
      </c>
    </row>
    <row r="15638">
      <c r="A15638" s="4" t="s">
        <v>19693</v>
      </c>
      <c r="B15638" s="4" t="s">
        <v>19694</v>
      </c>
      <c r="C15638" s="5" t="str">
        <f>IFERROR(__xludf.DUMMYFUNCTION("GOOGLETRANSLATE(B15638,""en"",""zh-CN"")"),"很多人聚集在广场上。")</f>
        <v>很多人聚集在广场上。</v>
      </c>
    </row>
    <row r="15639">
      <c r="A15639" s="4" t="s">
        <v>19693</v>
      </c>
      <c r="B15639" s="4" t="s">
        <v>19695</v>
      </c>
      <c r="C15639" s="5" t="str">
        <f>IFERROR(__xludf.DUMMYFUNCTION("GOOGLETRANSLATE(B15639,""en"",""zh-CN"")"),"人们开始在街上和海湾奔跑。")</f>
        <v>人们开始在街上和海湾奔跑。</v>
      </c>
    </row>
    <row r="15640">
      <c r="A15640" s="4" t="s">
        <v>19696</v>
      </c>
      <c r="B15640" s="4" t="s">
        <v>19697</v>
      </c>
      <c r="C15640" s="5" t="str">
        <f>IFERROR(__xludf.DUMMYFUNCTION("GOOGLETRANSLATE(B15640,""en"",""zh-CN"")"),"一群年轻人正坐在桌子上，前面有橡皮饼。")</f>
        <v>一群年轻人正坐在桌子上，前面有橡皮饼。</v>
      </c>
    </row>
    <row r="15641">
      <c r="A15641" s="4" t="s">
        <v>19696</v>
      </c>
      <c r="B15641" s="4" t="s">
        <v>19698</v>
      </c>
      <c r="C15641" s="5" t="str">
        <f>IFERROR(__xludf.DUMMYFUNCTION("GOOGLETRANSLATE(B15641,""en"",""zh-CN"")"),"右边的两个男孩已经开始，左边的两个男孩延迟了。")</f>
        <v>右边的两个男孩已经开始，左边的两个男孩延迟了。</v>
      </c>
    </row>
    <row r="15642">
      <c r="A15642" s="4" t="s">
        <v>19696</v>
      </c>
      <c r="B15642" s="6" t="s">
        <v>19699</v>
      </c>
      <c r="C15642" s="5" t="str">
        <f>IFERROR(__xludf.DUMMYFUNCTION("GOOGLETRANSLATE(B15642,""en"",""zh-CN"")"),"在八秒钟之内，男孩解决了他的立方体，而后面的男孩跳起来，随着其他人继续解决他们的问题，他开始祝贺他。")</f>
        <v>在八秒钟之内，男孩解决了他的立方体，而后面的男孩跳起来，随着其他人继续解决他们的问题，他开始祝贺他。</v>
      </c>
    </row>
    <row r="15643">
      <c r="A15643" s="4" t="s">
        <v>19700</v>
      </c>
      <c r="B15643" s="4" t="s">
        <v>19701</v>
      </c>
      <c r="C15643" s="5" t="str">
        <f>IFERROR(__xludf.DUMMYFUNCTION("GOOGLETRANSLATE(B15643,""en"",""zh-CN"")"),"看到一个人坐在水中，脚上有一双滑雪板。")</f>
        <v>看到一个人坐在水中，脚上有一双滑雪板。</v>
      </c>
    </row>
    <row r="15644">
      <c r="A15644" s="4" t="s">
        <v>19700</v>
      </c>
      <c r="B15644" s="4" t="s">
        <v>19702</v>
      </c>
      <c r="C15644" s="5" t="str">
        <f>IFERROR(__xludf.DUMMYFUNCTION("GOOGLETRANSLATE(B15644,""en"",""zh-CN"")"),"然后，该名男子站起来滑雪，沿着船后的水骑行。")</f>
        <v>然后，该名男子站起来滑雪，沿着船后的水骑行。</v>
      </c>
    </row>
    <row r="15645">
      <c r="A15645" s="4" t="s">
        <v>19703</v>
      </c>
      <c r="B15645" s="4" t="s">
        <v>19704</v>
      </c>
      <c r="C15645" s="5" t="str">
        <f>IFERROR(__xludf.DUMMYFUNCTION("GOOGLETRANSLATE(B15645,""en"",""zh-CN"")"),"显示了森林中宽阔的树木的景象。")</f>
        <v>显示了森林中宽阔的树木的景象。</v>
      </c>
    </row>
    <row r="15646">
      <c r="A15646" s="4" t="s">
        <v>19703</v>
      </c>
      <c r="B15646" s="4" t="s">
        <v>19705</v>
      </c>
      <c r="C15646" s="5" t="str">
        <f>IFERROR(__xludf.DUMMYFUNCTION("GOOGLETRANSLATE(B15646,""en"",""zh-CN"")"),"一个女人拿着呼啦圈走出去。")</f>
        <v>一个女人拿着呼啦圈走出去。</v>
      </c>
    </row>
    <row r="15647">
      <c r="A15647" s="4" t="s">
        <v>19703</v>
      </c>
      <c r="B15647" s="4" t="s">
        <v>19706</v>
      </c>
      <c r="C15647" s="5" t="str">
        <f>IFERROR(__xludf.DUMMYFUNCTION("GOOGLETRANSLATE(B15647,""en"",""zh-CN"")"),"她在跳舞时开始诱人地使用箍。")</f>
        <v>她在跳舞时开始诱人地使用箍。</v>
      </c>
    </row>
    <row r="15648">
      <c r="A15648" s="4" t="s">
        <v>19703</v>
      </c>
      <c r="B15648" s="4" t="s">
        <v>19707</v>
      </c>
      <c r="C15648" s="5" t="str">
        <f>IFERROR(__xludf.DUMMYFUNCTION("GOOGLETRANSLATE(B15648,""en"",""zh-CN"")"),"她在使用箍时旋转，翻转并做车轮。")</f>
        <v>她在使用箍时旋转，翻转并做车轮。</v>
      </c>
    </row>
    <row r="15649">
      <c r="A15649" s="4" t="s">
        <v>19703</v>
      </c>
      <c r="B15649" s="4" t="s">
        <v>19708</v>
      </c>
      <c r="C15649" s="5" t="str">
        <f>IFERROR(__xludf.DUMMYFUNCTION("GOOGLETRANSLATE(B15649,""en"",""zh-CN"")"),"她以冷冻，向上凝视的姿势结束了自己的表演。")</f>
        <v>她以冷冻，向上凝视的姿势结束了自己的表演。</v>
      </c>
    </row>
    <row r="15650">
      <c r="A15650" s="4" t="s">
        <v>19709</v>
      </c>
      <c r="B15650" s="4" t="s">
        <v>19710</v>
      </c>
      <c r="C15650" s="5" t="str">
        <f>IFERROR(__xludf.DUMMYFUNCTION("GOOGLETRANSLATE(B15650,""en"",""zh-CN"")"),"编织绿色衬衫的男人站在一个小女孩旁边。")</f>
        <v>编织绿色衬衫的男人站在一个小女孩旁边。</v>
      </c>
    </row>
    <row r="15651">
      <c r="A15651" s="4" t="s">
        <v>19709</v>
      </c>
      <c r="B15651" s="4" t="s">
        <v>19711</v>
      </c>
      <c r="C15651" s="5" t="str">
        <f>IFERROR(__xludf.DUMMYFUNCTION("GOOGLETRANSLATE(B15651,""en"",""zh-CN"")"),"戴眼镜的女孩正在和镜头说话。")</f>
        <v>戴眼镜的女孩正在和镜头说话。</v>
      </c>
    </row>
    <row r="15652">
      <c r="A15652" s="4" t="s">
        <v>19709</v>
      </c>
      <c r="B15652" s="4" t="s">
        <v>19712</v>
      </c>
      <c r="C15652" s="5" t="str">
        <f>IFERROR(__xludf.DUMMYFUNCTION("GOOGLETRANSLATE(B15652,""en"",""zh-CN"")"),"男人和女孩正在用白色杯子喝酒。")</f>
        <v>男人和女孩正在用白色杯子喝酒。</v>
      </c>
    </row>
    <row r="15653">
      <c r="A15653" s="4" t="s">
        <v>19709</v>
      </c>
      <c r="B15653" s="4" t="s">
        <v>19713</v>
      </c>
      <c r="C15653" s="5" t="str">
        <f>IFERROR(__xludf.DUMMYFUNCTION("GOOGLETRANSLATE(B15653,""en"",""zh-CN"")"),"女孩将饮料握在她的嘴里，然后将其吐在草地上，男人也这样做。")</f>
        <v>女孩将饮料握在她的嘴里，然后将其吐在草地上，男人也这样做。</v>
      </c>
    </row>
    <row r="15654">
      <c r="A15654" s="4" t="s">
        <v>19714</v>
      </c>
      <c r="B15654" s="4" t="s">
        <v>19715</v>
      </c>
      <c r="C15654" s="5" t="str">
        <f>IFERROR(__xludf.DUMMYFUNCTION("GOOGLETRANSLATE(B15654,""en"",""zh-CN"")"),"一个女孩走到潜水板的尽头，举起手。")</f>
        <v>一个女孩走到潜水板的尽头，举起手。</v>
      </c>
    </row>
    <row r="15655">
      <c r="A15655" s="4" t="s">
        <v>19714</v>
      </c>
      <c r="B15655" s="4" t="s">
        <v>19716</v>
      </c>
      <c r="C15655" s="5" t="str">
        <f>IFERROR(__xludf.DUMMYFUNCTION("GOOGLETRANSLATE(B15655,""en"",""zh-CN"")"),"女孩跳上潜水板做准备。")</f>
        <v>女孩跳上潜水板做准备。</v>
      </c>
    </row>
    <row r="15656">
      <c r="A15656" s="4" t="s">
        <v>19714</v>
      </c>
      <c r="B15656" s="4" t="s">
        <v>19717</v>
      </c>
      <c r="C15656" s="5" t="str">
        <f>IFERROR(__xludf.DUMMYFUNCTION("GOOGLETRANSLATE(B15656,""en"",""zh-CN"")"),"然后，女孩向后跳水进入游泳池。")</f>
        <v>然后，女孩向后跳水进入游泳池。</v>
      </c>
    </row>
    <row r="15657">
      <c r="A15657" s="4" t="s">
        <v>19718</v>
      </c>
      <c r="B15657" s="4" t="s">
        <v>19719</v>
      </c>
      <c r="C15657" s="5" t="str">
        <f>IFERROR(__xludf.DUMMYFUNCTION("GOOGLETRANSLATE(B15657,""en"",""zh-CN"")"),"人们观看竞争对手在红色舞台附近准备就绪。")</f>
        <v>人们观看竞争对手在红色舞台附近准备就绪。</v>
      </c>
    </row>
    <row r="15658">
      <c r="A15658" s="4" t="s">
        <v>19718</v>
      </c>
      <c r="B15658" s="4" t="s">
        <v>19720</v>
      </c>
      <c r="C15658" s="5" t="str">
        <f>IFERROR(__xludf.DUMMYFUNCTION("GOOGLETRANSLATE(B15658,""en"",""zh-CN"")"),"竞争对手按照法官的指示将机器人放在圈子中。")</f>
        <v>竞争对手按照法官的指示将机器人放在圈子中。</v>
      </c>
    </row>
    <row r="15659">
      <c r="A15659" s="4" t="s">
        <v>19718</v>
      </c>
      <c r="B15659" s="4" t="s">
        <v>19721</v>
      </c>
      <c r="C15659" s="5" t="str">
        <f>IFERROR(__xludf.DUMMYFUNCTION("GOOGLETRANSLATE(B15659,""en"",""zh-CN"")"),"法官向比赛开始。")</f>
        <v>法官向比赛开始。</v>
      </c>
    </row>
    <row r="15660">
      <c r="A15660" s="4" t="s">
        <v>19718</v>
      </c>
      <c r="B15660" s="4" t="s">
        <v>19722</v>
      </c>
      <c r="C15660" s="5" t="str">
        <f>IFERROR(__xludf.DUMMYFUNCTION("GOOGLETRANSLATE(B15660,""en"",""zh-CN"")"),"机器人开始移动，其中一个机器人被推出圆圈。")</f>
        <v>机器人开始移动，其中一个机器人被推出圆圈。</v>
      </c>
    </row>
    <row r="15661">
      <c r="A15661" s="4" t="s">
        <v>19718</v>
      </c>
      <c r="B15661" s="4" t="s">
        <v>19723</v>
      </c>
      <c r="C15661" s="5" t="str">
        <f>IFERROR(__xludf.DUMMYFUNCTION("GOOGLETRANSLATE(B15661,""en"",""zh-CN"")"),"竞争对手回到舞台上，取代了他们的机器人。")</f>
        <v>竞争对手回到舞台上，取代了他们的机器人。</v>
      </c>
    </row>
    <row r="15662">
      <c r="A15662" s="4" t="s">
        <v>19718</v>
      </c>
      <c r="B15662" s="6" t="s">
        <v>19724</v>
      </c>
      <c r="C15662" s="5" t="str">
        <f>IFERROR(__xludf.DUMMYFUNCTION("GOOGLETRANSLATE(B15662,""en"",""zh-CN"")"),"法官发出信号，要求比赛重新开始，当其中一个获胜时，每个人都鼓掌。")</f>
        <v>法官发出信号，要求比赛重新开始，当其中一个获胜时，每个人都鼓掌。</v>
      </c>
    </row>
    <row r="15663">
      <c r="A15663" s="4" t="s">
        <v>19725</v>
      </c>
      <c r="B15663" s="4" t="s">
        <v>19726</v>
      </c>
      <c r="C15663" s="5" t="str">
        <f>IFERROR(__xludf.DUMMYFUNCTION("GOOGLETRANSLATE(B15663,""en"",""zh-CN"")"),"一个男人站在一个穿着蓝色的房间里。")</f>
        <v>一个男人站在一个穿着蓝色的房间里。</v>
      </c>
    </row>
    <row r="15664">
      <c r="A15664" s="4" t="s">
        <v>19725</v>
      </c>
      <c r="B15664" s="4" t="s">
        <v>19727</v>
      </c>
      <c r="C15664" s="5" t="str">
        <f>IFERROR(__xludf.DUMMYFUNCTION("GOOGLETRANSLATE(B15664,""en"",""zh-CN"")"),"他正在将图片应用到墙上。")</f>
        <v>他正在将图片应用到墙上。</v>
      </c>
    </row>
    <row r="15665">
      <c r="A15665" s="4" t="s">
        <v>19725</v>
      </c>
      <c r="B15665" s="4" t="s">
        <v>19728</v>
      </c>
      <c r="C15665" s="5" t="str">
        <f>IFERROR(__xludf.DUMMYFUNCTION("GOOGLETRANSLATE(B15665,""en"",""zh-CN"")"),"他使用工具将其弄平。")</f>
        <v>他使用工具将其弄平。</v>
      </c>
    </row>
    <row r="15666">
      <c r="A15666" s="4" t="s">
        <v>19725</v>
      </c>
      <c r="B15666" s="4" t="s">
        <v>19729</v>
      </c>
      <c r="C15666" s="5" t="str">
        <f>IFERROR(__xludf.DUMMYFUNCTION("GOOGLETRANSLATE(B15666,""en"",""zh-CN"")"),"他在底部切了纸。")</f>
        <v>他在底部切了纸。</v>
      </c>
    </row>
    <row r="15667">
      <c r="A15667" s="4" t="s">
        <v>19730</v>
      </c>
      <c r="B15667" s="4" t="s">
        <v>19731</v>
      </c>
      <c r="C15667" s="5" t="str">
        <f>IFERROR(__xludf.DUMMYFUNCTION("GOOGLETRANSLATE(B15667,""en"",""zh-CN"")"),"一个男人站在建筑窗外，用大挤压器清洁。")</f>
        <v>一个男人站在建筑窗外，用大挤压器清洁。</v>
      </c>
    </row>
    <row r="15668">
      <c r="A15668" s="4" t="s">
        <v>19730</v>
      </c>
      <c r="B15668" s="4" t="s">
        <v>19732</v>
      </c>
      <c r="C15668" s="5" t="str">
        <f>IFERROR(__xludf.DUMMYFUNCTION("GOOGLETRANSLATE(B15668,""en"",""zh-CN"")"),"他越过门窗，然后用另一个小工具擦拭肥皂。")</f>
        <v>他越过门窗，然后用另一个小工具擦拭肥皂。</v>
      </c>
    </row>
    <row r="15669">
      <c r="A15669" s="4" t="s">
        <v>19730</v>
      </c>
      <c r="B15669" s="4" t="s">
        <v>19733</v>
      </c>
      <c r="C15669" s="5" t="str">
        <f>IFERROR(__xludf.DUMMYFUNCTION("GOOGLETRANSLATE(B15669,""en"",""zh-CN"")"),"他一直从顶部开始，确保进入窗户的角落。")</f>
        <v>他一直从顶部开始，确保进入窗户的角落。</v>
      </c>
    </row>
    <row r="15670">
      <c r="A15670" s="4" t="s">
        <v>19730</v>
      </c>
      <c r="B15670" s="4" t="s">
        <v>19734</v>
      </c>
      <c r="C15670" s="5" t="str">
        <f>IFERROR(__xludf.DUMMYFUNCTION("GOOGLETRANSLATE(B15670,""en"",""zh-CN"")"),"一旦他掉下来，窗户看起来都非常干净，而且很好。")</f>
        <v>一旦他掉下来，窗户看起来都非常干净，而且很好。</v>
      </c>
    </row>
    <row r="15671">
      <c r="A15671" s="4" t="s">
        <v>19735</v>
      </c>
      <c r="B15671" s="4" t="s">
        <v>19736</v>
      </c>
      <c r="C15671" s="5" t="str">
        <f>IFERROR(__xludf.DUMMYFUNCTION("GOOGLETRANSLATE(B15671,""en"",""zh-CN"")"),"当人们观看时，一群啦啦队在舞台上表演。")</f>
        <v>当人们观看时，一群啦啦队在舞台上表演。</v>
      </c>
    </row>
    <row r="15672">
      <c r="A15672" s="4" t="s">
        <v>19735</v>
      </c>
      <c r="B15672" s="4" t="s">
        <v>19737</v>
      </c>
      <c r="C15672" s="5" t="str">
        <f>IFERROR(__xludf.DUMMYFUNCTION("GOOGLETRANSLATE(B15672,""en"",""zh-CN"")"),"然后，啦啦队制作塔，然后跳，然后做车轮。")</f>
        <v>然后，啦啦队制作塔，然后跳，然后做车轮。</v>
      </c>
    </row>
    <row r="15673">
      <c r="A15673" s="4" t="s">
        <v>19735</v>
      </c>
      <c r="B15673" s="4" t="s">
        <v>19738</v>
      </c>
      <c r="C15673" s="5" t="str">
        <f>IFERROR(__xludf.DUMMYFUNCTION("GOOGLETRANSLATE(B15673,""en"",""zh-CN"")"),"两名啦啦队长在塔上站起来，然后翻转并落在人们的怀抱上。")</f>
        <v>两名啦啦队长在塔上站起来，然后翻转并落在人们的怀抱上。</v>
      </c>
    </row>
    <row r="15674">
      <c r="A15674" s="4" t="s">
        <v>19735</v>
      </c>
      <c r="B15674" s="4" t="s">
        <v>19739</v>
      </c>
      <c r="C15674" s="5" t="str">
        <f>IFERROR(__xludf.DUMMYFUNCTION("GOOGLETRANSLATE(B15674,""en"",""zh-CN"")"),"女孩们再次做一座塔，然后旋转并跳跃。")</f>
        <v>女孩们再次做一座塔，然后旋转并跳跃。</v>
      </c>
    </row>
    <row r="15675">
      <c r="A15675" s="4" t="s">
        <v>19735</v>
      </c>
      <c r="B15675" s="4" t="s">
        <v>19740</v>
      </c>
      <c r="C15675" s="5" t="str">
        <f>IFERROR(__xludf.DUMMYFUNCTION("GOOGLETRANSLATE(B15675,""en"",""zh-CN"")"),"啦啦队长抬起女孩，然后翻转，然后继续表演。")</f>
        <v>啦啦队长抬起女孩，然后翻转，然后继续表演。</v>
      </c>
    </row>
    <row r="15676">
      <c r="A15676" s="4" t="s">
        <v>19741</v>
      </c>
      <c r="B15676" s="4" t="s">
        <v>19742</v>
      </c>
      <c r="C15676" s="5" t="str">
        <f>IFERROR(__xludf.DUMMYFUNCTION("GOOGLETRANSLATE(B15676,""en"",""zh-CN"")"),"有两个人长时间登上山丘。")</f>
        <v>有两个人长时间登上山丘。</v>
      </c>
    </row>
    <row r="15677">
      <c r="A15677" s="4" t="s">
        <v>19741</v>
      </c>
      <c r="B15677" s="4" t="s">
        <v>19743</v>
      </c>
      <c r="C15677" s="5" t="str">
        <f>IFERROR(__xludf.DUMMYFUNCTION("GOOGLETRANSLATE(B15677,""en"",""zh-CN"")"),"他停下来，将脚放在地上。")</f>
        <v>他停下来，将脚放在地上。</v>
      </c>
    </row>
    <row r="15678">
      <c r="A15678" s="4" t="s">
        <v>19741</v>
      </c>
      <c r="B15678" s="4" t="s">
        <v>19744</v>
      </c>
      <c r="C15678" s="5" t="str">
        <f>IFERROR(__xludf.DUMMYFUNCTION("GOOGLETRANSLATE(B15678,""en"",""zh-CN"")"),"他颠倒了站在董事会上。")</f>
        <v>他颠倒了站在董事会上。</v>
      </c>
    </row>
    <row r="15679">
      <c r="A15679" s="4" t="s">
        <v>19741</v>
      </c>
      <c r="B15679" s="4" t="s">
        <v>19745</v>
      </c>
      <c r="C15679" s="5" t="str">
        <f>IFERROR(__xludf.DUMMYFUNCTION("GOOGLETRANSLATE(B15679,""en"",""zh-CN"")"),"一个穿着绿色衬衫的男人正坐在地面上，他的长板在他面前。")</f>
        <v>一个穿着绿色衬衫的男人正坐在地面上，他的长板在他面前。</v>
      </c>
    </row>
    <row r="15680">
      <c r="A15680" s="4" t="s">
        <v>19746</v>
      </c>
      <c r="B15680" s="4" t="s">
        <v>19747</v>
      </c>
      <c r="C15680" s="5" t="str">
        <f>IFERROR(__xludf.DUMMYFUNCTION("GOOGLETRANSLATE(B15680,""en"",""zh-CN"")"),"显示该人混合成分。")</f>
        <v>显示该人混合成分。</v>
      </c>
    </row>
    <row r="15681">
      <c r="A15681" s="4" t="s">
        <v>19746</v>
      </c>
      <c r="B15681" s="6" t="s">
        <v>19748</v>
      </c>
      <c r="C15681" s="5" t="str">
        <f>IFERROR(__xludf.DUMMYFUNCTION("GOOGLETRANSLATE(B15681,""en"",""zh-CN"")"),"该人卷起面团，将其切成小块，并用手将微小的球弄平。")</f>
        <v>该人卷起面团，将其切成小块，并用手将微小的球弄平。</v>
      </c>
    </row>
    <row r="15682">
      <c r="A15682" s="4" t="s">
        <v>19746</v>
      </c>
      <c r="B15682" s="4" t="s">
        <v>19749</v>
      </c>
      <c r="C15682" s="5" t="str">
        <f>IFERROR(__xludf.DUMMYFUNCTION("GOOGLETRANSLATE(B15682,""en"",""zh-CN"")"),"该人使用叉子将线条放入面团中。")</f>
        <v>该人使用叉子将线条放入面团中。</v>
      </c>
    </row>
    <row r="15683">
      <c r="A15683" s="4" t="s">
        <v>19746</v>
      </c>
      <c r="B15683" s="4" t="s">
        <v>19750</v>
      </c>
      <c r="C15683" s="5" t="str">
        <f>IFERROR(__xludf.DUMMYFUNCTION("GOOGLETRANSLATE(B15683,""en"",""zh-CN"")"),"然后，该人将饼干放在锅中的烤盘上，然后烘烤15分钟。")</f>
        <v>然后，该人将饼干放在锅中的烤盘上，然后烘烤15分钟。</v>
      </c>
    </row>
    <row r="15684">
      <c r="A15684" s="4" t="s">
        <v>19746</v>
      </c>
      <c r="B15684" s="4" t="s">
        <v>19751</v>
      </c>
      <c r="C15684" s="5" t="str">
        <f>IFERROR(__xludf.DUMMYFUNCTION("GOOGLETRANSLATE(B15684,""en"",""zh-CN"")"),"然后将饼干拿出来。")</f>
        <v>然后将饼干拿出来。</v>
      </c>
    </row>
    <row r="15685">
      <c r="A15685" s="4" t="s">
        <v>19752</v>
      </c>
      <c r="B15685" s="6" t="s">
        <v>19753</v>
      </c>
      <c r="C15685" s="5" t="str">
        <f>IFERROR(__xludf.DUMMYFUNCTION("GOOGLETRANSLATE(B15685,""en"",""zh-CN"")"),"一个人翻转并扔向呼啦圈，然后女人穿过她的身体。")</f>
        <v>一个人翻转并扔向呼啦圈，然后女人穿过她的身体。</v>
      </c>
    </row>
    <row r="15686">
      <c r="A15686" s="4" t="s">
        <v>19752</v>
      </c>
      <c r="B15686" s="4" t="s">
        <v>19754</v>
      </c>
      <c r="C15686" s="5" t="str">
        <f>IFERROR(__xludf.DUMMYFUNCTION("GOOGLETRANSLATE(B15686,""en"",""zh-CN"")"),"之后，女人快速地将呼啦圈绕过她的腰部。")</f>
        <v>之后，女人快速地将呼啦圈绕过她的腰部。</v>
      </c>
    </row>
    <row r="15687">
      <c r="A15687" s="4" t="s">
        <v>19752</v>
      </c>
      <c r="B15687" s="4" t="s">
        <v>19755</v>
      </c>
      <c r="C15687" s="5" t="str">
        <f>IFERROR(__xludf.DUMMYFUNCTION("GOOGLETRANSLATE(B15687,""en"",""zh-CN"")"),"然后，女人用脚和身体进行运动。")</f>
        <v>然后，女人用脚和身体进行运动。</v>
      </c>
    </row>
    <row r="15688">
      <c r="A15688" s="4" t="s">
        <v>19756</v>
      </c>
      <c r="B15688" s="6" t="s">
        <v>19757</v>
      </c>
      <c r="C15688" s="5" t="str">
        <f>IFERROR(__xludf.DUMMYFUNCTION("GOOGLETRANSLATE(B15688,""en"",""zh-CN"")"),"奶奶正在和一个小小的金发童话坐在教练中，而撒谎的屋子里的红色线程在教练中聊天。")</f>
        <v>奶奶正在和一个小小的金发童话坐在教练中，而撒谎的屋子里的红色线程在教练中聊天。</v>
      </c>
    </row>
    <row r="15689">
      <c r="A15689" s="4" t="s">
        <v>19756</v>
      </c>
      <c r="B15689" s="6" t="s">
        <v>19758</v>
      </c>
      <c r="C15689" s="5" t="str">
        <f>IFERROR(__xludf.DUMMYFUNCTION("GOOGLETRANSLATE(B15689,""en"",""zh-CN"")"),"孩子握住线程，在房间里跑步，女人正在和他说话，孩子从地板上抓起线，在客厅里跑步。")</f>
        <v>孩子握住线程，在房间里跑步，女人正在和他说话，孩子从地板上抓起线，在客厅里跑步。</v>
      </c>
    </row>
    <row r="15690">
      <c r="A15690" s="4" t="s">
        <v>19759</v>
      </c>
      <c r="B15690" s="4" t="s">
        <v>19760</v>
      </c>
      <c r="C15690" s="5" t="str">
        <f>IFERROR(__xludf.DUMMYFUNCTION("GOOGLETRANSLATE(B15690,""en"",""zh-CN"")"),"显示了几个新闻徽标，然后一位男性记者出现在他的桌子后面说话。")</f>
        <v>显示了几个新闻徽标，然后一位男性记者出现在他的桌子后面说话。</v>
      </c>
    </row>
    <row r="15691">
      <c r="A15691" s="4" t="s">
        <v>19759</v>
      </c>
      <c r="B15691" s="6" t="s">
        <v>19761</v>
      </c>
      <c r="C15691" s="5" t="str">
        <f>IFERROR(__xludf.DUMMYFUNCTION("GOOGLETRANSLATE(B15691,""en"",""zh-CN"")"),"然后，摄像机翻转给一个女人，她开始与正在踢足球比赛的男人进行采访。")</f>
        <v>然后，摄像机翻转给一个女人，她开始与正在踢足球比赛的男人进行采访。</v>
      </c>
    </row>
    <row r="15692">
      <c r="A15692" s="4" t="s">
        <v>19759</v>
      </c>
      <c r="B15692" s="6" t="s">
        <v>19762</v>
      </c>
      <c r="C15692" s="5" t="str">
        <f>IFERROR(__xludf.DUMMYFUNCTION("GOOGLETRANSLATE(B15692,""en"",""zh-CN"")"),"在演奏许多季度，进球后，球员们开始向彼此的后背跳下来，为了欢乐并展现自己的幸福。")</f>
        <v>在演奏许多季度，进球后，球员们开始向彼此的后背跳下来，为了欢乐并展现自己的幸福。</v>
      </c>
    </row>
    <row r="15693">
      <c r="A15693" s="4" t="s">
        <v>19763</v>
      </c>
      <c r="B15693" s="4" t="s">
        <v>19764</v>
      </c>
      <c r="C15693" s="5" t="str">
        <f>IFERROR(__xludf.DUMMYFUNCTION("GOOGLETRANSLATE(B15693,""en"",""zh-CN"")"),"两个男人在房间里表演踢箱，而一个人则监督这些举动。")</f>
        <v>两个男人在房间里表演踢箱，而一个人则监督这些举动。</v>
      </c>
    </row>
    <row r="15694">
      <c r="A15694" s="4" t="s">
        <v>19763</v>
      </c>
      <c r="B15694" s="4" t="s">
        <v>19765</v>
      </c>
      <c r="C15694" s="5" t="str">
        <f>IFERROR(__xludf.DUMMYFUNCTION("GOOGLETRANSLATE(B15694,""en"",""zh-CN"")"),"一个人靠在男人后面的墙上。")</f>
        <v>一个人靠在男人后面的墙上。</v>
      </c>
    </row>
    <row r="15695">
      <c r="A15695" s="4" t="s">
        <v>19763</v>
      </c>
      <c r="B15695" s="4" t="s">
        <v>19766</v>
      </c>
      <c r="C15695" s="5" t="str">
        <f>IFERROR(__xludf.DUMMYFUNCTION("GOOGLETRANSLATE(B15695,""en"",""zh-CN"")"),"一个小孩在男人的前面经过。")</f>
        <v>一个小孩在男人的前面经过。</v>
      </c>
    </row>
    <row r="15696">
      <c r="A15696" s="4" t="s">
        <v>19763</v>
      </c>
      <c r="B15696" s="4" t="s">
        <v>19767</v>
      </c>
      <c r="C15696" s="5" t="str">
        <f>IFERROR(__xludf.DUMMYFUNCTION("GOOGLETRANSLATE(B15696,""en"",""zh-CN"")"),"一个女人走路，站在男人的前面。")</f>
        <v>一个女人走路，站在男人的前面。</v>
      </c>
    </row>
    <row r="15697">
      <c r="A15697" s="4" t="s">
        <v>19768</v>
      </c>
      <c r="B15697" s="4" t="s">
        <v>19769</v>
      </c>
      <c r="C15697" s="5" t="str">
        <f>IFERROR(__xludf.DUMMYFUNCTION("GOOGLETRANSLATE(B15697,""en"",""zh-CN"")"),"一个大个子站在田野中的圆圆顶上。")</f>
        <v>一个大个子站在田野中的圆圆顶上。</v>
      </c>
    </row>
    <row r="15698">
      <c r="A15698" s="4" t="s">
        <v>19768</v>
      </c>
      <c r="B15698" s="4" t="s">
        <v>19770</v>
      </c>
      <c r="C15698" s="5" t="str">
        <f>IFERROR(__xludf.DUMMYFUNCTION("GOOGLETRANSLATE(B15698,""en"",""zh-CN"")"),"说话时，他将钢球握在绳子上。")</f>
        <v>说话时，他将钢球握在绳子上。</v>
      </c>
    </row>
    <row r="15699">
      <c r="A15699" s="4" t="s">
        <v>19768</v>
      </c>
      <c r="B15699" s="4" t="s">
        <v>19771</v>
      </c>
      <c r="C15699" s="5" t="str">
        <f>IFERROR(__xludf.DUMMYFUNCTION("GOOGLETRANSLATE(B15699,""en"",""zh-CN"")"),"然后，他展示了如何站起来，然后将球旋转在圈子周围。")</f>
        <v>然后，他展示了如何站起来，然后将球旋转在圈子周围。</v>
      </c>
    </row>
    <row r="15700">
      <c r="A15700" s="4" t="s">
        <v>19768</v>
      </c>
      <c r="B15700" s="4" t="s">
        <v>19772</v>
      </c>
      <c r="C15700" s="5" t="str">
        <f>IFERROR(__xludf.DUMMYFUNCTION("GOOGLETRANSLATE(B15700,""en"",""zh-CN"")"),"他放手，当他走开时，球越过场地。")</f>
        <v>他放手，当他走开时，球越过场地。</v>
      </c>
    </row>
    <row r="15701">
      <c r="A15701" s="4" t="s">
        <v>19773</v>
      </c>
      <c r="B15701" s="4" t="s">
        <v>19774</v>
      </c>
      <c r="C15701" s="5" t="str">
        <f>IFERROR(__xludf.DUMMYFUNCTION("GOOGLETRANSLATE(B15701,""en"",""zh-CN"")"),"一个妈妈和她的小婴儿坐在滑梯的顶部。")</f>
        <v>一个妈妈和她的小婴儿坐在滑梯的顶部。</v>
      </c>
    </row>
    <row r="15702">
      <c r="A15702" s="4" t="s">
        <v>19773</v>
      </c>
      <c r="B15702" s="4" t="s">
        <v>19775</v>
      </c>
      <c r="C15702" s="5" t="str">
        <f>IFERROR(__xludf.DUMMYFUNCTION("GOOGLETRANSLATE(B15702,""en"",""zh-CN"")"),"她正在考虑下来一段时间。")</f>
        <v>她正在考虑下来一段时间。</v>
      </c>
    </row>
    <row r="15703">
      <c r="A15703" s="4" t="s">
        <v>19773</v>
      </c>
      <c r="B15703" s="4" t="s">
        <v>19776</v>
      </c>
      <c r="C15703" s="5" t="str">
        <f>IFERROR(__xludf.DUMMYFUNCTION("GOOGLETRANSLATE(B15703,""en"",""zh-CN"")"),"她终于和婴儿一起滑下来。")</f>
        <v>她终于和婴儿一起滑下来。</v>
      </c>
    </row>
    <row r="15704">
      <c r="A15704" s="4" t="s">
        <v>19773</v>
      </c>
      <c r="B15704" s="4" t="s">
        <v>19777</v>
      </c>
      <c r="C15704" s="5" t="str">
        <f>IFERROR(__xludf.DUMMYFUNCTION("GOOGLETRANSLATE(B15704,""en"",""zh-CN"")"),"当他们到达底部时，她让他走了，他开始走来走去。")</f>
        <v>当他们到达底部时，她让他走了，他开始走来走去。</v>
      </c>
    </row>
    <row r="15705">
      <c r="A15705" s="4" t="s">
        <v>19778</v>
      </c>
      <c r="B15705" s="4" t="s">
        <v>19779</v>
      </c>
      <c r="C15705" s="5" t="str">
        <f>IFERROR(__xludf.DUMMYFUNCTION("GOOGLETRANSLATE(B15705,""en"",""zh-CN"")"),"一个男孩站在停车场的中间。")</f>
        <v>一个男孩站在停车场的中间。</v>
      </c>
    </row>
    <row r="15706">
      <c r="A15706" s="4" t="s">
        <v>19778</v>
      </c>
      <c r="B15706" s="4" t="s">
        <v>19780</v>
      </c>
      <c r="C15706" s="5" t="str">
        <f>IFERROR(__xludf.DUMMYFUNCTION("GOOGLETRANSLATE(B15706,""en"",""zh-CN"")"),"他戴着帽子，里面有羽毛和太阳镜。")</f>
        <v>他戴着帽子，里面有羽毛和太阳镜。</v>
      </c>
    </row>
    <row r="15707">
      <c r="A15707" s="4" t="s">
        <v>19778</v>
      </c>
      <c r="B15707" s="4" t="s">
        <v>19781</v>
      </c>
      <c r="C15707" s="5" t="str">
        <f>IFERROR(__xludf.DUMMYFUNCTION("GOOGLETRANSLATE(B15707,""en"",""zh-CN"")"),"他正在玩风笛。")</f>
        <v>他正在玩风笛。</v>
      </c>
    </row>
    <row r="15708">
      <c r="A15708" s="4" t="s">
        <v>19782</v>
      </c>
      <c r="B15708" s="4" t="s">
        <v>19783</v>
      </c>
      <c r="C15708" s="5" t="str">
        <f>IFERROR(__xludf.DUMMYFUNCTION("GOOGLETRANSLATE(B15708,""en"",""zh-CN"")"),"看到一个男人在脚上踢足球，然后逐渐将其传递到墙上。")</f>
        <v>看到一个男人在脚上踢足球，然后逐渐将其传递到墙上。</v>
      </c>
    </row>
    <row r="15709">
      <c r="A15709" s="4" t="s">
        <v>19782</v>
      </c>
      <c r="B15709" s="6" t="s">
        <v>19784</v>
      </c>
      <c r="C15709" s="5" t="str">
        <f>IFERROR(__xludf.DUMMYFUNCTION("GOOGLETRANSLATE(B15709,""en"",""zh-CN"")"),"当相机捕捉到他时，该男子继续将球从脚上踢向墙壁。")</f>
        <v>当相机捕捉到他时，该男子继续将球从脚上踢向墙壁。</v>
      </c>
    </row>
    <row r="15710">
      <c r="A15710" s="4" t="s">
        <v>19785</v>
      </c>
      <c r="B15710" s="4" t="s">
        <v>19786</v>
      </c>
      <c r="C15710" s="5" t="str">
        <f>IFERROR(__xludf.DUMMYFUNCTION("GOOGLETRANSLATE(B15710,""en"",""zh-CN"")"),"男子站在一个大冰区域上的冰上钓鱼。")</f>
        <v>男子站在一个大冰区域上的冰上钓鱼。</v>
      </c>
    </row>
    <row r="15711">
      <c r="A15711" s="4" t="s">
        <v>19785</v>
      </c>
      <c r="B15711" s="4" t="s">
        <v>19787</v>
      </c>
      <c r="C15711" s="5" t="str">
        <f>IFERROR(__xludf.DUMMYFUNCTION("GOOGLETRANSLATE(B15711,""en"",""zh-CN"")"),"男人从冰上抓住一条鱼，躺在地板上。")</f>
        <v>男人从冰上抓住一条鱼，躺在地板上。</v>
      </c>
    </row>
    <row r="15712">
      <c r="A15712" s="4" t="s">
        <v>19788</v>
      </c>
      <c r="B15712" s="4" t="s">
        <v>19789</v>
      </c>
      <c r="C15712" s="5" t="str">
        <f>IFERROR(__xludf.DUMMYFUNCTION("GOOGLETRANSLATE(B15712,""en"",""zh-CN"")"),"一个男人在白雪皑皑的山丘上的滑雪板上。")</f>
        <v>一个男人在白雪皑皑的山丘上的滑雪板上。</v>
      </c>
    </row>
    <row r="15713">
      <c r="A15713" s="4" t="s">
        <v>19788</v>
      </c>
      <c r="B15713" s="4" t="s">
        <v>19790</v>
      </c>
      <c r="C15713" s="5" t="str">
        <f>IFERROR(__xludf.DUMMYFUNCTION("GOOGLETRANSLATE(B15713,""en"",""zh-CN"")"),"他滑过厚厚的积雪。")</f>
        <v>他滑过厚厚的积雪。</v>
      </c>
    </row>
    <row r="15714">
      <c r="A15714" s="4" t="s">
        <v>19788</v>
      </c>
      <c r="B15714" s="4" t="s">
        <v>19791</v>
      </c>
      <c r="C15714" s="5" t="str">
        <f>IFERROR(__xludf.DUMMYFUNCTION("GOOGLETRANSLATE(B15714,""en"",""zh-CN"")"),"他经过标记，跳过障碍。")</f>
        <v>他经过标记，跳过障碍。</v>
      </c>
    </row>
    <row r="15715">
      <c r="A15715" s="4" t="s">
        <v>19792</v>
      </c>
      <c r="B15715" s="4" t="s">
        <v>19793</v>
      </c>
      <c r="C15715" s="5" t="str">
        <f>IFERROR(__xludf.DUMMYFUNCTION("GOOGLETRANSLATE(B15715,""en"",""zh-CN"")"),"屏幕上显示了一对站立的腿，“夏季腿常规”一词显示。")</f>
        <v>屏幕上显示了一对站立的腿，“夏季腿常规”一词显示。</v>
      </c>
    </row>
    <row r="15716">
      <c r="A15716" s="4" t="s">
        <v>19792</v>
      </c>
      <c r="B15716" s="6" t="s">
        <v>19794</v>
      </c>
      <c r="C15716" s="5" t="str">
        <f>IFERROR(__xludf.DUMMYFUNCTION("GOOGLETRANSLATE(B15716,""en"",""zh-CN"")"),"现在，腿弯曲，膝盖从地面上抬起，女孩在她的腿上摩擦芒果磨砂膏，然后用毛巾擦掉多余的东西。")</f>
        <v>现在，腿弯曲，膝盖从地面上抬起，女孩在她的腿上摩擦芒果磨砂膏，然后用毛巾擦掉多余的东西。</v>
      </c>
    </row>
    <row r="15717">
      <c r="A15717" s="4" t="s">
        <v>19792</v>
      </c>
      <c r="B15717" s="6" t="s">
        <v>19795</v>
      </c>
      <c r="C15717" s="5" t="str">
        <f>IFERROR(__xludf.DUMMYFUNCTION("GOOGLETRANSLATE(B15717,""en"",""zh-CN"")"),"在屏幕的右上方，一个小型视频播放并显示了一个蔬菜产品，而女孩则拿着两个蔬菜蜡条，将它们放在她的腿上，然后按照他们的服用顺序将其卸下。")</f>
        <v>在屏幕的右上方，一个小型视频播放并显示了一个蔬菜产品，而女孩则拿着两个蔬菜蜡条，将它们放在她的腿上，然后按照他们的服用顺序将其卸下。</v>
      </c>
    </row>
    <row r="15718">
      <c r="A15718" s="4" t="s">
        <v>19792</v>
      </c>
      <c r="B15718" s="6" t="s">
        <v>19796</v>
      </c>
      <c r="C15718" s="5" t="str">
        <f>IFERROR(__xludf.DUMMYFUNCTION("GOOGLETRANSLATE(B15718,""en"",""zh-CN"")"),"然后，女孩采用另一种蔬菜产品，结果是擦拭条并擦拭双腿，然后将毛巾戴在她的腿上。")</f>
        <v>然后，女孩采用另一种蔬菜产品，结果是擦拭条并擦拭双腿，然后将毛巾戴在她的腿上。</v>
      </c>
    </row>
    <row r="15719">
      <c r="A15719" s="4" t="s">
        <v>19792</v>
      </c>
      <c r="B15719" s="6" t="s">
        <v>19797</v>
      </c>
      <c r="C15719" s="5" t="str">
        <f>IFERROR(__xludf.DUMMYFUNCTION("GOOGLETRANSLATE(B15719,""en"",""zh-CN"")"),"她擦了擦腿后，她服用了尼维亚乳液，将它们的腿擦在她的腿上，站起来，然后以各个角度将她的腿伸向相机。")</f>
        <v>她擦了擦腿后，她服用了尼维亚乳液，将它们的腿擦在她的腿上，站起来，然后以各个角度将她的腿伸向相机。</v>
      </c>
    </row>
    <row r="15720">
      <c r="A15720" s="4" t="s">
        <v>19798</v>
      </c>
      <c r="B15720" s="4" t="s">
        <v>19799</v>
      </c>
      <c r="C15720" s="5" t="str">
        <f>IFERROR(__xludf.DUMMYFUNCTION("GOOGLETRANSLATE(B15720,""en"",""zh-CN"")"),"一名体操运动员在高酒吧上进行翻转和主张。")</f>
        <v>一名体操运动员在高酒吧上进行翻转和主张。</v>
      </c>
    </row>
    <row r="15721">
      <c r="A15721" s="4" t="s">
        <v>19798</v>
      </c>
      <c r="B15721" s="4" t="s">
        <v>19800</v>
      </c>
      <c r="C15721" s="5" t="str">
        <f>IFERROR(__xludf.DUMMYFUNCTION("GOOGLETRANSLATE(B15721,""en"",""zh-CN"")"),"她向前和向后几次。")</f>
        <v>她向前和向后几次。</v>
      </c>
    </row>
    <row r="15722">
      <c r="A15722" s="4" t="s">
        <v>19798</v>
      </c>
      <c r="B15722" s="4" t="s">
        <v>19801</v>
      </c>
      <c r="C15722" s="5" t="str">
        <f>IFERROR(__xludf.DUMMYFUNCTION("GOOGLETRANSLATE(B15722,""en"",""zh-CN"")"),"当她进入光束的顶部时，屏幕停止了。")</f>
        <v>当她进入光束的顶部时，屏幕停止了。</v>
      </c>
    </row>
    <row r="15723">
      <c r="A15723" s="4" t="s">
        <v>19802</v>
      </c>
      <c r="B15723" s="6" t="s">
        <v>19803</v>
      </c>
      <c r="C15723" s="5" t="str">
        <f>IFERROR(__xludf.DUMMYFUNCTION("GOOGLETRANSLATE(B15723,""en"",""zh-CN"")"),"一个相机在大雪的大山丘上以及坐在滑雪缆车上并在山上骑行的人们。")</f>
        <v>一个相机在大雪的大山丘上以及坐在滑雪缆车上并在山上骑行的人们。</v>
      </c>
    </row>
    <row r="15724">
      <c r="A15724" s="4" t="s">
        <v>19802</v>
      </c>
      <c r="B15724" s="6" t="s">
        <v>19804</v>
      </c>
      <c r="C15724" s="5" t="str">
        <f>IFERROR(__xludf.DUMMYFUNCTION("GOOGLETRANSLATE(B15724,""en"",""zh-CN"")"),"人们会翻转和窍门，并在山上互相跟随，并从几个角度互相滑雪。")</f>
        <v>人们会翻转和窍门，并在山上互相跟随，并从几个角度互相滑雪。</v>
      </c>
    </row>
    <row r="15725">
      <c r="A15725" s="4" t="s">
        <v>19805</v>
      </c>
      <c r="B15725" s="4" t="s">
        <v>19806</v>
      </c>
      <c r="C15725" s="5" t="str">
        <f>IFERROR(__xludf.DUMMYFUNCTION("GOOGLETRANSLATE(B15725,""en"",""zh-CN"")"),"一个穿着外套的男人正在将木板拉上雪山。")</f>
        <v>一个穿着外套的男人正在将木板拉上雪山。</v>
      </c>
    </row>
    <row r="15726">
      <c r="A15726" s="4" t="s">
        <v>19805</v>
      </c>
      <c r="B15726" s="4" t="s">
        <v>19807</v>
      </c>
      <c r="C15726" s="5" t="str">
        <f>IFERROR(__xludf.DUMMYFUNCTION("GOOGLETRANSLATE(B15726,""en"",""zh-CN"")"),"他开始滑雪下山。")</f>
        <v>他开始滑雪下山。</v>
      </c>
    </row>
    <row r="15727">
      <c r="A15727" s="4" t="s">
        <v>19805</v>
      </c>
      <c r="B15727" s="4" t="s">
        <v>19808</v>
      </c>
      <c r="C15727" s="5" t="str">
        <f>IFERROR(__xludf.DUMMYFUNCTION("GOOGLETRANSLATE(B15727,""en"",""zh-CN"")"),"该男子将护目镜从他的脸上抬起，微笑。")</f>
        <v>该男子将护目镜从他的脸上抬起，微笑。</v>
      </c>
    </row>
    <row r="15728">
      <c r="A15728" s="4" t="s">
        <v>19805</v>
      </c>
      <c r="B15728" s="4" t="s">
        <v>19809</v>
      </c>
      <c r="C15728" s="5" t="str">
        <f>IFERROR(__xludf.DUMMYFUNCTION("GOOGLETRANSLATE(B15728,""en"",""zh-CN"")"),"人们正在一起滑雪板一起下山。")</f>
        <v>人们正在一起滑雪板一起下山。</v>
      </c>
    </row>
    <row r="15729">
      <c r="A15729" s="4" t="s">
        <v>19810</v>
      </c>
      <c r="B15729" s="4" t="s">
        <v>19811</v>
      </c>
      <c r="C15729" s="5" t="str">
        <f>IFERROR(__xludf.DUMMYFUNCTION("GOOGLETRANSLATE(B15729,""en"",""zh-CN"")"),"一个男人把狗点子放在另一个男人的手中。")</f>
        <v>一个男人把狗点子放在另一个男人的手中。</v>
      </c>
    </row>
    <row r="15730">
      <c r="A15730" s="4" t="s">
        <v>19810</v>
      </c>
      <c r="B15730" s="4" t="s">
        <v>19812</v>
      </c>
      <c r="C15730" s="5" t="str">
        <f>IFERROR(__xludf.DUMMYFUNCTION("GOOGLETRANSLATE(B15730,""en"",""zh-CN"")"),"该男子正在人行道上walking狗。")</f>
        <v>该男子正在人行道上walking狗。</v>
      </c>
    </row>
    <row r="15731">
      <c r="A15731" s="4" t="s">
        <v>19810</v>
      </c>
      <c r="B15731" s="4" t="s">
        <v>19813</v>
      </c>
      <c r="C15731" s="5" t="str">
        <f>IFERROR(__xludf.DUMMYFUNCTION("GOOGLETRANSLATE(B15731,""en"",""zh-CN"")"),"其他人在他们身后走。")</f>
        <v>其他人在他们身后走。</v>
      </c>
    </row>
    <row r="15732">
      <c r="A15732" s="4" t="s">
        <v>19814</v>
      </c>
      <c r="B15732" s="4" t="s">
        <v>19815</v>
      </c>
      <c r="C15732" s="5" t="str">
        <f>IFERROR(__xludf.DUMMYFUNCTION("GOOGLETRANSLATE(B15732,""en"",""zh-CN"")"),"看到一个男人跪着剃须刀，朝相机抬头。")</f>
        <v>看到一个男人跪着剃须刀，朝相机抬头。</v>
      </c>
    </row>
    <row r="15733">
      <c r="A15733" s="4" t="s">
        <v>19814</v>
      </c>
      <c r="B15733" s="4" t="s">
        <v>19816</v>
      </c>
      <c r="C15733" s="5" t="str">
        <f>IFERROR(__xludf.DUMMYFUNCTION("GOOGLETRANSLATE(B15733,""en"",""zh-CN"")"),"该男子从腿的一部分上剃光，并在走开时握住一个物体。")</f>
        <v>该男子从腿的一部分上剃光，并在走开时握住一个物体。</v>
      </c>
    </row>
    <row r="15734">
      <c r="A15734" s="4" t="s">
        <v>19817</v>
      </c>
      <c r="B15734" s="6" t="s">
        <v>19818</v>
      </c>
      <c r="C15734" s="5" t="str">
        <f>IFERROR(__xludf.DUMMYFUNCTION("GOOGLETRANSLATE(B15734,""en"",""zh-CN"")"),"底部有白色横幅的黑屏有各种信息，包括网站，州，电话号码和徽标。")</f>
        <v>底部有白色横幅的黑屏有各种信息，包括网站，州，电话号码和徽标。</v>
      </c>
    </row>
    <row r="15735">
      <c r="A15735" s="4" t="s">
        <v>19817</v>
      </c>
      <c r="B15735" s="6" t="s">
        <v>19819</v>
      </c>
      <c r="C15735" s="5" t="str">
        <f>IFERROR(__xludf.DUMMYFUNCTION("GOOGLETRANSLATE(B15735,""en"",""zh-CN"")"),"随后是白屏，其中包括一个徽标，产品的名称，并表示这是一个“教学视频”。")</f>
        <v>随后是白屏，其中包括一个徽标，产品的名称，并表示这是一个“教学视频”。</v>
      </c>
    </row>
    <row r="15736">
      <c r="A15736" s="4" t="s">
        <v>19817</v>
      </c>
      <c r="B15736" s="4" t="s">
        <v>19820</v>
      </c>
      <c r="C15736" s="5" t="str">
        <f>IFERROR(__xludf.DUMMYFUNCTION("GOOGLETRANSLATE(B15736,""en"",""zh-CN"")"),"出现另一个白屏幕，出现一个内容列表，其中1-5。")</f>
        <v>出现另一个白屏幕，出现一个内容列表，其中1-5。</v>
      </c>
    </row>
    <row r="15737">
      <c r="A15737" s="4" t="s">
        <v>19817</v>
      </c>
      <c r="B15737" s="6" t="s">
        <v>19821</v>
      </c>
      <c r="C15737" s="5" t="str">
        <f>IFERROR(__xludf.DUMMYFUNCTION("GOOGLETRANSLATE(B15737,""en"",""zh-CN"")"),"在下一个白屏幕上，显示了一个纸板箱，然后开始显示框中出现的许多不同内容以及旁边的名称。")</f>
        <v>在下一个白屏幕上，显示了一个纸板箱，然后开始显示框中出现的许多不同内容以及旁边的名称。</v>
      </c>
    </row>
    <row r="15738">
      <c r="A15738" s="4" t="s">
        <v>19817</v>
      </c>
      <c r="B15738" s="6" t="s">
        <v>19822</v>
      </c>
      <c r="C15738" s="5" t="str">
        <f>IFERROR(__xludf.DUMMYFUNCTION("GOOGLETRANSLATE(B15738,""en"",""zh-CN"")"),"现在，一个女人站在走廊上，因为她将顶部的顶部拧到杆子上并在末端涂上布，然后将喷雾瓶绑在臀部上。")</f>
        <v>现在，一个女人站在走廊上，因为她将顶部的顶部拧到杆子上并在末端涂上布，然后将喷雾瓶绑在臀部上。</v>
      </c>
    </row>
    <row r="15739">
      <c r="A15739" s="4" t="s">
        <v>19817</v>
      </c>
      <c r="B15739" s="6" t="s">
        <v>19823</v>
      </c>
      <c r="C15739" s="5" t="str">
        <f>IFERROR(__xludf.DUMMYFUNCTION("GOOGLETRANSLATE(B15739,""en"",""zh-CN"")"),"然后，该名女子开始在清洁工具上喷涂布，并开始清洁办公室中的各个不同区域，包括窗户，电梯门，电视和换衣服，以适合她正在工作的表面。")</f>
        <v>然后，该名女子开始在清洁工具上喷涂布，并开始清洁办公室中的各个不同区域，包括窗户，电梯门，电视和换衣服，以适合她正在工作的表面。</v>
      </c>
    </row>
    <row r="15740">
      <c r="A15740" s="4" t="s">
        <v>19817</v>
      </c>
      <c r="B15740" s="6" t="s">
        <v>19824</v>
      </c>
      <c r="C15740" s="5" t="str">
        <f>IFERROR(__xludf.DUMMYFUNCTION("GOOGLETRANSLATE(B15740,""en"",""zh-CN"")"),"现在在双玻璃门上看到该名女子，因为她现在手里拿着一块布来清洁门和其他表面。")</f>
        <v>现在在双玻璃门上看到该名女子，因为她现在手里拿着一块布来清洁门和其他表面。</v>
      </c>
    </row>
    <row r="15741">
      <c r="A15741" s="4" t="s">
        <v>19817</v>
      </c>
      <c r="B15741" s="6" t="s">
        <v>19825</v>
      </c>
      <c r="C15741" s="5" t="str">
        <f>IFERROR(__xludf.DUMMYFUNCTION("GOOGLETRANSLATE(B15741,""en"",""zh-CN"")"),"然后显示女士将不同的衣服放入洗衣机中，然后将清洁工具挂在墙上。")</f>
        <v>然后显示女士将不同的衣服放入洗衣机中，然后将清洁工具挂在墙上。</v>
      </c>
    </row>
    <row r="15742">
      <c r="A15742" s="4" t="s">
        <v>19817</v>
      </c>
      <c r="B15742" s="4" t="s">
        <v>19826</v>
      </c>
      <c r="C15742" s="5" t="str">
        <f>IFERROR(__xludf.DUMMYFUNCTION("GOOGLETRANSLATE(B15742,""en"",""zh-CN"")"),"出现了一个黑屏，它包含与一开始相同的白色横幅。")</f>
        <v>出现了一个黑屏，它包含与一开始相同的白色横幅。</v>
      </c>
    </row>
    <row r="15743">
      <c r="A15743" s="4" t="s">
        <v>19827</v>
      </c>
      <c r="B15743" s="4" t="s">
        <v>19828</v>
      </c>
      <c r="C15743" s="5" t="str">
        <f>IFERROR(__xludf.DUMMYFUNCTION("GOOGLETRANSLATE(B15743,""en"",""zh-CN"")"),"当他站在女性旁边时，一个男人正在以疯狂的方式摩擦双手。")</f>
        <v>当他站在女性旁边时，一个男人正在以疯狂的方式摩擦双手。</v>
      </c>
    </row>
    <row r="15744">
      <c r="A15744" s="4" t="s">
        <v>19827</v>
      </c>
      <c r="B15744" s="4" t="s">
        <v>19829</v>
      </c>
      <c r="C15744" s="5" t="str">
        <f>IFERROR(__xludf.DUMMYFUNCTION("GOOGLETRANSLATE(B15744,""en"",""zh-CN"")"),"相机发生了变化，您可以看到他在一个赌场里玩黑色杰克游戏。")</f>
        <v>相机发生了变化，您可以看到他在一个赌场里玩黑色杰克游戏。</v>
      </c>
    </row>
    <row r="15745">
      <c r="A15745" s="4" t="s">
        <v>19827</v>
      </c>
      <c r="B15745" s="4" t="s">
        <v>19830</v>
      </c>
      <c r="C15745" s="5" t="str">
        <f>IFERROR(__xludf.DUMMYFUNCTION("GOOGLETRANSLATE(B15745,""en"",""zh-CN"")"),"一旦经销商翻转了所有卡片，两者再次被显示出来并微笑。")</f>
        <v>一旦经销商翻转了所有卡片，两者再次被显示出来并微笑。</v>
      </c>
    </row>
    <row r="15746">
      <c r="A15746" s="4" t="s">
        <v>19831</v>
      </c>
      <c r="B15746" s="4" t="s">
        <v>19832</v>
      </c>
      <c r="C15746" s="5" t="str">
        <f>IFERROR(__xludf.DUMMYFUNCTION("GOOGLETRANSLATE(B15746,""en"",""zh-CN"")"),"显示了一个大波涛汹涌的瀑布。")</f>
        <v>显示了一个大波涛汹涌的瀑布。</v>
      </c>
    </row>
    <row r="15747">
      <c r="A15747" s="4" t="s">
        <v>19831</v>
      </c>
      <c r="B15747" s="4" t="s">
        <v>19833</v>
      </c>
      <c r="C15747" s="5" t="str">
        <f>IFERROR(__xludf.DUMMYFUNCTION("GOOGLETRANSLATE(B15747,""en"",""zh-CN"")"),"一个人躺在水上的松弛线上。")</f>
        <v>一个人躺在水上的松弛线上。</v>
      </c>
    </row>
    <row r="15748">
      <c r="A15748" s="4" t="s">
        <v>19831</v>
      </c>
      <c r="B15748" s="4" t="s">
        <v>19834</v>
      </c>
      <c r="C15748" s="5" t="str">
        <f>IFERROR(__xludf.DUMMYFUNCTION("GOOGLETRANSLATE(B15748,""en"",""zh-CN"")"),"一个人弹吉他坐在岩石上。")</f>
        <v>一个人弹吉他坐在岩石上。</v>
      </c>
    </row>
    <row r="15749">
      <c r="A15749" s="4" t="s">
        <v>19835</v>
      </c>
      <c r="B15749" s="4" t="s">
        <v>19836</v>
      </c>
      <c r="C15749" s="5" t="str">
        <f>IFERROR(__xludf.DUMMYFUNCTION("GOOGLETRANSLATE(B15749,""en"",""zh-CN"")"),"不同年龄的孩子在操场上玩。")</f>
        <v>不同年龄的孩子在操场上玩。</v>
      </c>
    </row>
    <row r="15750">
      <c r="A15750" s="4" t="s">
        <v>19835</v>
      </c>
      <c r="B15750" s="4" t="s">
        <v>19837</v>
      </c>
      <c r="C15750" s="5" t="str">
        <f>IFERROR(__xludf.DUMMYFUNCTION("GOOGLETRANSLATE(B15750,""en"",""zh-CN"")"),"在操场上，有几个女人在谈论。")</f>
        <v>在操场上，有几个女人在谈论。</v>
      </c>
    </row>
    <row r="15751">
      <c r="A15751" s="4" t="s">
        <v>19835</v>
      </c>
      <c r="B15751" s="4" t="s">
        <v>19838</v>
      </c>
      <c r="C15751" s="5" t="str">
        <f>IFERROR(__xludf.DUMMYFUNCTION("GOOGLETRANSLATE(B15751,""en"",""zh-CN"")"),"一个抱着婴儿的年轻女子走到秋千上，把婴儿放在秋千上。")</f>
        <v>一个抱着婴儿的年轻女子走到秋千上，把婴儿放在秋千上。</v>
      </c>
    </row>
    <row r="15752">
      <c r="A15752" s="4" t="s">
        <v>19835</v>
      </c>
      <c r="B15752" s="4" t="s">
        <v>19839</v>
      </c>
      <c r="C15752" s="5" t="str">
        <f>IFERROR(__xludf.DUMMYFUNCTION("GOOGLETRANSLATE(B15752,""en"",""zh-CN"")"),"然后，她在婴儿的前面行走，坐在婴儿秋千上的成人座椅上。")</f>
        <v>然后，她在婴儿的前面行走，坐在婴儿秋千上的成人座椅上。</v>
      </c>
    </row>
    <row r="15753">
      <c r="A15753" s="4" t="s">
        <v>19835</v>
      </c>
      <c r="B15753" s="4" t="s">
        <v>19840</v>
      </c>
      <c r="C15753" s="5" t="str">
        <f>IFERROR(__xludf.DUMMYFUNCTION("GOOGLETRANSLATE(B15753,""en"",""zh-CN"")"),"另一个女人和几个孩子一起走过。")</f>
        <v>另一个女人和几个孩子一起走过。</v>
      </c>
    </row>
    <row r="15754">
      <c r="A15754" s="4" t="s">
        <v>19835</v>
      </c>
      <c r="B15754" s="4" t="s">
        <v>19841</v>
      </c>
      <c r="C15754" s="5" t="str">
        <f>IFERROR(__xludf.DUMMYFUNCTION("GOOGLETRANSLATE(B15754,""en"",""zh-CN"")"),"秋千上的女人在与他交谈并向他面对面时挥舞着婴儿。")</f>
        <v>秋千上的女人在与他交谈并向他面对面时挥舞着婴儿。</v>
      </c>
    </row>
    <row r="15755">
      <c r="A15755" s="4" t="s">
        <v>19842</v>
      </c>
      <c r="B15755" s="4" t="s">
        <v>19843</v>
      </c>
      <c r="C15755" s="5" t="str">
        <f>IFERROR(__xludf.DUMMYFUNCTION("GOOGLETRANSLATE(B15755,""en"",""zh-CN"")"),"一个人展示了如何在轮胎中更换管子。")</f>
        <v>一个人展示了如何在轮胎中更换管子。</v>
      </c>
    </row>
    <row r="15756">
      <c r="A15756" s="4" t="s">
        <v>19842</v>
      </c>
      <c r="B15756" s="4" t="s">
        <v>19844</v>
      </c>
      <c r="C15756" s="5" t="str">
        <f>IFERROR(__xludf.DUMMYFUNCTION("GOOGLETRANSLATE(B15756,""en"",""zh-CN"")"),"他将旧管子取出，将新管子放入，然后将其泵起来。")</f>
        <v>他将旧管子取出，将新管子放入，然后将其泵起来。</v>
      </c>
    </row>
    <row r="15757">
      <c r="A15757" s="4" t="s">
        <v>19845</v>
      </c>
      <c r="B15757" s="4" t="s">
        <v>19846</v>
      </c>
      <c r="C15757" s="5" t="str">
        <f>IFERROR(__xludf.DUMMYFUNCTION("GOOGLETRANSLATE(B15757,""en"",""zh-CN"")"),"显示了几张文字的镜头，后面是一个人走进框架。")</f>
        <v>显示了几张文字的镜头，后面是一个人走进框架。</v>
      </c>
    </row>
    <row r="15758">
      <c r="A15758" s="4" t="s">
        <v>19845</v>
      </c>
      <c r="B15758" s="4" t="s">
        <v>19847</v>
      </c>
      <c r="C15758" s="5" t="str">
        <f>IFERROR(__xludf.DUMMYFUNCTION("GOOGLETRANSLATE(B15758,""en"",""zh-CN"")"),"然后，该人走进和走出框架，在地面上进行各种舞蹈动作。")</f>
        <v>然后，该人走进和走出框架，在地面上进行各种舞蹈动作。</v>
      </c>
    </row>
    <row r="15759">
      <c r="A15759" s="4" t="s">
        <v>19845</v>
      </c>
      <c r="B15759" s="4" t="s">
        <v>19848</v>
      </c>
      <c r="C15759" s="5" t="str">
        <f>IFERROR(__xludf.DUMMYFUNCTION("GOOGLETRANSLATE(B15759,""en"",""zh-CN"")"),"该人继续在地面上移动并演示如何执行移动。")</f>
        <v>该人继续在地面上移动并演示如何执行移动。</v>
      </c>
    </row>
    <row r="15760">
      <c r="A15760" s="4" t="s">
        <v>19849</v>
      </c>
      <c r="B15760" s="6" t="s">
        <v>19850</v>
      </c>
      <c r="C15760" s="5" t="str">
        <f>IFERROR(__xludf.DUMMYFUNCTION("GOOGLETRANSLATE(B15760,""en"",""zh-CN"")"),"看到人们坐在桌子旁，一个人站在他们旁边，从水烟中抽水。")</f>
        <v>看到人们坐在桌子旁，一个人站在他们旁边，从水烟中抽水。</v>
      </c>
    </row>
    <row r="15761">
      <c r="A15761" s="4" t="s">
        <v>19849</v>
      </c>
      <c r="B15761" s="6" t="s">
        <v>19851</v>
      </c>
      <c r="C15761" s="5" t="str">
        <f>IFERROR(__xludf.DUMMYFUNCTION("GOOGLETRANSLATE(B15761,""en"",""zh-CN"")"),"他把软管交给了一个坐着的女孩，她撕裂了几次，男人向相机说话。")</f>
        <v>他把软管交给了一个坐着的女孩，她撕裂了几次，男人向相机说话。</v>
      </c>
    </row>
    <row r="15762">
      <c r="A15762" s="4" t="s">
        <v>19849</v>
      </c>
      <c r="B15762" s="6" t="s">
        <v>19852</v>
      </c>
      <c r="C15762" s="5" t="str">
        <f>IFERROR(__xludf.DUMMYFUNCTION("GOOGLETRANSLATE(B15762,""en"",""zh-CN"")"),"女孩们将软管交给另一个坐着，而她拿下几击并将其传递给另一个人。")</f>
        <v>女孩们将软管交给另一个坐着，而她拿下几击并将其传递给另一个人。</v>
      </c>
    </row>
    <row r="15763">
      <c r="A15763" s="4" t="s">
        <v>19853</v>
      </c>
      <c r="B15763" s="4" t="s">
        <v>19854</v>
      </c>
      <c r="C15763" s="5" t="str">
        <f>IFERROR(__xludf.DUMMYFUNCTION("GOOGLETRANSLATE(B15763,""en"",""zh-CN"")"),"两个男孩在不同时间穿着头盔的街道滑板。")</f>
        <v>两个男孩在不同时间穿着头盔的街道滑板。</v>
      </c>
    </row>
    <row r="15764">
      <c r="A15764" s="4" t="s">
        <v>19853</v>
      </c>
      <c r="B15764" s="6" t="s">
        <v>19855</v>
      </c>
      <c r="C15764" s="5" t="str">
        <f>IFERROR(__xludf.DUMMYFUNCTION("GOOGLETRANSLATE(B15764,""en"",""zh-CN"")"),"穿着蓝色T恤的滑板手和黑色头盔滑板，穿过街头和住宅区的街道。")</f>
        <v>穿着蓝色T恤的滑板手和黑色头盔滑板，穿过街头和住宅区的街道。</v>
      </c>
    </row>
    <row r="15765">
      <c r="A15765" s="4" t="s">
        <v>19853</v>
      </c>
      <c r="B15765" s="6" t="s">
        <v>19856</v>
      </c>
      <c r="C15765" s="5" t="str">
        <f>IFERROR(__xludf.DUMMYFUNCTION("GOOGLETRANSLATE(B15765,""en"",""zh-CN"")"),"一名穿着所有黑色掉在滑板上的滑板运动员上铺好的街道，起身走下去。")</f>
        <v>一名穿着所有黑色掉在滑板上的滑板运动员上铺好的街道，起身走下去。</v>
      </c>
    </row>
    <row r="15766">
      <c r="A15766" s="4" t="s">
        <v>19857</v>
      </c>
      <c r="B15766" s="4" t="s">
        <v>19858</v>
      </c>
      <c r="C15766" s="5" t="str">
        <f>IFERROR(__xludf.DUMMYFUNCTION("GOOGLETRANSLATE(B15766,""en"",""zh-CN"")"),"看到一个男人的嘴里有一条绳子，骑着马立刻扎着小牛。")</f>
        <v>看到一个男人的嘴里有一条绳子，骑着马立刻扎着小牛。</v>
      </c>
    </row>
    <row r="15767">
      <c r="A15767" s="4" t="s">
        <v>19857</v>
      </c>
      <c r="B15767" s="6" t="s">
        <v>19859</v>
      </c>
      <c r="C15767" s="5" t="str">
        <f>IFERROR(__xludf.DUMMYFUNCTION("GOOGLETRANSLATE(B15767,""en"",""zh-CN"")"),"他将小牛扔下并绑起来，然后其他几个男人以不同的速度表现出相同的技巧。")</f>
        <v>他将小牛扔下并绑起来，然后其他几个男人以不同的速度表现出相同的技巧。</v>
      </c>
    </row>
    <row r="15768">
      <c r="A15768" s="4" t="s">
        <v>19860</v>
      </c>
      <c r="B15768" s="4" t="s">
        <v>19861</v>
      </c>
      <c r="C15768" s="5" t="str">
        <f>IFERROR(__xludf.DUMMYFUNCTION("GOOGLETRANSLATE(B15768,""en"",""zh-CN"")"),"一个女人在偶尔和镜头说话时用拖把清洗自助餐厅地板。")</f>
        <v>一个女人在偶尔和镜头说话时用拖把清洗自助餐厅地板。</v>
      </c>
    </row>
    <row r="15769">
      <c r="A15769" s="4" t="s">
        <v>19860</v>
      </c>
      <c r="B15769" s="4" t="s">
        <v>19862</v>
      </c>
      <c r="C15769" s="5" t="str">
        <f>IFERROR(__xludf.DUMMYFUNCTION("GOOGLETRANSLATE(B15769,""en"",""zh-CN"")"),"女人走去并清洁自助餐厅地板的另一部分。")</f>
        <v>女人走去并清洁自助餐厅地板的另一部分。</v>
      </c>
    </row>
    <row r="15770">
      <c r="A15770" s="4" t="s">
        <v>19860</v>
      </c>
      <c r="B15770" s="4" t="s">
        <v>19863</v>
      </c>
      <c r="C15770" s="5" t="str">
        <f>IFERROR(__xludf.DUMMYFUNCTION("GOOGLETRANSLATE(B15770,""en"",""zh-CN"")"),"那个女人把拖把头插入了一个水桶。")</f>
        <v>那个女人把拖把头插入了一个水桶。</v>
      </c>
    </row>
    <row r="15771">
      <c r="A15771" s="4" t="s">
        <v>19860</v>
      </c>
      <c r="B15771" s="4" t="s">
        <v>19864</v>
      </c>
      <c r="C15771" s="5" t="str">
        <f>IFERROR(__xludf.DUMMYFUNCTION("GOOGLETRANSLATE(B15771,""en"",""zh-CN"")"),"许多人在后台走路。")</f>
        <v>许多人在后台走路。</v>
      </c>
    </row>
    <row r="15772">
      <c r="A15772" s="4" t="s">
        <v>19860</v>
      </c>
      <c r="B15772" s="4" t="s">
        <v>7146</v>
      </c>
      <c r="C15772" s="5" t="str">
        <f>IFERROR(__xludf.DUMMYFUNCTION("GOOGLETRANSLATE(B15772,""en"",""zh-CN"")"),"那个女人和镜头说话。")</f>
        <v>那个女人和镜头说话。</v>
      </c>
    </row>
    <row r="15773">
      <c r="A15773" s="4" t="s">
        <v>19865</v>
      </c>
      <c r="B15773" s="4" t="s">
        <v>19866</v>
      </c>
      <c r="C15773" s="5" t="str">
        <f>IFERROR(__xludf.DUMMYFUNCTION("GOOGLETRANSLATE(B15773,""en"",""zh-CN"")"),"一个男人站着一匹棕色马。")</f>
        <v>一个男人站着一匹棕色马。</v>
      </c>
    </row>
    <row r="15774">
      <c r="A15774" s="4" t="s">
        <v>19865</v>
      </c>
      <c r="B15774" s="4" t="s">
        <v>5248</v>
      </c>
      <c r="C15774" s="5" t="str">
        <f>IFERROR(__xludf.DUMMYFUNCTION("GOOGLETRANSLATE(B15774,""en"",""zh-CN"")"),"人们沿着一条土路骑马。")</f>
        <v>人们沿着一条土路骑马。</v>
      </c>
    </row>
    <row r="15775">
      <c r="A15775" s="4" t="s">
        <v>19865</v>
      </c>
      <c r="B15775" s="4" t="s">
        <v>19867</v>
      </c>
      <c r="C15775" s="5" t="str">
        <f>IFERROR(__xludf.DUMMYFUNCTION("GOOGLETRANSLATE(B15775,""en"",""zh-CN"")"),"马正在喝水。")</f>
        <v>马正在喝水。</v>
      </c>
    </row>
    <row r="15776">
      <c r="A15776" s="4" t="s">
        <v>19865</v>
      </c>
      <c r="B15776" s="4" t="s">
        <v>19868</v>
      </c>
      <c r="C15776" s="5" t="str">
        <f>IFERROR(__xludf.DUMMYFUNCTION("GOOGLETRANSLATE(B15776,""en"",""zh-CN"")"),"他们继续沿着马的小径行走。")</f>
        <v>他们继续沿着马的小径行走。</v>
      </c>
    </row>
    <row r="15777">
      <c r="A15777" s="4" t="s">
        <v>19865</v>
      </c>
      <c r="B15777" s="4" t="s">
        <v>19869</v>
      </c>
      <c r="C15777" s="5" t="str">
        <f>IFERROR(__xludf.DUMMYFUNCTION("GOOGLETRANSLATE(B15777,""en"",""zh-CN"")"),"显示了棕色房屋的照片。")</f>
        <v>显示了棕色房屋的照片。</v>
      </c>
    </row>
    <row r="15778">
      <c r="A15778" s="4" t="s">
        <v>19870</v>
      </c>
      <c r="B15778" s="4" t="s">
        <v>19871</v>
      </c>
      <c r="C15778" s="5" t="str">
        <f>IFERROR(__xludf.DUMMYFUNCTION("GOOGLETRANSLATE(B15778,""en"",""zh-CN"")"),"DX运动的介绍开始，并显示两名男子在道路上滑冰。")</f>
        <v>DX运动的介绍开始，并显示两名男子在道路上滑冰。</v>
      </c>
    </row>
    <row r="15779">
      <c r="A15779" s="4" t="s">
        <v>19870</v>
      </c>
      <c r="B15779" s="6" t="s">
        <v>19872</v>
      </c>
      <c r="C15779" s="5" t="str">
        <f>IFERROR(__xludf.DUMMYFUNCTION("GOOGLETRANSLATE(B15779,""en"",""zh-CN"")"),"当相机跟随他们靠在蜿蜒的道路后面时，继续沿着道路骑行。")</f>
        <v>当相机跟随他们靠在蜿蜒的道路后面时，继续沿着道路骑行。</v>
      </c>
    </row>
    <row r="15780">
      <c r="A15780" s="4" t="s">
        <v>19870</v>
      </c>
      <c r="B15780" s="4" t="s">
        <v>19873</v>
      </c>
      <c r="C15780" s="5" t="str">
        <f>IFERROR(__xludf.DUMMYFUNCTION("GOOGLETRANSLATE(B15780,""en"",""zh-CN"")"),"这些人最终乘坐汽车，沿着漫长的道路骑行。")</f>
        <v>这些人最终乘坐汽车，沿着漫长的道路骑行。</v>
      </c>
    </row>
    <row r="15781">
      <c r="A15781" s="4" t="s">
        <v>19874</v>
      </c>
      <c r="B15781" s="4" t="s">
        <v>19875</v>
      </c>
      <c r="C15781" s="5" t="str">
        <f>IFERROR(__xludf.DUMMYFUNCTION("GOOGLETRANSLATE(B15781,""en"",""zh-CN"")"),"一个人展示了靴子和闪亮的工具。")</f>
        <v>一个人展示了靴子和闪亮的工具。</v>
      </c>
    </row>
    <row r="15782">
      <c r="A15782" s="4" t="s">
        <v>19874</v>
      </c>
      <c r="B15782" s="4" t="s">
        <v>19876</v>
      </c>
      <c r="C15782" s="5" t="str">
        <f>IFERROR(__xludf.DUMMYFUNCTION("GOOGLETRANSLATE(B15782,""en"",""zh-CN"")"),"然后，男人用布清洗鞋子。")</f>
        <v>然后，男人用布清洗鞋子。</v>
      </c>
    </row>
    <row r="15783">
      <c r="A15783" s="4" t="s">
        <v>19874</v>
      </c>
      <c r="B15783" s="4" t="s">
        <v>19877</v>
      </c>
      <c r="C15783" s="5" t="str">
        <f>IFERROR(__xludf.DUMMYFUNCTION("GOOGLETRANSLATE(B15783,""en"",""zh-CN"")"),"之后，该人指着鞋子的尖端并涂上黑色油漆并显示鞋垫。")</f>
        <v>之后，该人指着鞋子的尖端并涂上黑色油漆并显示鞋垫。</v>
      </c>
    </row>
    <row r="15784">
      <c r="A15784" s="4" t="s">
        <v>19874</v>
      </c>
      <c r="B15784" s="4" t="s">
        <v>19878</v>
      </c>
      <c r="C15784" s="5" t="str">
        <f>IFERROR(__xludf.DUMMYFUNCTION("GOOGLETRANSLATE(B15784,""en"",""zh-CN"")"),"然后，喷涂鞋子后，该男子用奶油擦洗鞋子。")</f>
        <v>然后，喷涂鞋子后，该男子用奶油擦洗鞋子。</v>
      </c>
    </row>
    <row r="15785">
      <c r="A15785" s="4" t="s">
        <v>19879</v>
      </c>
      <c r="B15785" s="4" t="s">
        <v>19880</v>
      </c>
      <c r="C15785" s="5" t="str">
        <f>IFERROR(__xludf.DUMMYFUNCTION("GOOGLETRANSLATE(B15785,""en"",""zh-CN"")"),"一个孩子坐在鼓盘后面。")</f>
        <v>一个孩子坐在鼓盘后面。</v>
      </c>
    </row>
    <row r="15786">
      <c r="A15786" s="4" t="s">
        <v>19879</v>
      </c>
      <c r="B15786" s="4" t="s">
        <v>19881</v>
      </c>
      <c r="C15786" s="5" t="str">
        <f>IFERROR(__xludf.DUMMYFUNCTION("GOOGLETRANSLATE(B15786,""en"",""zh-CN"")"),"他开始在他面前打鼓。")</f>
        <v>他开始在他面前打鼓。</v>
      </c>
    </row>
    <row r="15787">
      <c r="A15787" s="4" t="s">
        <v>19879</v>
      </c>
      <c r="B15787" s="4" t="s">
        <v>19882</v>
      </c>
      <c r="C15787" s="5" t="str">
        <f>IFERROR(__xludf.DUMMYFUNCTION("GOOGLETRANSLATE(B15787,""en"",""zh-CN"")"),"他站起来向人群挥手。")</f>
        <v>他站起来向人群挥手。</v>
      </c>
    </row>
    <row r="15788">
      <c r="A15788" s="4" t="s">
        <v>19883</v>
      </c>
      <c r="B15788" s="4" t="s">
        <v>19884</v>
      </c>
      <c r="C15788" s="5" t="str">
        <f>IFERROR(__xludf.DUMMYFUNCTION("GOOGLETRANSLATE(B15788,""en"",""zh-CN"")"),"人正在用曲棍球杆打球。")</f>
        <v>人正在用曲棍球杆打球。</v>
      </c>
    </row>
    <row r="15789">
      <c r="A15789" s="4" t="s">
        <v>19883</v>
      </c>
      <c r="B15789" s="4" t="s">
        <v>19885</v>
      </c>
      <c r="C15789" s="5" t="str">
        <f>IFERROR(__xludf.DUMMYFUNCTION("GOOGLETRANSLATE(B15789,""en"",""zh-CN"")"),"小孩子用杆子从地板上抓住球。")</f>
        <v>小孩子用杆子从地板上抓住球。</v>
      </c>
    </row>
    <row r="15790">
      <c r="A15790" s="4" t="s">
        <v>19883</v>
      </c>
      <c r="B15790" s="4" t="s">
        <v>19886</v>
      </c>
      <c r="C15790" s="5" t="str">
        <f>IFERROR(__xludf.DUMMYFUNCTION("GOOGLETRANSLATE(B15790,""en"",""zh-CN"")"),"孩子在绿色的草地上玩球。")</f>
        <v>孩子在绿色的草地上玩球。</v>
      </c>
    </row>
    <row r="15791">
      <c r="A15791" s="4" t="s">
        <v>19887</v>
      </c>
      <c r="B15791" s="4" t="s">
        <v>19888</v>
      </c>
      <c r="C15791" s="5" t="str">
        <f>IFERROR(__xludf.DUMMYFUNCTION("GOOGLETRANSLATE(B15791,""en"",""zh-CN"")"),"看到一个森林区，年轻人走上街道。")</f>
        <v>看到一个森林区，年轻人走上街道。</v>
      </c>
    </row>
    <row r="15792">
      <c r="A15792" s="4" t="s">
        <v>19887</v>
      </c>
      <c r="B15792" s="6" t="s">
        <v>19889</v>
      </c>
      <c r="C15792" s="5" t="str">
        <f>IFERROR(__xludf.DUMMYFUNCTION("GOOGLETRANSLATE(B15792,""en"",""zh-CN"")"),"一群滑板运动员在一条森林的道路上互相比赛，并被手推车汽车拉回顶部。")</f>
        <v>一群滑板运动员在一条森林的道路上互相比赛，并被手推车汽车拉回顶部。</v>
      </c>
    </row>
    <row r="15793">
      <c r="A15793" s="4" t="s">
        <v>19887</v>
      </c>
      <c r="B15793" s="6" t="s">
        <v>19890</v>
      </c>
      <c r="C15793" s="5" t="str">
        <f>IFERROR(__xludf.DUMMYFUNCTION("GOOGLETRANSLATE(B15793,""en"",""zh-CN"")"),"滑板运动员沿着森林街道骑行，一个又一次地骑着滑倒，而当朋友沿着侧面观看时，艰难地转弯。")</f>
        <v>滑板运动员沿着森林街道骑行，一个又一次地骑着滑倒，而当朋友沿着侧面观看时，艰难地转弯。</v>
      </c>
    </row>
    <row r="15794">
      <c r="A15794" s="4" t="s">
        <v>19891</v>
      </c>
      <c r="B15794" s="4" t="s">
        <v>19892</v>
      </c>
      <c r="C15794" s="5" t="str">
        <f>IFERROR(__xludf.DUMMYFUNCTION("GOOGLETRANSLATE(B15794,""en"",""zh-CN"")"),"看到一大批人坐在一个舞台上，导致男人和女人主持。")</f>
        <v>看到一大批人坐在一个舞台上，导致男人和女人主持。</v>
      </c>
    </row>
    <row r="15795">
      <c r="A15795" s="4" t="s">
        <v>19891</v>
      </c>
      <c r="B15795" s="6" t="s">
        <v>19893</v>
      </c>
      <c r="C15795" s="5" t="str">
        <f>IFERROR(__xludf.DUMMYFUNCTION("GOOGLETRANSLATE(B15795,""en"",""zh-CN"")"),"主人在舞台上带领一大批人互相表演舞蹈。")</f>
        <v>主人在舞台上带领一大批人互相表演舞蹈。</v>
      </c>
    </row>
    <row r="15796">
      <c r="A15796" s="4" t="s">
        <v>19891</v>
      </c>
      <c r="B15796" s="6" t="s">
        <v>19894</v>
      </c>
      <c r="C15796" s="5" t="str">
        <f>IFERROR(__xludf.DUMMYFUNCTION("GOOGLETRANSLATE(B15796,""en"",""zh-CN"")"),"人民继续彼此跳舞，并以法官的鼓掌和带领他们离开。")</f>
        <v>人民继续彼此跳舞，并以法官的鼓掌和带领他们离开。</v>
      </c>
    </row>
    <row r="15797">
      <c r="A15797" s="4" t="s">
        <v>19895</v>
      </c>
      <c r="B15797" s="4" t="s">
        <v>19896</v>
      </c>
      <c r="C15797" s="5" t="str">
        <f>IFERROR(__xludf.DUMMYFUNCTION("GOOGLETRANSLATE(B15797,""en"",""zh-CN"")"),"小孩子在墙前演奏萨克斯管。")</f>
        <v>小孩子在墙前演奏萨克斯管。</v>
      </c>
    </row>
    <row r="15798">
      <c r="A15798" s="4" t="s">
        <v>19895</v>
      </c>
      <c r="B15798" s="4" t="s">
        <v>19897</v>
      </c>
      <c r="C15798" s="5" t="str">
        <f>IFERROR(__xludf.DUMMYFUNCTION("GOOGLETRANSLATE(B15798,""en"",""zh-CN"")"),"人们在孩子面前经过。")</f>
        <v>人们在孩子面前经过。</v>
      </c>
    </row>
    <row r="15799">
      <c r="A15799" s="4" t="s">
        <v>19895</v>
      </c>
      <c r="B15799" s="4" t="s">
        <v>19898</v>
      </c>
      <c r="C15799" s="5" t="str">
        <f>IFERROR(__xludf.DUMMYFUNCTION("GOOGLETRANSLATE(B15799,""en"",""zh-CN"")"),"老人跪在孩子的帽子里。")</f>
        <v>老人跪在孩子的帽子里。</v>
      </c>
    </row>
    <row r="15800">
      <c r="A15800" s="4" t="s">
        <v>19899</v>
      </c>
      <c r="B15800" s="4" t="s">
        <v>19900</v>
      </c>
      <c r="C15800" s="5" t="str">
        <f>IFERROR(__xludf.DUMMYFUNCTION("GOOGLETRANSLATE(B15800,""en"",""zh-CN"")"),"看到一个运动员站在一个圈子里，双臂伸到一边。")</f>
        <v>看到一个运动员站在一个圈子里，双臂伸到一边。</v>
      </c>
    </row>
    <row r="15801">
      <c r="A15801" s="4" t="s">
        <v>19899</v>
      </c>
      <c r="B15801" s="4" t="s">
        <v>19901</v>
      </c>
      <c r="C15801" s="5" t="str">
        <f>IFERROR(__xludf.DUMMYFUNCTION("GOOGLETRANSLATE(B15801,""en"",""zh-CN"")"),"然后，该男子开始在周围和周围的一个物体周围摆动。")</f>
        <v>然后，该男子开始在周围和周围的一个物体周围摆动。</v>
      </c>
    </row>
    <row r="15802">
      <c r="A15802" s="4" t="s">
        <v>19899</v>
      </c>
      <c r="B15802" s="4" t="s">
        <v>19902</v>
      </c>
      <c r="C15802" s="5" t="str">
        <f>IFERROR(__xludf.DUMMYFUNCTION("GOOGLETRANSLATE(B15802,""en"",""zh-CN"")"),"该男子继续将其扔到远处，继续旋转并结束。")</f>
        <v>该男子继续将其扔到远处，继续旋转并结束。</v>
      </c>
    </row>
    <row r="15803">
      <c r="A15803" s="4" t="s">
        <v>19903</v>
      </c>
      <c r="B15803" s="6" t="s">
        <v>19904</v>
      </c>
      <c r="C15803" s="5" t="str">
        <f>IFERROR(__xludf.DUMMYFUNCTION("GOOGLETRANSLATE(B15803,""en"",""zh-CN"")"),"有三个人在封闭的球场上打壁球，景色来自戴着相机的人。")</f>
        <v>有三个人在封闭的球场上打壁球，景色来自戴着相机的人。</v>
      </c>
    </row>
    <row r="15804">
      <c r="A15804" s="4" t="s">
        <v>19903</v>
      </c>
      <c r="B15804" s="6" t="s">
        <v>19905</v>
      </c>
      <c r="C15804" s="5" t="str">
        <f>IFERROR(__xludf.DUMMYFUNCTION("GOOGLETRANSLATE(B15804,""en"",""zh-CN"")"),"相机的人用球拍在球拍上捡起球，将其滚下来，然后撞到墙上。")</f>
        <v>相机的人用球拍在球拍上捡起球，将其滚下来，然后撞到墙上。</v>
      </c>
    </row>
    <row r="15805">
      <c r="A15805" s="4" t="s">
        <v>19903</v>
      </c>
      <c r="B15805" s="4" t="s">
        <v>19906</v>
      </c>
      <c r="C15805" s="5" t="str">
        <f>IFERROR(__xludf.DUMMYFUNCTION("GOOGLETRANSLATE(B15805,""en"",""zh-CN"")"),"景色改变了门，有两个人站在门口等待击球。")</f>
        <v>景色改变了门，有两个人站在门口等待击球。</v>
      </c>
    </row>
    <row r="15806">
      <c r="A15806" s="4" t="s">
        <v>19907</v>
      </c>
      <c r="B15806" s="4" t="s">
        <v>19908</v>
      </c>
      <c r="C15806" s="5" t="str">
        <f>IFERROR(__xludf.DUMMYFUNCTION("GOOGLETRANSLATE(B15806,""en"",""zh-CN"")"),"我们看到骑摩托车的闪烁图像。")</f>
        <v>我们看到骑摩托车的闪烁图像。</v>
      </c>
    </row>
    <row r="15807">
      <c r="A15807" s="4" t="s">
        <v>19907</v>
      </c>
      <c r="B15807" s="4" t="s">
        <v>19909</v>
      </c>
      <c r="C15807" s="5" t="str">
        <f>IFERROR(__xludf.DUMMYFUNCTION("GOOGLETRANSLATE(B15807,""en"",""zh-CN"")"),"我们看到一个男人的谈话站在一个城市上方。")</f>
        <v>我们看到一个男人的谈话站在一个城市上方。</v>
      </c>
    </row>
    <row r="15808">
      <c r="A15808" s="4" t="s">
        <v>19907</v>
      </c>
      <c r="B15808" s="4" t="s">
        <v>19910</v>
      </c>
      <c r="C15808" s="5" t="str">
        <f>IFERROR(__xludf.DUMMYFUNCTION("GOOGLETRANSLATE(B15808,""en"",""zh-CN"")"),"然后，我们看到摩托车特技。")</f>
        <v>然后，我们看到摩托车特技。</v>
      </c>
    </row>
    <row r="15809">
      <c r="A15809" s="4" t="s">
        <v>19907</v>
      </c>
      <c r="B15809" s="4" t="s">
        <v>19911</v>
      </c>
      <c r="C15809" s="5" t="str">
        <f>IFERROR(__xludf.DUMMYFUNCTION("GOOGLETRANSLATE(B15809,""en"",""zh-CN"")"),"一辆自行车在广场上跳了一群人。")</f>
        <v>一辆自行车在广场上跳了一群人。</v>
      </c>
    </row>
    <row r="15810">
      <c r="A15810" s="4" t="s">
        <v>19907</v>
      </c>
      <c r="B15810" s="4" t="s">
        <v>19912</v>
      </c>
      <c r="C15810" s="5" t="str">
        <f>IFERROR(__xludf.DUMMYFUNCTION("GOOGLETRANSLATE(B15810,""en"",""zh-CN"")"),"我们看到四辆自行车接一个地跳了一条坡道。")</f>
        <v>我们看到四辆自行车接一个地跳了一条坡道。</v>
      </c>
    </row>
    <row r="15811">
      <c r="A15811" s="4" t="s">
        <v>19907</v>
      </c>
      <c r="B15811" s="4" t="s">
        <v>19913</v>
      </c>
      <c r="C15811" s="5" t="str">
        <f>IFERROR(__xludf.DUMMYFUNCTION("GOOGLETRANSLATE(B15811,""en"",""zh-CN"")"),"我们看到一个穿着红色的男人说话。")</f>
        <v>我们看到一个穿着红色的男人说话。</v>
      </c>
    </row>
    <row r="15812">
      <c r="A15812" s="4" t="s">
        <v>19907</v>
      </c>
      <c r="B15812" s="4" t="s">
        <v>19914</v>
      </c>
      <c r="C15812" s="5" t="str">
        <f>IFERROR(__xludf.DUMMYFUNCTION("GOOGLETRANSLATE(B15812,""en"",""zh-CN"")"),"一个男人跳下自行车。")</f>
        <v>一个男人跳下自行车。</v>
      </c>
    </row>
    <row r="15813">
      <c r="A15813" s="4" t="s">
        <v>19907</v>
      </c>
      <c r="B15813" s="4" t="s">
        <v>19915</v>
      </c>
      <c r="C15813" s="5" t="str">
        <f>IFERROR(__xludf.DUMMYFUNCTION("GOOGLETRANSLATE(B15813,""en"",""zh-CN"")"),"一个男人吻了一个女人骑自行车。")</f>
        <v>一个男人吻了一个女人骑自行车。</v>
      </c>
    </row>
    <row r="15814">
      <c r="A15814" s="4" t="s">
        <v>19907</v>
      </c>
      <c r="B15814" s="4" t="s">
        <v>19916</v>
      </c>
      <c r="C15814" s="5" t="str">
        <f>IFERROR(__xludf.DUMMYFUNCTION("GOOGLETRANSLATE(B15814,""en"",""zh-CN"")"),"我们看到男孩在说话。")</f>
        <v>我们看到男孩在说话。</v>
      </c>
    </row>
    <row r="15815">
      <c r="A15815" s="4" t="s">
        <v>19907</v>
      </c>
      <c r="B15815" s="4" t="s">
        <v>19917</v>
      </c>
      <c r="C15815" s="5" t="str">
        <f>IFERROR(__xludf.DUMMYFUNCTION("GOOGLETRANSLATE(B15815,""en"",""zh-CN"")"),"一辆自行车正在吸烟。")</f>
        <v>一辆自行车正在吸烟。</v>
      </c>
    </row>
    <row r="15816">
      <c r="A15816" s="4" t="s">
        <v>19907</v>
      </c>
      <c r="B15816" s="4" t="s">
        <v>19918</v>
      </c>
      <c r="C15816" s="5" t="str">
        <f>IFERROR(__xludf.DUMMYFUNCTION("GOOGLETRANSLATE(B15816,""en"",""zh-CN"")"),"一个男人把手臂放在空中。")</f>
        <v>一个男人把手臂放在空中。</v>
      </c>
    </row>
    <row r="15817">
      <c r="A15817" s="4" t="s">
        <v>19907</v>
      </c>
      <c r="B15817" s="4" t="s">
        <v>19919</v>
      </c>
      <c r="C15817" s="5" t="str">
        <f>IFERROR(__xludf.DUMMYFUNCTION("GOOGLETRANSLATE(B15817,""en"",""zh-CN"")"),"我们看到一辆自行车砸碎了一个瓶子。")</f>
        <v>我们看到一辆自行车砸碎了一个瓶子。</v>
      </c>
    </row>
    <row r="15818">
      <c r="A15818" s="4" t="s">
        <v>19920</v>
      </c>
      <c r="B15818" s="4" t="s">
        <v>19921</v>
      </c>
      <c r="C15818" s="5" t="str">
        <f>IFERROR(__xludf.DUMMYFUNCTION("GOOGLETRANSLATE(B15818,""en"",""zh-CN"")"),"一段黑白视频显示了一支年轻的游行乐队在游行中走在街上。")</f>
        <v>一段黑白视频显示了一支年轻的游行乐队在游行中走在街上。</v>
      </c>
    </row>
    <row r="15819">
      <c r="A15819" s="4" t="s">
        <v>19920</v>
      </c>
      <c r="B15819" s="6" t="s">
        <v>19922</v>
      </c>
      <c r="C15819" s="5" t="str">
        <f>IFERROR(__xludf.DUMMYFUNCTION("GOOGLETRANSLATE(B15819,""en"",""zh-CN"")"),"乐队中的几个人走了，然后显示了一个男孩演奏小号的特写，他被突出了。")</f>
        <v>乐队中的几个人走了，然后显示了一个男孩演奏小号的特写，他被突出了。</v>
      </c>
    </row>
    <row r="15820">
      <c r="A15820" s="4" t="s">
        <v>19920</v>
      </c>
      <c r="B15820" s="4" t="s">
        <v>19923</v>
      </c>
      <c r="C15820" s="5" t="str">
        <f>IFERROR(__xludf.DUMMYFUNCTION("GOOGLETRANSLATE(B15820,""en"",""zh-CN"")"),"视频仍在继续，少校女孩开始跳舞。")</f>
        <v>视频仍在继续，少校女孩开始跳舞。</v>
      </c>
    </row>
    <row r="15821">
      <c r="A15821" s="4" t="s">
        <v>19920</v>
      </c>
      <c r="B15821" s="4" t="s">
        <v>19924</v>
      </c>
      <c r="C15821" s="5" t="str">
        <f>IFERROR(__xludf.DUMMYFUNCTION("GOOGLETRANSLATE(B15821,""en"",""zh-CN"")"),"现在，当小孩子开始看着他们时，他们站着不动，没有游行。")</f>
        <v>现在，当小孩子开始看着他们时，他们站着不动，没有游行。</v>
      </c>
    </row>
    <row r="15822">
      <c r="A15822" s="4" t="s">
        <v>19925</v>
      </c>
      <c r="B15822" s="4" t="s">
        <v>19926</v>
      </c>
      <c r="C15822" s="5" t="str">
        <f>IFERROR(__xludf.DUMMYFUNCTION("GOOGLETRANSLATE(B15822,""en"",""zh-CN"")"),"有两个男孩在院子里使用大绿色和红色耙子。")</f>
        <v>有两个男孩在院子里使用大绿色和红色耙子。</v>
      </c>
    </row>
    <row r="15823">
      <c r="A15823" s="4" t="s">
        <v>19925</v>
      </c>
      <c r="B15823" s="4" t="s">
        <v>19927</v>
      </c>
      <c r="C15823" s="5" t="str">
        <f>IFERROR(__xludf.DUMMYFUNCTION("GOOGLETRANSLATE(B15823,""en"",""zh-CN"")"),"一只狗不断地穿过树叶，把它们弄乱了。")</f>
        <v>一只狗不断地穿过树叶，把它们弄乱了。</v>
      </c>
    </row>
    <row r="15824">
      <c r="A15824" s="4" t="s">
        <v>19925</v>
      </c>
      <c r="B15824" s="4" t="s">
        <v>19928</v>
      </c>
      <c r="C15824" s="5" t="str">
        <f>IFERROR(__xludf.DUMMYFUNCTION("GOOGLETRANSLATE(B15824,""en"",""zh-CN"")"),"男孩们笑着继续试图耙树叶。")</f>
        <v>男孩们笑着继续试图耙树叶。</v>
      </c>
    </row>
    <row r="15825">
      <c r="A15825" s="4" t="s">
        <v>19929</v>
      </c>
      <c r="B15825" s="6" t="s">
        <v>19930</v>
      </c>
      <c r="C15825" s="5" t="str">
        <f>IFERROR(__xludf.DUMMYFUNCTION("GOOGLETRANSLATE(B15825,""en"",""zh-CN"")"),"可以看到一个大阶段，即在慢动作上的舞台上进行跳跃绳索的各个角度的过渡。")</f>
        <v>可以看到一个大阶段，即在慢动作上的舞台上进行跳跃绳索的各个角度的过渡。</v>
      </c>
    </row>
    <row r="15826">
      <c r="A15826" s="4" t="s">
        <v>19929</v>
      </c>
      <c r="B15826" s="6" t="s">
        <v>19931</v>
      </c>
      <c r="C15826" s="5" t="str">
        <f>IFERROR(__xludf.DUMMYFUNCTION("GOOGLETRANSLATE(B15826,""en"",""zh-CN"")"),"显示了更多人表现出令人难以置信的跳绳技巧的更多镜头，并以一群人举起手臂结束。")</f>
        <v>显示了更多人表现出令人难以置信的跳绳技巧的更多镜头，并以一群人举起手臂结束。</v>
      </c>
    </row>
    <row r="15827">
      <c r="A15827" s="4" t="s">
        <v>19932</v>
      </c>
      <c r="B15827" s="4" t="s">
        <v>19933</v>
      </c>
      <c r="C15827" s="5" t="str">
        <f>IFERROR(__xludf.DUMMYFUNCTION("GOOGLETRANSLATE(B15827,""en"",""zh-CN"")"),"一个摄像机在一个院子里周围竖起，并在皮带上展示两只狗。")</f>
        <v>一个摄像机在一个院子里周围竖起，并在皮带上展示两只狗。</v>
      </c>
    </row>
    <row r="15828">
      <c r="A15828" s="4" t="s">
        <v>19932</v>
      </c>
      <c r="B15828" s="4" t="s">
        <v>19934</v>
      </c>
      <c r="C15828" s="5" t="str">
        <f>IFERROR(__xludf.DUMMYFUNCTION("GOOGLETRANSLATE(B15828,""en"",""zh-CN"")"),"当汽车进出框架时，狗与该人一起移动。")</f>
        <v>当汽车进出框架时，狗与该人一起移动。</v>
      </c>
    </row>
    <row r="15829">
      <c r="A15829" s="4" t="s">
        <v>19932</v>
      </c>
      <c r="B15829" s="4" t="s">
        <v>19935</v>
      </c>
      <c r="C15829" s="5" t="str">
        <f>IFERROR(__xludf.DUMMYFUNCTION("GOOGLETRANSLATE(B15829,""en"",""zh-CN"")"),"摄像机最后在天空周围摇晃。")</f>
        <v>摄像机最后在天空周围摇晃。</v>
      </c>
    </row>
    <row r="15830">
      <c r="A15830" s="4" t="s">
        <v>19936</v>
      </c>
      <c r="B15830" s="4" t="s">
        <v>19937</v>
      </c>
      <c r="C15830" s="5" t="str">
        <f>IFERROR(__xludf.DUMMYFUNCTION("GOOGLETRANSLATE(B15830,""en"",""zh-CN"")"),"1视频的开头。")</f>
        <v>1视频的开头。</v>
      </c>
    </row>
    <row r="15831">
      <c r="A15831" s="4" t="s">
        <v>19936</v>
      </c>
      <c r="B15831" s="4" t="s">
        <v>19938</v>
      </c>
      <c r="C15831" s="5" t="str">
        <f>IFERROR(__xludf.DUMMYFUNCTION("GOOGLETRANSLATE(B15831,""en"",""zh-CN"")"),"2一个女孩在酒吧上进行了很多翻转。")</f>
        <v>2一个女孩在酒吧上进行了很多翻转。</v>
      </c>
    </row>
    <row r="15832">
      <c r="A15832" s="4" t="s">
        <v>19939</v>
      </c>
      <c r="B15832" s="4" t="s">
        <v>19940</v>
      </c>
      <c r="C15832" s="5" t="str">
        <f>IFERROR(__xludf.DUMMYFUNCTION("GOOGLETRANSLATE(B15832,""en"",""zh-CN"")"),"一个小女孩在厨房里说话。")</f>
        <v>一个小女孩在厨房里说话。</v>
      </c>
    </row>
    <row r="15833">
      <c r="A15833" s="4" t="s">
        <v>19939</v>
      </c>
      <c r="B15833" s="4" t="s">
        <v>19941</v>
      </c>
      <c r="C15833" s="5" t="str">
        <f>IFERROR(__xludf.DUMMYFUNCTION("GOOGLETRANSLATE(B15833,""en"",""zh-CN"")"),"这个女孩从一个更大的碗里的小碗中混合了几件事。")</f>
        <v>这个女孩从一个更大的碗里的小碗中混合了几件事。</v>
      </c>
    </row>
    <row r="15834">
      <c r="A15834" s="4" t="s">
        <v>19939</v>
      </c>
      <c r="B15834" s="4" t="s">
        <v>19942</v>
      </c>
      <c r="C15834" s="5" t="str">
        <f>IFERROR(__xludf.DUMMYFUNCTION("GOOGLETRANSLATE(B15834,""en"",""zh-CN"")"),"成年人帮助女孩喷洒烘焙锅。")</f>
        <v>成年人帮助女孩喷洒烘焙锅。</v>
      </c>
    </row>
    <row r="15835">
      <c r="A15835" s="4" t="s">
        <v>19939</v>
      </c>
      <c r="B15835" s="4" t="s">
        <v>19943</v>
      </c>
      <c r="C15835" s="5" t="str">
        <f>IFERROR(__xludf.DUMMYFUNCTION("GOOGLETRANSLATE(B15835,""en"",""zh-CN"")"),"女孩将混合物放入锅中，然后将它们放入易于烘烤的烤箱中。")</f>
        <v>女孩将混合物放入锅中，然后将它们放入易于烘烤的烤箱中。</v>
      </c>
    </row>
    <row r="15836">
      <c r="A15836" s="4" t="s">
        <v>19939</v>
      </c>
      <c r="B15836" s="4" t="s">
        <v>19944</v>
      </c>
      <c r="C15836" s="5" t="str">
        <f>IFERROR(__xludf.DUMMYFUNCTION("GOOGLETRANSLATE(B15836,""en"",""zh-CN"")"),"然后，女孩删除了她从烤箱中制作的东西。")</f>
        <v>然后，女孩删除了她从烤箱中制作的东西。</v>
      </c>
    </row>
    <row r="15837">
      <c r="A15837" s="4" t="s">
        <v>19939</v>
      </c>
      <c r="B15837" s="4" t="s">
        <v>19945</v>
      </c>
      <c r="C15837" s="5" t="str">
        <f>IFERROR(__xludf.DUMMYFUNCTION("GOOGLETRANSLATE(B15837,""en"",""zh-CN"")"),"一个小男孩在吃纸杯蛋糕时看着。")</f>
        <v>一个小男孩在吃纸杯蛋糕时看着。</v>
      </c>
    </row>
    <row r="15838">
      <c r="A15838" s="4" t="s">
        <v>19939</v>
      </c>
      <c r="B15838" s="4" t="s">
        <v>19946</v>
      </c>
      <c r="C15838" s="5" t="str">
        <f>IFERROR(__xludf.DUMMYFUNCTION("GOOGLETRANSLATE(B15838,""en"",""zh-CN"")"),"年轻的女孩割断了她制造的沙漠并吃掉了。")</f>
        <v>年轻的女孩割断了她制造的沙漠并吃掉了。</v>
      </c>
    </row>
    <row r="15839">
      <c r="A15839" s="4" t="s">
        <v>19947</v>
      </c>
      <c r="B15839" s="6" t="s">
        <v>19948</v>
      </c>
      <c r="C15839" s="5" t="str">
        <f>IFERROR(__xludf.DUMMYFUNCTION("GOOGLETRANSLATE(B15839,""en"",""zh-CN"")"),"当一个女人在他面前的一台机器上锻炼并调整设置时，看到一个男人在相机上说话。")</f>
        <v>当一个女人在他面前的一台机器上锻炼并调整设置时，看到一个男人在相机上说话。</v>
      </c>
    </row>
    <row r="15840">
      <c r="A15840" s="4" t="s">
        <v>19947</v>
      </c>
      <c r="B15840" s="6" t="s">
        <v>19949</v>
      </c>
      <c r="C15840" s="5" t="str">
        <f>IFERROR(__xludf.DUMMYFUNCTION("GOOGLETRANSLATE(B15840,""en"",""zh-CN"")"),"该男子继续在机器上移动，展示其不同的设置，而该男子继续与相机说话。")</f>
        <v>该男子继续在机器上移动，展示其不同的设置，而该男子继续与相机说话。</v>
      </c>
    </row>
    <row r="15841">
      <c r="A15841" s="4" t="s">
        <v>19950</v>
      </c>
      <c r="B15841" s="4" t="s">
        <v>19951</v>
      </c>
      <c r="C15841" s="5" t="str">
        <f>IFERROR(__xludf.DUMMYFUNCTION("GOOGLETRANSLATE(B15841,""en"",""zh-CN"")"),"一个人正在将指甲锤入屋顶上。")</f>
        <v>一个人正在将指甲锤入屋顶上。</v>
      </c>
    </row>
    <row r="15842">
      <c r="A15842" s="4" t="s">
        <v>19950</v>
      </c>
      <c r="B15842" s="4" t="s">
        <v>19952</v>
      </c>
      <c r="C15842" s="5" t="str">
        <f>IFERROR(__xludf.DUMMYFUNCTION("GOOGLETRANSLATE(B15842,""en"",""zh-CN"")"),"她将瓷砖滑到屋顶上，然后将它们钉入到位。")</f>
        <v>她将瓷砖滑到屋顶上，然后将它们钉入到位。</v>
      </c>
    </row>
    <row r="15843">
      <c r="A15843" s="4" t="s">
        <v>19953</v>
      </c>
      <c r="B15843" s="4" t="s">
        <v>19954</v>
      </c>
      <c r="C15843" s="5" t="str">
        <f>IFERROR(__xludf.DUMMYFUNCTION("GOOGLETRANSLATE(B15843,""en"",""zh-CN"")"),"一群人坐在山丘旁边的沙滩上。")</f>
        <v>一群人坐在山丘旁边的沙滩上。</v>
      </c>
    </row>
    <row r="15844">
      <c r="A15844" s="4" t="s">
        <v>19953</v>
      </c>
      <c r="B15844" s="4" t="s">
        <v>19955</v>
      </c>
      <c r="C15844" s="5" t="str">
        <f>IFERROR(__xludf.DUMMYFUNCTION("GOOGLETRANSLATE(B15844,""en"",""zh-CN"")"),"当骆驼坐着时，一个人伸手去拿骆驼嘴上的链条。")</f>
        <v>当骆驼坐着时，一个人伸手去拿骆驼嘴上的链条。</v>
      </c>
    </row>
    <row r="15845">
      <c r="A15845" s="4" t="s">
        <v>19953</v>
      </c>
      <c r="B15845" s="4" t="s">
        <v>19956</v>
      </c>
      <c r="C15845" s="5" t="str">
        <f>IFERROR(__xludf.DUMMYFUNCTION("GOOGLETRANSLATE(B15845,""en"",""zh-CN"")"),"浅蓝色的男人帮助那个深蓝色的人解开。")</f>
        <v>浅蓝色的男人帮助那个深蓝色的人解开。</v>
      </c>
    </row>
    <row r="15846">
      <c r="A15846" s="4" t="s">
        <v>19953</v>
      </c>
      <c r="B15846" s="4" t="s">
        <v>19957</v>
      </c>
      <c r="C15846" s="5" t="str">
        <f>IFERROR(__xludf.DUMMYFUNCTION("GOOGLETRANSLATE(B15846,""en"",""zh-CN"")"),"握住下一对夫妇的第二个骆驼开始坐在地上。")</f>
        <v>握住下一对夫妇的第二个骆驼开始坐在地上。</v>
      </c>
    </row>
    <row r="15847">
      <c r="A15847" s="4" t="s">
        <v>19958</v>
      </c>
      <c r="B15847" s="4" t="s">
        <v>19959</v>
      </c>
      <c r="C15847" s="5" t="str">
        <f>IFERROR(__xludf.DUMMYFUNCTION("GOOGLETRANSLATE(B15847,""en"",""zh-CN"")"),"一个女人辫子慢慢地辫子。")</f>
        <v>一个女人辫子慢慢地辫子。</v>
      </c>
    </row>
    <row r="15848">
      <c r="A15848" s="4" t="s">
        <v>19958</v>
      </c>
      <c r="B15848" s="4" t="s">
        <v>19960</v>
      </c>
      <c r="C15848" s="5" t="str">
        <f>IFERROR(__xludf.DUMMYFUNCTION("GOOGLETRANSLATE(B15848,""en"",""zh-CN"")"),"然后，她将辫子绑在一起，并将末端绑在一起。")</f>
        <v>然后，她将辫子绑在一起，并将末端绑在一起。</v>
      </c>
    </row>
    <row r="15849">
      <c r="A15849" s="4" t="s">
        <v>19961</v>
      </c>
      <c r="B15849" s="4" t="s">
        <v>19962</v>
      </c>
      <c r="C15849" s="5" t="str">
        <f>IFERROR(__xludf.DUMMYFUNCTION("GOOGLETRANSLATE(B15849,""en"",""zh-CN"")"),"一个女人和一个男孩在垃圾桶上剥土豆。")</f>
        <v>一个女人和一个男孩在垃圾桶上剥土豆。</v>
      </c>
    </row>
    <row r="15850">
      <c r="A15850" s="4" t="s">
        <v>19961</v>
      </c>
      <c r="B15850" s="4" t="s">
        <v>19963</v>
      </c>
      <c r="C15850" s="5" t="str">
        <f>IFERROR(__xludf.DUMMYFUNCTION("GOOGLETRANSLATE(B15850,""en"",""zh-CN"")"),"然后，男孩将土豆和果皮放在柜台上，但他再次接受。")</f>
        <v>然后，男孩将土豆和果皮放在柜台上，但他再次接受。</v>
      </c>
    </row>
    <row r="15851">
      <c r="A15851" s="4" t="s">
        <v>19961</v>
      </c>
      <c r="B15851" s="4" t="s">
        <v>19964</v>
      </c>
      <c r="C15851" s="5" t="str">
        <f>IFERROR(__xludf.DUMMYFUNCTION("GOOGLETRANSLATE(B15851,""en"",""zh-CN"")"),"女人结束了切土豆。")</f>
        <v>女人结束了切土豆。</v>
      </c>
    </row>
    <row r="15852">
      <c r="A15852" s="4" t="s">
        <v>19965</v>
      </c>
      <c r="B15852" s="4" t="s">
        <v>19966</v>
      </c>
      <c r="C15852" s="5" t="str">
        <f>IFERROR(__xludf.DUMMYFUNCTION("GOOGLETRANSLATE(B15852,""en"",""zh-CN"")"),"一个小男孩在丛林体育馆里玩。")</f>
        <v>一个小男孩在丛林体育馆里玩。</v>
      </c>
    </row>
    <row r="15853">
      <c r="A15853" s="4" t="s">
        <v>19965</v>
      </c>
      <c r="B15853" s="4" t="s">
        <v>19967</v>
      </c>
      <c r="C15853" s="5" t="str">
        <f>IFERROR(__xludf.DUMMYFUNCTION("GOOGLETRANSLATE(B15853,""en"",""zh-CN"")"),"他正在爬上一套楼梯。")</f>
        <v>他正在爬上一套楼梯。</v>
      </c>
    </row>
    <row r="15854">
      <c r="A15854" s="4" t="s">
        <v>19965</v>
      </c>
      <c r="B15854" s="4" t="s">
        <v>19968</v>
      </c>
      <c r="C15854" s="5" t="str">
        <f>IFERROR(__xludf.DUMMYFUNCTION("GOOGLETRANSLATE(B15854,""en"",""zh-CN"")"),"现在正在快速滑动滑梯。")</f>
        <v>现在正在快速滑动滑梯。</v>
      </c>
    </row>
    <row r="15855">
      <c r="A15855" s="4" t="s">
        <v>19965</v>
      </c>
      <c r="B15855" s="4" t="s">
        <v>19969</v>
      </c>
      <c r="C15855" s="5" t="str">
        <f>IFERROR(__xludf.DUMMYFUNCTION("GOOGLETRANSLATE(B15855,""en"",""zh-CN"")"),"另一个男孩在草地上玩耍。")</f>
        <v>另一个男孩在草地上玩耍。</v>
      </c>
    </row>
    <row r="15856">
      <c r="A15856" s="4" t="s">
        <v>19965</v>
      </c>
      <c r="B15856" s="4" t="s">
        <v>19970</v>
      </c>
      <c r="C15856" s="5" t="str">
        <f>IFERROR(__xludf.DUMMYFUNCTION("GOOGLETRANSLATE(B15856,""en"",""zh-CN"")"),"现在，第一个男孩被一个女人接送。")</f>
        <v>现在，第一个男孩被一个女人接送。</v>
      </c>
    </row>
    <row r="15857">
      <c r="A15857" s="4" t="s">
        <v>19965</v>
      </c>
      <c r="B15857" s="4" t="s">
        <v>19971</v>
      </c>
      <c r="C15857" s="5" t="str">
        <f>IFERROR(__xludf.DUMMYFUNCTION("GOOGLETRANSLATE(B15857,""en"",""zh-CN"")"),"现在，他将再次沿着滑梯降落。")</f>
        <v>现在，他将再次沿着滑梯降落。</v>
      </c>
    </row>
    <row r="15858">
      <c r="A15858" s="4" t="s">
        <v>19965</v>
      </c>
      <c r="B15858" s="4" t="s">
        <v>19972</v>
      </c>
      <c r="C15858" s="5" t="str">
        <f>IFERROR(__xludf.DUMMYFUNCTION("GOOGLETRANSLATE(B15858,""en"",""zh-CN"")"),"男孩喜欢在操场上玩大轮子。")</f>
        <v>男孩喜欢在操场上玩大轮子。</v>
      </c>
    </row>
    <row r="15859">
      <c r="A15859" s="4" t="s">
        <v>19965</v>
      </c>
      <c r="B15859" s="4" t="s">
        <v>19973</v>
      </c>
      <c r="C15859" s="5" t="str">
        <f>IFERROR(__xludf.DUMMYFUNCTION("GOOGLETRANSLATE(B15859,""en"",""zh-CN"")"),"他再次沿着幻灯片走下去，但爸爸就在他身后。")</f>
        <v>他再次沿着幻灯片走下去，但爸爸就在他身后。</v>
      </c>
    </row>
    <row r="15860">
      <c r="A15860" s="4" t="s">
        <v>19965</v>
      </c>
      <c r="B15860" s="4" t="s">
        <v>19974</v>
      </c>
      <c r="C15860" s="5" t="str">
        <f>IFERROR(__xludf.DUMMYFUNCTION("GOOGLETRANSLATE(B15860,""en"",""zh-CN"")"),"他第四次下滑，但和另一个小男孩一起走。")</f>
        <v>他第四次下滑，但和另一个小男孩一起走。</v>
      </c>
    </row>
    <row r="15861">
      <c r="A15861" s="4" t="s">
        <v>19965</v>
      </c>
      <c r="B15861" s="4" t="s">
        <v>19975</v>
      </c>
      <c r="C15861" s="5" t="str">
        <f>IFERROR(__xludf.DUMMYFUNCTION("GOOGLETRANSLATE(B15861,""en"",""zh-CN"")"),"他又走了几次幻灯片。")</f>
        <v>他又走了几次幻灯片。</v>
      </c>
    </row>
    <row r="15862">
      <c r="A15862" s="4" t="s">
        <v>19976</v>
      </c>
      <c r="B15862" s="4" t="s">
        <v>19977</v>
      </c>
      <c r="C15862" s="5" t="str">
        <f>IFERROR(__xludf.DUMMYFUNCTION("GOOGLETRANSLATE(B15862,""en"",""zh-CN"")"),"一组团队正在参加涉及雪的各种体育赛事。")</f>
        <v>一组团队正在参加涉及雪的各种体育赛事。</v>
      </c>
    </row>
    <row r="15863">
      <c r="A15863" s="4" t="s">
        <v>19976</v>
      </c>
      <c r="B15863" s="6" t="s">
        <v>19978</v>
      </c>
      <c r="C15863" s="5" t="str">
        <f>IFERROR(__xludf.DUMMYFUNCTION("GOOGLETRANSLATE(B15863,""en"",""zh-CN"")"),"然后，相机显示了障碍人士在玩游戏，他们坐在轮椅上，将冰球像带有手柄一样。")</f>
        <v>然后，相机显示了障碍人士在玩游戏，他们坐在轮椅上，将冰球像带有手柄一样。</v>
      </c>
    </row>
    <row r="15864">
      <c r="A15864" s="4" t="s">
        <v>19976</v>
      </c>
      <c r="B15864" s="4" t="s">
        <v>19979</v>
      </c>
      <c r="C15864" s="5" t="str">
        <f>IFERROR(__xludf.DUMMYFUNCTION("GOOGLETRANSLATE(B15864,""en"",""zh-CN"")"),"然后显示一个男人，并开始谈论描述正在发生的游戏。")</f>
        <v>然后显示一个男人，并开始谈论描述正在发生的游戏。</v>
      </c>
    </row>
    <row r="15865">
      <c r="A15865" s="4" t="s">
        <v>19980</v>
      </c>
      <c r="B15865" s="4" t="s">
        <v>19981</v>
      </c>
      <c r="C15865" s="5" t="str">
        <f>IFERROR(__xludf.DUMMYFUNCTION("GOOGLETRANSLATE(B15865,""en"",""zh-CN"")"),"简介通向桌子上布置的几种工具，而妇女在去除植物的地方行走。")</f>
        <v>简介通向桌子上布置的几种工具，而妇女在去除植物的地方行走。</v>
      </c>
    </row>
    <row r="15866">
      <c r="A15866" s="4" t="s">
        <v>19980</v>
      </c>
      <c r="B15866" s="4" t="s">
        <v>19982</v>
      </c>
      <c r="C15866" s="5" t="str">
        <f>IFERROR(__xludf.DUMMYFUNCTION("GOOGLETRANSLATE(B15866,""en"",""zh-CN"")"),"那个女人然后拔出抹布，擦掉桌子。")</f>
        <v>那个女人然后拔出抹布，擦掉桌子。</v>
      </c>
    </row>
    <row r="15867">
      <c r="A15867" s="4" t="s">
        <v>19980</v>
      </c>
      <c r="B15867" s="6" t="s">
        <v>19983</v>
      </c>
      <c r="C15867" s="5" t="str">
        <f>IFERROR(__xludf.DUMMYFUNCTION("GOOGLETRANSLATE(B15867,""en"",""zh-CN"")"),"她倾向于再次握住抹布，将桌子放在桌子上，并以适当的运动擦拭桌子。")</f>
        <v>她倾向于再次握住抹布，将桌子放在桌子上，并以适当的运动擦拭桌子。</v>
      </c>
    </row>
    <row r="15868">
      <c r="A15868" s="4" t="s">
        <v>19980</v>
      </c>
      <c r="B15868" s="6" t="s">
        <v>19984</v>
      </c>
      <c r="C15868" s="5" t="str">
        <f>IFERROR(__xludf.DUMMYFUNCTION("GOOGLETRANSLATE(B15868,""en"",""zh-CN"")"),"然后，她再次向她展示在各个区域的灰尘，并将植物放回桌子上，然后将椅子推入桌子上。")</f>
        <v>然后，她再次向她展示在各个区域的灰尘，并将植物放回桌子上，然后将椅子推入桌子上。</v>
      </c>
    </row>
    <row r="15869">
      <c r="A15869" s="4" t="s">
        <v>19985</v>
      </c>
      <c r="B15869" s="4" t="s">
        <v>19986</v>
      </c>
      <c r="C15869" s="5" t="str">
        <f>IFERROR(__xludf.DUMMYFUNCTION("GOOGLETRANSLATE(B15869,""en"",""zh-CN"")"),"一个女人坐在海滩旁，将防晒霜涂在她的背部。")</f>
        <v>一个女人坐在海滩旁，将防晒霜涂在她的背部。</v>
      </c>
    </row>
    <row r="15870">
      <c r="A15870" s="4" t="s">
        <v>19985</v>
      </c>
      <c r="B15870" s="4" t="s">
        <v>19987</v>
      </c>
      <c r="C15870" s="5" t="str">
        <f>IFERROR(__xludf.DUMMYFUNCTION("GOOGLETRANSLATE(B15870,""en"",""zh-CN"")"),"气球飞过空中。")</f>
        <v>气球飞过空中。</v>
      </c>
    </row>
    <row r="15871">
      <c r="A15871" s="4" t="s">
        <v>19985</v>
      </c>
      <c r="B15871" s="4" t="s">
        <v>19988</v>
      </c>
      <c r="C15871" s="5" t="str">
        <f>IFERROR(__xludf.DUMMYFUNCTION("GOOGLETRANSLATE(B15871,""en"",""zh-CN"")"),"看到DJ旋转光盘。")</f>
        <v>看到DJ旋转光盘。</v>
      </c>
    </row>
    <row r="15872">
      <c r="A15872" s="4" t="s">
        <v>19985</v>
      </c>
      <c r="B15872" s="4" t="s">
        <v>19989</v>
      </c>
      <c r="C15872" s="5" t="str">
        <f>IFERROR(__xludf.DUMMYFUNCTION("GOOGLETRANSLATE(B15872,""en"",""zh-CN"")"),"一个女人走着手提箱。")</f>
        <v>一个女人走着手提箱。</v>
      </c>
    </row>
    <row r="15873">
      <c r="A15873" s="4" t="s">
        <v>19985</v>
      </c>
      <c r="B15873" s="4" t="s">
        <v>19990</v>
      </c>
      <c r="C15873" s="5" t="str">
        <f>IFERROR(__xludf.DUMMYFUNCTION("GOOGLETRANSLATE(B15873,""en"",""zh-CN"")"),"一些图形车相互崩溃。")</f>
        <v>一些图形车相互崩溃。</v>
      </c>
    </row>
    <row r="15874">
      <c r="A15874" s="4" t="s">
        <v>19985</v>
      </c>
      <c r="B15874" s="4" t="s">
        <v>19991</v>
      </c>
      <c r="C15874" s="5" t="str">
        <f>IFERROR(__xludf.DUMMYFUNCTION("GOOGLETRANSLATE(B15874,""en"",""zh-CN"")"),"看到高橙色的火焰。")</f>
        <v>看到高橙色的火焰。</v>
      </c>
    </row>
    <row r="15875">
      <c r="A15875" s="4" t="s">
        <v>19992</v>
      </c>
      <c r="B15875" s="4" t="s">
        <v>19993</v>
      </c>
      <c r="C15875" s="5" t="str">
        <f>IFERROR(__xludf.DUMMYFUNCTION("GOOGLETRANSLATE(B15875,""en"",""zh-CN"")"),"连续显示三个不同的妇女。")</f>
        <v>连续显示三个不同的妇女。</v>
      </c>
    </row>
    <row r="15876">
      <c r="A15876" s="4" t="s">
        <v>19992</v>
      </c>
      <c r="B15876" s="4" t="s">
        <v>19994</v>
      </c>
      <c r="C15876" s="5" t="str">
        <f>IFERROR(__xludf.DUMMYFUNCTION("GOOGLETRANSLATE(B15876,""en"",""zh-CN"")"),"每个女人都坐着，打鼓和cy。")</f>
        <v>每个女人都坐着，打鼓和cy。</v>
      </c>
    </row>
    <row r="15877">
      <c r="A15877" s="4" t="s">
        <v>19992</v>
      </c>
      <c r="B15877" s="4" t="s">
        <v>19995</v>
      </c>
      <c r="C15877" s="5" t="str">
        <f>IFERROR(__xludf.DUMMYFUNCTION("GOOGLETRANSLATE(B15877,""en"",""zh-CN"")"),"当他们连续打球时，他们被称为世界上排名前三的女鼓手。")</f>
        <v>当他们连续打球时，他们被称为世界上排名前三的女鼓手。</v>
      </c>
    </row>
    <row r="15878">
      <c r="A15878" s="4" t="s">
        <v>19996</v>
      </c>
      <c r="B15878" s="4" t="s">
        <v>19997</v>
      </c>
      <c r="C15878" s="5" t="str">
        <f>IFERROR(__xludf.DUMMYFUNCTION("GOOGLETRANSLATE(B15878,""en"",""zh-CN"")"),"该视频显示了如何使用Ganache糖霜制作微波蛋糕。")</f>
        <v>该视频显示了如何使用Ganache糖霜制作微波蛋糕。</v>
      </c>
    </row>
    <row r="15879">
      <c r="A15879" s="4" t="s">
        <v>19996</v>
      </c>
      <c r="B15879" s="4" t="s">
        <v>19998</v>
      </c>
      <c r="C15879" s="5" t="str">
        <f>IFERROR(__xludf.DUMMYFUNCTION("GOOGLETRANSLATE(B15879,""en"",""zh-CN"")"),"首先，女人将1杯糖加到1/4杯植物油中，然后将其放入搅拌碗中。")</f>
        <v>首先，女人将1杯糖加到1/4杯植物油中，然后将其放入搅拌碗中。</v>
      </c>
    </row>
    <row r="15880">
      <c r="A15880" s="4" t="s">
        <v>19996</v>
      </c>
      <c r="B15880" s="6" t="s">
        <v>19999</v>
      </c>
      <c r="C15880" s="5" t="str">
        <f>IFERROR(__xludf.DUMMYFUNCTION("GOOGLETRANSLATE(B15880,""en"",""zh-CN"")"),"然后，她将糖混合直至溶解，然后加入1杯牛奶以及两茶匙柠檬汁。")</f>
        <v>然后，她将糖混合直至溶解，然后加入1杯牛奶以及两茶匙柠檬汁。</v>
      </c>
    </row>
    <row r="15881">
      <c r="A15881" s="4" t="s">
        <v>19996</v>
      </c>
      <c r="B15881" s="6" t="s">
        <v>20000</v>
      </c>
      <c r="C15881" s="5" t="str">
        <f>IFERROR(__xludf.DUMMYFUNCTION("GOOGLETRANSLATE(B15881,""en"",""zh-CN"")"),"接下来，她添加了1茶匙的香草提取物，然后将所有东西混合在一起，然后加入1 1/4杯全目的面粉以及1/4杯未加糖的可可粉和盐。")</f>
        <v>接下来，她添加了1茶匙的香草提取物，然后将所有东西混合在一起，然后加入1 1/4杯全目的面粉以及1/4杯未加糖的可可粉和盐。</v>
      </c>
    </row>
    <row r="15882">
      <c r="A15882" s="4" t="s">
        <v>19996</v>
      </c>
      <c r="B15882" s="4" t="s">
        <v>20001</v>
      </c>
      <c r="C15882" s="5" t="str">
        <f>IFERROR(__xludf.DUMMYFUNCTION("GOOGLETRANSLATE(B15882,""en"",""zh-CN"")"),"然后她添加发酵粉和小苏打，然后将其搅拌直至光滑。")</f>
        <v>然后她添加发酵粉和小苏打，然后将其搅拌直至光滑。</v>
      </c>
    </row>
    <row r="15883">
      <c r="A15883" s="4" t="s">
        <v>19996</v>
      </c>
      <c r="B15883" s="4" t="s">
        <v>20002</v>
      </c>
      <c r="C15883" s="5" t="str">
        <f>IFERROR(__xludf.DUMMYFUNCTION("GOOGLETRANSLATE(B15883,""en"",""zh-CN"")"),"最后，她将混合物倒入可微波炉的安全盘中，完成了。")</f>
        <v>最后，她将混合物倒入可微波炉的安全盘中，完成了。</v>
      </c>
    </row>
    <row r="15884">
      <c r="A15884" s="4" t="s">
        <v>19996</v>
      </c>
      <c r="B15884" s="4" t="s">
        <v>20003</v>
      </c>
      <c r="C15884" s="5" t="str">
        <f>IFERROR(__xludf.DUMMYFUNCTION("GOOGLETRANSLATE(B15884,""en"",""zh-CN"")"),"然后，让我们站在蛋糕上15分钟。")</f>
        <v>然后，让我们站在蛋糕上15分钟。</v>
      </c>
    </row>
    <row r="15885">
      <c r="A15885" s="4" t="s">
        <v>20004</v>
      </c>
      <c r="B15885" s="4" t="s">
        <v>20005</v>
      </c>
      <c r="C15885" s="5" t="str">
        <f>IFERROR(__xludf.DUMMYFUNCTION("GOOGLETRANSLATE(B15885,""en"",""zh-CN"")"),"一个戴着太阳镜的男人正在和镜头说话。")</f>
        <v>一个戴着太阳镜的男人正在和镜头说话。</v>
      </c>
    </row>
    <row r="15886">
      <c r="A15886" s="4" t="s">
        <v>20004</v>
      </c>
      <c r="B15886" s="4" t="s">
        <v>20006</v>
      </c>
      <c r="C15886" s="5" t="str">
        <f>IFERROR(__xludf.DUMMYFUNCTION("GOOGLETRANSLATE(B15886,""en"",""zh-CN"")"),"他展示了如何切割自行车前部的琴弦，然后卸下轮胎的一部分。")</f>
        <v>他展示了如何切割自行车前部的琴弦，然后卸下轮胎的一部分。</v>
      </c>
    </row>
    <row r="15887">
      <c r="A15887" s="4" t="s">
        <v>20004</v>
      </c>
      <c r="B15887" s="4" t="s">
        <v>20007</v>
      </c>
      <c r="C15887" s="5" t="str">
        <f>IFERROR(__xludf.DUMMYFUNCTION("GOOGLETRANSLATE(B15887,""en"",""zh-CN"")"),"他取代了零件，解释了过程如何完成。")</f>
        <v>他取代了零件，解释了过程如何完成。</v>
      </c>
    </row>
    <row r="15888">
      <c r="A15888" s="4" t="s">
        <v>20004</v>
      </c>
      <c r="B15888" s="4" t="s">
        <v>20008</v>
      </c>
      <c r="C15888" s="5" t="str">
        <f>IFERROR(__xludf.DUMMYFUNCTION("GOOGLETRANSLATE(B15888,""en"",""zh-CN"")"),"然后，他进一步与镜头说话。")</f>
        <v>然后，他进一步与镜头说话。</v>
      </c>
    </row>
    <row r="15889">
      <c r="A15889" s="4" t="s">
        <v>20009</v>
      </c>
      <c r="B15889" s="4" t="s">
        <v>20010</v>
      </c>
      <c r="C15889" s="5" t="str">
        <f>IFERROR(__xludf.DUMMYFUNCTION("GOOGLETRANSLATE(B15889,""en"",""zh-CN"")"),"一个坐在锻炼设备上的男人。")</f>
        <v>一个坐在锻炼设备上的男人。</v>
      </c>
    </row>
    <row r="15890">
      <c r="A15890" s="4" t="s">
        <v>20009</v>
      </c>
      <c r="B15890" s="4" t="s">
        <v>20011</v>
      </c>
      <c r="C15890" s="5" t="str">
        <f>IFERROR(__xludf.DUMMYFUNCTION("GOOGLETRANSLATE(B15890,""en"",""zh-CN"")"),"他将脚放在支架上，然后戴上皮带。")</f>
        <v>他将脚放在支架上，然后戴上皮带。</v>
      </c>
    </row>
    <row r="15891">
      <c r="A15891" s="4" t="s">
        <v>20009</v>
      </c>
      <c r="B15891" s="4" t="s">
        <v>20012</v>
      </c>
      <c r="C15891" s="5" t="str">
        <f>IFERROR(__xludf.DUMMYFUNCTION("GOOGLETRANSLATE(B15891,""en"",""zh-CN"")"),"他拉了酒吧，同时推了双腿。")</f>
        <v>他拉了酒吧，同时推了双腿。</v>
      </c>
    </row>
    <row r="15892">
      <c r="A15892" s="4" t="s">
        <v>20009</v>
      </c>
      <c r="B15892" s="4" t="s">
        <v>20013</v>
      </c>
      <c r="C15892" s="5" t="str">
        <f>IFERROR(__xludf.DUMMYFUNCTION("GOOGLETRANSLATE(B15892,""en"",""zh-CN"")"),"他重复了几次。")</f>
        <v>他重复了几次。</v>
      </c>
    </row>
    <row r="15893">
      <c r="A15893" s="4" t="s">
        <v>20014</v>
      </c>
      <c r="B15893" s="4" t="s">
        <v>20015</v>
      </c>
      <c r="C15893" s="5" t="str">
        <f>IFERROR(__xludf.DUMMYFUNCTION("GOOGLETRANSLATE(B15893,""en"",""zh-CN"")"),"一个人从沙发上的真空污垢，带有带刷喷嘴的手动真空。")</f>
        <v>一个人从沙发上的真空污垢，带有带刷喷嘴的手动真空。</v>
      </c>
    </row>
    <row r="15894">
      <c r="A15894" s="4" t="s">
        <v>20014</v>
      </c>
      <c r="B15894" s="6" t="s">
        <v>20016</v>
      </c>
      <c r="C15894" s="5" t="str">
        <f>IFERROR(__xludf.DUMMYFUNCTION("GOOGLETRANSLATE(B15894,""en"",""zh-CN"")"),"然后，那个人使用裂缝面真真空沙发的裂缝，该人使用握着的手柄真空清洁沙发和地板的顶部。")</f>
        <v>然后，那个人使用裂缝面真真空沙发的裂缝，该人使用握着的手柄真空清洁沙发和地板的顶部。</v>
      </c>
    </row>
    <row r="15895">
      <c r="A15895" s="4" t="s">
        <v>20014</v>
      </c>
      <c r="B15895" s="4" t="s">
        <v>20017</v>
      </c>
      <c r="C15895" s="5" t="str">
        <f>IFERROR(__xludf.DUMMYFUNCTION("GOOGLETRANSLATE(B15895,""en"",""zh-CN"")"),"之后，该名女士展示了真空的电池，然后她保留了真空。")</f>
        <v>之后，该名女士展示了真空的电池，然后她保留了真空。</v>
      </c>
    </row>
    <row r="15896">
      <c r="A15896" s="4" t="s">
        <v>20018</v>
      </c>
      <c r="B15896" s="4" t="s">
        <v>20019</v>
      </c>
      <c r="C15896" s="5" t="str">
        <f>IFERROR(__xludf.DUMMYFUNCTION("GOOGLETRANSLATE(B15896,""en"",""zh-CN"")"),"有一个室外游泳池，带有很高的潜水板。")</f>
        <v>有一个室外游泳池，带有很高的潜水板。</v>
      </c>
    </row>
    <row r="15897">
      <c r="A15897" s="4" t="s">
        <v>20018</v>
      </c>
      <c r="B15897" s="4" t="s">
        <v>20020</v>
      </c>
      <c r="C15897" s="5" t="str">
        <f>IFERROR(__xludf.DUMMYFUNCTION("GOOGLETRANSLATE(B15897,""en"",""zh-CN"")"),"有一个穿着绿色泳衣的女人在游泳池里跳入游泳池。")</f>
        <v>有一个穿着绿色泳衣的女人在游泳池里跳入游泳池。</v>
      </c>
    </row>
    <row r="15898">
      <c r="A15898" s="4" t="s">
        <v>20018</v>
      </c>
      <c r="B15898" s="4" t="s">
        <v>20021</v>
      </c>
      <c r="C15898" s="5" t="str">
        <f>IFERROR(__xludf.DUMMYFUNCTION("GOOGLETRANSLATE(B15898,""en"",""zh-CN"")"),"她正在做各种潜水动作，例如向后，前进和派克。")</f>
        <v>她正在做各种潜水动作，例如向后，前进和派克。</v>
      </c>
    </row>
    <row r="15899">
      <c r="A15899" s="4" t="s">
        <v>20018</v>
      </c>
      <c r="B15899" s="4" t="s">
        <v>20022</v>
      </c>
      <c r="C15899" s="5" t="str">
        <f>IFERROR(__xludf.DUMMYFUNCTION("GOOGLETRANSLATE(B15899,""en"",""zh-CN"")"),"在迅速潜入游泳池之前，她还做了手站立。")</f>
        <v>在迅速潜入游泳池之前，她还做了手站立。</v>
      </c>
    </row>
    <row r="15900">
      <c r="A15900" s="4" t="s">
        <v>20018</v>
      </c>
      <c r="B15900" s="4" t="s">
        <v>20023</v>
      </c>
      <c r="C15900" s="5" t="str">
        <f>IFERROR(__xludf.DUMMYFUNCTION("GOOGLETRANSLATE(B15900,""en"",""zh-CN"")"),"她重复自己的步骤，并深入游泳池。")</f>
        <v>她重复自己的步骤，并深入游泳池。</v>
      </c>
    </row>
    <row r="15901">
      <c r="A15901" s="4" t="s">
        <v>20024</v>
      </c>
      <c r="B15901" s="4" t="s">
        <v>20025</v>
      </c>
      <c r="C15901" s="5" t="str">
        <f>IFERROR(__xludf.DUMMYFUNCTION("GOOGLETRANSLATE(B15901,""en"",""zh-CN"")"),"看到一小群人站在公园里，他们的胳膊和腿在他们的两边。")</f>
        <v>看到一小群人站在公园里，他们的胳膊和腿在他们的两边。</v>
      </c>
    </row>
    <row r="15902">
      <c r="A15902" s="4" t="s">
        <v>20024</v>
      </c>
      <c r="B15902" s="4" t="s">
        <v>20026</v>
      </c>
      <c r="C15902" s="5" t="str">
        <f>IFERROR(__xludf.DUMMYFUNCTION("GOOGLETRANSLATE(B15902,""en"",""zh-CN"")"),"然后，小组开始随着手中的粉丝移动他们的胳膊和腿。")</f>
        <v>然后，小组开始随着手中的粉丝移动他们的胳膊和腿。</v>
      </c>
    </row>
    <row r="15903">
      <c r="A15903" s="4" t="s">
        <v>20024</v>
      </c>
      <c r="B15903" s="6" t="s">
        <v>20027</v>
      </c>
      <c r="C15903" s="5" t="str">
        <f>IFERROR(__xludf.DUMMYFUNCTION("GOOGLETRANSLATE(B15903,""en"",""zh-CN"")"),"小组继续一起移动，并以他们在一起并望向远处的结束。")</f>
        <v>小组继续一起移动，并以他们在一起并望向远处的结束。</v>
      </c>
    </row>
    <row r="15904">
      <c r="A15904" s="4" t="s">
        <v>20028</v>
      </c>
      <c r="B15904" s="4" t="s">
        <v>20029</v>
      </c>
      <c r="C15904" s="5" t="str">
        <f>IFERROR(__xludf.DUMMYFUNCTION("GOOGLETRANSLATE(B15904,""en"",""zh-CN"")"),"潜水员在腰部弯曲的高潜水平台上延伸。")</f>
        <v>潜水员在腰部弯曲的高潜水平台上延伸。</v>
      </c>
    </row>
    <row r="15905">
      <c r="A15905" s="4" t="s">
        <v>20028</v>
      </c>
      <c r="B15905" s="6" t="s">
        <v>20030</v>
      </c>
      <c r="C15905" s="5" t="str">
        <f>IFERROR(__xludf.DUMMYFUNCTION("GOOGLETRANSLATE(B15905,""en"",""zh-CN"")"),"潜水员毛巾然后扔下毛巾，靠近潜水板的尽头进行第一次尝试。")</f>
        <v>潜水员毛巾然后扔下毛巾，靠近潜水板的尽头进行第一次尝试。</v>
      </c>
    </row>
    <row r="15906">
      <c r="A15906" s="4" t="s">
        <v>20028</v>
      </c>
      <c r="B15906" s="4" t="s">
        <v>20031</v>
      </c>
      <c r="C15906" s="5" t="str">
        <f>IFERROR(__xludf.DUMMYFUNCTION("GOOGLETRANSLATE(B15906,""en"",""zh-CN"")"),"潜水员在降落在水中之前，多次潜水在空中进行翻转。")</f>
        <v>潜水员在降落在水中之前，多次潜水在空中进行翻转。</v>
      </c>
    </row>
    <row r="15907">
      <c r="A15907" s="4" t="s">
        <v>20032</v>
      </c>
      <c r="B15907" s="4" t="s">
        <v>20033</v>
      </c>
      <c r="C15907" s="5" t="str">
        <f>IFERROR(__xludf.DUMMYFUNCTION("GOOGLETRANSLATE(B15907,""en"",""zh-CN"")"),"破碎的玻璃坐在地上。")</f>
        <v>破碎的玻璃坐在地上。</v>
      </c>
    </row>
    <row r="15908">
      <c r="A15908" s="4" t="s">
        <v>20032</v>
      </c>
      <c r="B15908" s="4" t="s">
        <v>20034</v>
      </c>
      <c r="C15908" s="5" t="str">
        <f>IFERROR(__xludf.DUMMYFUNCTION("GOOGLETRANSLATE(B15908,""en"",""zh-CN"")"),"一个年轻人在它的前面伸展。")</f>
        <v>一个年轻人在它的前面伸展。</v>
      </c>
    </row>
    <row r="15909">
      <c r="A15909" s="4" t="s">
        <v>20032</v>
      </c>
      <c r="B15909" s="4" t="s">
        <v>20035</v>
      </c>
      <c r="C15909" s="5" t="str">
        <f>IFERROR(__xludf.DUMMYFUNCTION("GOOGLETRANSLATE(B15909,""en"",""zh-CN"")"),"然后，他确实打破了跳舞的动作。")</f>
        <v>然后，他确实打破了跳舞的动作。</v>
      </c>
    </row>
    <row r="15910">
      <c r="A15910" s="4" t="s">
        <v>20032</v>
      </c>
      <c r="B15910" s="4" t="s">
        <v>20036</v>
      </c>
      <c r="C15910" s="5" t="str">
        <f>IFERROR(__xludf.DUMMYFUNCTION("GOOGLETRANSLATE(B15910,""en"",""zh-CN"")"),"他把双腿放在头后。")</f>
        <v>他把双腿放在头后。</v>
      </c>
    </row>
    <row r="15911">
      <c r="A15911" s="4" t="s">
        <v>20037</v>
      </c>
      <c r="B15911" s="4" t="s">
        <v>20038</v>
      </c>
      <c r="C15911" s="5" t="str">
        <f>IFERROR(__xludf.DUMMYFUNCTION("GOOGLETRANSLATE(B15911,""en"",""zh-CN"")"),"一个男孩坐在一个拥挤的房间里的桌子上。")</f>
        <v>一个男孩坐在一个拥挤的房间里的桌子上。</v>
      </c>
    </row>
    <row r="15912">
      <c r="A15912" s="4" t="s">
        <v>20037</v>
      </c>
      <c r="B15912" s="4" t="s">
        <v>20039</v>
      </c>
      <c r="C15912" s="5" t="str">
        <f>IFERROR(__xludf.DUMMYFUNCTION("GOOGLETRANSLATE(B15912,""en"",""zh-CN"")"),"他有一个魔方，并试图解决难题。")</f>
        <v>他有一个魔方，并试图解决难题。</v>
      </c>
    </row>
    <row r="15913">
      <c r="A15913" s="4" t="s">
        <v>20037</v>
      </c>
      <c r="B15913" s="4" t="s">
        <v>20040</v>
      </c>
      <c r="C15913" s="5" t="str">
        <f>IFERROR(__xludf.DUMMYFUNCTION("GOOGLETRANSLATE(B15913,""en"",""zh-CN"")"),"他自己完成了立方体，将其扔在桌子上。")</f>
        <v>他自己完成了立方体，将其扔在桌子上。</v>
      </c>
    </row>
    <row r="15914">
      <c r="A15914" s="4" t="s">
        <v>20041</v>
      </c>
      <c r="B15914" s="6" t="s">
        <v>20042</v>
      </c>
      <c r="C15914" s="5" t="str">
        <f>IFERROR(__xludf.DUMMYFUNCTION("GOOGLETRANSLATE(B15914,""en"",""zh-CN"")"),"该视频从有关如何插入和删除万圣节隐形眼镜的各种单词和说明开始。")</f>
        <v>该视频从有关如何插入和删除万圣节隐形眼镜的各种单词和说明开始。</v>
      </c>
    </row>
    <row r="15915">
      <c r="A15915" s="4" t="s">
        <v>20041</v>
      </c>
      <c r="B15915" s="6" t="s">
        <v>20043</v>
      </c>
      <c r="C15915" s="5" t="str">
        <f>IFERROR(__xludf.DUMMYFUNCTION("GOOGLETRANSLATE(B15915,""en"",""zh-CN"")"),"然后将隐形眼镜容器充满接触溶液，然后将接触到容器的两侧。")</f>
        <v>然后将隐形眼镜容器充满接触溶液，然后将接触到容器的两侧。</v>
      </c>
    </row>
    <row r="15916">
      <c r="A15916" s="4" t="s">
        <v>20041</v>
      </c>
      <c r="B15916" s="6" t="s">
        <v>20044</v>
      </c>
      <c r="C15916" s="5" t="str">
        <f>IFERROR(__xludf.DUMMYFUNCTION("GOOGLETRANSLATE(B15916,""en"",""zh-CN"")"),"然后，该名女子将拇指和手指放在左侧，拔出一个白色的隐形眼镜，将其插入右眼，并在屏幕底部的“特色白色隐形眼镜”一词时眨了眨眼。")</f>
        <v>然后，该名女子将拇指和手指放在左侧，拔出一个白色的隐形眼镜，将其插入右眼，并在屏幕底部的“特色白色隐形眼镜”一词时眨了眨眼。</v>
      </c>
    </row>
    <row r="15917">
      <c r="A15917" s="4" t="s">
        <v>20041</v>
      </c>
      <c r="B15917" s="6" t="s">
        <v>20045</v>
      </c>
      <c r="C15917" s="5" t="str">
        <f>IFERROR(__xludf.DUMMYFUNCTION("GOOGLETRANSLATE(B15917,""en"",""zh-CN"")"),"该名女子伸到隐形眼镜容器的右侧，将其他隐形眼镜拔出，并将其插入左眼，然后眨眼多次。")</f>
        <v>该名女子伸到隐形眼镜容器的右侧，将其他隐形眼镜拔出，并将其插入左眼，然后眨眼多次。</v>
      </c>
    </row>
    <row r="15918">
      <c r="A15918" s="4" t="s">
        <v>20041</v>
      </c>
      <c r="B15918" s="6" t="s">
        <v>20046</v>
      </c>
      <c r="C15918" s="5" t="str">
        <f>IFERROR(__xludf.DUMMYFUNCTION("GOOGLETRANSLATE(B15918,""en"",""zh-CN"")"),"然后，该名女子首先回到她的左眼，然后进入右边以去除隐形眼镜，然后出现坐在隐形眼镜容器中的一枪。")</f>
        <v>然后，该名女子首先回到她的左眼，然后进入右边以去除隐形眼镜，然后出现坐在隐形眼镜容器中的一枪。</v>
      </c>
    </row>
    <row r="15919">
      <c r="A15919" s="4" t="s">
        <v>20041</v>
      </c>
      <c r="B15919" s="6" t="s">
        <v>20047</v>
      </c>
      <c r="C15919" s="5" t="str">
        <f>IFERROR(__xludf.DUMMYFUNCTION("GOOGLETRANSLATE(B15919,""en"",""zh-CN"")"),"视频以屏幕结束，告诉您订阅他们的YouTube频道以获取更多有用的视频。")</f>
        <v>视频以屏幕结束，告诉您订阅他们的YouTube频道以获取更多有用的视频。</v>
      </c>
    </row>
    <row r="15920">
      <c r="A15920" s="4" t="s">
        <v>20048</v>
      </c>
      <c r="B15920" s="4" t="s">
        <v>20049</v>
      </c>
      <c r="C15920" s="5" t="str">
        <f>IFERROR(__xludf.DUMMYFUNCTION("GOOGLETRANSLATE(B15920,""en"",""zh-CN"")"),"一个女人和男人在家外面耙树叶。")</f>
        <v>一个女人和男人在家外面耙树叶。</v>
      </c>
    </row>
    <row r="15921">
      <c r="A15921" s="4" t="s">
        <v>20048</v>
      </c>
      <c r="B15921" s="4" t="s">
        <v>20050</v>
      </c>
      <c r="C15921" s="5" t="str">
        <f>IFERROR(__xludf.DUMMYFUNCTION("GOOGLETRANSLATE(B15921,""en"",""zh-CN"")"),"他们将叶子移入火炉中，燃烧它们。")</f>
        <v>他们将叶子移入火炉中，燃烧它们。</v>
      </c>
    </row>
    <row r="15922">
      <c r="A15922" s="4" t="s">
        <v>20051</v>
      </c>
      <c r="B15922" s="4" t="s">
        <v>20052</v>
      </c>
      <c r="C15922" s="5" t="str">
        <f>IFERROR(__xludf.DUMMYFUNCTION("GOOGLETRANSLATE(B15922,""en"",""zh-CN"")"),"男孩的手臂在一场大人群的比赛中摔跤。")</f>
        <v>男孩的手臂在一场大人群的比赛中摔跤。</v>
      </c>
    </row>
    <row r="15923">
      <c r="A15923" s="4" t="s">
        <v>20051</v>
      </c>
      <c r="B15923" s="4" t="s">
        <v>20053</v>
      </c>
      <c r="C15923" s="5" t="str">
        <f>IFERROR(__xludf.DUMMYFUNCTION("GOOGLETRANSLATE(B15923,""en"",""zh-CN"")"),"人群祝贺获胜者。")</f>
        <v>人群祝贺获胜者。</v>
      </c>
    </row>
    <row r="15924">
      <c r="A15924" s="4" t="s">
        <v>20051</v>
      </c>
      <c r="B15924" s="4" t="s">
        <v>20054</v>
      </c>
      <c r="C15924" s="5" t="str">
        <f>IFERROR(__xludf.DUMMYFUNCTION("GOOGLETRANSLATE(B15924,""en"",""zh-CN"")"),"比赛结束后，两个男孩握手。")</f>
        <v>比赛结束后，两个男孩握手。</v>
      </c>
    </row>
    <row r="15925">
      <c r="A15925" s="4" t="s">
        <v>20055</v>
      </c>
      <c r="B15925" s="4" t="s">
        <v>20056</v>
      </c>
      <c r="C15925" s="5" t="str">
        <f>IFERROR(__xludf.DUMMYFUNCTION("GOOGLETRANSLATE(B15925,""en"",""zh-CN"")"),"看到一个小男孩戴着头盔，在相机上说话并握住垫子。")</f>
        <v>看到一个小男孩戴着头盔，在相机上说话并握住垫子。</v>
      </c>
    </row>
    <row r="15926">
      <c r="A15926" s="4" t="s">
        <v>20055</v>
      </c>
      <c r="B15926" s="6" t="s">
        <v>20057</v>
      </c>
      <c r="C15926" s="5" t="str">
        <f>IFERROR(__xludf.DUMMYFUNCTION("GOOGLETRANSLATE(B15926,""en"",""zh-CN"")"),"然后，该男孩在板上骑着镜头的各个剪辑中显示，同时也与相机说话。")</f>
        <v>然后，该男孩在板上骑着镜头的各个剪辑中显示，同时也与相机说话。</v>
      </c>
    </row>
    <row r="15927">
      <c r="A15927" s="4" t="s">
        <v>20055</v>
      </c>
      <c r="B15927" s="6" t="s">
        <v>20058</v>
      </c>
      <c r="C15927" s="5" t="str">
        <f>IFERROR(__xludf.DUMMYFUNCTION("GOOGLETRANSLATE(B15927,""en"",""zh-CN"")"),"这个男孩展示了如何在弯腰并抓住木板的同时进行适当的滑冰运动。")</f>
        <v>这个男孩展示了如何在弯腰并抓住木板的同时进行适当的滑冰运动。</v>
      </c>
    </row>
    <row r="15928">
      <c r="A15928" s="4" t="s">
        <v>20059</v>
      </c>
      <c r="B15928" s="4" t="s">
        <v>20060</v>
      </c>
      <c r="C15928" s="5" t="str">
        <f>IFERROR(__xludf.DUMMYFUNCTION("GOOGLETRANSLATE(B15928,""en"",""zh-CN"")"),"一个男人在电话上交谈。")</f>
        <v>一个男人在电话上交谈。</v>
      </c>
    </row>
    <row r="15929">
      <c r="A15929" s="4" t="s">
        <v>20059</v>
      </c>
      <c r="B15929" s="4" t="s">
        <v>20061</v>
      </c>
      <c r="C15929" s="5" t="str">
        <f>IFERROR(__xludf.DUMMYFUNCTION("GOOGLETRANSLATE(B15929,""en"",""zh-CN"")"),"该男子把香烟放在嘴里。")</f>
        <v>该男子把香烟放在嘴里。</v>
      </c>
    </row>
    <row r="15930">
      <c r="A15930" s="4" t="s">
        <v>20059</v>
      </c>
      <c r="B15930" s="4" t="s">
        <v>20062</v>
      </c>
      <c r="C15930" s="5" t="str">
        <f>IFERROR(__xludf.DUMMYFUNCTION("GOOGLETRANSLATE(B15930,""en"",""zh-CN"")"),"那个男人照亮了香烟。")</f>
        <v>那个男人照亮了香烟。</v>
      </c>
    </row>
    <row r="15931">
      <c r="A15931" s="4" t="s">
        <v>20059</v>
      </c>
      <c r="B15931" s="4" t="s">
        <v>20063</v>
      </c>
      <c r="C15931" s="5" t="str">
        <f>IFERROR(__xludf.DUMMYFUNCTION("GOOGLETRANSLATE(B15931,""en"",""zh-CN"")"),"该男子从他的嘴里去除香烟，握住他的手。")</f>
        <v>该男子从他的嘴里去除香烟，握住他的手。</v>
      </c>
    </row>
    <row r="15932">
      <c r="A15932" s="4" t="s">
        <v>20064</v>
      </c>
      <c r="B15932" s="4" t="s">
        <v>20065</v>
      </c>
      <c r="C15932" s="5" t="str">
        <f>IFERROR(__xludf.DUMMYFUNCTION("GOOGLETRANSLATE(B15932,""en"",""zh-CN"")"),"一群成年人玩一场海滩排球比赛。")</f>
        <v>一群成年人玩一场海滩排球比赛。</v>
      </c>
    </row>
    <row r="15933">
      <c r="A15933" s="4" t="s">
        <v>20064</v>
      </c>
      <c r="B15933" s="4" t="s">
        <v>20066</v>
      </c>
      <c r="C15933" s="5" t="str">
        <f>IFERROR(__xludf.DUMMYFUNCTION("GOOGLETRANSLATE(B15933,""en"",""zh-CN"")"),"一群孩子的孩子玩一场海滩排球比赛。")</f>
        <v>一群孩子的孩子玩一场海滩排球比赛。</v>
      </c>
    </row>
    <row r="15934">
      <c r="A15934" s="4" t="s">
        <v>20064</v>
      </c>
      <c r="B15934" s="4" t="s">
        <v>20067</v>
      </c>
      <c r="C15934" s="5" t="str">
        <f>IFERROR(__xludf.DUMMYFUNCTION("GOOGLETRANSLATE(B15934,""en"",""zh-CN"")"),"显示游戏规则。")</f>
        <v>显示游戏规则。</v>
      </c>
    </row>
    <row r="15935">
      <c r="A15935" s="4" t="s">
        <v>20064</v>
      </c>
      <c r="B15935" s="4" t="s">
        <v>20068</v>
      </c>
      <c r="C15935" s="5" t="str">
        <f>IFERROR(__xludf.DUMMYFUNCTION("GOOGLETRANSLATE(B15935,""en"",""zh-CN"")"),"一群女孩打射手比赛。")</f>
        <v>一群女孩打射手比赛。</v>
      </c>
    </row>
    <row r="15936">
      <c r="A15936" s="4" t="s">
        <v>20064</v>
      </c>
      <c r="B15936" s="4" t="s">
        <v>20069</v>
      </c>
      <c r="C15936" s="5" t="str">
        <f>IFERROR(__xludf.DUMMYFUNCTION("GOOGLETRANSLATE(B15936,""en"",""zh-CN"")"),"一群成年人在阴暗的那天打排球比赛。")</f>
        <v>一群成年人在阴暗的那天打排球比赛。</v>
      </c>
    </row>
    <row r="15937">
      <c r="A15937" s="4" t="s">
        <v>20070</v>
      </c>
      <c r="B15937" s="4" t="s">
        <v>20071</v>
      </c>
      <c r="C15937" s="5" t="str">
        <f>IFERROR(__xludf.DUMMYFUNCTION("GOOGLETRANSLATE(B15937,""en"",""zh-CN"")"),"从上面看到一个体育场，有很多观众。")</f>
        <v>从上面看到一个体育场，有很多观众。</v>
      </c>
    </row>
    <row r="15938">
      <c r="A15938" s="4" t="s">
        <v>20070</v>
      </c>
      <c r="B15938" s="4" t="s">
        <v>20072</v>
      </c>
      <c r="C15938" s="5" t="str">
        <f>IFERROR(__xludf.DUMMYFUNCTION("GOOGLETRANSLATE(B15938,""en"",""zh-CN"")"),"体操运动员参加活动，并用手柄进行固定的平台例行程序。")</f>
        <v>体操运动员参加活动，并用手柄进行固定的平台例行程序。</v>
      </c>
    </row>
    <row r="15939">
      <c r="A15939" s="4" t="s">
        <v>20070</v>
      </c>
      <c r="B15939" s="4" t="s">
        <v>20073</v>
      </c>
      <c r="C15939" s="5" t="str">
        <f>IFERROR(__xludf.DUMMYFUNCTION("GOOGLETRANSLATE(B15939,""en"",""zh-CN"")"),"比赛的奖牌获得者获得了他们的奖项并挥舞着。")</f>
        <v>比赛的奖牌获得者获得了他们的奖项并挥舞着。</v>
      </c>
    </row>
    <row r="15940">
      <c r="A15940" s="4" t="s">
        <v>20070</v>
      </c>
      <c r="B15940" s="4" t="s">
        <v>20074</v>
      </c>
      <c r="C15940" s="5" t="str">
        <f>IFERROR(__xludf.DUMMYFUNCTION("GOOGLETRANSLATE(B15940,""en"",""zh-CN"")"),"比赛结束后，运动员进行采访。")</f>
        <v>比赛结束后，运动员进行采访。</v>
      </c>
    </row>
    <row r="15941">
      <c r="A15941" s="4" t="s">
        <v>20075</v>
      </c>
      <c r="B15941" s="6" t="s">
        <v>20076</v>
      </c>
      <c r="C15941" s="5" t="str">
        <f>IFERROR(__xludf.DUMMYFUNCTION("GOOGLETRANSLATE(B15941,""en"",""zh-CN"")"),"女人在镜子前打哈欠，喝漱口水，然后用洗手吐，然后在相机上笑。")</f>
        <v>女人在镜子前打哈欠，喝漱口水，然后用洗手吐，然后在相机上笑。</v>
      </c>
    </row>
    <row r="15942">
      <c r="A15942" s="4" t="s">
        <v>20075</v>
      </c>
      <c r="B15942" s="6" t="s">
        <v>20077</v>
      </c>
      <c r="C15942" s="5" t="str">
        <f>IFERROR(__xludf.DUMMYFUNCTION("GOOGLETRANSLATE(B15942,""en"",""zh-CN"")"),"人站在镜子前试图打开漱口水瓶，并从中喝酒，并对它感到厌恶。")</f>
        <v>人站在镜子前试图打开漱口水瓶，并从中喝酒，并对它感到厌恶。</v>
      </c>
    </row>
    <row r="15943">
      <c r="A15943" s="4" t="s">
        <v>20078</v>
      </c>
      <c r="B15943" s="4" t="s">
        <v>20079</v>
      </c>
      <c r="C15943" s="5" t="str">
        <f>IFERROR(__xludf.DUMMYFUNCTION("GOOGLETRANSLATE(B15943,""en"",""zh-CN"")"),"各种文字介绍导致一个握着镜头的男人，并旋转了自己。")</f>
        <v>各种文字介绍导致一个握着镜头的男人，并旋转了自己。</v>
      </c>
    </row>
    <row r="15944">
      <c r="A15944" s="4" t="s">
        <v>20078</v>
      </c>
      <c r="B15944" s="4" t="s">
        <v>20080</v>
      </c>
      <c r="C15944" s="5" t="str">
        <f>IFERROR(__xludf.DUMMYFUNCTION("GOOGLETRANSLATE(B15944,""en"",""zh-CN"")"),"当相机跟随其掷球时，该人将物体扔到远处。")</f>
        <v>当相机跟随其掷球时，该人将物体扔到远处。</v>
      </c>
    </row>
    <row r="15945">
      <c r="A15945" s="4" t="s">
        <v>20081</v>
      </c>
      <c r="B15945" s="4" t="s">
        <v>20082</v>
      </c>
      <c r="C15945" s="5" t="str">
        <f>IFERROR(__xludf.DUMMYFUNCTION("GOOGLETRANSLATE(B15945,""en"",""zh-CN"")"),"看到几名妇女在健身房周围移动，在梁上进行各种运动。")</f>
        <v>看到几名妇女在健身房周围移动，在梁上进行各种运动。</v>
      </c>
    </row>
    <row r="15946">
      <c r="A15946" s="4" t="s">
        <v>20081</v>
      </c>
      <c r="B15946" s="6" t="s">
        <v>20083</v>
      </c>
      <c r="C15946" s="5" t="str">
        <f>IFERROR(__xludf.DUMMYFUNCTION("GOOGLETRANSLATE(B15946,""en"",""zh-CN"")"),"该名女子继续上下跳跃，进入一个轮胎，并在打孔袋上跳来跳去。")</f>
        <v>该名女子继续上下跳跃，进入一个轮胎，并在打孔袋上跳来跳去。</v>
      </c>
    </row>
    <row r="15947">
      <c r="A15947" s="4" t="s">
        <v>20081</v>
      </c>
      <c r="B15947" s="4" t="s">
        <v>20084</v>
      </c>
      <c r="C15947" s="5" t="str">
        <f>IFERROR(__xludf.DUMMYFUNCTION("GOOGLETRANSLATE(B15947,""en"",""zh-CN"")"),"然后，教练与镜头说话。")</f>
        <v>然后，教练与镜头说话。</v>
      </c>
    </row>
    <row r="15948">
      <c r="A15948" s="4" t="s">
        <v>20085</v>
      </c>
      <c r="B15948" s="6" t="s">
        <v>20086</v>
      </c>
      <c r="C15948" s="5" t="str">
        <f>IFERROR(__xludf.DUMMYFUNCTION("GOOGLETRANSLATE(B15948,""en"",""zh-CN"")"),"一个秃头的男人和一个女人在她的头发摊上戴着手帕，在定制的公共汽车旁边挥手。")</f>
        <v>一个秃头的男人和一个女人在她的头发摊上戴着手帕，在定制的公共汽车旁边挥手。</v>
      </c>
    </row>
    <row r="15949">
      <c r="A15949" s="4" t="s">
        <v>20085</v>
      </c>
      <c r="B15949" s="4" t="s">
        <v>20087</v>
      </c>
      <c r="C15949" s="5" t="str">
        <f>IFERROR(__xludf.DUMMYFUNCTION("GOOGLETRANSLATE(B15949,""en"",""zh-CN"")"),"女士将一勺冰淇淋放到糖锥上。")</f>
        <v>女士将一勺冰淇淋放到糖锥上。</v>
      </c>
    </row>
    <row r="15950">
      <c r="A15950" s="4" t="s">
        <v>20085</v>
      </c>
      <c r="B15950" s="4" t="s">
        <v>20088</v>
      </c>
      <c r="C15950" s="5" t="str">
        <f>IFERROR(__xludf.DUMMYFUNCTION("GOOGLETRANSLATE(B15950,""en"",""zh-CN"")"),"秃头的男人在公共汽车的侧面放置菜单。")</f>
        <v>秃头的男人在公共汽车的侧面放置菜单。</v>
      </c>
    </row>
    <row r="15951">
      <c r="A15951" s="4" t="s">
        <v>20085</v>
      </c>
      <c r="B15951" s="4" t="s">
        <v>20089</v>
      </c>
      <c r="C15951" s="5" t="str">
        <f>IFERROR(__xludf.DUMMYFUNCTION("GOOGLETRANSLATE(B15951,""en"",""zh-CN"")"),"这位女士从冰淇淋店公共汽车将冰淇淋蛋筒交给客户。")</f>
        <v>这位女士从冰淇淋店公共汽车将冰淇淋蛋筒交给客户。</v>
      </c>
    </row>
    <row r="15952">
      <c r="A15952" s="4" t="s">
        <v>20085</v>
      </c>
      <c r="B15952" s="4" t="s">
        <v>20090</v>
      </c>
      <c r="C15952" s="5" t="str">
        <f>IFERROR(__xludf.DUMMYFUNCTION("GOOGLETRANSLATE(B15952,""en"",""zh-CN"")"),"许多不同的人的多个图像和剪辑饮食和展示冰淇淋。")</f>
        <v>许多不同的人的多个图像和剪辑饮食和展示冰淇淋。</v>
      </c>
    </row>
    <row r="15953">
      <c r="A15953" s="4" t="s">
        <v>20085</v>
      </c>
      <c r="B15953" s="6" t="s">
        <v>20091</v>
      </c>
      <c r="C15953" s="5" t="str">
        <f>IFERROR(__xludf.DUMMYFUNCTION("GOOGLETRANSLATE(B15953,""en"",""zh-CN"")"),"冰淇淋店公共汽车内部的秃头和女士在工作和拾起用品时，随着越来越多的顾客的摄入并展示冰淇淋零食。")</f>
        <v>冰淇淋店公共汽车内部的秃头和女士在工作和拾起用品时，随着越来越多的顾客的摄入并展示冰淇淋零食。</v>
      </c>
    </row>
    <row r="15954">
      <c r="A15954" s="4" t="s">
        <v>20092</v>
      </c>
      <c r="B15954" s="4" t="s">
        <v>20093</v>
      </c>
      <c r="C15954" s="5" t="str">
        <f>IFERROR(__xludf.DUMMYFUNCTION("GOOGLETRANSLATE(B15954,""en"",""zh-CN"")"),"一群骑自行车的人沿着一条繁忙的街道，里面装满了汽车。")</f>
        <v>一群骑自行车的人沿着一条繁忙的街道，里面装满了汽车。</v>
      </c>
    </row>
    <row r="15955">
      <c r="A15955" s="4" t="s">
        <v>20092</v>
      </c>
      <c r="B15955" s="4" t="s">
        <v>20094</v>
      </c>
      <c r="C15955" s="5" t="str">
        <f>IFERROR(__xludf.DUMMYFUNCTION("GOOGLETRANSLATE(B15955,""en"",""zh-CN"")"),"在他们开始登机之前，他们可以看到它们在滑板上安装在滑板上。")</f>
        <v>在他们开始登机之前，他们可以看到它们在滑板上安装在滑板上。</v>
      </c>
    </row>
    <row r="15956">
      <c r="A15956" s="4" t="s">
        <v>20092</v>
      </c>
      <c r="B15956" s="4" t="s">
        <v>20095</v>
      </c>
      <c r="C15956" s="5" t="str">
        <f>IFERROR(__xludf.DUMMYFUNCTION("GOOGLETRANSLATE(B15956,""en"",""zh-CN"")"),"该男子卸下董事会，然后卸下头盔。")</f>
        <v>该男子卸下董事会，然后卸下头盔。</v>
      </c>
    </row>
    <row r="15957">
      <c r="A15957" s="4" t="s">
        <v>20096</v>
      </c>
      <c r="B15957" s="4" t="s">
        <v>20097</v>
      </c>
      <c r="C15957" s="5" t="str">
        <f>IFERROR(__xludf.DUMMYFUNCTION("GOOGLETRANSLATE(B15957,""en"",""zh-CN"")"),"看到一名妇女站在潜水板的尽头，双臂向前朝前。")</f>
        <v>看到一名妇女站在潜水板的尽头，双臂向前朝前。</v>
      </c>
    </row>
    <row r="15958">
      <c r="A15958" s="4" t="s">
        <v>20096</v>
      </c>
      <c r="B15958" s="4" t="s">
        <v>20098</v>
      </c>
      <c r="C15958" s="5" t="str">
        <f>IFERROR(__xludf.DUMMYFUNCTION("GOOGLETRANSLATE(B15958,""en"",""zh-CN"")"),"然后，该名女子开始在董事会上上下跳跃，然后跳入水中。")</f>
        <v>然后，该名女子开始在董事会上上下跳跃，然后跳入水中。</v>
      </c>
    </row>
    <row r="15959">
      <c r="A15959" s="4" t="s">
        <v>20099</v>
      </c>
      <c r="B15959" s="6" t="s">
        <v>20100</v>
      </c>
      <c r="C15959" s="5" t="str">
        <f>IFERROR(__xludf.DUMMYFUNCTION("GOOGLETRANSLATE(B15959,""en"",""zh-CN"")"),"显示了太空船内部的特写镜头，后面是一个女人，一个疯狂的头发向麦克风说话。")</f>
        <v>显示了太空船内部的特写镜头，后面是一个女人，一个疯狂的头发向麦克风说话。</v>
      </c>
    </row>
    <row r="15960">
      <c r="A15960" s="4" t="s">
        <v>20099</v>
      </c>
      <c r="B15960" s="4" t="s">
        <v>20101</v>
      </c>
      <c r="C15960" s="5" t="str">
        <f>IFERROR(__xludf.DUMMYFUNCTION("GOOGLETRANSLATE(B15960,""en"",""zh-CN"")"),"然后，她在长笛上播放了一首歌，另一个男人在另一个位置弹奏长笛。")</f>
        <v>然后，她在长笛上播放了一首歌，另一个男人在另一个位置弹奏长笛。</v>
      </c>
    </row>
    <row r="15961">
      <c r="A15961" s="4" t="s">
        <v>20099</v>
      </c>
      <c r="B15961" s="6" t="s">
        <v>20102</v>
      </c>
      <c r="C15961" s="5" t="str">
        <f>IFERROR(__xludf.DUMMYFUNCTION("GOOGLETRANSLATE(B15961,""en"",""zh-CN"")"),"摄像机向后倒，两者之间的第四次，男人在相机上说话，女人向后挥手，男人在努力。")</f>
        <v>摄像机向后倒，两者之间的第四次，男人在相机上说话，女人向后挥手，男人在努力。</v>
      </c>
    </row>
    <row r="15962">
      <c r="A15962" s="4" t="s">
        <v>20103</v>
      </c>
      <c r="B15962" s="4" t="s">
        <v>20104</v>
      </c>
      <c r="C15962" s="5" t="str">
        <f>IFERROR(__xludf.DUMMYFUNCTION("GOOGLETRANSLATE(B15962,""en"",""zh-CN"")"),"看到一个男人擦拭门，然后在门上放一张大海报。")</f>
        <v>看到一个男人擦拭门，然后在门上放一张大海报。</v>
      </c>
    </row>
    <row r="15963">
      <c r="A15963" s="4" t="s">
        <v>20103</v>
      </c>
      <c r="B15963" s="6" t="s">
        <v>20105</v>
      </c>
      <c r="C15963" s="5" t="str">
        <f>IFERROR(__xludf.DUMMYFUNCTION("GOOGLETRANSLATE(B15963,""en"",""zh-CN"")"),"他将纸放在边缘周围，并以几张显示的海报以及如何购买图片结尾处。")</f>
        <v>他将纸放在边缘周围，并以几张显示的海报以及如何购买图片结尾处。</v>
      </c>
    </row>
    <row r="15964">
      <c r="A15964" s="4" t="s">
        <v>20106</v>
      </c>
      <c r="B15964" s="4" t="s">
        <v>20107</v>
      </c>
      <c r="C15964" s="5" t="str">
        <f>IFERROR(__xludf.DUMMYFUNCTION("GOOGLETRANSLATE(B15964,""en"",""zh-CN"")"),"糖霜袋坐在柜台上。")</f>
        <v>糖霜袋坐在柜台上。</v>
      </c>
    </row>
    <row r="15965">
      <c r="A15965" s="4" t="s">
        <v>20106</v>
      </c>
      <c r="B15965" s="4" t="s">
        <v>20108</v>
      </c>
      <c r="C15965" s="5" t="str">
        <f>IFERROR(__xludf.DUMMYFUNCTION("GOOGLETRANSLATE(B15965,""en"",""zh-CN"")"),"有人把糖霜放在蛋糕和松饼锅里。")</f>
        <v>有人把糖霜放在蛋糕和松饼锅里。</v>
      </c>
    </row>
    <row r="15966">
      <c r="A15966" s="4" t="s">
        <v>20106</v>
      </c>
      <c r="B15966" s="4" t="s">
        <v>20109</v>
      </c>
      <c r="C15966" s="5" t="str">
        <f>IFERROR(__xludf.DUMMYFUNCTION("GOOGLETRANSLATE(B15966,""en"",""zh-CN"")"),"他们在烤箱里烤它们。")</f>
        <v>他们在烤箱里烤它们。</v>
      </c>
    </row>
    <row r="15967">
      <c r="A15967" s="4" t="s">
        <v>20106</v>
      </c>
      <c r="B15967" s="4" t="s">
        <v>20110</v>
      </c>
      <c r="C15967" s="5" t="str">
        <f>IFERROR(__xludf.DUMMYFUNCTION("GOOGLETRANSLATE(B15967,""en"",""zh-CN"")"),"他们把它们放在盘子上，开始冰。")</f>
        <v>他们把它们放在盘子上，开始冰。</v>
      </c>
    </row>
    <row r="15968">
      <c r="A15968" s="4" t="s">
        <v>20111</v>
      </c>
      <c r="B15968" s="4" t="s">
        <v>20112</v>
      </c>
      <c r="C15968" s="5" t="str">
        <f>IFERROR(__xludf.DUMMYFUNCTION("GOOGLETRANSLATE(B15968,""en"",""zh-CN"")"),"一个女人出现在高五个两个孩子外面玩耍的孩子。")</f>
        <v>一个女人出现在高五个两个孩子外面玩耍的孩子。</v>
      </c>
    </row>
    <row r="15969">
      <c r="A15969" s="4" t="s">
        <v>20111</v>
      </c>
      <c r="B15969" s="4" t="s">
        <v>20113</v>
      </c>
      <c r="C15969" s="5" t="str">
        <f>IFERROR(__xludf.DUMMYFUNCTION("GOOGLETRANSLATE(B15969,""en"",""zh-CN"")"),"那个女人帮助女孩倒下，沿着地面跳跃，直到她跌倒。")</f>
        <v>那个女人帮助女孩倒下，沿着地面跳跃，直到她跌倒。</v>
      </c>
    </row>
    <row r="15970">
      <c r="A15970" s="4" t="s">
        <v>20114</v>
      </c>
      <c r="B15970" s="4" t="s">
        <v>20115</v>
      </c>
      <c r="C15970" s="5" t="str">
        <f>IFERROR(__xludf.DUMMYFUNCTION("GOOGLETRANSLATE(B15970,""en"",""zh-CN"")"),"一个女人茫然地凝视着相机。")</f>
        <v>一个女人茫然地凝视着相机。</v>
      </c>
    </row>
    <row r="15971">
      <c r="A15971" s="4" t="s">
        <v>20114</v>
      </c>
      <c r="B15971" s="4" t="s">
        <v>20116</v>
      </c>
      <c r="C15971" s="5" t="str">
        <f>IFERROR(__xludf.DUMMYFUNCTION("GOOGLETRANSLATE(B15971,""en"",""zh-CN"")"),"她喝一杯茶。")</f>
        <v>她喝一杯茶。</v>
      </c>
    </row>
    <row r="15972">
      <c r="A15972" s="4" t="s">
        <v>20114</v>
      </c>
      <c r="B15972" s="4" t="s">
        <v>20117</v>
      </c>
      <c r="C15972" s="5" t="str">
        <f>IFERROR(__xludf.DUMMYFUNCTION("GOOGLETRANSLATE(B15972,""en"",""zh-CN"")"),"她准确地重复了相同的动作。")</f>
        <v>她准确地重复了相同的动作。</v>
      </c>
    </row>
    <row r="15973">
      <c r="A15973" s="4" t="s">
        <v>20114</v>
      </c>
      <c r="B15973" s="4" t="s">
        <v>20118</v>
      </c>
      <c r="C15973" s="5" t="str">
        <f>IFERROR(__xludf.DUMMYFUNCTION("GOOGLETRANSLATE(B15973,""en"",""zh-CN"")"),"然后，她喝了另一杯饮料，并发出威胁性的脸。")</f>
        <v>然后，她喝了另一杯饮料，并发出威胁性的脸。</v>
      </c>
    </row>
    <row r="15974">
      <c r="A15974" s="4" t="s">
        <v>20119</v>
      </c>
      <c r="B15974" s="4" t="s">
        <v>20120</v>
      </c>
      <c r="C15974" s="5" t="str">
        <f>IFERROR(__xludf.DUMMYFUNCTION("GOOGLETRANSLATE(B15974,""en"",""zh-CN"")"),"看到一个男孩和他的狗在一个大碗中在水下游泳。")</f>
        <v>看到一个男孩和他的狗在一个大碗中在水下游泳。</v>
      </c>
    </row>
    <row r="15975">
      <c r="A15975" s="4" t="s">
        <v>20119</v>
      </c>
      <c r="B15975" s="4" t="s">
        <v>20121</v>
      </c>
      <c r="C15975" s="5" t="str">
        <f>IFERROR(__xludf.DUMMYFUNCTION("GOOGLETRANSLATE(B15975,""en"",""zh-CN"")"),"两者在表面上方，狗在男孩揉眼睛时跑来跑去。")</f>
        <v>两者在表面上方，狗在男孩揉眼睛时跑来跑去。</v>
      </c>
    </row>
    <row r="15976">
      <c r="A15976" s="4" t="s">
        <v>20122</v>
      </c>
      <c r="B15976" s="4" t="s">
        <v>20123</v>
      </c>
      <c r="C15976" s="5" t="str">
        <f>IFERROR(__xludf.DUMMYFUNCTION("GOOGLETRANSLATE(B15976,""en"",""zh-CN"")"),"一个男人站在卧室里练习小提琴。")</f>
        <v>一个男人站在卧室里练习小提琴。</v>
      </c>
    </row>
    <row r="15977">
      <c r="A15977" s="4" t="s">
        <v>20122</v>
      </c>
      <c r="B15977" s="6" t="s">
        <v>20124</v>
      </c>
      <c r="C15977" s="5" t="str">
        <f>IFERROR(__xludf.DUMMYFUNCTION("GOOGLETRANSLATE(B15977,""en"",""zh-CN"")"),"另一天过去了，当男孩再次练习演奏乐器时，现在是外面的阳光。")</f>
        <v>另一天过去了，当男孩再次练习演奏乐器时，现在是外面的阳光。</v>
      </c>
    </row>
    <row r="15978">
      <c r="A15978" s="4" t="s">
        <v>20122</v>
      </c>
      <c r="B15978" s="4" t="s">
        <v>20125</v>
      </c>
      <c r="C15978" s="5" t="str">
        <f>IFERROR(__xludf.DUMMYFUNCTION("GOOGLETRANSLATE(B15978,""en"",""zh-CN"")"),"练习在同一房间里持续了几天，并一直结束至第7天。")</f>
        <v>练习在同一房间里持续了几天，并一直结束至第7天。</v>
      </c>
    </row>
    <row r="15979">
      <c r="A15979" s="4" t="s">
        <v>20122</v>
      </c>
      <c r="B15979" s="6" t="s">
        <v>20126</v>
      </c>
      <c r="C15979" s="5" t="str">
        <f>IFERROR(__xludf.DUMMYFUNCTION("GOOGLETRANSLATE(B15979,""en"",""zh-CN"")"),"最后，该男子在房间里坐了一套，并开始交谈并展示有效的方法来握住小提琴并有效地发挥作用。")</f>
        <v>最后，该男子在房间里坐了一套，并开始交谈并展示有效的方法来握住小提琴并有效地发挥作用。</v>
      </c>
    </row>
    <row r="15980">
      <c r="A15980" s="4" t="s">
        <v>20127</v>
      </c>
      <c r="B15980" s="4" t="s">
        <v>20128</v>
      </c>
      <c r="C15980" s="5" t="str">
        <f>IFERROR(__xludf.DUMMYFUNCTION("GOOGLETRANSLATE(B15980,""en"",""zh-CN"")"),"我们在黑色上看到开头的屏幕。")</f>
        <v>我们在黑色上看到开头的屏幕。</v>
      </c>
    </row>
    <row r="15981">
      <c r="A15981" s="4" t="s">
        <v>20127</v>
      </c>
      <c r="B15981" s="4" t="s">
        <v>20129</v>
      </c>
      <c r="C15981" s="5" t="str">
        <f>IFERROR(__xludf.DUMMYFUNCTION("GOOGLETRANSLATE(B15981,""en"",""zh-CN"")"),"我们看到一个男人和女人洗碗和说话。")</f>
        <v>我们看到一个男人和女人洗碗和说话。</v>
      </c>
    </row>
    <row r="15982">
      <c r="A15982" s="4" t="s">
        <v>20127</v>
      </c>
      <c r="B15982" s="4" t="s">
        <v>20130</v>
      </c>
      <c r="C15982" s="5" t="str">
        <f>IFERROR(__xludf.DUMMYFUNCTION("GOOGLETRANSLATE(B15982,""en"",""zh-CN"")"),"一位女士的图像在屏幕上弹出。")</f>
        <v>一位女士的图像在屏幕上弹出。</v>
      </c>
    </row>
    <row r="15983">
      <c r="A15983" s="4" t="s">
        <v>20127</v>
      </c>
      <c r="B15983" s="4" t="s">
        <v>20131</v>
      </c>
      <c r="C15983" s="5" t="str">
        <f>IFERROR(__xludf.DUMMYFUNCTION("GOOGLETRANSLATE(B15983,""en"",""zh-CN"")"),"我们再次看到女士的形象。")</f>
        <v>我们再次看到女士的形象。</v>
      </c>
    </row>
    <row r="15984">
      <c r="A15984" s="4" t="s">
        <v>20127</v>
      </c>
      <c r="B15984" s="4" t="s">
        <v>20132</v>
      </c>
      <c r="C15984" s="5" t="str">
        <f>IFERROR(__xludf.DUMMYFUNCTION("GOOGLETRANSLATE(B15984,""en"",""zh-CN"")"),"女士在字幕上弹出。")</f>
        <v>女士在字幕上弹出。</v>
      </c>
    </row>
    <row r="15985">
      <c r="A15985" s="4" t="s">
        <v>20127</v>
      </c>
      <c r="B15985" s="4" t="s">
        <v>20133</v>
      </c>
      <c r="C15985" s="5" t="str">
        <f>IFERROR(__xludf.DUMMYFUNCTION("GOOGLETRANSLATE(B15985,""en"",""zh-CN"")"),"我们从黑暗，更高的相机中看到它们。")</f>
        <v>我们从黑暗，更高的相机中看到它们。</v>
      </c>
    </row>
    <row r="15986">
      <c r="A15986" s="4" t="s">
        <v>20127</v>
      </c>
      <c r="B15986" s="4" t="s">
        <v>20134</v>
      </c>
      <c r="C15986" s="5" t="str">
        <f>IFERROR(__xludf.DUMMYFUNCTION("GOOGLETRANSLATE(B15986,""en"",""zh-CN"")"),"我们再次从较高的相机看到它们。")</f>
        <v>我们再次从较高的相机看到它们。</v>
      </c>
    </row>
    <row r="15987">
      <c r="A15987" s="4" t="s">
        <v>20135</v>
      </c>
      <c r="B15987" s="4" t="s">
        <v>20136</v>
      </c>
      <c r="C15987" s="5" t="str">
        <f>IFERROR(__xludf.DUMMYFUNCTION("GOOGLETRANSLATE(B15987,""en"",""zh-CN"")"),"女人在演讲中在白色游戏中摆姿势。")</f>
        <v>女人在演讲中在白色游戏中摆姿势。</v>
      </c>
    </row>
    <row r="15988">
      <c r="A15988" s="4" t="s">
        <v>20135</v>
      </c>
      <c r="B15988" s="6" t="s">
        <v>20137</v>
      </c>
      <c r="C15988" s="5" t="str">
        <f>IFERROR(__xludf.DUMMYFUNCTION("GOOGLETRANSLATE(B15988,""en"",""zh-CN"")"),"女人站在厨房里和相机聊天，展示了一盘面食和食材。")</f>
        <v>女人站在厨房里和相机聊天，展示了一盘面食和食材。</v>
      </c>
    </row>
    <row r="15989">
      <c r="A15989" s="4" t="s">
        <v>20135</v>
      </c>
      <c r="B15989" s="4" t="s">
        <v>20138</v>
      </c>
      <c r="C15989" s="5" t="str">
        <f>IFERROR(__xludf.DUMMYFUNCTION("GOOGLETRANSLATE(B15989,""en"",""zh-CN"")"),"女人正在锅里切碎蔬菜和炒蔬菜。")</f>
        <v>女人正在锅里切碎蔬菜和炒蔬菜。</v>
      </c>
    </row>
    <row r="15990">
      <c r="A15990" s="4" t="s">
        <v>20135</v>
      </c>
      <c r="B15990" s="4" t="s">
        <v>20139</v>
      </c>
      <c r="C15990" s="5" t="str">
        <f>IFERROR(__xludf.DUMMYFUNCTION("GOOGLETRANSLATE(B15990,""en"",""zh-CN"")"),"母鸡将蔬菜与意大利面混合。")</f>
        <v>母鸡将蔬菜与意大利面混合。</v>
      </c>
    </row>
    <row r="15991">
      <c r="A15991" s="4" t="s">
        <v>20140</v>
      </c>
      <c r="B15991" s="4" t="s">
        <v>20141</v>
      </c>
      <c r="C15991" s="5" t="str">
        <f>IFERROR(__xludf.DUMMYFUNCTION("GOOGLETRANSLATE(B15991,""en"",""zh-CN"")"),"我们看到一个洗牌冰壶法庭。")</f>
        <v>我们看到一个洗牌冰壶法庭。</v>
      </c>
    </row>
    <row r="15992">
      <c r="A15992" s="4" t="s">
        <v>20140</v>
      </c>
      <c r="B15992" s="4" t="s">
        <v>20142</v>
      </c>
      <c r="C15992" s="5" t="str">
        <f>IFERROR(__xludf.DUMMYFUNCTION("GOOGLETRANSLATE(B15992,""en"",""zh-CN"")"),"箭头指着法庭上的石头。")</f>
        <v>箭头指着法庭上的石头。</v>
      </c>
    </row>
    <row r="15993">
      <c r="A15993" s="4" t="s">
        <v>20140</v>
      </c>
      <c r="B15993" s="4" t="s">
        <v>20143</v>
      </c>
      <c r="C15993" s="5" t="str">
        <f>IFERROR(__xludf.DUMMYFUNCTION("GOOGLETRANSLATE(B15993,""en"",""zh-CN"")"),"一位女士走开回来。")</f>
        <v>一位女士走开回来。</v>
      </c>
    </row>
    <row r="15994">
      <c r="A15994" s="4" t="s">
        <v>20140</v>
      </c>
      <c r="B15994" s="4" t="s">
        <v>20144</v>
      </c>
      <c r="C15994" s="5" t="str">
        <f>IFERROR(__xludf.DUMMYFUNCTION("GOOGLETRANSLATE(B15994,""en"",""zh-CN"")"),"箭头似乎指向石头。")</f>
        <v>箭头似乎指向石头。</v>
      </c>
    </row>
    <row r="15995">
      <c r="A15995" s="4" t="s">
        <v>20140</v>
      </c>
      <c r="B15995" s="4" t="s">
        <v>20145</v>
      </c>
      <c r="C15995" s="5" t="str">
        <f>IFERROR(__xludf.DUMMYFUNCTION("GOOGLETRANSLATE(B15995,""en"",""zh-CN"")"),"我们看到两位女士，另一个女士，然后是其他女士。")</f>
        <v>我们看到两位女士，另一个女士，然后是其他女士。</v>
      </c>
    </row>
    <row r="15996">
      <c r="A15996" s="4" t="s">
        <v>20140</v>
      </c>
      <c r="B15996" s="4" t="s">
        <v>20146</v>
      </c>
      <c r="C15996" s="5" t="str">
        <f>IFERROR(__xludf.DUMMYFUNCTION("GOOGLETRANSLATE(B15996,""en"",""zh-CN"")"),"我们看到一支球队扔石头。")</f>
        <v>我们看到一支球队扔石头。</v>
      </c>
    </row>
    <row r="15997">
      <c r="A15997" s="4" t="s">
        <v>20140</v>
      </c>
      <c r="B15997" s="4" t="s">
        <v>20147</v>
      </c>
      <c r="C15997" s="5" t="str">
        <f>IFERROR(__xludf.DUMMYFUNCTION("GOOGLETRANSLATE(B15997,""en"",""zh-CN"")"),"我们看到人群鼓掌。")</f>
        <v>我们看到人群鼓掌。</v>
      </c>
    </row>
    <row r="15998">
      <c r="A15998" s="4" t="s">
        <v>20140</v>
      </c>
      <c r="B15998" s="4" t="s">
        <v>20148</v>
      </c>
      <c r="C15998" s="5" t="str">
        <f>IFERROR(__xludf.DUMMYFUNCTION("GOOGLETRANSLATE(B15998,""en"",""zh-CN"")"),"我们看到分数出现在屏幕上。")</f>
        <v>我们看到分数出现在屏幕上。</v>
      </c>
    </row>
    <row r="15999">
      <c r="A15999" s="4" t="s">
        <v>20149</v>
      </c>
      <c r="B15999" s="4" t="s">
        <v>20150</v>
      </c>
      <c r="C15999" s="5" t="str">
        <f>IFERROR(__xludf.DUMMYFUNCTION("GOOGLETRANSLATE(B15999,""en"",""zh-CN"")"),"一个小孩在成人风笛手旁边玩风笛。")</f>
        <v>一个小孩在成人风笛手旁边玩风笛。</v>
      </c>
    </row>
    <row r="16000">
      <c r="A16000" s="4" t="s">
        <v>20149</v>
      </c>
      <c r="B16000" s="6" t="s">
        <v>20151</v>
      </c>
      <c r="C16000" s="5" t="str">
        <f>IFERROR(__xludf.DUMMYFUNCTION("GOOGLETRANSLATE(B16000,""en"",""zh-CN"")"),"年轻的风笛手在旁观者从后面看着风笛时，在玩风笛时就到了。")</f>
        <v>年轻的风笛手在旁观者从后面看着风笛时，在玩风笛时就到了。</v>
      </c>
    </row>
    <row r="16001">
      <c r="A16001" s="4" t="s">
        <v>20149</v>
      </c>
      <c r="B16001" s="4" t="s">
        <v>20152</v>
      </c>
      <c r="C16001" s="5" t="str">
        <f>IFERROR(__xludf.DUMMYFUNCTION("GOOGLETRANSLATE(B16001,""en"",""zh-CN"")"),"成人风笛手和孩子在表演时彼此相邻。")</f>
        <v>成人风笛手和孩子在表演时彼此相邻。</v>
      </c>
    </row>
    <row r="16002">
      <c r="A16002" s="4" t="s">
        <v>20149</v>
      </c>
      <c r="B16002" s="4" t="s">
        <v>20153</v>
      </c>
      <c r="C16002" s="5" t="str">
        <f>IFERROR(__xludf.DUMMYFUNCTION("GOOGLETRANSLATE(B16002,""en"",""zh-CN"")"),"孩子结束了演奏，然后向前走到相机。")</f>
        <v>孩子结束了演奏，然后向前走到相机。</v>
      </c>
    </row>
    <row r="16003">
      <c r="A16003" s="4" t="s">
        <v>20154</v>
      </c>
      <c r="B16003" s="4" t="s">
        <v>20155</v>
      </c>
      <c r="C16003" s="5" t="str">
        <f>IFERROR(__xludf.DUMMYFUNCTION("GOOGLETRANSLATE(B16003,""en"",""zh-CN"")"),"一个小男孩在公共游乐场的秋千上摇摆。")</f>
        <v>一个小男孩在公共游乐场的秋千上摇摆。</v>
      </c>
    </row>
    <row r="16004">
      <c r="A16004" s="4" t="s">
        <v>20154</v>
      </c>
      <c r="B16004" s="4" t="s">
        <v>20156</v>
      </c>
      <c r="C16004" s="5" t="str">
        <f>IFERROR(__xludf.DUMMYFUNCTION("GOOGLETRANSLATE(B16004,""en"",""zh-CN"")"),"当有人推动他时，他高高地向空中摇摆。")</f>
        <v>当有人推动他时，他高高地向空中摇摆。</v>
      </c>
    </row>
    <row r="16005">
      <c r="A16005" s="4" t="s">
        <v>20154</v>
      </c>
      <c r="B16005" s="4" t="s">
        <v>20157</v>
      </c>
      <c r="C16005" s="5" t="str">
        <f>IFERROR(__xludf.DUMMYFUNCTION("GOOGLETRANSLATE(B16005,""en"",""zh-CN"")"),"男孩微笑着用相机与那个人交谈。")</f>
        <v>男孩微笑着用相机与那个人交谈。</v>
      </c>
    </row>
    <row r="16006">
      <c r="A16006" s="4" t="s">
        <v>20158</v>
      </c>
      <c r="B16006" s="4" t="s">
        <v>20159</v>
      </c>
      <c r="C16006" s="5" t="str">
        <f>IFERROR(__xludf.DUMMYFUNCTION("GOOGLETRANSLATE(B16006,""en"",""zh-CN"")"),"男人正在运动和沙子运动。")</f>
        <v>男人正在运动和沙子运动。</v>
      </c>
    </row>
    <row r="16007">
      <c r="A16007" s="4" t="s">
        <v>20158</v>
      </c>
      <c r="B16007" s="4" t="s">
        <v>20160</v>
      </c>
      <c r="C16007" s="5" t="str">
        <f>IFERROR(__xludf.DUMMYFUNCTION("GOOGLETRANSLATE(B16007,""en"",""zh-CN"")"),"一个人坐在受伤的沙子上。")</f>
        <v>一个人坐在受伤的沙子上。</v>
      </c>
    </row>
    <row r="16008">
      <c r="A16008" s="4" t="s">
        <v>20161</v>
      </c>
      <c r="B16008" s="4" t="s">
        <v>20162</v>
      </c>
      <c r="C16008" s="5" t="str">
        <f>IFERROR(__xludf.DUMMYFUNCTION("GOOGLETRANSLATE(B16008,""en"",""zh-CN"")"),"一支游行乐队在街上演奏。")</f>
        <v>一支游行乐队在街上演奏。</v>
      </c>
    </row>
    <row r="16009">
      <c r="A16009" s="4" t="s">
        <v>20161</v>
      </c>
      <c r="B16009" s="4" t="s">
        <v>20163</v>
      </c>
      <c r="C16009" s="5" t="str">
        <f>IFERROR(__xludf.DUMMYFUNCTION("GOOGLETRANSLATE(B16009,""en"",""zh-CN"")"),"人们走在游行乐队后面。")</f>
        <v>人们走在游行乐队后面。</v>
      </c>
    </row>
    <row r="16010">
      <c r="A16010" s="4" t="s">
        <v>20161</v>
      </c>
      <c r="B16010" s="4" t="s">
        <v>20164</v>
      </c>
      <c r="C16010" s="5" t="str">
        <f>IFERROR(__xludf.DUMMYFUNCTION("GOOGLETRANSLATE(B16010,""en"",""zh-CN"")"),"人们在商店的一大窗户前经过。")</f>
        <v>人们在商店的一大窗户前经过。</v>
      </c>
    </row>
    <row r="16011">
      <c r="A16011" s="4" t="s">
        <v>20165</v>
      </c>
      <c r="B16011" s="4" t="s">
        <v>20166</v>
      </c>
      <c r="C16011" s="5" t="str">
        <f>IFERROR(__xludf.DUMMYFUNCTION("GOOGLETRANSLATE(B16011,""en"",""zh-CN"")"),"一个男人正在地板上画东西。")</f>
        <v>一个男人正在地板上画东西。</v>
      </c>
    </row>
    <row r="16012">
      <c r="A16012" s="4" t="s">
        <v>20165</v>
      </c>
      <c r="B16012" s="4" t="s">
        <v>20167</v>
      </c>
      <c r="C16012" s="5" t="str">
        <f>IFERROR(__xludf.DUMMYFUNCTION("GOOGLETRANSLATE(B16012,""en"",""zh-CN"")"),"她反复上下抚摸，试图确保他不会错过该地区的任何景点。")</f>
        <v>她反复上下抚摸，试图确保他不会错过该地区的任何景点。</v>
      </c>
    </row>
    <row r="16013">
      <c r="A16013" s="4" t="s">
        <v>20165</v>
      </c>
      <c r="B16013" s="6" t="s">
        <v>20168</v>
      </c>
      <c r="C16013" s="5" t="str">
        <f>IFERROR(__xludf.DUMMYFUNCTION("GOOGLETRANSLATE(B16013,""en"",""zh-CN"")"),"他站起来，看着这件作品，然后将刷子浸入油漆中，然后重新开始。")</f>
        <v>他站起来，看着这件作品，然后将刷子浸入油漆中，然后重新开始。</v>
      </c>
    </row>
    <row r="16014">
      <c r="A16014" s="4" t="s">
        <v>20165</v>
      </c>
      <c r="B16014" s="4" t="s">
        <v>20169</v>
      </c>
      <c r="C16014" s="5" t="str">
        <f>IFERROR(__xludf.DUMMYFUNCTION("GOOGLETRANSLATE(B16014,""en"",""zh-CN"")"),"他搬到了他还没有绘画的部分。")</f>
        <v>他搬到了他还没有绘画的部分。</v>
      </c>
    </row>
    <row r="16015">
      <c r="A16015" s="4" t="s">
        <v>20170</v>
      </c>
      <c r="B16015" s="4" t="s">
        <v>20171</v>
      </c>
      <c r="C16015" s="5" t="str">
        <f>IFERROR(__xludf.DUMMYFUNCTION("GOOGLETRANSLATE(B16015,""en"",""zh-CN"")"),"在一个空旷的场上有一场竞争激烈的拔河比赛。")</f>
        <v>在一个空旷的场上有一场竞争激烈的拔河比赛。</v>
      </c>
    </row>
    <row r="16016">
      <c r="A16016" s="4" t="s">
        <v>20170</v>
      </c>
      <c r="B16016" s="4" t="s">
        <v>20172</v>
      </c>
      <c r="C16016" s="5" t="str">
        <f>IFERROR(__xludf.DUMMYFUNCTION("GOOGLETRANSLATE(B16016,""en"",""zh-CN"")"),"一支穿着蓝色的团队正在与另一支球队竞争。")</f>
        <v>一支穿着蓝色的团队正在与另一支球队竞争。</v>
      </c>
    </row>
    <row r="16017">
      <c r="A16017" s="4" t="s">
        <v>20170</v>
      </c>
      <c r="B16017" s="4" t="s">
        <v>20173</v>
      </c>
      <c r="C16017" s="5" t="str">
        <f>IFERROR(__xludf.DUMMYFUNCTION("GOOGLETRANSLATE(B16017,""en"",""zh-CN"")"),"教练正在向团队指示如何拉绳子。")</f>
        <v>教练正在向团队指示如何拉绳子。</v>
      </c>
    </row>
    <row r="16018">
      <c r="A16018" s="4" t="s">
        <v>20170</v>
      </c>
      <c r="B16018" s="4" t="s">
        <v>20174</v>
      </c>
      <c r="C16018" s="5" t="str">
        <f>IFERROR(__xludf.DUMMYFUNCTION("GOOGLETRANSLATE(B16018,""en"",""zh-CN"")"),"他鼓励他们不要付出并继续努力。")</f>
        <v>他鼓励他们不要付出并继续努力。</v>
      </c>
    </row>
    <row r="16019">
      <c r="A16019" s="4" t="s">
        <v>20170</v>
      </c>
      <c r="B16019" s="4" t="s">
        <v>20175</v>
      </c>
      <c r="C16019" s="5" t="str">
        <f>IFERROR(__xludf.DUMMYFUNCTION("GOOGLETRANSLATE(B16019,""en"",""zh-CN"")"),"有观众在观看活动，并为参与者欢呼。")</f>
        <v>有观众在观看活动，并为参与者欢呼。</v>
      </c>
    </row>
    <row r="16020">
      <c r="A16020" s="4" t="s">
        <v>20170</v>
      </c>
      <c r="B16020" s="4" t="s">
        <v>20176</v>
      </c>
      <c r="C16020" s="5" t="str">
        <f>IFERROR(__xludf.DUMMYFUNCTION("GOOGLETRANSLATE(B16020,""en"",""zh-CN"")"),"观众们为球员们手表和欢呼，还有更多的拔河比赛。")</f>
        <v>观众们为球员们手表和欢呼，还有更多的拔河比赛。</v>
      </c>
    </row>
    <row r="16021">
      <c r="A16021" s="4" t="s">
        <v>20170</v>
      </c>
      <c r="B16021" s="4" t="s">
        <v>20177</v>
      </c>
      <c r="C16021" s="5" t="str">
        <f>IFERROR(__xludf.DUMMYFUNCTION("GOOGLETRANSLATE(B16021,""en"",""zh-CN"")"),"教练继续鼓励球员。")</f>
        <v>教练继续鼓励球员。</v>
      </c>
    </row>
    <row r="16022">
      <c r="A16022" s="4" t="s">
        <v>20170</v>
      </c>
      <c r="B16022" s="4" t="s">
        <v>20178</v>
      </c>
      <c r="C16022" s="5" t="str">
        <f>IFERROR(__xludf.DUMMYFUNCTION("GOOGLETRANSLATE(B16022,""en"",""zh-CN"")"),"在他们赢得战争的拔河之后，所有观众都耗尽并拥抱球员。")</f>
        <v>在他们赢得战争的拔河之后，所有观众都耗尽并拥抱球员。</v>
      </c>
    </row>
    <row r="16023">
      <c r="A16023" s="4" t="s">
        <v>20170</v>
      </c>
      <c r="B16023" s="4" t="s">
        <v>20179</v>
      </c>
      <c r="C16023" s="5" t="str">
        <f>IFERROR(__xludf.DUMMYFUNCTION("GOOGLETRANSLATE(B16023,""en"",""zh-CN"")"),"摄影师拍照。")</f>
        <v>摄影师拍照。</v>
      </c>
    </row>
    <row r="16024">
      <c r="A16024" s="4" t="s">
        <v>20170</v>
      </c>
      <c r="B16024" s="4" t="s">
        <v>20180</v>
      </c>
      <c r="C16024" s="5" t="str">
        <f>IFERROR(__xludf.DUMMYFUNCTION("GOOGLETRANSLATE(B16024,""en"",""zh-CN"")"),"整个团队都在获胜后摆姿势。")</f>
        <v>整个团队都在获胜后摆姿势。</v>
      </c>
    </row>
    <row r="16025">
      <c r="A16025" s="4" t="s">
        <v>20181</v>
      </c>
      <c r="B16025" s="4" t="s">
        <v>20182</v>
      </c>
      <c r="C16025" s="5" t="str">
        <f>IFERROR(__xludf.DUMMYFUNCTION("GOOGLETRANSLATE(B16025,""en"",""zh-CN"")"),"女人开始刷马。")</f>
        <v>女人开始刷马。</v>
      </c>
    </row>
    <row r="16026">
      <c r="A16026" s="4" t="s">
        <v>20181</v>
      </c>
      <c r="B16026" s="4" t="s">
        <v>20183</v>
      </c>
      <c r="C16026" s="5" t="str">
        <f>IFERROR(__xludf.DUMMYFUNCTION("GOOGLETRANSLATE(B16026,""en"",""zh-CN"")"),"她得到了粉红色的刷子，然后开始再次刷马。")</f>
        <v>她得到了粉红色的刷子，然后开始再次刷马。</v>
      </c>
    </row>
    <row r="16027">
      <c r="A16027" s="4" t="s">
        <v>20181</v>
      </c>
      <c r="B16027" s="4" t="s">
        <v>20184</v>
      </c>
      <c r="C16027" s="5" t="str">
        <f>IFERROR(__xludf.DUMMYFUNCTION("GOOGLETRANSLATE(B16027,""en"",""zh-CN"")"),"她得到了黑色刷子，继续刷马。")</f>
        <v>她得到了黑色刷子，继续刷马。</v>
      </c>
    </row>
    <row r="16028">
      <c r="A16028" s="4" t="s">
        <v>20181</v>
      </c>
      <c r="B16028" s="4" t="s">
        <v>20185</v>
      </c>
      <c r="C16028" s="5" t="str">
        <f>IFERROR(__xludf.DUMMYFUNCTION("GOOGLETRANSLATE(B16028,""en"",""zh-CN"")"),"她开始刷马上的腿。")</f>
        <v>她开始刷马上的腿。</v>
      </c>
    </row>
    <row r="16029">
      <c r="A16029" s="4" t="s">
        <v>20181</v>
      </c>
      <c r="B16029" s="4" t="s">
        <v>20186</v>
      </c>
      <c r="C16029" s="5" t="str">
        <f>IFERROR(__xludf.DUMMYFUNCTION("GOOGLETRANSLATE(B16029,""en"",""zh-CN"")"),"她抬起马脚，清洁脚底。")</f>
        <v>她抬起马脚，清洁脚底。</v>
      </c>
    </row>
    <row r="16030">
      <c r="A16030" s="4" t="s">
        <v>20187</v>
      </c>
      <c r="B16030" s="4" t="s">
        <v>20188</v>
      </c>
      <c r="C16030" s="5" t="str">
        <f>IFERROR(__xludf.DUMMYFUNCTION("GOOGLETRANSLATE(B16030,""en"",""zh-CN"")"),"看到一个男人在相机上说话，并导致他将烹饪锅拿出一个热炉。")</f>
        <v>看到一个男人在相机上说话，并导致他将烹饪锅拿出一个热炉。</v>
      </c>
    </row>
    <row r="16031">
      <c r="A16031" s="4" t="s">
        <v>20187</v>
      </c>
      <c r="B16031" s="6" t="s">
        <v>20189</v>
      </c>
      <c r="C16031" s="5" t="str">
        <f>IFERROR(__xludf.DUMMYFUNCTION("GOOGLETRANSLATE(B16031,""en"",""zh-CN"")"),"该男子将食材混合到一个碗中，将其倒入锅中，同时连续搅拌。")</f>
        <v>该男子将食材混合到一个碗中，将其倒入锅中，同时连续搅拌。</v>
      </c>
    </row>
    <row r="16032">
      <c r="A16032" s="4" t="s">
        <v>20187</v>
      </c>
      <c r="B16032" s="4" t="s">
        <v>20190</v>
      </c>
      <c r="C16032" s="5" t="str">
        <f>IFERROR(__xludf.DUMMYFUNCTION("GOOGLETRANSLATE(B16032,""en"",""zh-CN"")"),"他将食物倒在盘子上，仍然将锅握在手中。")</f>
        <v>他将食物倒在盘子上，仍然将锅握在手中。</v>
      </c>
    </row>
    <row r="16033">
      <c r="A16033" s="4" t="s">
        <v>20191</v>
      </c>
      <c r="B16033" s="4" t="s">
        <v>20192</v>
      </c>
      <c r="C16033" s="5" t="str">
        <f>IFERROR(__xludf.DUMMYFUNCTION("GOOGLETRANSLATE(B16033,""en"",""zh-CN"")"),"牧师的蒙太奇正在为人们提供交往。")</f>
        <v>牧师的蒙太奇正在为人们提供交往。</v>
      </c>
    </row>
    <row r="16034">
      <c r="A16034" s="4" t="s">
        <v>20191</v>
      </c>
      <c r="B16034" s="4" t="s">
        <v>20193</v>
      </c>
      <c r="C16034" s="5" t="str">
        <f>IFERROR(__xludf.DUMMYFUNCTION("GOOGLETRANSLATE(B16034,""en"",""zh-CN"")"),"耶稣和特蕾莎修女的表现为蒙太奇。")</f>
        <v>耶稣和特蕾莎修女的表现为蒙太奇。</v>
      </c>
    </row>
    <row r="16035">
      <c r="A16035" s="4" t="s">
        <v>20194</v>
      </c>
      <c r="B16035" s="6" t="s">
        <v>20195</v>
      </c>
      <c r="C16035" s="5" t="str">
        <f>IFERROR(__xludf.DUMMYFUNCTION("GOOGLETRANSLATE(B16035,""en"",""zh-CN"")"),"一位带有伯内特头发的年轻女士站在酒吧里的黑色柜台后面，上面有几种酒精。")</f>
        <v>一位带有伯内特头发的年轻女士站在酒吧里的黑色柜台后面，上面有几种酒精。</v>
      </c>
    </row>
    <row r="16036">
      <c r="A16036" s="4" t="s">
        <v>20194</v>
      </c>
      <c r="B16036" s="4" t="s">
        <v>20196</v>
      </c>
      <c r="C16036" s="5" t="str">
        <f>IFERROR(__xludf.DUMMYFUNCTION("GOOGLETRANSLATE(B16036,""en"",""zh-CN"")"),"然后，她抓住了一个透明的玻璃杯，然后将冰放入其中。")</f>
        <v>然后，她抓住了一个透明的玻璃杯，然后将冰放入其中。</v>
      </c>
    </row>
    <row r="16037">
      <c r="A16037" s="4" t="s">
        <v>20194</v>
      </c>
      <c r="B16037" s="4" t="s">
        <v>20197</v>
      </c>
      <c r="C16037" s="5" t="str">
        <f>IFERROR(__xludf.DUMMYFUNCTION("GOOGLETRANSLATE(B16037,""en"",""zh-CN"")"),"接下来是酒，她在其中倒了橙汁和糖浆，饮料已经完成。")</f>
        <v>接下来是酒，她在其中倒了橙汁和糖浆，饮料已经完成。</v>
      </c>
    </row>
    <row r="16038">
      <c r="A16038" s="4" t="s">
        <v>20198</v>
      </c>
      <c r="B16038" s="4" t="s">
        <v>20199</v>
      </c>
      <c r="C16038" s="5" t="str">
        <f>IFERROR(__xludf.DUMMYFUNCTION("GOOGLETRANSLATE(B16038,""en"",""zh-CN"")"),"四个人站在壁球场上。")</f>
        <v>四个人站在壁球场上。</v>
      </c>
    </row>
    <row r="16039">
      <c r="A16039" s="4" t="s">
        <v>20198</v>
      </c>
      <c r="B16039" s="4" t="s">
        <v>20200</v>
      </c>
      <c r="C16039" s="5" t="str">
        <f>IFERROR(__xludf.DUMMYFUNCTION("GOOGLETRANSLATE(B16039,""en"",""zh-CN"")"),"一个人送球。")</f>
        <v>一个人送球。</v>
      </c>
    </row>
    <row r="16040">
      <c r="A16040" s="4" t="s">
        <v>20198</v>
      </c>
      <c r="B16040" s="4" t="s">
        <v>20201</v>
      </c>
      <c r="C16040" s="5" t="str">
        <f>IFERROR(__xludf.DUMMYFUNCTION("GOOGLETRANSLATE(B16040,""en"",""zh-CN"")"),"然后，男人开始凌空抽射。")</f>
        <v>然后，男人开始凌空抽射。</v>
      </c>
    </row>
    <row r="16041">
      <c r="A16041" s="4" t="s">
        <v>20198</v>
      </c>
      <c r="B16041" s="4" t="s">
        <v>20202</v>
      </c>
      <c r="C16041" s="5" t="str">
        <f>IFERROR(__xludf.DUMMYFUNCTION("GOOGLETRANSLATE(B16041,""en"",""zh-CN"")"),"一个团队得分。")</f>
        <v>一个团队得分。</v>
      </c>
    </row>
    <row r="16042">
      <c r="A16042" s="4" t="s">
        <v>20198</v>
      </c>
      <c r="B16042" s="4" t="s">
        <v>20203</v>
      </c>
      <c r="C16042" s="5" t="str">
        <f>IFERROR(__xludf.DUMMYFUNCTION("GOOGLETRANSLATE(B16042,""en"",""zh-CN"")"),"他们都重复该过程。")</f>
        <v>他们都重复该过程。</v>
      </c>
    </row>
    <row r="16043">
      <c r="A16043" s="4" t="s">
        <v>20204</v>
      </c>
      <c r="B16043" s="6" t="s">
        <v>20205</v>
      </c>
      <c r="C16043" s="5" t="str">
        <f>IFERROR(__xludf.DUMMYFUNCTION("GOOGLETRANSLATE(B16043,""en"",""zh-CN"")"),"穿着橙色保护套装和金属黑面具的人在工业环境中焊接一些东西。")</f>
        <v>穿着橙色保护套装和金属黑面具的人在工业环境中焊接一些东西。</v>
      </c>
    </row>
    <row r="16044">
      <c r="A16044" s="4" t="s">
        <v>20204</v>
      </c>
      <c r="B16044" s="6" t="s">
        <v>20206</v>
      </c>
      <c r="C16044" s="5" t="str">
        <f>IFERROR(__xludf.DUMMYFUNCTION("GOOGLETRANSLATE(B16044,""en"",""zh-CN"")"),"一个人站在金属头盔上的黑盒子旁边，右侧有线盒子爆发了火花。")</f>
        <v>一个人站在金属头盔上的黑盒子旁边，右侧有线盒子爆发了火花。</v>
      </c>
    </row>
    <row r="16045">
      <c r="A16045" s="4" t="s">
        <v>20204</v>
      </c>
      <c r="B16045" s="6" t="s">
        <v>20207</v>
      </c>
      <c r="C16045" s="5" t="str">
        <f>IFERROR(__xludf.DUMMYFUNCTION("GOOGLETRANSLATE(B16045,""en"",""zh-CN"")"),"在火火火花中，工人后面的一个大灰色轮子旋转，另一名工人穿着蓝色的防护服走过。")</f>
        <v>在火火火花中，工人后面的一个大灰色轮子旋转，另一名工人穿着蓝色的防护服走过。</v>
      </c>
    </row>
    <row r="16046">
      <c r="A16046" s="4" t="s">
        <v>20208</v>
      </c>
      <c r="B16046" s="4" t="s">
        <v>20209</v>
      </c>
      <c r="C16046" s="5" t="str">
        <f>IFERROR(__xludf.DUMMYFUNCTION("GOOGLETRANSLATE(B16046,""en"",""zh-CN"")"),"两个女人站在别人的肩膀上。")</f>
        <v>两个女人站在别人的肩膀上。</v>
      </c>
    </row>
    <row r="16047">
      <c r="A16047" s="4" t="s">
        <v>20208</v>
      </c>
      <c r="B16047" s="6" t="s">
        <v>20210</v>
      </c>
      <c r="C16047" s="5" t="str">
        <f>IFERROR(__xludf.DUMMYFUNCTION("GOOGLETRANSLATE(B16047,""en"",""zh-CN"")"),"他们把另一个女人抬到空中，在他们之间平衡她之间，然后才抓住她。")</f>
        <v>他们把另一个女人抬到空中，在他们之间平衡她之间，然后才抓住她。</v>
      </c>
    </row>
    <row r="16048">
      <c r="A16048" s="4" t="s">
        <v>20208</v>
      </c>
      <c r="B16048" s="4" t="s">
        <v>20211</v>
      </c>
      <c r="C16048" s="5" t="str">
        <f>IFERROR(__xludf.DUMMYFUNCTION("GOOGLETRANSLATE(B16048,""en"",""zh-CN"")"),"但是，下面的女孩被撞倒在地。")</f>
        <v>但是，下面的女孩被撞倒在地。</v>
      </c>
    </row>
    <row r="16049">
      <c r="A16049" s="4" t="s">
        <v>20212</v>
      </c>
      <c r="B16049" s="4" t="s">
        <v>20213</v>
      </c>
      <c r="C16049" s="5" t="str">
        <f>IFERROR(__xludf.DUMMYFUNCTION("GOOGLETRANSLATE(B16049,""en"",""zh-CN"")"),"一个男人切成一块木头。")</f>
        <v>一个男人切成一块木头。</v>
      </c>
    </row>
    <row r="16050">
      <c r="A16050" s="4" t="s">
        <v>20212</v>
      </c>
      <c r="B16050" s="4" t="s">
        <v>20214</v>
      </c>
      <c r="C16050" s="5" t="str">
        <f>IFERROR(__xludf.DUMMYFUNCTION("GOOGLETRANSLATE(B16050,""en"",""zh-CN"")"),"然后，他的动作以慢动作重播。")</f>
        <v>然后，他的动作以慢动作重播。</v>
      </c>
    </row>
    <row r="16051">
      <c r="A16051" s="4" t="s">
        <v>20212</v>
      </c>
      <c r="B16051" s="4" t="s">
        <v>20215</v>
      </c>
      <c r="C16051" s="5" t="str">
        <f>IFERROR(__xludf.DUMMYFUNCTION("GOOGLETRANSLATE(B16051,""en"",""zh-CN"")"),"接下来，他拿起一块木头，将其扔进一堆。")</f>
        <v>接下来，他拿起一块木头，将其扔进一堆。</v>
      </c>
    </row>
    <row r="16052">
      <c r="A16052" s="4" t="s">
        <v>20216</v>
      </c>
      <c r="B16052" s="4" t="s">
        <v>20217</v>
      </c>
      <c r="C16052" s="5" t="str">
        <f>IFERROR(__xludf.DUMMYFUNCTION("GOOGLETRANSLATE(B16052,""en"",""zh-CN"")"),"介绍到屏幕上，以获取有关家具维修的视频。")</f>
        <v>介绍到屏幕上，以获取有关家具维修的视频。</v>
      </c>
    </row>
    <row r="16053">
      <c r="A16053" s="4" t="s">
        <v>20216</v>
      </c>
      <c r="B16053" s="6" t="s">
        <v>20218</v>
      </c>
      <c r="C16053" s="5" t="str">
        <f>IFERROR(__xludf.DUMMYFUNCTION("GOOGLETRANSLATE(B16053,""en"",""zh-CN"")"),"屏幕上显示了一个女人，手套上戴着手套，手动擦面霜在皮革渥太华达鞋上擦拭，以修复磨损。")</f>
        <v>屏幕上显示了一个女人，手套上戴着手套，手动擦面霜在皮革渥太华达鞋上擦拭，以修复磨损。</v>
      </c>
    </row>
    <row r="16054">
      <c r="A16054" s="4" t="s">
        <v>20216</v>
      </c>
      <c r="B16054" s="4" t="s">
        <v>20219</v>
      </c>
      <c r="C16054" s="5" t="str">
        <f>IFERROR(__xludf.DUMMYFUNCTION("GOOGLETRANSLATE(B16054,""en"",""zh-CN"")"),"视频以结尾学分的图形结束。")</f>
        <v>视频以结尾学分的图形结束。</v>
      </c>
    </row>
    <row r="16055">
      <c r="A16055" s="4" t="s">
        <v>20220</v>
      </c>
      <c r="B16055" s="4" t="s">
        <v>20221</v>
      </c>
      <c r="C16055" s="5" t="str">
        <f>IFERROR(__xludf.DUMMYFUNCTION("GOOGLETRANSLATE(B16055,""en"",""zh-CN"")"),"男人正站在法庭上，后面有一个网。")</f>
        <v>男人正站在法庭上，后面有一个网。</v>
      </c>
    </row>
    <row r="16056">
      <c r="A16056" s="4" t="s">
        <v>20220</v>
      </c>
      <c r="B16056" s="4" t="s">
        <v>20222</v>
      </c>
      <c r="C16056" s="5" t="str">
        <f>IFERROR(__xludf.DUMMYFUNCTION("GOOGLETRANSLATE(B16056,""en"",""zh-CN"")"),"男子正在一个笨拙的宫廷体育馆里打车。")</f>
        <v>男子正在一个笨拙的宫廷体育馆里打车。</v>
      </c>
    </row>
    <row r="16057">
      <c r="A16057" s="4" t="s">
        <v>20223</v>
      </c>
      <c r="B16057" s="4" t="s">
        <v>20224</v>
      </c>
      <c r="C16057" s="5" t="str">
        <f>IFERROR(__xludf.DUMMYFUNCTION("GOOGLETRANSLATE(B16057,""en"",""zh-CN"")"),"一名年轻的男运动员站在田野里，倒在一个小圈子里。")</f>
        <v>一名年轻的男运动员站在田野里，倒在一个小圈子里。</v>
      </c>
    </row>
    <row r="16058">
      <c r="A16058" s="4" t="s">
        <v>20223</v>
      </c>
      <c r="B16058" s="4" t="s">
        <v>20225</v>
      </c>
      <c r="C16058" s="5" t="str">
        <f>IFERROR(__xludf.DUMMYFUNCTION("GOOGLETRANSLATE(B16058,""en"",""zh-CN"")"),"然后，他伸出手臂，开始来回移动。")</f>
        <v>然后，他伸出手臂，开始来回移动。</v>
      </c>
    </row>
    <row r="16059">
      <c r="A16059" s="4" t="s">
        <v>20223</v>
      </c>
      <c r="B16059" s="6" t="s">
        <v>20226</v>
      </c>
      <c r="C16059" s="5" t="str">
        <f>IFERROR(__xludf.DUMMYFUNCTION("GOOGLETRANSLATE(B16059,""en"",""zh-CN"")"),"准备好后，他四处旋转，将铁饼扔到田野里，走开，回头看远处。")</f>
        <v>准备好后，他四处旋转，将铁饼扔到田野里，走开，回头看远处。</v>
      </c>
    </row>
    <row r="16060">
      <c r="A16060" s="4" t="s">
        <v>20227</v>
      </c>
      <c r="B16060" s="4" t="s">
        <v>20228</v>
      </c>
      <c r="C16060" s="5" t="str">
        <f>IFERROR(__xludf.DUMMYFUNCTION("GOOGLETRANSLATE(B16060,""en"",""zh-CN"")"),"两个人在公园里耙树叶。")</f>
        <v>两个人在公园里耙树叶。</v>
      </c>
    </row>
    <row r="16061">
      <c r="A16061" s="4" t="s">
        <v>20227</v>
      </c>
      <c r="B16061" s="4" t="s">
        <v>20229</v>
      </c>
      <c r="C16061" s="5" t="str">
        <f>IFERROR(__xludf.DUMMYFUNCTION("GOOGLETRANSLATE(B16061,""en"",""zh-CN"")"),"后方的那个人转向相机。")</f>
        <v>后方的那个人转向相机。</v>
      </c>
    </row>
    <row r="16062">
      <c r="A16062" s="4" t="s">
        <v>20227</v>
      </c>
      <c r="B16062" s="4" t="s">
        <v>20230</v>
      </c>
      <c r="C16062" s="5" t="str">
        <f>IFERROR(__xludf.DUMMYFUNCTION("GOOGLETRANSLATE(B16062,""en"",""zh-CN"")"),"左边的那位女士转向右侧。")</f>
        <v>左边的那位女士转向右侧。</v>
      </c>
    </row>
    <row r="16063">
      <c r="A16063" s="4" t="s">
        <v>20231</v>
      </c>
      <c r="B16063" s="4" t="s">
        <v>20232</v>
      </c>
      <c r="C16063" s="5" t="str">
        <f>IFERROR(__xludf.DUMMYFUNCTION("GOOGLETRANSLATE(B16063,""en"",""zh-CN"")"),"该男子用他的比赛将木木烧毁。")</f>
        <v>该男子用他的比赛将木木烧毁。</v>
      </c>
    </row>
    <row r="16064">
      <c r="A16064" s="4" t="s">
        <v>20231</v>
      </c>
      <c r="B16064" s="4" t="s">
        <v>20233</v>
      </c>
      <c r="C16064" s="5" t="str">
        <f>IFERROR(__xludf.DUMMYFUNCTION("GOOGLETRANSLATE(B16064,""en"",""zh-CN"")"),"起初，大火真的很小，但随后生长并变得更大。")</f>
        <v>起初，大火真的很小，但随后生长并变得更大。</v>
      </c>
    </row>
    <row r="16065">
      <c r="A16065" s="4" t="s">
        <v>20231</v>
      </c>
      <c r="B16065" s="4" t="s">
        <v>20234</v>
      </c>
      <c r="C16065" s="5" t="str">
        <f>IFERROR(__xludf.DUMMYFUNCTION("GOOGLETRANSLATE(B16065,""en"",""zh-CN"")"),"一段时间后，视频结束仍显示由火柴和树枝造成的火。")</f>
        <v>一段时间后，视频结束仍显示由火柴和树枝造成的火。</v>
      </c>
    </row>
    <row r="16066">
      <c r="A16066" s="4" t="s">
        <v>20235</v>
      </c>
      <c r="B16066" s="4" t="s">
        <v>20236</v>
      </c>
      <c r="C16066" s="5" t="str">
        <f>IFERROR(__xludf.DUMMYFUNCTION("GOOGLETRANSLATE(B16066,""en"",""zh-CN"")"),"Livestrong网站正在展示有关拳击的视频。")</f>
        <v>Livestrong网站正在展示有关拳击的视频。</v>
      </c>
    </row>
    <row r="16067">
      <c r="A16067" s="4" t="s">
        <v>20235</v>
      </c>
      <c r="B16067" s="6" t="s">
        <v>20237</v>
      </c>
      <c r="C16067" s="5" t="str">
        <f>IFERROR(__xludf.DUMMYFUNCTION("GOOGLETRANSLATE(B16067,""en"",""zh-CN"")"),"朱莉·格拉斯曼（Jolie Glassman）的女士拳击手正在演示如何正确打孔和盒子。")</f>
        <v>朱莉·格拉斯曼（Jolie Glassman）的女士拳击手正在演示如何正确打孔和盒子。</v>
      </c>
    </row>
    <row r="16068">
      <c r="A16068" s="4" t="s">
        <v>20235</v>
      </c>
      <c r="B16068" s="4" t="s">
        <v>20238</v>
      </c>
      <c r="C16068" s="5" t="str">
        <f>IFERROR(__xludf.DUMMYFUNCTION("GOOGLETRANSLATE(B16068,""en"",""zh-CN"")"),"她正在健身房展示踢和打孔技术。")</f>
        <v>她正在健身房展示踢和打孔技术。</v>
      </c>
    </row>
    <row r="16069">
      <c r="A16069" s="4" t="s">
        <v>20239</v>
      </c>
      <c r="B16069" s="6" t="s">
        <v>20240</v>
      </c>
      <c r="C16069" s="5" t="str">
        <f>IFERROR(__xludf.DUMMYFUNCTION("GOOGLETRANSLATE(B16069,""en"",""zh-CN"")"),"看到一个人沿着雪山的骑行以及另一个人和骑着山上的孩子。")</f>
        <v>看到一个人沿着雪山的骑行以及另一个人和骑着山上的孩子。</v>
      </c>
    </row>
    <row r="16070">
      <c r="A16070" s="4" t="s">
        <v>20239</v>
      </c>
      <c r="B16070" s="6" t="s">
        <v>20241</v>
      </c>
      <c r="C16070" s="5" t="str">
        <f>IFERROR(__xludf.DUMMYFUNCTION("GOOGLETRANSLATE(B16070,""en"",""zh-CN"")"),"还显示了更多的剪辑，其中有人从各个角度骑着山上，大喊大叫和欢呼。")</f>
        <v>还显示了更多的剪辑，其中有人从各个角度骑着山上，大喊大叫和欢呼。</v>
      </c>
    </row>
    <row r="16071">
      <c r="A16071" s="4" t="s">
        <v>20242</v>
      </c>
      <c r="B16071" s="4" t="s">
        <v>20243</v>
      </c>
      <c r="C16071" s="5" t="str">
        <f>IFERROR(__xludf.DUMMYFUNCTION("GOOGLETRANSLATE(B16071,""en"",""zh-CN"")"),"我们看到一个孩子在院子里玩霍普奇。")</f>
        <v>我们看到一个孩子在院子里玩霍普奇。</v>
      </c>
    </row>
    <row r="16072">
      <c r="A16072" s="4" t="s">
        <v>20242</v>
      </c>
      <c r="B16072" s="4" t="s">
        <v>20244</v>
      </c>
      <c r="C16072" s="5" t="str">
        <f>IFERROR(__xludf.DUMMYFUNCTION("GOOGLETRANSLATE(B16072,""en"",""zh-CN"")"),"一个大女孩跳跃。")</f>
        <v>一个大女孩跳跃。</v>
      </c>
    </row>
    <row r="16073">
      <c r="A16073" s="4" t="s">
        <v>20242</v>
      </c>
      <c r="B16073" s="4" t="s">
        <v>20245</v>
      </c>
      <c r="C16073" s="5" t="str">
        <f>IFERROR(__xludf.DUMMYFUNCTION("GOOGLETRANSLATE(B16073,""en"",""zh-CN"")"),"第一个女孩跳回开始位置。")</f>
        <v>第一个女孩跳回开始位置。</v>
      </c>
    </row>
    <row r="16074">
      <c r="A16074" s="4" t="s">
        <v>20242</v>
      </c>
      <c r="B16074" s="4" t="s">
        <v>20246</v>
      </c>
      <c r="C16074" s="5" t="str">
        <f>IFERROR(__xludf.DUMMYFUNCTION("GOOGLETRANSLATE(B16074,""en"",""zh-CN"")"),"然后，大女孩又去了。")</f>
        <v>然后，大女孩又去了。</v>
      </c>
    </row>
    <row r="16075">
      <c r="A16075" s="4" t="s">
        <v>20247</v>
      </c>
      <c r="B16075" s="4" t="s">
        <v>20248</v>
      </c>
      <c r="C16075" s="5" t="str">
        <f>IFERROR(__xludf.DUMMYFUNCTION("GOOGLETRANSLATE(B16075,""en"",""zh-CN"")"),"一个人通过示例演示如何播放录音机。")</f>
        <v>一个人通过示例演示如何播放录音机。</v>
      </c>
    </row>
    <row r="16076">
      <c r="A16076" s="4" t="s">
        <v>20247</v>
      </c>
      <c r="B16076" s="6" t="s">
        <v>20249</v>
      </c>
      <c r="C16076" s="5" t="str">
        <f>IFERROR(__xludf.DUMMYFUNCTION("GOOGLETRANSLATE(B16076,""en"",""zh-CN"")"),"一个男人站在两个窗户前面，上面覆盖着封闭的米色百叶窗，在与镜头交谈时，用双手拿着木制录音机。")</f>
        <v>一个男人站在两个窗户前面，上面覆盖着封闭的米色百叶窗，在与镜头交谈时，用双手拿着木制录音机。</v>
      </c>
    </row>
    <row r="16077">
      <c r="A16077" s="4" t="s">
        <v>20247</v>
      </c>
      <c r="B16077" s="6" t="s">
        <v>20250</v>
      </c>
      <c r="C16077" s="5" t="str">
        <f>IFERROR(__xludf.DUMMYFUNCTION("GOOGLETRANSLATE(B16077,""en"",""zh-CN"")"),"当男人开始玩耍时，摄像机在木制记录员的身体上闭合，将手指从各个孔中抬起以发出噪音。")</f>
        <v>当男人开始玩耍时，摄像机在木制记录员的身体上闭合，将手指从各个孔中抬起以发出噪音。</v>
      </c>
    </row>
    <row r="16078">
      <c r="A16078" s="4" t="s">
        <v>20247</v>
      </c>
      <c r="B16078" s="6" t="s">
        <v>20251</v>
      </c>
      <c r="C16078" s="5" t="str">
        <f>IFERROR(__xludf.DUMMYFUNCTION("GOOGLETRANSLATE(B16078,""en"",""zh-CN"")"),"摄像机停留在男人的手和录音机底部的镜头镜头的镜头中。")</f>
        <v>摄像机停留在男人的手和录音机底部的镜头镜头的镜头中。</v>
      </c>
    </row>
    <row r="16079">
      <c r="A16079" s="4" t="s">
        <v>20252</v>
      </c>
      <c r="B16079" s="4" t="s">
        <v>20253</v>
      </c>
      <c r="C16079" s="5" t="str">
        <f>IFERROR(__xludf.DUMMYFUNCTION("GOOGLETRANSLATE(B16079,""en"",""zh-CN"")"),"一群岩石被覆盖在一条大蓝河的河岸上。")</f>
        <v>一群岩石被覆盖在一条大蓝河的河岸上。</v>
      </c>
    </row>
    <row r="16080">
      <c r="A16080" s="4" t="s">
        <v>20252</v>
      </c>
      <c r="B16080" s="4" t="s">
        <v>20254</v>
      </c>
      <c r="C16080" s="5" t="str">
        <f>IFERROR(__xludf.DUMMYFUNCTION("GOOGLETRANSLATE(B16080,""en"",""zh-CN"")"),"相机继续跨越河流，并显示了山脉。")</f>
        <v>相机继续跨越河流，并显示了山脉。</v>
      </c>
    </row>
    <row r="16081">
      <c r="A16081" s="4" t="s">
        <v>20252</v>
      </c>
      <c r="B16081" s="4" t="s">
        <v>20255</v>
      </c>
      <c r="C16081" s="5" t="str">
        <f>IFERROR(__xludf.DUMMYFUNCTION("GOOGLETRANSLATE(B16081,""en"",""zh-CN"")"),"显示了另一个角度，屏幕上显示一个小圆圈。")</f>
        <v>显示了另一个角度，屏幕上显示一个小圆圈。</v>
      </c>
    </row>
    <row r="16082">
      <c r="A16082" s="4" t="s">
        <v>20252</v>
      </c>
      <c r="B16082" s="4" t="s">
        <v>20256</v>
      </c>
      <c r="C16082" s="5" t="str">
        <f>IFERROR(__xludf.DUMMYFUNCTION("GOOGLETRANSLATE(B16082,""en"",""zh-CN"")"),"两名穿着背包的徒步旅行者可见并显示一根绳子。")</f>
        <v>两名穿着背包的徒步旅行者可见并显示一根绳子。</v>
      </c>
    </row>
    <row r="16083">
      <c r="A16083" s="4" t="s">
        <v>20252</v>
      </c>
      <c r="B16083" s="6" t="s">
        <v>20257</v>
      </c>
      <c r="C16083" s="5" t="str">
        <f>IFERROR(__xludf.DUMMYFUNCTION("GOOGLETRANSLATE(B16083,""en"",""zh-CN"")"),"然后，一个人进入水中，将绳索收紧从水的一侧到另一侧，坐在绳索上。")</f>
        <v>然后，一个人进入水中，将绳索收紧从水的一侧到另一侧，坐在绳索上。</v>
      </c>
    </row>
    <row r="16084">
      <c r="A16084" s="4" t="s">
        <v>20252</v>
      </c>
      <c r="B16084" s="4" t="s">
        <v>20258</v>
      </c>
      <c r="C16084" s="5" t="str">
        <f>IFERROR(__xludf.DUMMYFUNCTION("GOOGLETRANSLATE(B16084,""en"",""zh-CN"")"),"然后，该名男子站起来，试图将绳子绑在水中，但掉进了水中。")</f>
        <v>然后，该名男子站起来，试图将绳子绑在水中，但掉进了水中。</v>
      </c>
    </row>
    <row r="16085">
      <c r="A16085" s="4" t="s">
        <v>20259</v>
      </c>
      <c r="B16085" s="6" t="s">
        <v>20260</v>
      </c>
      <c r="C16085" s="5" t="str">
        <f>IFERROR(__xludf.DUMMYFUNCTION("GOOGLETRANSLATE(B16085,""en"",""zh-CN"")"),"看到一个男人站在运动梁上，开始在酒吧上移动自己，而其他人则在他周围练习。")</f>
        <v>看到一个男人站在运动梁上，开始在酒吧上移动自己，而其他人则在他周围练习。</v>
      </c>
    </row>
    <row r="16086">
      <c r="A16086" s="4" t="s">
        <v>20259</v>
      </c>
      <c r="B16086" s="6" t="s">
        <v>20261</v>
      </c>
      <c r="C16086" s="5" t="str">
        <f>IFERROR(__xludf.DUMMYFUNCTION("GOOGLETRANSLATE(B16086,""en"",""zh-CN"")"),"该男子继续在横梁上锻炼，并停下来用手在相机上说话。")</f>
        <v>该男子继续在横梁上锻炼，并停下来用手在相机上说话。</v>
      </c>
    </row>
    <row r="16087">
      <c r="A16087" s="4" t="s">
        <v>20262</v>
      </c>
      <c r="B16087" s="4" t="s">
        <v>20263</v>
      </c>
      <c r="C16087" s="5" t="str">
        <f>IFERROR(__xludf.DUMMYFUNCTION("GOOGLETRANSLATE(B16087,""en"",""zh-CN"")"),"看到一个人擦拭抹布，然后是臀部附有几种成分。")</f>
        <v>看到一个人擦拭抹布，然后是臀部附有几种成分。</v>
      </c>
    </row>
    <row r="16088">
      <c r="A16088" s="4" t="s">
        <v>20262</v>
      </c>
      <c r="B16088" s="4" t="s">
        <v>20264</v>
      </c>
      <c r="C16088" s="5" t="str">
        <f>IFERROR(__xludf.DUMMYFUNCTION("GOOGLETRANSLATE(B16088,""en"",""zh-CN"")"),"她散发出抹布，然后再次看到办公室周围的各种窗户。")</f>
        <v>她散发出抹布，然后再次看到办公室周围的各种窗户。</v>
      </c>
    </row>
    <row r="16089">
      <c r="A16089" s="4" t="s">
        <v>20262</v>
      </c>
      <c r="B16089" s="6" t="s">
        <v>20265</v>
      </c>
      <c r="C16089" s="5" t="str">
        <f>IFERROR(__xludf.DUMMYFUNCTION("GOOGLETRANSLATE(B16089,""en"",""zh-CN"")"),"她也擦拭门把手，然后将抹布放入洗衣机中，最后悬挂在杆子上。")</f>
        <v>她也擦拭门把手，然后将抹布放入洗衣机中，最后悬挂在杆子上。</v>
      </c>
    </row>
    <row r="16090">
      <c r="A16090" s="4" t="s">
        <v>20266</v>
      </c>
      <c r="B16090" s="4" t="s">
        <v>20267</v>
      </c>
      <c r="C16090" s="5" t="str">
        <f>IFERROR(__xludf.DUMMYFUNCTION("GOOGLETRANSLATE(B16090,""en"",""zh-CN"")"),"一群溜冰者在户外赛道上很快走了。")</f>
        <v>一群溜冰者在户外赛道上很快走了。</v>
      </c>
    </row>
    <row r="16091">
      <c r="A16091" s="4" t="s">
        <v>20266</v>
      </c>
      <c r="B16091" s="4" t="s">
        <v>20268</v>
      </c>
      <c r="C16091" s="5" t="str">
        <f>IFERROR(__xludf.DUMMYFUNCTION("GOOGLETRANSLATE(B16091,""en"",""zh-CN"")"),"一个坐在轮椅上的人说话。")</f>
        <v>一个坐在轮椅上的人说话。</v>
      </c>
    </row>
    <row r="16092">
      <c r="A16092" s="4" t="s">
        <v>20266</v>
      </c>
      <c r="B16092" s="4" t="s">
        <v>20269</v>
      </c>
      <c r="C16092" s="5" t="str">
        <f>IFERROR(__xludf.DUMMYFUNCTION("GOOGLETRANSLATE(B16092,""en"",""zh-CN"")"),"一个男人的表演表现出冰球。")</f>
        <v>一个男人的表演表现出冰球。</v>
      </c>
    </row>
    <row r="16093">
      <c r="A16093" s="4" t="s">
        <v>20266</v>
      </c>
      <c r="B16093" s="4" t="s">
        <v>20270</v>
      </c>
      <c r="C16093" s="5" t="str">
        <f>IFERROR(__xludf.DUMMYFUNCTION("GOOGLETRANSLATE(B16093,""en"",""zh-CN"")"),"几个人交替玩与镜头交谈。")</f>
        <v>几个人交替玩与镜头交谈。</v>
      </c>
    </row>
    <row r="16094">
      <c r="A16094" s="4" t="s">
        <v>20271</v>
      </c>
      <c r="B16094" s="4" t="s">
        <v>20272</v>
      </c>
      <c r="C16094" s="5" t="str">
        <f>IFERROR(__xludf.DUMMYFUNCTION("GOOGLETRANSLATE(B16094,""en"",""zh-CN"")"),"一个人正在风中航行。")</f>
        <v>一个人正在风中航行。</v>
      </c>
    </row>
    <row r="16095">
      <c r="A16095" s="4" t="s">
        <v>20271</v>
      </c>
      <c r="B16095" s="4" t="s">
        <v>20273</v>
      </c>
      <c r="C16095" s="5" t="str">
        <f>IFERROR(__xludf.DUMMYFUNCTION("GOOGLETRANSLATE(B16095,""en"",""zh-CN"")"),"这个人经过一个游泳的人。")</f>
        <v>这个人经过一个游泳的人。</v>
      </c>
    </row>
    <row r="16096">
      <c r="A16096" s="4" t="s">
        <v>20271</v>
      </c>
      <c r="B16096" s="4" t="s">
        <v>20274</v>
      </c>
      <c r="C16096" s="5" t="str">
        <f>IFERROR(__xludf.DUMMYFUNCTION("GOOGLETRANSLATE(B16096,""en"",""zh-CN"")"),"该人打开董事会。")</f>
        <v>该人打开董事会。</v>
      </c>
    </row>
    <row r="16097">
      <c r="A16097" s="4" t="s">
        <v>20275</v>
      </c>
      <c r="B16097" s="6" t="s">
        <v>20276</v>
      </c>
      <c r="C16097" s="5" t="str">
        <f>IFERROR(__xludf.DUMMYFUNCTION("GOOGLETRANSLATE(B16097,""en"",""zh-CN"")"),"一群啦啦队长穿着深红色，白色和黑色的制服，准备好进行日常工作，屏幕上下面的单词说“ Mill Creek HS级AAAAAA”。")</f>
        <v>一群啦啦队长穿着深红色，白色和黑色的制服，准备好进行日常工作，屏幕上下面的单词说“ Mill Creek HS级AAAAAA”。</v>
      </c>
    </row>
    <row r="16098">
      <c r="A16098" s="4" t="s">
        <v>20275</v>
      </c>
      <c r="B16098" s="6" t="s">
        <v>20277</v>
      </c>
      <c r="C16098" s="5" t="str">
        <f>IFERROR(__xludf.DUMMYFUNCTION("GOOGLETRANSLATE(B16098,""en"",""zh-CN"")"),"啦啦队开始他们的日常活动，其中包括大量的跳跃，欢呼，翻转，无论是同步还是分离，投掷和捕捉其他啦啦队，以及许多其他动作。")</f>
        <v>啦啦队开始他们的日常活动，其中包括大量的跳跃，欢呼，翻转，无论是同步还是分离，投掷和捕捉其他啦啦队，以及许多其他动作。</v>
      </c>
    </row>
    <row r="16099">
      <c r="A16099" s="4" t="s">
        <v>20275</v>
      </c>
      <c r="B16099" s="6" t="s">
        <v>20278</v>
      </c>
      <c r="C16099" s="5" t="str">
        <f>IFERROR(__xludf.DUMMYFUNCTION("GOOGLETRANSLATE(B16099,""en"",""zh-CN"")"),"他们结束了日常活动，为自己加油打气，观众的2名女性奔跑，拥抱一些啦啦队。")</f>
        <v>他们结束了日常活动，为自己加油打气，观众的2名女性奔跑，拥抱一些啦啦队。</v>
      </c>
    </row>
    <row r="16100">
      <c r="A16100" s="4" t="s">
        <v>20279</v>
      </c>
      <c r="B16100" s="4" t="s">
        <v>20280</v>
      </c>
      <c r="C16100" s="5" t="str">
        <f>IFERROR(__xludf.DUMMYFUNCTION("GOOGLETRANSLATE(B16100,""en"",""zh-CN"")"),"一个青少年在年轻人看着他的同时，将手握在前面一杯水上。")</f>
        <v>一个青少年在年轻人看着他的同时，将手握在前面一杯水上。</v>
      </c>
    </row>
    <row r="16101">
      <c r="A16101" s="4" t="s">
        <v>20279</v>
      </c>
      <c r="B16101" s="4" t="s">
        <v>20281</v>
      </c>
      <c r="C16101" s="5" t="str">
        <f>IFERROR(__xludf.DUMMYFUNCTION("GOOGLETRANSLATE(B16101,""en"",""zh-CN"")"),"然后，少年握住玻璃杯握手，在笑时喝水。")</f>
        <v>然后，少年握住玻璃杯握手，在笑时喝水。</v>
      </c>
    </row>
    <row r="16102">
      <c r="A16102" s="4" t="s">
        <v>20279</v>
      </c>
      <c r="B16102" s="4" t="s">
        <v>20282</v>
      </c>
      <c r="C16102" s="5" t="str">
        <f>IFERROR(__xludf.DUMMYFUNCTION("GOOGLETRANSLATE(B16102,""en"",""zh-CN"")"),"之后，年轻人拿起玻璃杯，然后在青少年折叠右手时拿着杯子。")</f>
        <v>之后，年轻人拿起玻璃杯，然后在青少年折叠右手时拿着杯子。</v>
      </c>
    </row>
    <row r="16103">
      <c r="A16103" s="4" t="s">
        <v>20279</v>
      </c>
      <c r="B16103" s="4" t="s">
        <v>20283</v>
      </c>
      <c r="C16103" s="5" t="str">
        <f>IFERROR(__xludf.DUMMYFUNCTION("GOOGLETRANSLATE(B16103,""en"",""zh-CN"")"),"接下来，这名少年拿起杯子，假装在做痛苦的手势时喝酒。")</f>
        <v>接下来，这名少年拿起杯子，假装在做痛苦的手势时喝酒。</v>
      </c>
    </row>
    <row r="16104">
      <c r="A16104" s="4" t="s">
        <v>20284</v>
      </c>
      <c r="B16104" s="4" t="s">
        <v>20285</v>
      </c>
      <c r="C16104" s="5" t="str">
        <f>IFERROR(__xludf.DUMMYFUNCTION("GOOGLETRANSLATE(B16104,""en"",""zh-CN"")"),"我们看到人们在城市街上慢跑。")</f>
        <v>我们看到人们在城市街上慢跑。</v>
      </c>
    </row>
    <row r="16105">
      <c r="A16105" s="4" t="s">
        <v>20284</v>
      </c>
      <c r="B16105" s="4" t="s">
        <v>20286</v>
      </c>
      <c r="C16105" s="5" t="str">
        <f>IFERROR(__xludf.DUMMYFUNCTION("GOOGLETRANSLATE(B16105,""en"",""zh-CN"")"),"我们放大了一个光着膀子的男人在杂耍。")</f>
        <v>我们放大了一个光着膀子的男人在杂耍。</v>
      </c>
    </row>
    <row r="16106">
      <c r="A16106" s="4" t="s">
        <v>20284</v>
      </c>
      <c r="B16106" s="4" t="s">
        <v>20287</v>
      </c>
      <c r="C16106" s="5" t="str">
        <f>IFERROR(__xludf.DUMMYFUNCTION("GOOGLETRANSLATE(B16106,""en"",""zh-CN"")"),"我们向后向其他跑步者倾斜。")</f>
        <v>我们向后向其他跑步者倾斜。</v>
      </c>
    </row>
    <row r="16107">
      <c r="A16107" s="4" t="s">
        <v>20288</v>
      </c>
      <c r="B16107" s="4" t="s">
        <v>20289</v>
      </c>
      <c r="C16107" s="5" t="str">
        <f>IFERROR(__xludf.DUMMYFUNCTION("GOOGLETRANSLATE(B16107,""en"",""zh-CN"")"),"一个女人在酒吧里说话，然后将冰放在不锈钢玻璃杯中。")</f>
        <v>一个女人在酒吧里说话，然后将冰放在不锈钢玻璃杯中。</v>
      </c>
    </row>
    <row r="16108">
      <c r="A16108" s="4" t="s">
        <v>20288</v>
      </c>
      <c r="B16108" s="4" t="s">
        <v>20290</v>
      </c>
      <c r="C16108" s="5" t="str">
        <f>IFERROR(__xludf.DUMMYFUNCTION("GOOGLETRANSLATE(B16108,""en"",""zh-CN"")"),"然后，该名女子增加了两次酒，果汁和糖的措施。")</f>
        <v>然后，该名女子增加了两次酒，果汁和糖的措施。</v>
      </c>
    </row>
    <row r="16109">
      <c r="A16109" s="4" t="s">
        <v>20288</v>
      </c>
      <c r="B16109" s="4" t="s">
        <v>20291</v>
      </c>
      <c r="C16109" s="5" t="str">
        <f>IFERROR(__xludf.DUMMYFUNCTION("GOOGLETRANSLATE(B16109,""en"",""zh-CN"")"),"之后，该名女子将杯子放在上面并摇晃，然后用一块柠檬杯食用。")</f>
        <v>之后，该名女子将杯子放在上面并摇晃，然后用一块柠檬杯食用。</v>
      </c>
    </row>
    <row r="16110">
      <c r="A16110" s="4" t="s">
        <v>20292</v>
      </c>
      <c r="B16110" s="4" t="s">
        <v>20293</v>
      </c>
      <c r="C16110" s="5" t="str">
        <f>IFERROR(__xludf.DUMMYFUNCTION("GOOGLETRANSLATE(B16110,""en"",""zh-CN"")"),"一件黄色衬衫的女人手里拿着瓶子。")</f>
        <v>一件黄色衬衫的女人手里拿着瓶子。</v>
      </c>
    </row>
    <row r="16111">
      <c r="A16111" s="4" t="s">
        <v>20292</v>
      </c>
      <c r="B16111" s="4" t="s">
        <v>20294</v>
      </c>
      <c r="C16111" s="5" t="str">
        <f>IFERROR(__xludf.DUMMYFUNCTION("GOOGLETRANSLATE(B16111,""en"",""zh-CN"")"),"她打开瓶子，然后将其倒入地面上的水桶中。")</f>
        <v>她打开瓶子，然后将其倒入地面上的水桶中。</v>
      </c>
    </row>
    <row r="16112">
      <c r="A16112" s="4" t="s">
        <v>20292</v>
      </c>
      <c r="B16112" s="4" t="s">
        <v>20295</v>
      </c>
      <c r="C16112" s="5" t="str">
        <f>IFERROR(__xludf.DUMMYFUNCTION("GOOGLETRANSLATE(B16112,""en"",""zh-CN"")"),"她将拖把抹布放入水桶中，然后将其放在拖把上。")</f>
        <v>她将拖把抹布放入水桶中，然后将其放在拖把上。</v>
      </c>
    </row>
    <row r="16113">
      <c r="A16113" s="4" t="s">
        <v>20292</v>
      </c>
      <c r="B16113" s="4" t="s">
        <v>20296</v>
      </c>
      <c r="C16113" s="5" t="str">
        <f>IFERROR(__xludf.DUMMYFUNCTION("GOOGLETRANSLATE(B16113,""en"",""zh-CN"")"),"然后，她将水桶抬出房间。")</f>
        <v>然后，她将水桶抬出房间。</v>
      </c>
    </row>
    <row r="16114">
      <c r="A16114" s="4" t="s">
        <v>20292</v>
      </c>
      <c r="B16114" s="4" t="s">
        <v>20297</v>
      </c>
      <c r="C16114" s="5" t="str">
        <f>IFERROR(__xludf.DUMMYFUNCTION("GOOGLETRANSLATE(B16114,""en"",""zh-CN"")"),"她开始在地板上擦拭瓷砖。")</f>
        <v>她开始在地板上擦拭瓷砖。</v>
      </c>
    </row>
    <row r="16115">
      <c r="A16115" s="4" t="s">
        <v>20298</v>
      </c>
      <c r="B16115" s="4" t="s">
        <v>20299</v>
      </c>
      <c r="C16115" s="5" t="str">
        <f>IFERROR(__xludf.DUMMYFUNCTION("GOOGLETRANSLATE(B16115,""en"",""zh-CN"")"),"瓷砖屏幕播放带有长场的图片。")</f>
        <v>瓷砖屏幕播放带有长场的图片。</v>
      </c>
    </row>
    <row r="16116">
      <c r="A16116" s="4" t="s">
        <v>20298</v>
      </c>
      <c r="B16116" s="4" t="s">
        <v>20300</v>
      </c>
      <c r="C16116" s="5" t="str">
        <f>IFERROR(__xludf.DUMMYFUNCTION("GOOGLETRANSLATE(B16116,""en"",""zh-CN"")"),"一个男人经过几个人时，戴着圆盘和狗握住它。")</f>
        <v>一个男人经过几个人时，戴着圆盘和狗握住它。</v>
      </c>
    </row>
    <row r="16117">
      <c r="A16117" s="4" t="s">
        <v>20298</v>
      </c>
      <c r="B16117" s="4" t="s">
        <v>20301</v>
      </c>
      <c r="C16117" s="5" t="str">
        <f>IFERROR(__xludf.DUMMYFUNCTION("GOOGLETRANSLATE(B16117,""en"",""zh-CN"")"),"该男子开始与狗一起玩，并让他把它带回来。")</f>
        <v>该男子开始与狗一起玩，并让他把它带回来。</v>
      </c>
    </row>
    <row r="16118">
      <c r="A16118" s="4" t="s">
        <v>20298</v>
      </c>
      <c r="B16118" s="4" t="s">
        <v>20302</v>
      </c>
      <c r="C16118" s="5" t="str">
        <f>IFERROR(__xludf.DUMMYFUNCTION("GOOGLETRANSLATE(B16118,""en"",""zh-CN"")"),"然后，他为那只狗鼓掌。")</f>
        <v>然后，他为那只狗鼓掌。</v>
      </c>
    </row>
    <row r="16119">
      <c r="A16119" s="4" t="s">
        <v>20298</v>
      </c>
      <c r="B16119" s="4" t="s">
        <v>20303</v>
      </c>
      <c r="C16119" s="5" t="str">
        <f>IFERROR(__xludf.DUMMYFUNCTION("GOOGLETRANSLATE(B16119,""en"",""zh-CN"")"),"学分在最后。")</f>
        <v>学分在最后。</v>
      </c>
    </row>
    <row r="16120">
      <c r="A16120" s="4" t="s">
        <v>20304</v>
      </c>
      <c r="B16120" s="4" t="s">
        <v>20305</v>
      </c>
      <c r="C16120" s="5" t="str">
        <f>IFERROR(__xludf.DUMMYFUNCTION("GOOGLETRANSLATE(B16120,""en"",""zh-CN"")"),"一个红球坐在两个两极之间。")</f>
        <v>一个红球坐在两个两极之间。</v>
      </c>
    </row>
    <row r="16121">
      <c r="A16121" s="4" t="s">
        <v>20304</v>
      </c>
      <c r="B16121" s="4" t="s">
        <v>20306</v>
      </c>
      <c r="C16121" s="5" t="str">
        <f>IFERROR(__xludf.DUMMYFUNCTION("GOOGLETRANSLATE(B16121,""en"",""zh-CN"")"),"板球蝙蝠开始摇摆。")</f>
        <v>板球蝙蝠开始摇摆。</v>
      </c>
    </row>
    <row r="16122">
      <c r="A16122" s="4" t="s">
        <v>20304</v>
      </c>
      <c r="B16122" s="4" t="s">
        <v>20307</v>
      </c>
      <c r="C16122" s="5" t="str">
        <f>IFERROR(__xludf.DUMMYFUNCTION("GOOGLETRANSLATE(B16122,""en"",""zh-CN"")"),"两鞋都坐在两边。")</f>
        <v>两鞋都坐在两边。</v>
      </c>
    </row>
    <row r="16123">
      <c r="A16123" s="4" t="s">
        <v>20304</v>
      </c>
      <c r="B16123" s="4" t="s">
        <v>20308</v>
      </c>
      <c r="C16123" s="5" t="str">
        <f>IFERROR(__xludf.DUMMYFUNCTION("GOOGLETRANSLATE(B16123,""en"",""zh-CN"")"),"蝙蝠击中了球。")</f>
        <v>蝙蝠击中了球。</v>
      </c>
    </row>
    <row r="16124">
      <c r="A16124" s="4" t="s">
        <v>20309</v>
      </c>
      <c r="B16124" s="6" t="s">
        <v>20310</v>
      </c>
      <c r="C16124" s="5" t="str">
        <f>IFERROR(__xludf.DUMMYFUNCTION("GOOGLETRANSLATE(B16124,""en"",""zh-CN"")"),"一大批穿着啦啦队服装的女孩正站立，同时，女孩们同步进行了翻转，他们开始了非常详细的例行活动，其中包括，跳跃，翻转，手拍手和等等。")</f>
        <v>一大批穿着啦啦队服装的女孩正站立，同时，女孩们同步进行了翻转，他们开始了非常详细的例行活动，其中包括，跳跃，翻转，手拍手和等等。</v>
      </c>
    </row>
    <row r="16125">
      <c r="A16125" s="4" t="s">
        <v>20309</v>
      </c>
      <c r="B16125" s="6" t="s">
        <v>20311</v>
      </c>
      <c r="C16125" s="5" t="str">
        <f>IFERROR(__xludf.DUMMYFUNCTION("GOOGLETRANSLATE(B16125,""en"",""zh-CN"")"),"他们分为5个不同的小组，每个小组都挤在每个小组中，将一个女孩扔在空中并抬起她，但是突然，前排小组不稳定，他们拿着滴落的女孩，下面的女孩都抓住了她他们只是等到女孩们恢复同步的日常工作。")</f>
        <v>他们分为5个不同的小组，每个小组都挤在每个小组中，将一个女孩扔在空中并抬起她，但是突然，前排小组不稳定，他们拿着滴落的女孩，下面的女孩都抓住了她他们只是等到女孩们恢复同步的日常工作。</v>
      </c>
    </row>
    <row r="16126">
      <c r="A16126" s="4" t="s">
        <v>20309</v>
      </c>
      <c r="B16126" s="6" t="s">
        <v>20312</v>
      </c>
      <c r="C16126" s="5" t="str">
        <f>IFERROR(__xludf.DUMMYFUNCTION("GOOGLETRANSLATE(B16126,""en"",""zh-CN"")"),"当突然一个女孩脱下她的左鞋并将其扔到侧面，他们都静止几秒钟时，他们都站着不动。")</f>
        <v>当突然一个女孩脱下她的左鞋并将其扔到侧面，他们都静止几秒钟时，他们都站着不动。</v>
      </c>
    </row>
    <row r="16127">
      <c r="A16127" s="4" t="s">
        <v>20309</v>
      </c>
      <c r="B16127" s="6" t="s">
        <v>20313</v>
      </c>
      <c r="C16127" s="5" t="str">
        <f>IFERROR(__xludf.DUMMYFUNCTION("GOOGLETRANSLATE(B16127,""en"",""zh-CN"")"),"女孩们恢复欢呼并在5个部分中再次分手，以使一个女孩在空中举起，但是中间小组再次失去了女孩的平衡，他们失败了，她跌倒了，他们恢复了例行程序现在包括每个女孩的多次翻转，直到结束。")</f>
        <v>女孩们恢复欢呼并在5个部分中再次分手，以使一个女孩在空中举起，但是中间小组再次失去了女孩的平衡，他们失败了，她跌倒了，他们恢复了例行程序现在包括每个女孩的多次翻转，直到结束。</v>
      </c>
    </row>
    <row r="16128">
      <c r="A16128" s="4" t="s">
        <v>20314</v>
      </c>
      <c r="B16128" s="4" t="s">
        <v>20315</v>
      </c>
      <c r="C16128" s="5" t="str">
        <f>IFERROR(__xludf.DUMMYFUNCTION("GOOGLETRANSLATE(B16128,""en"",""zh-CN"")"),"一个男人在秋千中倾斜，试图抓住并咀嚼头发。")</f>
        <v>一个男人在秋千中倾斜，试图抓住并咀嚼头发。</v>
      </c>
    </row>
    <row r="16129">
      <c r="A16129" s="4" t="s">
        <v>20314</v>
      </c>
      <c r="B16129" s="4" t="s">
        <v>20316</v>
      </c>
      <c r="C16129" s="5" t="str">
        <f>IFERROR(__xludf.DUMMYFUNCTION("GOOGLETRANSLATE(B16129,""en"",""zh-CN"")"),"婴儿笑着，来回摆动，然后试图抓住相机。")</f>
        <v>婴儿笑着，来回摆动，然后试图抓住相机。</v>
      </c>
    </row>
    <row r="16130">
      <c r="A16130" s="4" t="s">
        <v>20317</v>
      </c>
      <c r="B16130" s="4" t="s">
        <v>20318</v>
      </c>
      <c r="C16130" s="5" t="str">
        <f>IFERROR(__xludf.DUMMYFUNCTION("GOOGLETRANSLATE(B16130,""en"",""zh-CN"")"),"一些人在海浪冲浪。")</f>
        <v>一些人在海浪冲浪。</v>
      </c>
    </row>
    <row r="16131">
      <c r="A16131" s="4" t="s">
        <v>20317</v>
      </c>
      <c r="B16131" s="4" t="s">
        <v>20319</v>
      </c>
      <c r="C16131" s="5" t="str">
        <f>IFERROR(__xludf.DUMMYFUNCTION("GOOGLETRANSLATE(B16131,""en"",""zh-CN"")"),"他们有时会跌倒，但还可以。")</f>
        <v>他们有时会跌倒，但还可以。</v>
      </c>
    </row>
    <row r="16132">
      <c r="A16132" s="4" t="s">
        <v>20320</v>
      </c>
      <c r="B16132" s="4" t="s">
        <v>20321</v>
      </c>
      <c r="C16132" s="5" t="str">
        <f>IFERROR(__xludf.DUMMYFUNCTION("GOOGLETRANSLATE(B16132,""en"",""zh-CN"")"),"乐队成员穿着全着礼服架在院子里。")</f>
        <v>乐队成员穿着全着礼服架在院子里。</v>
      </c>
    </row>
    <row r="16133">
      <c r="A16133" s="4" t="s">
        <v>20320</v>
      </c>
      <c r="B16133" s="4" t="s">
        <v>20322</v>
      </c>
      <c r="C16133" s="5" t="str">
        <f>IFERROR(__xludf.DUMMYFUNCTION("GOOGLETRANSLATE(B16133,""en"",""zh-CN"")"),"他们正在用耙子耙树叶。")</f>
        <v>他们正在用耙子耙树叶。</v>
      </c>
    </row>
    <row r="16134">
      <c r="A16134" s="4" t="s">
        <v>20320</v>
      </c>
      <c r="B16134" s="4" t="s">
        <v>20323</v>
      </c>
      <c r="C16134" s="5" t="str">
        <f>IFERROR(__xludf.DUMMYFUNCTION("GOOGLETRANSLATE(B16134,""en"",""zh-CN"")"),"一个男人在耙开时走过。")</f>
        <v>一个男人在耙开时走过。</v>
      </c>
    </row>
    <row r="16135">
      <c r="A16135" s="4" t="s">
        <v>20324</v>
      </c>
      <c r="B16135" s="6" t="s">
        <v>20325</v>
      </c>
      <c r="C16135" s="5" t="str">
        <f>IFERROR(__xludf.DUMMYFUNCTION("GOOGLETRANSLATE(B16135,""en"",""zh-CN"")"),"看到一个女人站在柜台上与镜头说话，然后开始剥土豆。")</f>
        <v>看到一个女人站在柜台上与镜头说话，然后开始剥土豆。</v>
      </c>
    </row>
    <row r="16136">
      <c r="A16136" s="4" t="s">
        <v>20324</v>
      </c>
      <c r="B16136" s="4" t="s">
        <v>20326</v>
      </c>
      <c r="C16136" s="5" t="str">
        <f>IFERROR(__xludf.DUMMYFUNCTION("GOOGLETRANSLATE(B16136,""en"",""zh-CN"")"),"她继续剥土豆，同时停下来与镜头说话并微笑。")</f>
        <v>她继续剥土豆，同时停下来与镜头说话并微笑。</v>
      </c>
    </row>
    <row r="16137">
      <c r="A16137" s="4" t="s">
        <v>20327</v>
      </c>
      <c r="B16137" s="4" t="s">
        <v>20328</v>
      </c>
      <c r="C16137" s="5" t="str">
        <f>IFERROR(__xludf.DUMMYFUNCTION("GOOGLETRANSLATE(B16137,""en"",""zh-CN"")"),"年轻人一辆汽车谈话和玩耍，然后到达滑雪坡。")</f>
        <v>年轻人一辆汽车谈话和玩耍，然后到达滑雪坡。</v>
      </c>
    </row>
    <row r="16138">
      <c r="A16138" s="4" t="s">
        <v>20327</v>
      </c>
      <c r="B16138" s="4" t="s">
        <v>20329</v>
      </c>
      <c r="C16138" s="5" t="str">
        <f>IFERROR(__xludf.DUMMYFUNCTION("GOOGLETRANSLATE(B16138,""en"",""zh-CN"")"),"我们看到男人在滑雪坡上的障碍物和坡道上滑雪。")</f>
        <v>我们看到男人在滑雪坡上的障碍物和坡道上滑雪。</v>
      </c>
    </row>
    <row r="16139">
      <c r="A16139" s="4" t="s">
        <v>20327</v>
      </c>
      <c r="B16139" s="4" t="s">
        <v>20330</v>
      </c>
      <c r="C16139" s="5" t="str">
        <f>IFERROR(__xludf.DUMMYFUNCTION("GOOGLETRANSLATE(B16139,""en"",""zh-CN"")"),"一个男人跳下坡道，跌落到地面上。")</f>
        <v>一个男人跳下坡道，跌落到地面上。</v>
      </c>
    </row>
    <row r="16140">
      <c r="A16140" s="4" t="s">
        <v>20327</v>
      </c>
      <c r="B16140" s="4" t="s">
        <v>20331</v>
      </c>
      <c r="C16140" s="5" t="str">
        <f>IFERROR(__xludf.DUMMYFUNCTION("GOOGLETRANSLATE(B16140,""en"",""zh-CN"")"),"我们看到男孩站在停车场，并显示了他们的名字。")</f>
        <v>我们看到男孩站在停车场，并显示了他们的名字。</v>
      </c>
    </row>
    <row r="16141">
      <c r="A16141" s="4" t="s">
        <v>20327</v>
      </c>
      <c r="B16141" s="4" t="s">
        <v>20332</v>
      </c>
      <c r="C16141" s="5" t="str">
        <f>IFERROR(__xludf.DUMMYFUNCTION("GOOGLETRANSLATE(B16141,""en"",""zh-CN"")"),"最后一个男孩脱下头盔，摇动头发，对镜头微笑。")</f>
        <v>最后一个男孩脱下头盔，摇动头发，对镜头微笑。</v>
      </c>
    </row>
    <row r="16142">
      <c r="A16142" s="4" t="s">
        <v>20327</v>
      </c>
      <c r="B16142" s="4" t="s">
        <v>1380</v>
      </c>
      <c r="C16142" s="5" t="str">
        <f>IFERROR(__xludf.DUMMYFUNCTION("GOOGLETRANSLATE(B16142,""en"",""zh-CN"")"),"然后，我们看到结局。")</f>
        <v>然后，我们看到结局。</v>
      </c>
    </row>
    <row r="16143">
      <c r="A16143" s="4" t="s">
        <v>20333</v>
      </c>
      <c r="B16143" s="4" t="s">
        <v>20334</v>
      </c>
      <c r="C16143" s="5" t="str">
        <f>IFERROR(__xludf.DUMMYFUNCTION("GOOGLETRANSLATE(B16143,""en"",""zh-CN"")"),"一个男人站在一个坐在椅子上的女人后面。")</f>
        <v>一个男人站在一个坐在椅子上的女人后面。</v>
      </c>
    </row>
    <row r="16144">
      <c r="A16144" s="4" t="s">
        <v>20333</v>
      </c>
      <c r="B16144" s="4" t="s">
        <v>20335</v>
      </c>
      <c r="C16144" s="5" t="str">
        <f>IFERROR(__xludf.DUMMYFUNCTION("GOOGLETRANSLATE(B16144,""en"",""zh-CN"")"),"他正在将产品放入她的头发中。")</f>
        <v>他正在将产品放入她的头发中。</v>
      </c>
    </row>
    <row r="16145">
      <c r="A16145" s="4" t="s">
        <v>20333</v>
      </c>
      <c r="B16145" s="4" t="s">
        <v>20336</v>
      </c>
      <c r="C16145" s="5" t="str">
        <f>IFERROR(__xludf.DUMMYFUNCTION("GOOGLETRANSLATE(B16145,""en"",""zh-CN"")"),"他开始吹干她的头发。")</f>
        <v>他开始吹干她的头发。</v>
      </c>
    </row>
    <row r="16146">
      <c r="A16146" s="4" t="s">
        <v>20333</v>
      </c>
      <c r="B16146" s="4" t="s">
        <v>20337</v>
      </c>
      <c r="C16146" s="5" t="str">
        <f>IFERROR(__xludf.DUMMYFUNCTION("GOOGLETRANSLATE(B16146,""en"",""zh-CN"")"),"她自己开始吹干头发。")</f>
        <v>她自己开始吹干头发。</v>
      </c>
    </row>
    <row r="16147">
      <c r="A16147" s="4" t="s">
        <v>20338</v>
      </c>
      <c r="B16147" s="4" t="s">
        <v>20339</v>
      </c>
      <c r="C16147" s="5" t="str">
        <f>IFERROR(__xludf.DUMMYFUNCTION("GOOGLETRANSLATE(B16147,""en"",""zh-CN"")"),"女人握着长笛，躺下时练习钥匙。")</f>
        <v>女人握着长笛，躺下时练习钥匙。</v>
      </c>
    </row>
    <row r="16148">
      <c r="A16148" s="4" t="s">
        <v>20338</v>
      </c>
      <c r="B16148" s="4" t="s">
        <v>20340</v>
      </c>
      <c r="C16148" s="5" t="str">
        <f>IFERROR(__xludf.DUMMYFUNCTION("GOOGLETRANSLATE(B16148,""en"",""zh-CN"")"),"穿着正式衣服的女人在说话时举起长笛和手势。")</f>
        <v>穿着正式衣服的女人在说话时举起长笛和手势。</v>
      </c>
    </row>
    <row r="16149">
      <c r="A16149" s="4" t="s">
        <v>20338</v>
      </c>
      <c r="B16149" s="4" t="s">
        <v>20341</v>
      </c>
      <c r="C16149" s="5" t="str">
        <f>IFERROR(__xludf.DUMMYFUNCTION("GOOGLETRANSLATE(B16149,""en"",""zh-CN"")"),"一个女人用夸张的吹声弹奏长笛。")</f>
        <v>一个女人用夸张的吹声弹奏长笛。</v>
      </c>
    </row>
    <row r="16150">
      <c r="A16150" s="4" t="s">
        <v>20338</v>
      </c>
      <c r="B16150" s="4" t="s">
        <v>20342</v>
      </c>
      <c r="C16150" s="5" t="str">
        <f>IFERROR(__xludf.DUMMYFUNCTION("GOOGLETRANSLATE(B16150,""en"",""zh-CN"")"),"一个女人在房间里扮演长笛，背景挂着其他乐器。")</f>
        <v>一个女人在房间里扮演长笛，背景挂着其他乐器。</v>
      </c>
    </row>
    <row r="16151">
      <c r="A16151" s="4" t="s">
        <v>20338</v>
      </c>
      <c r="B16151" s="4" t="s">
        <v>20343</v>
      </c>
      <c r="C16151" s="5" t="str">
        <f>IFERROR(__xludf.DUMMYFUNCTION("GOOGLETRANSLATE(B16151,""en"",""zh-CN"")"),"两个女人一起玩笛子。")</f>
        <v>两个女人一起玩笛子。</v>
      </c>
    </row>
    <row r="16152">
      <c r="A16152" s="4" t="s">
        <v>20338</v>
      </c>
      <c r="B16152" s="4" t="s">
        <v>20344</v>
      </c>
      <c r="C16152" s="5" t="str">
        <f>IFERROR(__xludf.DUMMYFUNCTION("GOOGLETRANSLATE(B16152,""en"",""zh-CN"")"),"女人用抽筋握手。")</f>
        <v>女人用抽筋握手。</v>
      </c>
    </row>
    <row r="16153">
      <c r="A16153" s="4" t="s">
        <v>20345</v>
      </c>
      <c r="B16153" s="6" t="s">
        <v>20346</v>
      </c>
      <c r="C16153" s="5" t="str">
        <f>IFERROR(__xludf.DUMMYFUNCTION("GOOGLETRANSLATE(B16153,""en"",""zh-CN"")"),"展示了大爆炸理论的场景，该男子躺在纹身室的桌子上，纹身艺术家站在他身边。")</f>
        <v>展示了大爆炸理论的场景，该男子躺在纹身室的桌子上，纹身艺术家站在他身边。</v>
      </c>
    </row>
    <row r="16154">
      <c r="A16154" s="4" t="s">
        <v>20345</v>
      </c>
      <c r="B16154" s="4" t="s">
        <v>20347</v>
      </c>
      <c r="C16154" s="5" t="str">
        <f>IFERROR(__xludf.DUMMYFUNCTION("GOOGLETRANSLATE(B16154,""en"",""zh-CN"")"),"床上的男人站起来，与一个女人交谈，并取下假纹身袖子。")</f>
        <v>床上的男人站起来，与一个女人交谈，并取下假纹身袖子。</v>
      </c>
    </row>
    <row r="16155">
      <c r="A16155" s="4" t="s">
        <v>20348</v>
      </c>
      <c r="B16155" s="6" t="s">
        <v>20349</v>
      </c>
      <c r="C16155" s="5" t="str">
        <f>IFERROR(__xludf.DUMMYFUNCTION("GOOGLETRANSLATE(B16155,""en"",""zh-CN"")"),"显示了一个人的脚的特写，后面显示了两个男人在一个敞开的房间里看到网球球拍并击球。")</f>
        <v>显示了一个人的脚的特写，后面显示了两个男人在一个敞开的房间里看到网球球拍并击球。</v>
      </c>
    </row>
    <row r="16156">
      <c r="A16156" s="4" t="s">
        <v>20348</v>
      </c>
      <c r="B16156" s="4" t="s">
        <v>20350</v>
      </c>
      <c r="C16156" s="5" t="str">
        <f>IFERROR(__xludf.DUMMYFUNCTION("GOOGLETRANSLATE(B16156,""en"",""zh-CN"")"),"然后，男人在跑到每一侧击中球时击中了整个房间的球。")</f>
        <v>然后，男人在跑到每一侧击中球时击中了整个房间的球。</v>
      </c>
    </row>
    <row r="16157">
      <c r="A16157" s="4" t="s">
        <v>20351</v>
      </c>
      <c r="B16157" s="4" t="s">
        <v>20352</v>
      </c>
      <c r="C16157" s="5" t="str">
        <f>IFERROR(__xludf.DUMMYFUNCTION("GOOGLETRANSLATE(B16157,""en"",""zh-CN"")"),"可见空置的海滩，人们开始将汽车驶向海岸。")</f>
        <v>可见空置的海滩，人们开始将汽车驶向海岸。</v>
      </c>
    </row>
    <row r="16158">
      <c r="A16158" s="4" t="s">
        <v>20351</v>
      </c>
      <c r="B16158" s="4" t="s">
        <v>20353</v>
      </c>
      <c r="C16158" s="5" t="str">
        <f>IFERROR(__xludf.DUMMYFUNCTION("GOOGLETRANSLATE(B16158,""en"",""zh-CN"")"),"然后，人行道出现，一个男孩开始在海滩附近的道路上滑板。")</f>
        <v>然后，人行道出现，一个男孩开始在海滩附近的道路上滑板。</v>
      </c>
    </row>
    <row r="16159">
      <c r="A16159" s="4" t="s">
        <v>20351</v>
      </c>
      <c r="B16159" s="4" t="s">
        <v>20354</v>
      </c>
      <c r="C16159" s="5" t="str">
        <f>IFERROR(__xludf.DUMMYFUNCTION("GOOGLETRANSLATE(B16159,""en"",""zh-CN"")"),"他继续在城市穿越人和汽车的城市进行技巧和滑板。")</f>
        <v>他继续在城市穿越人和汽车的城市进行技巧和滑板。</v>
      </c>
    </row>
    <row r="16160">
      <c r="A16160" s="4" t="s">
        <v>20351</v>
      </c>
      <c r="B16160" s="6" t="s">
        <v>20355</v>
      </c>
      <c r="C16160" s="5" t="str">
        <f>IFERROR(__xludf.DUMMYFUNCTION("GOOGLETRANSLATE(B16160,""en"",""zh-CN"")"),"过了一会儿，他坐下来休息一下，开始与另一个家伙交谈，然后他最终恢复了滑板。")</f>
        <v>过了一会儿，他坐下来休息一下，开始与另一个家伙交谈，然后他最终恢复了滑板。</v>
      </c>
    </row>
    <row r="16161">
      <c r="A16161" s="4" t="s">
        <v>20356</v>
      </c>
      <c r="B16161" s="4" t="s">
        <v>20357</v>
      </c>
      <c r="C16161" s="5" t="str">
        <f>IFERROR(__xludf.DUMMYFUNCTION("GOOGLETRANSLATE(B16161,""en"",""zh-CN"")"),"一个人在头盔上戴着相机滑雪，向我们展示他滑雪时所看到的东西。")</f>
        <v>一个人在头盔上戴着相机滑雪，向我们展示他滑雪时所看到的东西。</v>
      </c>
    </row>
    <row r="16162">
      <c r="A16162" s="4" t="s">
        <v>20356</v>
      </c>
      <c r="B16162" s="4" t="s">
        <v>20358</v>
      </c>
      <c r="C16162" s="5" t="str">
        <f>IFERROR(__xludf.DUMMYFUNCTION("GOOGLETRANSLATE(B16162,""en"",""zh-CN"")"),"那个家伙滑到山上，经过一个在他面前的家伙。")</f>
        <v>那个家伙滑到山上，经过一个在他面前的家伙。</v>
      </c>
    </row>
    <row r="16163">
      <c r="A16163" s="4" t="s">
        <v>20356</v>
      </c>
      <c r="B16163" s="6" t="s">
        <v>20359</v>
      </c>
      <c r="C16163" s="5" t="str">
        <f>IFERROR(__xludf.DUMMYFUNCTION("GOOGLETRANSLATE(B16163,""en"",""zh-CN"")"),"当他开始穿越其他滑雪者的盖伊滑雪板时，滑雪者终于到达了山坡的尽头，停了下来。")</f>
        <v>当他开始穿越其他滑雪者的盖伊滑雪板时，滑雪者终于到达了山坡的尽头，停了下来。</v>
      </c>
    </row>
    <row r="16164">
      <c r="A16164" s="4" t="s">
        <v>20360</v>
      </c>
      <c r="B16164" s="4" t="s">
        <v>20361</v>
      </c>
      <c r="C16164" s="5" t="str">
        <f>IFERROR(__xludf.DUMMYFUNCTION("GOOGLETRANSLATE(B16164,""en"",""zh-CN"")"),"一个男人和一个女人正在玩岩石剪刀。")</f>
        <v>一个男人和一个女人正在玩岩石剪刀。</v>
      </c>
    </row>
    <row r="16165">
      <c r="A16165" s="4" t="s">
        <v>20360</v>
      </c>
      <c r="B16165" s="4" t="s">
        <v>20362</v>
      </c>
      <c r="C16165" s="5" t="str">
        <f>IFERROR(__xludf.DUMMYFUNCTION("GOOGLETRANSLATE(B16165,""en"",""zh-CN"")"),"这个男人膝盖伸出戒指。")</f>
        <v>这个男人膝盖伸出戒指。</v>
      </c>
    </row>
    <row r="16166">
      <c r="A16166" s="4" t="s">
        <v>20360</v>
      </c>
      <c r="B16166" s="4" t="s">
        <v>20363</v>
      </c>
      <c r="C16166" s="5" t="str">
        <f>IFERROR(__xludf.DUMMYFUNCTION("GOOGLETRANSLATE(B16166,""en"",""zh-CN"")"),"他们拥抱游泳池旁边。")</f>
        <v>他们拥抱游泳池旁边。</v>
      </c>
    </row>
    <row r="16167">
      <c r="A16167" s="4" t="s">
        <v>20360</v>
      </c>
      <c r="B16167" s="4" t="s">
        <v>20364</v>
      </c>
      <c r="C16167" s="5" t="str">
        <f>IFERROR(__xludf.DUMMYFUNCTION("GOOGLETRANSLATE(B16167,""en"",""zh-CN"")"),"他们互相吻。")</f>
        <v>他们互相吻。</v>
      </c>
    </row>
    <row r="16168">
      <c r="A16168" s="4" t="s">
        <v>20365</v>
      </c>
      <c r="B16168" s="4" t="s">
        <v>20366</v>
      </c>
      <c r="C16168" s="5" t="str">
        <f>IFERROR(__xludf.DUMMYFUNCTION("GOOGLETRANSLATE(B16168,""en"",""zh-CN"")"),"一个男人正在沿着他跳入一堆沙子的轨道。")</f>
        <v>一个男人正在沿着他跳入一堆沙子的轨道。</v>
      </c>
    </row>
    <row r="16169">
      <c r="A16169" s="4" t="s">
        <v>20365</v>
      </c>
      <c r="B16169" s="4" t="s">
        <v>20367</v>
      </c>
      <c r="C16169" s="5" t="str">
        <f>IFERROR(__xludf.DUMMYFUNCTION("GOOGLETRANSLATE(B16169,""en"",""zh-CN"")"),"他再次沿着赛道跑，几次跳入沙子。")</f>
        <v>他再次沿着赛道跑，几次跳入沙子。</v>
      </c>
    </row>
    <row r="16170">
      <c r="A16170" s="4" t="s">
        <v>20365</v>
      </c>
      <c r="B16170" s="4" t="s">
        <v>20368</v>
      </c>
      <c r="C16170" s="5" t="str">
        <f>IFERROR(__xludf.DUMMYFUNCTION("GOOGLETRANSLATE(B16170,""en"",""zh-CN"")"),"分数显示在屏幕上。")</f>
        <v>分数显示在屏幕上。</v>
      </c>
    </row>
    <row r="16171">
      <c r="A16171" s="4" t="s">
        <v>20369</v>
      </c>
      <c r="B16171" s="4" t="s">
        <v>20370</v>
      </c>
      <c r="C16171" s="5" t="str">
        <f>IFERROR(__xludf.DUMMYFUNCTION("GOOGLETRANSLATE(B16171,""en"",""zh-CN"")"),"一个穿着绿色服装的男人正在领导骆驼。")</f>
        <v>一个穿着绿色服装的男人正在领导骆驼。</v>
      </c>
    </row>
    <row r="16172">
      <c r="A16172" s="4" t="s">
        <v>20369</v>
      </c>
      <c r="B16172" s="4" t="s">
        <v>20371</v>
      </c>
      <c r="C16172" s="5" t="str">
        <f>IFERROR(__xludf.DUMMYFUNCTION("GOOGLETRANSLATE(B16172,""en"",""zh-CN"")"),"两个人坐在骆驼的顶部。")</f>
        <v>两个人坐在骆驼的顶部。</v>
      </c>
    </row>
    <row r="16173">
      <c r="A16173" s="4" t="s">
        <v>20369</v>
      </c>
      <c r="B16173" s="4" t="s">
        <v>20372</v>
      </c>
      <c r="C16173" s="5" t="str">
        <f>IFERROR(__xludf.DUMMYFUNCTION("GOOGLETRANSLATE(B16173,""en"",""zh-CN"")"),"一个男人在骆驼旁边行走。")</f>
        <v>一个男人在骆驼旁边行走。</v>
      </c>
    </row>
    <row r="16174">
      <c r="A16174" s="4" t="s">
        <v>20373</v>
      </c>
      <c r="B16174" s="4" t="s">
        <v>20374</v>
      </c>
      <c r="C16174" s="5" t="str">
        <f>IFERROR(__xludf.DUMMYFUNCTION("GOOGLETRANSLATE(B16174,""en"",""zh-CN"")"),"人们正在用马在田野上玩游戏。")</f>
        <v>人们正在用马在田野上玩游戏。</v>
      </c>
    </row>
    <row r="16175">
      <c r="A16175" s="4" t="s">
        <v>20373</v>
      </c>
      <c r="B16175" s="4" t="s">
        <v>20375</v>
      </c>
      <c r="C16175" s="5" t="str">
        <f>IFERROR(__xludf.DUMMYFUNCTION("GOOGLETRANSLATE(B16175,""en"",""zh-CN"")"),"相机人员在右边的停车场附近骑车。")</f>
        <v>相机人员在右边的停车场附近骑车。</v>
      </c>
    </row>
    <row r="16176">
      <c r="A16176" s="4" t="s">
        <v>20373</v>
      </c>
      <c r="B16176" s="4" t="s">
        <v>20376</v>
      </c>
      <c r="C16176" s="5" t="str">
        <f>IFERROR(__xludf.DUMMYFUNCTION("GOOGLETRANSLATE(B16176,""en"",""zh-CN"")"),"相机人员再次在停车场附近骑车。")</f>
        <v>相机人员再次在停车场附近骑车。</v>
      </c>
    </row>
    <row r="16177">
      <c r="A16177" s="4" t="s">
        <v>20373</v>
      </c>
      <c r="B16177" s="4" t="s">
        <v>20377</v>
      </c>
      <c r="C16177" s="5" t="str">
        <f>IFERROR(__xludf.DUMMYFUNCTION("GOOGLETRANSLATE(B16177,""en"",""zh-CN"")"),"该人在目标附近放慢脚步。")</f>
        <v>该人在目标附近放慢脚步。</v>
      </c>
    </row>
    <row r="16178">
      <c r="A16178" s="4" t="s">
        <v>20378</v>
      </c>
      <c r="B16178" s="4" t="s">
        <v>20379</v>
      </c>
      <c r="C16178" s="5" t="str">
        <f>IFERROR(__xludf.DUMMYFUNCTION("GOOGLETRANSLATE(B16178,""en"",""zh-CN"")"),"图形展示，然后照片跟随一个女孩骑马的女孩。")</f>
        <v>图形展示，然后照片跟随一个女孩骑马的女孩。</v>
      </c>
    </row>
    <row r="16179">
      <c r="A16179" s="4" t="s">
        <v>20378</v>
      </c>
      <c r="B16179" s="4" t="s">
        <v>20380</v>
      </c>
      <c r="C16179" s="5" t="str">
        <f>IFERROR(__xludf.DUMMYFUNCTION("GOOGLETRANSLATE(B16179,""en"",""zh-CN"")"),"这些照片三年后，女孩移动，她被显示为骑马。")</f>
        <v>这些照片三年后，女孩移动，她被显示为骑马。</v>
      </c>
    </row>
    <row r="16180">
      <c r="A16180" s="4" t="s">
        <v>20378</v>
      </c>
      <c r="B16180" s="4" t="s">
        <v>20381</v>
      </c>
      <c r="C16180" s="5" t="str">
        <f>IFERROR(__xludf.DUMMYFUNCTION("GOOGLETRANSLATE(B16180,""en"",""zh-CN"")"),"这个女孩与其他女孩一起展示了一些骑马的奖项。")</f>
        <v>这个女孩与其他女孩一起展示了一些骑马的奖项。</v>
      </c>
    </row>
    <row r="16181">
      <c r="A16181" s="4" t="s">
        <v>20378</v>
      </c>
      <c r="B16181" s="4" t="s">
        <v>20382</v>
      </c>
      <c r="C16181" s="5" t="str">
        <f>IFERROR(__xludf.DUMMYFUNCTION("GOOGLETRANSLATE(B16181,""en"",""zh-CN"")"),"另一个视频显示了那个女孩在室内骑马的视频。")</f>
        <v>另一个视频显示了那个女孩在室内骑马的视频。</v>
      </c>
    </row>
    <row r="16182">
      <c r="A16182" s="4" t="s">
        <v>20378</v>
      </c>
      <c r="B16182" s="4" t="s">
        <v>20383</v>
      </c>
      <c r="C16182" s="5" t="str">
        <f>IFERROR(__xludf.DUMMYFUNCTION("GOOGLETRANSLATE(B16182,""en"",""zh-CN"")"),"那个女孩照顾马的照片关闭了视频。")</f>
        <v>那个女孩照顾马的照片关闭了视频。</v>
      </c>
    </row>
    <row r="16183">
      <c r="A16183" s="4" t="s">
        <v>20384</v>
      </c>
      <c r="B16183" s="4" t="s">
        <v>20385</v>
      </c>
      <c r="C16183" s="5" t="str">
        <f>IFERROR(__xludf.DUMMYFUNCTION("GOOGLETRANSLATE(B16183,""en"",""zh-CN"")"),"看到一名妇女刷牙，并导致牙膏散布在牙刷上。")</f>
        <v>看到一名妇女刷牙，并导致牙膏散布在牙刷上。</v>
      </c>
    </row>
    <row r="16184">
      <c r="A16184" s="4" t="s">
        <v>20384</v>
      </c>
      <c r="B16184" s="4" t="s">
        <v>20386</v>
      </c>
      <c r="C16184" s="5" t="str">
        <f>IFERROR(__xludf.DUMMYFUNCTION("GOOGLETRANSLATE(B16184,""en"",""zh-CN"")"),"另一个女孩刷牙，展示了如何正确刷牙的几个静止图像。")</f>
        <v>另一个女孩刷牙，展示了如何正确刷牙的几个静止图像。</v>
      </c>
    </row>
    <row r="16185">
      <c r="A16185" s="4" t="s">
        <v>20384</v>
      </c>
      <c r="B16185" s="4" t="s">
        <v>20387</v>
      </c>
      <c r="C16185" s="5" t="str">
        <f>IFERROR(__xludf.DUMMYFUNCTION("GOOGLETRANSLATE(B16185,""en"",""zh-CN"")"),"显示了更多人刷牙的剪辑。")</f>
        <v>显示了更多人刷牙的剪辑。</v>
      </c>
    </row>
    <row r="16186">
      <c r="A16186" s="4" t="s">
        <v>20388</v>
      </c>
      <c r="B16186" s="4" t="s">
        <v>20389</v>
      </c>
      <c r="C16186" s="5" t="str">
        <f>IFERROR(__xludf.DUMMYFUNCTION("GOOGLETRANSLATE(B16186,""en"",""zh-CN"")"),"有几个人在保险杠踏板车中四处走动。")</f>
        <v>有几个人在保险杠踏板车中四处走动。</v>
      </c>
    </row>
    <row r="16187">
      <c r="A16187" s="4" t="s">
        <v>20388</v>
      </c>
      <c r="B16187" s="4" t="s">
        <v>20390</v>
      </c>
      <c r="C16187" s="5" t="str">
        <f>IFERROR(__xludf.DUMMYFUNCTION("GOOGLETRANSLATE(B16187,""en"",""zh-CN"")"),"最后，他们摆脱了大团块，开始更轻松地在健身房中移动。")</f>
        <v>最后，他们摆脱了大团块，开始更轻松地在健身房中移动。</v>
      </c>
    </row>
    <row r="16188">
      <c r="A16188" s="4" t="s">
        <v>20388</v>
      </c>
      <c r="B16188" s="6" t="s">
        <v>20391</v>
      </c>
      <c r="C16188" s="5" t="str">
        <f>IFERROR(__xludf.DUMMYFUNCTION("GOOGLETRANSLATE(B16188,""en"",""zh-CN"")"),"骑行终于结束了，所有人都出去了，一个女孩和男孩走到相机上，竖起大拇指。")</f>
        <v>骑行终于结束了，所有人都出去了，一个女孩和男孩走到相机上，竖起大拇指。</v>
      </c>
    </row>
    <row r="16189">
      <c r="A16189" s="4" t="s">
        <v>20392</v>
      </c>
      <c r="B16189" s="6" t="s">
        <v>20393</v>
      </c>
      <c r="C16189" s="5" t="str">
        <f>IFERROR(__xludf.DUMMYFUNCTION("GOOGLETRANSLATE(B16189,""en"",""zh-CN"")"),"看到一大批人在海滩区域徘徊，随后人们跳舞并享受海滩。")</f>
        <v>看到一大批人在海滩区域徘徊，随后人们跳舞并享受海滩。</v>
      </c>
    </row>
    <row r="16190">
      <c r="A16190" s="4" t="s">
        <v>20392</v>
      </c>
      <c r="B16190" s="4" t="s">
        <v>20394</v>
      </c>
      <c r="C16190" s="5" t="str">
        <f>IFERROR(__xludf.DUMMYFUNCTION("GOOGLETRANSLATE(B16190,""en"",""zh-CN"")"),"有几个片段显示了一场足球比赛以及庆祝相机的粉丝。")</f>
        <v>有几个片段显示了一场足球比赛以及庆祝相机的粉丝。</v>
      </c>
    </row>
    <row r="16191">
      <c r="A16191" s="4" t="s">
        <v>20392</v>
      </c>
      <c r="B16191" s="4" t="s">
        <v>20395</v>
      </c>
      <c r="C16191" s="5" t="str">
        <f>IFERROR(__xludf.DUMMYFUNCTION("GOOGLETRANSLATE(B16191,""en"",""zh-CN"")"),"最后，当五彩纸屑从天上落下时，团队都一起庆祝。")</f>
        <v>最后，当五彩纸屑从天上落下时，团队都一起庆祝。</v>
      </c>
    </row>
    <row r="16192">
      <c r="A16192" s="4" t="s">
        <v>20396</v>
      </c>
      <c r="B16192" s="4" t="s">
        <v>20397</v>
      </c>
      <c r="C16192" s="5" t="str">
        <f>IFERROR(__xludf.DUMMYFUNCTION("GOOGLETRANSLATE(B16192,""en"",""zh-CN"")"),"一个女人正在繁忙的城市的立体声音响上播放音乐。")</f>
        <v>一个女人正在繁忙的城市的立体声音响上播放音乐。</v>
      </c>
    </row>
    <row r="16193">
      <c r="A16193" s="4" t="s">
        <v>20396</v>
      </c>
      <c r="B16193" s="4" t="s">
        <v>20398</v>
      </c>
      <c r="C16193" s="5" t="str">
        <f>IFERROR(__xludf.DUMMYFUNCTION("GOOGLETRANSLATE(B16193,""en"",""zh-CN"")"),"另一个女人正用耳机站在人行道上。")</f>
        <v>另一个女人正用耳机站在人行道上。</v>
      </c>
    </row>
    <row r="16194">
      <c r="A16194" s="4" t="s">
        <v>20396</v>
      </c>
      <c r="B16194" s="4" t="s">
        <v>20399</v>
      </c>
      <c r="C16194" s="5" t="str">
        <f>IFERROR(__xludf.DUMMYFUNCTION("GOOGLETRANSLATE(B16194,""en"",""zh-CN"")"),"他们俩都在音乐上，他们彼此微笑。")</f>
        <v>他们俩都在音乐上，他们彼此微笑。</v>
      </c>
    </row>
    <row r="16195">
      <c r="A16195" s="4" t="s">
        <v>20396</v>
      </c>
      <c r="B16195" s="4" t="s">
        <v>20400</v>
      </c>
      <c r="C16195" s="5" t="str">
        <f>IFERROR(__xludf.DUMMYFUNCTION("GOOGLETRANSLATE(B16195,""en"",""zh-CN"")"),"那个女人拿起立体声，开始走路。")</f>
        <v>那个女人拿起立体声，开始走路。</v>
      </c>
    </row>
    <row r="16196">
      <c r="A16196" s="4" t="s">
        <v>20396</v>
      </c>
      <c r="B16196" s="4" t="s">
        <v>20401</v>
      </c>
      <c r="C16196" s="5" t="str">
        <f>IFERROR(__xludf.DUMMYFUNCTION("GOOGLETRANSLATE(B16196,""en"",""zh-CN"")"),"另一个女人在同一人行道上跟随她。")</f>
        <v>另一个女人在同一人行道上跟随她。</v>
      </c>
    </row>
    <row r="16197">
      <c r="A16197" s="4" t="s">
        <v>20396</v>
      </c>
      <c r="B16197" s="4" t="s">
        <v>20402</v>
      </c>
      <c r="C16197" s="5" t="str">
        <f>IFERROR(__xludf.DUMMYFUNCTION("GOOGLETRANSLATE(B16197,""en"",""zh-CN"")"),"他们一起握着立体声。")</f>
        <v>他们一起握着立体声。</v>
      </c>
    </row>
    <row r="16198">
      <c r="A16198" s="4" t="s">
        <v>20396</v>
      </c>
      <c r="B16198" s="4" t="s">
        <v>20403</v>
      </c>
      <c r="C16198" s="5" t="str">
        <f>IFERROR(__xludf.DUMMYFUNCTION("GOOGLETRANSLATE(B16198,""en"",""zh-CN"")"),"一个穿着红色衬衫的男人开始和另一个女人在汽车旁边跳舞。")</f>
        <v>一个穿着红色衬衫的男人开始和另一个女人在汽车旁边跳舞。</v>
      </c>
    </row>
    <row r="16199">
      <c r="A16199" s="4" t="s">
        <v>20396</v>
      </c>
      <c r="B16199" s="4" t="s">
        <v>20404</v>
      </c>
      <c r="C16199" s="5" t="str">
        <f>IFERROR(__xludf.DUMMYFUNCTION("GOOGLETRANSLATE(B16199,""en"",""zh-CN"")"),"他们加入那个女人，手里拿着立体声。")</f>
        <v>他们加入那个女人，手里拿着立体声。</v>
      </c>
    </row>
    <row r="16200">
      <c r="A16200" s="4" t="s">
        <v>20396</v>
      </c>
      <c r="B16200" s="4" t="s">
        <v>20405</v>
      </c>
      <c r="C16200" s="5" t="str">
        <f>IFERROR(__xludf.DUMMYFUNCTION("GOOGLETRANSLATE(B16200,""en"",""zh-CN"")"),"其他几个人在走路并跳舞音乐时也加入了他们的行列。")</f>
        <v>其他几个人在走路并跳舞音乐时也加入了他们的行列。</v>
      </c>
    </row>
    <row r="16201">
      <c r="A16201" s="4" t="s">
        <v>20396</v>
      </c>
      <c r="B16201" s="4" t="s">
        <v>20406</v>
      </c>
      <c r="C16201" s="5" t="str">
        <f>IFERROR(__xludf.DUMMYFUNCTION("GOOGLETRANSLATE(B16201,""en"",""zh-CN"")"),"所有人都在街上闯入同步的舞蹈。")</f>
        <v>所有人都在街上闯入同步的舞蹈。</v>
      </c>
    </row>
    <row r="16202">
      <c r="A16202" s="4" t="s">
        <v>20407</v>
      </c>
      <c r="B16202" s="4" t="s">
        <v>20408</v>
      </c>
      <c r="C16202" s="5" t="str">
        <f>IFERROR(__xludf.DUMMYFUNCTION("GOOGLETRANSLATE(B16202,""en"",""zh-CN"")"),"一个老人在岸上说一艘帆船，然后该男子将帆船带到海洋。")</f>
        <v>一个老人在岸上说一艘帆船，然后该男子将帆船带到海洋。</v>
      </c>
    </row>
    <row r="16203">
      <c r="A16203" s="4" t="s">
        <v>20407</v>
      </c>
      <c r="B16203" s="4" t="s">
        <v>20409</v>
      </c>
      <c r="C16203" s="5" t="str">
        <f>IFERROR(__xludf.DUMMYFUNCTION("GOOGLETRANSLATE(B16203,""en"",""zh-CN"")"),"老人乘船坐在船的边界上，拉动手柄。")</f>
        <v>老人乘船坐在船的边界上，拉动手柄。</v>
      </c>
    </row>
    <row r="16204">
      <c r="A16204" s="4" t="s">
        <v>20407</v>
      </c>
      <c r="B16204" s="4" t="s">
        <v>20410</v>
      </c>
      <c r="C16204" s="5" t="str">
        <f>IFERROR(__xludf.DUMMYFUNCTION("GOOGLETRANSLATE(B16204,""en"",""zh-CN"")"),"然后，老人坐了一段时间，然后在说话时继续航行并停下来。")</f>
        <v>然后，老人坐了一段时间，然后在说话时继续航行并停下来。</v>
      </c>
    </row>
    <row r="16205">
      <c r="A16205" s="4" t="s">
        <v>20407</v>
      </c>
      <c r="B16205" s="4" t="s">
        <v>20411</v>
      </c>
      <c r="C16205" s="5" t="str">
        <f>IFERROR(__xludf.DUMMYFUNCTION("GOOGLETRANSLATE(B16205,""en"",""zh-CN"")"),"之后，老人停下来，船翻转，然后将船拉到岸上。")</f>
        <v>之后，老人停下来，船翻转，然后将船拉到岸上。</v>
      </c>
    </row>
    <row r="16206">
      <c r="A16206" s="4" t="s">
        <v>20407</v>
      </c>
      <c r="B16206" s="4" t="s">
        <v>20412</v>
      </c>
      <c r="C16206" s="5" t="str">
        <f>IFERROR(__xludf.DUMMYFUNCTION("GOOGLETRANSLATE(B16206,""en"",""zh-CN"")"),"之后，老人继续在海洋中航行。")</f>
        <v>之后，老人继续在海洋中航行。</v>
      </c>
    </row>
    <row r="16207">
      <c r="A16207" s="4" t="s">
        <v>20413</v>
      </c>
      <c r="B16207" s="4" t="s">
        <v>20414</v>
      </c>
      <c r="C16207" s="5" t="str">
        <f>IFERROR(__xludf.DUMMYFUNCTION("GOOGLETRANSLATE(B16207,""en"",""zh-CN"")"),"看到一个人的手弹奏一组邦戈鼓，并停下来与镜头说话。")</f>
        <v>看到一个人的手弹奏一组邦戈鼓，并停下来与镜头说话。</v>
      </c>
    </row>
    <row r="16208">
      <c r="A16208" s="4" t="s">
        <v>20413</v>
      </c>
      <c r="B16208" s="6" t="s">
        <v>20415</v>
      </c>
      <c r="C16208" s="5" t="str">
        <f>IFERROR(__xludf.DUMMYFUNCTION("GOOGLETRANSLATE(B16208,""en"",""zh-CN"")"),"他按下手机上的一个按钮，然后再次演奏鼓，并在鼓上以最后的smack结束。")</f>
        <v>他按下手机上的一个按钮，然后再次演奏鼓，并在鼓上以最后的smack结束。</v>
      </c>
    </row>
    <row r="16209">
      <c r="A16209" s="4" t="s">
        <v>20416</v>
      </c>
      <c r="B16209" s="4" t="s">
        <v>20417</v>
      </c>
      <c r="C16209" s="5" t="str">
        <f>IFERROR(__xludf.DUMMYFUNCTION("GOOGLETRANSLATE(B16209,""en"",""zh-CN"")"),"人们站在一条握着剑的线上。")</f>
        <v>人们站在一条握着剑的线上。</v>
      </c>
    </row>
    <row r="16210">
      <c r="A16210" s="4" t="s">
        <v>20416</v>
      </c>
      <c r="B16210" s="4" t="s">
        <v>20418</v>
      </c>
      <c r="C16210" s="5" t="str">
        <f>IFERROR(__xludf.DUMMYFUNCTION("GOOGLETRANSLATE(B16210,""en"",""zh-CN"")"),"一件白夹克的男人正在用麦克风说话。")</f>
        <v>一件白夹克的男人正在用麦克风说话。</v>
      </c>
    </row>
    <row r="16211">
      <c r="A16211" s="4" t="s">
        <v>20416</v>
      </c>
      <c r="B16211" s="4" t="s">
        <v>20419</v>
      </c>
      <c r="C16211" s="5" t="str">
        <f>IFERROR(__xludf.DUMMYFUNCTION("GOOGLETRANSLATE(B16211,""en"",""zh-CN"")"),"另一位年长的先生们正在谈论麦克风。")</f>
        <v>另一位年长的先生们正在谈论麦克风。</v>
      </c>
    </row>
    <row r="16212">
      <c r="A16212" s="4" t="s">
        <v>20420</v>
      </c>
      <c r="B16212" s="4" t="s">
        <v>20421</v>
      </c>
      <c r="C16212" s="5" t="str">
        <f>IFERROR(__xludf.DUMMYFUNCTION("GOOGLETRANSLATE(B16212,""en"",""zh-CN"")"),"一个人用软管覆盖用水泥覆盖墙壁。")</f>
        <v>一个人用软管覆盖用水泥覆盖墙壁。</v>
      </c>
    </row>
    <row r="16213">
      <c r="A16213" s="4" t="s">
        <v>20420</v>
      </c>
      <c r="B16213" s="4" t="s">
        <v>20422</v>
      </c>
      <c r="C16213" s="5" t="str">
        <f>IFERROR(__xludf.DUMMYFUNCTION("GOOGLETRANSLATE(B16213,""en"",""zh-CN"")"),"一个人在墙后工作。")</f>
        <v>一个人在墙后工作。</v>
      </c>
    </row>
    <row r="16214">
      <c r="A16214" s="4" t="s">
        <v>20420</v>
      </c>
      <c r="B16214" s="4" t="s">
        <v>20423</v>
      </c>
      <c r="C16214" s="5" t="str">
        <f>IFERROR(__xludf.DUMMYFUNCTION("GOOGLETRANSLATE(B16214,""en"",""zh-CN"")"),"该人涵盖了墙的最后一部分。")</f>
        <v>该人涵盖了墙的最后一部分。</v>
      </c>
    </row>
    <row r="16215">
      <c r="A16215" s="4" t="s">
        <v>20424</v>
      </c>
      <c r="B16215" s="4" t="s">
        <v>20425</v>
      </c>
      <c r="C16215" s="5" t="str">
        <f>IFERROR(__xludf.DUMMYFUNCTION("GOOGLETRANSLATE(B16215,""en"",""zh-CN"")"),"看到一个人走进框架前拿着乐器的框架。")</f>
        <v>看到一个人走进框架前拿着乐器的框架。</v>
      </c>
    </row>
    <row r="16216">
      <c r="A16216" s="4" t="s">
        <v>20424</v>
      </c>
      <c r="B16216" s="4" t="s">
        <v>20426</v>
      </c>
      <c r="C16216" s="5" t="str">
        <f>IFERROR(__xludf.DUMMYFUNCTION("GOOGLETRANSLATE(B16216,""en"",""zh-CN"")"),"他在钢琴前弹奏乐器，然后回到相机。")</f>
        <v>他在钢琴前弹奏乐器，然后回到相机。</v>
      </c>
    </row>
    <row r="16217">
      <c r="A16217" s="4" t="s">
        <v>20427</v>
      </c>
      <c r="B16217" s="4" t="s">
        <v>20428</v>
      </c>
      <c r="C16217" s="5" t="str">
        <f>IFERROR(__xludf.DUMMYFUNCTION("GOOGLETRANSLATE(B16217,""en"",""zh-CN"")"),"徽标“ Fab”带有两把交叉剑。")</f>
        <v>徽标“ Fab”带有两把交叉剑。</v>
      </c>
    </row>
    <row r="16218">
      <c r="A16218" s="4" t="s">
        <v>20427</v>
      </c>
      <c r="B16218" s="4" t="s">
        <v>20429</v>
      </c>
      <c r="C16218" s="5" t="str">
        <f>IFERROR(__xludf.DUMMYFUNCTION("GOOGLETRANSLATE(B16218,""en"",""zh-CN"")"),"屏幕上关注“ Meyerco砍刀测试”一词。")</f>
        <v>屏幕上关注“ Meyerco砍刀测试”一词。</v>
      </c>
    </row>
    <row r="16219">
      <c r="A16219" s="4" t="s">
        <v>20427</v>
      </c>
      <c r="B16219" s="4" t="s">
        <v>20430</v>
      </c>
      <c r="C16219" s="5" t="str">
        <f>IFERROR(__xludf.DUMMYFUNCTION("GOOGLETRANSLATE(B16219,""en"",""zh-CN"")"),"一个男人正在用小男子修剪受损的灌木丛。")</f>
        <v>一个男人正在用小男子修剪受损的灌木丛。</v>
      </c>
    </row>
    <row r="16220">
      <c r="A16220" s="4" t="s">
        <v>20427</v>
      </c>
      <c r="B16220" s="4" t="s">
        <v>20431</v>
      </c>
      <c r="C16220" s="5" t="str">
        <f>IFERROR(__xludf.DUMMYFUNCTION("GOOGLETRANSLATE(B16220,""en"",""zh-CN"")"),"该男子继续在甲板上切碎切割的分支。")</f>
        <v>该男子继续在甲板上切碎切割的分支。</v>
      </c>
    </row>
    <row r="16221">
      <c r="A16221" s="4" t="s">
        <v>20432</v>
      </c>
      <c r="B16221" s="4" t="s">
        <v>20433</v>
      </c>
      <c r="C16221" s="5" t="str">
        <f>IFERROR(__xludf.DUMMYFUNCTION("GOOGLETRANSLATE(B16221,""en"",""zh-CN"")"),"一群舞者芭蕾舞与一群嘻哈舞者竞争。")</f>
        <v>一群舞者芭蕾舞与一群嘻哈舞者竞争。</v>
      </c>
    </row>
    <row r="16222">
      <c r="A16222" s="4" t="s">
        <v>20432</v>
      </c>
      <c r="B16222" s="4" t="s">
        <v>20434</v>
      </c>
      <c r="C16222" s="5" t="str">
        <f>IFERROR(__xludf.DUMMYFUNCTION("GOOGLETRANSLATE(B16222,""en"",""zh-CN"")"),"男孩跳舞嘻哈，旋转并翻转。")</f>
        <v>男孩跳舞嘻哈，旋转并翻转。</v>
      </c>
    </row>
    <row r="16223">
      <c r="A16223" s="4" t="s">
        <v>20432</v>
      </c>
      <c r="B16223" s="6" t="s">
        <v>20435</v>
      </c>
      <c r="C16223" s="5" t="str">
        <f>IFERROR(__xludf.DUMMYFUNCTION("GOOGLETRANSLATE(B16223,""en"",""zh-CN"")"),"之后，男孩爬上一列以向后翻转并站在他的手上，然后她的朋友们抚养了芭蕾舞演员。")</f>
        <v>之后，男孩爬上一列以向后翻转并站在他的手上，然后她的朋友们抚养了芭蕾舞演员。</v>
      </c>
    </row>
    <row r="16224">
      <c r="A16224" s="4" t="s">
        <v>20432</v>
      </c>
      <c r="B16224" s="4" t="s">
        <v>20436</v>
      </c>
      <c r="C16224" s="5" t="str">
        <f>IFERROR(__xludf.DUMMYFUNCTION("GOOGLETRANSLATE(B16224,""en"",""zh-CN"")"),"然后，一个男孩奔跑，打破一扇门进入另一侧，一个女孩感到惊讶。")</f>
        <v>然后，一个男孩奔跑，打破一扇门进入另一侧，一个女孩感到惊讶。</v>
      </c>
    </row>
    <row r="16225">
      <c r="A16225" s="4" t="s">
        <v>20437</v>
      </c>
      <c r="B16225" s="4" t="s">
        <v>20438</v>
      </c>
      <c r="C16225" s="5" t="str">
        <f>IFERROR(__xludf.DUMMYFUNCTION("GOOGLETRANSLATE(B16225,""en"",""zh-CN"")"),"一个女孩对着拿着小提琴的相机微笑，将头发拉到头后。")</f>
        <v>一个女孩对着拿着小提琴的相机微笑，将头发拉到头后。</v>
      </c>
    </row>
    <row r="16226">
      <c r="A16226" s="4" t="s">
        <v>20437</v>
      </c>
      <c r="B16226" s="4" t="s">
        <v>20439</v>
      </c>
      <c r="C16226" s="5" t="str">
        <f>IFERROR(__xludf.DUMMYFUNCTION("GOOGLETRANSLATE(B16226,""en"",""zh-CN"")"),"她继续与相机交谈，然后她打小提琴。")</f>
        <v>她继续与相机交谈，然后她打小提琴。</v>
      </c>
    </row>
    <row r="16227">
      <c r="A16227" s="4" t="s">
        <v>20437</v>
      </c>
      <c r="B16227" s="6" t="s">
        <v>20440</v>
      </c>
      <c r="C16227" s="5" t="str">
        <f>IFERROR(__xludf.DUMMYFUNCTION("GOOGLETRANSLATE(B16227,""en"",""zh-CN"")"),"她把头发放下，继续与镜头交谈，并在唱歌时展示各种小提琴动作。")</f>
        <v>她把头发放下，继续与镜头交谈，并在唱歌时展示各种小提琴动作。</v>
      </c>
    </row>
    <row r="16228">
      <c r="A16228" s="4" t="s">
        <v>20437</v>
      </c>
      <c r="B16228" s="4" t="s">
        <v>20441</v>
      </c>
      <c r="C16228" s="5" t="str">
        <f>IFERROR(__xludf.DUMMYFUNCTION("GOOGLETRANSLATE(B16228,""en"",""zh-CN"")"),"她再次抬起头发，继续玩耍。")</f>
        <v>她再次抬起头发，继续玩耍。</v>
      </c>
    </row>
    <row r="16229">
      <c r="A16229" s="4" t="s">
        <v>20442</v>
      </c>
      <c r="B16229" s="4" t="s">
        <v>20443</v>
      </c>
      <c r="C16229" s="5" t="str">
        <f>IFERROR(__xludf.DUMMYFUNCTION("GOOGLETRANSLATE(B16229,""en"",""zh-CN"")"),"一个人打开汽车的紧急灯，拿出紧急轮胎。")</f>
        <v>一个人打开汽车的紧急灯，拿出紧急轮胎。</v>
      </c>
    </row>
    <row r="16230">
      <c r="A16230" s="4" t="s">
        <v>20442</v>
      </c>
      <c r="B16230" s="4" t="s">
        <v>20444</v>
      </c>
      <c r="C16230" s="5" t="str">
        <f>IFERROR(__xludf.DUMMYFUNCTION("GOOGLETRANSLATE(B16230,""en"",""zh-CN"")"),"然后，那个男人松开轮胎的凸耳，然后阅读手册。")</f>
        <v>然后，那个男人松开轮胎的凸耳，然后阅读手册。</v>
      </c>
    </row>
    <row r="16231">
      <c r="A16231" s="4" t="s">
        <v>20442</v>
      </c>
      <c r="B16231" s="4" t="s">
        <v>20445</v>
      </c>
      <c r="C16231" s="5" t="str">
        <f>IFERROR(__xludf.DUMMYFUNCTION("GOOGLETRANSLATE(B16231,""en"",""zh-CN"")"),"之后，该男子将一个千斤顶放在汽车下面抬起它。")</f>
        <v>之后，该男子将一个千斤顶放在汽车下面抬起它。</v>
      </c>
    </row>
    <row r="16232">
      <c r="A16232" s="4" t="s">
        <v>20442</v>
      </c>
      <c r="B16232" s="4" t="s">
        <v>20446</v>
      </c>
      <c r="C16232" s="5" t="str">
        <f>IFERROR(__xludf.DUMMYFUNCTION("GOOGLETRANSLATE(B16232,""en"",""zh-CN"")"),"接下来，该男子放置紧急轮胎并紧紧抓紧凸耳螺母。")</f>
        <v>接下来，该男子放置紧急轮胎并紧紧抓紧凸耳螺母。</v>
      </c>
    </row>
    <row r="16233">
      <c r="A16233" s="4" t="s">
        <v>20442</v>
      </c>
      <c r="B16233" s="4" t="s">
        <v>20447</v>
      </c>
      <c r="C16233" s="5" t="str">
        <f>IFERROR(__xludf.DUMMYFUNCTION("GOOGLETRANSLATE(B16233,""en"",""zh-CN"")"),"最后，男人保留了千斤顶和扁平轮胎。")</f>
        <v>最后，男人保留了千斤顶和扁平轮胎。</v>
      </c>
    </row>
    <row r="16234">
      <c r="A16234" s="4" t="s">
        <v>20448</v>
      </c>
      <c r="B16234" s="4" t="s">
        <v>20449</v>
      </c>
      <c r="C16234" s="5" t="str">
        <f>IFERROR(__xludf.DUMMYFUNCTION("GOOGLETRANSLATE(B16234,""en"",""zh-CN"")"),"拿着小提琴时，看到一个女人在相机上说话。")</f>
        <v>拿着小提琴时，看到一个女人在相机上说话。</v>
      </c>
    </row>
    <row r="16235">
      <c r="A16235" s="4" t="s">
        <v>20448</v>
      </c>
      <c r="B16235" s="4" t="s">
        <v>20450</v>
      </c>
      <c r="C16235" s="5" t="str">
        <f>IFERROR(__xludf.DUMMYFUNCTION("GOOGLETRANSLATE(B16235,""en"",""zh-CN"")"),"女人继续讲话，他们开始演示如何播放歌曲。")</f>
        <v>女人继续讲话，他们开始演示如何播放歌曲。</v>
      </c>
    </row>
    <row r="16236">
      <c r="A16236" s="4" t="s">
        <v>20448</v>
      </c>
      <c r="B16236" s="4" t="s">
        <v>20451</v>
      </c>
      <c r="C16236" s="5" t="str">
        <f>IFERROR(__xludf.DUMMYFUNCTION("GOOGLETRANSLATE(B16236,""en"",""zh-CN"")"),"她结束了播放歌曲，并向相机微笑。")</f>
        <v>她结束了播放歌曲，并向相机微笑。</v>
      </c>
    </row>
    <row r="16237">
      <c r="A16237" s="4" t="s">
        <v>20452</v>
      </c>
      <c r="B16237" s="4" t="s">
        <v>20453</v>
      </c>
      <c r="C16237" s="5" t="str">
        <f>IFERROR(__xludf.DUMMYFUNCTION("GOOGLETRANSLATE(B16237,""en"",""zh-CN"")"),"看到一个人的腿弯曲，一个人将剃须膏放在他的腿上。")</f>
        <v>看到一个人的腿弯曲，一个人将剃须膏放在他的腿上。</v>
      </c>
    </row>
    <row r="16238">
      <c r="A16238" s="4" t="s">
        <v>20452</v>
      </c>
      <c r="B16238" s="4" t="s">
        <v>20454</v>
      </c>
      <c r="C16238" s="5" t="str">
        <f>IFERROR(__xludf.DUMMYFUNCTION("GOOGLETRANSLATE(B16238,""en"",""zh-CN"")"),"然后，该人抓住了剃刀，并在将其浸入水槽中时开始剃光腿。")</f>
        <v>然后，该人抓住了剃刀，并在将其浸入水槽中时开始剃光腿。</v>
      </c>
    </row>
    <row r="16239">
      <c r="A16239" s="4" t="s">
        <v>20452</v>
      </c>
      <c r="B16239" s="4" t="s">
        <v>20455</v>
      </c>
      <c r="C16239" s="5" t="str">
        <f>IFERROR(__xludf.DUMMYFUNCTION("GOOGLETRANSLATE(B16239,""en"",""zh-CN"")"),"那个女人继续剃光腿，同时又回到水槽里，他喝了一杯。")</f>
        <v>那个女人继续剃光腿，同时又回到水槽里，他喝了一杯。</v>
      </c>
    </row>
    <row r="16240">
      <c r="A16240" s="4" t="s">
        <v>20456</v>
      </c>
      <c r="B16240" s="6" t="s">
        <v>20457</v>
      </c>
      <c r="C16240" s="5" t="str">
        <f>IFERROR(__xludf.DUMMYFUNCTION("GOOGLETRANSLATE(B16240,""en"",""zh-CN"")"),"一个男人的球滚动在棒球场上，一个穿着绿色衬衫的小男孩踢球并在基地周围奔跑。")</f>
        <v>一个男人的球滚动在棒球场上，一个穿着绿色衬衫的小男孩踢球并在基地周围奔跑。</v>
      </c>
    </row>
    <row r="16241">
      <c r="A16241" s="4" t="s">
        <v>20456</v>
      </c>
      <c r="B16241" s="4" t="s">
        <v>20458</v>
      </c>
      <c r="C16241" s="5" t="str">
        <f>IFERROR(__xludf.DUMMYFUNCTION("GOOGLETRANSLATE(B16241,""en"",""zh-CN"")"),"男孩停下来看着相机，然后再次开始运行。")</f>
        <v>男孩停下来看着相机，然后再次开始运行。</v>
      </c>
    </row>
    <row r="16242">
      <c r="A16242" s="4" t="s">
        <v>20456</v>
      </c>
      <c r="B16242" s="4" t="s">
        <v>20459</v>
      </c>
      <c r="C16242" s="5" t="str">
        <f>IFERROR(__xludf.DUMMYFUNCTION("GOOGLETRANSLATE(B16242,""en"",""zh-CN"")"),"一个人在相机前奔跑。")</f>
        <v>一个人在相机前奔跑。</v>
      </c>
    </row>
    <row r="16243">
      <c r="A16243" s="4" t="s">
        <v>20456</v>
      </c>
      <c r="B16243" s="4" t="s">
        <v>20460</v>
      </c>
      <c r="C16243" s="5" t="str">
        <f>IFERROR(__xludf.DUMMYFUNCTION("GOOGLETRANSLATE(B16243,""en"",""zh-CN"")"),"当女士将球追到篱笆上时，这个男孩回家了。")</f>
        <v>当女士将球追到篱笆上时，这个男孩回家了。</v>
      </c>
    </row>
    <row r="16244">
      <c r="A16244" s="4" t="s">
        <v>20461</v>
      </c>
      <c r="B16244" s="6" t="s">
        <v>20462</v>
      </c>
      <c r="C16244" s="5" t="str">
        <f>IFERROR(__xludf.DUMMYFUNCTION("GOOGLETRANSLATE(B16244,""en"",""zh-CN"")"),"戴着红帽和蓝色外套的男孩被一条冰冷的道路上的绳子拉到红管中。")</f>
        <v>戴着红帽和蓝色外套的男孩被一条冰冷的道路上的绳子拉到红管中。</v>
      </c>
    </row>
    <row r="16245">
      <c r="A16245" s="4" t="s">
        <v>20461</v>
      </c>
      <c r="B16245" s="4" t="s">
        <v>20463</v>
      </c>
      <c r="C16245" s="5" t="str">
        <f>IFERROR(__xludf.DUMMYFUNCTION("GOOGLETRANSLATE(B16245,""en"",""zh-CN"")"),"一个戴着黑色帽子的男人轮到了管子。")</f>
        <v>一个戴着黑色帽子的男人轮到了管子。</v>
      </c>
    </row>
    <row r="16246">
      <c r="A16246" s="4" t="s">
        <v>20461</v>
      </c>
      <c r="B16246" s="4" t="s">
        <v>20464</v>
      </c>
      <c r="C16246" s="5" t="str">
        <f>IFERROR(__xludf.DUMMYFUNCTION("GOOGLETRANSLATE(B16246,""en"",""zh-CN"")"),"一个戴着灰色帽子的男人用管子撞到了一个雪井。")</f>
        <v>一个戴着灰色帽子的男人用管子撞到了一个雪井。</v>
      </c>
    </row>
    <row r="16247">
      <c r="A16247" s="4" t="s">
        <v>20461</v>
      </c>
      <c r="B16247" s="4" t="s">
        <v>20465</v>
      </c>
      <c r="C16247" s="5" t="str">
        <f>IFERROR(__xludf.DUMMYFUNCTION("GOOGLETRANSLATE(B16247,""en"",""zh-CN"")"),"一个男人爬上管子里的雪山。")</f>
        <v>一个男人爬上管子里的雪山。</v>
      </c>
    </row>
    <row r="16248">
      <c r="A16248" s="4" t="s">
        <v>20461</v>
      </c>
      <c r="B16248" s="4" t="s">
        <v>20466</v>
      </c>
      <c r="C16248" s="5" t="str">
        <f>IFERROR(__xludf.DUMMYFUNCTION("GOOGLETRANSLATE(B16248,""en"",""zh-CN"")"),"越来越多的人开始滑动，但这一次是用小雪橇而不是管子。")</f>
        <v>越来越多的人开始滑动，但这一次是用小雪橇而不是管子。</v>
      </c>
    </row>
    <row r="16249">
      <c r="A16249" s="4" t="s">
        <v>20461</v>
      </c>
      <c r="B16249" s="4" t="s">
        <v>20467</v>
      </c>
      <c r="C16249" s="5" t="str">
        <f>IFERROR(__xludf.DUMMYFUNCTION("GOOGLETRANSLATE(B16249,""en"",""zh-CN"")"),"一个男人放开绳子，撞到雪的路堤。")</f>
        <v>一个男人放开绳子，撞到雪的路堤。</v>
      </c>
    </row>
    <row r="16250">
      <c r="A16250" s="4" t="s">
        <v>20461</v>
      </c>
      <c r="B16250" s="4" t="s">
        <v>20468</v>
      </c>
      <c r="C16250" s="5" t="str">
        <f>IFERROR(__xludf.DUMMYFUNCTION("GOOGLETRANSLATE(B16250,""en"",""zh-CN"")"),"一群朋友一起坐在沙发上。")</f>
        <v>一群朋友一起坐在沙发上。</v>
      </c>
    </row>
    <row r="16251">
      <c r="A16251" s="4" t="s">
        <v>20469</v>
      </c>
      <c r="B16251" s="6" t="s">
        <v>20470</v>
      </c>
      <c r="C16251" s="5" t="str">
        <f>IFERROR(__xludf.DUMMYFUNCTION("GOOGLETRANSLATE(B16251,""en"",""zh-CN"")"),"一个只穿着黑色短裤，凉鞋和齿轮带的男人在充满树木和树叶的自然环境中使用绳索爬上岩石。")</f>
        <v>一个只穿着黑色短裤，凉鞋和齿轮带的男人在充满树木和树叶的自然环境中使用绳索爬上岩石。</v>
      </c>
    </row>
    <row r="16252">
      <c r="A16252" s="4" t="s">
        <v>20469</v>
      </c>
      <c r="B16252" s="4" t="s">
        <v>20471</v>
      </c>
      <c r="C16252" s="5" t="str">
        <f>IFERROR(__xludf.DUMMYFUNCTION("GOOGLETRANSLATE(B16252,""en"",""zh-CN"")"),"黑色短裤中的那个人站在岩石的底部，开始爬上岩石。")</f>
        <v>黑色短裤中的那个人站在岩石的底部，开始爬上岩石。</v>
      </c>
    </row>
    <row r="16253">
      <c r="A16253" s="4" t="s">
        <v>20469</v>
      </c>
      <c r="B16253" s="6" t="s">
        <v>20472</v>
      </c>
      <c r="C16253" s="5" t="str">
        <f>IFERROR(__xludf.DUMMYFUNCTION("GOOGLETRANSLATE(B16253,""en"",""zh-CN"")"),"该男子用膝盖从底部爬上平衡，并在失去岩石抓地力时稳定绳子。")</f>
        <v>该男子用膝盖从底部爬上平衡，并在失去岩石抓地力时稳定绳子。</v>
      </c>
    </row>
    <row r="16254">
      <c r="A16254" s="4" t="s">
        <v>20469</v>
      </c>
      <c r="B16254" s="4" t="s">
        <v>20473</v>
      </c>
      <c r="C16254" s="5" t="str">
        <f>IFERROR(__xludf.DUMMYFUNCTION("GOOGLETRANSLATE(B16254,""en"",""zh-CN"")"),"当棕褐色的绳子悬挂时，该人到达岩石绳时到达岩石的顶部。")</f>
        <v>当棕褐色的绳子悬挂时，该人到达岩石绳时到达岩石的顶部。</v>
      </c>
    </row>
    <row r="16255">
      <c r="A16255" s="4" t="s">
        <v>20474</v>
      </c>
      <c r="B16255" s="4" t="s">
        <v>20475</v>
      </c>
      <c r="C16255" s="5" t="str">
        <f>IFERROR(__xludf.DUMMYFUNCTION("GOOGLETRANSLATE(B16255,""en"",""zh-CN"")"),"一个男人跌倒时跌倒了一条车道。")</f>
        <v>一个男人跌倒时跌倒了一条车道。</v>
      </c>
    </row>
    <row r="16256">
      <c r="A16256" s="4" t="s">
        <v>20474</v>
      </c>
      <c r="B16256" s="4" t="s">
        <v>20476</v>
      </c>
      <c r="C16256" s="5" t="str">
        <f>IFERROR(__xludf.DUMMYFUNCTION("GOOGLETRANSLATE(B16256,""en"",""zh-CN"")"),"一个女人摔倒了试图打保龄球。")</f>
        <v>一个女人摔倒了试图打保龄球。</v>
      </c>
    </row>
    <row r="16257">
      <c r="A16257" s="4" t="s">
        <v>20474</v>
      </c>
      <c r="B16257" s="4" t="s">
        <v>20477</v>
      </c>
      <c r="C16257" s="5" t="str">
        <f>IFERROR(__xludf.DUMMYFUNCTION("GOOGLETRANSLATE(B16257,""en"",""zh-CN"")"),"一个人投掷保龄球，撞到天花板。")</f>
        <v>一个人投掷保龄球，撞到天花板。</v>
      </c>
    </row>
    <row r="16258">
      <c r="A16258" s="4" t="s">
        <v>20474</v>
      </c>
      <c r="B16258" s="4" t="s">
        <v>20478</v>
      </c>
      <c r="C16258" s="5" t="str">
        <f>IFERROR(__xludf.DUMMYFUNCTION("GOOGLETRANSLATE(B16258,""en"",""zh-CN"")"),"一个男人在试图打保龄球时滑倒并跌倒。")</f>
        <v>一个男人在试图打保龄球时滑倒并跌倒。</v>
      </c>
    </row>
    <row r="16259">
      <c r="A16259" s="4" t="s">
        <v>20479</v>
      </c>
      <c r="B16259" s="4" t="s">
        <v>20480</v>
      </c>
      <c r="C16259" s="5" t="str">
        <f>IFERROR(__xludf.DUMMYFUNCTION("GOOGLETRANSLATE(B16259,""en"",""zh-CN"")"),"一个人将滑雪颠倒。")</f>
        <v>一个人将滑雪颠倒。</v>
      </c>
    </row>
    <row r="16260">
      <c r="A16260" s="4" t="s">
        <v>20479</v>
      </c>
      <c r="B16260" s="4" t="s">
        <v>20481</v>
      </c>
      <c r="C16260" s="5" t="str">
        <f>IFERROR(__xludf.DUMMYFUNCTION("GOOGLETRANSLATE(B16260,""en"",""zh-CN"")"),"它们融化到滑雪底部。")</f>
        <v>它们融化到滑雪底部。</v>
      </c>
    </row>
    <row r="16261">
      <c r="A16261" s="4" t="s">
        <v>20479</v>
      </c>
      <c r="B16261" s="4" t="s">
        <v>20482</v>
      </c>
      <c r="C16261" s="5" t="str">
        <f>IFERROR(__xludf.DUMMYFUNCTION("GOOGLETRANSLATE(B16261,""en"",""zh-CN"")"),"他们将铁在滑雪板上的顶部运行。")</f>
        <v>他们将铁在滑雪板上的顶部运行。</v>
      </c>
    </row>
    <row r="16262">
      <c r="A16262" s="4" t="s">
        <v>20483</v>
      </c>
      <c r="B16262" s="4" t="s">
        <v>20484</v>
      </c>
      <c r="C16262" s="5" t="str">
        <f>IFERROR(__xludf.DUMMYFUNCTION("GOOGLETRANSLATE(B16262,""en"",""zh-CN"")"),"一名体操运动员站着并在表演前挥舞着手臂。")</f>
        <v>一名体操运动员站着并在表演前挥舞着手臂。</v>
      </c>
    </row>
    <row r="16263">
      <c r="A16263" s="4" t="s">
        <v>20483</v>
      </c>
      <c r="B16263" s="4" t="s">
        <v>20485</v>
      </c>
      <c r="C16263" s="5" t="str">
        <f>IFERROR(__xludf.DUMMYFUNCTION("GOOGLETRANSLATE(B16263,""en"",""zh-CN"")"),"体操运动员跳起来并安装平衡梁。")</f>
        <v>体操运动员跳起来并安装平衡梁。</v>
      </c>
    </row>
    <row r="16264">
      <c r="A16264" s="4" t="s">
        <v>20483</v>
      </c>
      <c r="B16264" s="4" t="s">
        <v>20486</v>
      </c>
      <c r="C16264" s="5" t="str">
        <f>IFERROR(__xludf.DUMMYFUNCTION("GOOGLETRANSLATE(B16264,""en"",""zh-CN"")"),"体操运动员在平衡梁上进行例行程序，进行翻转和手动弹簧。")</f>
        <v>体操运动员在平衡梁上进行例行程序，进行翻转和手动弹簧。</v>
      </c>
    </row>
    <row r="16265">
      <c r="A16265" s="4" t="s">
        <v>20483</v>
      </c>
      <c r="B16265" s="4" t="s">
        <v>20487</v>
      </c>
      <c r="C16265" s="5" t="str">
        <f>IFERROR(__xludf.DUMMYFUNCTION("GOOGLETRANSLATE(B16265,""en"",""zh-CN"")"),"体操运动员跳跃并在空中分裂。")</f>
        <v>体操运动员跳跃并在空中分裂。</v>
      </c>
    </row>
    <row r="16266">
      <c r="A16266" s="4" t="s">
        <v>20483</v>
      </c>
      <c r="B16266" s="4" t="s">
        <v>20488</v>
      </c>
      <c r="C16266" s="5" t="str">
        <f>IFERROR(__xludf.DUMMYFUNCTION("GOOGLETRANSLATE(B16266,""en"",""zh-CN"")"),"体操运动员将平衡梁卸下到垫子上。")</f>
        <v>体操运动员将平衡梁卸下到垫子上。</v>
      </c>
    </row>
    <row r="16267">
      <c r="A16267" s="4" t="s">
        <v>20489</v>
      </c>
      <c r="B16267" s="4" t="s">
        <v>20490</v>
      </c>
      <c r="C16267" s="5" t="str">
        <f>IFERROR(__xludf.DUMMYFUNCTION("GOOGLETRANSLATE(B16267,""en"",""zh-CN"")"),"我们看到一个白色的开场场景。")</f>
        <v>我们看到一个白色的开场场景。</v>
      </c>
    </row>
    <row r="16268">
      <c r="A16268" s="4" t="s">
        <v>20489</v>
      </c>
      <c r="B16268" s="4" t="s">
        <v>20491</v>
      </c>
      <c r="C16268" s="5" t="str">
        <f>IFERROR(__xludf.DUMMYFUNCTION("GOOGLETRANSLATE(B16268,""en"",""zh-CN"")"),"我们看到一位女士在厨房里聊天和烹饪。")</f>
        <v>我们看到一位女士在厨房里聊天和烹饪。</v>
      </c>
    </row>
    <row r="16269">
      <c r="A16269" s="4" t="s">
        <v>20489</v>
      </c>
      <c r="B16269" s="4" t="s">
        <v>20492</v>
      </c>
      <c r="C16269" s="5" t="str">
        <f>IFERROR(__xludf.DUMMYFUNCTION("GOOGLETRANSLATE(B16269,""en"",""zh-CN"")"),"女士切了一个土豆，把它放在水中。")</f>
        <v>女士切了一个土豆，把它放在水中。</v>
      </c>
    </row>
    <row r="16270">
      <c r="A16270" s="4" t="s">
        <v>20489</v>
      </c>
      <c r="B16270" s="4" t="s">
        <v>20493</v>
      </c>
      <c r="C16270" s="5" t="str">
        <f>IFERROR(__xludf.DUMMYFUNCTION("GOOGLETRANSLATE(B16270,""en"",""zh-CN"")"),"女士把土豆放在冷水中。")</f>
        <v>女士把土豆放在冷水中。</v>
      </c>
    </row>
    <row r="16271">
      <c r="A16271" s="4" t="s">
        <v>20489</v>
      </c>
      <c r="B16271" s="4" t="s">
        <v>20494</v>
      </c>
      <c r="C16271" s="5" t="str">
        <f>IFERROR(__xludf.DUMMYFUNCTION("GOOGLETRANSLATE(B16271,""en"",""zh-CN"")"),"女士很容易将皮肤剥离。")</f>
        <v>女士很容易将皮肤剥离。</v>
      </c>
    </row>
    <row r="16272">
      <c r="A16272" s="4" t="s">
        <v>20489</v>
      </c>
      <c r="B16272" s="4" t="s">
        <v>2486</v>
      </c>
      <c r="C16272" s="5" t="str">
        <f>IFERROR(__xludf.DUMMYFUNCTION("GOOGLETRANSLATE(B16272,""en"",""zh-CN"")"),"我们看到关闭屏幕。")</f>
        <v>我们看到关闭屏幕。</v>
      </c>
    </row>
    <row r="16273">
      <c r="A16273" s="4" t="s">
        <v>20495</v>
      </c>
      <c r="B16273" s="4" t="s">
        <v>20496</v>
      </c>
      <c r="C16273" s="5" t="str">
        <f>IFERROR(__xludf.DUMMYFUNCTION("GOOGLETRANSLATE(B16273,""en"",""zh-CN"")"),"厨师正在将水和醋混合在玻璃碗中，并在其中加入干辣椒。")</f>
        <v>厨师正在将水和醋混合在玻璃碗中，并在其中加入干辣椒。</v>
      </c>
    </row>
    <row r="16274">
      <c r="A16274" s="4" t="s">
        <v>20495</v>
      </c>
      <c r="B16274" s="6" t="s">
        <v>20497</v>
      </c>
      <c r="C16274" s="5" t="str">
        <f>IFERROR(__xludf.DUMMYFUNCTION("GOOGLETRANSLATE(B16274,""en"",""zh-CN"")"),"然后在搅拌机中，厨师将刺山柑，大蒜，凤尾鱼和黑橄榄与一些橄榄油混合。")</f>
        <v>然后在搅拌机中，厨师将刺山柑，大蒜，凤尾鱼和黑橄榄与一些橄榄油混合。</v>
      </c>
    </row>
    <row r="16275">
      <c r="A16275" s="4" t="s">
        <v>20495</v>
      </c>
      <c r="B16275" s="4" t="s">
        <v>20498</v>
      </c>
      <c r="C16275" s="5" t="str">
        <f>IFERROR(__xludf.DUMMYFUNCTION("GOOGLETRANSLATE(B16275,""en"",""zh-CN"")"),"厨师将食材捣碎成糊状。")</f>
        <v>厨师将食材捣碎成糊状。</v>
      </c>
    </row>
    <row r="16276">
      <c r="A16276" s="4" t="s">
        <v>20495</v>
      </c>
      <c r="B16276" s="4" t="s">
        <v>20499</v>
      </c>
      <c r="C16276" s="5" t="str">
        <f>IFERROR(__xludf.DUMMYFUNCTION("GOOGLETRANSLATE(B16276,""en"",""zh-CN"")"),"厨师在炒锅中向油中加入一些大蒜，然后用一些晒干的西红柿炒到它。")</f>
        <v>厨师在炒锅中向油中加入一些大蒜，然后用一些晒干的西红柿炒到它。</v>
      </c>
    </row>
    <row r="16277">
      <c r="A16277" s="4" t="s">
        <v>20495</v>
      </c>
      <c r="B16277" s="4" t="s">
        <v>20500</v>
      </c>
      <c r="C16277" s="5" t="str">
        <f>IFERROR(__xludf.DUMMYFUNCTION("GOOGLETRANSLATE(B16277,""en"",""zh-CN"")"),"然后将橄榄饼添加到锅中。")</f>
        <v>然后将橄榄饼添加到锅中。</v>
      </c>
    </row>
    <row r="16278">
      <c r="A16278" s="4" t="s">
        <v>20495</v>
      </c>
      <c r="B16278" s="4" t="s">
        <v>20501</v>
      </c>
      <c r="C16278" s="5" t="str">
        <f>IFERROR(__xludf.DUMMYFUNCTION("GOOGLETRANSLATE(B16278,""en"",""zh-CN"")"),"然后，厨师将一些香菜和大蒜碎。")</f>
        <v>然后，厨师将一些香菜和大蒜碎。</v>
      </c>
    </row>
    <row r="16279">
      <c r="A16279" s="4" t="s">
        <v>20495</v>
      </c>
      <c r="B16279" s="4" t="s">
        <v>20502</v>
      </c>
      <c r="C16279" s="5" t="str">
        <f>IFERROR(__xludf.DUMMYFUNCTION("GOOGLETRANSLATE(B16279,""en"",""zh-CN"")"),"然后，他在煮盐水中添加一些意大利面条并煮熟。")</f>
        <v>然后，他在煮盐水中添加一些意大利面条并煮熟。</v>
      </c>
    </row>
    <row r="16280">
      <c r="A16280" s="4" t="s">
        <v>20495</v>
      </c>
      <c r="B16280" s="4" t="s">
        <v>20503</v>
      </c>
      <c r="C16280" s="5" t="str">
        <f>IFERROR(__xludf.DUMMYFUNCTION("GOOGLETRANSLATE(B16280,""en"",""zh-CN"")"),"他将切碎的欧芹添加到意大利面条中，并与橄榄酱一起混合。")</f>
        <v>他将切碎的欧芹添加到意大利面条中，并与橄榄酱一起混合。</v>
      </c>
    </row>
    <row r="16281">
      <c r="A16281" s="4" t="s">
        <v>20504</v>
      </c>
      <c r="B16281" s="4" t="s">
        <v>20505</v>
      </c>
      <c r="C16281" s="5" t="str">
        <f>IFERROR(__xludf.DUMMYFUNCTION("GOOGLETRANSLATE(B16281,""en"",""zh-CN"")"),"一个人将黑色糖霜放在蛋糕上。")</f>
        <v>一个人将黑色糖霜放在蛋糕上。</v>
      </c>
    </row>
    <row r="16282">
      <c r="A16282" s="4" t="s">
        <v>20504</v>
      </c>
      <c r="B16282" s="4" t="s">
        <v>20506</v>
      </c>
      <c r="C16282" s="5" t="str">
        <f>IFERROR(__xludf.DUMMYFUNCTION("GOOGLETRANSLATE(B16282,""en"",""zh-CN"")"),"他们将糖霜倒在锅中。")</f>
        <v>他们将糖霜倒在锅中。</v>
      </c>
    </row>
    <row r="16283">
      <c r="A16283" s="4" t="s">
        <v>20504</v>
      </c>
      <c r="B16283" s="4" t="s">
        <v>20507</v>
      </c>
      <c r="C16283" s="5" t="str">
        <f>IFERROR(__xludf.DUMMYFUNCTION("GOOGLETRANSLATE(B16283,""en"",""zh-CN"")"),"他们将草莓，蓝莓，覆盆子和黑浆果放在蛋糕上。")</f>
        <v>他们将草莓，蓝莓，覆盆子和黑浆果放在蛋糕上。</v>
      </c>
    </row>
    <row r="16284">
      <c r="A16284" s="4" t="s">
        <v>20508</v>
      </c>
      <c r="B16284" s="6" t="s">
        <v>20509</v>
      </c>
      <c r="C16284" s="5" t="str">
        <f>IFERROR(__xludf.DUMMYFUNCTION("GOOGLETRANSLATE(B16284,""en"",""zh-CN"")"),"一大批人看到蹦床上弹跳，将躲避球互相扔。")</f>
        <v>一大批人看到蹦床上弹跳，将躲避球互相扔。</v>
      </c>
    </row>
    <row r="16285">
      <c r="A16285" s="4" t="s">
        <v>20508</v>
      </c>
      <c r="B16285" s="4" t="s">
        <v>20510</v>
      </c>
      <c r="C16285" s="5" t="str">
        <f>IFERROR(__xludf.DUMMYFUNCTION("GOOGLETRANSLATE(B16285,""en"",""zh-CN"")"),"摄像机向外面的人们晃动，然后回到孩子们玩耍。")</f>
        <v>摄像机向外面的人们晃动，然后回到孩子们玩耍。</v>
      </c>
    </row>
    <row r="16286">
      <c r="A16286" s="4" t="s">
        <v>20511</v>
      </c>
      <c r="B16286" s="6" t="s">
        <v>20512</v>
      </c>
      <c r="C16286" s="5" t="str">
        <f>IFERROR(__xludf.DUMMYFUNCTION("GOOGLETRANSLATE(B16286,""en"",""zh-CN"")"),"出现一个粉红色的屏幕，上面有黑色数字和文字，上面写着“手袋82”，然后心脏似乎会淡入介绍屏幕，而戴着绿色的微笑的金发碧眼的女人似乎直接在相机上说话。")</f>
        <v>出现一个粉红色的屏幕，上面有黑色数字和文字，上面写着“手袋82”，然后心脏似乎会淡入介绍屏幕，而戴着绿色的微笑的金发碧眼的女人似乎直接在相机上说话。</v>
      </c>
    </row>
    <row r="16287">
      <c r="A16287" s="4" t="s">
        <v>20511</v>
      </c>
      <c r="B16287" s="6" t="s">
        <v>20513</v>
      </c>
      <c r="C16287" s="5" t="str">
        <f>IFERROR(__xludf.DUMMYFUNCTION("GOOGLETRANSLATE(B16287,""en"",""zh-CN"")"),"然后，该名女子拿起一个带有盖子的托盘，其中包括各种尺寸的彩色卷发器，她在指向它们时继续说话。")</f>
        <v>然后，该名女子拿起一个带有盖子的托盘，其中包括各种尺寸的彩色卷发器，她在指向它们时继续说话。</v>
      </c>
    </row>
    <row r="16288">
      <c r="A16288" s="4" t="s">
        <v>20511</v>
      </c>
      <c r="B16288" s="6" t="s">
        <v>20514</v>
      </c>
      <c r="C16288" s="5" t="str">
        <f>IFERROR(__xludf.DUMMYFUNCTION("GOOGLETRANSLATE(B16288,""en"",""zh-CN"")"),"然后，该名女子拿起一个黑色的袋子，从中拿起一个银色夹子，将其放回袋子里，然后将袋子放在一边，继续说话。")</f>
        <v>然后，该名女子拿起一个黑色的袋子，从中拿起一个银色夹子，将其放回袋子里，然后将袋子放在一边，继续说话。</v>
      </c>
    </row>
    <row r="16289">
      <c r="A16289" s="4" t="s">
        <v>20511</v>
      </c>
      <c r="B16289" s="6" t="s">
        <v>20515</v>
      </c>
      <c r="C16289" s="5" t="str">
        <f>IFERROR(__xludf.DUMMYFUNCTION("GOOGLETRANSLATE(B16289,""en"",""zh-CN"")"),"该名女子现在正戴着一件红色毛衣，正面戴着Hello Kitty，她正在梳理头发，用卷发器卷起，并用她之前展示的银色夹子和卷发器单独剪裁。")</f>
        <v>该名女子现在正戴着一件红色毛衣，正面戴着Hello Kitty，她正在梳理头发，用卷发器卷起，并用她之前展示的银色夹子和卷发器单独剪裁。</v>
      </c>
    </row>
    <row r="16290">
      <c r="A16290" s="4" t="s">
        <v>20511</v>
      </c>
      <c r="B16290" s="6" t="s">
        <v>20516</v>
      </c>
      <c r="C16290" s="5" t="str">
        <f>IFERROR(__xludf.DUMMYFUNCTION("GOOGLETRANSLATE(B16290,""en"",""zh-CN"")"),"当她完成所有可以放在她头上的卷发器时，她对相机微笑，然后从一侧转过头。")</f>
        <v>当她完成所有可以放在她头上的卷发器时，她对相机微笑，然后从一侧转过头。</v>
      </c>
    </row>
    <row r="16291">
      <c r="A16291" s="4" t="s">
        <v>20511</v>
      </c>
      <c r="B16291" s="6" t="s">
        <v>20517</v>
      </c>
      <c r="C16291" s="5" t="str">
        <f>IFERROR(__xludf.DUMMYFUNCTION("GOOGLETRANSLATE(B16291,""en"",""zh-CN"")"),"这个女人现在再次穿着绿色站在浴室里，她的头发倒下，她在说话，用手将头发移动到卷发上。")</f>
        <v>这个女人现在再次穿着绿色站在浴室里，她的头发倒下，她在说话，用手将头发移动到卷发上。</v>
      </c>
    </row>
    <row r="16292">
      <c r="A16292" s="4" t="s">
        <v>20511</v>
      </c>
      <c r="B16292" s="6" t="s">
        <v>20518</v>
      </c>
      <c r="C16292" s="5" t="str">
        <f>IFERROR(__xludf.DUMMYFUNCTION("GOOGLETRANSLATE(B16292,""en"",""zh-CN"")"),"Outro Screan是粉红色的，并以黑色的单词结尾，然后是黑屏，上面有一双夹子的红色嘴唇。")</f>
        <v>Outro Screan是粉红色的，并以黑色的单词结尾，然后是黑屏，上面有一双夹子的红色嘴唇。</v>
      </c>
    </row>
    <row r="16293">
      <c r="A16293" s="4" t="s">
        <v>20519</v>
      </c>
      <c r="B16293" s="4" t="s">
        <v>20520</v>
      </c>
      <c r="C16293" s="5" t="str">
        <f>IFERROR(__xludf.DUMMYFUNCTION("GOOGLETRANSLATE(B16293,""en"",""zh-CN"")"),"女人正站在绿色的田野里，在高尔夫俱乐部中练习平衡球。")</f>
        <v>女人正站在绿色的田野里，在高尔夫俱乐部中练习平衡球。</v>
      </c>
    </row>
    <row r="16294">
      <c r="A16294" s="4" t="s">
        <v>20519</v>
      </c>
      <c r="B16294" s="6" t="s">
        <v>20521</v>
      </c>
      <c r="C16294" s="5" t="str">
        <f>IFERROR(__xludf.DUMMYFUNCTION("GOOGLETRANSLATE(B16294,""en"",""zh-CN"")"),"另一个女人在球场上，与女孩一起练习，将球从高尔夫俱乐部传给另一个高尔夫球俱乐部。")</f>
        <v>另一个女人在球场上，与女孩一起练习，将球从高尔夫俱乐部传给另一个高尔夫球俱乐部。</v>
      </c>
    </row>
    <row r="16295">
      <c r="A16295" s="4" t="s">
        <v>20519</v>
      </c>
      <c r="B16295" s="4" t="s">
        <v>20522</v>
      </c>
      <c r="C16295" s="5" t="str">
        <f>IFERROR(__xludf.DUMMYFUNCTION("GOOGLETRANSLATE(B16295,""en"",""zh-CN"")"),"在背景中，汽车停在停车场。")</f>
        <v>在背景中，汽车停在停车场。</v>
      </c>
    </row>
    <row r="16296">
      <c r="A16296" s="4" t="s">
        <v>20523</v>
      </c>
      <c r="B16296" s="6" t="s">
        <v>20524</v>
      </c>
      <c r="C16296" s="5" t="str">
        <f>IFERROR(__xludf.DUMMYFUNCTION("GOOGLETRANSLATE(B16296,""en"",""zh-CN"")"),"看到一个男人在镜头前说话，同时指着他面前的各种工具和木制物体。")</f>
        <v>看到一个男人在镜头前说话，同时指着他面前的各种工具和木制物体。</v>
      </c>
    </row>
    <row r="16297">
      <c r="A16297" s="4" t="s">
        <v>20523</v>
      </c>
      <c r="B16297" s="4" t="s">
        <v>20525</v>
      </c>
      <c r="C16297" s="5" t="str">
        <f>IFERROR(__xludf.DUMMYFUNCTION("GOOGLETRANSLATE(B16297,""en"",""zh-CN"")"),"该男子将侧面解开，然后将其打在侧面。")</f>
        <v>该男子将侧面解开，然后将其打在侧面。</v>
      </c>
    </row>
    <row r="16298">
      <c r="A16298" s="4" t="s">
        <v>20523</v>
      </c>
      <c r="B16298" s="6" t="s">
        <v>20526</v>
      </c>
      <c r="C16298" s="5" t="str">
        <f>IFERROR(__xludf.DUMMYFUNCTION("GOOGLETRANSLATE(B16298,""en"",""zh-CN"")"),"然后，该男子在停下来打磨并将其显示在相机上的同时，将螺丝刀和钻孔钻孔。")</f>
        <v>然后，该男子在停下来打磨并将其显示在相机上的同时，将螺丝刀和钻孔钻孔。</v>
      </c>
    </row>
    <row r="16299">
      <c r="A16299" s="4" t="s">
        <v>20527</v>
      </c>
      <c r="B16299" s="6" t="s">
        <v>20528</v>
      </c>
      <c r="C16299" s="5" t="str">
        <f>IFERROR(__xludf.DUMMYFUNCTION("GOOGLETRANSLATE(B16299,""en"",""zh-CN"")"),"一台相机在一个冰雪奇缘的湖泊周围竖起，树木，并通向一群人在一个洞周围钓鱼。")</f>
        <v>一台相机在一个冰雪奇缘的湖泊周围竖起，树木，并通向一群人在一个洞周围钓鱼。</v>
      </c>
    </row>
    <row r="16300">
      <c r="A16300" s="4" t="s">
        <v>20527</v>
      </c>
      <c r="B16300" s="6" t="s">
        <v>20529</v>
      </c>
      <c r="C16300" s="5" t="str">
        <f>IFERROR(__xludf.DUMMYFUNCTION("GOOGLETRANSLATE(B16300,""en"",""zh-CN"")"),"这些人继续坐在洞周围，彼此围绕着杆子，绕冰徘徊。")</f>
        <v>这些人继续坐在洞周围，彼此围绕着杆子，绕冰徘徊。</v>
      </c>
    </row>
    <row r="16301">
      <c r="A16301" s="4" t="s">
        <v>20530</v>
      </c>
      <c r="B16301" s="4" t="s">
        <v>20531</v>
      </c>
      <c r="C16301" s="5" t="str">
        <f>IFERROR(__xludf.DUMMYFUNCTION("GOOGLETRANSLATE(B16301,""en"",""zh-CN"")"),"看到南瓜的近距离接下来，然后是一个孩子划出中间的儿童。")</f>
        <v>看到南瓜的近距离接下来，然后是一个孩子划出中间的儿童。</v>
      </c>
    </row>
    <row r="16302">
      <c r="A16302" s="4" t="s">
        <v>20530</v>
      </c>
      <c r="B16302" s="4" t="s">
        <v>20532</v>
      </c>
      <c r="C16302" s="5" t="str">
        <f>IFERROR(__xludf.DUMMYFUNCTION("GOOGLETRANSLATE(B16302,""en"",""zh-CN"")"),"当成年人走进框架时，看到她旁边的另一个孩子切出南瓜。")</f>
        <v>当成年人走进框架时，看到她旁边的另一个孩子切出南瓜。</v>
      </c>
    </row>
    <row r="16303">
      <c r="A16303" s="4" t="s">
        <v>20530</v>
      </c>
      <c r="B16303" s="6" t="s">
        <v>20533</v>
      </c>
      <c r="C16303" s="5" t="str">
        <f>IFERROR(__xludf.DUMMYFUNCTION("GOOGLETRANSLATE(B16303,""en"",""zh-CN"")"),"成年人在相机周围的相机锅中帮助孩子们微笑着一笑，并拿着种子。")</f>
        <v>成年人在相机周围的相机锅中帮助孩子们微笑着一笑，并拿着种子。</v>
      </c>
    </row>
    <row r="16304">
      <c r="A16304" s="4" t="s">
        <v>20534</v>
      </c>
      <c r="B16304" s="4" t="s">
        <v>20535</v>
      </c>
      <c r="C16304" s="5" t="str">
        <f>IFERROR(__xludf.DUMMYFUNCTION("GOOGLETRANSLATE(B16304,""en"",""zh-CN"")"),"一名男子在拿着刀子时拿着刀，微笑着。")</f>
        <v>一名男子在拿着刀子时拿着刀，微笑着。</v>
      </c>
    </row>
    <row r="16305">
      <c r="A16305" s="4" t="s">
        <v>20534</v>
      </c>
      <c r="B16305" s="4" t="s">
        <v>20536</v>
      </c>
      <c r="C16305" s="5" t="str">
        <f>IFERROR(__xludf.DUMMYFUNCTION("GOOGLETRANSLATE(B16305,""en"",""zh-CN"")"),"他开始在各个部分切割桌子上放置的番茄。")</f>
        <v>他开始在各个部分切割桌子上放置的番茄。</v>
      </c>
    </row>
    <row r="16306">
      <c r="A16306" s="4" t="s">
        <v>20534</v>
      </c>
      <c r="B16306" s="6" t="s">
        <v>20537</v>
      </c>
      <c r="C16306" s="5" t="str">
        <f>IFERROR(__xludf.DUMMYFUNCTION("GOOGLETRANSLATE(B16306,""en"",""zh-CN"")"),"然后，他锐化了蔬菜旁边的机器上的刀，并显示其起作用多。")</f>
        <v>然后，他锐化了蔬菜旁边的机器上的刀，并显示其起作用多。</v>
      </c>
    </row>
    <row r="16307">
      <c r="A16307" s="4" t="s">
        <v>20538</v>
      </c>
      <c r="B16307" s="4" t="s">
        <v>20539</v>
      </c>
      <c r="C16307" s="5" t="str">
        <f>IFERROR(__xludf.DUMMYFUNCTION("GOOGLETRANSLATE(B16307,""en"",""zh-CN"")"),"一群人在浮出水面的管子上，里面有巨大的岩石。")</f>
        <v>一群人在浮出水面的管子上，里面有巨大的岩石。</v>
      </c>
    </row>
    <row r="16308">
      <c r="A16308" s="4" t="s">
        <v>20538</v>
      </c>
      <c r="B16308" s="4" t="s">
        <v>20540</v>
      </c>
      <c r="C16308" s="5" t="str">
        <f>IFERROR(__xludf.DUMMYFUNCTION("GOOGLETRANSLATE(B16308,""en"",""zh-CN"")"),"相机扫描人群，人们不断地划过水面。")</f>
        <v>相机扫描人群，人们不断地划过水面。</v>
      </c>
    </row>
    <row r="16309">
      <c r="A16309" s="4" t="s">
        <v>20541</v>
      </c>
      <c r="B16309" s="4" t="s">
        <v>20542</v>
      </c>
      <c r="C16309" s="5" t="str">
        <f>IFERROR(__xludf.DUMMYFUNCTION("GOOGLETRANSLATE(B16309,""en"",""zh-CN"")"),"伙计们在两名裁判面前在室内摔跤。")</f>
        <v>伙计们在两名裁判面前在室内摔跤。</v>
      </c>
    </row>
    <row r="16310">
      <c r="A16310" s="4" t="s">
        <v>20541</v>
      </c>
      <c r="B16310" s="4" t="s">
        <v>20543</v>
      </c>
      <c r="C16310" s="5" t="str">
        <f>IFERROR(__xludf.DUMMYFUNCTION("GOOGLETRANSLATE(B16310,""en"",""zh-CN"")"),"裁判指向获胜者的方向。")</f>
        <v>裁判指向获胜者的方向。</v>
      </c>
    </row>
    <row r="16311">
      <c r="A16311" s="4" t="s">
        <v>20541</v>
      </c>
      <c r="B16311" s="4" t="s">
        <v>20544</v>
      </c>
      <c r="C16311" s="5" t="str">
        <f>IFERROR(__xludf.DUMMYFUNCTION("GOOGLETRANSLATE(B16311,""en"",""zh-CN"")"),"玩家握手。")</f>
        <v>玩家握手。</v>
      </c>
    </row>
    <row r="16312">
      <c r="A16312" s="4" t="s">
        <v>20545</v>
      </c>
      <c r="B16312" s="4" t="s">
        <v>20546</v>
      </c>
      <c r="C16312" s="5" t="str">
        <f>IFERROR(__xludf.DUMMYFUNCTION("GOOGLETRANSLATE(B16312,""en"",""zh-CN"")"),"标题屏幕显示在视频中。")</f>
        <v>标题屏幕显示在视频中。</v>
      </c>
    </row>
    <row r="16313">
      <c r="A16313" s="4" t="s">
        <v>20545</v>
      </c>
      <c r="B16313" s="4" t="s">
        <v>20547</v>
      </c>
      <c r="C16313" s="5" t="str">
        <f>IFERROR(__xludf.DUMMYFUNCTION("GOOGLETRANSLATE(B16313,""en"",""zh-CN"")"),"该名女子展示了在大房间里使用呼啦圈，而另一个人说话。")</f>
        <v>该名女子展示了在大房间里使用呼啦圈，而另一个人说话。</v>
      </c>
    </row>
    <row r="16314">
      <c r="A16314" s="4" t="s">
        <v>20545</v>
      </c>
      <c r="B16314" s="4" t="s">
        <v>20548</v>
      </c>
      <c r="C16314" s="5" t="str">
        <f>IFERROR(__xludf.DUMMYFUNCTION("GOOGLETRANSLATE(B16314,""en"",""zh-CN"")"),"另一个人通过门的窗户看。")</f>
        <v>另一个人通过门的窗户看。</v>
      </c>
    </row>
    <row r="16315">
      <c r="A16315" s="4" t="s">
        <v>20545</v>
      </c>
      <c r="B16315" s="4" t="s">
        <v>20549</v>
      </c>
      <c r="C16315" s="5" t="str">
        <f>IFERROR(__xludf.DUMMYFUNCTION("GOOGLETRANSLATE(B16315,""en"",""zh-CN"")"),"那个女人停止呼啦圈，鞠躬。")</f>
        <v>那个女人停止呼啦圈，鞠躬。</v>
      </c>
    </row>
    <row r="16316">
      <c r="A16316" s="4" t="s">
        <v>20545</v>
      </c>
      <c r="B16316" s="4" t="s">
        <v>20550</v>
      </c>
      <c r="C16316" s="5" t="str">
        <f>IFERROR(__xludf.DUMMYFUNCTION("GOOGLETRANSLATE(B16316,""en"",""zh-CN"")"),"结束信用额度。")</f>
        <v>结束信用额度。</v>
      </c>
    </row>
    <row r="16317">
      <c r="A16317" s="4" t="s">
        <v>20551</v>
      </c>
      <c r="B16317" s="4" t="s">
        <v>20552</v>
      </c>
      <c r="C16317" s="5" t="str">
        <f>IFERROR(__xludf.DUMMYFUNCTION("GOOGLETRANSLATE(B16317,""en"",""zh-CN"")"),"两个人在法庭上打网球。")</f>
        <v>两个人在法庭上打网球。</v>
      </c>
    </row>
    <row r="16318">
      <c r="A16318" s="4" t="s">
        <v>20551</v>
      </c>
      <c r="B16318" s="4" t="s">
        <v>20553</v>
      </c>
      <c r="C16318" s="5" t="str">
        <f>IFERROR(__xludf.DUMMYFUNCTION("GOOGLETRANSLATE(B16318,""en"",""zh-CN"")"),"一个人倒在他们的背上。")</f>
        <v>一个人倒在他们的背上。</v>
      </c>
    </row>
    <row r="16319">
      <c r="A16319" s="4" t="s">
        <v>20554</v>
      </c>
      <c r="B16319" s="6" t="s">
        <v>20555</v>
      </c>
      <c r="C16319" s="5" t="str">
        <f>IFERROR(__xludf.DUMMYFUNCTION("GOOGLETRANSLATE(B16319,""en"",""zh-CN"")"),"一个男人在脖子上有他的萨克斯，他正在解释芦苇和嘴巴，以及如何将嘴放在上面，或者什么也不是什么。")</f>
        <v>一个男人在脖子上有他的萨克斯，他正在解释芦苇和嘴巴，以及如何将嘴放在上面，或者什么也不是什么。</v>
      </c>
    </row>
    <row r="16320">
      <c r="A16320" s="4" t="s">
        <v>20554</v>
      </c>
      <c r="B16320" s="4" t="s">
        <v>20556</v>
      </c>
      <c r="C16320" s="5" t="str">
        <f>IFERROR(__xludf.DUMMYFUNCTION("GOOGLETRANSLATE(B16320,""en"",""zh-CN"")"),"他谈论了一段时间，展示了您如何移动舌头发出声音。")</f>
        <v>他谈论了一段时间，展示了您如何移动舌头发出声音。</v>
      </c>
    </row>
    <row r="16321">
      <c r="A16321" s="4" t="s">
        <v>20554</v>
      </c>
      <c r="B16321" s="4" t="s">
        <v>20557</v>
      </c>
      <c r="C16321" s="5" t="str">
        <f>IFERROR(__xludf.DUMMYFUNCTION("GOOGLETRANSLATE(B16321,""en"",""zh-CN"")"),"他吹入萨克斯州以展示更多。")</f>
        <v>他吹入萨克斯州以展示更多。</v>
      </c>
    </row>
    <row r="16322">
      <c r="A16322" s="4" t="s">
        <v>20554</v>
      </c>
      <c r="B16322" s="4" t="s">
        <v>20558</v>
      </c>
      <c r="C16322" s="5" t="str">
        <f>IFERROR(__xludf.DUMMYFUNCTION("GOOGLETRANSLATE(B16322,""en"",""zh-CN"")"),"他甚至短暂地将手指放在嘴里，以尝试更好地解释。")</f>
        <v>他甚至短暂地将手指放在嘴里，以尝试更好地解释。</v>
      </c>
    </row>
    <row r="16323">
      <c r="A16323" s="4" t="s">
        <v>20559</v>
      </c>
      <c r="B16323" s="4" t="s">
        <v>20560</v>
      </c>
      <c r="C16323" s="5" t="str">
        <f>IFERROR(__xludf.DUMMYFUNCTION("GOOGLETRANSLATE(B16323,""en"",""zh-CN"")"),"一名男子将割草机推到草坪区域，上面有帐篷割草。")</f>
        <v>一名男子将割草机推到草坪区域，上面有帐篷割草。</v>
      </c>
    </row>
    <row r="16324">
      <c r="A16324" s="4" t="s">
        <v>20559</v>
      </c>
      <c r="B16324" s="4" t="s">
        <v>20561</v>
      </c>
      <c r="C16324" s="5" t="str">
        <f>IFERROR(__xludf.DUMMYFUNCTION("GOOGLETRANSLATE(B16324,""en"",""zh-CN"")"),"该男子砍了一棵树周围的高草。")</f>
        <v>该男子砍了一棵树周围的高草。</v>
      </c>
    </row>
    <row r="16325">
      <c r="A16325" s="4" t="s">
        <v>20559</v>
      </c>
      <c r="B16325" s="4" t="s">
        <v>20562</v>
      </c>
      <c r="C16325" s="5" t="str">
        <f>IFERROR(__xludf.DUMMYFUNCTION("GOOGLETRANSLATE(B16325,""en"",""zh-CN"")"),"该男子关闭割草机并休息一下。")</f>
        <v>该男子关闭割草机并休息一下。</v>
      </c>
    </row>
    <row r="16326">
      <c r="A16326" s="4" t="s">
        <v>20563</v>
      </c>
      <c r="B16326" s="4" t="s">
        <v>20564</v>
      </c>
      <c r="C16326" s="5" t="str">
        <f>IFERROR(__xludf.DUMMYFUNCTION("GOOGLETRANSLATE(B16326,""en"",""zh-CN"")"),"显示了一个景观的近距离，后面是一个女人在侧面爬上一块岩石。")</f>
        <v>显示了一个景观的近距离，后面是一个女人在侧面爬上一块岩石。</v>
      </c>
    </row>
    <row r="16327">
      <c r="A16327" s="4" t="s">
        <v>20563</v>
      </c>
      <c r="B16327" s="4" t="s">
        <v>20565</v>
      </c>
      <c r="C16327" s="5" t="str">
        <f>IFERROR(__xludf.DUMMYFUNCTION("GOOGLETRANSLATE(B16327,""en"",""zh-CN"")"),"女人继续爬上攀爬，并以她的山顶伸出手臂。")</f>
        <v>女人继续爬上攀爬，并以她的山顶伸出手臂。</v>
      </c>
    </row>
    <row r="16328">
      <c r="A16328" s="4" t="s">
        <v>20566</v>
      </c>
      <c r="B16328" s="4" t="s">
        <v>20567</v>
      </c>
      <c r="C16328" s="5" t="str">
        <f>IFERROR(__xludf.DUMMYFUNCTION("GOOGLETRANSLATE(B16328,""en"",""zh-CN"")"),"一群人在法庭上打道奇球。")</f>
        <v>一群人在法庭上打道奇球。</v>
      </c>
    </row>
    <row r="16329">
      <c r="A16329" s="4" t="s">
        <v>20566</v>
      </c>
      <c r="B16329" s="4" t="s">
        <v>20568</v>
      </c>
      <c r="C16329" s="5" t="str">
        <f>IFERROR(__xludf.DUMMYFUNCTION("GOOGLETRANSLATE(B16329,""en"",""zh-CN"")"),"人们在镜头开玩笑。")</f>
        <v>人们在镜头开玩笑。</v>
      </c>
    </row>
    <row r="16330">
      <c r="A16330" s="4" t="s">
        <v>20569</v>
      </c>
      <c r="B16330" s="6" t="s">
        <v>20570</v>
      </c>
      <c r="C16330" s="5" t="str">
        <f>IFERROR(__xludf.DUMMYFUNCTION("GOOGLETRANSLATE(B16330,""en"",""zh-CN"")"),"显示了一条白色的墙壁，钉子戳了出来，一条胶带悬挂在下面，一个女孩开始悬崖爬上墙壁，穿着一件蓝色衬衫的男人开始说话。")</f>
        <v>显示了一条白色的墙壁，钉子戳了出来，一条胶带悬挂在下面，一个女孩开始悬崖爬上墙壁，穿着一件蓝色衬衫的男人开始说话。</v>
      </c>
    </row>
    <row r="16331">
      <c r="A16331" s="4" t="s">
        <v>20569</v>
      </c>
      <c r="B16331" s="4" t="s">
        <v>20571</v>
      </c>
      <c r="C16331" s="5" t="str">
        <f>IFERROR(__xludf.DUMMYFUNCTION("GOOGLETRANSLATE(B16331,""en"",""zh-CN"")"),"当男人继续在分屏上说话时，这位年轻的女士继续走上墙。")</f>
        <v>当男人继续在分屏上说话时，这位年轻的女士继续走上墙。</v>
      </c>
    </row>
    <row r="16332">
      <c r="A16332" s="4" t="s">
        <v>20569</v>
      </c>
      <c r="B16332" s="6" t="s">
        <v>20572</v>
      </c>
      <c r="C16332" s="5" t="str">
        <f>IFERROR(__xludf.DUMMYFUNCTION("GOOGLETRANSLATE(B16332,""en"",""zh-CN"")"),"该男子抬起脚谈论某个位置，当女孩开始下盘子时，女孩展示了这一点。")</f>
        <v>该男子抬起脚谈论某个位置，当女孩开始下盘子时，女孩展示了这一点。</v>
      </c>
    </row>
    <row r="16333">
      <c r="A16333" s="4" t="s">
        <v>20573</v>
      </c>
      <c r="B16333" s="4" t="s">
        <v>20574</v>
      </c>
      <c r="C16333" s="5" t="str">
        <f>IFERROR(__xludf.DUMMYFUNCTION("GOOGLETRANSLATE(B16333,""en"",""zh-CN"")"),"一辆小型汽车被厚厚的雪覆盖。")</f>
        <v>一辆小型汽车被厚厚的雪覆盖。</v>
      </c>
    </row>
    <row r="16334">
      <c r="A16334" s="4" t="s">
        <v>20573</v>
      </c>
      <c r="B16334" s="4" t="s">
        <v>20575</v>
      </c>
      <c r="C16334" s="5" t="str">
        <f>IFERROR(__xludf.DUMMYFUNCTION("GOOGLETRANSLATE(B16334,""en"",""zh-CN"")"),"一个男人带着扫地机出现。")</f>
        <v>一个男人带着扫地机出现。</v>
      </c>
    </row>
    <row r="16335">
      <c r="A16335" s="4" t="s">
        <v>20573</v>
      </c>
      <c r="B16335" s="4" t="s">
        <v>20576</v>
      </c>
      <c r="C16335" s="5" t="str">
        <f>IFERROR(__xludf.DUMMYFUNCTION("GOOGLETRANSLATE(B16335,""en"",""zh-CN"")"),"他用它来从车辆上夺走所有的雪。")</f>
        <v>他用它来从车辆上夺走所有的雪。</v>
      </c>
    </row>
    <row r="16336">
      <c r="A16336" s="4" t="s">
        <v>20577</v>
      </c>
      <c r="B16336" s="4" t="s">
        <v>20578</v>
      </c>
      <c r="C16336" s="5" t="str">
        <f>IFERROR(__xludf.DUMMYFUNCTION("GOOGLETRANSLATE(B16336,""en"",""zh-CN"")"),"人跪在地板上与镜头说话，并在木地板上方展示瓷砖。")</f>
        <v>人跪在地板上与镜头说话，并在木地板上方展示瓷砖。</v>
      </c>
    </row>
    <row r="16337">
      <c r="A16337" s="4" t="s">
        <v>20577</v>
      </c>
      <c r="B16337" s="6" t="s">
        <v>20579</v>
      </c>
      <c r="C16337" s="5" t="str">
        <f>IFERROR(__xludf.DUMMYFUNCTION("GOOGLETRANSLATE(B16337,""en"",""zh-CN"")"),"人正在展示一个没有木地板的地方，它将木杆放在地板上测量空间。")</f>
        <v>人正在展示一个没有木地板的地方，它将木杆放在地板上测量空间。</v>
      </c>
    </row>
    <row r="16338">
      <c r="A16338" s="4" t="s">
        <v>20577</v>
      </c>
      <c r="B16338" s="4" t="s">
        <v>20580</v>
      </c>
      <c r="C16338" s="5" t="str">
        <f>IFERROR(__xludf.DUMMYFUNCTION("GOOGLETRANSLATE(B16338,""en"",""zh-CN"")"),"该男子将木板放在太空中，然后放地板瓷砖。")</f>
        <v>该男子将木板放在太空中，然后放地板瓷砖。</v>
      </c>
    </row>
    <row r="16339">
      <c r="A16339" s="4" t="s">
        <v>20581</v>
      </c>
      <c r="B16339" s="4" t="s">
        <v>20582</v>
      </c>
      <c r="C16339" s="5" t="str">
        <f>IFERROR(__xludf.DUMMYFUNCTION("GOOGLETRANSLATE(B16339,""en"",""zh-CN"")"),"有一个男孩坐在床上炫耀他的晒伤，并在上面放奶油。")</f>
        <v>有一个男孩坐在床上炫耀他的晒伤，并在上面放奶油。</v>
      </c>
    </row>
    <row r="16340">
      <c r="A16340" s="4" t="s">
        <v>20581</v>
      </c>
      <c r="B16340" s="4" t="s">
        <v>20583</v>
      </c>
      <c r="C16340" s="5" t="str">
        <f>IFERROR(__xludf.DUMMYFUNCTION("GOOGLETRANSLATE(B16340,""en"",""zh-CN"")"),"一个朋友因为另一个人的晒伤而摇摇头。")</f>
        <v>一个朋友因为另一个人的晒伤而摇摇头。</v>
      </c>
    </row>
    <row r="16341">
      <c r="A16341" s="4" t="s">
        <v>20581</v>
      </c>
      <c r="B16341" s="4" t="s">
        <v>20584</v>
      </c>
      <c r="C16341" s="5" t="str">
        <f>IFERROR(__xludf.DUMMYFUNCTION("GOOGLETRANSLATE(B16341,""en"",""zh-CN"")"),"朋友抬起衬衫也展示了他的晒伤。")</f>
        <v>朋友抬起衬衫也展示了他的晒伤。</v>
      </c>
    </row>
    <row r="16342">
      <c r="A16342" s="4" t="s">
        <v>20581</v>
      </c>
      <c r="B16342" s="4" t="s">
        <v>20585</v>
      </c>
      <c r="C16342" s="5" t="str">
        <f>IFERROR(__xludf.DUMMYFUNCTION("GOOGLETRANSLATE(B16342,""en"",""zh-CN"")"),"摄像机在房间周围并回到第一个家伙。")</f>
        <v>摄像机在房间周围并回到第一个家伙。</v>
      </c>
    </row>
    <row r="16343">
      <c r="A16343" s="4" t="s">
        <v>20581</v>
      </c>
      <c r="B16343" s="4" t="s">
        <v>20586</v>
      </c>
      <c r="C16343" s="5" t="str">
        <f>IFERROR(__xludf.DUMMYFUNCTION("GOOGLETRANSLATE(B16343,""en"",""zh-CN"")"),"一个女孩拿着盘子走路，把它放在桌子上，跳舞。")</f>
        <v>一个女孩拿着盘子走路，把它放在桌子上，跳舞。</v>
      </c>
    </row>
    <row r="16344">
      <c r="A16344" s="4" t="s">
        <v>20581</v>
      </c>
      <c r="B16344" s="4" t="s">
        <v>20587</v>
      </c>
      <c r="C16344" s="5" t="str">
        <f>IFERROR(__xludf.DUMMYFUNCTION("GOOGLETRANSLATE(B16344,""en"",""zh-CN"")"),"摄像头摇在镜子上，有两个男人站在手机中挥舞着。")</f>
        <v>摄像头摇在镜子上，有两个男人站在手机中挥舞着。</v>
      </c>
    </row>
    <row r="16345">
      <c r="A16345" s="4" t="s">
        <v>20581</v>
      </c>
      <c r="B16345" s="4" t="s">
        <v>20588</v>
      </c>
      <c r="C16345" s="5" t="str">
        <f>IFERROR(__xludf.DUMMYFUNCTION("GOOGLETRANSLATE(B16345,""en"",""zh-CN"")"),"相机看着房间的阳台。")</f>
        <v>相机看着房间的阳台。</v>
      </c>
    </row>
    <row r="16346">
      <c r="A16346" s="4" t="s">
        <v>20581</v>
      </c>
      <c r="B16346" s="4" t="s">
        <v>20589</v>
      </c>
      <c r="C16346" s="5" t="str">
        <f>IFERROR(__xludf.DUMMYFUNCTION("GOOGLETRANSLATE(B16346,""en"",""zh-CN"")"),"一个女人把一盘食物放在桌子上，一个男人回到里面。")</f>
        <v>一个女人把一盘食物放在桌子上，一个男人回到里面。</v>
      </c>
    </row>
    <row r="16347">
      <c r="A16347" s="4" t="s">
        <v>20581</v>
      </c>
      <c r="B16347" s="4" t="s">
        <v>20590</v>
      </c>
      <c r="C16347" s="5" t="str">
        <f>IFERROR(__xludf.DUMMYFUNCTION("GOOGLETRANSLATE(B16347,""en"",""zh-CN"")"),"晒伤的男人正在脱下衬衫，将其放在床上。")</f>
        <v>晒伤的男人正在脱下衬衫，将其放在床上。</v>
      </c>
    </row>
    <row r="16348">
      <c r="A16348" s="4" t="s">
        <v>20581</v>
      </c>
      <c r="B16348" s="4" t="s">
        <v>20591</v>
      </c>
      <c r="C16348" s="5" t="str">
        <f>IFERROR(__xludf.DUMMYFUNCTION("GOOGLETRANSLATE(B16348,""en"",""zh-CN"")"),"他的朋友在晒伤上帮助他用奶油。")</f>
        <v>他的朋友在晒伤上帮助他用奶油。</v>
      </c>
    </row>
    <row r="16349">
      <c r="A16349" s="4" t="s">
        <v>20581</v>
      </c>
      <c r="B16349" s="4" t="s">
        <v>20592</v>
      </c>
      <c r="C16349" s="5" t="str">
        <f>IFERROR(__xludf.DUMMYFUNCTION("GOOGLETRANSLATE(B16349,""en"",""zh-CN"")"),"那个女人坐在餐桌旁吃饭。")</f>
        <v>那个女人坐在餐桌旁吃饭。</v>
      </c>
    </row>
    <row r="16350">
      <c r="A16350" s="4" t="s">
        <v>20593</v>
      </c>
      <c r="B16350" s="6" t="s">
        <v>20594</v>
      </c>
      <c r="C16350" s="5" t="str">
        <f>IFERROR(__xludf.DUMMYFUNCTION("GOOGLETRANSLATE(B16350,""en"",""zh-CN"")"),"一个人以记录速度显示了一个男人，当时一个计时器正在进行并记录他。")</f>
        <v>一个人以记录速度显示了一个男人，当时一个计时器正在进行并记录他。</v>
      </c>
    </row>
    <row r="16351">
      <c r="A16351" s="4" t="s">
        <v>20593</v>
      </c>
      <c r="B16351" s="6" t="s">
        <v>20595</v>
      </c>
      <c r="C16351" s="5" t="str">
        <f>IFERROR(__xludf.DUMMYFUNCTION("GOOGLETRANSLATE(B16351,""en"",""zh-CN"")"),"在不久之后，还显示了另一个年轻时的球员以及第三名顾客。")</f>
        <v>在不久之后，还显示了另一个年轻时的球员以及第三名顾客。</v>
      </c>
    </row>
    <row r="16352">
      <c r="A16352" s="4" t="s">
        <v>20596</v>
      </c>
      <c r="B16352" s="4" t="s">
        <v>20597</v>
      </c>
      <c r="C16352" s="5" t="str">
        <f>IFERROR(__xludf.DUMMYFUNCTION("GOOGLETRANSLATE(B16352,""en"",""zh-CN"")"),"蜜饯在碗里，然后女人将利口酒倒在其中并混合。")</f>
        <v>蜜饯在碗里，然后女人将利口酒倒在其中并混合。</v>
      </c>
    </row>
    <row r="16353">
      <c r="A16353" s="4" t="s">
        <v>20596</v>
      </c>
      <c r="B16353" s="6" t="s">
        <v>20598</v>
      </c>
      <c r="C16353" s="5" t="str">
        <f>IFERROR(__xludf.DUMMYFUNCTION("GOOGLETRANSLATE(B16353,""en"",""zh-CN"")"),"该名女子在黄油上添加红糖，然后逐一加入鸡蛋，然后混合，然后奶油，然后奶油，面粉，小苏打，肉桂粉，然后将它们充分混合。")</f>
        <v>该名女子在黄油上添加红糖，然后逐一加入鸡蛋，然后混合，然后奶油，然后奶油，面粉，小苏打，肉桂粉，然后将它们充分混合。</v>
      </c>
    </row>
    <row r="16354">
      <c r="A16354" s="4" t="s">
        <v>20596</v>
      </c>
      <c r="B16354" s="6" t="s">
        <v>20599</v>
      </c>
      <c r="C16354" s="5" t="str">
        <f>IFERROR(__xludf.DUMMYFUNCTION("GOOGLETRANSLATE(B16354,""en"",""zh-CN"")"),"将干果混合物添加到面糊中，然后切碎的螺母，然后将其充分混合在一起。")</f>
        <v>将干果混合物添加到面糊中，然后切碎的螺母，然后将其充分混合在一起。</v>
      </c>
    </row>
    <row r="16355">
      <c r="A16355" s="4" t="s">
        <v>20596</v>
      </c>
      <c r="B16355" s="4" t="s">
        <v>20600</v>
      </c>
      <c r="C16355" s="5" t="str">
        <f>IFERROR(__xludf.DUMMYFUNCTION("GOOGLETRANSLATE(B16355,""en"",""zh-CN"")"),"面糊倒入锅中，使面糊柔滑，并确保其均匀分布。")</f>
        <v>面糊倒入锅中，使面糊柔滑，并确保其均匀分布。</v>
      </c>
    </row>
    <row r="16356">
      <c r="A16356" s="4" t="s">
        <v>20601</v>
      </c>
      <c r="B16356" s="6" t="s">
        <v>20602</v>
      </c>
      <c r="C16356" s="5" t="str">
        <f>IFERROR(__xludf.DUMMYFUNCTION("GOOGLETRANSLATE(B16356,""en"",""zh-CN"")"),"看到一个男人站着看着，然后清理保龄球，站在车道前站立。")</f>
        <v>看到一个男人站着看着，然后清理保龄球，站在车道前站立。</v>
      </c>
    </row>
    <row r="16357">
      <c r="A16357" s="4" t="s">
        <v>20601</v>
      </c>
      <c r="B16357" s="4" t="s">
        <v>20603</v>
      </c>
      <c r="C16357" s="5" t="str">
        <f>IFERROR(__xludf.DUMMYFUNCTION("GOOGLETRANSLATE(B16357,""en"",""zh-CN"")"),"该男子将球扔下，击中了几根销钉。")</f>
        <v>该男子将球扔下，击中了几根销钉。</v>
      </c>
    </row>
    <row r="16358">
      <c r="A16358" s="4" t="s">
        <v>20604</v>
      </c>
      <c r="B16358" s="4" t="s">
        <v>20605</v>
      </c>
      <c r="C16358" s="5" t="str">
        <f>IFERROR(__xludf.DUMMYFUNCTION("GOOGLETRANSLATE(B16358,""en"",""zh-CN"")"),"看到一个女孩在相机上说话，走进美发沙龙，与造型师握手。")</f>
        <v>看到一个女孩在相机上说话，走进美发沙龙，与造型师握手。</v>
      </c>
    </row>
    <row r="16359">
      <c r="A16359" s="4" t="s">
        <v>20604</v>
      </c>
      <c r="B16359" s="4" t="s">
        <v>20606</v>
      </c>
      <c r="C16359" s="5" t="str">
        <f>IFERROR(__xludf.DUMMYFUNCTION("GOOGLETRANSLATE(B16359,""en"",""zh-CN"")"),"向艺术家展示了几张镜头，然后男人开始剪掉女孩的头发。")</f>
        <v>向艺术家展示了几张镜头，然后男人开始剪掉女孩的头发。</v>
      </c>
    </row>
    <row r="16360">
      <c r="A16360" s="4" t="s">
        <v>20604</v>
      </c>
      <c r="B16360" s="4" t="s">
        <v>20607</v>
      </c>
      <c r="C16360" s="5" t="str">
        <f>IFERROR(__xludf.DUMMYFUNCTION("GOOGLETRANSLATE(B16360,""en"",""zh-CN"")"),"他递给她头发，洗头，然后剪更多的剪裁，看着镜子。")</f>
        <v>他递给她头发，洗头，然后剪更多的剪裁，看着镜子。</v>
      </c>
    </row>
    <row r="16361">
      <c r="A16361" s="4" t="s">
        <v>20604</v>
      </c>
      <c r="B16361" s="6" t="s">
        <v>20608</v>
      </c>
      <c r="C16361" s="5" t="str">
        <f>IFERROR(__xludf.DUMMYFUNCTION("GOOGLETRANSLATE(B16361,""en"",""zh-CN"")"),"最后，她的头发看起来就像艺术家一样，她被看到微笑着拥抱一个人，最后以艺术家和她的并排画面结尾。")</f>
        <v>最后，她的头发看起来就像艺术家一样，她被看到微笑着拥抱一个人，最后以艺术家和她的并排画面结尾。</v>
      </c>
    </row>
    <row r="16362">
      <c r="A16362" s="4" t="s">
        <v>20609</v>
      </c>
      <c r="B16362" s="4" t="s">
        <v>20610</v>
      </c>
      <c r="C16362" s="5" t="str">
        <f>IFERROR(__xludf.DUMMYFUNCTION("GOOGLETRANSLATE(B16362,""en"",""zh-CN"")"),"看到一个人在人群附近弯腰，开始玩一场沙芬板游戏。")</f>
        <v>看到一个人在人群附近弯腰，开始玩一场沙芬板游戏。</v>
      </c>
    </row>
    <row r="16363">
      <c r="A16363" s="4" t="s">
        <v>20609</v>
      </c>
      <c r="B16363" s="6" t="s">
        <v>20611</v>
      </c>
      <c r="C16363" s="5" t="str">
        <f>IFERROR(__xludf.DUMMYFUNCTION("GOOGLETRANSLATE(B16363,""en"",""zh-CN"")"),"人们继续在垫子上打回去，而其他人则在周围玩并走进框架。")</f>
        <v>人们继续在垫子上打回去，而其他人则在周围玩并走进框架。</v>
      </c>
    </row>
    <row r="16364">
      <c r="A16364" s="4" t="s">
        <v>20609</v>
      </c>
      <c r="B16364" s="4" t="s">
        <v>20612</v>
      </c>
      <c r="C16364" s="5" t="str">
        <f>IFERROR(__xludf.DUMMYFUNCTION("GOOGLETRANSLATE(B16364,""en"",""zh-CN"")"),"看到一个男人和女人彼此说话，并再次显示出冰球。")</f>
        <v>看到一个男人和女人彼此说话，并再次显示出冰球。</v>
      </c>
    </row>
    <row r="16365">
      <c r="A16365" s="4" t="s">
        <v>20613</v>
      </c>
      <c r="B16365" s="4" t="s">
        <v>20614</v>
      </c>
      <c r="C16365" s="5" t="str">
        <f>IFERROR(__xludf.DUMMYFUNCTION("GOOGLETRANSLATE(B16365,""en"",""zh-CN"")"),"为板球比赛显示了一个简介。")</f>
        <v>为板球比赛显示了一个简介。</v>
      </c>
    </row>
    <row r="16366">
      <c r="A16366" s="4" t="s">
        <v>20613</v>
      </c>
      <c r="B16366" s="4" t="s">
        <v>20615</v>
      </c>
      <c r="C16366" s="5" t="str">
        <f>IFERROR(__xludf.DUMMYFUNCTION("GOOGLETRANSLATE(B16366,""en"",""zh-CN"")"),"几个球员开始在场上玩板球比赛。")</f>
        <v>几个球员开始在场上玩板球比赛。</v>
      </c>
    </row>
    <row r="16367">
      <c r="A16367" s="4" t="s">
        <v>20613</v>
      </c>
      <c r="B16367" s="4" t="s">
        <v>20616</v>
      </c>
      <c r="C16367" s="5" t="str">
        <f>IFERROR(__xludf.DUMMYFUNCTION("GOOGLETRANSLATE(B16367,""en"",""zh-CN"")"),"一个人偶然发现了其中一个板球。")</f>
        <v>一个人偶然发现了其中一个板球。</v>
      </c>
    </row>
    <row r="16368">
      <c r="A16368" s="4" t="s">
        <v>20613</v>
      </c>
      <c r="B16368" s="4" t="s">
        <v>20617</v>
      </c>
      <c r="C16368" s="5" t="str">
        <f>IFERROR(__xludf.DUMMYFUNCTION("GOOGLETRANSLATE(B16368,""en"",""zh-CN"")"),"比赛结束时，玩家握手。")</f>
        <v>比赛结束时，玩家握手。</v>
      </c>
    </row>
    <row r="16369">
      <c r="A16369" s="4" t="s">
        <v>20613</v>
      </c>
      <c r="B16369" s="4" t="s">
        <v>20618</v>
      </c>
      <c r="C16369" s="5" t="str">
        <f>IFERROR(__xludf.DUMMYFUNCTION("GOOGLETRANSLATE(B16369,""en"",""zh-CN"")"),"然后在屏幕上显示游戏A的结果。")</f>
        <v>然后在屏幕上显示游戏A的结果。</v>
      </c>
    </row>
    <row r="16370">
      <c r="A16370" s="4" t="s">
        <v>20619</v>
      </c>
      <c r="B16370" s="4" t="s">
        <v>20620</v>
      </c>
      <c r="C16370" s="5" t="str">
        <f>IFERROR(__xludf.DUMMYFUNCTION("GOOGLETRANSLATE(B16370,""en"",""zh-CN"")"),"在一家名叫Skinny Ski的商店中，有一个桌子设置了桌子，上面有滑雪板所需的东西。")</f>
        <v>在一家名叫Skinny Ski的商店中，有一个桌子设置了桌子，上面有滑雪板所需的东西。</v>
      </c>
    </row>
    <row r="16371">
      <c r="A16371" s="4" t="s">
        <v>20619</v>
      </c>
      <c r="B16371" s="4" t="s">
        <v>20621</v>
      </c>
      <c r="C16371" s="5" t="str">
        <f>IFERROR(__xludf.DUMMYFUNCTION("GOOGLETRANSLATE(B16371,""en"",""zh-CN"")"),"一个人用一些设备在滑雪上融化一些蜡，几次。")</f>
        <v>一个人用一些设备在滑雪上融化一些蜡，几次。</v>
      </c>
    </row>
    <row r="16372">
      <c r="A16372" s="4" t="s">
        <v>20619</v>
      </c>
      <c r="B16372" s="6" t="s">
        <v>20622</v>
      </c>
      <c r="C16372" s="5" t="str">
        <f>IFERROR(__xludf.DUMMYFUNCTION("GOOGLETRANSLATE(B16372,""en"",""zh-CN"")"),"然后，他直接在滑雪板上使用铁，使他刚刚融化的蜡，几次。")</f>
        <v>然后，他直接在滑雪板上使用铁，使他刚刚融化的蜡，几次。</v>
      </c>
    </row>
    <row r="16373">
      <c r="A16373" s="4" t="s">
        <v>20619</v>
      </c>
      <c r="B16373" s="6" t="s">
        <v>20623</v>
      </c>
      <c r="C16373" s="5" t="str">
        <f>IFERROR(__xludf.DUMMYFUNCTION("GOOGLETRANSLATE(B16373,""en"",""zh-CN"")"),"然后，他展示了一包Dibloc Low Fluoro热蜡以及有关如何联系服务的信息。")</f>
        <v>然后，他展示了一包Dibloc Low Fluoro热蜡以及有关如何联系服务的信息。</v>
      </c>
    </row>
    <row r="16374">
      <c r="A16374" s="4" t="s">
        <v>20624</v>
      </c>
      <c r="B16374" s="4" t="s">
        <v>13124</v>
      </c>
      <c r="C16374" s="5" t="str">
        <f>IFERROR(__xludf.DUMMYFUNCTION("GOOGLETRANSLATE(B16374,""en"",""zh-CN"")"),"我们在黑色上看到标题卡。")</f>
        <v>我们在黑色上看到标题卡。</v>
      </c>
    </row>
    <row r="16375">
      <c r="A16375" s="4" t="s">
        <v>20624</v>
      </c>
      <c r="B16375" s="4" t="s">
        <v>20625</v>
      </c>
      <c r="C16375" s="5" t="str">
        <f>IFERROR(__xludf.DUMMYFUNCTION("GOOGLETRANSLATE(B16375,""en"",""zh-CN"")"),"一个男人正在用手打鼓。")</f>
        <v>一个男人正在用手打鼓。</v>
      </c>
    </row>
    <row r="16376">
      <c r="A16376" s="4" t="s">
        <v>20624</v>
      </c>
      <c r="B16376" s="4" t="s">
        <v>20626</v>
      </c>
      <c r="C16376" s="5" t="str">
        <f>IFERROR(__xludf.DUMMYFUNCTION("GOOGLETRANSLATE(B16376,""en"",""zh-CN"")"),"那个男人停下来再次玩。")</f>
        <v>那个男人停下来再次玩。</v>
      </c>
    </row>
    <row r="16377">
      <c r="A16377" s="4" t="s">
        <v>20624</v>
      </c>
      <c r="B16377" s="4" t="s">
        <v>20627</v>
      </c>
      <c r="C16377" s="5" t="str">
        <f>IFERROR(__xludf.DUMMYFUNCTION("GOOGLETRANSLATE(B16377,""en"",""zh-CN"")"),"那个男人暂停播放较慢。")</f>
        <v>那个男人暂停播放较慢。</v>
      </c>
    </row>
    <row r="16378">
      <c r="A16378" s="4" t="s">
        <v>20628</v>
      </c>
      <c r="B16378" s="4" t="s">
        <v>20629</v>
      </c>
      <c r="C16378" s="5" t="str">
        <f>IFERROR(__xludf.DUMMYFUNCTION("GOOGLETRANSLATE(B16378,""en"",""zh-CN"")"),"一名非洲裔美国男性正站在高大的岩壁旁边。")</f>
        <v>一名非洲裔美国男性正站在高大的岩壁旁边。</v>
      </c>
    </row>
    <row r="16379">
      <c r="A16379" s="4" t="s">
        <v>20628</v>
      </c>
      <c r="B16379" s="4" t="s">
        <v>20630</v>
      </c>
      <c r="C16379" s="5" t="str">
        <f>IFERROR(__xludf.DUMMYFUNCTION("GOOGLETRANSLATE(B16379,""en"",""zh-CN"")"),"该男子继续触摸岩石并开始伸展。")</f>
        <v>该男子继续触摸岩石并开始伸展。</v>
      </c>
    </row>
    <row r="16380">
      <c r="A16380" s="4" t="s">
        <v>20628</v>
      </c>
      <c r="B16380" s="6" t="s">
        <v>20631</v>
      </c>
      <c r="C16380" s="5" t="str">
        <f>IFERROR(__xludf.DUMMYFUNCTION("GOOGLETRANSLATE(B16380,""en"",""zh-CN"")"),"之后，他开始积极而凶猛地爬上墙壁，朝另一侧倒下，但他这样做没有任何绳索。")</f>
        <v>之后，他开始积极而凶猛地爬上墙壁，朝另一侧倒下，但他这样做没有任何绳索。</v>
      </c>
    </row>
    <row r="16381">
      <c r="A16381" s="4" t="s">
        <v>20632</v>
      </c>
      <c r="B16381" s="4" t="s">
        <v>20633</v>
      </c>
      <c r="C16381" s="5" t="str">
        <f>IFERROR(__xludf.DUMMYFUNCTION("GOOGLETRANSLATE(B16381,""en"",""zh-CN"")"),"一件穿着蓝色衬衫的男孩在沙滩上的沙滩上玩。")</f>
        <v>一件穿着蓝色衬衫的男孩在沙滩上的沙滩上玩。</v>
      </c>
    </row>
    <row r="16382">
      <c r="A16382" s="4" t="s">
        <v>20632</v>
      </c>
      <c r="B16382" s="4" t="s">
        <v>20634</v>
      </c>
      <c r="C16382" s="5" t="str">
        <f>IFERROR(__xludf.DUMMYFUNCTION("GOOGLETRANSLATE(B16382,""en"",""zh-CN"")"),"一个穿着白衬衫的男人站在他身后帮助他。")</f>
        <v>一个穿着白衬衫的男人站在他身后帮助他。</v>
      </c>
    </row>
    <row r="16383">
      <c r="A16383" s="4" t="s">
        <v>20632</v>
      </c>
      <c r="B16383" s="4" t="s">
        <v>20635</v>
      </c>
      <c r="C16383" s="5" t="str">
        <f>IFERROR(__xludf.DUMMYFUNCTION("GOOGLETRANSLATE(B16383,""en"",""zh-CN"")"),"一个穿着蓝色短裤的男人也在帮助男孩制作沙城堡。")</f>
        <v>一个穿着蓝色短裤的男人也在帮助男孩制作沙城堡。</v>
      </c>
    </row>
    <row r="16384">
      <c r="A16384" s="4" t="s">
        <v>20636</v>
      </c>
      <c r="B16384" s="4" t="s">
        <v>20637</v>
      </c>
      <c r="C16384" s="5" t="str">
        <f>IFERROR(__xludf.DUMMYFUNCTION("GOOGLETRANSLATE(B16384,""en"",""zh-CN"")"),"一个男人在电视节目中的大批人群面前跳舞。")</f>
        <v>一个男人在电视节目中的大批人群面前跳舞。</v>
      </c>
    </row>
    <row r="16385">
      <c r="A16385" s="4" t="s">
        <v>20636</v>
      </c>
      <c r="B16385" s="4" t="s">
        <v>20638</v>
      </c>
      <c r="C16385" s="5" t="str">
        <f>IFERROR(__xludf.DUMMYFUNCTION("GOOGLETRANSLATE(B16385,""en"",""zh-CN"")"),"当男人带领她穿过例行程序时，女人旋转。")</f>
        <v>当男人带领她穿过例行程序时，女人旋转。</v>
      </c>
    </row>
    <row r="16386">
      <c r="A16386" s="4" t="s">
        <v>20636</v>
      </c>
      <c r="B16386" s="4" t="s">
        <v>20639</v>
      </c>
      <c r="C16386" s="5" t="str">
        <f>IFERROR(__xludf.DUMMYFUNCTION("GOOGLETRANSLATE(B16386,""en"",""zh-CN"")"),"然后，她被抬起，再次旋转。")</f>
        <v>然后，她被抬起，再次旋转。</v>
      </c>
    </row>
    <row r="16387">
      <c r="A16387" s="4" t="s">
        <v>20636</v>
      </c>
      <c r="B16387" s="6" t="s">
        <v>20640</v>
      </c>
      <c r="C16387" s="5" t="str">
        <f>IFERROR(__xludf.DUMMYFUNCTION("GOOGLETRANSLATE(B16387,""en"",""zh-CN"")"),"他们在浪漫上跳舞，她在不同的时间旋转，然后在男人继续跳舞时向后倾斜。")</f>
        <v>他们在浪漫上跳舞，她在不同的时间旋转，然后在男人继续跳舞时向后倾斜。</v>
      </c>
    </row>
    <row r="16388">
      <c r="A16388" s="4" t="s">
        <v>20636</v>
      </c>
      <c r="B16388" s="4" t="s">
        <v>20641</v>
      </c>
      <c r="C16388" s="5" t="str">
        <f>IFERROR(__xludf.DUMMYFUNCTION("GOOGLETRANSLATE(B16388,""en"",""zh-CN"")"),"两位舞者互相伸出援手，例行结束。")</f>
        <v>两位舞者互相伸出援手，例行结束。</v>
      </c>
    </row>
    <row r="16389">
      <c r="A16389" s="4" t="s">
        <v>20642</v>
      </c>
      <c r="B16389" s="4" t="s">
        <v>20643</v>
      </c>
      <c r="C16389" s="5" t="str">
        <f>IFERROR(__xludf.DUMMYFUNCTION("GOOGLETRANSLATE(B16389,""en"",""zh-CN"")"),"摔跤手在男人的肩膀上吊起。")</f>
        <v>摔跤手在男人的肩膀上吊起。</v>
      </c>
    </row>
    <row r="16390">
      <c r="A16390" s="4" t="s">
        <v>20642</v>
      </c>
      <c r="B16390" s="4" t="s">
        <v>20644</v>
      </c>
      <c r="C16390" s="5" t="str">
        <f>IFERROR(__xludf.DUMMYFUNCTION("GOOGLETRANSLATE(B16390,""en"",""zh-CN"")"),"那个人把摔跤手扔在桌子上。")</f>
        <v>那个人把摔跤手扔在桌子上。</v>
      </c>
    </row>
    <row r="16391">
      <c r="A16391" s="4" t="s">
        <v>20642</v>
      </c>
      <c r="B16391" s="4" t="s">
        <v>20645</v>
      </c>
      <c r="C16391" s="5" t="str">
        <f>IFERROR(__xludf.DUMMYFUNCTION("GOOGLETRANSLATE(B16391,""en"",""zh-CN"")"),"另一个人大声鸣叫。")</f>
        <v>另一个人大声鸣叫。</v>
      </c>
    </row>
    <row r="16392">
      <c r="A16392" s="4" t="s">
        <v>20642</v>
      </c>
      <c r="B16392" s="4" t="s">
        <v>20646</v>
      </c>
      <c r="C16392" s="5" t="str">
        <f>IFERROR(__xludf.DUMMYFUNCTION("GOOGLETRANSLATE(B16392,""en"",""zh-CN"")"),"其他人之一站在受伤的人身上。")</f>
        <v>其他人之一站在受伤的人身上。</v>
      </c>
    </row>
    <row r="16393">
      <c r="A16393" s="4" t="s">
        <v>20647</v>
      </c>
      <c r="B16393" s="4" t="s">
        <v>20648</v>
      </c>
      <c r="C16393" s="5" t="str">
        <f>IFERROR(__xludf.DUMMYFUNCTION("GOOGLETRANSLATE(B16393,""en"",""zh-CN"")"),"一群男孩正在和女孩一起玩桌上足球比赛。")</f>
        <v>一群男孩正在和女孩一起玩桌上足球比赛。</v>
      </c>
    </row>
    <row r="16394">
      <c r="A16394" s="4" t="s">
        <v>20647</v>
      </c>
      <c r="B16394" s="4" t="s">
        <v>20649</v>
      </c>
      <c r="C16394" s="5" t="str">
        <f>IFERROR(__xludf.DUMMYFUNCTION("GOOGLETRANSLATE(B16394,""en"",""zh-CN"")"),"两组站在机器的两侧。")</f>
        <v>两组站在机器的两侧。</v>
      </c>
    </row>
    <row r="16395">
      <c r="A16395" s="4" t="s">
        <v>20647</v>
      </c>
      <c r="B16395" s="4" t="s">
        <v>20650</v>
      </c>
      <c r="C16395" s="5" t="str">
        <f>IFERROR(__xludf.DUMMYFUNCTION("GOOGLETRANSLATE(B16395,""en"",""zh-CN"")"),"他们用小男人来回击球。")</f>
        <v>他们用小男人来回击球。</v>
      </c>
    </row>
    <row r="16396">
      <c r="A16396" s="4" t="s">
        <v>20651</v>
      </c>
      <c r="B16396" s="4" t="s">
        <v>20652</v>
      </c>
      <c r="C16396" s="5" t="str">
        <f>IFERROR(__xludf.DUMMYFUNCTION("GOOGLETRANSLATE(B16396,""en"",""zh-CN"")"),"青少年很快就在路上竞争滑板。")</f>
        <v>青少年很快就在路上竞争滑板。</v>
      </c>
    </row>
    <row r="16397">
      <c r="A16397" s="4" t="s">
        <v>20651</v>
      </c>
      <c r="B16397" s="4" t="s">
        <v>20653</v>
      </c>
      <c r="C16397" s="5" t="str">
        <f>IFERROR(__xludf.DUMMYFUNCTION("GOOGLETRANSLATE(B16397,""en"",""zh-CN"")"),"一个少年从他的滑板上摔倒了。")</f>
        <v>一个少年从他的滑板上摔倒了。</v>
      </c>
    </row>
    <row r="16398">
      <c r="A16398" s="4" t="s">
        <v>20651</v>
      </c>
      <c r="B16398" s="4" t="s">
        <v>20654</v>
      </c>
      <c r="C16398" s="5" t="str">
        <f>IFERROR(__xludf.DUMMYFUNCTION("GOOGLETRANSLATE(B16398,""en"",""zh-CN"")"),"另一个少年落在路上。")</f>
        <v>另一个少年落在路上。</v>
      </c>
    </row>
    <row r="16399">
      <c r="A16399" s="4" t="s">
        <v>20651</v>
      </c>
      <c r="B16399" s="4" t="s">
        <v>20655</v>
      </c>
      <c r="C16399" s="5" t="str">
        <f>IFERROR(__xludf.DUMMYFUNCTION("GOOGLETRANSLATE(B16399,""en"",""zh-CN"")"),"其他青少年继续滑冰，有些人在滑冰时跌落。")</f>
        <v>其他青少年继续滑冰，有些人在滑冰时跌落。</v>
      </c>
    </row>
    <row r="16400">
      <c r="A16400" s="4" t="s">
        <v>20656</v>
      </c>
      <c r="B16400" s="4" t="s">
        <v>20657</v>
      </c>
      <c r="C16400" s="5" t="str">
        <f>IFERROR(__xludf.DUMMYFUNCTION("GOOGLETRANSLATE(B16400,""en"",""zh-CN"")"),"人们在颠簸的轨道赛道上骑自行车。")</f>
        <v>人们在颠簸的轨道赛道上骑自行车。</v>
      </c>
    </row>
    <row r="16401">
      <c r="A16401" s="4" t="s">
        <v>20656</v>
      </c>
      <c r="B16401" s="4" t="s">
        <v>20658</v>
      </c>
      <c r="C16401" s="5" t="str">
        <f>IFERROR(__xludf.DUMMYFUNCTION("GOOGLETRANSLATE(B16401,""en"",""zh-CN"")"),"然后，他们到达了人们正在洗涤比赛的终点线。")</f>
        <v>然后，他们到达了人们正在洗涤比赛的终点线。</v>
      </c>
    </row>
    <row r="16402">
      <c r="A16402" s="4" t="s">
        <v>20659</v>
      </c>
      <c r="B16402" s="6" t="s">
        <v>20660</v>
      </c>
      <c r="C16402" s="5" t="str">
        <f>IFERROR(__xludf.DUMMYFUNCTION("GOOGLETRANSLATE(B16402,""en"",""zh-CN"")"),"当一个人进球和观众欢呼时，看到一大批男人在室内领域奔跑。")</f>
        <v>当一个人进球和观众欢呼时，看到一大批男人在室内领域奔跑。</v>
      </c>
    </row>
    <row r="16403">
      <c r="A16403" s="4" t="s">
        <v>20659</v>
      </c>
      <c r="B16403" s="4" t="s">
        <v>20661</v>
      </c>
      <c r="C16403" s="5" t="str">
        <f>IFERROR(__xludf.DUMMYFUNCTION("GOOGLETRANSLATE(B16403,""en"",""zh-CN"")"),"显示了更多目标，然后显示了每个目标的镜头放慢速度。")</f>
        <v>显示了更多目标，然后显示了每个目标的镜头放慢速度。</v>
      </c>
    </row>
    <row r="16404">
      <c r="A16404" s="4" t="s">
        <v>20659</v>
      </c>
      <c r="B16404" s="6" t="s">
        <v>20662</v>
      </c>
      <c r="C16404" s="5" t="str">
        <f>IFERROR(__xludf.DUMMYFUNCTION("GOOGLETRANSLATE(B16404,""en"",""zh-CN"")"),"展示了球员的近距离，结束了一群球员，彼此拥抱和欢呼。")</f>
        <v>展示了球员的近距离，结束了一群球员，彼此拥抱和欢呼。</v>
      </c>
    </row>
    <row r="16405">
      <c r="A16405" s="4" t="s">
        <v>20663</v>
      </c>
      <c r="B16405" s="4" t="s">
        <v>20664</v>
      </c>
      <c r="C16405" s="5" t="str">
        <f>IFERROR(__xludf.DUMMYFUNCTION("GOOGLETRANSLATE(B16405,""en"",""zh-CN"")"),"一个男孩喜欢冰淇淋锥。")</f>
        <v>一个男孩喜欢冰淇淋锥。</v>
      </c>
    </row>
    <row r="16406">
      <c r="A16406" s="4" t="s">
        <v>20663</v>
      </c>
      <c r="B16406" s="4" t="s">
        <v>20665</v>
      </c>
      <c r="C16406" s="5" t="str">
        <f>IFERROR(__xludf.DUMMYFUNCTION("GOOGLETRANSLATE(B16406,""en"",""zh-CN"")"),"一个女孩吃舔，吃冰淇淋蛋筒。")</f>
        <v>一个女孩吃舔，吃冰淇淋蛋筒。</v>
      </c>
    </row>
    <row r="16407">
      <c r="A16407" s="4" t="s">
        <v>20663</v>
      </c>
      <c r="B16407" s="4" t="s">
        <v>20666</v>
      </c>
      <c r="C16407" s="5" t="str">
        <f>IFERROR(__xludf.DUMMYFUNCTION("GOOGLETRANSLATE(B16407,""en"",""zh-CN"")"),"这个男孩完成了冰淇淋锥。")</f>
        <v>这个男孩完成了冰淇淋锥。</v>
      </c>
    </row>
    <row r="16408">
      <c r="A16408" s="4" t="s">
        <v>20663</v>
      </c>
      <c r="B16408" s="4" t="s">
        <v>20667</v>
      </c>
      <c r="C16408" s="5" t="str">
        <f>IFERROR(__xludf.DUMMYFUNCTION("GOOGLETRANSLATE(B16408,""en"",""zh-CN"")"),"女孩轻轻舔冰淇淋锥。")</f>
        <v>女孩轻轻舔冰淇淋锥。</v>
      </c>
    </row>
    <row r="16409">
      <c r="A16409" s="4" t="s">
        <v>20668</v>
      </c>
      <c r="B16409" s="6" t="s">
        <v>20669</v>
      </c>
      <c r="C16409" s="5" t="str">
        <f>IFERROR(__xludf.DUMMYFUNCTION("GOOGLETRANSLATE(B16409,""en"",""zh-CN"")"),"射箭比赛开始了，蒙太奇显示了球员们躲在盾牌后面并来回射击。")</f>
        <v>射箭比赛开始了，蒙太奇显示了球员们躲在盾牌后面并来回射击。</v>
      </c>
    </row>
    <row r="16410">
      <c r="A16410" s="4" t="s">
        <v>20668</v>
      </c>
      <c r="B16410" s="4" t="s">
        <v>20670</v>
      </c>
      <c r="C16410" s="5" t="str">
        <f>IFERROR(__xludf.DUMMYFUNCTION("GOOGLETRANSLATE(B16410,""en"",""zh-CN"")"),"孩子们的父母看着战斗。")</f>
        <v>孩子们的父母看着战斗。</v>
      </c>
    </row>
    <row r="16411">
      <c r="A16411" s="4" t="s">
        <v>20671</v>
      </c>
      <c r="B16411" s="4" t="s">
        <v>20672</v>
      </c>
      <c r="C16411" s="5" t="str">
        <f>IFERROR(__xludf.DUMMYFUNCTION("GOOGLETRANSLATE(B16411,""en"",""zh-CN"")"),"一个女孩跳到平衡梁上。")</f>
        <v>一个女孩跳到平衡梁上。</v>
      </c>
    </row>
    <row r="16412">
      <c r="A16412" s="4" t="s">
        <v>20671</v>
      </c>
      <c r="B16412" s="4" t="s">
        <v>20673</v>
      </c>
      <c r="C16412" s="5" t="str">
        <f>IFERROR(__xludf.DUMMYFUNCTION("GOOGLETRANSLATE(B16412,""en"",""zh-CN"")"),"她开始在平衡梁上做例程。")</f>
        <v>她开始在平衡梁上做例程。</v>
      </c>
    </row>
    <row r="16413">
      <c r="A16413" s="4" t="s">
        <v>20671</v>
      </c>
      <c r="B16413" s="4" t="s">
        <v>20674</v>
      </c>
      <c r="C16413" s="5" t="str">
        <f>IFERROR(__xludf.DUMMYFUNCTION("GOOGLETRANSLATE(B16413,""en"",""zh-CN"")"),"她用双手在空中卸下并降落在垫子上。")</f>
        <v>她用双手在空中卸下并降落在垫子上。</v>
      </c>
    </row>
    <row r="16414">
      <c r="A16414" s="4" t="s">
        <v>20675</v>
      </c>
      <c r="B16414" s="4" t="s">
        <v>20676</v>
      </c>
      <c r="C16414" s="5" t="str">
        <f>IFERROR(__xludf.DUMMYFUNCTION("GOOGLETRANSLATE(B16414,""en"",""zh-CN"")"),"一开始，有一个女人在男人面前在舞台上跳舞。")</f>
        <v>一开始，有一个女人在男人面前在舞台上跳舞。</v>
      </c>
    </row>
    <row r="16415">
      <c r="A16415" s="4" t="s">
        <v>20675</v>
      </c>
      <c r="B16415" s="4" t="s">
        <v>20677</v>
      </c>
      <c r="C16415" s="5" t="str">
        <f>IFERROR(__xludf.DUMMYFUNCTION("GOOGLETRANSLATE(B16415,""en"",""zh-CN"")"),"有许多不同的女性在做嘻哈动作。")</f>
        <v>有许多不同的女性在做嘻哈动作。</v>
      </c>
    </row>
    <row r="16416">
      <c r="A16416" s="4" t="s">
        <v>20678</v>
      </c>
      <c r="B16416" s="4" t="s">
        <v>20679</v>
      </c>
      <c r="C16416" s="5" t="str">
        <f>IFERROR(__xludf.DUMMYFUNCTION("GOOGLETRANSLATE(B16416,""en"",""zh-CN"")"),"两个sumos猛烈地摔跤，而法官看着他们。")</f>
        <v>两个sumos猛烈地摔跤，而法官看着他们。</v>
      </c>
    </row>
    <row r="16417">
      <c r="A16417" s="4" t="s">
        <v>20678</v>
      </c>
      <c r="B16417" s="4" t="s">
        <v>20680</v>
      </c>
      <c r="C16417" s="5" t="str">
        <f>IFERROR(__xludf.DUMMYFUNCTION("GOOGLETRANSLATE(B16417,""en"",""zh-CN"")"),"然后，穿着黑色滑动的相扑将另一个相扑从戒指推出。")</f>
        <v>然后，穿着黑色滑动的相扑将另一个相扑从戒指推出。</v>
      </c>
    </row>
    <row r="16418">
      <c r="A16418" s="4" t="s">
        <v>20678</v>
      </c>
      <c r="B16418" s="4" t="s">
        <v>20681</v>
      </c>
      <c r="C16418" s="5" t="str">
        <f>IFERROR(__xludf.DUMMYFUNCTION("GOOGLETRANSLATE(B16418,""en"",""zh-CN"")"),"然后，两次相扑摔跤并与法官一起旅行，其中一个摔倒了。")</f>
        <v>然后，两次相扑摔跤并与法官一起旅行，其中一个摔倒了。</v>
      </c>
    </row>
    <row r="16419">
      <c r="A16419" s="4" t="s">
        <v>20678</v>
      </c>
      <c r="B16419" s="4" t="s">
        <v>20682</v>
      </c>
      <c r="C16419" s="5" t="str">
        <f>IFERROR(__xludf.DUMMYFUNCTION("GOOGLETRANSLATE(B16419,""en"",""zh-CN"")"),"之后，Sumosn继续摔跤，而带有黑色滑动的Sumo掉下来了。")</f>
        <v>之后，Sumosn继续摔跤，而带有黑色滑动的Sumo掉下来了。</v>
      </c>
    </row>
    <row r="16420">
      <c r="A16420" s="4" t="s">
        <v>20683</v>
      </c>
      <c r="B16420" s="4" t="s">
        <v>20684</v>
      </c>
      <c r="C16420" s="5" t="str">
        <f>IFERROR(__xludf.DUMMYFUNCTION("GOOGLETRANSLATE(B16420,""en"",""zh-CN"")"),"看到一个男人在拿着一张纸时在相机上说话。")</f>
        <v>看到一个男人在拿着一张纸时在相机上说话。</v>
      </c>
    </row>
    <row r="16421">
      <c r="A16421" s="4" t="s">
        <v>20683</v>
      </c>
      <c r="B16421" s="4" t="s">
        <v>20685</v>
      </c>
      <c r="C16421" s="5" t="str">
        <f>IFERROR(__xludf.DUMMYFUNCTION("GOOGLETRANSLATE(B16421,""en"",""zh-CN"")"),"该男子还举起剃须刀，开始在纸上写作。")</f>
        <v>该男子还举起剃须刀，开始在纸上写作。</v>
      </c>
    </row>
    <row r="16422">
      <c r="A16422" s="4" t="s">
        <v>20683</v>
      </c>
      <c r="B16422" s="4" t="s">
        <v>20686</v>
      </c>
      <c r="C16422" s="5" t="str">
        <f>IFERROR(__xludf.DUMMYFUNCTION("GOOGLETRANSLATE(B16422,""en"",""zh-CN"")"),"然后看到这个人剃光了他的脸，并以荣誉结束。")</f>
        <v>然后看到这个人剃光了他的脸，并以荣誉结束。</v>
      </c>
    </row>
    <row r="16423">
      <c r="A16423" s="4" t="s">
        <v>20687</v>
      </c>
      <c r="B16423" s="4" t="s">
        <v>20688</v>
      </c>
      <c r="C16423" s="5" t="str">
        <f>IFERROR(__xludf.DUMMYFUNCTION("GOOGLETRANSLATE(B16423,""en"",""zh-CN"")"),"我们看到一位女士在浴室里聊天。")</f>
        <v>我们看到一位女士在浴室里聊天。</v>
      </c>
    </row>
    <row r="16424">
      <c r="A16424" s="4" t="s">
        <v>20687</v>
      </c>
      <c r="B16424" s="4" t="s">
        <v>20689</v>
      </c>
      <c r="C16424" s="5" t="str">
        <f>IFERROR(__xludf.DUMMYFUNCTION("GOOGLETRANSLATE(B16424,""en"",""zh-CN"")"),"她向我们展示了她的吹干盒。")</f>
        <v>她向我们展示了她的吹干盒。</v>
      </c>
    </row>
    <row r="16425">
      <c r="A16425" s="4" t="s">
        <v>20687</v>
      </c>
      <c r="B16425" s="4" t="s">
        <v>20690</v>
      </c>
      <c r="C16425" s="5" t="str">
        <f>IFERROR(__xludf.DUMMYFUNCTION("GOOGLETRANSLATE(B16425,""en"",""zh-CN"")"),"她将吹风机盒带回视野。")</f>
        <v>她将吹风机盒带回视野。</v>
      </c>
    </row>
    <row r="16426">
      <c r="A16426" s="4" t="s">
        <v>20687</v>
      </c>
      <c r="B16426" s="4" t="s">
        <v>20691</v>
      </c>
      <c r="C16426" s="5" t="str">
        <f>IFERROR(__xludf.DUMMYFUNCTION("GOOGLETRANSLATE(B16426,""en"",""zh-CN"")"),"那位女士抓住并抬起头发。")</f>
        <v>那位女士抓住并抬起头发。</v>
      </c>
    </row>
    <row r="16427">
      <c r="A16427" s="4" t="s">
        <v>20687</v>
      </c>
      <c r="B16427" s="4" t="s">
        <v>20692</v>
      </c>
      <c r="C16427" s="5" t="str">
        <f>IFERROR(__xludf.DUMMYFUNCTION("GOOGLETRANSLATE(B16427,""en"",""zh-CN"")"),"女士向我们展示了烘干机附件和干衣机。")</f>
        <v>女士向我们展示了烘干机附件和干衣机。</v>
      </c>
    </row>
    <row r="16428">
      <c r="A16428" s="4" t="s">
        <v>20687</v>
      </c>
      <c r="B16428" s="4" t="s">
        <v>20693</v>
      </c>
      <c r="C16428" s="5" t="str">
        <f>IFERROR(__xludf.DUMMYFUNCTION("GOOGLETRANSLATE(B16428,""en"",""zh-CN"")"),"女士刷子听到头发并添加了吹气的头发。")</f>
        <v>女士刷子听到头发并添加了吹气的头发。</v>
      </c>
    </row>
    <row r="16429">
      <c r="A16429" s="4" t="s">
        <v>20694</v>
      </c>
      <c r="B16429" s="6" t="s">
        <v>20695</v>
      </c>
      <c r="C16429" s="5" t="str">
        <f>IFERROR(__xludf.DUMMYFUNCTION("GOOGLETRANSLATE(B16429,""en"",""zh-CN"")"),"显示了一台计算机的特写，后面是一个男人走进框架并唱歌到麦克风中。")</f>
        <v>显示了一台计算机的特写，后面是一个男人走进框架并唱歌到麦克风中。</v>
      </c>
    </row>
    <row r="16430">
      <c r="A16430" s="4" t="s">
        <v>20694</v>
      </c>
      <c r="B16430" s="4" t="s">
        <v>20696</v>
      </c>
      <c r="C16430" s="5" t="str">
        <f>IFERROR(__xludf.DUMMYFUNCTION("GOOGLETRANSLATE(B16430,""en"",""zh-CN"")"),"该男子继续唱歌，而相机捕捉到他并最终淡化了黑色。")</f>
        <v>该男子继续唱歌，而相机捕捉到他并最终淡化了黑色。</v>
      </c>
    </row>
    <row r="16431">
      <c r="A16431" s="4" t="s">
        <v>20697</v>
      </c>
      <c r="B16431" s="4" t="s">
        <v>20698</v>
      </c>
      <c r="C16431" s="5" t="str">
        <f>IFERROR(__xludf.DUMMYFUNCTION("GOOGLETRANSLATE(B16431,""en"",""zh-CN"")"),"一位老妇人在马拉松比赛中竞选，那里有很多人参加。")</f>
        <v>一位老妇人在马拉松比赛中竞选，那里有很多人参加。</v>
      </c>
    </row>
    <row r="16432">
      <c r="A16432" s="4" t="s">
        <v>20697</v>
      </c>
      <c r="B16432" s="4" t="s">
        <v>20699</v>
      </c>
      <c r="C16432" s="5" t="str">
        <f>IFERROR(__xludf.DUMMYFUNCTION("GOOGLETRANSLATE(B16432,""en"",""zh-CN"")"),"然后，女人越过终点线，人们帮助她。")</f>
        <v>然后，女人越过终点线，人们帮助她。</v>
      </c>
    </row>
    <row r="16433">
      <c r="A16433" s="4" t="s">
        <v>20697</v>
      </c>
      <c r="B16433" s="4" t="s">
        <v>20700</v>
      </c>
      <c r="C16433" s="5" t="str">
        <f>IFERROR(__xludf.DUMMYFUNCTION("GOOGLETRANSLATE(B16433,""en"",""zh-CN"")"),"当人们到达时，摄影师在终点线上拍摄。")</f>
        <v>当人们到达时，摄影师在终点线上拍摄。</v>
      </c>
    </row>
    <row r="16434">
      <c r="A16434" s="4" t="s">
        <v>20697</v>
      </c>
      <c r="B16434" s="4" t="s">
        <v>20701</v>
      </c>
      <c r="C16434" s="5" t="str">
        <f>IFERROR(__xludf.DUMMYFUNCTION("GOOGLETRANSLATE(B16434,""en"",""zh-CN"")"),"越过终点线时，一个女人举起手臂。")</f>
        <v>越过终点线时，一个女人举起手臂。</v>
      </c>
    </row>
    <row r="16435">
      <c r="A16435" s="4" t="s">
        <v>20702</v>
      </c>
      <c r="B16435" s="4" t="s">
        <v>20703</v>
      </c>
      <c r="C16435" s="5" t="str">
        <f>IFERROR(__xludf.DUMMYFUNCTION("GOOGLETRANSLATE(B16435,""en"",""zh-CN"")"),"一个穿着黑色Speedo的非常大的男人站在摔跤的溜冰场上。")</f>
        <v>一个穿着黑色Speedo的非常大的男人站在摔跤的溜冰场上。</v>
      </c>
    </row>
    <row r="16436">
      <c r="A16436" s="4" t="s">
        <v>20702</v>
      </c>
      <c r="B16436" s="6" t="s">
        <v>20704</v>
      </c>
      <c r="C16436" s="5" t="str">
        <f>IFERROR(__xludf.DUMMYFUNCTION("GOOGLETRANSLATE(B16436,""en"",""zh-CN"")"),"一个裁判走过那个男人，一个从地面上的男人站起来，那个大男人踢他，捡起他，然后将他猛撞到溜冰场上。")</f>
        <v>一个裁判走过那个男人，一个从地面上的男人站起来，那个大男人踢他，捡起他，然后将他猛撞到溜冰场上。</v>
      </c>
    </row>
    <row r="16437">
      <c r="A16437" s="4" t="s">
        <v>20702</v>
      </c>
      <c r="B16437" s="4" t="s">
        <v>20705</v>
      </c>
      <c r="C16437" s="5" t="str">
        <f>IFERROR(__xludf.DUMMYFUNCTION("GOOGLETRANSLATE(B16437,""en"",""zh-CN"")"),"那个男人只是躺在那里扭动痛苦。")</f>
        <v>那个男人只是躺在那里扭动痛苦。</v>
      </c>
    </row>
    <row r="16438">
      <c r="A16438" s="4" t="s">
        <v>20706</v>
      </c>
      <c r="B16438" s="6" t="s">
        <v>20707</v>
      </c>
      <c r="C16438" s="5" t="str">
        <f>IFERROR(__xludf.DUMMYFUNCTION("GOOGLETRANSLATE(B16438,""en"",""zh-CN"")"),"看到两名妇女互相讲话，并导致她们互相表演武术。")</f>
        <v>看到两名妇女互相讲话，并导致她们互相表演武术。</v>
      </c>
    </row>
    <row r="16439">
      <c r="A16439" s="4" t="s">
        <v>20706</v>
      </c>
      <c r="B16439" s="6" t="s">
        <v>20708</v>
      </c>
      <c r="C16439" s="5" t="str">
        <f>IFERROR(__xludf.DUMMYFUNCTION("GOOGLETRANSLATE(B16439,""en"",""zh-CN"")"),"女孩们继续战斗，并导致一个坐下，而另一个则继续进行动作。")</f>
        <v>女孩们继续战斗，并导致一个坐下，而另一个则继续进行动作。</v>
      </c>
    </row>
    <row r="16440">
      <c r="A16440" s="4" t="s">
        <v>20709</v>
      </c>
      <c r="B16440" s="4" t="s">
        <v>20710</v>
      </c>
      <c r="C16440" s="5" t="str">
        <f>IFERROR(__xludf.DUMMYFUNCTION("GOOGLETRANSLATE(B16440,""en"",""zh-CN"")"),"一名穿着红色服装的女孩在户外网球比赛中将球提供给她的朋友。")</f>
        <v>一名穿着红色服装的女孩在户外网球比赛中将球提供给她的朋友。</v>
      </c>
    </row>
    <row r="16441">
      <c r="A16441" s="4" t="s">
        <v>20709</v>
      </c>
      <c r="B16441" s="4" t="s">
        <v>20711</v>
      </c>
      <c r="C16441" s="5" t="str">
        <f>IFERROR(__xludf.DUMMYFUNCTION("GOOGLETRANSLATE(B16441,""en"",""zh-CN"")"),"朋友返回球，两个人打了一轮网球。")</f>
        <v>朋友返回球，两个人打了一轮网球。</v>
      </c>
    </row>
    <row r="16442">
      <c r="A16442" s="4" t="s">
        <v>20709</v>
      </c>
      <c r="B16442" s="4" t="s">
        <v>20712</v>
      </c>
      <c r="C16442" s="5" t="str">
        <f>IFERROR(__xludf.DUMMYFUNCTION("GOOGLETRANSLATE(B16442,""en"",""zh-CN"")"),"球被网偏转，伴侣输掉了圆。")</f>
        <v>球被网偏转，伴侣输掉了圆。</v>
      </c>
    </row>
    <row r="16443">
      <c r="A16443" s="4" t="s">
        <v>20713</v>
      </c>
      <c r="B16443" s="4" t="s">
        <v>20714</v>
      </c>
      <c r="C16443" s="5" t="str">
        <f>IFERROR(__xludf.DUMMYFUNCTION("GOOGLETRANSLATE(B16443,""en"",""zh-CN"")"),"几个人站在码头上。")</f>
        <v>几个人站在码头上。</v>
      </c>
    </row>
    <row r="16444">
      <c r="A16444" s="4" t="s">
        <v>20713</v>
      </c>
      <c r="B16444" s="4" t="s">
        <v>20715</v>
      </c>
      <c r="C16444" s="5" t="str">
        <f>IFERROR(__xludf.DUMMYFUNCTION("GOOGLETRANSLATE(B16444,""en"",""zh-CN"")"),"其中一个人赤着拳。")</f>
        <v>其中一个人赤着拳。</v>
      </c>
    </row>
    <row r="16445">
      <c r="A16445" s="4" t="s">
        <v>20713</v>
      </c>
      <c r="B16445" s="4" t="s">
        <v>20716</v>
      </c>
      <c r="C16445" s="5" t="str">
        <f>IFERROR(__xludf.DUMMYFUNCTION("GOOGLETRANSLATE(B16445,""en"",""zh-CN"")"),"他们带出了一些生肉。")</f>
        <v>他们带出了一些生肉。</v>
      </c>
    </row>
    <row r="16446">
      <c r="A16446" s="4" t="s">
        <v>20713</v>
      </c>
      <c r="B16446" s="4" t="s">
        <v>20717</v>
      </c>
      <c r="C16446" s="5" t="str">
        <f>IFERROR(__xludf.DUMMYFUNCTION("GOOGLETRANSLATE(B16446,""en"",""zh-CN"")"),"其中一个人加入董事会并做技巧。")</f>
        <v>其中一个人加入董事会并做技巧。</v>
      </c>
    </row>
    <row r="16447">
      <c r="A16447" s="4" t="s">
        <v>20718</v>
      </c>
      <c r="B16447" s="4" t="s">
        <v>20719</v>
      </c>
      <c r="C16447" s="5" t="str">
        <f>IFERROR(__xludf.DUMMYFUNCTION("GOOGLETRANSLATE(B16447,""en"",""zh-CN"")"),"一群人坐在马上坐在架子上，休息。")</f>
        <v>一群人坐在马上坐在架子上，休息。</v>
      </c>
    </row>
    <row r="16448">
      <c r="A16448" s="4" t="s">
        <v>20718</v>
      </c>
      <c r="B16448" s="4" t="s">
        <v>20720</v>
      </c>
      <c r="C16448" s="5" t="str">
        <f>IFERROR(__xludf.DUMMYFUNCTION("GOOGLETRANSLATE(B16448,""en"",""zh-CN"")"),"小组沿着小径骑马。")</f>
        <v>小组沿着小径骑马。</v>
      </c>
    </row>
    <row r="16449">
      <c r="A16449" s="4" t="s">
        <v>20721</v>
      </c>
      <c r="B16449" s="4" t="s">
        <v>20722</v>
      </c>
      <c r="C16449" s="5" t="str">
        <f>IFERROR(__xludf.DUMMYFUNCTION("GOOGLETRANSLATE(B16449,""en"",""zh-CN"")"),"看到一个女人在摄像机和车上的其他人讲话。")</f>
        <v>看到一个女人在摄像机和车上的其他人讲话。</v>
      </c>
    </row>
    <row r="16450">
      <c r="A16450" s="4" t="s">
        <v>20721</v>
      </c>
      <c r="B16450" s="4" t="s">
        <v>20723</v>
      </c>
      <c r="C16450" s="5" t="str">
        <f>IFERROR(__xludf.DUMMYFUNCTION("GOOGLETRANSLATE(B16450,""en"",""zh-CN"")"),"她和她的朋友的镜头通过框架显示，并导致他们看着纹身。")</f>
        <v>她和她的朋友的镜头通过框架显示，并导致他们看着纹身。</v>
      </c>
    </row>
    <row r="16451">
      <c r="A16451" s="4" t="s">
        <v>20721</v>
      </c>
      <c r="B16451" s="6" t="s">
        <v>20724</v>
      </c>
      <c r="C16451" s="5" t="str">
        <f>IFERROR(__xludf.DUMMYFUNCTION("GOOGLETRANSLATE(B16451,""en"",""zh-CN"")"),"他们显示在车上唱歌，并在与镜头说话时等待纹身。")</f>
        <v>他们显示在车上唱歌，并在与镜头说话时等待纹身。</v>
      </c>
    </row>
    <row r="16452">
      <c r="A16452" s="4" t="s">
        <v>20721</v>
      </c>
      <c r="B16452" s="6" t="s">
        <v>20725</v>
      </c>
      <c r="C16452" s="5" t="str">
        <f>IFERROR(__xludf.DUMMYFUNCTION("GOOGLETRANSLATE(B16452,""en"",""zh-CN"")"),"然后，每个女孩都显示了纹身，并以纹身的照片结尾。")</f>
        <v>然后，每个女孩都显示了纹身，并以纹身的照片结尾。</v>
      </c>
    </row>
    <row r="16453">
      <c r="A16453" s="4" t="s">
        <v>20726</v>
      </c>
      <c r="B16453" s="4" t="s">
        <v>20727</v>
      </c>
      <c r="C16453" s="5" t="str">
        <f>IFERROR(__xludf.DUMMYFUNCTION("GOOGLETRANSLATE(B16453,""en"",""zh-CN"")"),"一个穿着粉红色和白色衬衫和黑色紧身裤的女人站在她的前院。")</f>
        <v>一个穿着粉红色和白色衬衫和黑色紧身裤的女人站在她的前院。</v>
      </c>
    </row>
    <row r="16454">
      <c r="A16454" s="4" t="s">
        <v>20726</v>
      </c>
      <c r="B16454" s="4" t="s">
        <v>20728</v>
      </c>
      <c r="C16454" s="5" t="str">
        <f>IFERROR(__xludf.DUMMYFUNCTION("GOOGLETRANSLATE(B16454,""en"",""zh-CN"")"),"她在她的身上拿着两个警棍，然后旋转。")</f>
        <v>她在她的身上拿着两个警棍，然后旋转。</v>
      </c>
    </row>
    <row r="16455">
      <c r="A16455" s="4" t="s">
        <v>20726</v>
      </c>
      <c r="B16455" s="4" t="s">
        <v>20729</v>
      </c>
      <c r="C16455" s="5" t="str">
        <f>IFERROR(__xludf.DUMMYFUNCTION("GOOGLETRANSLATE(B16455,""en"",""zh-CN"")"),"当她双手旋转警棍时，她旋转着自己的身体，转身几次。")</f>
        <v>当她双手旋转警棍时，她旋转着自己的身体，转身几次。</v>
      </c>
    </row>
    <row r="16456">
      <c r="A16456" s="4" t="s">
        <v>20726</v>
      </c>
      <c r="B16456" s="4" t="s">
        <v>20730</v>
      </c>
      <c r="C16456" s="5" t="str">
        <f>IFERROR(__xludf.DUMMYFUNCTION("GOOGLETRANSLATE(B16456,""en"",""zh-CN"")"),"她还来回移动脚，旋转时走路并抬起脚。")</f>
        <v>她还来回移动脚，旋转时走路并抬起脚。</v>
      </c>
    </row>
    <row r="16457">
      <c r="A16457" s="4" t="s">
        <v>20726</v>
      </c>
      <c r="B16457" s="4" t="s">
        <v>20731</v>
      </c>
      <c r="C16457" s="5" t="str">
        <f>IFERROR(__xludf.DUMMYFUNCTION("GOOGLETRANSLATE(B16457,""en"",""zh-CN"")"),"然后，她从腿下面扔下警棍，用另一只手抓住它。")</f>
        <v>然后，她从腿下面扔下警棍，用另一只手抓住它。</v>
      </c>
    </row>
    <row r="16458">
      <c r="A16458" s="4" t="s">
        <v>20726</v>
      </c>
      <c r="B16458" s="4" t="s">
        <v>20732</v>
      </c>
      <c r="C16458" s="5" t="str">
        <f>IFERROR(__xludf.DUMMYFUNCTION("GOOGLETRANSLATE(B16458,""en"",""zh-CN"")"),"她继续旋转着一棵阴暗的树附近的接力棒。")</f>
        <v>她继续旋转着一棵阴暗的树附近的接力棒。</v>
      </c>
    </row>
    <row r="16459">
      <c r="A16459" s="4" t="s">
        <v>20726</v>
      </c>
      <c r="B16459" s="4" t="s">
        <v>20733</v>
      </c>
      <c r="C16459" s="5" t="str">
        <f>IFERROR(__xludf.DUMMYFUNCTION("GOOGLETRANSLATE(B16459,""en"",""zh-CN"")"),"当她旋转警棍时，她转过身来。")</f>
        <v>当她旋转警棍时，她转过身来。</v>
      </c>
    </row>
    <row r="16460">
      <c r="A16460" s="4" t="s">
        <v>20726</v>
      </c>
      <c r="B16460" s="4" t="s">
        <v>20734</v>
      </c>
      <c r="C16460" s="5" t="str">
        <f>IFERROR(__xludf.DUMMYFUNCTION("GOOGLETRANSLATE(B16460,""en"",""zh-CN"")"),"她终于鞠躬，将警棍笔直地握在手中。")</f>
        <v>她终于鞠躬，将警棍笔直地握在手中。</v>
      </c>
    </row>
    <row r="16461">
      <c r="A16461" s="4" t="s">
        <v>20735</v>
      </c>
      <c r="B16461" s="4" t="s">
        <v>20736</v>
      </c>
      <c r="C16461" s="5" t="str">
        <f>IFERROR(__xludf.DUMMYFUNCTION("GOOGLETRANSLATE(B16461,""en"",""zh-CN"")"),"我们看到水流过河。")</f>
        <v>我们看到水流过河。</v>
      </c>
    </row>
    <row r="16462">
      <c r="A16462" s="4" t="s">
        <v>20735</v>
      </c>
      <c r="B16462" s="4" t="s">
        <v>20737</v>
      </c>
      <c r="C16462" s="5" t="str">
        <f>IFERROR(__xludf.DUMMYFUNCTION("GOOGLETRANSLATE(B16462,""en"",""zh-CN"")"),"标题出现在屏幕上。")</f>
        <v>标题出现在屏幕上。</v>
      </c>
    </row>
    <row r="16463">
      <c r="A16463" s="4" t="s">
        <v>20735</v>
      </c>
      <c r="B16463" s="4" t="s">
        <v>20738</v>
      </c>
      <c r="C16463" s="5" t="str">
        <f>IFERROR(__xludf.DUMMYFUNCTION("GOOGLETRANSLATE(B16463,""en"",""zh-CN"")"),"独木舟中的一个人越过瀑布。")</f>
        <v>独木舟中的一个人越过瀑布。</v>
      </c>
    </row>
    <row r="16464">
      <c r="A16464" s="4" t="s">
        <v>20735</v>
      </c>
      <c r="B16464" s="4" t="s">
        <v>20739</v>
      </c>
      <c r="C16464" s="5" t="str">
        <f>IFERROR(__xludf.DUMMYFUNCTION("GOOGLETRANSLATE(B16464,""en"",""zh-CN"")"),"该人骑着河的急流。")</f>
        <v>该人骑着河的急流。</v>
      </c>
    </row>
    <row r="16465">
      <c r="A16465" s="4" t="s">
        <v>20735</v>
      </c>
      <c r="B16465" s="4" t="s">
        <v>20740</v>
      </c>
      <c r="C16465" s="5" t="str">
        <f>IFERROR(__xludf.DUMMYFUNCTION("GOOGLETRANSLATE(B16465,""en"",""zh-CN"")"),"我们看到人们在河岸上的一块岩石上看着划独木舟。")</f>
        <v>我们看到人们在河岸上的一块岩石上看着划独木舟。</v>
      </c>
    </row>
    <row r="16466">
      <c r="A16466" s="4" t="s">
        <v>20735</v>
      </c>
      <c r="B16466" s="4" t="s">
        <v>20741</v>
      </c>
      <c r="C16466" s="5" t="str">
        <f>IFERROR(__xludf.DUMMYFUNCTION("GOOGLETRANSLATE(B16466,""en"",""zh-CN"")"),"独木舟中的人微笑并与镜头交谈。")</f>
        <v>独木舟中的人微笑并与镜头交谈。</v>
      </c>
    </row>
    <row r="16467">
      <c r="A16467" s="4" t="s">
        <v>20742</v>
      </c>
      <c r="B16467" s="6" t="s">
        <v>20743</v>
      </c>
      <c r="C16467" s="5" t="str">
        <f>IFERROR(__xludf.DUMMYFUNCTION("GOOGLETRANSLATE(B16467,""en"",""zh-CN"")"),"显示了一个轮胎的近距离，后面是一个在轮胎上工作的男人，并在相机上接受采访。")</f>
        <v>显示了一个轮胎的近距离，后面是一个在轮胎上工作的男人，并在相机上接受采访。</v>
      </c>
    </row>
    <row r="16468">
      <c r="A16468" s="4" t="s">
        <v>20742</v>
      </c>
      <c r="B16468" s="6" t="s">
        <v>20744</v>
      </c>
      <c r="C16468" s="5" t="str">
        <f>IFERROR(__xludf.DUMMYFUNCTION("GOOGLETRANSLATE(B16468,""en"",""zh-CN"")"),"摄像机从几个角度捕获了轮胎上的工具，并将汽车抬起下方工作。")</f>
        <v>摄像机从几个角度捕获了轮胎上的工具，并将汽车抬起下方工作。</v>
      </c>
    </row>
    <row r="16469">
      <c r="A16469" s="4" t="s">
        <v>20742</v>
      </c>
      <c r="B16469" s="6" t="s">
        <v>20745</v>
      </c>
      <c r="C16469" s="5" t="str">
        <f>IFERROR(__xludf.DUMMYFUNCTION("GOOGLETRANSLATE(B16469,""en"",""zh-CN"")"),"如图所示的那些工作的人的更多镜头在相机上说话，并以褪色为白色。")</f>
        <v>如图所示的那些工作的人的更多镜头在相机上说话，并以褪色为白色。</v>
      </c>
    </row>
    <row r="16470">
      <c r="A16470" s="4" t="s">
        <v>20746</v>
      </c>
      <c r="B16470" s="6" t="s">
        <v>20747</v>
      </c>
      <c r="C16470" s="5" t="str">
        <f>IFERROR(__xludf.DUMMYFUNCTION("GOOGLETRANSLATE(B16470,""en"",""zh-CN"")"),"一个男人和女人穿着红夹克，男人在欢呼，当女人正在使用iPad拍摄视频时，她的脸上看上去很认真，女人把iPad交给了男人。")</f>
        <v>一个男人和女人穿着红夹克，男人在欢呼，当女人正在使用iPad拍摄视频时，她的脸上看上去很认真，女人把iPad交给了男人。</v>
      </c>
    </row>
    <row r="16471">
      <c r="A16471" s="4" t="s">
        <v>20746</v>
      </c>
      <c r="B16471" s="6" t="s">
        <v>20748</v>
      </c>
      <c r="C16471" s="5" t="str">
        <f>IFERROR(__xludf.DUMMYFUNCTION("GOOGLETRANSLATE(B16471,""en"",""zh-CN"")"),"一个女人正在捡起一根杆子，将其放在较大的杆子里，一个穿着蓝色外套的男人从地上抬起头来。")</f>
        <v>一个女人正在捡起一根杆子，将其放在较大的杆子里，一个穿着蓝色外套的男人从地上抬起头来。</v>
      </c>
    </row>
    <row r="16472">
      <c r="A16472" s="4" t="s">
        <v>20746</v>
      </c>
      <c r="B16472" s="6" t="s">
        <v>20749</v>
      </c>
      <c r="C16472" s="5" t="str">
        <f>IFERROR(__xludf.DUMMYFUNCTION("GOOGLETRANSLATE(B16472,""en"",""zh-CN"")"),"一位穿着红色和蓝色上衣的男运动员，蓝色短裤跑，跳了起来，跳上了18号沙子，然后站起来，绕着草地走来走去，朝着一群人走去。")</f>
        <v>一位穿着红色和蓝色上衣的男运动员，蓝色短裤跑，跳了起来，跳上了18号沙子，然后站起来，绕着草地走来走去，朝着一群人走去。</v>
      </c>
    </row>
    <row r="16473">
      <c r="A16473" s="4" t="s">
        <v>20746</v>
      </c>
      <c r="B16473" s="6" t="s">
        <v>20750</v>
      </c>
      <c r="C16473" s="5" t="str">
        <f>IFERROR(__xludf.DUMMYFUNCTION("GOOGLETRANSLATE(B16473,""en"",""zh-CN"")"),"一名戴着蓝色上衣的男运动员跑到车道上，经过白线并跳到沙子后开始跳跃，撞到沙质地面，然后站起来，然后走到田径场。")</f>
        <v>一名戴着蓝色上衣的男运动员跑到车道上，经过白线并跳到沙子后开始跳跃，撞到沙质地面，然后站起来，然后走到田径场。</v>
      </c>
    </row>
    <row r="16474">
      <c r="A16474" s="4" t="s">
        <v>20746</v>
      </c>
      <c r="B16474" s="6" t="s">
        <v>20751</v>
      </c>
      <c r="C16474" s="5" t="str">
        <f>IFERROR(__xludf.DUMMYFUNCTION("GOOGLETRANSLATE(B16474,""en"",""zh-CN"")"),"一名穿着红色和蓝色制服的男性运动员开始跑到田野里，当白线经过时跳了起来，然后跳到桑迪地面的床上，撞到了地面，跌倒在身边，站起来，走向田野。")</f>
        <v>一名穿着红色和蓝色制服的男性运动员开始跑到田野里，当白线经过时跳了起来，然后跳到桑迪地面的床上，撞到了地面，跌倒在身边，站起来，走向田野。</v>
      </c>
    </row>
    <row r="16475">
      <c r="A16475" s="4" t="s">
        <v>20746</v>
      </c>
      <c r="B16475" s="4" t="s">
        <v>20752</v>
      </c>
      <c r="C16475" s="5" t="str">
        <f>IFERROR(__xludf.DUMMYFUNCTION("GOOGLETRANSLATE(B16475,""en"",""zh-CN"")"),"显示了一个红色上衣的女人。")</f>
        <v>显示了一个红色上衣的女人。</v>
      </c>
    </row>
    <row r="16476">
      <c r="A16476" s="4" t="s">
        <v>20753</v>
      </c>
      <c r="B16476" s="6" t="s">
        <v>20754</v>
      </c>
      <c r="C16476" s="5" t="str">
        <f>IFERROR(__xludf.DUMMYFUNCTION("GOOGLETRANSLATE(B16476,""en"",""zh-CN"")"),"一个女人坐在医院的床上，嘴里有剃刀手柄，周围的人将头发从脸上移出。")</f>
        <v>一个女人坐在医院的床上，嘴里有剃刀手柄，周围的人将头发从脸上移出。</v>
      </c>
    </row>
    <row r="16477">
      <c r="A16477" s="4" t="s">
        <v>20753</v>
      </c>
      <c r="B16477" s="6" t="s">
        <v>20755</v>
      </c>
      <c r="C16477" s="5" t="str">
        <f>IFERROR(__xludf.DUMMYFUNCTION("GOOGLETRANSLATE(B16477,""en"",""zh-CN"")"),"然后，那个女人开始将剃须刀拉到左腿的一部分，她可以通过弯曲到达。")</f>
        <v>然后，那个女人开始将剃须刀拉到左腿的一部分，她可以通过弯曲到达。</v>
      </c>
    </row>
    <row r="16478">
      <c r="A16478" s="4" t="s">
        <v>20753</v>
      </c>
      <c r="B16478" s="6" t="s">
        <v>20756</v>
      </c>
      <c r="C16478" s="5" t="str">
        <f>IFERROR(__xludf.DUMMYFUNCTION("GOOGLETRANSLATE(B16478,""en"",""zh-CN"")"),"那个女人然后用右手从嘴里抓住剃刀，开始剃掉左腿。")</f>
        <v>那个女人然后用右手从嘴里抓住剃刀，开始剃掉左腿。</v>
      </c>
    </row>
    <row r="16479">
      <c r="A16479" s="4" t="s">
        <v>20753</v>
      </c>
      <c r="B16479" s="6" t="s">
        <v>20757</v>
      </c>
      <c r="C16479" s="5" t="str">
        <f>IFERROR(__xludf.DUMMYFUNCTION("GOOGLETRANSLATE(B16479,""en"",""zh-CN"")"),"那个女人把剃刀手柄放回嘴里，试图再次剃须，但它从嘴里掉下来，她沮丧地掉下头，然后向后靠在床上，笑了，然后握住了她的手臂。")</f>
        <v>那个女人把剃刀手柄放回嘴里，试图再次剃须，但它从嘴里掉下来，她沮丧地掉下头，然后向后靠在床上，笑了，然后握住了她的手臂。</v>
      </c>
    </row>
    <row r="16480">
      <c r="A16480" s="4" t="s">
        <v>20758</v>
      </c>
      <c r="B16480" s="4" t="s">
        <v>20759</v>
      </c>
      <c r="C16480" s="5" t="str">
        <f>IFERROR(__xludf.DUMMYFUNCTION("GOOGLETRANSLATE(B16480,""en"",""zh-CN"")"),"一个戴着黑帽子的男人站在街上。")</f>
        <v>一个戴着黑帽子的男人站在街上。</v>
      </c>
    </row>
    <row r="16481">
      <c r="A16481" s="4" t="s">
        <v>20758</v>
      </c>
      <c r="B16481" s="4" t="s">
        <v>20760</v>
      </c>
      <c r="C16481" s="5" t="str">
        <f>IFERROR(__xludf.DUMMYFUNCTION("GOOGLETRANSLATE(B16481,""en"",""zh-CN"")"),"一个人开始在街上跳舞。")</f>
        <v>一个人开始在街上跳舞。</v>
      </c>
    </row>
    <row r="16482">
      <c r="A16482" s="4" t="s">
        <v>20758</v>
      </c>
      <c r="B16482" s="4" t="s">
        <v>20761</v>
      </c>
      <c r="C16482" s="5" t="str">
        <f>IFERROR(__xludf.DUMMYFUNCTION("GOOGLETRANSLATE(B16482,""en"",""zh-CN"")"),"一个男人开始在汽车前跳舞。")</f>
        <v>一个男人开始在汽车前跳舞。</v>
      </c>
    </row>
    <row r="16483">
      <c r="A16483" s="4" t="s">
        <v>20762</v>
      </c>
      <c r="B16483" s="4" t="s">
        <v>20763</v>
      </c>
      <c r="C16483" s="5" t="str">
        <f>IFERROR(__xludf.DUMMYFUNCTION("GOOGLETRANSLATE(B16483,""en"",""zh-CN"")"),"一个戴着眼镜的男人正在拿着书和说话。")</f>
        <v>一个戴着眼镜的男人正在拿着书和说话。</v>
      </c>
    </row>
    <row r="16484">
      <c r="A16484" s="4" t="s">
        <v>20762</v>
      </c>
      <c r="B16484" s="4" t="s">
        <v>20764</v>
      </c>
      <c r="C16484" s="5" t="str">
        <f>IFERROR(__xludf.DUMMYFUNCTION("GOOGLETRANSLATE(B16484,""en"",""zh-CN"")"),"他被证明进入保龄球馆。")</f>
        <v>他被证明进入保龄球馆。</v>
      </c>
    </row>
    <row r="16485">
      <c r="A16485" s="4" t="s">
        <v>20762</v>
      </c>
      <c r="B16485" s="4" t="s">
        <v>20765</v>
      </c>
      <c r="C16485" s="5" t="str">
        <f>IFERROR(__xludf.DUMMYFUNCTION("GOOGLETRANSLATE(B16485,""en"",""zh-CN"")"),"该男子采访球员并加入他们的保龄球比赛。")</f>
        <v>该男子采访球员并加入他们的保龄球比赛。</v>
      </c>
    </row>
    <row r="16486">
      <c r="A16486" s="4" t="s">
        <v>20762</v>
      </c>
      <c r="B16486" s="4" t="s">
        <v>20766</v>
      </c>
      <c r="C16486" s="5" t="str">
        <f>IFERROR(__xludf.DUMMYFUNCTION("GOOGLETRANSLATE(B16486,""en"",""zh-CN"")"),"玩家解释了他使用的技术。")</f>
        <v>玩家解释了他使用的技术。</v>
      </c>
    </row>
    <row r="16487">
      <c r="A16487" s="4" t="s">
        <v>20767</v>
      </c>
      <c r="B16487" s="4" t="s">
        <v>20768</v>
      </c>
      <c r="C16487" s="5" t="str">
        <f>IFERROR(__xludf.DUMMYFUNCTION("GOOGLETRANSLATE(B16487,""en"",""zh-CN"")"),"一个人在独木舟上划船。")</f>
        <v>一个人在独木舟上划船。</v>
      </c>
    </row>
    <row r="16488">
      <c r="A16488" s="4" t="s">
        <v>20767</v>
      </c>
      <c r="B16488" s="4" t="s">
        <v>20769</v>
      </c>
      <c r="C16488" s="5" t="str">
        <f>IFERROR(__xludf.DUMMYFUNCTION("GOOGLETRANSLATE(B16488,""en"",""zh-CN"")"),"这个人转身回头。")</f>
        <v>这个人转身回头。</v>
      </c>
    </row>
    <row r="16489">
      <c r="A16489" s="4" t="s">
        <v>20770</v>
      </c>
      <c r="B16489" s="4" t="s">
        <v>20771</v>
      </c>
      <c r="C16489" s="5" t="str">
        <f>IFERROR(__xludf.DUMMYFUNCTION("GOOGLETRANSLATE(B16489,""en"",""zh-CN"")"),"看到一个男人在举起乐器时在相机上说话。")</f>
        <v>看到一个男人在举起乐器时在相机上说话。</v>
      </c>
    </row>
    <row r="16490">
      <c r="A16490" s="4" t="s">
        <v>20770</v>
      </c>
      <c r="B16490" s="4" t="s">
        <v>20772</v>
      </c>
      <c r="C16490" s="5" t="str">
        <f>IFERROR(__xludf.DUMMYFUNCTION("GOOGLETRANSLATE(B16490,""en"",""zh-CN"")"),"然后，该男子开始在相机前弹奏乐器。")</f>
        <v>然后，该男子开始在相机前弹奏乐器。</v>
      </c>
    </row>
    <row r="16491">
      <c r="A16491" s="4" t="s">
        <v>20770</v>
      </c>
      <c r="B16491" s="4" t="s">
        <v>20773</v>
      </c>
      <c r="C16491" s="5" t="str">
        <f>IFERROR(__xludf.DUMMYFUNCTION("GOOGLETRANSLATE(B16491,""en"",""zh-CN"")"),"该男子继续演奏乐器，停下来看相机。")</f>
        <v>该男子继续演奏乐器，停下来看相机。</v>
      </c>
    </row>
    <row r="16492">
      <c r="A16492" s="4" t="s">
        <v>20774</v>
      </c>
      <c r="B16492" s="4" t="s">
        <v>20775</v>
      </c>
      <c r="C16492" s="5" t="str">
        <f>IFERROR(__xludf.DUMMYFUNCTION("GOOGLETRANSLATE(B16492,""en"",""zh-CN"")"),"一只狗靠近相机，与另一只狗打架。")</f>
        <v>一只狗靠近相机，与另一只狗打架。</v>
      </c>
    </row>
    <row r="16493">
      <c r="A16493" s="4" t="s">
        <v>20774</v>
      </c>
      <c r="B16493" s="4" t="s">
        <v>20776</v>
      </c>
      <c r="C16493" s="5" t="str">
        <f>IFERROR(__xludf.DUMMYFUNCTION("GOOGLETRANSLATE(B16493,""en"",""zh-CN"")"),"他们跳下一个男人的腿，然后在继续比赛时又重新开始。")</f>
        <v>他们跳下一个男人的腿，然后在继续比赛时又重新开始。</v>
      </c>
    </row>
    <row r="16494">
      <c r="A16494" s="4" t="s">
        <v>20774</v>
      </c>
      <c r="B16494" s="4" t="s">
        <v>20777</v>
      </c>
      <c r="C16494" s="5" t="str">
        <f>IFERROR(__xludf.DUMMYFUNCTION("GOOGLETRANSLATE(B16494,""en"",""zh-CN"")"),"当狗冷静下来，躺在膝盖上时，该男子将眼镜放回原处。")</f>
        <v>当狗冷静下来，躺在膝盖上时，该男子将眼镜放回原处。</v>
      </c>
    </row>
    <row r="16495">
      <c r="A16495" s="4" t="s">
        <v>20778</v>
      </c>
      <c r="B16495" s="4" t="s">
        <v>20779</v>
      </c>
      <c r="C16495" s="5" t="str">
        <f>IFERROR(__xludf.DUMMYFUNCTION("GOOGLETRANSLATE(B16495,""en"",""zh-CN"")"),"在男人和一个女人的里面，正在玩Raquet Ball的游戏。")</f>
        <v>在男人和一个女人的里面，正在玩Raquet Ball的游戏。</v>
      </c>
    </row>
    <row r="16496">
      <c r="A16496" s="4" t="s">
        <v>20778</v>
      </c>
      <c r="B16496" s="4" t="s">
        <v>20780</v>
      </c>
      <c r="C16496" s="5" t="str">
        <f>IFERROR(__xludf.DUMMYFUNCTION("GOOGLETRANSLATE(B16496,""en"",""zh-CN"")"),"她开始谈论它的原因很大。")</f>
        <v>她开始谈论它的原因很大。</v>
      </c>
    </row>
    <row r="16497">
      <c r="A16497" s="4" t="s">
        <v>20778</v>
      </c>
      <c r="B16497" s="4" t="s">
        <v>20781</v>
      </c>
      <c r="C16497" s="5" t="str">
        <f>IFERROR(__xludf.DUMMYFUNCTION("GOOGLETRANSLATE(B16497,""en"",""zh-CN"")"),"然后，她去练习一次击打。")</f>
        <v>然后，她去练习一次击打。</v>
      </c>
    </row>
    <row r="16498">
      <c r="A16498" s="4" t="s">
        <v>20778</v>
      </c>
      <c r="B16498" s="4" t="s">
        <v>20782</v>
      </c>
      <c r="C16498" s="5" t="str">
        <f>IFERROR(__xludf.DUMMYFUNCTION("GOOGLETRANSLATE(B16498,""en"",""zh-CN"")"),"这是她真正喜欢玩的游戏，这是一种爱好。")</f>
        <v>这是她真正喜欢玩的游戏，这是一种爱好。</v>
      </c>
    </row>
    <row r="16499">
      <c r="A16499" s="4" t="s">
        <v>20783</v>
      </c>
      <c r="B16499" s="4" t="s">
        <v>20784</v>
      </c>
      <c r="C16499" s="5" t="str">
        <f>IFERROR(__xludf.DUMMYFUNCTION("GOOGLETRANSLATE(B16499,""en"",""zh-CN"")"),"视频显示了如何制作咖喱吐司。")</f>
        <v>视频显示了如何制作咖喱吐司。</v>
      </c>
    </row>
    <row r="16500">
      <c r="A16500" s="4" t="s">
        <v>20783</v>
      </c>
      <c r="B16500" s="4" t="s">
        <v>20785</v>
      </c>
      <c r="C16500" s="5" t="str">
        <f>IFERROR(__xludf.DUMMYFUNCTION("GOOGLETRANSLATE(B16500,""en"",""zh-CN"")"),"咖喱在锅里，面包和黄油在托盘上。")</f>
        <v>咖喱在锅里，面包和黄油在托盘上。</v>
      </c>
    </row>
    <row r="16501">
      <c r="A16501" s="4" t="s">
        <v>20783</v>
      </c>
      <c r="B16501" s="4" t="s">
        <v>20786</v>
      </c>
      <c r="C16501" s="5" t="str">
        <f>IFERROR(__xludf.DUMMYFUNCTION("GOOGLETRANSLATE(B16501,""en"",""zh-CN"")"),"该男子将黄油涂在面包之前，然后将咖喱涂在面包上。")</f>
        <v>该男子将黄油涂在面包之前，然后将咖喱涂在面包上。</v>
      </c>
    </row>
    <row r="16502">
      <c r="A16502" s="4" t="s">
        <v>20783</v>
      </c>
      <c r="B16502" s="4" t="s">
        <v>20787</v>
      </c>
      <c r="C16502" s="5" t="str">
        <f>IFERROR(__xludf.DUMMYFUNCTION("GOOGLETRANSLATE(B16502,""en"",""zh-CN"")"),"棍子人在最后跳舞的卡通符。")</f>
        <v>棍子人在最后跳舞的卡通符。</v>
      </c>
    </row>
    <row r="16503">
      <c r="A16503" s="4" t="s">
        <v>20788</v>
      </c>
      <c r="B16503" s="4" t="s">
        <v>20789</v>
      </c>
      <c r="C16503" s="5" t="str">
        <f>IFERROR(__xludf.DUMMYFUNCTION("GOOGLETRANSLATE(B16503,""en"",""zh-CN"")"),"在2008年奥运会上，一名男子准备举起一个装载的杠铃。")</f>
        <v>在2008年奥运会上，一名男子准备举起一个装载的杠铃。</v>
      </c>
    </row>
    <row r="16504">
      <c r="A16504" s="4" t="s">
        <v>20788</v>
      </c>
      <c r="B16504" s="4" t="s">
        <v>20790</v>
      </c>
      <c r="C16504" s="5" t="str">
        <f>IFERROR(__xludf.DUMMYFUNCTION("GOOGLETRANSLATE(B16504,""en"",""zh-CN"")"),"他弯下腰​​，竭尽全力向上努力，终于将杠铃抬到头上。")</f>
        <v>他弯下腰​​，竭尽全力向上努力，终于将杠铃抬到头上。</v>
      </c>
    </row>
    <row r="16505">
      <c r="A16505" s="4" t="s">
        <v>20788</v>
      </c>
      <c r="B16505" s="4" t="s">
        <v>20791</v>
      </c>
      <c r="C16505" s="5" t="str">
        <f>IFERROR(__xludf.DUMMYFUNCTION("GOOGLETRANSLATE(B16505,""en"",""zh-CN"")"),"他放下了体重，他们坠落在地面上。")</f>
        <v>他放下了体重，他们坠落在地面上。</v>
      </c>
    </row>
    <row r="16506">
      <c r="A16506" s="4" t="s">
        <v>20788</v>
      </c>
      <c r="B16506" s="4" t="s">
        <v>20792</v>
      </c>
      <c r="C16506" s="5" t="str">
        <f>IFERROR(__xludf.DUMMYFUNCTION("GOOGLETRANSLATE(B16506,""en"",""zh-CN"")"),"他庆祝，我们看到奥运选手创造了纪录。")</f>
        <v>他庆祝，我们看到奥运选手创造了纪录。</v>
      </c>
    </row>
    <row r="16507">
      <c r="A16507" s="4" t="s">
        <v>20793</v>
      </c>
      <c r="B16507" s="4" t="s">
        <v>20794</v>
      </c>
      <c r="C16507" s="5" t="str">
        <f>IFERROR(__xludf.DUMMYFUNCTION("GOOGLETRANSLATE(B16507,""en"",""zh-CN"")"),"看到一个男人推出一辆自行车，开始与另一个男人检查轮胎。")</f>
        <v>看到一个男人推出一辆自行车，开始与另一个男人检查轮胎。</v>
      </c>
    </row>
    <row r="16508">
      <c r="A16508" s="4" t="s">
        <v>20793</v>
      </c>
      <c r="B16508" s="4" t="s">
        <v>20795</v>
      </c>
      <c r="C16508" s="5" t="str">
        <f>IFERROR(__xludf.DUMMYFUNCTION("GOOGLETRANSLATE(B16508,""en"",""zh-CN"")"),"一个人切断电线并检查更多轮胎，另一个人再次旋转轮胎。")</f>
        <v>一个人切断电线并检查更多轮胎，另一个人再次旋转轮胎。</v>
      </c>
    </row>
    <row r="16509">
      <c r="A16509" s="4" t="s">
        <v>20796</v>
      </c>
      <c r="B16509" s="6" t="s">
        <v>20797</v>
      </c>
      <c r="C16509" s="5" t="str">
        <f>IFERROR(__xludf.DUMMYFUNCTION("GOOGLETRANSLATE(B16509,""en"",""zh-CN"")"),"看到一个秃头的男人在相机上说话，头坐在他身后，头顶着头发。")</f>
        <v>看到一个秃头的男人在相机上说话，头坐在他身后，头顶着头发。</v>
      </c>
    </row>
    <row r="16510">
      <c r="A16510" s="4" t="s">
        <v>20796</v>
      </c>
      <c r="B16510" s="6" t="s">
        <v>20798</v>
      </c>
      <c r="C16510" s="5" t="str">
        <f>IFERROR(__xludf.DUMMYFUNCTION("GOOGLETRANSLATE(B16510,""en"",""zh-CN"")"),"然后，他以某种方式剪发了假人的头发，相机最终放大了最终的结果。")</f>
        <v>然后，他以某种方式剪发了假人的头发，相机最终放大了最终的结果。</v>
      </c>
    </row>
    <row r="16511">
      <c r="A16511" s="4" t="s">
        <v>20799</v>
      </c>
      <c r="B16511" s="4" t="s">
        <v>20800</v>
      </c>
      <c r="C16511" s="5" t="str">
        <f>IFERROR(__xludf.DUMMYFUNCTION("GOOGLETRANSLATE(B16511,""en"",""zh-CN"")"),"两支球队正站在混战线上，等待比赛。")</f>
        <v>两支球队正站在混战线上，等待比赛。</v>
      </c>
    </row>
    <row r="16512">
      <c r="A16512" s="4" t="s">
        <v>20799</v>
      </c>
      <c r="B16512" s="4" t="s">
        <v>20801</v>
      </c>
      <c r="C16512" s="5" t="str">
        <f>IFERROR(__xludf.DUMMYFUNCTION("GOOGLETRANSLATE(B16512,""en"",""zh-CN"")"),"比赛开始了，两支球队在曲棍网兜球的比赛中猛烈地战斗。")</f>
        <v>比赛开始了，两支球队在曲棍网兜球的比赛中猛烈地战斗。</v>
      </c>
    </row>
    <row r="16513">
      <c r="A16513" s="4" t="s">
        <v>20799</v>
      </c>
      <c r="B16513" s="6" t="s">
        <v>20802</v>
      </c>
      <c r="C16513" s="5" t="str">
        <f>IFERROR(__xludf.DUMMYFUNCTION("GOOGLETRANSLATE(B16513,""en"",""zh-CN"")"),"一个人的命中如此糟糕，他出去了，随着其余的球员在场上脱颖而出，他仍然躺在场上。")</f>
        <v>一个人的命中如此糟糕，他出去了，随着其余的球员在场上脱颖而出，他仍然躺在场上。</v>
      </c>
    </row>
    <row r="16514">
      <c r="A16514" s="4" t="s">
        <v>20803</v>
      </c>
      <c r="B16514" s="4" t="s">
        <v>20804</v>
      </c>
      <c r="C16514" s="5" t="str">
        <f>IFERROR(__xludf.DUMMYFUNCTION("GOOGLETRANSLATE(B16514,""en"",""zh-CN"")"),"显示婴儿在游泳池中倒挂。")</f>
        <v>显示婴儿在游泳池中倒挂。</v>
      </c>
    </row>
    <row r="16515">
      <c r="A16515" s="4" t="s">
        <v>20803</v>
      </c>
      <c r="B16515" s="4" t="s">
        <v>20805</v>
      </c>
      <c r="C16515" s="5" t="str">
        <f>IFERROR(__xludf.DUMMYFUNCTION("GOOGLETRANSLATE(B16515,""en"",""zh-CN"")"),"培训师正在教孩子如何漂浮。")</f>
        <v>培训师正在教孩子如何漂浮。</v>
      </c>
    </row>
    <row r="16516">
      <c r="A16516" s="4" t="s">
        <v>20803</v>
      </c>
      <c r="B16516" s="4" t="s">
        <v>20806</v>
      </c>
      <c r="C16516" s="5" t="str">
        <f>IFERROR(__xludf.DUMMYFUNCTION("GOOGLETRANSLATE(B16516,""en"",""zh-CN"")"),"他正在学习如何游泳，保持自己的水平。")</f>
        <v>他正在学习如何游泳，保持自己的水平。</v>
      </c>
    </row>
    <row r="16517">
      <c r="A16517" s="4" t="s">
        <v>20807</v>
      </c>
      <c r="B16517" s="4" t="s">
        <v>20808</v>
      </c>
      <c r="C16517" s="5" t="str">
        <f>IFERROR(__xludf.DUMMYFUNCTION("GOOGLETRANSLATE(B16517,""en"",""zh-CN"")"),"空气中显示了风筝。")</f>
        <v>空气中显示了风筝。</v>
      </c>
    </row>
    <row r="16518">
      <c r="A16518" s="4" t="s">
        <v>20807</v>
      </c>
      <c r="B16518" s="4" t="s">
        <v>20809</v>
      </c>
      <c r="C16518" s="5" t="str">
        <f>IFERROR(__xludf.DUMMYFUNCTION("GOOGLETRANSLATE(B16518,""en"",""zh-CN"")"),"一个穿着黑色衬衫的男人正在控制风筝，并落在地面上。")</f>
        <v>一个穿着黑色衬衫的男人正在控制风筝，并落在地面上。</v>
      </c>
    </row>
    <row r="16519">
      <c r="A16519" s="4" t="s">
        <v>20807</v>
      </c>
      <c r="B16519" s="4" t="s">
        <v>20810</v>
      </c>
      <c r="C16519" s="5" t="str">
        <f>IFERROR(__xludf.DUMMYFUNCTION("GOOGLETRANSLATE(B16519,""en"",""zh-CN"")"),"狗在草地上跑来跑去。")</f>
        <v>狗在草地上跑来跑去。</v>
      </c>
    </row>
    <row r="16520">
      <c r="A16520" s="4" t="s">
        <v>20811</v>
      </c>
      <c r="B16520" s="4" t="s">
        <v>20812</v>
      </c>
      <c r="C16520" s="5" t="str">
        <f>IFERROR(__xludf.DUMMYFUNCTION("GOOGLETRANSLATE(B16520,""en"",""zh-CN"")"),"介绍图形出现在屏幕上，展示了排球锦标赛。")</f>
        <v>介绍图形出现在屏幕上，展示了排球锦标赛。</v>
      </c>
    </row>
    <row r="16521">
      <c r="A16521" s="4" t="s">
        <v>20811</v>
      </c>
      <c r="B16521" s="4" t="s">
        <v>20813</v>
      </c>
      <c r="C16521" s="5" t="str">
        <f>IFERROR(__xludf.DUMMYFUNCTION("GOOGLETRANSLATE(B16521,""en"",""zh-CN"")"),"一个人进入屏幕，在比赛开始之前宣布比赛。")</f>
        <v>一个人进入屏幕，在比赛开始之前宣布比赛。</v>
      </c>
    </row>
    <row r="16522">
      <c r="A16522" s="4" t="s">
        <v>20811</v>
      </c>
      <c r="B16522" s="6" t="s">
        <v>20814</v>
      </c>
      <c r="C16522" s="5" t="str">
        <f>IFERROR(__xludf.DUMMYFUNCTION("GOOGLETRANSLATE(B16522,""en"",""zh-CN"")"),"当叙述者讲述了他们通往冠军之路的故事时，显示了不同的女孩在扮演海滩射击球。")</f>
        <v>当叙述者讲述了他们通往冠军之路的故事时，显示了不同的女孩在扮演海滩射击球。</v>
      </c>
    </row>
    <row r="16523">
      <c r="A16523" s="4" t="s">
        <v>20811</v>
      </c>
      <c r="B16523" s="4" t="s">
        <v>20815</v>
      </c>
      <c r="C16523" s="5" t="str">
        <f>IFERROR(__xludf.DUMMYFUNCTION("GOOGLETRANSLATE(B16523,""en"",""zh-CN"")"),"许多团队成员都在法庭上交谈并为胜利制定战略。")</f>
        <v>许多团队成员都在法庭上交谈并为胜利制定战略。</v>
      </c>
    </row>
    <row r="16524">
      <c r="A16524" s="4" t="s">
        <v>20811</v>
      </c>
      <c r="B16524" s="4" t="s">
        <v>20816</v>
      </c>
      <c r="C16524" s="5" t="str">
        <f>IFERROR(__xludf.DUMMYFUNCTION("GOOGLETRANSLATE(B16524,""en"",""zh-CN"")"),"该视频切入了会议室，那里有关于排球运动员的讨论。")</f>
        <v>该视频切入了会议室，那里有关于排球运动员的讨论。</v>
      </c>
    </row>
    <row r="16525">
      <c r="A16525" s="4" t="s">
        <v>20811</v>
      </c>
      <c r="B16525" s="4" t="s">
        <v>20817</v>
      </c>
      <c r="C16525" s="5" t="str">
        <f>IFERROR(__xludf.DUMMYFUNCTION("GOOGLETRANSLATE(B16525,""en"",""zh-CN"")"),"视频以C丢失的图形结尾。")</f>
        <v>视频以C丢失的图形结尾。</v>
      </c>
    </row>
    <row r="16526">
      <c r="A16526" s="4" t="s">
        <v>20818</v>
      </c>
      <c r="B16526" s="4" t="s">
        <v>20819</v>
      </c>
      <c r="C16526" s="5" t="str">
        <f>IFERROR(__xludf.DUMMYFUNCTION("GOOGLETRANSLATE(B16526,""en"",""zh-CN"")"),"男人在一个黑暗的房间里与镜头交谈。")</f>
        <v>男人在一个黑暗的房间里与镜头交谈。</v>
      </c>
    </row>
    <row r="16527">
      <c r="A16527" s="4" t="s">
        <v>20818</v>
      </c>
      <c r="B16527" s="6" t="s">
        <v>20820</v>
      </c>
      <c r="C16527" s="5" t="str">
        <f>IFERROR(__xludf.DUMMYFUNCTION("GOOGLETRANSLATE(B16527,""en"",""zh-CN"")"),"相扑摔跤手站在舞台上准备打架，人们聚集在他们周围，坐在他的露台上。")</f>
        <v>相扑摔跤手站在舞台上准备打架，人们聚集在他们周围，坐在他的露台上。</v>
      </c>
    </row>
    <row r="16528">
      <c r="A16528" s="4" t="s">
        <v>20818</v>
      </c>
      <c r="B16528" s="4" t="s">
        <v>20821</v>
      </c>
      <c r="C16528" s="5" t="str">
        <f>IFERROR(__xludf.DUMMYFUNCTION("GOOGLETRANSLATE(B16528,""en"",""zh-CN"")"),"男人在黑暗的房间里说话，并解释了他们的观点。")</f>
        <v>男人在黑暗的房间里说话，并解释了他们的观点。</v>
      </c>
    </row>
    <row r="16529">
      <c r="A16529" s="4" t="s">
        <v>20822</v>
      </c>
      <c r="B16529" s="6" t="s">
        <v>20823</v>
      </c>
      <c r="C16529" s="5" t="str">
        <f>IFERROR(__xludf.DUMMYFUNCTION("GOOGLETRANSLATE(B16529,""en"",""zh-CN"")"),"一个男人开始用一根棍子奔跑，将其放下，跳过一个非常高的障碍，他降落和glo脚。")</f>
        <v>一个男人开始用一根棍子奔跑，将其放下，跳过一个非常高的障碍，他降落和glo脚。</v>
      </c>
    </row>
    <row r="16530">
      <c r="A16530" s="4" t="s">
        <v>20822</v>
      </c>
      <c r="B16530" s="6" t="s">
        <v>20824</v>
      </c>
      <c r="C16530" s="5" t="str">
        <f>IFERROR(__xludf.DUMMYFUNCTION("GOOGLETRANSLATE(B16530,""en"",""zh-CN"")"),"下一个男人轮到他了，他用棍棒也做同样的事情，克服障碍，登陆后兴奋地跳了起来。")</f>
        <v>下一个男人轮到他了，他用棍棒也做同样的事情，克服障碍，登陆后兴奋地跳了起来。</v>
      </c>
    </row>
    <row r="16531">
      <c r="A16531" s="4" t="s">
        <v>20822</v>
      </c>
      <c r="B16531" s="6" t="s">
        <v>20825</v>
      </c>
      <c r="C16531" s="5" t="str">
        <f>IFERROR(__xludf.DUMMYFUNCTION("GOOGLETRANSLATE(B16531,""en"",""zh-CN"")"),"然后另一个男人轮到他了，当他着陆时，他像以前的男人一样脱下头盔，大喊大叫并为喜悦跳跃。")</f>
        <v>然后另一个男人轮到他了，当他着陆时，他像以前的男人一样脱下头盔，大喊大叫并为喜悦跳跃。</v>
      </c>
    </row>
    <row r="16532">
      <c r="A16532" s="4" t="s">
        <v>20822</v>
      </c>
      <c r="B16532" s="4" t="s">
        <v>20826</v>
      </c>
      <c r="C16532" s="5" t="str">
        <f>IFERROR(__xludf.DUMMYFUNCTION("GOOGLETRANSLATE(B16532,""en"",""zh-CN"")"),"观众也很激动，他们都花了更多的钱尝试获得最佳分数。")</f>
        <v>观众也很激动，他们都花了更多的钱尝试获得最佳分数。</v>
      </c>
    </row>
    <row r="16533">
      <c r="A16533" s="4" t="s">
        <v>20827</v>
      </c>
      <c r="B16533" s="4" t="s">
        <v>1487</v>
      </c>
      <c r="C16533" s="5" t="str">
        <f>IFERROR(__xludf.DUMMYFUNCTION("GOOGLETRANSLATE(B16533,""en"",""zh-CN"")"),"我们看到一个开放标题屏幕。")</f>
        <v>我们看到一个开放标题屏幕。</v>
      </c>
    </row>
    <row r="16534">
      <c r="A16534" s="4" t="s">
        <v>20827</v>
      </c>
      <c r="B16534" s="4" t="s">
        <v>20828</v>
      </c>
      <c r="C16534" s="5" t="str">
        <f>IFERROR(__xludf.DUMMYFUNCTION("GOOGLETRANSLATE(B16534,""en"",""zh-CN"")"),"我们看到孩子们穿着紫色姿势拍照。")</f>
        <v>我们看到孩子们穿着紫色姿势拍照。</v>
      </c>
    </row>
    <row r="16535">
      <c r="A16535" s="4" t="s">
        <v>20827</v>
      </c>
      <c r="B16535" s="4" t="s">
        <v>20829</v>
      </c>
      <c r="C16535" s="5" t="str">
        <f>IFERROR(__xludf.DUMMYFUNCTION("GOOGLETRANSLATE(B16535,""en"",""zh-CN"")"),"然后，当两个女孩站在附近欢呼时，孩子们打了战争。")</f>
        <v>然后，当两个女孩站在附近欢呼时，孩子们打了战争。</v>
      </c>
    </row>
    <row r="16536">
      <c r="A16536" s="4" t="s">
        <v>20827</v>
      </c>
      <c r="B16536" s="4" t="s">
        <v>20830</v>
      </c>
      <c r="C16536" s="5" t="str">
        <f>IFERROR(__xludf.DUMMYFUNCTION("GOOGLETRANSLATE(B16536,""en"",""zh-CN"")"),"我们切换到一个女孩和一个男孩欢呼。")</f>
        <v>我们切换到一个女孩和一个男孩欢呼。</v>
      </c>
    </row>
    <row r="16537">
      <c r="A16537" s="4" t="s">
        <v>20827</v>
      </c>
      <c r="B16537" s="4" t="s">
        <v>20831</v>
      </c>
      <c r="C16537" s="5" t="str">
        <f>IFERROR(__xludf.DUMMYFUNCTION("GOOGLETRANSLATE(B16537,""en"",""zh-CN"")"),"我们看到两个不同的孩子欢呼。")</f>
        <v>我们看到两个不同的孩子欢呼。</v>
      </c>
    </row>
    <row r="16538">
      <c r="A16538" s="4" t="s">
        <v>20827</v>
      </c>
      <c r="B16538" s="4" t="s">
        <v>20832</v>
      </c>
      <c r="C16538" s="5" t="str">
        <f>IFERROR(__xludf.DUMMYFUNCTION("GOOGLETRANSLATE(B16538,""en"",""zh-CN"")"),"我们再次切换欢呼的孩子。")</f>
        <v>我们再次切换欢呼的孩子。</v>
      </c>
    </row>
    <row r="16539">
      <c r="A16539" s="4" t="s">
        <v>20827</v>
      </c>
      <c r="B16539" s="4" t="s">
        <v>20833</v>
      </c>
      <c r="C16539" s="5" t="str">
        <f>IFERROR(__xludf.DUMMYFUNCTION("GOOGLETRANSLATE(B16539,""en"",""zh-CN"")"),"当一个女孩与一位老师交谈时，孩子们赢得了胜利，跳高而欢呼。")</f>
        <v>当一个女孩与一位老师交谈时，孩子们赢得了胜利，跳高而欢呼。</v>
      </c>
    </row>
    <row r="16540">
      <c r="A16540" s="4" t="s">
        <v>20827</v>
      </c>
      <c r="B16540" s="4" t="s">
        <v>4513</v>
      </c>
      <c r="C16540" s="5" t="str">
        <f>IFERROR(__xludf.DUMMYFUNCTION("GOOGLETRANSLATE(B16540,""en"",""zh-CN"")"),"我们看到了结局。")</f>
        <v>我们看到了结局。</v>
      </c>
    </row>
    <row r="16541">
      <c r="A16541" s="4" t="s">
        <v>20834</v>
      </c>
      <c r="B16541" s="4" t="s">
        <v>20835</v>
      </c>
      <c r="C16541" s="5" t="str">
        <f>IFERROR(__xludf.DUMMYFUNCTION("GOOGLETRANSLATE(B16541,""en"",""zh-CN"")"),"几名光着膀子的男人聚集在一个房间里，其余的人在他的呼唤时抽烟。")</f>
        <v>几名光着膀子的男人聚集在一个房间里，其余的人在他的呼唤时抽烟。</v>
      </c>
    </row>
    <row r="16542">
      <c r="A16542" s="4" t="s">
        <v>20834</v>
      </c>
      <c r="B16542" s="4" t="s">
        <v>20836</v>
      </c>
      <c r="C16542" s="5" t="str">
        <f>IFERROR(__xludf.DUMMYFUNCTION("GOOGLETRANSLATE(B16542,""en"",""zh-CN"")"),"他一直吮吸香烟到芽。")</f>
        <v>他一直吮吸香烟到芽。</v>
      </c>
    </row>
    <row r="16543">
      <c r="A16543" s="4" t="s">
        <v>20834</v>
      </c>
      <c r="B16543" s="4" t="s">
        <v>20837</v>
      </c>
      <c r="C16543" s="5" t="str">
        <f>IFERROR(__xludf.DUMMYFUNCTION("GOOGLETRANSLATE(B16543,""en"",""zh-CN"")"),"他咳​​嗽了一下，然后将其吸入鼻子，然后指向相机。")</f>
        <v>他咳​​嗽了一下，然后将其吸入鼻子，然后指向相机。</v>
      </c>
    </row>
    <row r="16544">
      <c r="A16544" s="4" t="s">
        <v>20838</v>
      </c>
      <c r="B16544" s="6" t="s">
        <v>20839</v>
      </c>
      <c r="C16544" s="5" t="str">
        <f>IFERROR(__xludf.DUMMYFUNCTION("GOOGLETRANSLATE(B16544,""en"",""zh-CN"")"),"看到冰球坐在冰上，一个男人在对着镜头讲话，人们四处走动。")</f>
        <v>看到冰球坐在冰上，一个男人在对着镜头讲话，人们四处走动。</v>
      </c>
    </row>
    <row r="16545">
      <c r="A16545" s="4" t="s">
        <v>20838</v>
      </c>
      <c r="B16545" s="4" t="s">
        <v>20840</v>
      </c>
      <c r="C16545" s="5" t="str">
        <f>IFERROR(__xludf.DUMMYFUNCTION("GOOGLETRANSLATE(B16545,""en"",""zh-CN"")"),"还显示了更多的剪辑，即人们在冰上卷曲的同时也与相机交谈。")</f>
        <v>还显示了更多的剪辑，即人们在冰上卷曲的同时也与相机交谈。</v>
      </c>
    </row>
    <row r="16546">
      <c r="A16546" s="4" t="s">
        <v>20838</v>
      </c>
      <c r="B16546" s="6" t="s">
        <v>20841</v>
      </c>
      <c r="C16546" s="5" t="str">
        <f>IFERROR(__xludf.DUMMYFUNCTION("GOOGLETRANSLATE(B16546,""en"",""zh-CN"")"),"人们继续向相机回头，并与相机说话时，人们继续将冰球推到冰上。")</f>
        <v>人们继续向相机回头，并与相机说话时，人们继续将冰球推到冰上。</v>
      </c>
    </row>
    <row r="16547">
      <c r="A16547" s="4" t="s">
        <v>20842</v>
      </c>
      <c r="B16547" s="4" t="s">
        <v>20843</v>
      </c>
      <c r="C16547" s="5" t="str">
        <f>IFERROR(__xludf.DUMMYFUNCTION("GOOGLETRANSLATE(B16547,""en"",""zh-CN"")"),"我们在夹具中的桌子上看到了一条轮胎。")</f>
        <v>我们在夹具中的桌子上看到了一条轮胎。</v>
      </c>
    </row>
    <row r="16548">
      <c r="A16548" s="4" t="s">
        <v>20842</v>
      </c>
      <c r="B16548" s="4" t="s">
        <v>20844</v>
      </c>
      <c r="C16548" s="5" t="str">
        <f>IFERROR(__xludf.DUMMYFUNCTION("GOOGLETRANSLATE(B16548,""en"",""zh-CN"")"),"一个男人在井上抓住了一个恶习。")</f>
        <v>一个男人在井上抓住了一个恶习。</v>
      </c>
    </row>
    <row r="16549">
      <c r="A16549" s="4" t="s">
        <v>20842</v>
      </c>
      <c r="B16549" s="4" t="s">
        <v>20845</v>
      </c>
      <c r="C16549" s="5" t="str">
        <f>IFERROR(__xludf.DUMMYFUNCTION("GOOGLETRANSLATE(B16549,""en"",""zh-CN"")"),"该男子将轮胎推到轮子上。")</f>
        <v>该男子将轮胎推到轮子上。</v>
      </c>
    </row>
    <row r="16550">
      <c r="A16550" s="4" t="s">
        <v>20846</v>
      </c>
      <c r="B16550" s="4" t="s">
        <v>20847</v>
      </c>
      <c r="C16550" s="5" t="str">
        <f>IFERROR(__xludf.DUMMYFUNCTION("GOOGLETRANSLATE(B16550,""en"",""zh-CN"")"),"我们看到沃特斯基和船的侧面。")</f>
        <v>我们看到沃特斯基和船的侧面。</v>
      </c>
    </row>
    <row r="16551">
      <c r="A16551" s="4" t="s">
        <v>20846</v>
      </c>
      <c r="B16551" s="4" t="s">
        <v>20848</v>
      </c>
      <c r="C16551" s="5" t="str">
        <f>IFERROR(__xludf.DUMMYFUNCTION("GOOGLETRANSLATE(B16551,""en"",""zh-CN"")"),"我们看到一个男孩站在码头上，人们会为船加油，然后登机。")</f>
        <v>我们看到一个男孩站在码头上，人们会为船加油，然后登机。</v>
      </c>
    </row>
    <row r="16552">
      <c r="A16552" s="4" t="s">
        <v>20846</v>
      </c>
      <c r="B16552" s="4" t="s">
        <v>20849</v>
      </c>
      <c r="C16552" s="5" t="str">
        <f>IFERROR(__xludf.DUMMYFUNCTION("GOOGLETRANSLATE(B16552,""en"",""zh-CN"")"),"我们看到两个男孩在玩。")</f>
        <v>我们看到两个男孩在玩。</v>
      </c>
    </row>
    <row r="16553">
      <c r="A16553" s="4" t="s">
        <v>20846</v>
      </c>
      <c r="B16553" s="4" t="s">
        <v>20850</v>
      </c>
      <c r="C16553" s="5" t="str">
        <f>IFERROR(__xludf.DUMMYFUNCTION("GOOGLETRANSLATE(B16553,""en"",""zh-CN"")"),"我们看到一个人在湖上滑雪。")</f>
        <v>我们看到一个人在湖上滑雪。</v>
      </c>
    </row>
    <row r="16554">
      <c r="A16554" s="4" t="s">
        <v>20846</v>
      </c>
      <c r="B16554" s="4" t="s">
        <v>20851</v>
      </c>
      <c r="C16554" s="5" t="str">
        <f>IFERROR(__xludf.DUMMYFUNCTION("GOOGLETRANSLATE(B16554,""en"",""zh-CN"")"),"我们看到湖边停车场的汽车，一只狗嗅着相机。")</f>
        <v>我们看到湖边停车场的汽车，一只狗嗅着相机。</v>
      </c>
    </row>
    <row r="16555">
      <c r="A16555" s="4" t="s">
        <v>20846</v>
      </c>
      <c r="B16555" s="4" t="s">
        <v>20852</v>
      </c>
      <c r="C16555" s="5" t="str">
        <f>IFERROR(__xludf.DUMMYFUNCTION("GOOGLETRANSLATE(B16555,""en"",""zh-CN"")"),"我们看到一家商店，然后一个人在皮划艇上划船。")</f>
        <v>我们看到一家商店，然后一个人在皮划艇上划船。</v>
      </c>
    </row>
    <row r="16556">
      <c r="A16556" s="4" t="s">
        <v>20846</v>
      </c>
      <c r="B16556" s="4" t="s">
        <v>20853</v>
      </c>
      <c r="C16556" s="5" t="str">
        <f>IFERROR(__xludf.DUMMYFUNCTION("GOOGLETRANSLATE(B16556,""en"",""zh-CN"")"),"一个人跳入水中，我们再次看到滑水者。")</f>
        <v>一个人跳入水中，我们再次看到滑水者。</v>
      </c>
    </row>
    <row r="16557">
      <c r="A16557" s="4" t="s">
        <v>20846</v>
      </c>
      <c r="B16557" s="4" t="s">
        <v>20854</v>
      </c>
      <c r="C16557" s="5" t="str">
        <f>IFERROR(__xludf.DUMMYFUNCTION("GOOGLETRANSLATE(B16557,""en"",""zh-CN"")"),"一个男孩在商店里的蹦床上，木筏上的人们跳入水中。")</f>
        <v>一个男孩在商店里的蹦床上，木筏上的人们跳入水中。</v>
      </c>
    </row>
    <row r="16558">
      <c r="A16558" s="4" t="s">
        <v>20846</v>
      </c>
      <c r="B16558" s="4" t="s">
        <v>20855</v>
      </c>
      <c r="C16558" s="5" t="str">
        <f>IFERROR(__xludf.DUMMYFUNCTION("GOOGLETRANSLATE(B16558,""en"",""zh-CN"")"),"我们看到一个男孩骑着玩具自行车，滑水者瀑布。")</f>
        <v>我们看到一个男孩骑着玩具自行车，滑水者瀑布。</v>
      </c>
    </row>
    <row r="16559">
      <c r="A16559" s="4" t="s">
        <v>20846</v>
      </c>
      <c r="B16559" s="4" t="s">
        <v>20856</v>
      </c>
      <c r="C16559" s="5" t="str">
        <f>IFERROR(__xludf.DUMMYFUNCTION("GOOGLETRANSLATE(B16559,""en"",""zh-CN"")"),"滑雪板上的一个人跳了起来。")</f>
        <v>滑雪板上的一个人跳了起来。</v>
      </c>
    </row>
    <row r="16560">
      <c r="A16560" s="4" t="s">
        <v>20857</v>
      </c>
      <c r="B16560" s="4" t="s">
        <v>20858</v>
      </c>
      <c r="C16560" s="5" t="str">
        <f>IFERROR(__xludf.DUMMYFUNCTION("GOOGLETRANSLATE(B16560,""en"",""zh-CN"")"),"一群表演者站在舞台上。")</f>
        <v>一群表演者站在舞台上。</v>
      </c>
    </row>
    <row r="16561">
      <c r="A16561" s="4" t="s">
        <v>20857</v>
      </c>
      <c r="B16561" s="4" t="s">
        <v>20859</v>
      </c>
      <c r="C16561" s="5" t="str">
        <f>IFERROR(__xludf.DUMMYFUNCTION("GOOGLETRANSLATE(B16561,""en"",""zh-CN"")"),"他们转身开始打鼓。")</f>
        <v>他们转身开始打鼓。</v>
      </c>
    </row>
    <row r="16562">
      <c r="A16562" s="4" t="s">
        <v>20857</v>
      </c>
      <c r="B16562" s="4" t="s">
        <v>20860</v>
      </c>
      <c r="C16562" s="5" t="str">
        <f>IFERROR(__xludf.DUMMYFUNCTION("GOOGLETRANSLATE(B16562,""en"",""zh-CN"")"),"他们在为观众演奏时戴上太阳镜。")</f>
        <v>他们在为观众演奏时戴上太阳镜。</v>
      </c>
    </row>
    <row r="16563">
      <c r="A16563" s="4" t="s">
        <v>20861</v>
      </c>
      <c r="B16563" s="4" t="s">
        <v>20862</v>
      </c>
      <c r="C16563" s="5" t="str">
        <f>IFERROR(__xludf.DUMMYFUNCTION("GOOGLETRANSLATE(B16563,""en"",""zh-CN"")"),"一名新闻人站在屏幕前说话，因为它在海滩上展示了排球比赛。")</f>
        <v>一名新闻人站在屏幕前说话，因为它在海滩上展示了排球比赛。</v>
      </c>
    </row>
    <row r="16564">
      <c r="A16564" s="4" t="s">
        <v>20861</v>
      </c>
      <c r="B16564" s="6" t="s">
        <v>20863</v>
      </c>
      <c r="C16564" s="5" t="str">
        <f>IFERROR(__xludf.DUMMYFUNCTION("GOOGLETRANSLATE(B16564,""en"",""zh-CN"")"),"然后，我们看到球员，踢球并踢球，在回到游戏场景之前单独与摄像机交谈。")</f>
        <v>然后，我们看到球员，踢球并踢球，在回到游戏场景之前单独与摄像机交谈。</v>
      </c>
    </row>
    <row r="16565">
      <c r="A16565" s="4" t="s">
        <v>20864</v>
      </c>
      <c r="B16565" s="6" t="s">
        <v>20865</v>
      </c>
      <c r="C16565" s="5" t="str">
        <f>IFERROR(__xludf.DUMMYFUNCTION("GOOGLETRANSLATE(B16565,""en"",""zh-CN"")"),"一个小男孩有很长的棍子，正在将冰球推到一个有数字的白色三角形上。")</f>
        <v>一个小男孩有很长的棍子，正在将冰球推到一个有数字的白色三角形上。</v>
      </c>
    </row>
    <row r="16566">
      <c r="A16566" s="4" t="s">
        <v>20864</v>
      </c>
      <c r="B16566" s="4" t="s">
        <v>20866</v>
      </c>
      <c r="C16566" s="5" t="str">
        <f>IFERROR(__xludf.DUMMYFUNCTION("GOOGLETRANSLATE(B16566,""en"",""zh-CN"")"),"冰球走到董事会上，蹒跚学步的人追赶它。")</f>
        <v>冰球走到董事会上，蹒跚学步的人追赶它。</v>
      </c>
    </row>
    <row r="16567">
      <c r="A16567" s="4" t="s">
        <v>20864</v>
      </c>
      <c r="B16567" s="4" t="s">
        <v>20867</v>
      </c>
      <c r="C16567" s="5" t="str">
        <f>IFERROR(__xludf.DUMMYFUNCTION("GOOGLETRANSLATE(B16567,""en"",""zh-CN"")"),"一旦冰球回到板上，他就会从董事会下跑回。")</f>
        <v>一旦冰球回到板上，他就会从董事会下跑回。</v>
      </c>
    </row>
    <row r="16568">
      <c r="A16568" s="4" t="s">
        <v>20868</v>
      </c>
      <c r="B16568" s="4" t="s">
        <v>20869</v>
      </c>
      <c r="C16568" s="5" t="str">
        <f>IFERROR(__xludf.DUMMYFUNCTION("GOOGLETRANSLATE(B16568,""en"",""zh-CN"")"),"雄性在泳池中的水下深处显示出乳房中风。")</f>
        <v>雄性在泳池中的水下深处显示出乳房中风。</v>
      </c>
    </row>
    <row r="16569">
      <c r="A16569" s="4" t="s">
        <v>20868</v>
      </c>
      <c r="B16569" s="4" t="s">
        <v>20870</v>
      </c>
      <c r="C16569" s="5" t="str">
        <f>IFERROR(__xludf.DUMMYFUNCTION("GOOGLETRANSLATE(B16569,""en"",""zh-CN"")"),"当他游泳时，一个橙色马球的男人站在外面描述他的技术。")</f>
        <v>当他游泳时，一个橙色马球的男人站在外面描述他的技术。</v>
      </c>
    </row>
    <row r="16570">
      <c r="A16570" s="4" t="s">
        <v>20871</v>
      </c>
      <c r="B16570" s="6" t="s">
        <v>20872</v>
      </c>
      <c r="C16570" s="5" t="str">
        <f>IFERROR(__xludf.DUMMYFUNCTION("GOOGLETRANSLATE(B16570,""en"",""zh-CN"")"),"一系列屏幕闪烁，并显示了有关驾驶醉酒以及何时休息的统计数据。")</f>
        <v>一系列屏幕闪烁，并显示了有关驾驶醉酒以及何时休息的统计数据。</v>
      </c>
    </row>
    <row r="16571">
      <c r="A16571" s="4" t="s">
        <v>20871</v>
      </c>
      <c r="B16571" s="4" t="s">
        <v>20873</v>
      </c>
      <c r="C16571" s="5" t="str">
        <f>IFERROR(__xludf.DUMMYFUNCTION("GOOGLETRANSLATE(B16571,""en"",""zh-CN"")"),"之后，大约四十个人在一个大型游泳池里玩水马球。")</f>
        <v>之后，大约四十个人在一个大型游泳池里玩水马球。</v>
      </c>
    </row>
    <row r="16572">
      <c r="A16572" s="4" t="s">
        <v>20871</v>
      </c>
      <c r="B16572" s="4" t="s">
        <v>20874</v>
      </c>
      <c r="C16572" s="5" t="str">
        <f>IFERROR(__xludf.DUMMYFUNCTION("GOOGLETRANSLATE(B16572,""en"",""zh-CN"")"),"人们轮流来回扔球，一个人终于做出了目标。")</f>
        <v>人们轮流来回扔球，一个人终于做出了目标。</v>
      </c>
    </row>
    <row r="16573">
      <c r="A16573" s="4" t="s">
        <v>20875</v>
      </c>
      <c r="B16573" s="4" t="s">
        <v>20876</v>
      </c>
      <c r="C16573" s="5" t="str">
        <f>IFERROR(__xludf.DUMMYFUNCTION("GOOGLETRANSLATE(B16573,""en"",""zh-CN"")"),"一个男人坐在一个小房间里，正在向另一个男人演奏木制乐器。")</f>
        <v>一个男人坐在一个小房间里，正在向另一个男人演奏木制乐器。</v>
      </c>
    </row>
    <row r="16574">
      <c r="A16574" s="4" t="s">
        <v>20875</v>
      </c>
      <c r="B16574" s="4" t="s">
        <v>20877</v>
      </c>
      <c r="C16574" s="5" t="str">
        <f>IFERROR(__xludf.DUMMYFUNCTION("GOOGLETRANSLATE(B16574,""en"",""zh-CN"")"),"完成后，他降低了乐器，并广泛地微笑。")</f>
        <v>完成后，他降低了乐器，并广泛地微笑。</v>
      </c>
    </row>
    <row r="16575">
      <c r="A16575" s="4" t="s">
        <v>20875</v>
      </c>
      <c r="B16575" s="4" t="s">
        <v>20878</v>
      </c>
      <c r="C16575" s="5" t="str">
        <f>IFERROR(__xludf.DUMMYFUNCTION("GOOGLETRANSLATE(B16575,""en"",""zh-CN"")"),"他们似乎正在火车里骑。")</f>
        <v>他们似乎正在火车里骑。</v>
      </c>
    </row>
    <row r="16576">
      <c r="A16576" s="4" t="s">
        <v>20879</v>
      </c>
      <c r="B16576" s="4" t="s">
        <v>20880</v>
      </c>
      <c r="C16576" s="5" t="str">
        <f>IFERROR(__xludf.DUMMYFUNCTION("GOOGLETRANSLATE(B16576,""en"",""zh-CN"")"),"显示了一家老式理发店的内部和供应。")</f>
        <v>显示了一家老式理发店的内部和供应。</v>
      </c>
    </row>
    <row r="16577">
      <c r="A16577" s="4" t="s">
        <v>20879</v>
      </c>
      <c r="B16577" s="4" t="s">
        <v>20881</v>
      </c>
      <c r="C16577" s="5" t="str">
        <f>IFERROR(__xludf.DUMMYFUNCTION("GOOGLETRANSLATE(B16577,""en"",""zh-CN"")"),"一个男人锐化剃须刀。")</f>
        <v>一个男人锐化剃须刀。</v>
      </c>
    </row>
    <row r="16578">
      <c r="A16578" s="4" t="s">
        <v>20879</v>
      </c>
      <c r="B16578" s="4" t="s">
        <v>20882</v>
      </c>
      <c r="C16578" s="5" t="str">
        <f>IFERROR(__xludf.DUMMYFUNCTION("GOOGLETRANSLATE(B16578,""en"",""zh-CN"")"),"当他把奶油放在客户身上时，他炫耀了奶油。")</f>
        <v>当他把奶油放在客户身上时，他炫耀了奶油。</v>
      </c>
    </row>
    <row r="16579">
      <c r="A16579" s="4" t="s">
        <v>20879</v>
      </c>
      <c r="B16579" s="4" t="s">
        <v>20883</v>
      </c>
      <c r="C16579" s="5" t="str">
        <f>IFERROR(__xludf.DUMMYFUNCTION("GOOGLETRANSLATE(B16579,""en"",""zh-CN"")"),"然后，他轻轻而专业地给男人刮胡子。")</f>
        <v>然后，他轻轻而专业地给男人刮胡子。</v>
      </c>
    </row>
    <row r="16580">
      <c r="A16580" s="4" t="s">
        <v>20879</v>
      </c>
      <c r="B16580" s="4" t="s">
        <v>20884</v>
      </c>
      <c r="C16580" s="5" t="str">
        <f>IFERROR(__xludf.DUMMYFUNCTION("GOOGLETRANSLATE(B16580,""en"",""zh-CN"")"),"该男子在涂抹布时仍然躺着，然后呈现后果。")</f>
        <v>该男子在涂抹布时仍然躺着，然后呈现后果。</v>
      </c>
    </row>
    <row r="16581">
      <c r="A16581" s="4" t="s">
        <v>20879</v>
      </c>
      <c r="B16581" s="4" t="s">
        <v>20885</v>
      </c>
      <c r="C16581" s="5" t="str">
        <f>IFERROR(__xludf.DUMMYFUNCTION("GOOGLETRANSLATE(B16581,""en"",""zh-CN"")"),"张开的剃须脸显示了特写。")</f>
        <v>张开的剃须脸显示了特写。</v>
      </c>
    </row>
    <row r="16582">
      <c r="A16582" s="4" t="s">
        <v>20886</v>
      </c>
      <c r="B16582" s="4" t="s">
        <v>20887</v>
      </c>
      <c r="C16582" s="5" t="str">
        <f>IFERROR(__xludf.DUMMYFUNCTION("GOOGLETRANSLATE(B16582,""en"",""zh-CN"")"),"我们在黑色背景上看到一个开幕场景。")</f>
        <v>我们在黑色背景上看到一个开幕场景。</v>
      </c>
    </row>
    <row r="16583">
      <c r="A16583" s="4" t="s">
        <v>20886</v>
      </c>
      <c r="B16583" s="4" t="s">
        <v>20888</v>
      </c>
      <c r="C16583" s="5" t="str">
        <f>IFERROR(__xludf.DUMMYFUNCTION("GOOGLETRANSLATE(B16583,""en"",""zh-CN"")"),"我们看到一个人锤指甲。")</f>
        <v>我们看到一个人锤指甲。</v>
      </c>
    </row>
    <row r="16584">
      <c r="A16584" s="4" t="s">
        <v>20886</v>
      </c>
      <c r="B16584" s="4" t="s">
        <v>20889</v>
      </c>
      <c r="C16584" s="5" t="str">
        <f>IFERROR(__xludf.DUMMYFUNCTION("GOOGLETRANSLATE(B16584,""en"",""zh-CN"")"),"这个男人向我们展示了一些螺栓。")</f>
        <v>这个男人向我们展示了一些螺栓。</v>
      </c>
    </row>
    <row r="16585">
      <c r="A16585" s="4" t="s">
        <v>20886</v>
      </c>
      <c r="B16585" s="4" t="s">
        <v>20890</v>
      </c>
      <c r="C16585" s="5" t="str">
        <f>IFERROR(__xludf.DUMMYFUNCTION("GOOGLETRANSLATE(B16585,""en"",""zh-CN"")"),"我们看到该人螺丝螺丝。")</f>
        <v>我们看到该人螺丝螺丝。</v>
      </c>
    </row>
    <row r="16586">
      <c r="A16586" s="4" t="s">
        <v>20891</v>
      </c>
      <c r="B16586" s="4" t="s">
        <v>20892</v>
      </c>
      <c r="C16586" s="5" t="str">
        <f>IFERROR(__xludf.DUMMYFUNCTION("GOOGLETRANSLATE(B16586,""en"",""zh-CN"")"),"显示了几张彩弹射击的镜头，后面是许多枪支照片。")</f>
        <v>显示了几张彩弹射击的镜头，后面是许多枪支照片。</v>
      </c>
    </row>
    <row r="16587">
      <c r="A16587" s="4" t="s">
        <v>20891</v>
      </c>
      <c r="B16587" s="4" t="s">
        <v>20893</v>
      </c>
      <c r="C16587" s="5" t="str">
        <f>IFERROR(__xludf.DUMMYFUNCTION("GOOGLETRANSLATE(B16587,""en"",""zh-CN"")"),"显示了更多的枪支图片，并在屏幕上以文字结束。")</f>
        <v>显示了更多的枪支图片，并在屏幕上以文字结束。</v>
      </c>
    </row>
    <row r="16588">
      <c r="A16588" s="4" t="s">
        <v>20894</v>
      </c>
      <c r="B16588" s="6" t="s">
        <v>20895</v>
      </c>
      <c r="C16588" s="5" t="str">
        <f>IFERROR(__xludf.DUMMYFUNCTION("GOOGLETRANSLATE(B16588,""en"",""zh-CN"")"),"我们看到一个开场的标题屏幕，一个男人和女士看起来很开心，那位女士将手伸到空中。")</f>
        <v>我们看到一个开场的标题屏幕，一个男人和女士看起来很开心，那位女士将手伸到空中。</v>
      </c>
    </row>
    <row r="16589">
      <c r="A16589" s="4" t="s">
        <v>20894</v>
      </c>
      <c r="B16589" s="4" t="s">
        <v>20896</v>
      </c>
      <c r="C16589" s="5" t="str">
        <f>IFERROR(__xludf.DUMMYFUNCTION("GOOGLETRANSLATE(B16589,""en"",""zh-CN"")"),"我们看到一个男人在屏幕前打交道二十一点。")</f>
        <v>我们看到一个男人在屏幕前打交道二十一点。</v>
      </c>
    </row>
    <row r="16590">
      <c r="A16590" s="4" t="s">
        <v>20894</v>
      </c>
      <c r="B16590" s="4" t="s">
        <v>20897</v>
      </c>
      <c r="C16590" s="5" t="str">
        <f>IFERROR(__xludf.DUMMYFUNCTION("GOOGLETRANSLATE(B16590,""en"",""zh-CN"")"),"我们看到一个C标志屏幕。")</f>
        <v>我们看到一个C标志屏幕。</v>
      </c>
    </row>
    <row r="16591">
      <c r="A16591" s="4" t="s">
        <v>20894</v>
      </c>
      <c r="B16591" s="4" t="s">
        <v>20898</v>
      </c>
      <c r="C16591" s="5" t="str">
        <f>IFERROR(__xludf.DUMMYFUNCTION("GOOGLETRANSLATE(B16591,""en"",""zh-CN"")"),"我们看到该男子继续交易卡。")</f>
        <v>我们看到该男子继续交易卡。</v>
      </c>
    </row>
    <row r="16592">
      <c r="A16592" s="4" t="s">
        <v>20894</v>
      </c>
      <c r="B16592" s="4" t="s">
        <v>3608</v>
      </c>
      <c r="C16592" s="5" t="str">
        <f>IFERROR(__xludf.DUMMYFUNCTION("GOOGLETRANSLATE(B16592,""en"",""zh-CN"")"),"我们看到结尾屏幕。")</f>
        <v>我们看到结尾屏幕。</v>
      </c>
    </row>
    <row r="16593">
      <c r="A16593" s="4" t="s">
        <v>20899</v>
      </c>
      <c r="B16593" s="4" t="s">
        <v>20900</v>
      </c>
      <c r="C16593" s="5" t="str">
        <f>IFERROR(__xludf.DUMMYFUNCTION("GOOGLETRANSLATE(B16593,""en"",""zh-CN"")"),"一位年轻的女士在一个房间里滚下墙上的一块灰色和白色墙纸。")</f>
        <v>一位年轻的女士在一个房间里滚下墙上的一块灰色和白色墙纸。</v>
      </c>
    </row>
    <row r="16594">
      <c r="A16594" s="4" t="s">
        <v>20899</v>
      </c>
      <c r="B16594" s="4" t="s">
        <v>20901</v>
      </c>
      <c r="C16594" s="5" t="str">
        <f>IFERROR(__xludf.DUMMYFUNCTION("GOOGLETRANSLATE(B16594,""en"",""zh-CN"")"),"她现在在另一堵墙上，正在使用餐具使纸张平滑。")</f>
        <v>她现在在另一堵墙上，正在使用餐具使纸张平滑。</v>
      </c>
    </row>
    <row r="16595">
      <c r="A16595" s="4" t="s">
        <v>20899</v>
      </c>
      <c r="B16595" s="4" t="s">
        <v>20902</v>
      </c>
      <c r="C16595" s="5" t="str">
        <f>IFERROR(__xludf.DUMMYFUNCTION("GOOGLETRANSLATE(B16595,""en"",""zh-CN"")"),"然后，向她展示了切割灰色墙纸并刷它。")</f>
        <v>然后，向她展示了切割灰色墙纸并刷它。</v>
      </c>
    </row>
    <row r="16596">
      <c r="A16596" s="4" t="s">
        <v>20899</v>
      </c>
      <c r="B16596" s="6" t="s">
        <v>20903</v>
      </c>
      <c r="C16596" s="5" t="str">
        <f>IFERROR(__xludf.DUMMYFUNCTION("GOOGLETRANSLATE(B16596,""en"",""zh-CN"")"),"最后，她移到另一片花朵上，开始切断多余的纸，以确保正确测量它。")</f>
        <v>最后，她移到另一片花朵上，开始切断多余的纸，以确保正确测量它。</v>
      </c>
    </row>
    <row r="16597">
      <c r="A16597" s="4" t="s">
        <v>20904</v>
      </c>
      <c r="B16597" s="4" t="s">
        <v>20905</v>
      </c>
      <c r="C16597" s="5" t="str">
        <f>IFERROR(__xludf.DUMMYFUNCTION("GOOGLETRANSLATE(B16597,""en"",""zh-CN"")"),"看到一个人将手伸到丁水下，并在手上摩擦肥皂。")</f>
        <v>看到一个人将手伸到丁水下，并在手上摩擦肥皂。</v>
      </c>
    </row>
    <row r="16598">
      <c r="A16598" s="4" t="s">
        <v>20904</v>
      </c>
      <c r="B16598" s="4" t="s">
        <v>20906</v>
      </c>
      <c r="C16598" s="5" t="str">
        <f>IFERROR(__xludf.DUMMYFUNCTION("GOOGLETRANSLATE(B16598,""en"",""zh-CN"")"),"该人彻底擦洗双手，然后将它们放在水龙头下。")</f>
        <v>该人彻底擦洗双手，然后将它们放在水龙头下。</v>
      </c>
    </row>
    <row r="16599">
      <c r="A16599" s="4" t="s">
        <v>20904</v>
      </c>
      <c r="B16599" s="4" t="s">
        <v>20907</v>
      </c>
      <c r="C16599" s="5" t="str">
        <f>IFERROR(__xludf.DUMMYFUNCTION("GOOGLETRANSLATE(B16599,""en"",""zh-CN"")"),"然后，她抓起纸巾干燥双手并炫耀。")</f>
        <v>然后，她抓起纸巾干燥双手并炫耀。</v>
      </c>
    </row>
    <row r="16600">
      <c r="A16600" s="4" t="s">
        <v>20908</v>
      </c>
      <c r="B16600" s="4" t="s">
        <v>20909</v>
      </c>
      <c r="C16600" s="5" t="str">
        <f>IFERROR(__xludf.DUMMYFUNCTION("GOOGLETRANSLATE(B16600,""en"",""zh-CN"")"),"看到一个男人在地板上伸展，然后人们彼此围起来。")</f>
        <v>看到一个男人在地板上伸展，然后人们彼此围起来。</v>
      </c>
    </row>
    <row r="16601">
      <c r="A16601" s="4" t="s">
        <v>20908</v>
      </c>
      <c r="B16601" s="6" t="s">
        <v>20910</v>
      </c>
      <c r="C16601" s="5" t="str">
        <f>IFERROR(__xludf.DUMMYFUNCTION("GOOGLETRANSLATE(B16601,""en"",""zh-CN"")"),"人们彼此围起来，向后移动第四，相机捕捉了他们的动作。")</f>
        <v>人们彼此围起来，向后移动第四，相机捕捉了他们的动作。</v>
      </c>
    </row>
    <row r="16602">
      <c r="A16602" s="4" t="s">
        <v>20908</v>
      </c>
      <c r="B16602" s="4" t="s">
        <v>20911</v>
      </c>
      <c r="C16602" s="5" t="str">
        <f>IFERROR(__xludf.DUMMYFUNCTION("GOOGLETRANSLATE(B16602,""en"",""zh-CN"")"),"他们继续战斗，第四和第四和结束。")</f>
        <v>他们继续战斗，第四和第四和结束。</v>
      </c>
    </row>
    <row r="16603">
      <c r="A16603" s="4" t="s">
        <v>20912</v>
      </c>
      <c r="B16603" s="6" t="s">
        <v>20913</v>
      </c>
      <c r="C16603" s="5" t="str">
        <f>IFERROR(__xludf.DUMMYFUNCTION("GOOGLETRANSLATE(B16603,""en"",""zh-CN"")"),"湖边有一家繁忙的餐厅，几乎所有桌子都被那里的客人用餐。")</f>
        <v>湖边有一家繁忙的餐厅，几乎所有桌子都被那里的客人用餐。</v>
      </c>
    </row>
    <row r="16604">
      <c r="A16604" s="4" t="s">
        <v>20912</v>
      </c>
      <c r="B16604" s="4" t="s">
        <v>20914</v>
      </c>
      <c r="C16604" s="5" t="str">
        <f>IFERROR(__xludf.DUMMYFUNCTION("GOOGLETRANSLATE(B16604,""en"",""zh-CN"")"),"服务器填充眼镜中的冰，咖啡师煮咖啡。")</f>
        <v>服务器填充眼镜中的冰，咖啡师煮咖啡。</v>
      </c>
    </row>
    <row r="16605">
      <c r="A16605" s="4" t="s">
        <v>20912</v>
      </c>
      <c r="B16605" s="4" t="s">
        <v>20915</v>
      </c>
      <c r="C16605" s="5" t="str">
        <f>IFERROR(__xludf.DUMMYFUNCTION("GOOGLETRANSLATE(B16605,""en"",""zh-CN"")"),"顾客正忙着吃自己的食物。")</f>
        <v>顾客正忙着吃自己的食物。</v>
      </c>
    </row>
    <row r="16606">
      <c r="A16606" s="4" t="s">
        <v>20912</v>
      </c>
      <c r="B16606" s="4" t="s">
        <v>20916</v>
      </c>
      <c r="C16606" s="5" t="str">
        <f>IFERROR(__xludf.DUMMYFUNCTION("GOOGLETRANSLATE(B16606,""en"",""zh-CN"")"),"酒保正在混合饮料以制作各种鸡尾酒。")</f>
        <v>酒保正在混合饮料以制作各种鸡尾酒。</v>
      </c>
    </row>
    <row r="16607">
      <c r="A16607" s="4" t="s">
        <v>20912</v>
      </c>
      <c r="B16607" s="4" t="s">
        <v>20917</v>
      </c>
      <c r="C16607" s="5" t="str">
        <f>IFERROR(__xludf.DUMMYFUNCTION("GOOGLETRANSLATE(B16607,""en"",""zh-CN"")"),"咖啡师正在制作拿铁咖啡和卡布奇诺咖啡。")</f>
        <v>咖啡师正在制作拿铁咖啡和卡布奇诺咖啡。</v>
      </c>
    </row>
    <row r="16608">
      <c r="A16608" s="4" t="s">
        <v>20912</v>
      </c>
      <c r="B16608" s="4" t="s">
        <v>20918</v>
      </c>
      <c r="C16608" s="5" t="str">
        <f>IFERROR(__xludf.DUMMYFUNCTION("GOOGLETRANSLATE(B16608,""en"",""zh-CN"")"),"看到一位女士享受她的饮料。")</f>
        <v>看到一位女士享受她的饮料。</v>
      </c>
    </row>
    <row r="16609">
      <c r="A16609" s="4" t="s">
        <v>20919</v>
      </c>
      <c r="B16609" s="4" t="s">
        <v>20920</v>
      </c>
      <c r="C16609" s="5" t="str">
        <f>IFERROR(__xludf.DUMMYFUNCTION("GOOGLETRANSLATE(B16609,""en"",""zh-CN"")"),"一群妇女面对相机。")</f>
        <v>一群妇女面对相机。</v>
      </c>
    </row>
    <row r="16610">
      <c r="A16610" s="4" t="s">
        <v>20919</v>
      </c>
      <c r="B16610" s="4" t="s">
        <v>20921</v>
      </c>
      <c r="C16610" s="5" t="str">
        <f>IFERROR(__xludf.DUMMYFUNCTION("GOOGLETRANSLATE(B16610,""en"",""zh-CN"")"),"一个年长的女人走到小组的头上。")</f>
        <v>一个年长的女人走到小组的头上。</v>
      </c>
    </row>
    <row r="16611">
      <c r="A16611" s="4" t="s">
        <v>20919</v>
      </c>
      <c r="B16611" s="4" t="s">
        <v>20922</v>
      </c>
      <c r="C16611" s="5" t="str">
        <f>IFERROR(__xludf.DUMMYFUNCTION("GOOGLETRANSLATE(B16611,""en"",""zh-CN"")"),"小组一起朝相机跳舞。")</f>
        <v>小组一起朝相机跳舞。</v>
      </c>
    </row>
    <row r="16612">
      <c r="A16612" s="4" t="s">
        <v>20923</v>
      </c>
      <c r="B16612" s="6" t="s">
        <v>20924</v>
      </c>
      <c r="C16612" s="5" t="str">
        <f>IFERROR(__xludf.DUMMYFUNCTION("GOOGLETRANSLATE(B16612,""en"",""zh-CN"")"),"一个在雪地覆盖的停车场的男子衬有高高的路灯，夜晚从他的栗色跑车上刮了冰块。")</f>
        <v>一个在雪地覆盖的停车场的男子衬有高高的路灯，夜晚从他的栗色跑车上刮了冰块。</v>
      </c>
    </row>
    <row r="16613">
      <c r="A16613" s="4" t="s">
        <v>20923</v>
      </c>
      <c r="B16613" s="6" t="s">
        <v>20925</v>
      </c>
      <c r="C16613" s="5" t="str">
        <f>IFERROR(__xludf.DUMMYFUNCTION("GOOGLETRANSLATE(B16613,""en"",""zh-CN"")"),"该男子首先从挡风玻璃底部刮下冰和雪，以及他的汽车和前烤架的引擎盖。")</f>
        <v>该男子首先从挡风玻璃底部刮下冰和雪，以及他的汽车和前烤架的引擎盖。</v>
      </c>
    </row>
    <row r="16614">
      <c r="A16614" s="4" t="s">
        <v>20923</v>
      </c>
      <c r="B16614" s="6" t="s">
        <v>20926</v>
      </c>
      <c r="C16614" s="5" t="str">
        <f>IFERROR(__xludf.DUMMYFUNCTION("GOOGLETRANSLATE(B16614,""en"",""zh-CN"")"),"然后，该男子刮擦并踢在前乘客轮胎周围区域周围的冰块。")</f>
        <v>然后，该男子刮擦并踢在前乘客轮胎周围区域周围的冰块。</v>
      </c>
    </row>
    <row r="16615">
      <c r="A16615" s="4" t="s">
        <v>20923</v>
      </c>
      <c r="B16615" s="6" t="s">
        <v>20927</v>
      </c>
      <c r="C16615" s="5" t="str">
        <f>IFERROR(__xludf.DUMMYFUNCTION("GOOGLETRANSLATE(B16615,""en"",""zh-CN"")"),"最后，该男子在放弃并走向相机之前，将冰从汽车的后备箱和后乘客轮胎区域刮下来。")</f>
        <v>最后，该男子在放弃并走向相机之前，将冰从汽车的后备箱和后乘客轮胎区域刮下来。</v>
      </c>
    </row>
    <row r="16616">
      <c r="A16616" s="4" t="s">
        <v>20928</v>
      </c>
      <c r="B16616" s="6" t="s">
        <v>20929</v>
      </c>
      <c r="C16616" s="5" t="str">
        <f>IFERROR(__xludf.DUMMYFUNCTION("GOOGLETRANSLATE(B16616,""en"",""zh-CN"")"),"带有白色字母的滚动打印的黑色模板以向上运动在屏幕上进行。")</f>
        <v>带有白色字母的滚动打印的黑色模板以向上运动在屏幕上进行。</v>
      </c>
    </row>
    <row r="16617">
      <c r="A16617" s="4" t="s">
        <v>20928</v>
      </c>
      <c r="B16617" s="6" t="s">
        <v>20930</v>
      </c>
      <c r="C16617" s="5" t="str">
        <f>IFERROR(__xludf.DUMMYFUNCTION("GOOGLETRANSLATE(B16617,""en"",""zh-CN"")"),"一艘带有两个独木舟的摩托艇像帆的两侧一样，在白天横穿海洋，有两个人挂在一边。")</f>
        <v>一艘带有两个独木舟的摩托艇像帆的两侧一样，在白天横穿海洋，有两个人挂在一边。</v>
      </c>
    </row>
    <row r="16618">
      <c r="A16618" s="4" t="s">
        <v>20928</v>
      </c>
      <c r="B16618" s="6" t="s">
        <v>20931</v>
      </c>
      <c r="C16618" s="5" t="str">
        <f>IFERROR(__xludf.DUMMYFUNCTION("GOOGLETRANSLATE(B16618,""en"",""zh-CN"")"),"水上的船的图像变为夜视，只有绿色和白色在信用滚动之前反射出来。")</f>
        <v>水上的船的图像变为夜视，只有绿色和白色在信用滚动之前反射出来。</v>
      </c>
    </row>
    <row r="16619">
      <c r="A16619" s="4" t="s">
        <v>20932</v>
      </c>
      <c r="B16619" s="4" t="s">
        <v>20933</v>
      </c>
      <c r="C16619" s="5" t="str">
        <f>IFERROR(__xludf.DUMMYFUNCTION("GOOGLETRANSLATE(B16619,""en"",""zh-CN"")"),"有四个人参加BMX Dirt Biking比赛。")</f>
        <v>有四个人参加BMX Dirt Biking比赛。</v>
      </c>
    </row>
    <row r="16620">
      <c r="A16620" s="4" t="s">
        <v>20932</v>
      </c>
      <c r="B16620" s="4" t="s">
        <v>20934</v>
      </c>
      <c r="C16620" s="5" t="str">
        <f>IFERROR(__xludf.DUMMYFUNCTION("GOOGLETRANSLATE(B16620,""en"",""zh-CN"")"),"他们通过高高地跳过沟渠和陡峭的地形，在自行车上做不可思议的特技。")</f>
        <v>他们通过高高地跳过沟渠和陡峭的地形，在自行车上做不可思议的特技。</v>
      </c>
    </row>
    <row r="16621">
      <c r="A16621" s="4" t="s">
        <v>20932</v>
      </c>
      <c r="B16621" s="4" t="s">
        <v>20935</v>
      </c>
      <c r="C16621" s="5" t="str">
        <f>IFERROR(__xludf.DUMMYFUNCTION("GOOGLETRANSLATE(B16621,""en"",""zh-CN"")"),"一名骑自行车的人在越过丘陵的道路上跳下来。")</f>
        <v>一名骑自行车的人在越过丘陵的道路上跳下来。</v>
      </c>
    </row>
    <row r="16622">
      <c r="A16622" s="4" t="s">
        <v>20932</v>
      </c>
      <c r="B16622" s="4" t="s">
        <v>20936</v>
      </c>
      <c r="C16622" s="5" t="str">
        <f>IFERROR(__xludf.DUMMYFUNCTION("GOOGLETRANSLATE(B16622,""en"",""zh-CN"")"),"其他几个骑自行车的人全速越过丘陵地形和陡峭的山丘。")</f>
        <v>其他几个骑自行车的人全速越过丘陵地形和陡峭的山丘。</v>
      </c>
    </row>
    <row r="16623">
      <c r="A16623" s="4" t="s">
        <v>20932</v>
      </c>
      <c r="B16623" s="4" t="s">
        <v>20937</v>
      </c>
      <c r="C16623" s="5" t="str">
        <f>IFERROR(__xludf.DUMMYFUNCTION("GOOGLETRANSLATE(B16623,""en"",""zh-CN"")"),"人们聚集在一起观看和参加BMX活动。")</f>
        <v>人们聚集在一起观看和参加BMX活动。</v>
      </c>
    </row>
    <row r="16624">
      <c r="A16624" s="4" t="s">
        <v>20932</v>
      </c>
      <c r="B16624" s="4" t="s">
        <v>20938</v>
      </c>
      <c r="C16624" s="5" t="str">
        <f>IFERROR(__xludf.DUMMYFUNCTION("GOOGLETRANSLATE(B16624,""en"",""zh-CN"")"),"骑自行车的人在山顶地形和山顶上继续进行特技表演。")</f>
        <v>骑自行车的人在山顶地形和山顶上继续进行特技表演。</v>
      </c>
    </row>
    <row r="16625">
      <c r="A16625" s="4" t="s">
        <v>20932</v>
      </c>
      <c r="B16625" s="4" t="s">
        <v>20939</v>
      </c>
      <c r="C16625" s="5" t="str">
        <f>IFERROR(__xludf.DUMMYFUNCTION("GOOGLETRANSLATE(B16625,""en"",""zh-CN"")"),"比赛的获奖者是奖杯和证书。")</f>
        <v>比赛的获奖者是奖杯和证书。</v>
      </c>
    </row>
    <row r="16626">
      <c r="A16626" s="4" t="s">
        <v>20932</v>
      </c>
      <c r="B16626" s="4" t="s">
        <v>20940</v>
      </c>
      <c r="C16626" s="5" t="str">
        <f>IFERROR(__xludf.DUMMYFUNCTION("GOOGLETRANSLATE(B16626,""en"",""zh-CN"")"),"他们自豪地提高了自己的奖杯，以展示自己的成就。")</f>
        <v>他们自豪地提高了自己的奖杯，以展示自己的成就。</v>
      </c>
    </row>
    <row r="16627">
      <c r="A16627" s="4" t="s">
        <v>20941</v>
      </c>
      <c r="B16627" s="4" t="s">
        <v>20942</v>
      </c>
      <c r="C16627" s="5" t="str">
        <f>IFERROR(__xludf.DUMMYFUNCTION("GOOGLETRANSLATE(B16627,""en"",""zh-CN"")"),"人正在攀登一堵靠近安全带的岩石。")</f>
        <v>人正在攀登一堵靠近安全带的岩石。</v>
      </c>
    </row>
    <row r="16628">
      <c r="A16628" s="4" t="s">
        <v>20941</v>
      </c>
      <c r="B16628" s="4" t="s">
        <v>20943</v>
      </c>
      <c r="C16628" s="5" t="str">
        <f>IFERROR(__xludf.DUMMYFUNCTION("GOOGLETRANSLATE(B16628,""en"",""zh-CN"")"),"一群朋友站在田野上，在他们上方，男人正爬上岩石墙。")</f>
        <v>一群朋友站在田野上，在他们上方，男人正爬上岩石墙。</v>
      </c>
    </row>
    <row r="16629">
      <c r="A16629" s="4" t="s">
        <v>20941</v>
      </c>
      <c r="B16629" s="6" t="s">
        <v>20944</v>
      </c>
      <c r="C16629" s="5" t="str">
        <f>IFERROR(__xludf.DUMMYFUNCTION("GOOGLETRANSLATE(B16629,""en"",""zh-CN"")"),"人正在攀登岩石墙，拿着它，地板上的其他人也附着在准备爬墙的安全带上。")</f>
        <v>人正在攀登岩石墙，拿着它，地板上的其他人也附着在准备爬墙的安全带上。</v>
      </c>
    </row>
    <row r="16630">
      <c r="A16630" s="4" t="s">
        <v>20945</v>
      </c>
      <c r="B16630" s="6" t="s">
        <v>20946</v>
      </c>
      <c r="C16630" s="5" t="str">
        <f>IFERROR(__xludf.DUMMYFUNCTION("GOOGLETRANSLATE(B16630,""en"",""zh-CN"")"),"看到一个戴着手套的男人在相机上握着各种物体的同时讲话。")</f>
        <v>看到一个戴着手套的男人在相机上握着各种物体的同时讲话。</v>
      </c>
    </row>
    <row r="16631">
      <c r="A16631" s="4" t="s">
        <v>20945</v>
      </c>
      <c r="B16631" s="6" t="s">
        <v>20947</v>
      </c>
      <c r="C16631" s="5" t="str">
        <f>IFERROR(__xludf.DUMMYFUNCTION("GOOGLETRANSLATE(B16631,""en"",""zh-CN"")"),"然后，他将对象放在一起以创建一个大火焰，并在最后锤击一个工具，并显示结果。")</f>
        <v>然后，他将对象放在一起以创建一个大火焰，并在最后锤击一个工具，并显示结果。</v>
      </c>
    </row>
    <row r="16632">
      <c r="A16632" s="4" t="s">
        <v>20948</v>
      </c>
      <c r="B16632" s="4" t="s">
        <v>20949</v>
      </c>
      <c r="C16632" s="5" t="str">
        <f>IFERROR(__xludf.DUMMYFUNCTION("GOOGLETRANSLATE(B16632,""en"",""zh-CN"")"),"一位穿着灰色衬衫的男人在建筑物的内壁上涂抹石膏。")</f>
        <v>一位穿着灰色衬衫的男人在建筑物的内壁上涂抹石膏。</v>
      </c>
    </row>
    <row r="16633">
      <c r="A16633" s="4" t="s">
        <v>20948</v>
      </c>
      <c r="B16633" s="4" t="s">
        <v>20950</v>
      </c>
      <c r="C16633" s="5" t="str">
        <f>IFERROR(__xludf.DUMMYFUNCTION("GOOGLETRANSLATE(B16633,""en"",""zh-CN"")"),"房间角落的主要点显示了他正在工作的线路。")</f>
        <v>房间角落的主要点显示了他正在工作的线路。</v>
      </c>
    </row>
    <row r="16634">
      <c r="A16634" s="4" t="s">
        <v>20948</v>
      </c>
      <c r="B16634" s="4" t="s">
        <v>20951</v>
      </c>
      <c r="C16634" s="5" t="str">
        <f>IFERROR(__xludf.DUMMYFUNCTION("GOOGLETRANSLATE(B16634,""en"",""zh-CN"")"),"该男子在墙壁上涂抹更多的灰泥，覆盖了更多的区域。")</f>
        <v>该男子在墙壁上涂抹更多的灰泥，覆盖了更多的区域。</v>
      </c>
    </row>
    <row r="16635">
      <c r="A16635" s="4" t="s">
        <v>20948</v>
      </c>
      <c r="B16635" s="4" t="s">
        <v>20952</v>
      </c>
      <c r="C16635" s="5" t="str">
        <f>IFERROR(__xludf.DUMMYFUNCTION("GOOGLETRANSLATE(B16635,""en"",""zh-CN"")"),"灰色的男人停下来与他的伴侣讨论。")</f>
        <v>灰色的男人停下来与他的伴侣讨论。</v>
      </c>
    </row>
    <row r="16636">
      <c r="A16636" s="4" t="s">
        <v>20948</v>
      </c>
      <c r="B16636" s="4" t="s">
        <v>20953</v>
      </c>
      <c r="C16636" s="5" t="str">
        <f>IFERROR(__xludf.DUMMYFUNCTION("GOOGLETRANSLATE(B16636,""en"",""zh-CN"")"),"灰色的男人和他的伴侣一起开始在墙上涂涂层。")</f>
        <v>灰色的男人和他的伴侣一起开始在墙上涂涂层。</v>
      </c>
    </row>
    <row r="16637">
      <c r="A16637" s="4" t="s">
        <v>20948</v>
      </c>
      <c r="B16637" s="4" t="s">
        <v>20954</v>
      </c>
      <c r="C16637" s="5" t="str">
        <f>IFERROR(__xludf.DUMMYFUNCTION("GOOGLETRANSLATE(B16637,""en"",""zh-CN"")"),"灰色手表的男人为他的朋友提供了技巧。")</f>
        <v>灰色手表的男人为他的朋友提供了技巧。</v>
      </c>
    </row>
    <row r="16638">
      <c r="A16638" s="4" t="s">
        <v>20948</v>
      </c>
      <c r="B16638" s="4" t="s">
        <v>20955</v>
      </c>
      <c r="C16638" s="5" t="str">
        <f>IFERROR(__xludf.DUMMYFUNCTION("GOOGLETRANSLATE(B16638,""en"",""zh-CN"")"),"灰色的人和朋友都在墙壁和天花板上涂抹石膏。")</f>
        <v>灰色的人和朋友都在墙壁和天花板上涂抹石膏。</v>
      </c>
    </row>
    <row r="16639">
      <c r="A16639" s="4" t="s">
        <v>20956</v>
      </c>
      <c r="B16639" s="6" t="s">
        <v>20957</v>
      </c>
      <c r="C16639" s="5" t="str">
        <f>IFERROR(__xludf.DUMMYFUNCTION("GOOGLETRANSLATE(B16639,""en"",""zh-CN"")"),"一名歌手在大舞台上站在钢琴上，并在麦克风中说话，而鼓手则在背景中播放。")</f>
        <v>一名歌手在大舞台上站在钢琴上，并在麦克风中说话，而鼓手则在背景中播放。</v>
      </c>
    </row>
    <row r="16640">
      <c r="A16640" s="4" t="s">
        <v>20956</v>
      </c>
      <c r="B16640" s="6" t="s">
        <v>20958</v>
      </c>
      <c r="C16640" s="5" t="str">
        <f>IFERROR(__xludf.DUMMYFUNCTION("GOOGLETRANSLATE(B16640,""en"",""zh-CN"")"),"他继续向观众唱歌，然后跳下钢琴并在舞台上跳舞。")</f>
        <v>他继续向观众唱歌，然后跳下钢琴并在舞台上跳舞。</v>
      </c>
    </row>
    <row r="16641">
      <c r="A16641" s="4" t="s">
        <v>20956</v>
      </c>
      <c r="B16641" s="6" t="s">
        <v>20959</v>
      </c>
      <c r="C16641" s="5" t="str">
        <f>IFERROR(__xludf.DUMMYFUNCTION("GOOGLETRANSLATE(B16641,""en"",""zh-CN"")"),"鼓继续播放，在他身后闪烁的灯光，而人们则在场景周围洗牌。")</f>
        <v>鼓继续播放，在他身后闪烁的灯光，而人们则在场景周围洗牌。</v>
      </c>
    </row>
    <row r="16642">
      <c r="A16642" s="4" t="s">
        <v>20956</v>
      </c>
      <c r="B16642" s="6" t="s">
        <v>20960</v>
      </c>
      <c r="C16642" s="5" t="str">
        <f>IFERROR(__xludf.DUMMYFUNCTION("GOOGLETRANSLATE(B16642,""en"",""zh-CN"")"),"然后，两个男人开始在鼓工和动作之间切换时互相反向背对背。")</f>
        <v>然后，两个男人开始在鼓工和动作之间切换时互相反向背对背。</v>
      </c>
    </row>
    <row r="16643">
      <c r="A16643" s="4" t="s">
        <v>20961</v>
      </c>
      <c r="B16643" s="4" t="s">
        <v>20962</v>
      </c>
      <c r="C16643" s="5" t="str">
        <f>IFERROR(__xludf.DUMMYFUNCTION("GOOGLETRANSLATE(B16643,""en"",""zh-CN"")"),"一个摄像机盘中的电视机，该电视机会导致一个在大人群前拿着棍子的人。")</f>
        <v>一个摄像机盘中的电视机，该电视机会导致一个在大人群前拿着棍子的人。</v>
      </c>
    </row>
    <row r="16644">
      <c r="A16644" s="4" t="s">
        <v>20961</v>
      </c>
      <c r="B16644" s="4" t="s">
        <v>20963</v>
      </c>
      <c r="C16644" s="5" t="str">
        <f>IFERROR(__xludf.DUMMYFUNCTION("GOOGLETRANSLATE(B16644,""en"",""zh-CN"")"),"他与一个女人说话，慢动作显示了一个人玩洗牌板的人。")</f>
        <v>他与一个女人说话，慢动作显示了一个人玩洗牌板的人。</v>
      </c>
    </row>
    <row r="16645">
      <c r="A16645" s="4" t="s">
        <v>20964</v>
      </c>
      <c r="B16645" s="4" t="s">
        <v>20965</v>
      </c>
      <c r="C16645" s="5" t="str">
        <f>IFERROR(__xludf.DUMMYFUNCTION("GOOGLETRANSLATE(B16645,""en"",""zh-CN"")"),"一个人在桌子后面磨刀。")</f>
        <v>一个人在桌子后面磨刀。</v>
      </c>
    </row>
    <row r="16646">
      <c r="A16646" s="4" t="s">
        <v>20964</v>
      </c>
      <c r="B16646" s="4" t="s">
        <v>20966</v>
      </c>
      <c r="C16646" s="5" t="str">
        <f>IFERROR(__xludf.DUMMYFUNCTION("GOOGLETRANSLATE(B16646,""en"",""zh-CN"")"),"人们站在桌子前看着。")</f>
        <v>人们站在桌子前看着。</v>
      </c>
    </row>
    <row r="16647">
      <c r="A16647" s="4" t="s">
        <v>20964</v>
      </c>
      <c r="B16647" s="4" t="s">
        <v>20967</v>
      </c>
      <c r="C16647" s="5" t="str">
        <f>IFERROR(__xludf.DUMMYFUNCTION("GOOGLETRANSLATE(B16647,""en"",""zh-CN"")"),"他拿起刀将刀片磨刀，并用它来锐化刀。")</f>
        <v>他拿起刀将刀片磨刀，并用它来锐化刀。</v>
      </c>
    </row>
    <row r="16648">
      <c r="A16648" s="4" t="s">
        <v>20968</v>
      </c>
      <c r="B16648" s="6" t="s">
        <v>20969</v>
      </c>
      <c r="C16648" s="5" t="str">
        <f>IFERROR(__xludf.DUMMYFUNCTION("GOOGLETRANSLATE(B16648,""en"",""zh-CN"")"),"看到一个女人在水槽里洗碗，而男人则与相机说话并放大了菜肴。")</f>
        <v>看到一个女人在水槽里洗碗，而男人则与相机说话并放大了菜肴。</v>
      </c>
    </row>
    <row r="16649">
      <c r="A16649" s="4" t="s">
        <v>20968</v>
      </c>
      <c r="B16649" s="4" t="s">
        <v>20970</v>
      </c>
      <c r="C16649" s="5" t="str">
        <f>IFERROR(__xludf.DUMMYFUNCTION("GOOGLETRANSLATE(B16649,""en"",""zh-CN"")"),"该男子继续与相机交谈，并演示如何正确洗碗。")</f>
        <v>该男子继续与相机交谈，并演示如何正确洗碗。</v>
      </c>
    </row>
    <row r="16650">
      <c r="A16650" s="4" t="s">
        <v>20971</v>
      </c>
      <c r="B16650" s="6" t="s">
        <v>20972</v>
      </c>
      <c r="C16650" s="5" t="str">
        <f>IFERROR(__xludf.DUMMYFUNCTION("GOOGLETRANSLATE(B16650,""en"",""zh-CN"")"),"看到一个人站在野餐桌前，一边拿着自行车轮在相机上说话。")</f>
        <v>看到一个人站在野餐桌前，一边拿着自行车轮在相机上说话。</v>
      </c>
    </row>
    <row r="16651">
      <c r="A16651" s="4" t="s">
        <v>20971</v>
      </c>
      <c r="B16651" s="6" t="s">
        <v>20973</v>
      </c>
      <c r="C16651" s="5" t="str">
        <f>IFERROR(__xludf.DUMMYFUNCTION("GOOGLETRANSLATE(B16651,""en"",""zh-CN"")"),"然后，他将轮胎放在地面上，将手移动到周围，以确保轮胎适当膨胀。")</f>
        <v>然后，他将轮胎放在地面上，将手移动到周围，以确保轮胎适当膨胀。</v>
      </c>
    </row>
    <row r="16652">
      <c r="A16652" s="4" t="s">
        <v>20971</v>
      </c>
      <c r="B16652" s="4" t="s">
        <v>20974</v>
      </c>
      <c r="C16652" s="5" t="str">
        <f>IFERROR(__xludf.DUMMYFUNCTION("GOOGLETRANSLATE(B16652,""en"",""zh-CN"")"),"他将轮胎放回桌子上，然后拉出一条绳子将其绑起来。")</f>
        <v>他将轮胎放回桌子上，然后拉出一条绳子将其绑起来。</v>
      </c>
    </row>
    <row r="16653">
      <c r="A16653" s="4" t="s">
        <v>20975</v>
      </c>
      <c r="B16653" s="4" t="s">
        <v>20976</v>
      </c>
      <c r="C16653" s="5" t="str">
        <f>IFERROR(__xludf.DUMMYFUNCTION("GOOGLETRANSLATE(B16653,""en"",""zh-CN"")"),"看到两个人彼此围栏时，在一个大垫子上向后移动和第四。")</f>
        <v>看到两个人彼此围栏时，在一个大垫子上向后移动和第四。</v>
      </c>
    </row>
    <row r="16654">
      <c r="A16654" s="4" t="s">
        <v>20975</v>
      </c>
      <c r="B16654" s="4" t="s">
        <v>20977</v>
      </c>
      <c r="C16654" s="5" t="str">
        <f>IFERROR(__xludf.DUMMYFUNCTION("GOOGLETRANSLATE(B16654,""en"",""zh-CN"")"),"观众在结束和结束时欢呼雀跃，以慢动作再次展示比赛。")</f>
        <v>观众在结束和结束时欢呼雀跃，以慢动作再次展示比赛。</v>
      </c>
    </row>
    <row r="16655">
      <c r="A16655" s="4" t="s">
        <v>20978</v>
      </c>
      <c r="B16655" s="6" t="s">
        <v>20979</v>
      </c>
      <c r="C16655" s="5" t="str">
        <f>IFERROR(__xludf.DUMMYFUNCTION("GOOGLETRANSLATE(B16655,""en"",""zh-CN"")"),"看到一个人坐在管子里喝啤酒，而其他人则在远处坐下。")</f>
        <v>看到一个人坐在管子里喝啤酒，而其他人则在远处坐下。</v>
      </c>
    </row>
    <row r="16656">
      <c r="A16656" s="4" t="s">
        <v>20978</v>
      </c>
      <c r="B16656" s="6" t="s">
        <v>20980</v>
      </c>
      <c r="C16656" s="5" t="str">
        <f>IFERROR(__xludf.DUMMYFUNCTION("GOOGLETRANSLATE(B16656,""en"",""zh-CN"")"),"进一步的镜头显示了人们在喝啤酒和互相交谈时骑着管子骑着的人。")</f>
        <v>进一步的镜头显示了人们在喝啤酒和互相交谈时骑着管子骑着的人。</v>
      </c>
    </row>
    <row r="16657">
      <c r="A16657" s="4" t="s">
        <v>20981</v>
      </c>
      <c r="B16657" s="4" t="s">
        <v>20982</v>
      </c>
      <c r="C16657" s="5" t="str">
        <f>IFERROR(__xludf.DUMMYFUNCTION("GOOGLETRANSLATE(B16657,""en"",""zh-CN"")"),"看到一个女孩在相机上说话，并通往她的握住瓶子并洗脸。")</f>
        <v>看到一个女孩在相机上说话，并通往她的握住瓶子并洗脸。</v>
      </c>
    </row>
    <row r="16658">
      <c r="A16658" s="4" t="s">
        <v>20981</v>
      </c>
      <c r="B16658" s="4" t="s">
        <v>20983</v>
      </c>
      <c r="C16658" s="5" t="str">
        <f>IFERROR(__xludf.DUMMYFUNCTION("GOOGLETRANSLATE(B16658,""en"",""zh-CN"")"),"她用毛巾擦拭脸部，然后将乳液放在脸上。")</f>
        <v>她用毛巾擦拭脸部，然后将乳液放在脸上。</v>
      </c>
    </row>
    <row r="16659">
      <c r="A16659" s="4" t="s">
        <v>20984</v>
      </c>
      <c r="B16659" s="6" t="s">
        <v>20985</v>
      </c>
      <c r="C16659" s="5" t="str">
        <f>IFERROR(__xludf.DUMMYFUNCTION("GOOGLETRANSLATE(B16659,""en"",""zh-CN"")"),"一家穿着男子的旅馆黑色衬衫和伪装打印短裤正在演示如何在车轮边缘上修复橡胶轮胎。")</f>
        <v>一家穿着男子的旅馆黑色衬衫和伪装打印短裤正在演示如何在车轮边缘上修复橡胶轮胎。</v>
      </c>
    </row>
    <row r="16660">
      <c r="A16660" s="4" t="s">
        <v>20984</v>
      </c>
      <c r="B16660" s="4" t="s">
        <v>20986</v>
      </c>
      <c r="C16660" s="5" t="str">
        <f>IFERROR(__xludf.DUMMYFUNCTION("GOOGLETRANSLATE(B16660,""en"",""zh-CN"")"),"他展示了完成该过程所需的所有工具。")</f>
        <v>他展示了完成该过程所需的所有工具。</v>
      </c>
    </row>
    <row r="16661">
      <c r="A16661" s="4" t="s">
        <v>20984</v>
      </c>
      <c r="B16661" s="4" t="s">
        <v>20987</v>
      </c>
      <c r="C16661" s="5" t="str">
        <f>IFERROR(__xludf.DUMMYFUNCTION("GOOGLETRANSLATE(B16661,""en"",""zh-CN"")"),"他拿起橡胶轮胎并用液体喷洒。")</f>
        <v>他拿起橡胶轮胎并用液体喷洒。</v>
      </c>
    </row>
    <row r="16662">
      <c r="A16662" s="4" t="s">
        <v>20984</v>
      </c>
      <c r="B16662" s="4" t="s">
        <v>20988</v>
      </c>
      <c r="C16662" s="5" t="str">
        <f>IFERROR(__xludf.DUMMYFUNCTION("GOOGLETRANSLATE(B16662,""en"",""zh-CN"")"),"然后，他将车轮的内边缘安装在轮胎中。")</f>
        <v>然后，他将车轮的内边缘安装在轮胎中。</v>
      </c>
    </row>
    <row r="16663">
      <c r="A16663" s="4" t="s">
        <v>20984</v>
      </c>
      <c r="B16663" s="4" t="s">
        <v>20989</v>
      </c>
      <c r="C16663" s="5" t="str">
        <f>IFERROR(__xludf.DUMMYFUNCTION("GOOGLETRANSLATE(B16663,""en"",""zh-CN"")"),"他使用槌将其紧密固定。")</f>
        <v>他使用槌将其紧密固定。</v>
      </c>
    </row>
    <row r="16664">
      <c r="A16664" s="4" t="s">
        <v>20984</v>
      </c>
      <c r="B16664" s="6" t="s">
        <v>20990</v>
      </c>
      <c r="C16664" s="5" t="str">
        <f>IFERROR(__xludf.DUMMYFUNCTION("GOOGLETRANSLATE(B16664,""en"",""zh-CN"")"),"然后，他使用工具来拧紧在轮胎内圆的整个直径上延伸的各种螺钉。")</f>
        <v>然后，他使用工具来拧紧在轮胎内圆的整个直径上延伸的各种螺钉。</v>
      </c>
    </row>
    <row r="16665">
      <c r="A16665" s="4" t="s">
        <v>20984</v>
      </c>
      <c r="B16665" s="4" t="s">
        <v>20991</v>
      </c>
      <c r="C16665" s="5" t="str">
        <f>IFERROR(__xludf.DUMMYFUNCTION("GOOGLETRANSLATE(B16665,""en"",""zh-CN"")"),"然后，他使用扭矩扳手进一步拧紧螺丝。")</f>
        <v>然后，他使用扭矩扳手进一步拧紧螺丝。</v>
      </c>
    </row>
    <row r="16666">
      <c r="A16666" s="4" t="s">
        <v>20984</v>
      </c>
      <c r="B16666" s="4" t="s">
        <v>20992</v>
      </c>
      <c r="C16666" s="5" t="str">
        <f>IFERROR(__xludf.DUMMYFUNCTION("GOOGLETRANSLATE(B16666,""en"",""zh-CN"")"),"他填充空气并检查轮胎压力。")</f>
        <v>他填充空气并检查轮胎压力。</v>
      </c>
    </row>
    <row r="16667">
      <c r="A16667" s="4" t="s">
        <v>20993</v>
      </c>
      <c r="B16667" s="4" t="s">
        <v>20994</v>
      </c>
      <c r="C16667" s="5" t="str">
        <f>IFERROR(__xludf.DUMMYFUNCTION("GOOGLETRANSLATE(B16667,""en"",""zh-CN"")"),"一群女孩摆姿势拍照。")</f>
        <v>一群女孩摆姿势拍照。</v>
      </c>
    </row>
    <row r="16668">
      <c r="A16668" s="4" t="s">
        <v>20993</v>
      </c>
      <c r="B16668" s="4" t="s">
        <v>20995</v>
      </c>
      <c r="C16668" s="5" t="str">
        <f>IFERROR(__xludf.DUMMYFUNCTION("GOOGLETRANSLATE(B16668,""en"",""zh-CN"")"),"然后显示他们在几个帐篷前的田野上演奏排球。")</f>
        <v>然后显示他们在几个帐篷前的田野上演奏排球。</v>
      </c>
    </row>
    <row r="16669">
      <c r="A16669" s="4" t="s">
        <v>20993</v>
      </c>
      <c r="B16669" s="4" t="s">
        <v>20996</v>
      </c>
      <c r="C16669" s="5" t="str">
        <f>IFERROR(__xludf.DUMMYFUNCTION("GOOGLETRANSLATE(B16669,""en"",""zh-CN"")"),"他们来回弹球。")</f>
        <v>他们来回弹球。</v>
      </c>
    </row>
    <row r="16670">
      <c r="A16670" s="4" t="s">
        <v>20993</v>
      </c>
      <c r="B16670" s="4" t="s">
        <v>20997</v>
      </c>
      <c r="C16670" s="5" t="str">
        <f>IFERROR(__xludf.DUMMYFUNCTION("GOOGLETRANSLATE(B16670,""en"",""zh-CN"")"),"一个男孩微笑时，一个男孩在镜头前做一个手势。")</f>
        <v>一个男孩微笑时，一个男孩在镜头前做一个手势。</v>
      </c>
    </row>
    <row r="16671">
      <c r="A16671" s="4" t="s">
        <v>20993</v>
      </c>
      <c r="B16671" s="4" t="s">
        <v>20998</v>
      </c>
      <c r="C16671" s="5" t="str">
        <f>IFERROR(__xludf.DUMMYFUNCTION("GOOGLETRANSLATE(B16671,""en"",""zh-CN"")"),"再次向我们展示了一群在照片中摆姿势的女孩。")</f>
        <v>再次向我们展示了一群在照片中摆姿势的女孩。</v>
      </c>
    </row>
    <row r="16672">
      <c r="A16672" s="4" t="s">
        <v>20999</v>
      </c>
      <c r="B16672" s="4" t="s">
        <v>21000</v>
      </c>
      <c r="C16672" s="5" t="str">
        <f>IFERROR(__xludf.DUMMYFUNCTION("GOOGLETRANSLATE(B16672,""en"",""zh-CN"")"),"看见一个女人站在木板前面时在相机上说话。")</f>
        <v>看见一个女人站在木板前面时在相机上说话。</v>
      </c>
    </row>
    <row r="16673">
      <c r="A16673" s="4" t="s">
        <v>20999</v>
      </c>
      <c r="B16673" s="4" t="s">
        <v>21001</v>
      </c>
      <c r="C16673" s="5" t="str">
        <f>IFERROR(__xludf.DUMMYFUNCTION("GOOGLETRANSLATE(B16673,""en"",""zh-CN"")"),"她开始在板上上下移动，同时旋转自己并移动身体。")</f>
        <v>她开始在板上上下移动，同时旋转自己并移动身体。</v>
      </c>
    </row>
    <row r="16674">
      <c r="A16674" s="4" t="s">
        <v>20999</v>
      </c>
      <c r="B16674" s="4" t="s">
        <v>21002</v>
      </c>
      <c r="C16674" s="5" t="str">
        <f>IFERROR(__xludf.DUMMYFUNCTION("GOOGLETRANSLATE(B16674,""en"",""zh-CN"")"),"她继续移动并停止面对相机。")</f>
        <v>她继续移动并停止面对相机。</v>
      </c>
    </row>
    <row r="16675">
      <c r="A16675" s="4" t="s">
        <v>21003</v>
      </c>
      <c r="B16675" s="4" t="s">
        <v>21004</v>
      </c>
      <c r="C16675" s="5" t="str">
        <f>IFERROR(__xludf.DUMMYFUNCTION("GOOGLETRANSLATE(B16675,""en"",""zh-CN"")"),"我们看到人们在游泳池里玩水马球。")</f>
        <v>我们看到人们在游泳池里玩水马球。</v>
      </c>
    </row>
    <row r="16676">
      <c r="A16676" s="4" t="s">
        <v>21003</v>
      </c>
      <c r="B16676" s="4" t="s">
        <v>21005</v>
      </c>
      <c r="C16676" s="5" t="str">
        <f>IFERROR(__xludf.DUMMYFUNCTION("GOOGLETRANSLATE(B16676,""en"",""zh-CN"")"),"右后方的一个男人将球扔给了一个接近球门的球员。")</f>
        <v>右后方的一个男人将球扔给了一个接近球门的球员。</v>
      </c>
    </row>
    <row r="16677">
      <c r="A16677" s="4" t="s">
        <v>21003</v>
      </c>
      <c r="B16677" s="4" t="s">
        <v>21006</v>
      </c>
      <c r="C16677" s="5" t="str">
        <f>IFERROR(__xludf.DUMMYFUNCTION("GOOGLETRANSLATE(B16677,""en"",""zh-CN"")"),"然后，那个球员将球扔到左边的一个男人身上。")</f>
        <v>然后，那个球员将球扔到左边的一个男人身上。</v>
      </c>
    </row>
    <row r="16678">
      <c r="A16678" s="4" t="s">
        <v>21003</v>
      </c>
      <c r="B16678" s="4" t="s">
        <v>21007</v>
      </c>
      <c r="C16678" s="5" t="str">
        <f>IFERROR(__xludf.DUMMYFUNCTION("GOOGLETRANSLATE(B16678,""en"",""zh-CN"")"),"一个男人抓住球并将其投入进球。")</f>
        <v>一个男人抓住球并将其投入进球。</v>
      </c>
    </row>
    <row r="16679">
      <c r="A16679" s="4" t="s">
        <v>21008</v>
      </c>
      <c r="B16679" s="6" t="s">
        <v>21009</v>
      </c>
      <c r="C16679" s="5" t="str">
        <f>IFERROR(__xludf.DUMMYFUNCTION("GOOGLETRANSLATE(B16679,""en"",""zh-CN"")"),"看到一个小男孩沿着滑板骑行，然后又有几枪骑在木板上。")</f>
        <v>看到一个小男孩沿着滑板骑行，然后又有几枪骑在木板上。</v>
      </c>
    </row>
    <row r="16680">
      <c r="A16680" s="4" t="s">
        <v>21008</v>
      </c>
      <c r="B16680" s="6" t="s">
        <v>21010</v>
      </c>
      <c r="C16680" s="5" t="str">
        <f>IFERROR(__xludf.DUMMYFUNCTION("GOOGLETRANSLATE(B16680,""en"",""zh-CN"")"),"男孩们在摄像机奔向天空并在赛道上移动时进行了几个技巧。")</f>
        <v>男孩们在摄像机奔向天空并在赛道上移动时进行了几个技巧。</v>
      </c>
    </row>
    <row r="16681">
      <c r="A16681" s="4" t="s">
        <v>21011</v>
      </c>
      <c r="B16681" s="4" t="s">
        <v>21012</v>
      </c>
      <c r="C16681" s="5" t="str">
        <f>IFERROR(__xludf.DUMMYFUNCTION("GOOGLETRANSLATE(B16681,""en"",""zh-CN"")"),"一个女人正在房间里玩一套风笛。")</f>
        <v>一个女人正在房间里玩一套风笛。</v>
      </c>
    </row>
    <row r="16682">
      <c r="A16682" s="4" t="s">
        <v>21011</v>
      </c>
      <c r="B16682" s="4" t="s">
        <v>21013</v>
      </c>
      <c r="C16682" s="5" t="str">
        <f>IFERROR(__xludf.DUMMYFUNCTION("GOOGLETRANSLATE(B16682,""en"",""zh-CN"")"),"她笑了，因为一个男人帮助她调整了管道，并继续播放。")</f>
        <v>她笑了，因为一个男人帮助她调整了管道，并继续播放。</v>
      </c>
    </row>
    <row r="16683">
      <c r="A16683" s="4" t="s">
        <v>21014</v>
      </c>
      <c r="B16683" s="4" t="s">
        <v>21015</v>
      </c>
      <c r="C16683" s="5" t="str">
        <f>IFERROR(__xludf.DUMMYFUNCTION("GOOGLETRANSLATE(B16683,""en"",""zh-CN"")"),"一只大黑狗在街上行走。")</f>
        <v>一只大黑狗在街上行走。</v>
      </c>
    </row>
    <row r="16684">
      <c r="A16684" s="4" t="s">
        <v>21014</v>
      </c>
      <c r="B16684" s="4" t="s">
        <v>21016</v>
      </c>
      <c r="C16684" s="5" t="str">
        <f>IFERROR(__xludf.DUMMYFUNCTION("GOOGLETRANSLATE(B16684,""en"",""zh-CN"")"),"他把另一只狗的皮带牵引在嘴里。")</f>
        <v>他把另一只狗的皮带牵引在嘴里。</v>
      </c>
    </row>
    <row r="16685">
      <c r="A16685" s="4" t="s">
        <v>21014</v>
      </c>
      <c r="B16685" s="4" t="s">
        <v>21017</v>
      </c>
      <c r="C16685" s="5" t="str">
        <f>IFERROR(__xludf.DUMMYFUNCTION("GOOGLETRANSLATE(B16685,""en"",""zh-CN"")"),"第二只狗允许第一个带领他走到哪里。")</f>
        <v>第二只狗允许第一个带领他走到哪里。</v>
      </c>
    </row>
    <row r="16686">
      <c r="A16686" s="4" t="s">
        <v>21018</v>
      </c>
      <c r="B16686" s="4" t="s">
        <v>21019</v>
      </c>
      <c r="C16686" s="5" t="str">
        <f>IFERROR(__xludf.DUMMYFUNCTION("GOOGLETRANSLATE(B16686,""en"",""zh-CN"")"),"一个女人躺在房间的地板上。")</f>
        <v>一个女人躺在房间的地板上。</v>
      </c>
    </row>
    <row r="16687">
      <c r="A16687" s="4" t="s">
        <v>21018</v>
      </c>
      <c r="B16687" s="4" t="s">
        <v>21020</v>
      </c>
      <c r="C16687" s="5" t="str">
        <f>IFERROR(__xludf.DUMMYFUNCTION("GOOGLETRANSLATE(B16687,""en"",""zh-CN"")"),"音乐开始播放，她站起来开始肚皮舞。")</f>
        <v>音乐开始播放，她站起来开始肚皮舞。</v>
      </c>
    </row>
    <row r="16688">
      <c r="A16688" s="4" t="s">
        <v>21018</v>
      </c>
      <c r="B16688" s="4" t="s">
        <v>21021</v>
      </c>
      <c r="C16688" s="5" t="str">
        <f>IFERROR(__xludf.DUMMYFUNCTION("GOOGLETRANSLATE(B16688,""en"",""zh-CN"")"),"当她跳舞时，其他人看着。")</f>
        <v>当她跳舞时，其他人看着。</v>
      </c>
    </row>
    <row r="16689">
      <c r="A16689" s="4" t="s">
        <v>21018</v>
      </c>
      <c r="B16689" s="4" t="s">
        <v>21022</v>
      </c>
      <c r="C16689" s="5" t="str">
        <f>IFERROR(__xludf.DUMMYFUNCTION("GOOGLETRANSLATE(B16689,""en"",""zh-CN"")"),"在背景中，一个孩子在看着女人时给一个拥抱。")</f>
        <v>在背景中，一个孩子在看着女人时给一个拥抱。</v>
      </c>
    </row>
    <row r="16690">
      <c r="A16690" s="4" t="s">
        <v>21018</v>
      </c>
      <c r="B16690" s="4" t="s">
        <v>21023</v>
      </c>
      <c r="C16690" s="5" t="str">
        <f>IFERROR(__xludf.DUMMYFUNCTION("GOOGLETRANSLATE(B16690,""en"",""zh-CN"")"),"音乐停止，舞者走出舞台。")</f>
        <v>音乐停止，舞者走出舞台。</v>
      </c>
    </row>
    <row r="16691">
      <c r="A16691" s="4" t="s">
        <v>21024</v>
      </c>
      <c r="B16691" s="4" t="s">
        <v>21025</v>
      </c>
      <c r="C16691" s="5" t="str">
        <f>IFERROR(__xludf.DUMMYFUNCTION("GOOGLETRANSLATE(B16691,""en"",""zh-CN"")"),"一个年轻的女人坐在椅子上，因为一对剪刀被抬起鼻子。")</f>
        <v>一个年轻的女人坐在椅子上，因为一对剪刀被抬起鼻子。</v>
      </c>
    </row>
    <row r="16692">
      <c r="A16692" s="4" t="s">
        <v>21024</v>
      </c>
      <c r="B16692" s="6" t="s">
        <v>21026</v>
      </c>
      <c r="C16692" s="5" t="str">
        <f>IFERROR(__xludf.DUMMYFUNCTION("GOOGLETRANSLATE(B16692,""en"",""zh-CN"")"),"刺穿隔膜的人继续握住它，另一只手抓住了针。")</f>
        <v>刺穿隔膜的人继续握住它，另一只手抓住了针。</v>
      </c>
    </row>
    <row r="16693">
      <c r="A16693" s="4" t="s">
        <v>21024</v>
      </c>
      <c r="B16693" s="6" t="s">
        <v>21027</v>
      </c>
      <c r="C16693" s="5" t="str">
        <f>IFERROR(__xludf.DUMMYFUNCTION("GOOGLETRANSLATE(B16693,""en"",""zh-CN"")"),"一旦他刺穿了它，一滴鼻子就会从鼻子上飞翔，女孩开始说话，直到球末尾。")</f>
        <v>一旦他刺穿了它，一滴鼻子就会从鼻子上飞翔，女孩开始说话，直到球末尾。</v>
      </c>
    </row>
    <row r="16694">
      <c r="A16694" s="4" t="s">
        <v>21028</v>
      </c>
      <c r="B16694" s="4" t="s">
        <v>21029</v>
      </c>
      <c r="C16694" s="5" t="str">
        <f>IFERROR(__xludf.DUMMYFUNCTION("GOOGLETRANSLATE(B16694,""en"",""zh-CN"")"),"一个人踩在潜水板上并跳跃。")</f>
        <v>一个人踩在潜水板上并跳跃。</v>
      </c>
    </row>
    <row r="16695">
      <c r="A16695" s="4" t="s">
        <v>21028</v>
      </c>
      <c r="B16695" s="4" t="s">
        <v>21030</v>
      </c>
      <c r="C16695" s="5" t="str">
        <f>IFERROR(__xludf.DUMMYFUNCTION("GOOGLETRANSLATE(B16695,""en"",""zh-CN"")"),"然后，男人翻了三遍，然后在游泳池里潜水。")</f>
        <v>然后，男人翻了三遍，然后在游泳池里潜水。</v>
      </c>
    </row>
    <row r="16696">
      <c r="A16696" s="4" t="s">
        <v>21031</v>
      </c>
      <c r="B16696" s="4" t="s">
        <v>21032</v>
      </c>
      <c r="C16696" s="5" t="str">
        <f>IFERROR(__xludf.DUMMYFUNCTION("GOOGLETRANSLATE(B16696,""en"",""zh-CN"")"),"天花板上悬挂着Pinata。")</f>
        <v>天花板上悬挂着Pinata。</v>
      </c>
    </row>
    <row r="16697">
      <c r="A16697" s="4" t="s">
        <v>21031</v>
      </c>
      <c r="B16697" s="4" t="s">
        <v>21033</v>
      </c>
      <c r="C16697" s="5" t="str">
        <f>IFERROR(__xludf.DUMMYFUNCTION("GOOGLETRANSLATE(B16697,""en"",""zh-CN"")"),"一个男孩用棍子撞到皮纳塔。")</f>
        <v>一个男孩用棍子撞到皮纳塔。</v>
      </c>
    </row>
    <row r="16698">
      <c r="A16698" s="4" t="s">
        <v>21031</v>
      </c>
      <c r="B16698" s="4" t="s">
        <v>21034</v>
      </c>
      <c r="C16698" s="5" t="str">
        <f>IFERROR(__xludf.DUMMYFUNCTION("GOOGLETRANSLATE(B16698,""en"",""zh-CN"")"),"人们站在他身后看着。")</f>
        <v>人们站在他身后看着。</v>
      </c>
    </row>
    <row r="16699">
      <c r="A16699" s="4" t="s">
        <v>21035</v>
      </c>
      <c r="B16699" s="4" t="s">
        <v>21036</v>
      </c>
      <c r="C16699" s="5" t="str">
        <f>IFERROR(__xludf.DUMMYFUNCTION("GOOGLETRANSLATE(B16699,""en"",""zh-CN"")"),"一个工人从屋顶的顶部取下苔藓。")</f>
        <v>一个工人从屋顶的顶部取下苔藓。</v>
      </c>
    </row>
    <row r="16700">
      <c r="A16700" s="4" t="s">
        <v>21035</v>
      </c>
      <c r="B16700" s="4" t="s">
        <v>21037</v>
      </c>
      <c r="C16700" s="5" t="str">
        <f>IFERROR(__xludf.DUMMYFUNCTION("GOOGLETRANSLATE(B16700,""en"",""zh-CN"")"),"另一个工人在整个屋顶上喷水。")</f>
        <v>另一个工人在整个屋顶上喷水。</v>
      </c>
    </row>
    <row r="16701">
      <c r="A16701" s="4" t="s">
        <v>21035</v>
      </c>
      <c r="B16701" s="4" t="s">
        <v>21038</v>
      </c>
      <c r="C16701" s="5" t="str">
        <f>IFERROR(__xludf.DUMMYFUNCTION("GOOGLETRANSLATE(B16701,""en"",""zh-CN"")"),"然后，屋顶真的很干净。")</f>
        <v>然后，屋顶真的很干净。</v>
      </c>
    </row>
    <row r="16702">
      <c r="A16702" s="4" t="s">
        <v>21039</v>
      </c>
      <c r="B16702" s="4" t="s">
        <v>21040</v>
      </c>
      <c r="C16702" s="5" t="str">
        <f>IFERROR(__xludf.DUMMYFUNCTION("GOOGLETRANSLATE(B16702,""en"",""zh-CN"")"),"看到两个男人互相跪下，开始互相搏斗。")</f>
        <v>看到两个男人互相跪下，开始互相搏斗。</v>
      </c>
    </row>
    <row r="16703">
      <c r="A16703" s="4" t="s">
        <v>21039</v>
      </c>
      <c r="B16703" s="4" t="s">
        <v>21041</v>
      </c>
      <c r="C16703" s="5" t="str">
        <f>IFERROR(__xludf.DUMMYFUNCTION("GOOGLETRANSLATE(B16703,""en"",""zh-CN"")"),"当男人战斗时，看到一大批人在一边看。")</f>
        <v>当男人战斗时，看到一大批人在一边看。</v>
      </c>
    </row>
    <row r="16704">
      <c r="A16704" s="4" t="s">
        <v>21039</v>
      </c>
      <c r="B16704" s="4" t="s">
        <v>21042</v>
      </c>
      <c r="C16704" s="5" t="str">
        <f>IFERROR(__xludf.DUMMYFUNCTION("GOOGLETRANSLATE(B16704,""en"",""zh-CN"")"),"这些人继续战斗，一个将另一人推入戒指。")</f>
        <v>这些人继续战斗，一个将另一人推入戒指。</v>
      </c>
    </row>
    <row r="16705">
      <c r="A16705" s="4" t="s">
        <v>21043</v>
      </c>
      <c r="B16705" s="4" t="s">
        <v>21044</v>
      </c>
      <c r="C16705" s="5" t="str">
        <f>IFERROR(__xludf.DUMMYFUNCTION("GOOGLETRANSLATE(B16705,""en"",""zh-CN"")"),"两个男人穿着围栏。")</f>
        <v>两个男人穿着围栏。</v>
      </c>
    </row>
    <row r="16706">
      <c r="A16706" s="4" t="s">
        <v>21043</v>
      </c>
      <c r="B16706" s="4" t="s">
        <v>21045</v>
      </c>
      <c r="C16706" s="5" t="str">
        <f>IFERROR(__xludf.DUMMYFUNCTION("GOOGLETRANSLATE(B16706,""en"",""zh-CN"")"),"他们正在用剑在法庭上作战。")</f>
        <v>他们正在用剑在法庭上作战。</v>
      </c>
    </row>
    <row r="16707">
      <c r="A16707" s="4" t="s">
        <v>21043</v>
      </c>
      <c r="B16707" s="4" t="s">
        <v>21046</v>
      </c>
      <c r="C16707" s="5" t="str">
        <f>IFERROR(__xludf.DUMMYFUNCTION("GOOGLETRANSLATE(B16707,""en"",""zh-CN"")"),"绿线偶尔表示他们正在做出的动作。")</f>
        <v>绿线偶尔表示他们正在做出的动作。</v>
      </c>
    </row>
    <row r="16708">
      <c r="A16708" s="4" t="s">
        <v>21043</v>
      </c>
      <c r="B16708" s="4" t="s">
        <v>21047</v>
      </c>
      <c r="C16708" s="5" t="str">
        <f>IFERROR(__xludf.DUMMYFUNCTION("GOOGLETRANSLATE(B16708,""en"",""zh-CN"")"),"他们用剑互相刺伤，然后跳动舞台。")</f>
        <v>他们用剑互相刺伤，然后跳动舞台。</v>
      </c>
    </row>
    <row r="16709">
      <c r="A16709" s="4" t="s">
        <v>21048</v>
      </c>
      <c r="B16709" s="4" t="s">
        <v>21049</v>
      </c>
      <c r="C16709" s="5" t="str">
        <f>IFERROR(__xludf.DUMMYFUNCTION("GOOGLETRANSLATE(B16709,""en"",""zh-CN"")"),"一个人在看着里面时将物体放在桌子上的南瓜中。")</f>
        <v>一个人在看着里面时将物体放在桌子上的南瓜中。</v>
      </c>
    </row>
    <row r="16710">
      <c r="A16710" s="4" t="s">
        <v>21048</v>
      </c>
      <c r="B16710" s="6" t="s">
        <v>21050</v>
      </c>
      <c r="C16710" s="5" t="str">
        <f>IFERROR(__xludf.DUMMYFUNCTION("GOOGLETRANSLATE(B16710,""en"",""zh-CN"")"),"当男人走开时，南瓜爆炸并打开光线以看到A嘴和两只眼睛。")</f>
        <v>当男人走开时，南瓜爆炸并打开光线以看到A嘴和两只眼睛。</v>
      </c>
    </row>
    <row r="16711">
      <c r="A16711" s="4" t="s">
        <v>21051</v>
      </c>
      <c r="B16711" s="4" t="s">
        <v>21052</v>
      </c>
      <c r="C16711" s="5" t="str">
        <f>IFERROR(__xludf.DUMMYFUNCTION("GOOGLETRANSLATE(B16711,""en"",""zh-CN"")"),"一群人在山的侧面​​滑雪。")</f>
        <v>一群人在山的侧面​​滑雪。</v>
      </c>
    </row>
    <row r="16712">
      <c r="A16712" s="4" t="s">
        <v>21051</v>
      </c>
      <c r="B16712" s="4" t="s">
        <v>21053</v>
      </c>
      <c r="C16712" s="5" t="str">
        <f>IFERROR(__xludf.DUMMYFUNCTION("GOOGLETRANSLATE(B16712,""en"",""zh-CN"")"),"一群驼鹿在升降机和直升机上方的场景之间躲过。")</f>
        <v>一群驼鹿在升降机和直升机上方的场景之间躲过。</v>
      </c>
    </row>
    <row r="16713">
      <c r="A16713" s="4" t="s">
        <v>21051</v>
      </c>
      <c r="B16713" s="4" t="s">
        <v>21054</v>
      </c>
      <c r="C16713" s="5" t="str">
        <f>IFERROR(__xludf.DUMMYFUNCTION("GOOGLETRANSLATE(B16713,""en"",""zh-CN"")"),"人们滑雪时彼此互相互相互相给予。")</f>
        <v>人们滑雪时彼此互相互相互相给予。</v>
      </c>
    </row>
    <row r="16714">
      <c r="A16714" s="4" t="s">
        <v>21055</v>
      </c>
      <c r="B16714" s="4" t="s">
        <v>21056</v>
      </c>
      <c r="C16714" s="5" t="str">
        <f>IFERROR(__xludf.DUMMYFUNCTION("GOOGLETRANSLATE(B16714,""en"",""zh-CN"")"),"该男子首先将拖把放入蓝色的拖把桶中，然后开始拖把。")</f>
        <v>该男子首先将拖把放入蓝色的拖把桶中，然后开始拖把。</v>
      </c>
    </row>
    <row r="16715">
      <c r="A16715" s="4" t="s">
        <v>21055</v>
      </c>
      <c r="B16715" s="4" t="s">
        <v>21057</v>
      </c>
      <c r="C16715" s="5" t="str">
        <f>IFERROR(__xludf.DUMMYFUNCTION("GOOGLETRANSLATE(B16715,""en"",""zh-CN"")"),"首先，他在炉子和柜台附近拖把。")</f>
        <v>首先，他在炉子和柜台附近拖把。</v>
      </c>
    </row>
    <row r="16716">
      <c r="A16716" s="4" t="s">
        <v>21055</v>
      </c>
      <c r="B16716" s="4" t="s">
        <v>21058</v>
      </c>
      <c r="C16716" s="5" t="str">
        <f>IFERROR(__xludf.DUMMYFUNCTION("GOOGLETRANSLATE(B16716,""en"",""zh-CN"")"),"然后，他在冰箱和另一个柜台之间的地板上拖把。")</f>
        <v>然后，他在冰箱和另一个柜台之间的地板上拖把。</v>
      </c>
    </row>
    <row r="16717">
      <c r="A16717" s="4" t="s">
        <v>21055</v>
      </c>
      <c r="B16717" s="4" t="s">
        <v>21059</v>
      </c>
      <c r="C16717" s="5" t="str">
        <f>IFERROR(__xludf.DUMMYFUNCTION("GOOGLETRANSLATE(B16717,""en"",""zh-CN"")"),"然后他在厨房地板的中心扫地。")</f>
        <v>然后他在厨房地板的中心扫地。</v>
      </c>
    </row>
    <row r="16718">
      <c r="A16718" s="4" t="s">
        <v>21060</v>
      </c>
      <c r="B16718" s="4" t="s">
        <v>21061</v>
      </c>
      <c r="C16718" s="5" t="str">
        <f>IFERROR(__xludf.DUMMYFUNCTION("GOOGLETRANSLATE(B16718,""en"",""zh-CN"")"),"我们看到了田径竞技场的镜头。")</f>
        <v>我们看到了田径竞技场的镜头。</v>
      </c>
    </row>
    <row r="16719">
      <c r="A16719" s="4" t="s">
        <v>21060</v>
      </c>
      <c r="B16719" s="4" t="s">
        <v>21062</v>
      </c>
      <c r="C16719" s="5" t="str">
        <f>IFERROR(__xludf.DUMMYFUNCTION("GOOGLETRANSLATE(B16719,""en"",""zh-CN"")"),"一位穿着乌兹别克斯坦的蓝色衬衫的女士奔跑并表演了跳高，我们看到了她的得分。")</f>
        <v>一位穿着乌兹别克斯坦的蓝色衬衫的女士奔跑并表演了跳高，我们看到了她的得分。</v>
      </c>
    </row>
    <row r="16720">
      <c r="A16720" s="4" t="s">
        <v>21060</v>
      </c>
      <c r="B16720" s="6" t="s">
        <v>21063</v>
      </c>
      <c r="C16720" s="5" t="str">
        <f>IFERROR(__xludf.DUMMYFUNCTION("GOOGLETRANSLATE(B16720,""en"",""zh-CN"")"),"我们看到一位来自中国的女士奔跑，表演了跳高，看到她的得分，我们看到了她的经理和慢动作。")</f>
        <v>我们看到一位来自中国的女士奔跑，表演了跳高，看到她的得分，我们看到了她的经理和慢动作。</v>
      </c>
    </row>
    <row r="16721">
      <c r="A16721" s="4" t="s">
        <v>21060</v>
      </c>
      <c r="B16721" s="4" t="s">
        <v>21064</v>
      </c>
      <c r="C16721" s="5" t="str">
        <f>IFERROR(__xludf.DUMMYFUNCTION("GOOGLETRANSLATE(B16721,""en"",""zh-CN"")"),"一位来自乌兹别克斯坦的女士表现出色，我们看到了她的得分。")</f>
        <v>一位来自乌兹别克斯坦的女士表现出色，我们看到了她的得分。</v>
      </c>
    </row>
    <row r="16722">
      <c r="A16722" s="4" t="s">
        <v>21060</v>
      </c>
      <c r="B16722" s="4" t="s">
        <v>21065</v>
      </c>
      <c r="C16722" s="5" t="str">
        <f>IFERROR(__xludf.DUMMYFUNCTION("GOOGLETRANSLATE(B16722,""en"",""zh-CN"")"),"第一夫人再次表演，敲门，看上去很失望。")</f>
        <v>第一夫人再次表演，敲门，看上去很失望。</v>
      </c>
    </row>
    <row r="16723">
      <c r="A16723" s="4" t="s">
        <v>21060</v>
      </c>
      <c r="B16723" s="4" t="s">
        <v>21066</v>
      </c>
      <c r="C16723" s="5" t="str">
        <f>IFERROR(__xludf.DUMMYFUNCTION("GOOGLETRANSLATE(B16723,""en"",""zh-CN"")"),"来自中国的女士有了第二次转弯，还敲了酒吧，看上去很生气。")</f>
        <v>来自中国的女士有了第二次转弯，还敲了酒吧，看上去很生气。</v>
      </c>
    </row>
    <row r="16724">
      <c r="A16724" s="4" t="s">
        <v>21060</v>
      </c>
      <c r="B16724" s="4" t="s">
        <v>21067</v>
      </c>
      <c r="C16724" s="5" t="str">
        <f>IFERROR(__xludf.DUMMYFUNCTION("GOOGLETRANSLATE(B16724,""en"",""zh-CN"")"),"来自乌兹别克斯坦的第二夫人表演并清理了酒吧，几乎哭了。")</f>
        <v>来自乌兹别克斯坦的第二夫人表演并清理了酒吧，几乎哭了。</v>
      </c>
    </row>
    <row r="16725">
      <c r="A16725" s="4" t="s">
        <v>21060</v>
      </c>
      <c r="B16725" s="4" t="s">
        <v>21068</v>
      </c>
      <c r="C16725" s="5" t="str">
        <f>IFERROR(__xludf.DUMMYFUNCTION("GOOGLETRANSLATE(B16725,""en"",""zh-CN"")"),"我们在屏幕上看到竞技场和记分牌。")</f>
        <v>我们在屏幕上看到竞技场和记分牌。</v>
      </c>
    </row>
    <row r="16726">
      <c r="A16726" s="4" t="s">
        <v>21069</v>
      </c>
      <c r="B16726" s="6" t="s">
        <v>21070</v>
      </c>
      <c r="C16726" s="5" t="str">
        <f>IFERROR(__xludf.DUMMYFUNCTION("GOOGLETRANSLATE(B16726,""en"",""zh-CN"")"),"有几个剪辑显示，人们回头看着相机时，在公园的滑板上骑车。")</f>
        <v>有几个剪辑显示，人们回头看着相机时，在公园的滑板上骑车。</v>
      </c>
    </row>
    <row r="16727">
      <c r="A16727" s="4" t="s">
        <v>21069</v>
      </c>
      <c r="B16727" s="6" t="s">
        <v>21071</v>
      </c>
      <c r="C16727" s="5" t="str">
        <f>IFERROR(__xludf.DUMMYFUNCTION("GOOGLETRANSLATE(B16727,""en"",""zh-CN"")"),"该视频继续进行，更多的人在滑板上表演磨碎和技巧并与镜头说话。")</f>
        <v>该视频继续进行，更多的人在滑板上表演磨碎和技巧并与镜头说话。</v>
      </c>
    </row>
    <row r="16728">
      <c r="A16728" s="4" t="s">
        <v>21069</v>
      </c>
      <c r="B16728" s="4" t="s">
        <v>21072</v>
      </c>
      <c r="C16728" s="5" t="str">
        <f>IFERROR(__xludf.DUMMYFUNCTION("GOOGLETRANSLATE(B16728,""en"",""zh-CN"")"),"最后，看到他们在汽车上一起开车，彼此笑。")</f>
        <v>最后，看到他们在汽车上一起开车，彼此笑。</v>
      </c>
    </row>
    <row r="16729">
      <c r="A16729" s="4" t="s">
        <v>21073</v>
      </c>
      <c r="B16729" s="4" t="s">
        <v>21074</v>
      </c>
      <c r="C16729" s="5" t="str">
        <f>IFERROR(__xludf.DUMMYFUNCTION("GOOGLETRANSLATE(B16729,""en"",""zh-CN"")"),"一群男人和女人正在为有氧运动做跳绳。")</f>
        <v>一群男人和女人正在为有氧运动做跳绳。</v>
      </c>
    </row>
    <row r="16730">
      <c r="A16730" s="4" t="s">
        <v>21073</v>
      </c>
      <c r="B16730" s="4" t="s">
        <v>21075</v>
      </c>
      <c r="C16730" s="5" t="str">
        <f>IFERROR(__xludf.DUMMYFUNCTION("GOOGLETRANSLATE(B16730,""en"",""zh-CN"")"),"他们绕圈奔跑，在跑步时跳跃。")</f>
        <v>他们绕圈奔跑，在跑步时跳跃。</v>
      </c>
    </row>
    <row r="16731">
      <c r="A16731" s="4" t="s">
        <v>21073</v>
      </c>
      <c r="B16731" s="4" t="s">
        <v>21076</v>
      </c>
      <c r="C16731" s="5" t="str">
        <f>IFERROR(__xludf.DUMMYFUNCTION("GOOGLETRANSLATE(B16731,""en"",""zh-CN"")"),"然后，他们铺设垫子，做几个瑜伽冷却动作。")</f>
        <v>然后，他们铺设垫子，做几个瑜伽冷却动作。</v>
      </c>
    </row>
    <row r="16732">
      <c r="A16732" s="4" t="s">
        <v>21077</v>
      </c>
      <c r="B16732" s="4" t="s">
        <v>21078</v>
      </c>
      <c r="C16732" s="5" t="str">
        <f>IFERROR(__xludf.DUMMYFUNCTION("GOOGLETRANSLATE(B16732,""en"",""zh-CN"")"),"我们看到一个男人和一个女人穿着服装进入酒吧房间。")</f>
        <v>我们看到一个男人和一个女人穿着服装进入酒吧房间。</v>
      </c>
    </row>
    <row r="16733">
      <c r="A16733" s="4" t="s">
        <v>21077</v>
      </c>
      <c r="B16733" s="4" t="s">
        <v>21079</v>
      </c>
      <c r="C16733" s="5" t="str">
        <f>IFERROR(__xludf.DUMMYFUNCTION("GOOGLETRANSLATE(B16733,""en"",""zh-CN"")"),"男人和女人表演舞蹈。")</f>
        <v>男人和女人表演舞蹈。</v>
      </c>
    </row>
    <row r="16734">
      <c r="A16734" s="4" t="s">
        <v>21077</v>
      </c>
      <c r="B16734" s="4" t="s">
        <v>21080</v>
      </c>
      <c r="C16734" s="5" t="str">
        <f>IFERROR(__xludf.DUMMYFUNCTION("GOOGLETRANSLATE(B16734,""en"",""zh-CN"")"),"男人翻转女人，摆动她。")</f>
        <v>男人翻转女人，摆动她。</v>
      </c>
    </row>
    <row r="16735">
      <c r="A16735" s="4" t="s">
        <v>21077</v>
      </c>
      <c r="B16735" s="4" t="s">
        <v>21081</v>
      </c>
      <c r="C16735" s="5" t="str">
        <f>IFERROR(__xludf.DUMMYFUNCTION("GOOGLETRANSLATE(B16735,""en"",""zh-CN"")"),"男人捡起女人，把她放在肩膀上。")</f>
        <v>男人捡起女人，把她放在肩膀上。</v>
      </c>
    </row>
    <row r="16736">
      <c r="A16736" s="4" t="s">
        <v>21077</v>
      </c>
      <c r="B16736" s="4" t="s">
        <v>21082</v>
      </c>
      <c r="C16736" s="5" t="str">
        <f>IFERROR(__xludf.DUMMYFUNCTION("GOOGLETRANSLATE(B16736,""en"",""zh-CN"")"),"然后，他将她翻转到地面上。")</f>
        <v>然后，他将她翻转到地面上。</v>
      </c>
    </row>
    <row r="16737">
      <c r="A16737" s="4" t="s">
        <v>21077</v>
      </c>
      <c r="B16737" s="4" t="s">
        <v>21083</v>
      </c>
      <c r="C16737" s="5" t="str">
        <f>IFERROR(__xludf.DUMMYFUNCTION("GOOGLETRANSLATE(B16737,""en"",""zh-CN"")"),"该男子把那位女士放在他的肩膀上，将她翻了两次。")</f>
        <v>该男子把那位女士放在他的肩膀上，将她翻了两次。</v>
      </c>
    </row>
    <row r="16738">
      <c r="A16738" s="4" t="s">
        <v>21077</v>
      </c>
      <c r="B16738" s="4" t="s">
        <v>21084</v>
      </c>
      <c r="C16738" s="5" t="str">
        <f>IFERROR(__xludf.DUMMYFUNCTION("GOOGLETRANSLATE(B16738,""en"",""zh-CN"")"),"该男子旋转着女士周围和周围的女士。")</f>
        <v>该男子旋转着女士周围和周围的女士。</v>
      </c>
    </row>
    <row r="16739">
      <c r="A16739" s="4" t="s">
        <v>21077</v>
      </c>
      <c r="B16739" s="4" t="s">
        <v>21085</v>
      </c>
      <c r="C16739" s="5" t="str">
        <f>IFERROR(__xludf.DUMMYFUNCTION("GOOGLETRANSLATE(B16739,""en"",""zh-CN"")"),"人群为人民鼓掌。")</f>
        <v>人群为人民鼓掌。</v>
      </c>
    </row>
    <row r="16740">
      <c r="A16740" s="4" t="s">
        <v>21077</v>
      </c>
      <c r="B16740" s="4" t="s">
        <v>21086</v>
      </c>
      <c r="C16740" s="5" t="str">
        <f>IFERROR(__xludf.DUMMYFUNCTION("GOOGLETRANSLATE(B16740,""en"",""zh-CN"")"),"那个男人旋转着那个女士。")</f>
        <v>那个男人旋转着那个女士。</v>
      </c>
    </row>
    <row r="16741">
      <c r="A16741" s="4" t="s">
        <v>21077</v>
      </c>
      <c r="B16741" s="4" t="s">
        <v>21087</v>
      </c>
      <c r="C16741" s="5" t="str">
        <f>IFERROR(__xludf.DUMMYFUNCTION("GOOGLETRANSLATE(B16741,""en"",""zh-CN"")"),"舞蹈结束，握住弓箭并握手。")</f>
        <v>舞蹈结束，握住弓箭并握手。</v>
      </c>
    </row>
    <row r="16742">
      <c r="A16742" s="4" t="s">
        <v>21088</v>
      </c>
      <c r="B16742" s="4" t="s">
        <v>21089</v>
      </c>
      <c r="C16742" s="5" t="str">
        <f>IFERROR(__xludf.DUMMYFUNCTION("GOOGLETRANSLATE(B16742,""en"",""zh-CN"")"),"观众观看时，有几名男子踢足球。")</f>
        <v>观众观看时，有几名男子踢足球。</v>
      </c>
    </row>
    <row r="16743">
      <c r="A16743" s="4" t="s">
        <v>21088</v>
      </c>
      <c r="B16743" s="4" t="s">
        <v>21090</v>
      </c>
      <c r="C16743" s="5" t="str">
        <f>IFERROR(__xludf.DUMMYFUNCTION("GOOGLETRANSLATE(B16743,""en"",""zh-CN"")"),"一个秃头的人检索球并将其重新插入发挥作用。")</f>
        <v>一个秃头的人检索球并将其重新插入发挥作用。</v>
      </c>
    </row>
    <row r="16744">
      <c r="A16744" s="4" t="s">
        <v>21088</v>
      </c>
      <c r="B16744" s="4" t="s">
        <v>21091</v>
      </c>
      <c r="C16744" s="5" t="str">
        <f>IFERROR(__xludf.DUMMYFUNCTION("GOOGLETRANSLATE(B16744,""en"",""zh-CN"")"),"由于某种原因，秃头的人可以伸手去拿桌子。")</f>
        <v>由于某种原因，秃头的人可以伸手去拿桌子。</v>
      </c>
    </row>
    <row r="16745">
      <c r="A16745" s="4" t="s">
        <v>21088</v>
      </c>
      <c r="B16745" s="4" t="s">
        <v>21092</v>
      </c>
      <c r="C16745" s="5" t="str">
        <f>IFERROR(__xludf.DUMMYFUNCTION("GOOGLETRANSLATE(B16745,""en"",""zh-CN"")"),"秃头的人检索球，然后将球重新插入。")</f>
        <v>秃头的人检索球，然后将球重新插入。</v>
      </c>
    </row>
    <row r="16746">
      <c r="A16746" s="4" t="s">
        <v>21088</v>
      </c>
      <c r="B16746" s="4" t="s">
        <v>21093</v>
      </c>
      <c r="C16746" s="5" t="str">
        <f>IFERROR(__xludf.DUMMYFUNCTION("GOOGLETRANSLATE(B16746,""en"",""zh-CN"")"),"比赛结束时，球员握手。")</f>
        <v>比赛结束时，球员握手。</v>
      </c>
    </row>
    <row r="16747">
      <c r="A16747" s="4" t="s">
        <v>21094</v>
      </c>
      <c r="B16747" s="4" t="s">
        <v>21095</v>
      </c>
      <c r="C16747" s="5" t="str">
        <f>IFERROR(__xludf.DUMMYFUNCTION("GOOGLETRANSLATE(B16747,""en"",""zh-CN"")"),"看到一个男人在相机上说话，并导致他移动污垢的剪辑。")</f>
        <v>看到一个男人在相机上说话，并导致他移动污垢的剪辑。</v>
      </c>
    </row>
    <row r="16748">
      <c r="A16748" s="4" t="s">
        <v>21094</v>
      </c>
      <c r="B16748" s="6" t="s">
        <v>21096</v>
      </c>
      <c r="C16748" s="5" t="str">
        <f>IFERROR(__xludf.DUMMYFUNCTION("GOOGLETRANSLATE(B16748,""en"",""zh-CN"")"),"其他男人在围绕车轮手推车和种植植物移动时帮助种植这些区域，同时仍与相机交谈。")</f>
        <v>其他男人在围绕车轮手推车和种植植物移动时帮助种植这些区域，同时仍与相机交谈。</v>
      </c>
    </row>
    <row r="16749">
      <c r="A16749" s="4" t="s">
        <v>21097</v>
      </c>
      <c r="B16749" s="4" t="s">
        <v>21098</v>
      </c>
      <c r="C16749" s="5" t="str">
        <f>IFERROR(__xludf.DUMMYFUNCTION("GOOGLETRANSLATE(B16749,""en"",""zh-CN"")"),"一个人每次都投掷保龄球，并每次扔所有别针。")</f>
        <v>一个人每次都投掷保龄球，并每次扔所有别针。</v>
      </c>
    </row>
    <row r="16750">
      <c r="A16750" s="4" t="s">
        <v>21097</v>
      </c>
      <c r="B16750" s="4" t="s">
        <v>21099</v>
      </c>
      <c r="C16750" s="5" t="str">
        <f>IFERROR(__xludf.DUMMYFUNCTION("GOOGLETRANSLATE(B16750,""en"",""zh-CN"")"),"然后，该男子继续成功打保龄球。")</f>
        <v>然后，该男子继续成功打保龄球。</v>
      </c>
    </row>
    <row r="16751">
      <c r="A16751" s="4" t="s">
        <v>21097</v>
      </c>
      <c r="B16751" s="4" t="s">
        <v>21100</v>
      </c>
      <c r="C16751" s="5" t="str">
        <f>IFERROR(__xludf.DUMMYFUNCTION("GOOGLETRANSLATE(B16751,""en"",""zh-CN"")"),"该男子在上一部戏中错过了一个别针。")</f>
        <v>该男子在上一部戏中错过了一个别针。</v>
      </c>
    </row>
    <row r="16752">
      <c r="A16752" s="4" t="s">
        <v>21101</v>
      </c>
      <c r="B16752" s="4" t="s">
        <v>21102</v>
      </c>
      <c r="C16752" s="5" t="str">
        <f>IFERROR(__xludf.DUMMYFUNCTION("GOOGLETRANSLATE(B16752,""en"",""zh-CN"")"),"一个静置的汽车底于适当的位置，但没有将其抬出地面。")</f>
        <v>一个静置的汽车底于适当的位置，但没有将其抬出地面。</v>
      </c>
    </row>
    <row r="16753">
      <c r="A16753" s="4" t="s">
        <v>21101</v>
      </c>
      <c r="B16753" s="4" t="s">
        <v>21103</v>
      </c>
      <c r="C16753" s="5" t="str">
        <f>IFERROR(__xludf.DUMMYFUNCTION("GOOGLETRANSLATE(B16753,""en"",""zh-CN"")"),"一个人用电钻头将地板插孔结束，并将汽车轮胎从地面上抬起。")</f>
        <v>一个人用电钻头将地板插孔结束，并将汽车轮胎从地面上抬起。</v>
      </c>
    </row>
    <row r="16754">
      <c r="A16754" s="4" t="s">
        <v>21101</v>
      </c>
      <c r="B16754" s="4" t="s">
        <v>21104</v>
      </c>
      <c r="C16754" s="5" t="str">
        <f>IFERROR(__xludf.DUMMYFUNCTION("GOOGLETRANSLATE(B16754,""en"",""zh-CN"")"),"该男子再次使用电钻来注意到地板千斤顶并降低汽车。")</f>
        <v>该男子再次使用电钻来注意到地板千斤顶并降低汽车。</v>
      </c>
    </row>
    <row r="16755">
      <c r="A16755" s="4" t="s">
        <v>21105</v>
      </c>
      <c r="B16755" s="4" t="s">
        <v>21106</v>
      </c>
      <c r="C16755" s="5" t="str">
        <f>IFERROR(__xludf.DUMMYFUNCTION("GOOGLETRANSLATE(B16755,""en"",""zh-CN"")"),"一名男性体操运动员走到梁上，给双手粉。")</f>
        <v>一名男性体操运动员走到梁上，给双手粉。</v>
      </c>
    </row>
    <row r="16756">
      <c r="A16756" s="4" t="s">
        <v>21105</v>
      </c>
      <c r="B16756" s="4" t="s">
        <v>21107</v>
      </c>
      <c r="C16756" s="5" t="str">
        <f>IFERROR(__xludf.DUMMYFUNCTION("GOOGLETRANSLATE(B16756,""en"",""zh-CN"")"),"他安装横梁，然后在它周围旋转几次，在酒吧之间变化。")</f>
        <v>他安装横梁，然后在它周围旋转几次，在酒吧之间变化。</v>
      </c>
    </row>
    <row r="16757">
      <c r="A16757" s="4" t="s">
        <v>21105</v>
      </c>
      <c r="B16757" s="4" t="s">
        <v>21108</v>
      </c>
      <c r="C16757" s="5" t="str">
        <f>IFERROR(__xludf.DUMMYFUNCTION("GOOGLETRANSLATE(B16757,""en"",""zh-CN"")"),"他卸下，然后将手臂抬到空中。")</f>
        <v>他卸下，然后将手臂抬到空中。</v>
      </c>
    </row>
    <row r="16758">
      <c r="A16758" s="4" t="s">
        <v>21109</v>
      </c>
      <c r="B16758" s="6" t="s">
        <v>21110</v>
      </c>
      <c r="C16758" s="5" t="str">
        <f>IFERROR(__xludf.DUMMYFUNCTION("GOOGLETRANSLATE(B16758,""en"",""zh-CN"")"),"一名年轻女子拿着平板电脑录制一段录像带，其中有人在比赛中跑步，她正站在一个充满人的轨道上的看台上。")</f>
        <v>一名年轻女子拿着平板电脑录制一段录像带，其中有人在比赛中跑步，她正站在一个充满人的轨道上的看台上。</v>
      </c>
    </row>
    <row r="16759">
      <c r="A16759" s="4" t="s">
        <v>21109</v>
      </c>
      <c r="B16759" s="6" t="s">
        <v>21111</v>
      </c>
      <c r="C16759" s="5" t="str">
        <f>IFERROR(__xludf.DUMMYFUNCTION("GOOGLETRANSLATE(B16759,""en"",""zh-CN"")"),"一个男人在赛道中间的草地上穿着橙色衬衫和一条旗帜在草地上奔跑。")</f>
        <v>一个男人在赛道中间的草地上穿着橙色衬衫和一条旗帜在草地上奔跑。</v>
      </c>
    </row>
    <row r="16760">
      <c r="A16760" s="4" t="s">
        <v>21109</v>
      </c>
      <c r="B16760" s="4" t="s">
        <v>21112</v>
      </c>
      <c r="C16760" s="5" t="str">
        <f>IFERROR(__xludf.DUMMYFUNCTION("GOOGLETRANSLATE(B16760,""en"",""zh-CN"")"),"另一个穿着黑色衬衫的男人朝那个穿着橙色衬衫的男人奔跑。")</f>
        <v>另一个穿着黑色衬衫的男人朝那个穿着橙色衬衫的男人奔跑。</v>
      </c>
    </row>
    <row r="16761">
      <c r="A16761" s="4" t="s">
        <v>21109</v>
      </c>
      <c r="B16761" s="4" t="s">
        <v>21113</v>
      </c>
      <c r="C16761" s="5" t="str">
        <f>IFERROR(__xludf.DUMMYFUNCTION("GOOGLETRANSLATE(B16761,""en"",""zh-CN"")"),"这位年轻女子继续用她的平板电脑视频。")</f>
        <v>这位年轻女子继续用她的平板电脑视频。</v>
      </c>
    </row>
    <row r="16762">
      <c r="A16762" s="4" t="s">
        <v>21109</v>
      </c>
      <c r="B16762" s="4" t="s">
        <v>21114</v>
      </c>
      <c r="C16762" s="5" t="str">
        <f>IFERROR(__xludf.DUMMYFUNCTION("GOOGLETRANSLATE(B16762,""en"",""zh-CN"")"),"穿着橙色衬衫的男人又在草地上奔跑。")</f>
        <v>穿着橙色衬衫的男人又在草地上奔跑。</v>
      </c>
    </row>
    <row r="16763">
      <c r="A16763" s="4" t="s">
        <v>21109</v>
      </c>
      <c r="B16763" s="6" t="s">
        <v>21115</v>
      </c>
      <c r="C16763" s="5" t="str">
        <f>IFERROR(__xludf.DUMMYFUNCTION("GOOGLETRANSLATE(B16763,""en"",""zh-CN"")"),"这位年轻女子试图录制游戏并望向赛道上的人们的距离后，将平板电脑放下了。")</f>
        <v>这位年轻女子试图录制游戏并望向赛道上的人们的距离后，将平板电脑放下了。</v>
      </c>
    </row>
    <row r="16764">
      <c r="A16764" s="4" t="s">
        <v>21109</v>
      </c>
      <c r="B16764" s="4" t="s">
        <v>21116</v>
      </c>
      <c r="C16764" s="5" t="str">
        <f>IFERROR(__xludf.DUMMYFUNCTION("GOOGLETRANSLATE(B16764,""en"",""zh-CN"")"),"每个人都开始在看台上鼓掌。")</f>
        <v>每个人都开始在看台上鼓掌。</v>
      </c>
    </row>
    <row r="16765">
      <c r="A16765" s="4" t="s">
        <v>21109</v>
      </c>
      <c r="B16765" s="4" t="s">
        <v>21117</v>
      </c>
      <c r="C16765" s="5" t="str">
        <f>IFERROR(__xludf.DUMMYFUNCTION("GOOGLETRANSLATE(B16765,""en"",""zh-CN"")"),"有一张照片，一个男人穿着田径制服。")</f>
        <v>有一张照片，一个男人穿着田径制服。</v>
      </c>
    </row>
    <row r="16766">
      <c r="A16766" s="4" t="s">
        <v>21118</v>
      </c>
      <c r="B16766" s="4" t="s">
        <v>21119</v>
      </c>
      <c r="C16766" s="5" t="str">
        <f>IFERROR(__xludf.DUMMYFUNCTION("GOOGLETRANSLATE(B16766,""en"",""zh-CN"")"),"门打开，两个穿着拖鞋的人进入房间。")</f>
        <v>门打开，两个穿着拖鞋的人进入房间。</v>
      </c>
    </row>
    <row r="16767">
      <c r="A16767" s="4" t="s">
        <v>21118</v>
      </c>
      <c r="B16767" s="4" t="s">
        <v>21120</v>
      </c>
      <c r="C16767" s="5" t="str">
        <f>IFERROR(__xludf.DUMMYFUNCTION("GOOGLETRANSLATE(B16767,""en"",""zh-CN"")"),"屏幕上短暂出现徽标。")</f>
        <v>屏幕上短暂出现徽标。</v>
      </c>
    </row>
    <row r="16768">
      <c r="A16768" s="4" t="s">
        <v>21118</v>
      </c>
      <c r="B16768" s="6" t="s">
        <v>21121</v>
      </c>
      <c r="C16768" s="5" t="str">
        <f>IFERROR(__xludf.DUMMYFUNCTION("GOOGLETRANSLATE(B16768,""en"",""zh-CN"")"),"两名站在一对浴室水槽和镜子前面的男人拆除了他们穿着的长袍，以露出氨纶衣服，然后转向相机说话。")</f>
        <v>两名站在一对浴室水槽和镜子前面的男人拆除了他们穿着的长袍，以露出氨纶衣服，然后转向相机说话。</v>
      </c>
    </row>
    <row r="16769">
      <c r="A16769" s="4" t="s">
        <v>21118</v>
      </c>
      <c r="B16769" s="4" t="s">
        <v>21122</v>
      </c>
      <c r="C16769" s="5" t="str">
        <f>IFERROR(__xludf.DUMMYFUNCTION("GOOGLETRANSLATE(B16769,""en"",""zh-CN"")"),"一大批人骑自行车在路上。")</f>
        <v>一大批人骑自行车在路上。</v>
      </c>
    </row>
    <row r="16770">
      <c r="A16770" s="4" t="s">
        <v>21118</v>
      </c>
      <c r="B16770" s="4" t="s">
        <v>21123</v>
      </c>
      <c r="C16770" s="5" t="str">
        <f>IFERROR(__xludf.DUMMYFUNCTION("GOOGLETRANSLATE(B16770,""en"",""zh-CN"")"),"一个赤脚的男人站在浴室里。")</f>
        <v>一个赤脚的男人站在浴室里。</v>
      </c>
    </row>
    <row r="16771">
      <c r="A16771" s="4" t="s">
        <v>21118</v>
      </c>
      <c r="B16771" s="4" t="s">
        <v>21124</v>
      </c>
      <c r="C16771" s="5" t="str">
        <f>IFERROR(__xludf.DUMMYFUNCTION("GOOGLETRANSLATE(B16771,""en"",""zh-CN"")"),"一个人在执行该动作的男人身上出现了“如何剃腿”的标题。")</f>
        <v>一个人在执行该动作的男人身上出现了“如何剃腿”的标题。</v>
      </c>
    </row>
    <row r="16772">
      <c r="A16772" s="4" t="s">
        <v>21118</v>
      </c>
      <c r="B16772" s="4" t="s">
        <v>21125</v>
      </c>
      <c r="C16772" s="5" t="str">
        <f>IFERROR(__xludf.DUMMYFUNCTION("GOOGLETRANSLATE(B16772,""en"",""zh-CN"")"),"这些人讨论并证明了使用电动剃须刀剃光双腿。")</f>
        <v>这些人讨论并证明了使用电动剃须刀剃光双腿。</v>
      </c>
    </row>
    <row r="16773">
      <c r="A16773" s="4" t="s">
        <v>21118</v>
      </c>
      <c r="B16773" s="4" t="s">
        <v>21126</v>
      </c>
      <c r="C16773" s="5" t="str">
        <f>IFERROR(__xludf.DUMMYFUNCTION("GOOGLETRANSLATE(B16773,""en"",""zh-CN"")"),"然后，一个人讨论了你的腿应该剃的高度。")</f>
        <v>然后，一个人讨论了你的腿应该剃的高度。</v>
      </c>
    </row>
    <row r="16774">
      <c r="A16774" s="4" t="s">
        <v>21118</v>
      </c>
      <c r="B16774" s="4" t="s">
        <v>21127</v>
      </c>
      <c r="C16774" s="5" t="str">
        <f>IFERROR(__xludf.DUMMYFUNCTION("GOOGLETRANSLATE(B16774,""en"",""zh-CN"")"),"该男子演示了如何起泡你的腿。")</f>
        <v>该男子演示了如何起泡你的腿。</v>
      </c>
    </row>
    <row r="16775">
      <c r="A16775" s="4" t="s">
        <v>21118</v>
      </c>
      <c r="B16775" s="4" t="s">
        <v>21128</v>
      </c>
      <c r="C16775" s="5" t="str">
        <f>IFERROR(__xludf.DUMMYFUNCTION("GOOGLETRANSLATE(B16775,""en"",""zh-CN"")"),"这两个人演示了如何使用剃须刀剃光双腿。")</f>
        <v>这两个人演示了如何使用剃须刀剃光双腿。</v>
      </c>
    </row>
    <row r="16776">
      <c r="A16776" s="4" t="s">
        <v>21118</v>
      </c>
      <c r="B16776" s="4" t="s">
        <v>21129</v>
      </c>
      <c r="C16776" s="5" t="str">
        <f>IFERROR(__xludf.DUMMYFUNCTION("GOOGLETRANSLATE(B16776,""en"",""zh-CN"")"),"然后，他们演示了如何冲洗双腿。")</f>
        <v>然后，他们演示了如何冲洗双腿。</v>
      </c>
    </row>
    <row r="16777">
      <c r="A16777" s="4" t="s">
        <v>21118</v>
      </c>
      <c r="B16777" s="4" t="s">
        <v>21130</v>
      </c>
      <c r="C16777" s="5" t="str">
        <f>IFERROR(__xludf.DUMMYFUNCTION("GOOGLETRANSLATE(B16777,""en"",""zh-CN"")"),"一个男人骑自行车沿着道路上骑自行车。")</f>
        <v>一个男人骑自行车沿着道路上骑自行车。</v>
      </c>
    </row>
    <row r="16778">
      <c r="A16778" s="4" t="s">
        <v>21118</v>
      </c>
      <c r="B16778" s="4" t="s">
        <v>21131</v>
      </c>
      <c r="C16778" s="5" t="str">
        <f>IFERROR(__xludf.DUMMYFUNCTION("GOOGLETRANSLATE(B16778,""en"",""zh-CN"")"),"这两个男人剃了另一只腿。")</f>
        <v>这两个男人剃了另一只腿。</v>
      </c>
    </row>
    <row r="16779">
      <c r="A16779" s="4" t="s">
        <v>21132</v>
      </c>
      <c r="B16779" s="6" t="s">
        <v>21133</v>
      </c>
      <c r="C16779" s="5" t="str">
        <f>IFERROR(__xludf.DUMMYFUNCTION("GOOGLETRANSLATE(B16779,""en"",""zh-CN"")"),"两个孩子站在圣诞树前，展示了圣诞树上悬挂的紫色靴子。")</f>
        <v>两个孩子站在圣诞树前，展示了圣诞树上悬挂的紫色靴子。</v>
      </c>
    </row>
    <row r="16780">
      <c r="A16780" s="4" t="s">
        <v>21132</v>
      </c>
      <c r="B16780" s="4" t="s">
        <v>21134</v>
      </c>
      <c r="C16780" s="5" t="str">
        <f>IFERROR(__xludf.DUMMYFUNCTION("GOOGLETRANSLATE(B16780,""en"",""zh-CN"")"),"孩子们指出球和装饰品。")</f>
        <v>孩子们指出球和装饰品。</v>
      </c>
    </row>
    <row r="16781">
      <c r="A16781" s="4" t="s">
        <v>21132</v>
      </c>
      <c r="B16781" s="4" t="s">
        <v>21135</v>
      </c>
      <c r="C16781" s="5" t="str">
        <f>IFERROR(__xludf.DUMMYFUNCTION("GOOGLETRANSLATE(B16781,""en"",""zh-CN"")"),"孩子们站在三个旁边，对相机说再见。")</f>
        <v>孩子们站在三个旁边，对相机说再见。</v>
      </c>
    </row>
    <row r="16782">
      <c r="A16782" s="4" t="s">
        <v>21136</v>
      </c>
      <c r="B16782" s="4" t="s">
        <v>3869</v>
      </c>
      <c r="C16782" s="5" t="str">
        <f>IFERROR(__xludf.DUMMYFUNCTION("GOOGLETRANSLATE(B16782,""en"",""zh-CN"")"),"一个女人在舞台上跳舞。")</f>
        <v>一个女人在舞台上跳舞。</v>
      </c>
    </row>
    <row r="16783">
      <c r="A16783" s="4" t="s">
        <v>21136</v>
      </c>
      <c r="B16783" s="4" t="s">
        <v>21137</v>
      </c>
      <c r="C16783" s="5" t="str">
        <f>IFERROR(__xludf.DUMMYFUNCTION("GOOGLETRANSLATE(B16783,""en"",""zh-CN"")"),"一个人将它们抬起空中。")</f>
        <v>一个人将它们抬起空中。</v>
      </c>
    </row>
    <row r="16784">
      <c r="A16784" s="4" t="s">
        <v>21136</v>
      </c>
      <c r="B16784" s="4" t="s">
        <v>21138</v>
      </c>
      <c r="C16784" s="5" t="str">
        <f>IFERROR(__xludf.DUMMYFUNCTION("GOOGLETRANSLATE(B16784,""en"",""zh-CN"")"),"芭蕾舞演员在舞台上跳舞。")</f>
        <v>芭蕾舞演员在舞台上跳舞。</v>
      </c>
    </row>
    <row r="16785">
      <c r="A16785" s="4" t="s">
        <v>21139</v>
      </c>
      <c r="B16785" s="4" t="s">
        <v>21140</v>
      </c>
      <c r="C16785" s="5" t="str">
        <f>IFERROR(__xludf.DUMMYFUNCTION("GOOGLETRANSLATE(B16785,""en"",""zh-CN"")"),"人们被坐在坐在管间的拖线上拉上山丘。")</f>
        <v>人们被坐在坐在管间的拖线上拉上山丘。</v>
      </c>
    </row>
    <row r="16786">
      <c r="A16786" s="4" t="s">
        <v>21139</v>
      </c>
      <c r="B16786" s="4" t="s">
        <v>21141</v>
      </c>
      <c r="C16786" s="5" t="str">
        <f>IFERROR(__xludf.DUMMYFUNCTION("GOOGLETRANSLATE(B16786,""en"",""zh-CN"")"),"一家人用手和山顶将他们的室间拉动。")</f>
        <v>一家人用手和山顶将他们的室间拉动。</v>
      </c>
    </row>
    <row r="16787">
      <c r="A16787" s="4" t="s">
        <v>21139</v>
      </c>
      <c r="B16787" s="4" t="s">
        <v>21142</v>
      </c>
      <c r="C16787" s="5" t="str">
        <f>IFERROR(__xludf.DUMMYFUNCTION("GOOGLETRANSLATE(B16787,""en"",""zh-CN"")"),"一个人坐在山顶顶部的一个间管中，然后沿着山坡骑着笑声。")</f>
        <v>一个人坐在山顶顶部的一个间管中，然后沿着山坡骑着笑声。</v>
      </c>
    </row>
    <row r="16788">
      <c r="A16788" s="4" t="s">
        <v>21139</v>
      </c>
      <c r="B16788" s="4" t="s">
        <v>21143</v>
      </c>
      <c r="C16788" s="5" t="str">
        <f>IFERROR(__xludf.DUMMYFUNCTION("GOOGLETRANSLATE(B16788,""en"",""zh-CN"")"),"一家人将管间绑在一个圆形的分组中，与孩子们坐在其中。")</f>
        <v>一家人将管间绑在一个圆形的分组中，与孩子们坐在其中。</v>
      </c>
    </row>
    <row r="16789">
      <c r="A16789" s="4" t="s">
        <v>21139</v>
      </c>
      <c r="B16789" s="4" t="s">
        <v>21144</v>
      </c>
      <c r="C16789" s="5" t="str">
        <f>IFERROR(__xludf.DUMMYFUNCTION("GOOGLETRANSLATE(B16789,""en"",""zh-CN"")"),"一家人骑着大量的管间骑着雪坡。")</f>
        <v>一家人骑着大量的管间骑着雪坡。</v>
      </c>
    </row>
    <row r="16790">
      <c r="A16790" s="4" t="s">
        <v>21145</v>
      </c>
      <c r="B16790" s="4" t="s">
        <v>21146</v>
      </c>
      <c r="C16790" s="5" t="str">
        <f>IFERROR(__xludf.DUMMYFUNCTION("GOOGLETRANSLATE(B16790,""en"",""zh-CN"")"),"看到一个运动员在圈子里旋转，并在一个田野上进行了长时间的讨论。")</f>
        <v>看到一个运动员在圈子里旋转，并在一个田野上进行了长时间的讨论。</v>
      </c>
    </row>
    <row r="16791">
      <c r="A16791" s="4" t="s">
        <v>21145</v>
      </c>
      <c r="B16791" s="6" t="s">
        <v>21147</v>
      </c>
      <c r="C16791" s="5" t="str">
        <f>IFERROR(__xludf.DUMMYFUNCTION("GOOGLETRANSLATE(B16791,""en"",""zh-CN"")"),"他站起来，绕过几个球，最后用衬衫擦去脸上的汗水。")</f>
        <v>他站起来，绕过几个球，最后用衬衫擦去脸上的汗水。</v>
      </c>
    </row>
    <row r="16792">
      <c r="A16792" s="4" t="s">
        <v>21148</v>
      </c>
      <c r="B16792" s="4" t="s">
        <v>21149</v>
      </c>
      <c r="C16792" s="5" t="str">
        <f>IFERROR(__xludf.DUMMYFUNCTION("GOOGLETRANSLATE(B16792,""en"",""zh-CN"")"),"看到一个男人在手里握着一根棍子的同时，越过院子里走路。")</f>
        <v>看到一个男人在手里握着一根棍子的同时，越过院子里走路。</v>
      </c>
    </row>
    <row r="16793">
      <c r="A16793" s="4" t="s">
        <v>21148</v>
      </c>
      <c r="B16793" s="4" t="s">
        <v>21150</v>
      </c>
      <c r="C16793" s="5" t="str">
        <f>IFERROR(__xludf.DUMMYFUNCTION("GOOGLETRANSLATE(B16793,""en"",""zh-CN"")"),"然后看到这个男人在玩钩针游戏，而其他人则在旁边看。")</f>
        <v>然后看到这个男人在玩钩针游戏，而其他人则在旁边看。</v>
      </c>
    </row>
    <row r="16794">
      <c r="A16794" s="4" t="s">
        <v>21148</v>
      </c>
      <c r="B16794" s="4" t="s">
        <v>21151</v>
      </c>
      <c r="C16794" s="5" t="str">
        <f>IFERROR(__xludf.DUMMYFUNCTION("GOOGLETRANSLATE(B16794,""en"",""zh-CN"")"),"该名男子继续击球，弯腰并测量他的射门。")</f>
        <v>该名男子继续击球，弯腰并测量他的射门。</v>
      </c>
    </row>
    <row r="16795">
      <c r="A16795" s="4" t="s">
        <v>21152</v>
      </c>
      <c r="B16795" s="4" t="s">
        <v>21153</v>
      </c>
      <c r="C16795" s="5" t="str">
        <f>IFERROR(__xludf.DUMMYFUNCTION("GOOGLETRANSLATE(B16795,""en"",""zh-CN"")"),"显示了剪辑的信用。")</f>
        <v>显示了剪辑的信用。</v>
      </c>
    </row>
    <row r="16796">
      <c r="A16796" s="4" t="s">
        <v>21152</v>
      </c>
      <c r="B16796" s="4" t="s">
        <v>21154</v>
      </c>
      <c r="C16796" s="5" t="str">
        <f>IFERROR(__xludf.DUMMYFUNCTION("GOOGLETRANSLATE(B16796,""en"",""zh-CN"")"),"石灰被切成白色切菜板。")</f>
        <v>石灰被切成白色切菜板。</v>
      </c>
    </row>
    <row r="16797">
      <c r="A16797" s="4" t="s">
        <v>21152</v>
      </c>
      <c r="B16797" s="4" t="s">
        <v>21155</v>
      </c>
      <c r="C16797" s="5" t="str">
        <f>IFERROR(__xludf.DUMMYFUNCTION("GOOGLETRANSLATE(B16797,""en"",""zh-CN"")"),"切成薄片放在带有液体并混合的搅拌机中。")</f>
        <v>切成薄片放在带有液体并混合的搅拌机中。</v>
      </c>
    </row>
    <row r="16798">
      <c r="A16798" s="4" t="s">
        <v>21152</v>
      </c>
      <c r="B16798" s="4" t="s">
        <v>21156</v>
      </c>
      <c r="C16798" s="5" t="str">
        <f>IFERROR(__xludf.DUMMYFUNCTION("GOOGLETRANSLATE(B16798,""en"",""zh-CN"")"),"将液体添加到带有滤网的投手中。")</f>
        <v>将液体添加到带有滤网的投手中。</v>
      </c>
    </row>
    <row r="16799">
      <c r="A16799" s="4" t="s">
        <v>21152</v>
      </c>
      <c r="B16799" s="4" t="s">
        <v>21157</v>
      </c>
      <c r="C16799" s="5" t="str">
        <f>IFERROR(__xludf.DUMMYFUNCTION("GOOGLETRANSLATE(B16799,""en"",""zh-CN"")"),"显示了视频的积分。")</f>
        <v>显示了视频的积分。</v>
      </c>
    </row>
    <row r="16800">
      <c r="A16800" s="4" t="s">
        <v>21158</v>
      </c>
      <c r="B16800" s="4" t="s">
        <v>21159</v>
      </c>
      <c r="C16800" s="5" t="str">
        <f>IFERROR(__xludf.DUMMYFUNCTION("GOOGLETRANSLATE(B16800,""en"",""zh-CN"")"),"一个新闻女人坐在桌子旁说话。")</f>
        <v>一个新闻女人坐在桌子旁说话。</v>
      </c>
    </row>
    <row r="16801">
      <c r="A16801" s="4" t="s">
        <v>21158</v>
      </c>
      <c r="B16801" s="4" t="s">
        <v>21160</v>
      </c>
      <c r="C16801" s="5" t="str">
        <f>IFERROR(__xludf.DUMMYFUNCTION("GOOGLETRANSLATE(B16801,""en"",""zh-CN"")"),"我们看到许多人用皮划艇撞到水中，沿着急流河奔跑。")</f>
        <v>我们看到许多人用皮划艇撞到水中，沿着急流河奔跑。</v>
      </c>
    </row>
    <row r="16802">
      <c r="A16802" s="4" t="s">
        <v>21158</v>
      </c>
      <c r="B16802" s="6" t="s">
        <v>21161</v>
      </c>
      <c r="C16802" s="5" t="str">
        <f>IFERROR(__xludf.DUMMYFUNCTION("GOOGLETRANSLATE(B16802,""en"",""zh-CN"")"),"完成后，一些竞争对手在相机上接受采访，其他竞争对手则在假皮划艇上走进水。")</f>
        <v>完成后，一些竞争对手在相机上接受采访，其他竞争对手则在假皮划艇上走进水。</v>
      </c>
    </row>
    <row r="16803">
      <c r="A16803" s="4" t="s">
        <v>21162</v>
      </c>
      <c r="B16803" s="4" t="s">
        <v>21163</v>
      </c>
      <c r="C16803" s="5" t="str">
        <f>IFERROR(__xludf.DUMMYFUNCTION("GOOGLETRANSLATE(B16803,""en"",""zh-CN"")"),"我们看到一位孕妇在工作室里做芭蕾舞。")</f>
        <v>我们看到一位孕妇在工作室里做芭蕾舞。</v>
      </c>
    </row>
    <row r="16804">
      <c r="A16804" s="4" t="s">
        <v>21162</v>
      </c>
      <c r="B16804" s="4" t="s">
        <v>21164</v>
      </c>
      <c r="C16804" s="5" t="str">
        <f>IFERROR(__xludf.DUMMYFUNCTION("GOOGLETRANSLATE(B16804,""en"",""zh-CN"")"),"夫人旋转并做一个培训。")</f>
        <v>夫人旋转并做一个培训。</v>
      </c>
    </row>
    <row r="16805">
      <c r="A16805" s="4" t="s">
        <v>21162</v>
      </c>
      <c r="B16805" s="4" t="s">
        <v>21165</v>
      </c>
      <c r="C16805" s="5" t="str">
        <f>IFERROR(__xludf.DUMMYFUNCTION("GOOGLETRANSLATE(B16805,""en"",""zh-CN"")"),"背景中的人鼓掌为女士。")</f>
        <v>背景中的人鼓掌为女士。</v>
      </c>
    </row>
    <row r="16806">
      <c r="A16806" s="4" t="s">
        <v>21162</v>
      </c>
      <c r="B16806" s="4" t="s">
        <v>21166</v>
      </c>
      <c r="C16806" s="5" t="str">
        <f>IFERROR(__xludf.DUMMYFUNCTION("GOOGLETRANSLATE(B16806,""en"",""zh-CN"")"),"然后，这位女士笑着走下相机。")</f>
        <v>然后，这位女士笑着走下相机。</v>
      </c>
    </row>
    <row r="16807">
      <c r="A16807" s="4" t="s">
        <v>21167</v>
      </c>
      <c r="B16807" s="4" t="s">
        <v>21168</v>
      </c>
      <c r="C16807" s="5" t="str">
        <f>IFERROR(__xludf.DUMMYFUNCTION("GOOGLETRANSLATE(B16807,""en"",""zh-CN"")"),"两个水龙头正在运行，并在水槽下方展示一个人的手。")</f>
        <v>两个水龙头正在运行，并在水槽下方展示一个人的手。</v>
      </c>
    </row>
    <row r="16808">
      <c r="A16808" s="4" t="s">
        <v>21167</v>
      </c>
      <c r="B16808" s="4" t="s">
        <v>21169</v>
      </c>
      <c r="C16808" s="5" t="str">
        <f>IFERROR(__xludf.DUMMYFUNCTION("GOOGLETRANSLATE(B16808,""en"",""zh-CN"")"),"那个男人动手移动，然后以他的头发擦了擦手。")</f>
        <v>那个男人动手移动，然后以他的头发擦了擦手。</v>
      </c>
    </row>
    <row r="16809">
      <c r="A16809" s="4" t="s">
        <v>21170</v>
      </c>
      <c r="B16809" s="4" t="s">
        <v>21171</v>
      </c>
      <c r="C16809" s="5" t="str">
        <f>IFERROR(__xludf.DUMMYFUNCTION("GOOGLETRANSLATE(B16809,""en"",""zh-CN"")"),"一个穿着粉红色西装的男人与穿着红色西装的男人说话，男人不穿衬衫。")</f>
        <v>一个穿着粉红色西装的男人与穿着红色西装的男人说话，男人不穿衬衫。</v>
      </c>
    </row>
    <row r="16810">
      <c r="A16810" s="4" t="s">
        <v>21170</v>
      </c>
      <c r="B16810" s="4" t="s">
        <v>21172</v>
      </c>
      <c r="C16810" s="5" t="str">
        <f>IFERROR(__xludf.DUMMYFUNCTION("GOOGLETRANSLATE(B16810,""en"",""zh-CN"")"),"他们玩岩石剪刀。")</f>
        <v>他们玩岩石剪刀。</v>
      </c>
    </row>
    <row r="16811">
      <c r="A16811" s="4" t="s">
        <v>21170</v>
      </c>
      <c r="B16811" s="4" t="s">
        <v>21173</v>
      </c>
      <c r="C16811" s="5" t="str">
        <f>IFERROR(__xludf.DUMMYFUNCTION("GOOGLETRANSLATE(B16811,""en"",""zh-CN"")"),"穿着粉红色西装的男人庆祝。")</f>
        <v>穿着粉红色西装的男人庆祝。</v>
      </c>
    </row>
    <row r="16812">
      <c r="A16812" s="4" t="s">
        <v>21170</v>
      </c>
      <c r="B16812" s="4" t="s">
        <v>21174</v>
      </c>
      <c r="C16812" s="5" t="str">
        <f>IFERROR(__xludf.DUMMYFUNCTION("GOOGLETRANSLATE(B16812,""en"",""zh-CN"")"),"那个不穿衬衫的男人穿着粉红色西装追逐男人。")</f>
        <v>那个不穿衬衫的男人穿着粉红色西装追逐男人。</v>
      </c>
    </row>
    <row r="16813">
      <c r="A16813" s="4" t="s">
        <v>21170</v>
      </c>
      <c r="B16813" s="4" t="s">
        <v>21175</v>
      </c>
      <c r="C16813" s="5" t="str">
        <f>IFERROR(__xludf.DUMMYFUNCTION("GOOGLETRANSLATE(B16813,""en"",""zh-CN"")"),"穿着粉红色西装的男人掉下来。")</f>
        <v>穿着粉红色西装的男人掉下来。</v>
      </c>
    </row>
    <row r="16814">
      <c r="A16814" s="4" t="s">
        <v>21170</v>
      </c>
      <c r="B16814" s="4" t="s">
        <v>21176</v>
      </c>
      <c r="C16814" s="5" t="str">
        <f>IFERROR(__xludf.DUMMYFUNCTION("GOOGLETRANSLATE(B16814,""en"",""zh-CN"")"),"那个人不穿衬衫会在地面上的那个男人扔白桶。")</f>
        <v>那个人不穿衬衫会在地面上的那个男人扔白桶。</v>
      </c>
    </row>
    <row r="16815">
      <c r="A16815" s="4" t="s">
        <v>21170</v>
      </c>
      <c r="B16815" s="4" t="s">
        <v>21177</v>
      </c>
      <c r="C16815" s="5" t="str">
        <f>IFERROR(__xludf.DUMMYFUNCTION("GOOGLETRANSLATE(B16815,""en"",""zh-CN"")"),"一个穿着黑色西装的男人从灌木丛中出来。")</f>
        <v>一个穿着黑色西装的男人从灌木丛中出来。</v>
      </c>
    </row>
    <row r="16816">
      <c r="A16816" s="4" t="s">
        <v>21170</v>
      </c>
      <c r="B16816" s="4" t="s">
        <v>21178</v>
      </c>
      <c r="C16816" s="5" t="str">
        <f>IFERROR(__xludf.DUMMYFUNCTION("GOOGLETRANSLATE(B16816,""en"",""zh-CN"")"),"他穿着红色西装与男人作战。")</f>
        <v>他穿着红色西装与男人作战。</v>
      </c>
    </row>
    <row r="16817">
      <c r="A16817" s="4" t="s">
        <v>21170</v>
      </c>
      <c r="B16817" s="4" t="s">
        <v>21179</v>
      </c>
      <c r="C16817" s="5" t="str">
        <f>IFERROR(__xludf.DUMMYFUNCTION("GOOGLETRANSLATE(B16817,""en"",""zh-CN"")"),"那个穿着衬衫的男人穿着黑色西装的男人扔了一个桶。")</f>
        <v>那个穿着衬衫的男人穿着黑色西装的男人扔了一个桶。</v>
      </c>
    </row>
    <row r="16818">
      <c r="A16818" s="4" t="s">
        <v>21180</v>
      </c>
      <c r="B16818" s="4" t="s">
        <v>21181</v>
      </c>
      <c r="C16818" s="5" t="str">
        <f>IFERROR(__xludf.DUMMYFUNCTION("GOOGLETRANSLATE(B16818,""en"",""zh-CN"")"),"跳跃运动员在跳远之前变热。")</f>
        <v>跳跃运动员在跳远之前变热。</v>
      </c>
    </row>
    <row r="16819">
      <c r="A16819" s="4" t="s">
        <v>21180</v>
      </c>
      <c r="B16819" s="6" t="s">
        <v>21182</v>
      </c>
      <c r="C16819" s="5" t="str">
        <f>IFERROR(__xludf.DUMMYFUNCTION("GOOGLETRANSLATE(B16819,""en"",""zh-CN"")"),"他跑出跳远，然后立即跳起来奔跑，与人群一起欢呼和庆祝。")</f>
        <v>他跑出跳远，然后立即跳起来奔跑，与人群一起欢呼和庆祝。</v>
      </c>
    </row>
    <row r="16820">
      <c r="A16820" s="4" t="s">
        <v>21180</v>
      </c>
      <c r="B16820" s="4" t="s">
        <v>21183</v>
      </c>
      <c r="C16820" s="5" t="str">
        <f>IFERROR(__xludf.DUMMYFUNCTION("GOOGLETRANSLATE(B16820,""en"",""zh-CN"")"),"他殴打胸部并拥抱人。")</f>
        <v>他殴打胸部并拥抱人。</v>
      </c>
    </row>
    <row r="16821">
      <c r="A16821" s="4" t="s">
        <v>21180</v>
      </c>
      <c r="B16821" s="4" t="s">
        <v>21184</v>
      </c>
      <c r="C16821" s="5" t="str">
        <f>IFERROR(__xludf.DUMMYFUNCTION("GOOGLETRANSLATE(B16821,""en"",""zh-CN"")"),"然后，他拍照时，他在记分牌前摆姿势。")</f>
        <v>然后，他拍照时，他在记分牌前摆姿势。</v>
      </c>
    </row>
    <row r="16822">
      <c r="A16822" s="4" t="s">
        <v>21185</v>
      </c>
      <c r="B16822" s="4" t="s">
        <v>21186</v>
      </c>
      <c r="C16822" s="5" t="str">
        <f>IFERROR(__xludf.DUMMYFUNCTION("GOOGLETRANSLATE(B16822,""en"",""zh-CN"")"),"一个男人在两只猫看时，在卧室硬木地板上修理自行车。")</f>
        <v>一个男人在两只猫看时，在卧室硬木地板上修理自行车。</v>
      </c>
    </row>
    <row r="16823">
      <c r="A16823" s="4" t="s">
        <v>21185</v>
      </c>
      <c r="B16823" s="4" t="s">
        <v>21187</v>
      </c>
      <c r="C16823" s="5" t="str">
        <f>IFERROR(__xludf.DUMMYFUNCTION("GOOGLETRANSLATE(B16823,""en"",""zh-CN"")"),"一个人进入卧室，在他的卧室地板上骑自行车。")</f>
        <v>一个人进入卧室，在他的卧室地板上骑自行车。</v>
      </c>
    </row>
    <row r="16824">
      <c r="A16824" s="4" t="s">
        <v>21185</v>
      </c>
      <c r="B16824" s="6" t="s">
        <v>21188</v>
      </c>
      <c r="C16824" s="5" t="str">
        <f>IFERROR(__xludf.DUMMYFUNCTION("GOOGLETRANSLATE(B16824,""en"",""zh-CN"")"),"然后，该男子使用工具进行维修，而两只猫在周围的观察和四处走动。")</f>
        <v>然后，该男子使用工具进行维修，而两只猫在周围的观察和四处走动。</v>
      </c>
    </row>
    <row r="16825">
      <c r="A16825" s="4" t="s">
        <v>21185</v>
      </c>
      <c r="B16825" s="6" t="s">
        <v>21189</v>
      </c>
      <c r="C16825" s="5" t="str">
        <f>IFERROR(__xludf.DUMMYFUNCTION("GOOGLETRANSLATE(B16825,""en"",""zh-CN"")"),"该男子在修理自行车的同时产生了很多黑尘，他最终离开了房间，回来了，然后在一只猫接近该男子正在工作的地方再次离开。")</f>
        <v>该男子在修理自行车的同时产生了很多黑尘，他最终离开了房间，回来了，然后在一只猫接近该男子正在工作的地方再次离开。</v>
      </c>
    </row>
    <row r="16826">
      <c r="A16826" s="4" t="s">
        <v>21190</v>
      </c>
      <c r="B16826" s="4" t="s">
        <v>21191</v>
      </c>
      <c r="C16826" s="5" t="str">
        <f>IFERROR(__xludf.DUMMYFUNCTION("GOOGLETRANSLATE(B16826,""en"",""zh-CN"")"),"穿着蓝色衬衫的孩子很长。")</f>
        <v>穿着蓝色衬衫的孩子很长。</v>
      </c>
    </row>
    <row r="16827">
      <c r="A16827" s="4" t="s">
        <v>21190</v>
      </c>
      <c r="B16827" s="4" t="s">
        <v>21192</v>
      </c>
      <c r="C16827" s="5" t="str">
        <f>IFERROR(__xludf.DUMMYFUNCTION("GOOGLETRANSLATE(B16827,""en"",""zh-CN"")"),"他跌倒并走上街道。")</f>
        <v>他跌倒并走上街道。</v>
      </c>
    </row>
    <row r="16828">
      <c r="A16828" s="4" t="s">
        <v>21190</v>
      </c>
      <c r="B16828" s="4" t="s">
        <v>21193</v>
      </c>
      <c r="C16828" s="5" t="str">
        <f>IFERROR(__xludf.DUMMYFUNCTION("GOOGLETRANSLATE(B16828,""en"",""zh-CN"")"),"他一直在漫长的董事会上走上街道。")</f>
        <v>他一直在漫长的董事会上走上街道。</v>
      </c>
    </row>
    <row r="16829">
      <c r="A16829" s="4" t="s">
        <v>21194</v>
      </c>
      <c r="B16829" s="4" t="s">
        <v>21195</v>
      </c>
      <c r="C16829" s="5" t="str">
        <f>IFERROR(__xludf.DUMMYFUNCTION("GOOGLETRANSLATE(B16829,""en"",""zh-CN"")"),"相机可以放大各种食物和成分以及炉子上的锅。")</f>
        <v>相机可以放大各种食物和成分以及炉子上的锅。</v>
      </c>
    </row>
    <row r="16830">
      <c r="A16830" s="4" t="s">
        <v>21194</v>
      </c>
      <c r="B16830" s="6" t="s">
        <v>21196</v>
      </c>
      <c r="C16830" s="5" t="str">
        <f>IFERROR(__xludf.DUMMYFUNCTION("GOOGLETRANSLATE(B16830,""en"",""zh-CN"")"),"看到一个戴着手套的人将食物撒在盘子上，然后是大糕点，并在上面撒了黄油。")</f>
        <v>看到一个戴着手套的人将食物撒在盘子上，然后是大糕点，并在上面撒了黄油。</v>
      </c>
    </row>
    <row r="16831">
      <c r="A16831" s="4" t="s">
        <v>21194</v>
      </c>
      <c r="B16831" s="4" t="s">
        <v>21197</v>
      </c>
      <c r="C16831" s="5" t="str">
        <f>IFERROR(__xludf.DUMMYFUNCTION("GOOGLETRANSLATE(B16831,""en"",""zh-CN"")"),"该人继续制作层，然后撤消蛋糕，并炫耀坚固的蛋糕。")</f>
        <v>该人继续制作层，然后撤消蛋糕，并炫耀坚固的蛋糕。</v>
      </c>
    </row>
    <row r="16832">
      <c r="A16832" s="4" t="s">
        <v>21194</v>
      </c>
      <c r="B16832" s="6" t="s">
        <v>21198</v>
      </c>
      <c r="C16832" s="5" t="str">
        <f>IFERROR(__xludf.DUMMYFUNCTION("GOOGLETRANSLATE(B16832,""en"",""zh-CN"")"),"她拿出胶带，然后推出更多的面团，然后沿着蛋糕散布，展示成品结果。")</f>
        <v>她拿出胶带，然后推出更多的面团，然后沿着蛋糕散布，展示成品结果。</v>
      </c>
    </row>
    <row r="16833">
      <c r="A16833" s="4" t="s">
        <v>21199</v>
      </c>
      <c r="B16833" s="4" t="s">
        <v>21200</v>
      </c>
      <c r="C16833" s="5" t="str">
        <f>IFERROR(__xludf.DUMMYFUNCTION("GOOGLETRANSLATE(B16833,""en"",""zh-CN"")"),"当人们听那个男人时，一个人站在前面的桌子上。")</f>
        <v>当人们听那个男人时，一个人站在前面的桌子上。</v>
      </c>
    </row>
    <row r="16834">
      <c r="A16834" s="4" t="s">
        <v>21199</v>
      </c>
      <c r="B16834" s="4" t="s">
        <v>21201</v>
      </c>
      <c r="C16834" s="5" t="str">
        <f>IFERROR(__xludf.DUMMYFUNCTION("GOOGLETRANSLATE(B16834,""en"",""zh-CN"")"),"一个女人展示格兰诺拉麦片酒吧，并向桌子周围的人解释。")</f>
        <v>一个女人展示格兰诺拉麦片酒吧，并向桌子周围的人解释。</v>
      </c>
    </row>
    <row r="16835">
      <c r="A16835" s="4" t="s">
        <v>21199</v>
      </c>
      <c r="B16835" s="4" t="s">
        <v>21202</v>
      </c>
      <c r="C16835" s="5" t="str">
        <f>IFERROR(__xludf.DUMMYFUNCTION("GOOGLETRANSLATE(B16835,""en"",""zh-CN"")"),"然后，一个人将蜡放在滑雪板上，用电动机器在充满滑雪板的房间里。")</f>
        <v>然后，一个人将蜡放在滑雪板上，用电动机器在充满滑雪板的房间里。</v>
      </c>
    </row>
    <row r="16836">
      <c r="A16836" s="4" t="s">
        <v>21203</v>
      </c>
      <c r="B16836" s="6" t="s">
        <v>21204</v>
      </c>
      <c r="C16836" s="5" t="str">
        <f>IFERROR(__xludf.DUMMYFUNCTION("GOOGLETRANSLATE(B16836,""en"",""zh-CN"")"),"男人正在采访一些正在看着比基尼摔跤的女人的人，女人赢了并开始跳跃。")</f>
        <v>男人正在采访一些正在看着比基尼摔跤的女人的人，女人赢了并开始跳跃。</v>
      </c>
    </row>
    <row r="16837">
      <c r="A16837" s="4" t="s">
        <v>21203</v>
      </c>
      <c r="B16837" s="6" t="s">
        <v>21205</v>
      </c>
      <c r="C16837" s="5" t="str">
        <f>IFERROR(__xludf.DUMMYFUNCTION("GOOGLETRANSLATE(B16837,""en"",""zh-CN"")"),"比基尼的两名妇女正与矮人站在一起，他正在与观众中的人们交谈时赢得了战斗。")</f>
        <v>比基尼的两名妇女正与矮人站在一起，他正在与观众中的人们交谈时赢得了战斗。</v>
      </c>
    </row>
    <row r="16838">
      <c r="A16838" s="4" t="s">
        <v>21203</v>
      </c>
      <c r="B16838" s="4" t="s">
        <v>21206</v>
      </c>
      <c r="C16838" s="5" t="str">
        <f>IFERROR(__xludf.DUMMYFUNCTION("GOOGLETRANSLATE(B16838,""en"",""zh-CN"")"),"比基尼的妇女正准备摔跤。")</f>
        <v>比基尼的妇女正准备摔跤。</v>
      </c>
    </row>
    <row r="16839">
      <c r="A16839" s="4" t="s">
        <v>21203</v>
      </c>
      <c r="B16839" s="4" t="s">
        <v>21207</v>
      </c>
      <c r="C16839" s="5" t="str">
        <f>IFERROR(__xludf.DUMMYFUNCTION("GOOGLETRANSLATE(B16839,""en"",""zh-CN"")"),"显示了一些YouTube视频片段。")</f>
        <v>显示了一些YouTube视频片段。</v>
      </c>
    </row>
    <row r="16840">
      <c r="A16840" s="4" t="s">
        <v>21208</v>
      </c>
      <c r="B16840" s="4" t="s">
        <v>21209</v>
      </c>
      <c r="C16840" s="5" t="str">
        <f>IFERROR(__xludf.DUMMYFUNCTION("GOOGLETRANSLATE(B16840,""en"",""zh-CN"")"),"看到了几个三明治的特写镜头，以及一个切割肉类和蔬菜的人。")</f>
        <v>看到了几个三明治的特写镜头，以及一个切割肉类和蔬菜的人。</v>
      </c>
    </row>
    <row r="16841">
      <c r="A16841" s="4" t="s">
        <v>21208</v>
      </c>
      <c r="B16841" s="4" t="s">
        <v>21210</v>
      </c>
      <c r="C16841" s="5" t="str">
        <f>IFERROR(__xludf.DUMMYFUNCTION("GOOGLETRANSLATE(B16841,""en"",""zh-CN"")"),"该人通过在面包上铺设各种成分来切割面包。")</f>
        <v>该人通过在面包上铺设各种成分来切割面包。</v>
      </c>
    </row>
    <row r="16842">
      <c r="A16842" s="4" t="s">
        <v>21208</v>
      </c>
      <c r="B16842" s="6" t="s">
        <v>21211</v>
      </c>
      <c r="C16842" s="5" t="str">
        <f>IFERROR(__xludf.DUMMYFUNCTION("GOOGLETRANSLATE(B16842,""en"",""zh-CN"")"),"该人关闭面包以制作三明治，然后将它们放入法国媒体上并将其呈现给相机。")</f>
        <v>该人关闭面包以制作三明治，然后将它们放入法国媒体上并将其呈现给相机。</v>
      </c>
    </row>
    <row r="16843">
      <c r="A16843" s="4" t="s">
        <v>21212</v>
      </c>
      <c r="B16843" s="6" t="s">
        <v>21213</v>
      </c>
      <c r="C16843" s="5" t="str">
        <f>IFERROR(__xludf.DUMMYFUNCTION("GOOGLETRANSLATE(B16843,""en"",""zh-CN"")"),"人们看到一个男人在城市广场的中间进行中断的舞蹈动作，而人们走进和走出框架。")</f>
        <v>人们看到一个男人在城市广场的中间进行中断的舞蹈动作，而人们走进和走出框架。</v>
      </c>
    </row>
    <row r="16844">
      <c r="A16844" s="4" t="s">
        <v>21212</v>
      </c>
      <c r="B16844" s="4" t="s">
        <v>21214</v>
      </c>
      <c r="C16844" s="5" t="str">
        <f>IFERROR(__xludf.DUMMYFUNCTION("GOOGLETRANSLATE(B16844,""en"",""zh-CN"")"),"该男子回头看相机时继续跳舞并握住姿势。")</f>
        <v>该男子回头看相机时继续跳舞并握住姿势。</v>
      </c>
    </row>
    <row r="16845">
      <c r="A16845" s="4" t="s">
        <v>21215</v>
      </c>
      <c r="B16845" s="6" t="s">
        <v>21216</v>
      </c>
      <c r="C16845" s="5" t="str">
        <f>IFERROR(__xludf.DUMMYFUNCTION("GOOGLETRANSLATE(B16845,""en"",""zh-CN"")"),"两个人确实在人群前面的拳击队中踢箱子，而裁判则转过身来。")</f>
        <v>两个人确实在人群前面的拳击队中踢箱子，而裁判则转过身来。</v>
      </c>
    </row>
    <row r="16846">
      <c r="A16846" s="4" t="s">
        <v>21215</v>
      </c>
      <c r="B16846" s="4" t="s">
        <v>21217</v>
      </c>
      <c r="C16846" s="5" t="str">
        <f>IFERROR(__xludf.DUMMYFUNCTION("GOOGLETRANSLATE(B16846,""en"",""zh-CN"")"),"裁判固定拳击手的头盔。")</f>
        <v>裁判固定拳击手的头盔。</v>
      </c>
    </row>
    <row r="16847">
      <c r="A16847" s="4" t="s">
        <v>21215</v>
      </c>
      <c r="B16847" s="4" t="s">
        <v>21218</v>
      </c>
      <c r="C16847" s="5" t="str">
        <f>IFERROR(__xludf.DUMMYFUNCTION("GOOGLETRANSLATE(B16847,""en"",""zh-CN"")"),"棍子飞，降落在拳击圈上。")</f>
        <v>棍子飞，降落在拳击圈上。</v>
      </c>
    </row>
    <row r="16848">
      <c r="A16848" s="4" t="s">
        <v>21219</v>
      </c>
      <c r="B16848" s="4" t="s">
        <v>21220</v>
      </c>
      <c r="C16848" s="5" t="str">
        <f>IFERROR(__xludf.DUMMYFUNCTION("GOOGLETRANSLATE(B16848,""en"",""zh-CN"")"),"屏幕上显示了板球游戏的IS的一部分。")</f>
        <v>屏幕上显示了板球游戏的IS的一部分。</v>
      </c>
    </row>
    <row r="16849">
      <c r="A16849" s="4" t="s">
        <v>21219</v>
      </c>
      <c r="B16849" s="4" t="s">
        <v>21221</v>
      </c>
      <c r="C16849" s="5" t="str">
        <f>IFERROR(__xludf.DUMMYFUNCTION("GOOGLETRANSLATE(B16849,""en"",""zh-CN"")"),"他们在板球比赛中的玩家互相庆祝和互动。")</f>
        <v>他们在板球比赛中的玩家互相庆祝和互动。</v>
      </c>
    </row>
    <row r="16850">
      <c r="A16850" s="4" t="s">
        <v>21219</v>
      </c>
      <c r="B16850" s="4" t="s">
        <v>21222</v>
      </c>
      <c r="C16850" s="5" t="str">
        <f>IFERROR(__xludf.DUMMYFUNCTION("GOOGLETRANSLATE(B16850,""en"",""zh-CN"")"),"显示一个重播，然后在屏幕上显示统计信息。")</f>
        <v>显示一个重播，然后在屏幕上显示统计信息。</v>
      </c>
    </row>
    <row r="16851">
      <c r="A16851" s="4" t="s">
        <v>21219</v>
      </c>
      <c r="B16851" s="4" t="s">
        <v>21223</v>
      </c>
      <c r="C16851" s="5" t="str">
        <f>IFERROR(__xludf.DUMMYFUNCTION("GOOGLETRANSLATE(B16851,""en"",""zh-CN"")"),"游戏继续进行另一场比赛，并显示了该剧的重播。")</f>
        <v>游戏继续进行另一场比赛，并显示了该剧的重播。</v>
      </c>
    </row>
    <row r="16852">
      <c r="A16852" s="4" t="s">
        <v>21219</v>
      </c>
      <c r="B16852" s="4" t="s">
        <v>21224</v>
      </c>
      <c r="C16852" s="5" t="str">
        <f>IFERROR(__xludf.DUMMYFUNCTION("GOOGLETRANSLATE(B16852,""en"",""zh-CN"")"),"显示了另一场比赛，并且还显示了该剧的重播。")</f>
        <v>显示了另一场比赛，并且还显示了该剧的重播。</v>
      </c>
    </row>
    <row r="16853">
      <c r="A16853" s="4" t="s">
        <v>21219</v>
      </c>
      <c r="B16853" s="4" t="s">
        <v>21225</v>
      </c>
      <c r="C16853" s="5" t="str">
        <f>IFERROR(__xludf.DUMMYFUNCTION("GOOGLETRANSLATE(B16853,""en"",""zh-CN"")"),"下一场比赛显示了一个团队开始在重播该戏之前开始庆祝。")</f>
        <v>下一场比赛显示了一个团队开始在重播该戏之前开始庆祝。</v>
      </c>
    </row>
    <row r="16854">
      <c r="A16854" s="4" t="s">
        <v>21219</v>
      </c>
      <c r="B16854" s="4" t="s">
        <v>21226</v>
      </c>
      <c r="C16854" s="5" t="str">
        <f>IFERROR(__xludf.DUMMYFUNCTION("GOOGLETRANSLATE(B16854,""en"",""zh-CN"")"),"下一个剧本将显示，然后视频结束。")</f>
        <v>下一个剧本将显示，然后视频结束。</v>
      </c>
    </row>
    <row r="16855">
      <c r="A16855" s="4" t="s">
        <v>21227</v>
      </c>
      <c r="B16855" s="6" t="s">
        <v>21228</v>
      </c>
      <c r="C16855" s="5" t="str">
        <f>IFERROR(__xludf.DUMMYFUNCTION("GOOGLETRANSLATE(B16855,""en"",""zh-CN"")"),"一个摄像机在海滩区域周围，然后人们带着冲浪板行走，并继续在水上做技巧。")</f>
        <v>一个摄像机在海滩区域周围，然后人们带着冲浪板行走，并继续在水上做技巧。</v>
      </c>
    </row>
    <row r="16856">
      <c r="A16856" s="4" t="s">
        <v>21227</v>
      </c>
      <c r="B16856" s="6" t="s">
        <v>21229</v>
      </c>
      <c r="C16856" s="5" t="str">
        <f>IFERROR(__xludf.DUMMYFUNCTION("GOOGLETRANSLATE(B16856,""en"",""zh-CN"")"),"摄像机捕捉了这些人执行不同技巧以及在海洋中游泳并以慢动作运动的人。")</f>
        <v>摄像机捕捉了这些人执行不同技巧以及在海洋中游泳并以慢动作运动的人。</v>
      </c>
    </row>
    <row r="16857">
      <c r="A16857" s="4" t="s">
        <v>21230</v>
      </c>
      <c r="B16857" s="4" t="s">
        <v>21231</v>
      </c>
      <c r="C16857" s="5" t="str">
        <f>IFERROR(__xludf.DUMMYFUNCTION("GOOGLETRANSLATE(B16857,""en"",""zh-CN"")"),"显示了一个水球游戏，其中一名玩家突出显示。")</f>
        <v>显示了一个水球游戏，其中一名玩家突出显示。</v>
      </c>
    </row>
    <row r="16858">
      <c r="A16858" s="4" t="s">
        <v>21230</v>
      </c>
      <c r="B16858" s="4" t="s">
        <v>21232</v>
      </c>
      <c r="C16858" s="5" t="str">
        <f>IFERROR(__xludf.DUMMYFUNCTION("GOOGLETRANSLATE(B16858,""en"",""zh-CN"")"),"一个穿着白色衣服的男人在背景中来回走动。")</f>
        <v>一个穿着白色衣服的男人在背景中来回走动。</v>
      </c>
    </row>
    <row r="16859">
      <c r="A16859" s="4" t="s">
        <v>21230</v>
      </c>
      <c r="B16859" s="4" t="s">
        <v>21233</v>
      </c>
      <c r="C16859" s="5" t="str">
        <f>IFERROR(__xludf.DUMMYFUNCTION("GOOGLETRANSLATE(B16859,""en"",""zh-CN"")"),"一个穿着白色的男人站在前景中，打手势。")</f>
        <v>一个穿着白色的男人站在前景中，打手势。</v>
      </c>
    </row>
    <row r="16860">
      <c r="A16860" s="4" t="s">
        <v>21234</v>
      </c>
      <c r="B16860" s="4" t="s">
        <v>21235</v>
      </c>
      <c r="C16860" s="5" t="str">
        <f>IFERROR(__xludf.DUMMYFUNCTION("GOOGLETRANSLATE(B16860,""en"",""zh-CN"")"),"一个男人穿着黄色和黑色的冬季服装在一个冷冻湖上的冰鱼。")</f>
        <v>一个男人穿着黄色和黑色的冬季服装在一个冷冻湖上的冰鱼。</v>
      </c>
    </row>
    <row r="16861">
      <c r="A16861" s="4" t="s">
        <v>21234</v>
      </c>
      <c r="B16861" s="4" t="s">
        <v>21236</v>
      </c>
      <c r="C16861" s="5" t="str">
        <f>IFERROR(__xludf.DUMMYFUNCTION("GOOGLETRANSLATE(B16861,""en"",""zh-CN"")"),"该男子长时间卷起鱼。")</f>
        <v>该男子长时间卷起鱼。</v>
      </c>
    </row>
    <row r="16862">
      <c r="A16862" s="4" t="s">
        <v>21234</v>
      </c>
      <c r="B16862" s="4" t="s">
        <v>21237</v>
      </c>
      <c r="C16862" s="5" t="str">
        <f>IFERROR(__xludf.DUMMYFUNCTION("GOOGLETRANSLATE(B16862,""en"",""zh-CN"")"),"男人抓住终于到达了表面。")</f>
        <v>男人抓住终于到达了表面。</v>
      </c>
    </row>
    <row r="16863">
      <c r="A16863" s="4" t="s">
        <v>21238</v>
      </c>
      <c r="B16863" s="4" t="s">
        <v>21239</v>
      </c>
      <c r="C16863" s="5" t="str">
        <f>IFERROR(__xludf.DUMMYFUNCTION("GOOGLETRANSLATE(B16863,""en"",""zh-CN"")"),"人们正在游泳池里玩水球游戏。")</f>
        <v>人们正在游泳池里玩水球游戏。</v>
      </c>
    </row>
    <row r="16864">
      <c r="A16864" s="4" t="s">
        <v>21238</v>
      </c>
      <c r="B16864" s="4" t="s">
        <v>21240</v>
      </c>
      <c r="C16864" s="5" t="str">
        <f>IFERROR(__xludf.DUMMYFUNCTION("GOOGLETRANSLATE(B16864,""en"",""zh-CN"")"),"一个站在游泳池侧面的女人正在和镜头说话。")</f>
        <v>一个站在游泳池侧面的女人正在和镜头说话。</v>
      </c>
    </row>
    <row r="16865">
      <c r="A16865" s="4" t="s">
        <v>21238</v>
      </c>
      <c r="B16865" s="4" t="s">
        <v>21241</v>
      </c>
      <c r="C16865" s="5" t="str">
        <f>IFERROR(__xludf.DUMMYFUNCTION("GOOGLETRANSLATE(B16865,""en"",""zh-CN"")"),"一个男人在游泳池侧面吹口哨。")</f>
        <v>一个男人在游泳池侧面吹口哨。</v>
      </c>
    </row>
    <row r="16866">
      <c r="A16866" s="4" t="s">
        <v>21242</v>
      </c>
      <c r="B16866" s="4" t="s">
        <v>21243</v>
      </c>
      <c r="C16866" s="5" t="str">
        <f>IFERROR(__xludf.DUMMYFUNCTION("GOOGLETRANSLATE(B16866,""en"",""zh-CN"")"),"一个年轻人在一个玩乒乓球的房间里显示。")</f>
        <v>一个年轻人在一个玩乒乓球的房间里显示。</v>
      </c>
    </row>
    <row r="16867">
      <c r="A16867" s="4" t="s">
        <v>21242</v>
      </c>
      <c r="B16867" s="4" t="s">
        <v>21244</v>
      </c>
      <c r="C16867" s="5" t="str">
        <f>IFERROR(__xludf.DUMMYFUNCTION("GOOGLETRANSLATE(B16867,""en"",""zh-CN"")"),"有一次，他在等待对手开始时耸了耸肩。")</f>
        <v>有一次，他在等待对手开始时耸了耸肩。</v>
      </c>
    </row>
    <row r="16868">
      <c r="A16868" s="4" t="s">
        <v>21242</v>
      </c>
      <c r="B16868" s="6" t="s">
        <v>21245</v>
      </c>
      <c r="C16868" s="5" t="str">
        <f>IFERROR(__xludf.DUMMYFUNCTION("GOOGLETRANSLATE(B16868,""en"",""zh-CN"")"),"该视频继续显示该男子在玩乒乓球，有时由于球离开桌子而停止。")</f>
        <v>该视频继续显示该男子在玩乒乓球，有时由于球离开桌子而停止。</v>
      </c>
    </row>
    <row r="16869">
      <c r="A16869" s="4" t="s">
        <v>21242</v>
      </c>
      <c r="B16869" s="4" t="s">
        <v>21246</v>
      </c>
      <c r="C16869" s="5" t="str">
        <f>IFERROR(__xludf.DUMMYFUNCTION("GOOGLETRANSLATE(B16869,""en"",""zh-CN"")"),"当男人登上相机以将其关闭时，视频结束了。")</f>
        <v>当男人登上相机以将其关闭时，视频结束了。</v>
      </c>
    </row>
    <row r="16870">
      <c r="A16870" s="4" t="s">
        <v>21247</v>
      </c>
      <c r="B16870" s="4" t="s">
        <v>21248</v>
      </c>
      <c r="C16870" s="5" t="str">
        <f>IFERROR(__xludf.DUMMYFUNCTION("GOOGLETRANSLATE(B16870,""en"",""zh-CN"")"),"公园里有几个人参加户外活动。")</f>
        <v>公园里有几个人参加户外活动。</v>
      </c>
    </row>
    <row r="16871">
      <c r="A16871" s="4" t="s">
        <v>21247</v>
      </c>
      <c r="B16871" s="6" t="s">
        <v>21249</v>
      </c>
      <c r="C16871" s="5" t="str">
        <f>IFERROR(__xludf.DUMMYFUNCTION("GOOGLETRANSLATE(B16871,""en"",""zh-CN"")"),"有一个人在紧身的绳索上骑自行车，试图在绳子末端掉下来时要平衡。")</f>
        <v>有一个人在紧身的绳索上骑自行车，试图在绳子末端掉下来时要平衡。</v>
      </c>
    </row>
    <row r="16872">
      <c r="A16872" s="4" t="s">
        <v>21247</v>
      </c>
      <c r="B16872" s="4" t="s">
        <v>21250</v>
      </c>
      <c r="C16872" s="5" t="str">
        <f>IFERROR(__xludf.DUMMYFUNCTION("GOOGLETRANSLATE(B16872,""en"",""zh-CN"")"),"有孩子在地面上跑来跑去。")</f>
        <v>有孩子在地面上跑来跑去。</v>
      </c>
    </row>
    <row r="16873">
      <c r="A16873" s="4" t="s">
        <v>21247</v>
      </c>
      <c r="B16873" s="4" t="s">
        <v>21251</v>
      </c>
      <c r="C16873" s="5" t="str">
        <f>IFERROR(__xludf.DUMMYFUNCTION("GOOGLETRANSLATE(B16873,""en"",""zh-CN"")"),"紧紧的绳子上有另一个男人走路。")</f>
        <v>紧紧的绳子上有另一个男人走路。</v>
      </c>
    </row>
    <row r="16874">
      <c r="A16874" s="4" t="s">
        <v>21247</v>
      </c>
      <c r="B16874" s="4" t="s">
        <v>21252</v>
      </c>
      <c r="C16874" s="5" t="str">
        <f>IFERROR(__xludf.DUMMYFUNCTION("GOOGLETRANSLATE(B16874,""en"",""zh-CN"")"),"当他们观看活动时，也有很多人坐在地面上。")</f>
        <v>当他们观看活动时，也有很多人坐在地面上。</v>
      </c>
    </row>
    <row r="16875">
      <c r="A16875" s="4" t="s">
        <v>21247</v>
      </c>
      <c r="B16875" s="6" t="s">
        <v>21253</v>
      </c>
      <c r="C16875" s="5" t="str">
        <f>IFERROR(__xludf.DUMMYFUNCTION("GOOGLETRANSLATE(B16875,""en"",""zh-CN"")"),"一个人继续在紧紧的绳子上行走，跳跃，弹跳，在人们看着他时做特技。")</f>
        <v>一个人继续在紧紧的绳子上行走，跳跃，弹跳，在人们看着他时做特技。</v>
      </c>
    </row>
    <row r="16876">
      <c r="A16876" s="4" t="s">
        <v>21247</v>
      </c>
      <c r="B16876" s="4" t="s">
        <v>21254</v>
      </c>
      <c r="C16876" s="5" t="str">
        <f>IFERROR(__xludf.DUMMYFUNCTION("GOOGLETRANSLATE(B16876,""en"",""zh-CN"")"),"地面上有一辆自行车，车轮转速快。")</f>
        <v>地面上有一辆自行车，车轮转速快。</v>
      </c>
    </row>
    <row r="16877">
      <c r="A16877" s="4" t="s">
        <v>21255</v>
      </c>
      <c r="B16877" s="4" t="s">
        <v>21256</v>
      </c>
      <c r="C16877" s="5" t="str">
        <f>IFERROR(__xludf.DUMMYFUNCTION("GOOGLETRANSLATE(B16877,""en"",""zh-CN"")"),"一个男人用修剪器砍伐房屋的树篱。")</f>
        <v>一个男人用修剪器砍伐房屋的树篱。</v>
      </c>
    </row>
    <row r="16878">
      <c r="A16878" s="4" t="s">
        <v>21255</v>
      </c>
      <c r="B16878" s="4" t="s">
        <v>21257</v>
      </c>
      <c r="C16878" s="5" t="str">
        <f>IFERROR(__xludf.DUMMYFUNCTION("GOOGLETRANSLATE(B16878,""en"",""zh-CN"")"),"该男子停止切割并拉动修剪器的电线并继续切割。")</f>
        <v>该男子停止切割并拉动修剪器的电线并继续切割。</v>
      </c>
    </row>
    <row r="16879">
      <c r="A16879" s="4" t="s">
        <v>21258</v>
      </c>
      <c r="B16879" s="4" t="s">
        <v>21259</v>
      </c>
      <c r="C16879" s="5" t="str">
        <f>IFERROR(__xludf.DUMMYFUNCTION("GOOGLETRANSLATE(B16879,""en"",""zh-CN"")"),"看到一个小男孩坐在椅子上与镜头交谈。")</f>
        <v>看到一个小男孩坐在椅子上与镜头交谈。</v>
      </c>
    </row>
    <row r="16880">
      <c r="A16880" s="4" t="s">
        <v>21258</v>
      </c>
      <c r="B16880" s="4" t="s">
        <v>21260</v>
      </c>
      <c r="C16880" s="5" t="str">
        <f>IFERROR(__xludf.DUMMYFUNCTION("GOOGLETRANSLATE(B16880,""en"",""zh-CN"")"),"他表明自己的手臂在演员中，穿上袜子和鞋子。")</f>
        <v>他表明自己的手臂在演员中，穿上袜子和鞋子。</v>
      </c>
    </row>
    <row r="16881">
      <c r="A16881" s="4" t="s">
        <v>21258</v>
      </c>
      <c r="B16881" s="4" t="s">
        <v>21261</v>
      </c>
      <c r="C16881" s="5" t="str">
        <f>IFERROR(__xludf.DUMMYFUNCTION("GOOGLETRANSLATE(B16881,""en"",""zh-CN"")"),"他终于绑着鞋子，回头看着相机。")</f>
        <v>他终于绑着鞋子，回头看着相机。</v>
      </c>
    </row>
    <row r="16882">
      <c r="A16882" s="4" t="s">
        <v>21262</v>
      </c>
      <c r="B16882" s="4" t="s">
        <v>21263</v>
      </c>
      <c r="C16882" s="5" t="str">
        <f>IFERROR(__xludf.DUMMYFUNCTION("GOOGLETRANSLATE(B16882,""en"",""zh-CN"")"),"几个孩子打扮得很厉害。")</f>
        <v>几个孩子打扮得很厉害。</v>
      </c>
    </row>
    <row r="16883">
      <c r="A16883" s="4" t="s">
        <v>21262</v>
      </c>
      <c r="B16883" s="4" t="s">
        <v>21264</v>
      </c>
      <c r="C16883" s="5" t="str">
        <f>IFERROR(__xludf.DUMMYFUNCTION("GOOGLETRANSLATE(B16883,""en"",""zh-CN"")"),"孩子们确实跳了起来并快速转弯。")</f>
        <v>孩子们确实跳了起来并快速转弯。</v>
      </c>
    </row>
    <row r="16884">
      <c r="A16884" s="4" t="s">
        <v>21262</v>
      </c>
      <c r="B16884" s="4" t="s">
        <v>21265</v>
      </c>
      <c r="C16884" s="5" t="str">
        <f>IFERROR(__xludf.DUMMYFUNCTION("GOOGLETRANSLATE(B16884,""en"",""zh-CN"")"),"车载摄像头捕捉了所有乐趣。")</f>
        <v>车载摄像头捕捉了所有乐趣。</v>
      </c>
    </row>
    <row r="16885">
      <c r="A16885" s="4" t="s">
        <v>21266</v>
      </c>
      <c r="B16885" s="4" t="s">
        <v>21267</v>
      </c>
      <c r="C16885" s="5" t="str">
        <f>IFERROR(__xludf.DUMMYFUNCTION("GOOGLETRANSLATE(B16885,""en"",""zh-CN"")"),"一个年轻人正在画篱笆。")</f>
        <v>一个年轻人正在画篱笆。</v>
      </c>
    </row>
    <row r="16886">
      <c r="A16886" s="4" t="s">
        <v>21266</v>
      </c>
      <c r="B16886" s="4" t="s">
        <v>21268</v>
      </c>
      <c r="C16886" s="5" t="str">
        <f>IFERROR(__xludf.DUMMYFUNCTION("GOOGLETRANSLATE(B16886,""en"",""zh-CN"")"),"一位穿着白衬衫的男人走向条纹男人，与他交谈。")</f>
        <v>一位穿着白衬衫的男人走向条纹男人，与他交谈。</v>
      </c>
    </row>
    <row r="16887">
      <c r="A16887" s="4" t="s">
        <v>21266</v>
      </c>
      <c r="B16887" s="4" t="s">
        <v>21269</v>
      </c>
      <c r="C16887" s="5" t="str">
        <f>IFERROR(__xludf.DUMMYFUNCTION("GOOGLETRANSLATE(B16887,""en"",""zh-CN"")"),"条纹的男人画了面包，然后他用手机说话。")</f>
        <v>条纹的男人画了面包，然后他用手机说话。</v>
      </c>
    </row>
    <row r="16888">
      <c r="A16888" s="4" t="s">
        <v>21270</v>
      </c>
      <c r="B16888" s="4" t="s">
        <v>21271</v>
      </c>
      <c r="C16888" s="5" t="str">
        <f>IFERROR(__xludf.DUMMYFUNCTION("GOOGLETRANSLATE(B16888,""en"",""zh-CN"")"),"在晴天，有两个人在速乘船上航行。")</f>
        <v>在晴天，有两个人在速乘船上航行。</v>
      </c>
    </row>
    <row r="16889">
      <c r="A16889" s="4" t="s">
        <v>21270</v>
      </c>
      <c r="B16889" s="4" t="s">
        <v>21272</v>
      </c>
      <c r="C16889" s="5" t="str">
        <f>IFERROR(__xludf.DUMMYFUNCTION("GOOGLETRANSLATE(B16889,""en"",""zh-CN"")"),"他们稳定地和高速穿过海水。")</f>
        <v>他们稳定地和高速穿过海水。</v>
      </c>
    </row>
    <row r="16890">
      <c r="A16890" s="4" t="s">
        <v>21270</v>
      </c>
      <c r="B16890" s="4" t="s">
        <v>21273</v>
      </c>
      <c r="C16890" s="5" t="str">
        <f>IFERROR(__xludf.DUMMYFUNCTION("GOOGLETRANSLATE(B16890,""en"",""zh-CN"")"),"一名水手在蒸汽船上唤醒木板时拉了一条红色的绳子。")</f>
        <v>一名水手在蒸汽船上唤醒木板时拉了一条红色的绳子。</v>
      </c>
    </row>
    <row r="16891">
      <c r="A16891" s="4" t="s">
        <v>21270</v>
      </c>
      <c r="B16891" s="4" t="s">
        <v>21274</v>
      </c>
      <c r="C16891" s="5" t="str">
        <f>IFERROR(__xludf.DUMMYFUNCTION("GOOGLETRANSLATE(B16891,""en"",""zh-CN"")"),"他们加快了水的速度，赶上了前面的另一艘船。")</f>
        <v>他们加快了水的速度，赶上了前面的另一艘船。</v>
      </c>
    </row>
    <row r="16892">
      <c r="A16892" s="4" t="s">
        <v>21270</v>
      </c>
      <c r="B16892" s="4" t="s">
        <v>21275</v>
      </c>
      <c r="C16892" s="5" t="str">
        <f>IFERROR(__xludf.DUMMYFUNCTION("GOOGLETRANSLATE(B16892,""en"",""zh-CN"")"),"当他们航行到海洋时，其他几只蒸汽船经过。")</f>
        <v>当他们航行到海洋时，其他几只蒸汽船经过。</v>
      </c>
    </row>
    <row r="16893">
      <c r="A16893" s="4" t="s">
        <v>21276</v>
      </c>
      <c r="B16893" s="4" t="s">
        <v>21277</v>
      </c>
      <c r="C16893" s="5" t="str">
        <f>IFERROR(__xludf.DUMMYFUNCTION("GOOGLETRANSLATE(B16893,""en"",""zh-CN"")"),"一个女人在家庭体育馆里，和镜头交谈。")</f>
        <v>一个女人在家庭体育馆里，和镜头交谈。</v>
      </c>
    </row>
    <row r="16894">
      <c r="A16894" s="4" t="s">
        <v>21276</v>
      </c>
      <c r="B16894" s="6" t="s">
        <v>21278</v>
      </c>
      <c r="C16894" s="5" t="str">
        <f>IFERROR(__xludf.DUMMYFUNCTION("GOOGLETRANSLATE(B16894,""en"",""zh-CN"")"),"她演示了如何使用锻炼设备，踏板和拉绳索，即使坐在电脑上也是如此。")</f>
        <v>她演示了如何使用锻炼设备，踏板和拉绳索，即使坐在电脑上也是如此。</v>
      </c>
    </row>
    <row r="16895">
      <c r="A16895" s="4" t="s">
        <v>21276</v>
      </c>
      <c r="B16895" s="4" t="s">
        <v>21279</v>
      </c>
      <c r="C16895" s="5" t="str">
        <f>IFERROR(__xludf.DUMMYFUNCTION("GOOGLETRANSLATE(B16895,""en"",""zh-CN"")"),"她很长时间与相机交谈，并在设备上进行了培训。")</f>
        <v>她很长时间与相机交谈，并在设备上进行了培训。</v>
      </c>
    </row>
    <row r="16896">
      <c r="A16896" s="4" t="s">
        <v>21280</v>
      </c>
      <c r="B16896" s="4" t="s">
        <v>21281</v>
      </c>
      <c r="C16896" s="5" t="str">
        <f>IFERROR(__xludf.DUMMYFUNCTION("GOOGLETRANSLATE(B16896,""en"",""zh-CN"")"),"观众看比赛。")</f>
        <v>观众看比赛。</v>
      </c>
    </row>
    <row r="16897">
      <c r="A16897" s="4" t="s">
        <v>21280</v>
      </c>
      <c r="B16897" s="4" t="s">
        <v>21282</v>
      </c>
      <c r="C16897" s="5" t="str">
        <f>IFERROR(__xludf.DUMMYFUNCTION("GOOGLETRANSLATE(B16897,""en"",""zh-CN"")"),"一个家伙用薄而细长的棍子奔跑并扔掉棍子。")</f>
        <v>一个家伙用薄而细长的棍子奔跑并扔掉棍子。</v>
      </c>
    </row>
    <row r="16898">
      <c r="A16898" s="4" t="s">
        <v>21280</v>
      </c>
      <c r="B16898" s="4" t="s">
        <v>21283</v>
      </c>
      <c r="C16898" s="5" t="str">
        <f>IFERROR(__xludf.DUMMYFUNCTION("GOOGLETRANSLATE(B16898,""en"",""zh-CN"")"),"那个家伙伸出舌头。")</f>
        <v>那个家伙伸出舌头。</v>
      </c>
    </row>
    <row r="16899">
      <c r="A16899" s="4" t="s">
        <v>21280</v>
      </c>
      <c r="B16899" s="4" t="s">
        <v>21284</v>
      </c>
      <c r="C16899" s="5" t="str">
        <f>IFERROR(__xludf.DUMMYFUNCTION("GOOGLETRANSLATE(B16899,""en"",""zh-CN"")"),"那家伙把嘴唇握在一起，举起手。")</f>
        <v>那家伙把嘴唇握在一起，举起手。</v>
      </c>
    </row>
    <row r="16900">
      <c r="A16900" s="4" t="s">
        <v>21280</v>
      </c>
      <c r="B16900" s="4" t="s">
        <v>21285</v>
      </c>
      <c r="C16900" s="5" t="str">
        <f>IFERROR(__xludf.DUMMYFUNCTION("GOOGLETRANSLATE(B16900,""en"",""zh-CN"")"),"那家伙微笑着放下布。")</f>
        <v>那家伙微笑着放下布。</v>
      </c>
    </row>
    <row r="16901">
      <c r="A16901" s="4" t="s">
        <v>21286</v>
      </c>
      <c r="B16901" s="6" t="s">
        <v>21287</v>
      </c>
      <c r="C16901" s="5" t="str">
        <f>IFERROR(__xludf.DUMMYFUNCTION("GOOGLETRANSLATE(B16901,""en"",""zh-CN"")"),"苏格兰射箭协会聚集在他们的范围内，有几个人准备参加活动。")</f>
        <v>苏格兰射箭协会聚集在他们的范围内，有几个人准备参加活动。</v>
      </c>
    </row>
    <row r="16902">
      <c r="A16902" s="4" t="s">
        <v>21286</v>
      </c>
      <c r="B16902" s="6" t="s">
        <v>21288</v>
      </c>
      <c r="C16902" s="5" t="str">
        <f>IFERROR(__xludf.DUMMYFUNCTION("GOOGLETRANSLATE(B16902,""en"",""zh-CN"")"),"参与者轮流使用弓箭来瞄准目标板距离他们几英尺的目标板。")</f>
        <v>参与者轮流使用弓箭来瞄准目标板距离他们几英尺的目标板。</v>
      </c>
    </row>
    <row r="16903">
      <c r="A16903" s="4" t="s">
        <v>21286</v>
      </c>
      <c r="B16903" s="4" t="s">
        <v>21289</v>
      </c>
      <c r="C16903" s="5" t="str">
        <f>IFERROR(__xludf.DUMMYFUNCTION("GOOGLETRANSLATE(B16903,""en"",""zh-CN"")"),"弓箭手瞄准他们的箭，并向目标射击，以瞄准牛眼。")</f>
        <v>弓箭手瞄准他们的箭，并向目标射击，以瞄准牛眼。</v>
      </c>
    </row>
    <row r="16904">
      <c r="A16904" s="4" t="s">
        <v>21290</v>
      </c>
      <c r="B16904" s="4" t="s">
        <v>21291</v>
      </c>
      <c r="C16904" s="5" t="str">
        <f>IFERROR(__xludf.DUMMYFUNCTION("GOOGLETRANSLATE(B16904,""en"",""zh-CN"")"),"一个人沿着松懈的线行走。")</f>
        <v>一个人沿着松懈的线行走。</v>
      </c>
    </row>
    <row r="16905">
      <c r="A16905" s="4" t="s">
        <v>21290</v>
      </c>
      <c r="B16905" s="4" t="s">
        <v>21292</v>
      </c>
      <c r="C16905" s="5" t="str">
        <f>IFERROR(__xludf.DUMMYFUNCTION("GOOGLETRANSLATE(B16905,""en"",""zh-CN"")"),"他们在松弛线上来回移动。")</f>
        <v>他们在松弛线上来回移动。</v>
      </c>
    </row>
    <row r="16906">
      <c r="A16906" s="4" t="s">
        <v>21290</v>
      </c>
      <c r="B16906" s="4" t="s">
        <v>21293</v>
      </c>
      <c r="C16906" s="5" t="str">
        <f>IFERROR(__xludf.DUMMYFUNCTION("GOOGLETRANSLATE(B16906,""en"",""zh-CN"")"),"他转身开始朝另一个方向行走。")</f>
        <v>他转身开始朝另一个方向行走。</v>
      </c>
    </row>
    <row r="16907">
      <c r="A16907" s="4" t="s">
        <v>21294</v>
      </c>
      <c r="B16907" s="4" t="s">
        <v>21295</v>
      </c>
      <c r="C16907" s="5" t="str">
        <f>IFERROR(__xludf.DUMMYFUNCTION("GOOGLETRANSLATE(B16907,""en"",""zh-CN"")"),"一个男人和一个女人在空旷的房间里表演各种舞蹈，第四次。")</f>
        <v>一个男人和一个女人在空旷的房间里表演各种舞蹈，第四次。</v>
      </c>
    </row>
    <row r="16908">
      <c r="A16908" s="4" t="s">
        <v>21294</v>
      </c>
      <c r="B16908" s="6" t="s">
        <v>21296</v>
      </c>
      <c r="C16908" s="5" t="str">
        <f>IFERROR(__xludf.DUMMYFUNCTION("GOOGLETRANSLATE(B16908,""en"",""zh-CN"")"),"这对夫妇继续旋转并执行探戈例程，而男人则在他身后旋转。")</f>
        <v>这对夫妇继续旋转并执行探戈例程，而男人则在他身后旋转。</v>
      </c>
    </row>
    <row r="16909">
      <c r="A16909" s="4" t="s">
        <v>21297</v>
      </c>
      <c r="B16909" s="4" t="s">
        <v>21298</v>
      </c>
      <c r="C16909" s="5" t="str">
        <f>IFERROR(__xludf.DUMMYFUNCTION("GOOGLETRANSLATE(B16909,""en"",""zh-CN"")"),"看到一个男人在手里拿着电线时在相机上说话。")</f>
        <v>看到一个男人在手里拿着电线时在相机上说话。</v>
      </c>
    </row>
    <row r="16910">
      <c r="A16910" s="4" t="s">
        <v>21297</v>
      </c>
      <c r="B16910" s="4" t="s">
        <v>21299</v>
      </c>
      <c r="C16910" s="5" t="str">
        <f>IFERROR(__xludf.DUMMYFUNCTION("GOOGLETRANSLATE(B16910,""en"",""zh-CN"")"),"他继续说话时继续说话，并在地毯的区域踏上。")</f>
        <v>他继续说话时继续说话，并在地毯的区域踏上。</v>
      </c>
    </row>
    <row r="16911">
      <c r="A16911" s="4" t="s">
        <v>21297</v>
      </c>
      <c r="B16911" s="4" t="s">
        <v>21300</v>
      </c>
      <c r="C16911" s="5" t="str">
        <f>IFERROR(__xludf.DUMMYFUNCTION("GOOGLETRANSLATE(B16911,""en"",""zh-CN"")"),"然后，他仍在与相机交谈时，在地板上使用真空。")</f>
        <v>然后，他仍在与相机交谈时，在地板上使用真空。</v>
      </c>
    </row>
    <row r="16912">
      <c r="A16912" s="4" t="s">
        <v>21301</v>
      </c>
      <c r="B16912" s="4" t="s">
        <v>21302</v>
      </c>
      <c r="C16912" s="5" t="str">
        <f>IFERROR(__xludf.DUMMYFUNCTION("GOOGLETRANSLATE(B16912,""en"",""zh-CN"")"),"显示了一群人白水漂流到一些非常艰难的河流中的剪辑。")</f>
        <v>显示了一群人白水漂流到一些非常艰难的河流中的剪辑。</v>
      </c>
    </row>
    <row r="16913">
      <c r="A16913" s="4" t="s">
        <v>21301</v>
      </c>
      <c r="B16913" s="4" t="s">
        <v>21303</v>
      </c>
      <c r="C16913" s="5" t="str">
        <f>IFERROR(__xludf.DUMMYFUNCTION("GOOGLETRANSLATE(B16913,""en"",""zh-CN"")"),"他们一致工作，这很粗糙。")</f>
        <v>他们一致工作，这很粗糙。</v>
      </c>
    </row>
    <row r="16914">
      <c r="A16914" s="4" t="s">
        <v>21301</v>
      </c>
      <c r="B16914" s="4" t="s">
        <v>21304</v>
      </c>
      <c r="C16914" s="5" t="str">
        <f>IFERROR(__xludf.DUMMYFUNCTION("GOOGLETRANSLATE(B16914,""en"",""zh-CN"")"),"他们几乎撞到了一块岩石，因为他们都非常努力地划船。")</f>
        <v>他们几乎撞到了一块岩石，因为他们都非常努力地划船。</v>
      </c>
    </row>
    <row r="16915">
      <c r="A16915" s="4" t="s">
        <v>21301</v>
      </c>
      <c r="B16915" s="4" t="s">
        <v>21305</v>
      </c>
      <c r="C16915" s="5" t="str">
        <f>IFERROR(__xludf.DUMMYFUNCTION("GOOGLETRANSLATE(B16915,""en"",""zh-CN"")"),"在他们的过程中表现出来，他们的表现仍在表现出来。")</f>
        <v>在他们的过程中表现出来，他们的表现仍在表现出来。</v>
      </c>
    </row>
    <row r="16916">
      <c r="A16916" s="4" t="s">
        <v>21301</v>
      </c>
      <c r="B16916" s="4" t="s">
        <v>21306</v>
      </c>
      <c r="C16916" s="5" t="str">
        <f>IFERROR(__xludf.DUMMYFUNCTION("GOOGLETRANSLATE(B16916,""en"",""zh-CN"")"),"然后显示以最困难的部分的慢动作拍摄。")</f>
        <v>然后显示以最困难的部分的慢动作拍摄。</v>
      </c>
    </row>
    <row r="16917">
      <c r="A16917" s="4" t="s">
        <v>21301</v>
      </c>
      <c r="B16917" s="6" t="s">
        <v>21307</v>
      </c>
      <c r="C16917" s="5" t="str">
        <f>IFERROR(__xludf.DUMMYFUNCTION("GOOGLETRANSLATE(B16917,""en"",""zh-CN"")"),"该视频显示了一些更慢的动作和快速动作，然后才能结束并显示结束信用和YouTube频道名称。")</f>
        <v>该视频显示了一些更慢的动作和快速动作，然后才能结束并显示结束信用和YouTube频道名称。</v>
      </c>
    </row>
    <row r="16918">
      <c r="A16918" s="4" t="s">
        <v>21308</v>
      </c>
      <c r="B16918" s="4" t="s">
        <v>21309</v>
      </c>
      <c r="C16918" s="5" t="str">
        <f>IFERROR(__xludf.DUMMYFUNCTION("GOOGLETRANSLATE(B16918,""en"",""zh-CN"")"),"一位女士站着握住锤子。")</f>
        <v>一位女士站着握住锤子。</v>
      </c>
    </row>
    <row r="16919">
      <c r="A16919" s="4" t="s">
        <v>21308</v>
      </c>
      <c r="B16919" s="4" t="s">
        <v>21310</v>
      </c>
      <c r="C16919" s="5" t="str">
        <f>IFERROR(__xludf.DUMMYFUNCTION("GOOGLETRANSLATE(B16919,""en"",""zh-CN"")"),"女士用锤子旋转并扔锤子。")</f>
        <v>女士用锤子旋转并扔锤子。</v>
      </c>
    </row>
    <row r="16920">
      <c r="A16920" s="4" t="s">
        <v>21308</v>
      </c>
      <c r="B16920" s="4" t="s">
        <v>21311</v>
      </c>
      <c r="C16920" s="5" t="str">
        <f>IFERROR(__xludf.DUMMYFUNCTION("GOOGLETRANSLATE(B16920,""en"",""zh-CN"")"),"女士释放了锤子后离开。")</f>
        <v>女士释放了锤子后离开。</v>
      </c>
    </row>
    <row r="16921">
      <c r="A16921" s="4" t="s">
        <v>21312</v>
      </c>
      <c r="B16921" s="4" t="s">
        <v>21313</v>
      </c>
      <c r="C16921" s="5" t="str">
        <f>IFERROR(__xludf.DUMMYFUNCTION("GOOGLETRANSLATE(B16921,""en"",""zh-CN"")"),"孩子们在橄榄球游泳池里玩耍，一个女人正在和镜头说话。")</f>
        <v>孩子们在橄榄球游泳池里玩耍，一个女人正在和镜头说话。</v>
      </c>
    </row>
    <row r="16922">
      <c r="A16922" s="4" t="s">
        <v>21312</v>
      </c>
      <c r="B16922" s="6" t="s">
        <v>21314</v>
      </c>
      <c r="C16922" s="5" t="str">
        <f>IFERROR(__xludf.DUMMYFUNCTION("GOOGLETRANSLATE(B16922,""en"",""zh-CN"")"),"孩子正在使用防晒霜，一个女人正在谈论为孩子们推荐的Coppertone防晒霜。")</f>
        <v>孩子正在使用防晒霜，一个女人正在谈论为孩子们推荐的Coppertone防晒霜。</v>
      </c>
    </row>
    <row r="16923">
      <c r="A16923" s="4" t="s">
        <v>21315</v>
      </c>
      <c r="B16923" s="4" t="s">
        <v>21316</v>
      </c>
      <c r="C16923" s="5" t="str">
        <f>IFERROR(__xludf.DUMMYFUNCTION("GOOGLETRANSLATE(B16923,""en"",""zh-CN"")"),"一个男人说拿着麦克风，然后该男子与一个人一起表演手臂。")</f>
        <v>一个男人说拿着麦克风，然后该男子与一个人一起表演手臂。</v>
      </c>
    </row>
    <row r="16924">
      <c r="A16924" s="4" t="s">
        <v>21315</v>
      </c>
      <c r="B16924" s="4" t="s">
        <v>21317</v>
      </c>
      <c r="C16924" s="5" t="str">
        <f>IFERROR(__xludf.DUMMYFUNCTION("GOOGLETRANSLATE(B16924,""en"",""zh-CN"")"),"该男子用左手抓住了一个称重并练习举重。")</f>
        <v>该男子用左手抓住了一个称重并练习举重。</v>
      </c>
    </row>
    <row r="16925">
      <c r="A16925" s="4" t="s">
        <v>21315</v>
      </c>
      <c r="B16925" s="6" t="s">
        <v>21318</v>
      </c>
      <c r="C16925" s="5" t="str">
        <f>IFERROR(__xludf.DUMMYFUNCTION("GOOGLETRANSLATE(B16925,""en"",""zh-CN"")"),"之后，该男子脱下手表，与该人摔跤并获胜，然后他开心地跳了起来。")</f>
        <v>之后，该男子脱下手表，与该人摔跤并获胜，然后他开心地跳了起来。</v>
      </c>
    </row>
    <row r="16926">
      <c r="A16926" s="4" t="s">
        <v>21319</v>
      </c>
      <c r="B16926" s="4" t="s">
        <v>21320</v>
      </c>
      <c r="C16926" s="5" t="str">
        <f>IFERROR(__xludf.DUMMYFUNCTION("GOOGLETRANSLATE(B16926,""en"",""zh-CN"")"),"一条城市街上正在发生鼓线。")</f>
        <v>一条城市街上正在发生鼓线。</v>
      </c>
    </row>
    <row r="16927">
      <c r="A16927" s="4" t="s">
        <v>21319</v>
      </c>
      <c r="B16927" s="4" t="s">
        <v>21321</v>
      </c>
      <c r="C16927" s="5" t="str">
        <f>IFERROR(__xludf.DUMMYFUNCTION("GOOGLETRANSLATE(B16927,""en"",""zh-CN"")"),"他们进行了编队，然后开始沿着街道行进。")</f>
        <v>他们进行了编队，然后开始沿着街道行进。</v>
      </c>
    </row>
    <row r="16928">
      <c r="A16928" s="4" t="s">
        <v>21322</v>
      </c>
      <c r="B16928" s="4" t="s">
        <v>21323</v>
      </c>
      <c r="C16928" s="5" t="str">
        <f>IFERROR(__xludf.DUMMYFUNCTION("GOOGLETRANSLATE(B16928,""en"",""zh-CN"")"),"一个男人打保龄球，用他的第一个球错过了一个别针。")</f>
        <v>一个男人打保龄球，用他的第一个球错过了一个别针。</v>
      </c>
    </row>
    <row r="16929">
      <c r="A16929" s="4" t="s">
        <v>21322</v>
      </c>
      <c r="B16929" s="4" t="s">
        <v>21324</v>
      </c>
      <c r="C16929" s="5" t="str">
        <f>IFERROR(__xludf.DUMMYFUNCTION("GOOGLETRANSLATE(B16929,""en"",""zh-CN"")"),"他在接下来的六轮比赛中获得了所有罢工。")</f>
        <v>他在接下来的六轮比赛中获得了所有罢工。</v>
      </c>
    </row>
    <row r="16930">
      <c r="A16930" s="4" t="s">
        <v>21322</v>
      </c>
      <c r="B16930" s="4" t="s">
        <v>21325</v>
      </c>
      <c r="C16930" s="5" t="str">
        <f>IFERROR(__xludf.DUMMYFUNCTION("GOOGLETRANSLATE(B16930,""en"",""zh-CN"")"),"该男子切换球和碗，几次击球大部分是罢工。")</f>
        <v>该男子切换球和碗，几次击球大部分是罢工。</v>
      </c>
    </row>
    <row r="16931">
      <c r="A16931" s="4" t="s">
        <v>21322</v>
      </c>
      <c r="B16931" s="4" t="s">
        <v>21326</v>
      </c>
      <c r="C16931" s="5" t="str">
        <f>IFERROR(__xludf.DUMMYFUNCTION("GOOGLETRANSLATE(B16931,""en"",""zh-CN"")"),"他再次改变球，再打两次罢工。")</f>
        <v>他再次改变球，再打两次罢工。</v>
      </c>
    </row>
    <row r="16932">
      <c r="A16932" s="4" t="s">
        <v>21322</v>
      </c>
      <c r="B16932" s="4" t="s">
        <v>21327</v>
      </c>
      <c r="C16932" s="5" t="str">
        <f>IFERROR(__xludf.DUMMYFUNCTION("GOOGLETRANSLATE(B16932,""en"",""zh-CN"")"),"显示了每个球打保龄球的重播。")</f>
        <v>显示了每个球打保龄球的重播。</v>
      </c>
    </row>
    <row r="16933">
      <c r="A16933" s="4" t="s">
        <v>21328</v>
      </c>
      <c r="B16933" s="4" t="s">
        <v>21329</v>
      </c>
      <c r="C16933" s="5" t="str">
        <f>IFERROR(__xludf.DUMMYFUNCTION("GOOGLETRANSLATE(B16933,""en"",""zh-CN"")"),"人们在一个城市走路，交谈和做活动。")</f>
        <v>人们在一个城市走路，交谈和做活动。</v>
      </c>
    </row>
    <row r="16934">
      <c r="A16934" s="4" t="s">
        <v>21328</v>
      </c>
      <c r="B16934" s="4" t="s">
        <v>21330</v>
      </c>
      <c r="C16934" s="5" t="str">
        <f>IFERROR(__xludf.DUMMYFUNCTION("GOOGLETRANSLATE(B16934,""en"",""zh-CN"")"),"两个人在街头纸上玩耍，剪刀和石头在其他人的前面玩。")</f>
        <v>两个人在街头纸上玩耍，剪刀和石头在其他人的前面玩。</v>
      </c>
    </row>
    <row r="16935">
      <c r="A16935" s="4" t="s">
        <v>21328</v>
      </c>
      <c r="B16935" s="4" t="s">
        <v>21331</v>
      </c>
      <c r="C16935" s="5" t="str">
        <f>IFERROR(__xludf.DUMMYFUNCTION("GOOGLETRANSLATE(B16935,""en"",""zh-CN"")"),"一个男人与看着他的人交谈。")</f>
        <v>一个男人与看着他的人交谈。</v>
      </c>
    </row>
    <row r="16936">
      <c r="A16936" s="4" t="s">
        <v>21332</v>
      </c>
      <c r="B16936" s="4" t="s">
        <v>21333</v>
      </c>
      <c r="C16936" s="5" t="str">
        <f>IFERROR(__xludf.DUMMYFUNCTION("GOOGLETRANSLATE(B16936,""en"",""zh-CN"")"),"一个男人在游泳池内显示。")</f>
        <v>一个男人在游泳池内显示。</v>
      </c>
    </row>
    <row r="16937">
      <c r="A16937" s="4" t="s">
        <v>21332</v>
      </c>
      <c r="B16937" s="4" t="s">
        <v>21334</v>
      </c>
      <c r="C16937" s="5" t="str">
        <f>IFERROR(__xludf.DUMMYFUNCTION("GOOGLETRANSLATE(B16937,""en"",""zh-CN"")"),"他一遍又一又将一个球扔给他的狗。")</f>
        <v>他一遍又一又将一个球扔给他的狗。</v>
      </c>
    </row>
    <row r="16938">
      <c r="A16938" s="4" t="s">
        <v>21332</v>
      </c>
      <c r="B16938" s="4" t="s">
        <v>21335</v>
      </c>
      <c r="C16938" s="5" t="str">
        <f>IFERROR(__xludf.DUMMYFUNCTION("GOOGLETRANSLATE(B16938,""en"",""zh-CN"")"),"那只狗不断用鼻子弹回球。")</f>
        <v>那只狗不断用鼻子弹回球。</v>
      </c>
    </row>
    <row r="16939">
      <c r="A16939" s="4" t="s">
        <v>21336</v>
      </c>
      <c r="B16939" s="4" t="s">
        <v>21337</v>
      </c>
      <c r="C16939" s="5" t="str">
        <f>IFERROR(__xludf.DUMMYFUNCTION("GOOGLETRANSLATE(B16939,""en"",""zh-CN"")"),"一个穿着绿色衬衫的女人站在外面拿着呼啦圈。")</f>
        <v>一个穿着绿色衬衫的女人站在外面拿着呼啦圈。</v>
      </c>
    </row>
    <row r="16940">
      <c r="A16940" s="4" t="s">
        <v>21336</v>
      </c>
      <c r="B16940" s="4" t="s">
        <v>21338</v>
      </c>
      <c r="C16940" s="5" t="str">
        <f>IFERROR(__xludf.DUMMYFUNCTION("GOOGLETRANSLATE(B16940,""en"",""zh-CN"")"),"她开始用呼啦圈箍圈。")</f>
        <v>她开始用呼啦圈箍圈。</v>
      </c>
    </row>
    <row r="16941">
      <c r="A16941" s="4" t="s">
        <v>21336</v>
      </c>
      <c r="B16941" s="4" t="s">
        <v>21339</v>
      </c>
      <c r="C16941" s="5" t="str">
        <f>IFERROR(__xludf.DUMMYFUNCTION("GOOGLETRANSLATE(B16941,""en"",""zh-CN"")"),"末尾的单词登上屏幕。")</f>
        <v>末尾的单词登上屏幕。</v>
      </c>
    </row>
    <row r="16942">
      <c r="A16942" s="4" t="s">
        <v>21340</v>
      </c>
      <c r="B16942" s="6" t="s">
        <v>21341</v>
      </c>
      <c r="C16942" s="5" t="str">
        <f>IFERROR(__xludf.DUMMYFUNCTION("GOOGLETRANSLATE(B16942,""en"",""zh-CN"")"),"一群人在一个标题为Boulder Ridge的滑雪胜地外面，他们开始与管子一致。")</f>
        <v>一群人在一个标题为Boulder Ridge的滑雪胜地外面，他们开始与管子一致。</v>
      </c>
    </row>
    <row r="16943">
      <c r="A16943" s="4" t="s">
        <v>21340</v>
      </c>
      <c r="B16943" s="6" t="s">
        <v>21342</v>
      </c>
      <c r="C16943" s="5" t="str">
        <f>IFERROR(__xludf.DUMMYFUNCTION("GOOGLETRANSLATE(B16943,""en"",""zh-CN"")"),"当他们在等待时，他们可以看到几个人沿着山上走去，然后才终于轮到他们。")</f>
        <v>当他们在等待时，他们可以看到几个人沿着山上走去，然后才终于轮到他们。</v>
      </c>
    </row>
    <row r="16944">
      <c r="A16944" s="4" t="s">
        <v>21340</v>
      </c>
      <c r="B16944" s="4" t="s">
        <v>21343</v>
      </c>
      <c r="C16944" s="5" t="str">
        <f>IFERROR(__xludf.DUMMYFUNCTION("GOOGLETRANSLATE(B16944,""en"",""zh-CN"")"),"一旦到达底部，他们就会抓住管子，开始从斜坡上走下去。")</f>
        <v>一旦到达底部，他们就会抓住管子，开始从斜坡上走下去。</v>
      </c>
    </row>
    <row r="16945">
      <c r="A16945" s="4" t="s">
        <v>21344</v>
      </c>
      <c r="B16945" s="6" t="s">
        <v>21345</v>
      </c>
      <c r="C16945" s="5" t="str">
        <f>IFERROR(__xludf.DUMMYFUNCTION("GOOGLETRANSLATE(B16945,""en"",""zh-CN"")"),"带有蓝色屏幕图片图片的介绍视频在背景中，而黄色单词从底部到顶部则滚动。")</f>
        <v>带有蓝色屏幕图片图片的介绍视频在背景中，而黄色单词从底部到顶部则滚动。</v>
      </c>
    </row>
    <row r="16946">
      <c r="A16946" s="4" t="s">
        <v>21344</v>
      </c>
      <c r="B16946" s="4" t="s">
        <v>21346</v>
      </c>
      <c r="C16946" s="5" t="str">
        <f>IFERROR(__xludf.DUMMYFUNCTION("GOOGLETRANSLATE(B16946,""en"",""zh-CN"")"),"从水开始的景色，在陆地上显示了一些房屋和许多树木。")</f>
        <v>从水开始的景色，在陆地上显示了一些房屋和许多树木。</v>
      </c>
    </row>
    <row r="16947">
      <c r="A16947" s="4" t="s">
        <v>21344</v>
      </c>
      <c r="B16947" s="6" t="s">
        <v>21347</v>
      </c>
      <c r="C16947" s="5" t="str">
        <f>IFERROR(__xludf.DUMMYFUNCTION("GOOGLETRANSLATE(B16947,""en"",""zh-CN"")"),"一个人穿着浮潜装备的人现在正在水底游泳，并与另一个浮潜者见面，他们俩都坐在水下的船上，因为他们都握着手电筒和摄像头，以探索船以及其他所有东西水。")</f>
        <v>一个人穿着浮潜装备的人现在正在水底游泳，并与另一个浮潜者见面，他们俩都坐在水下的船上，因为他们都握着手电筒和摄像头，以探索船以及其他所有东西水。</v>
      </c>
    </row>
    <row r="16948">
      <c r="A16948" s="4" t="s">
        <v>21344</v>
      </c>
      <c r="B16948" s="4" t="s">
        <v>21348</v>
      </c>
      <c r="C16948" s="5" t="str">
        <f>IFERROR(__xludf.DUMMYFUNCTION("GOOGLETRANSLATE(B16948,""en"",""zh-CN"")"),"一所鱼类出现，他们在游泳和闲逛。")</f>
        <v>一所鱼类出现，他们在游泳和闲逛。</v>
      </c>
    </row>
    <row r="16949">
      <c r="A16949" s="4" t="s">
        <v>21344</v>
      </c>
      <c r="B16949" s="4" t="s">
        <v>21349</v>
      </c>
      <c r="C16949" s="5" t="str">
        <f>IFERROR(__xludf.DUMMYFUNCTION("GOOGLETRANSLATE(B16949,""en"",""zh-CN"")"),"当他们继续用手电筒探索该区域时，重点又回到了浮潜者。")</f>
        <v>当他们继续用手电筒探索该区域时，重点又回到了浮潜者。</v>
      </c>
    </row>
    <row r="16950">
      <c r="A16950" s="4" t="s">
        <v>21344</v>
      </c>
      <c r="B16950" s="6" t="s">
        <v>21350</v>
      </c>
      <c r="C16950" s="5" t="str">
        <f>IFERROR(__xludf.DUMMYFUNCTION("GOOGLETRANSLATE(B16950,""en"",""zh-CN"")"),"出现了Outro视频，它与介绍相同，并在视频中包含一些联系信息，并随着文本从下到顶部滚动而开始滚动。")</f>
        <v>出现了Outro视频，它与介绍相同，并在视频中包含一些联系信息，并随着文本从下到顶部滚动而开始滚动。</v>
      </c>
    </row>
    <row r="16951">
      <c r="A16951" s="4" t="s">
        <v>21351</v>
      </c>
      <c r="B16951" s="4" t="s">
        <v>21352</v>
      </c>
      <c r="C16951" s="5" t="str">
        <f>IFERROR(__xludf.DUMMYFUNCTION("GOOGLETRANSLATE(B16951,""en"",""zh-CN"")"),"一个男人坐下，弹吉他。")</f>
        <v>一个男人坐下，弹吉他。</v>
      </c>
    </row>
    <row r="16952">
      <c r="A16952" s="4" t="s">
        <v>21351</v>
      </c>
      <c r="B16952" s="4" t="s">
        <v>21353</v>
      </c>
      <c r="C16952" s="5" t="str">
        <f>IFERROR(__xludf.DUMMYFUNCTION("GOOGLETRANSLATE(B16952,""en"",""zh-CN"")"),"特写量有时会显示乐器，然后回到男人演奏。")</f>
        <v>特写量有时会显示乐器，然后回到男人演奏。</v>
      </c>
    </row>
    <row r="16953">
      <c r="A16953" s="4" t="s">
        <v>21354</v>
      </c>
      <c r="B16953" s="4" t="s">
        <v>21355</v>
      </c>
      <c r="C16953" s="5" t="str">
        <f>IFERROR(__xludf.DUMMYFUNCTION("GOOGLETRANSLATE(B16953,""en"",""zh-CN"")"),"人们正在一个领域玩马球比赛。")</f>
        <v>人们正在一个领域玩马球比赛。</v>
      </c>
    </row>
    <row r="16954">
      <c r="A16954" s="4" t="s">
        <v>21354</v>
      </c>
      <c r="B16954" s="4" t="s">
        <v>21356</v>
      </c>
      <c r="C16954" s="5" t="str">
        <f>IFERROR(__xludf.DUMMYFUNCTION("GOOGLETRANSLATE(B16954,""en"",""zh-CN"")"),"重点是追逐球的一匹男子和马。")</f>
        <v>重点是追逐球的一匹男子和马。</v>
      </c>
    </row>
    <row r="16955">
      <c r="A16955" s="4" t="s">
        <v>21354</v>
      </c>
      <c r="B16955" s="4" t="s">
        <v>21357</v>
      </c>
      <c r="C16955" s="5" t="str">
        <f>IFERROR(__xludf.DUMMYFUNCTION("GOOGLETRANSLATE(B16955,""en"",""zh-CN"")"),"摄像机一直保持在第2位。")</f>
        <v>摄像机一直保持在第2位。</v>
      </c>
    </row>
    <row r="16956">
      <c r="A16956" s="4" t="s">
        <v>21358</v>
      </c>
      <c r="B16956" s="4" t="s">
        <v>21359</v>
      </c>
      <c r="C16956" s="5" t="str">
        <f>IFERROR(__xludf.DUMMYFUNCTION("GOOGLETRANSLATE(B16956,""en"",""zh-CN"")"),"一个叫鲍勃的人正在奔跑，跳远。")</f>
        <v>一个叫鲍勃的人正在奔跑，跳远。</v>
      </c>
    </row>
    <row r="16957">
      <c r="A16957" s="4" t="s">
        <v>21358</v>
      </c>
      <c r="B16957" s="4" t="s">
        <v>21360</v>
      </c>
      <c r="C16957" s="5" t="str">
        <f>IFERROR(__xludf.DUMMYFUNCTION("GOOGLETRANSLATE(B16957,""en"",""zh-CN"")"),"他再次降落在一些沙子里。")</f>
        <v>他再次降落在一些沙子里。</v>
      </c>
    </row>
    <row r="16958">
      <c r="A16958" s="4" t="s">
        <v>21358</v>
      </c>
      <c r="B16958" s="4" t="s">
        <v>21361</v>
      </c>
      <c r="C16958" s="5" t="str">
        <f>IFERROR(__xludf.DUMMYFUNCTION("GOOGLETRANSLATE(B16958,""en"",""zh-CN"")"),"他继续进行这次奔跑，然后像专业人士一样再次登陆。")</f>
        <v>他继续进行这次奔跑，然后像专业人士一样再次登陆。</v>
      </c>
    </row>
    <row r="16959">
      <c r="A16959" s="4" t="s">
        <v>21358</v>
      </c>
      <c r="B16959" s="4" t="s">
        <v>21362</v>
      </c>
      <c r="C16959" s="5" t="str">
        <f>IFERROR(__xludf.DUMMYFUNCTION("GOOGLETRANSLATE(B16959,""en"",""zh-CN"")"),"然后，另一个名叫拉尔夫（Ralph）的人接下来要转弯。")</f>
        <v>然后，另一个名叫拉尔夫（Ralph）的人接下来要转弯。</v>
      </c>
    </row>
    <row r="16960">
      <c r="A16960" s="4" t="s">
        <v>21363</v>
      </c>
      <c r="B16960" s="4" t="s">
        <v>21364</v>
      </c>
      <c r="C16960" s="5" t="str">
        <f>IFERROR(__xludf.DUMMYFUNCTION("GOOGLETRANSLATE(B16960,""en"",""zh-CN"")"),"各种文本介绍导致几个人沿着长长的轨道奔跑。")</f>
        <v>各种文本介绍导致几个人沿着长长的轨道奔跑。</v>
      </c>
    </row>
    <row r="16961">
      <c r="A16961" s="4" t="s">
        <v>21363</v>
      </c>
      <c r="B16961" s="4" t="s">
        <v>21365</v>
      </c>
      <c r="C16961" s="5" t="str">
        <f>IFERROR(__xludf.DUMMYFUNCTION("GOOGLETRANSLATE(B16961,""en"",""zh-CN"")"),"摄像机从几个角度捕获了跑步者，并导致他们的表演跳跃。")</f>
        <v>摄像机从几个角度捕获了跑步者，并导致他们的表演跳跃。</v>
      </c>
    </row>
    <row r="16962">
      <c r="A16962" s="4" t="s">
        <v>21363</v>
      </c>
      <c r="B16962" s="4" t="s">
        <v>21366</v>
      </c>
      <c r="C16962" s="5" t="str">
        <f>IFERROR(__xludf.DUMMYFUNCTION("GOOGLETRANSLATE(B16962,""en"",""zh-CN"")"),"跑步者不断跳入坑中，并在屏幕上以文字结束。")</f>
        <v>跑步者不断跳入坑中，并在屏幕上以文字结束。</v>
      </c>
    </row>
    <row r="16963">
      <c r="A16963" s="4" t="s">
        <v>21367</v>
      </c>
      <c r="B16963" s="4" t="s">
        <v>21368</v>
      </c>
      <c r="C16963" s="5" t="str">
        <f>IFERROR(__xludf.DUMMYFUNCTION("GOOGLETRANSLATE(B16963,""en"",""zh-CN"")"),"穿着红色西装的女人在桌子后面说话。")</f>
        <v>穿着红色西装的女人在桌子后面说话。</v>
      </c>
    </row>
    <row r="16964">
      <c r="A16964" s="4" t="s">
        <v>21367</v>
      </c>
      <c r="B16964" s="4" t="s">
        <v>21369</v>
      </c>
      <c r="C16964" s="5" t="str">
        <f>IFERROR(__xludf.DUMMYFUNCTION("GOOGLETRANSLATE(B16964,""en"",""zh-CN"")"),"一个男人站起来握着脚后面又回来了。")</f>
        <v>一个男人站起来握着脚后面又回来了。</v>
      </c>
    </row>
    <row r="16965">
      <c r="A16965" s="4" t="s">
        <v>21367</v>
      </c>
      <c r="B16965" s="4" t="s">
        <v>21370</v>
      </c>
      <c r="C16965" s="5" t="str">
        <f>IFERROR(__xludf.DUMMYFUNCTION("GOOGLETRANSLATE(B16965,""en"",""zh-CN"")"),"人们在人行道上奔跑。")</f>
        <v>人们在人行道上奔跑。</v>
      </c>
    </row>
    <row r="16966">
      <c r="A16966" s="4" t="s">
        <v>21367</v>
      </c>
      <c r="B16966" s="4" t="s">
        <v>21371</v>
      </c>
      <c r="C16966" s="5" t="str">
        <f>IFERROR(__xludf.DUMMYFUNCTION("GOOGLETRANSLATE(B16966,""en"",""zh-CN"")"),"一个穿着蓝色衬衫的男人正在和镜头说话。")</f>
        <v>一个穿着蓝色衬衫的男人正在和镜头说话。</v>
      </c>
    </row>
    <row r="16967">
      <c r="A16967" s="4" t="s">
        <v>21367</v>
      </c>
      <c r="B16967" s="4" t="s">
        <v>21372</v>
      </c>
      <c r="C16967" s="5" t="str">
        <f>IFERROR(__xludf.DUMMYFUNCTION("GOOGLETRANSLATE(B16967,""en"",""zh-CN"")"),"穿着黑色衬衫的女人正在和镜头说话。")</f>
        <v>穿着黑色衬衫的女人正在和镜头说话。</v>
      </c>
    </row>
    <row r="16968">
      <c r="A16968" s="4" t="s">
        <v>21367</v>
      </c>
      <c r="B16968" s="4" t="s">
        <v>21373</v>
      </c>
      <c r="C16968" s="5" t="str">
        <f>IFERROR(__xludf.DUMMYFUNCTION("GOOGLETRANSLATE(B16968,""en"",""zh-CN"")"),"人们在一条小径上奔跑。")</f>
        <v>人们在一条小径上奔跑。</v>
      </c>
    </row>
    <row r="16969">
      <c r="A16969" s="4" t="s">
        <v>21374</v>
      </c>
      <c r="B16969" s="4" t="s">
        <v>21375</v>
      </c>
      <c r="C16969" s="5" t="str">
        <f>IFERROR(__xludf.DUMMYFUNCTION("GOOGLETRANSLATE(B16969,""en"",""zh-CN"")"),"我们看到男人在街上行走，滑板手跌倒。")</f>
        <v>我们看到男人在街上行走，滑板手跌倒。</v>
      </c>
    </row>
    <row r="16970">
      <c r="A16970" s="4" t="s">
        <v>21374</v>
      </c>
      <c r="B16970" s="4" t="s">
        <v>21376</v>
      </c>
      <c r="C16970" s="5" t="str">
        <f>IFERROR(__xludf.DUMMYFUNCTION("GOOGLETRANSLATE(B16970,""en"",""zh-CN"")"),"我们看到带有标题屏幕的俱乐部孩子和滑板手。")</f>
        <v>我们看到带有标题屏幕的俱乐部孩子和滑板手。</v>
      </c>
    </row>
    <row r="16971">
      <c r="A16971" s="4" t="s">
        <v>21374</v>
      </c>
      <c r="B16971" s="4" t="s">
        <v>21377</v>
      </c>
      <c r="C16971" s="5" t="str">
        <f>IFERROR(__xludf.DUMMYFUNCTION("GOOGLETRANSLATE(B16971,""en"",""zh-CN"")"),"我们看到男人在一条街上滑板，分组站立。")</f>
        <v>我们看到男人在一条街上滑板，分组站立。</v>
      </c>
    </row>
    <row r="16972">
      <c r="A16972" s="4" t="s">
        <v>21374</v>
      </c>
      <c r="B16972" s="4" t="s">
        <v>21378</v>
      </c>
      <c r="C16972" s="5" t="str">
        <f>IFERROR(__xludf.DUMMYFUNCTION("GOOGLETRANSLATE(B16972,""en"",""zh-CN"")"),"一个男人跳过楼梯，撞到相机。")</f>
        <v>一个男人跳过楼梯，撞到相机。</v>
      </c>
    </row>
    <row r="16973">
      <c r="A16973" s="4" t="s">
        <v>21374</v>
      </c>
      <c r="B16973" s="4" t="s">
        <v>21379</v>
      </c>
      <c r="C16973" s="5" t="str">
        <f>IFERROR(__xludf.DUMMYFUNCTION("GOOGLETRANSLATE(B16973,""en"",""zh-CN"")"),"一个人跌倒了，另一个人撞到了相机。")</f>
        <v>一个人跌倒了，另一个人撞到了相机。</v>
      </c>
    </row>
    <row r="16974">
      <c r="A16974" s="4" t="s">
        <v>21374</v>
      </c>
      <c r="B16974" s="4" t="s">
        <v>21380</v>
      </c>
      <c r="C16974" s="5" t="str">
        <f>IFERROR(__xludf.DUMMYFUNCTION("GOOGLETRANSLATE(B16974,""en"",""zh-CN"")"),"我们看到一个人波浪，另一个在牛角上。")</f>
        <v>我们看到一个人波浪，另一个在牛角上。</v>
      </c>
    </row>
    <row r="16975">
      <c r="A16975" s="4" t="s">
        <v>21374</v>
      </c>
      <c r="B16975" s="4" t="s">
        <v>21381</v>
      </c>
      <c r="C16975" s="5" t="str">
        <f>IFERROR(__xludf.DUMMYFUNCTION("GOOGLETRANSLATE(B16975,""en"",""zh-CN"")"),"当人们跳舞时，俱乐部灯光闪烁，乐队播放音乐。")</f>
        <v>当人们跳舞时，俱乐部灯光闪烁，乐队播放音乐。</v>
      </c>
    </row>
    <row r="16976">
      <c r="A16976" s="4" t="s">
        <v>21374</v>
      </c>
      <c r="B16976" s="4" t="s">
        <v>21382</v>
      </c>
      <c r="C16976" s="5" t="str">
        <f>IFERROR(__xludf.DUMMYFUNCTION("GOOGLETRANSLATE(B16976,""en"",""zh-CN"")"),"我们看到了积分和更多的滑冰。")</f>
        <v>我们看到了积分和更多的滑冰。</v>
      </c>
    </row>
    <row r="16977">
      <c r="A16977" s="4" t="s">
        <v>21383</v>
      </c>
      <c r="B16977" s="6" t="s">
        <v>21384</v>
      </c>
      <c r="C16977" s="5" t="str">
        <f>IFERROR(__xludf.DUMMYFUNCTION("GOOGLETRANSLATE(B16977,""en"",""zh-CN"")"),"出现了一个介绍夹，它是灰色摇椅在非常浅灰色的屏幕上摇摆的动画，上面有橙色的单词，上面写着“脱衣舞娘！”和深蓝色椭圆形的白色字母M＆R。")</f>
        <v>出现了一个介绍夹，它是灰色摇椅在非常浅灰色的屏幕上摇摆的动画，上面有橙色的单词，上面写着“脱衣舞娘！”和深蓝色椭圆形的白色字母M＆R。</v>
      </c>
    </row>
    <row r="16978">
      <c r="A16978" s="4" t="s">
        <v>21383</v>
      </c>
      <c r="B16978" s="6" t="s">
        <v>21385</v>
      </c>
      <c r="C16978" s="5" t="str">
        <f>IFERROR(__xludf.DUMMYFUNCTION("GOOGLETRANSLATE(B16978,""en"",""zh-CN"")"),"显示了商店外部和内饰的剪辑，其中包括一个在办公室里的人，商店里的人在木材上工作，被采访的人，木材用品和成品木材本身。")</f>
        <v>显示了商店外部和内饰的剪辑，其中包括一个在办公室里的人，商店里的人在木材上工作，被采访的人，木材用品和成品木材本身。</v>
      </c>
    </row>
    <row r="16979">
      <c r="A16979" s="4" t="s">
        <v>21383</v>
      </c>
      <c r="B16979" s="6" t="s">
        <v>21386</v>
      </c>
      <c r="C16979" s="5" t="str">
        <f>IFERROR(__xludf.DUMMYFUNCTION("GOOGLETRANSLATE(B16979,""en"",""zh-CN"")"),"出现了，这是在木质上工作的工人的视频剪辑，并在屏幕上出现文字，其中包括商店地址，电子邮件，网站和电话号码，外部商店再次显示。")</f>
        <v>出现了，这是在木质上工作的工人的视频剪辑，并在屏幕上出现文字，其中包括商店地址，电子邮件，网站和电话号码，外部商店再次显示。</v>
      </c>
    </row>
    <row r="16980">
      <c r="A16980" s="4" t="s">
        <v>21383</v>
      </c>
      <c r="B16980" s="6" t="s">
        <v>21387</v>
      </c>
      <c r="C16980" s="5" t="str">
        <f>IFERROR(__xludf.DUMMYFUNCTION("GOOGLETRANSLATE(B16980,""en"",""zh-CN"")"),"最后一个屏幕是首先显示的浅灰色屏幕，包括公司名称，号码和网站。")</f>
        <v>最后一个屏幕是首先显示的浅灰色屏幕，包括公司名称，号码和网站。</v>
      </c>
    </row>
    <row r="16981">
      <c r="A16981" s="4" t="s">
        <v>21388</v>
      </c>
      <c r="B16981" s="4" t="s">
        <v>21389</v>
      </c>
      <c r="C16981" s="5" t="str">
        <f>IFERROR(__xludf.DUMMYFUNCTION("GOOGLETRANSLATE(B16981,""en"",""zh-CN"")"),"一个女孩坐在膝盖上方。")</f>
        <v>一个女孩坐在膝盖上方。</v>
      </c>
    </row>
    <row r="16982">
      <c r="A16982" s="4" t="s">
        <v>21388</v>
      </c>
      <c r="B16982" s="4" t="s">
        <v>21390</v>
      </c>
      <c r="C16982" s="5" t="str">
        <f>IFERROR(__xludf.DUMMYFUNCTION("GOOGLETRANSLATE(B16982,""en"",""zh-CN"")"),"她正在用红色尖端吸烟，然后将烟雾从嘴里吹出。")</f>
        <v>她正在用红色尖端吸烟，然后将烟雾从嘴里吹出。</v>
      </c>
    </row>
    <row r="16983">
      <c r="A16983" s="4" t="s">
        <v>21388</v>
      </c>
      <c r="B16983" s="6" t="s">
        <v>21391</v>
      </c>
      <c r="C16983" s="5" t="str">
        <f>IFERROR(__xludf.DUMMYFUNCTION("GOOGLETRANSLATE(B16983,""en"",""zh-CN"")"),"她笑了，然后与另一个女人分享了水烟，后者也改变了尖端和抽烟。")</f>
        <v>她笑了，然后与另一个女人分享了水烟，后者也改变了尖端和抽烟。</v>
      </c>
    </row>
    <row r="16984">
      <c r="A16984" s="4" t="s">
        <v>21388</v>
      </c>
      <c r="B16984" s="4" t="s">
        <v>21392</v>
      </c>
      <c r="C16984" s="5" t="str">
        <f>IFERROR(__xludf.DUMMYFUNCTION("GOOGLETRANSLATE(B16984,""en"",""zh-CN"")"),"女人在桌子上说话和抽烟很长一段时间。")</f>
        <v>女人在桌子上说话和抽烟很长一段时间。</v>
      </c>
    </row>
    <row r="16985">
      <c r="A16985" s="4" t="s">
        <v>21393</v>
      </c>
      <c r="B16985" s="4" t="s">
        <v>21394</v>
      </c>
      <c r="C16985" s="5" t="str">
        <f>IFERROR(__xludf.DUMMYFUNCTION("GOOGLETRANSLATE(B16985,""en"",""zh-CN"")"),"显示了办公室的图片。")</f>
        <v>显示了办公室的图片。</v>
      </c>
    </row>
    <row r="16986">
      <c r="A16986" s="4" t="s">
        <v>21393</v>
      </c>
      <c r="B16986" s="4" t="s">
        <v>21395</v>
      </c>
      <c r="C16986" s="5" t="str">
        <f>IFERROR(__xludf.DUMMYFUNCTION("GOOGLETRANSLATE(B16986,""en"",""zh-CN"")"),"一个女人在做另一个女人的头发。")</f>
        <v>一个女人在做另一个女人的头发。</v>
      </c>
    </row>
    <row r="16987">
      <c r="A16987" s="4" t="s">
        <v>21393</v>
      </c>
      <c r="B16987" s="4" t="s">
        <v>21396</v>
      </c>
      <c r="C16987" s="5" t="str">
        <f>IFERROR(__xludf.DUMMYFUNCTION("GOOGLETRANSLATE(B16987,""en"",""zh-CN"")"),"人们在美发沙龙里做头发。")</f>
        <v>人们在美发沙龙里做头发。</v>
      </c>
    </row>
    <row r="16988">
      <c r="A16988" s="4" t="s">
        <v>21397</v>
      </c>
      <c r="B16988" s="6" t="s">
        <v>21398</v>
      </c>
      <c r="C16988" s="5" t="str">
        <f>IFERROR(__xludf.DUMMYFUNCTION("GOOGLETRANSLATE(B16988,""en"",""zh-CN"")"),"看到一个女人在手中握着各种物体的同时在相机上说话，并开始在她面前的窗户上喷下窗户。")</f>
        <v>看到一个女人在手中握着各种物体的同时在相机上说话，并开始在她面前的窗户上喷下窗户。</v>
      </c>
    </row>
    <row r="16989">
      <c r="A16989" s="4" t="s">
        <v>21397</v>
      </c>
      <c r="B16989" s="6" t="s">
        <v>21399</v>
      </c>
      <c r="C16989" s="5" t="str">
        <f>IFERROR(__xludf.DUMMYFUNCTION("GOOGLETRANSLATE(B16989,""en"",""zh-CN"")"),"女人用抹布和刮刀擦拭窗户，并继续回头与相机说话。")</f>
        <v>女人用抹布和刮刀擦拭窗户，并继续回头与相机说话。</v>
      </c>
    </row>
    <row r="16990">
      <c r="A16990" s="4" t="s">
        <v>21400</v>
      </c>
      <c r="B16990" s="4" t="s">
        <v>21401</v>
      </c>
      <c r="C16990" s="5" t="str">
        <f>IFERROR(__xludf.DUMMYFUNCTION("GOOGLETRANSLATE(B16990,""en"",""zh-CN"")"),"一个人在一群岩石河上的一群朋友中的一组跨管子上快速骑行。")</f>
        <v>一个人在一群岩石河上的一群朋友中的一组跨管子上快速骑行。</v>
      </c>
    </row>
    <row r="16991">
      <c r="A16991" s="4" t="s">
        <v>21400</v>
      </c>
      <c r="B16991" s="4" t="s">
        <v>21402</v>
      </c>
      <c r="C16991" s="5" t="str">
        <f>IFERROR(__xludf.DUMMYFUNCTION("GOOGLETRANSLATE(B16991,""en"",""zh-CN"")"),"插头中的人通过polo衬衫的河流向导。")</f>
        <v>插头中的人通过polo衬衫的河流向导。</v>
      </c>
    </row>
    <row r="16992">
      <c r="A16992" s="4" t="s">
        <v>21403</v>
      </c>
      <c r="B16992" s="6" t="s">
        <v>21404</v>
      </c>
      <c r="C16992" s="5" t="str">
        <f>IFERROR(__xludf.DUMMYFUNCTION("GOOGLETRANSLATE(B16992,""en"",""zh-CN"")"),"一个女孩将液体从瓶子倒入一个容纳一位年轻女士的杯子，然后他们在做手势和笑的同时冲洗嘴。")</f>
        <v>一个女孩将液体从瓶子倒入一个容纳一位年轻女士的杯子，然后他们在做手势和笑的同时冲洗嘴。</v>
      </c>
    </row>
    <row r="16993">
      <c r="A16993" s="4" t="s">
        <v>21403</v>
      </c>
      <c r="B16993" s="4" t="s">
        <v>21405</v>
      </c>
      <c r="C16993" s="5" t="str">
        <f>IFERROR(__xludf.DUMMYFUNCTION("GOOGLETRANSLATE(B16993,""en"",""zh-CN"")"),"之后，这位年轻的女士吐出液体，然后她抚摸着吐口水的女孩的脸颊。")</f>
        <v>之后，这位年轻的女士吐出液体，然后她抚摸着吐口水的女孩的脸颊。</v>
      </c>
    </row>
    <row r="16994">
      <c r="A16994" s="4" t="s">
        <v>21403</v>
      </c>
      <c r="B16994" s="6" t="s">
        <v>21406</v>
      </c>
      <c r="C16994" s="5" t="str">
        <f>IFERROR(__xludf.DUMMYFUNCTION("GOOGLETRANSLATE(B16994,""en"",""zh-CN"")"),"接下来，当女孩关掉水龙头并在说话时清洁手之后，女孩打开浴缸和弯曲的水龙头。")</f>
        <v>接下来，当女孩关掉水龙头并在说话时清洁手之后，女孩打开浴缸和弯曲的水龙头。</v>
      </c>
    </row>
    <row r="16995">
      <c r="A16995" s="4" t="s">
        <v>21407</v>
      </c>
      <c r="B16995" s="4" t="s">
        <v>1487</v>
      </c>
      <c r="C16995" s="5" t="str">
        <f>IFERROR(__xludf.DUMMYFUNCTION("GOOGLETRANSLATE(B16995,""en"",""zh-CN"")"),"我们看到一个开放标题屏幕。")</f>
        <v>我们看到一个开放标题屏幕。</v>
      </c>
    </row>
    <row r="16996">
      <c r="A16996" s="4" t="s">
        <v>21407</v>
      </c>
      <c r="B16996" s="4" t="s">
        <v>21408</v>
      </c>
      <c r="C16996" s="5" t="str">
        <f>IFERROR(__xludf.DUMMYFUNCTION("GOOGLETRANSLATE(B16996,""en"",""zh-CN"")"),"我们看到一个男人说话。")</f>
        <v>我们看到一个男人说话。</v>
      </c>
    </row>
    <row r="16997">
      <c r="A16997" s="4" t="s">
        <v>21407</v>
      </c>
      <c r="B16997" s="4" t="s">
        <v>21409</v>
      </c>
      <c r="C16997" s="5" t="str">
        <f>IFERROR(__xludf.DUMMYFUNCTION("GOOGLETRANSLATE(B16997,""en"",""zh-CN"")"),"该男子湿透了双手，添加了肥皂。")</f>
        <v>该男子湿透了双手，添加了肥皂。</v>
      </c>
    </row>
    <row r="16998">
      <c r="A16998" s="4" t="s">
        <v>21407</v>
      </c>
      <c r="B16998" s="4" t="s">
        <v>21410</v>
      </c>
      <c r="C16998" s="5" t="str">
        <f>IFERROR(__xludf.DUMMYFUNCTION("GOOGLETRANSLATE(B16998,""en"",""zh-CN"")"),"我们看到男人洗手。")</f>
        <v>我们看到男人洗手。</v>
      </c>
    </row>
    <row r="16999">
      <c r="A16999" s="4" t="s">
        <v>21407</v>
      </c>
      <c r="B16999" s="4" t="s">
        <v>21411</v>
      </c>
      <c r="C16999" s="5" t="str">
        <f>IFERROR(__xludf.DUMMYFUNCTION("GOOGLETRANSLATE(B16999,""en"",""zh-CN"")"),"那个男人冲洗双手。")</f>
        <v>那个男人冲洗双手。</v>
      </c>
    </row>
    <row r="17000">
      <c r="A17000" s="4" t="s">
        <v>21407</v>
      </c>
      <c r="B17000" s="4" t="s">
        <v>21412</v>
      </c>
      <c r="C17000" s="5" t="str">
        <f>IFERROR(__xludf.DUMMYFUNCTION("GOOGLETRANSLATE(B17000,""en"",""zh-CN"")"),"该名男子用纸巾擦干手，将水倒下。")</f>
        <v>该名男子用纸巾擦干手，将水倒下。</v>
      </c>
    </row>
    <row r="17001">
      <c r="A17001" s="4" t="s">
        <v>21407</v>
      </c>
      <c r="B17001" s="4" t="s">
        <v>1380</v>
      </c>
      <c r="C17001" s="5" t="str">
        <f>IFERROR(__xludf.DUMMYFUNCTION("GOOGLETRANSLATE(B17001,""en"",""zh-CN"")"),"然后，我们看到结局。")</f>
        <v>然后，我们看到结局。</v>
      </c>
    </row>
    <row r="17002">
      <c r="A17002" s="4" t="s">
        <v>21413</v>
      </c>
      <c r="B17002" s="6" t="s">
        <v>21414</v>
      </c>
      <c r="C17002" s="5" t="str">
        <f>IFERROR(__xludf.DUMMYFUNCTION("GOOGLETRANSLATE(B17002,""en"",""zh-CN"")"),"几名年轻人练习跳远，在健身房内，向后跳跃，墙上挂着美国国旗。")</f>
        <v>几名年轻人练习跳远，在健身房内，向后跳跃，墙上挂着美国国旗。</v>
      </c>
    </row>
    <row r="17003">
      <c r="A17003" s="4" t="s">
        <v>21413</v>
      </c>
      <c r="B17003" s="6" t="s">
        <v>21415</v>
      </c>
      <c r="C17003" s="5" t="str">
        <f>IFERROR(__xludf.DUMMYFUNCTION("GOOGLETRANSLATE(B17003,""en"",""zh-CN"")"),"一个人使用内部沙箱降落和一个赛车轨道的赛车，练习室内健身房内部的跳远。")</f>
        <v>一个人使用内部沙箱降落和一个赛车轨道的赛车，练习室内健身房内部的跳远。</v>
      </c>
    </row>
    <row r="17004">
      <c r="A17004" s="4" t="s">
        <v>21413</v>
      </c>
      <c r="B17004" s="4" t="s">
        <v>21416</v>
      </c>
      <c r="C17004" s="5" t="str">
        <f>IFERROR(__xludf.DUMMYFUNCTION("GOOGLETRANSLATE(B17004,""en"",""zh-CN"")"),"另一个男人练习在体育馆内的健身垫上向后退。")</f>
        <v>另一个男人练习在体育馆内的健身垫上向后退。</v>
      </c>
    </row>
    <row r="17005">
      <c r="A17005" s="4" t="s">
        <v>21413</v>
      </c>
      <c r="B17005" s="6" t="s">
        <v>21417</v>
      </c>
      <c r="C17005" s="5" t="str">
        <f>IFERROR(__xludf.DUMMYFUNCTION("GOOGLETRANSLATE(B17005,""en"",""zh-CN"")"),"又有几名男子使用沙箱和健身垫作为着陆工具练习跳远和向后跳跃。")</f>
        <v>又有几名男子使用沙箱和健身垫作为着陆工具练习跳远和向后跳跃。</v>
      </c>
    </row>
    <row r="17006">
      <c r="A17006" s="4" t="s">
        <v>21418</v>
      </c>
      <c r="B17006" s="4" t="s">
        <v>21419</v>
      </c>
      <c r="C17006" s="5" t="str">
        <f>IFERROR(__xludf.DUMMYFUNCTION("GOOGLETRANSLATE(B17006,""en"",""zh-CN"")"),"有两名参赛者参加了运动跳跃比赛。")</f>
        <v>有两名参赛者参加了运动跳跃比赛。</v>
      </c>
    </row>
    <row r="17007">
      <c r="A17007" s="4" t="s">
        <v>21418</v>
      </c>
      <c r="B17007" s="6" t="s">
        <v>21420</v>
      </c>
      <c r="C17007" s="5" t="str">
        <f>IFERROR(__xludf.DUMMYFUNCTION("GOOGLETRANSLATE(B17007,""en"",""zh-CN"")"),"当他们在大型室内体育场跳过酒吧时，有几个观众和法官在看着他们。")</f>
        <v>当他们在大型室内体育场跳过酒吧时，有几个观众和法官在看着他们。</v>
      </c>
    </row>
    <row r="17008">
      <c r="A17008" s="4" t="s">
        <v>21418</v>
      </c>
      <c r="B17008" s="4" t="s">
        <v>21421</v>
      </c>
      <c r="C17008" s="5" t="str">
        <f>IFERROR(__xludf.DUMMYFUNCTION("GOOGLETRANSLATE(B17008,""en"",""zh-CN"")"),"两位参赛者都成功地跳过了酒吧。")</f>
        <v>两位参赛者都成功地跳过了酒吧。</v>
      </c>
    </row>
    <row r="17009">
      <c r="A17009" s="4" t="s">
        <v>21418</v>
      </c>
      <c r="B17009" s="4" t="s">
        <v>21422</v>
      </c>
      <c r="C17009" s="5" t="str">
        <f>IFERROR(__xludf.DUMMYFUNCTION("GOOGLETRANSLATE(B17009,""en"",""zh-CN"")"),"有一个慢动作视频，其中参赛者跳过酒吧。")</f>
        <v>有一个慢动作视频，其中参赛者跳过酒吧。</v>
      </c>
    </row>
    <row r="17010">
      <c r="A17010" s="4" t="s">
        <v>21423</v>
      </c>
      <c r="B17010" s="4" t="s">
        <v>21424</v>
      </c>
      <c r="C17010" s="5" t="str">
        <f>IFERROR(__xludf.DUMMYFUNCTION("GOOGLETRANSLATE(B17010,""en"",""zh-CN"")"),"有几个人准备滑雪。")</f>
        <v>有几个人准备滑雪。</v>
      </c>
    </row>
    <row r="17011">
      <c r="A17011" s="4" t="s">
        <v>21423</v>
      </c>
      <c r="B17011" s="4" t="s">
        <v>21425</v>
      </c>
      <c r="C17011" s="5" t="str">
        <f>IFERROR(__xludf.DUMMYFUNCTION("GOOGLETRANSLATE(B17011,""en"",""zh-CN"")"),"有一个人全速滑雪，可以看到阴影。")</f>
        <v>有一个人全速滑雪，可以看到阴影。</v>
      </c>
    </row>
    <row r="17012">
      <c r="A17012" s="4" t="s">
        <v>21423</v>
      </c>
      <c r="B17012" s="4" t="s">
        <v>21426</v>
      </c>
      <c r="C17012" s="5" t="str">
        <f>IFERROR(__xludf.DUMMYFUNCTION("GOOGLETRANSLATE(B17012,""en"",""zh-CN"")"),"有人坐在山顶上等着开始滑雪。")</f>
        <v>有人坐在山顶上等着开始滑雪。</v>
      </c>
    </row>
    <row r="17013">
      <c r="A17013" s="4" t="s">
        <v>21423</v>
      </c>
      <c r="B17013" s="6" t="s">
        <v>21427</v>
      </c>
      <c r="C17013" s="5" t="str">
        <f>IFERROR(__xludf.DUMMYFUNCTION("GOOGLETRANSLATE(B17013,""en"",""zh-CN"")"),"滑雪者快速下坡正在演示如何在下坡时转动和管理速度。")</f>
        <v>滑雪者快速下坡正在演示如何在下坡时转动和管理速度。</v>
      </c>
    </row>
    <row r="17014">
      <c r="A17014" s="4" t="s">
        <v>21423</v>
      </c>
      <c r="B17014" s="4" t="s">
        <v>21428</v>
      </c>
      <c r="C17014" s="5" t="str">
        <f>IFERROR(__xludf.DUMMYFUNCTION("GOOGLETRANSLATE(B17014,""en"",""zh-CN"")"),"有些人在自动扶梯上走向滑雪山。")</f>
        <v>有些人在自动扶梯上走向滑雪山。</v>
      </c>
    </row>
    <row r="17015">
      <c r="A17015" s="4" t="s">
        <v>21423</v>
      </c>
      <c r="B17015" s="4" t="s">
        <v>21429</v>
      </c>
      <c r="C17015" s="5" t="str">
        <f>IFERROR(__xludf.DUMMYFUNCTION("GOOGLETRANSLATE(B17015,""en"",""zh-CN"")"),"滑雪者继续在陡峭而蜿蜒的斜坡上稳步下坡。")</f>
        <v>滑雪者继续在陡峭而蜿蜒的斜坡上稳步下坡。</v>
      </c>
    </row>
    <row r="17016">
      <c r="A17016" s="4" t="s">
        <v>21430</v>
      </c>
      <c r="B17016" s="4" t="s">
        <v>21431</v>
      </c>
      <c r="C17016" s="5" t="str">
        <f>IFERROR(__xludf.DUMMYFUNCTION("GOOGLETRANSLATE(B17016,""en"",""zh-CN"")"),"有一个女孩的眼睛浅，深棕色的头发谈论有色眼镜。")</f>
        <v>有一个女孩的眼睛浅，深棕色的头发谈论有色眼镜。</v>
      </c>
    </row>
    <row r="17017">
      <c r="A17017" s="4" t="s">
        <v>21430</v>
      </c>
      <c r="B17017" s="4" t="s">
        <v>21432</v>
      </c>
      <c r="C17017" s="5" t="str">
        <f>IFERROR(__xludf.DUMMYFUNCTION("GOOGLETRANSLATE(B17017,""en"",""zh-CN"")"),"她正在做一个有关如何在您的眼中佩戴彩色镜头的教程。")</f>
        <v>她正在做一个有关如何在您的眼中佩戴彩色镜头的教程。</v>
      </c>
    </row>
    <row r="17018">
      <c r="A17018" s="4" t="s">
        <v>21430</v>
      </c>
      <c r="B17018" s="4" t="s">
        <v>21433</v>
      </c>
      <c r="C17018" s="5" t="str">
        <f>IFERROR(__xludf.DUMMYFUNCTION("GOOGLETRANSLATE(B17018,""en"",""zh-CN"")"),"她打开一个包含彩色镜片的小玻璃瓶。")</f>
        <v>她打开一个包含彩色镜片的小玻璃瓶。</v>
      </c>
    </row>
    <row r="17019">
      <c r="A17019" s="4" t="s">
        <v>21430</v>
      </c>
      <c r="B17019" s="4" t="s">
        <v>21434</v>
      </c>
      <c r="C17019" s="5" t="str">
        <f>IFERROR(__xludf.DUMMYFUNCTION("GOOGLETRANSLATE(B17019,""en"",""zh-CN"")"),"她将镜头拔出，并将其放在手指上。")</f>
        <v>她将镜头拔出，并将其放在手指上。</v>
      </c>
    </row>
    <row r="17020">
      <c r="A17020" s="4" t="s">
        <v>21430</v>
      </c>
      <c r="B17020" s="4" t="s">
        <v>21435</v>
      </c>
      <c r="C17020" s="5" t="str">
        <f>IFERROR(__xludf.DUMMYFUNCTION("GOOGLETRANSLATE(B17020,""en"",""zh-CN"")"),"然后，她首先将镜头轻轻戴在右眼，然后在左眼中。")</f>
        <v>然后，她首先将镜头轻轻戴在右眼，然后在左眼中。</v>
      </c>
    </row>
    <row r="17021">
      <c r="A17021" s="4" t="s">
        <v>21430</v>
      </c>
      <c r="B17021" s="4" t="s">
        <v>21436</v>
      </c>
      <c r="C17021" s="5" t="str">
        <f>IFERROR(__xludf.DUMMYFUNCTION("GOOGLETRANSLATE(B17021,""en"",""zh-CN"")"),"她展示了她佩戴的黄色镜头。")</f>
        <v>她展示了她佩戴的黄色镜头。</v>
      </c>
    </row>
    <row r="17022">
      <c r="A17022" s="4" t="s">
        <v>21437</v>
      </c>
      <c r="B17022" s="4" t="s">
        <v>21438</v>
      </c>
      <c r="C17022" s="5" t="str">
        <f>IFERROR(__xludf.DUMMYFUNCTION("GOOGLETRANSLATE(B17022,""en"",""zh-CN"")"),"我们看到场景上的标题。")</f>
        <v>我们看到场景上的标题。</v>
      </c>
    </row>
    <row r="17023">
      <c r="A17023" s="4" t="s">
        <v>21437</v>
      </c>
      <c r="B17023" s="4" t="s">
        <v>21439</v>
      </c>
      <c r="C17023" s="5" t="str">
        <f>IFERROR(__xludf.DUMMYFUNCTION("GOOGLETRANSLATE(B17023,""en"",""zh-CN"")"),"我们看到一个男人的逆转正在用电动割草机割草。")</f>
        <v>我们看到一个男人的逆转正在用电动割草机割草。</v>
      </c>
    </row>
    <row r="17024">
      <c r="A17024" s="4" t="s">
        <v>21437</v>
      </c>
      <c r="B17024" s="4" t="s">
        <v>21440</v>
      </c>
      <c r="C17024" s="5" t="str">
        <f>IFERROR(__xludf.DUMMYFUNCTION("GOOGLETRANSLATE(B17024,""en"",""zh-CN"")"),"该男子走到院子里的一半，转过身。")</f>
        <v>该男子走到院子里的一半，转过身。</v>
      </c>
    </row>
    <row r="17025">
      <c r="A17025" s="4" t="s">
        <v>21437</v>
      </c>
      <c r="B17025" s="4" t="s">
        <v>21441</v>
      </c>
      <c r="C17025" s="5" t="str">
        <f>IFERROR(__xludf.DUMMYFUNCTION("GOOGLETRANSLATE(B17025,""en"",""zh-CN"")"),"结尾标题返回到屏幕。")</f>
        <v>结尾标题返回到屏幕。</v>
      </c>
    </row>
    <row r="17026">
      <c r="A17026" s="4" t="s">
        <v>21442</v>
      </c>
      <c r="B17026" s="4" t="s">
        <v>21443</v>
      </c>
      <c r="C17026" s="5" t="str">
        <f>IFERROR(__xludf.DUMMYFUNCTION("GOOGLETRANSLATE(B17026,""en"",""zh-CN"")"),"一个人骑在一个小型轨道车上，用叶子鼓风机吹叶。")</f>
        <v>一个人骑在一个小型轨道车上，用叶子鼓风机吹叶。</v>
      </c>
    </row>
    <row r="17027">
      <c r="A17027" s="4" t="s">
        <v>21442</v>
      </c>
      <c r="B17027" s="4" t="s">
        <v>21444</v>
      </c>
      <c r="C17027" s="5" t="str">
        <f>IFERROR(__xludf.DUMMYFUNCTION("GOOGLETRANSLATE(B17027,""en"",""zh-CN"")"),"该男子向右走在手推车和弯道周围的轨道上的叉子上。")</f>
        <v>该男子向右走在手推车和弯道周围的轨道上的叉子上。</v>
      </c>
    </row>
    <row r="17028">
      <c r="A17028" s="4" t="s">
        <v>21445</v>
      </c>
      <c r="B17028" s="4" t="s">
        <v>21446</v>
      </c>
      <c r="C17028" s="5" t="str">
        <f>IFERROR(__xludf.DUMMYFUNCTION("GOOGLETRANSLATE(B17028,""en"",""zh-CN"")"),"一个幼儿在木地板上使用玩具真空吸尘器。")</f>
        <v>一个幼儿在木地板上使用玩具真空吸尘器。</v>
      </c>
    </row>
    <row r="17029">
      <c r="A17029" s="4" t="s">
        <v>21445</v>
      </c>
      <c r="B17029" s="4" t="s">
        <v>21447</v>
      </c>
      <c r="C17029" s="5" t="str">
        <f>IFERROR(__xludf.DUMMYFUNCTION("GOOGLETRANSLATE(B17029,""en"",""zh-CN"")"),"妈妈来帮助孩子。")</f>
        <v>妈妈来帮助孩子。</v>
      </c>
    </row>
    <row r="17030">
      <c r="A17030" s="4" t="s">
        <v>21448</v>
      </c>
      <c r="B17030" s="4" t="s">
        <v>21449</v>
      </c>
      <c r="C17030" s="5" t="str">
        <f>IFERROR(__xludf.DUMMYFUNCTION("GOOGLETRANSLATE(B17030,""en"",""zh-CN"")"),"多人开始尽快开始尽快转动自己的身体。")</f>
        <v>多人开始尽快开始尽快转动自己的身体。</v>
      </c>
    </row>
    <row r="17031">
      <c r="A17031" s="4" t="s">
        <v>21448</v>
      </c>
      <c r="B17031" s="4" t="s">
        <v>21450</v>
      </c>
      <c r="C17031" s="5" t="str">
        <f>IFERROR(__xludf.DUMMYFUNCTION("GOOGLETRANSLATE(B17031,""en"",""zh-CN"")"),"他们每个人都处于不同的情况，但都参加相同的运动。")</f>
        <v>他们每个人都处于不同的情况，但都参加相同的运动。</v>
      </c>
    </row>
    <row r="17032">
      <c r="A17032" s="4" t="s">
        <v>21448</v>
      </c>
      <c r="B17032" s="4" t="s">
        <v>21451</v>
      </c>
      <c r="C17032" s="5" t="str">
        <f>IFERROR(__xludf.DUMMYFUNCTION("GOOGLETRANSLATE(B17032,""en"",""zh-CN"")"),"它们的速度尽可能多，以便他们可以尽可能地投掷。")</f>
        <v>它们的速度尽可能多，以便他们可以尽可能地投掷。</v>
      </c>
    </row>
    <row r="17033">
      <c r="A17033" s="4" t="s">
        <v>21448</v>
      </c>
      <c r="B17033" s="4" t="s">
        <v>21452</v>
      </c>
      <c r="C17033" s="5" t="str">
        <f>IFERROR(__xludf.DUMMYFUNCTION("GOOGLETRANSLATE(B17033,""en"",""zh-CN"")"),"甚至有这项运动的观众实际上是在观看这项运动。")</f>
        <v>甚至有这项运动的观众实际上是在观看这项运动。</v>
      </c>
    </row>
    <row r="17034">
      <c r="A17034" s="4" t="s">
        <v>21453</v>
      </c>
      <c r="B17034" s="4" t="s">
        <v>21454</v>
      </c>
      <c r="C17034" s="5" t="str">
        <f>IFERROR(__xludf.DUMMYFUNCTION("GOOGLETRANSLATE(B17034,""en"",""zh-CN"")"),"我们在准备骑车时看到了BMX骑自行车的人。")</f>
        <v>我们在准备骑车时看到了BMX骑自行车的人。</v>
      </c>
    </row>
    <row r="17035">
      <c r="A17035" s="4" t="s">
        <v>21453</v>
      </c>
      <c r="B17035" s="4" t="s">
        <v>21455</v>
      </c>
      <c r="C17035" s="5" t="str">
        <f>IFERROR(__xludf.DUMMYFUNCTION("GOOGLETRANSLATE(B17035,""en"",""zh-CN"")"),"我们看到大门打开并看到了字段。")</f>
        <v>我们看到大门打开并看到了字段。</v>
      </c>
    </row>
    <row r="17036">
      <c r="A17036" s="4" t="s">
        <v>21453</v>
      </c>
      <c r="B17036" s="4" t="s">
        <v>21456</v>
      </c>
      <c r="C17036" s="5" t="str">
        <f>IFERROR(__xludf.DUMMYFUNCTION("GOOGLETRANSLATE(B17036,""en"",""zh-CN"")"),"骑手下车。")</f>
        <v>骑手下车。</v>
      </c>
    </row>
    <row r="17037">
      <c r="A17037" s="4" t="s">
        <v>21453</v>
      </c>
      <c r="B17037" s="4" t="s">
        <v>21457</v>
      </c>
      <c r="C17037" s="5" t="str">
        <f>IFERROR(__xludf.DUMMYFUNCTION("GOOGLETRANSLATE(B17037,""en"",""zh-CN"")"),"我们看到骑手表演跳跃，人们骑自行车。")</f>
        <v>我们看到骑手表演跳跃，人们骑自行车。</v>
      </c>
    </row>
    <row r="17038">
      <c r="A17038" s="4" t="s">
        <v>21453</v>
      </c>
      <c r="B17038" s="4" t="s">
        <v>21458</v>
      </c>
      <c r="C17038" s="5" t="str">
        <f>IFERROR(__xludf.DUMMYFUNCTION("GOOGLETRANSLATE(B17038,""en"",""zh-CN"")"),"我们看到另一个开始，一群人在室内轨道上起飞。")</f>
        <v>我们看到另一个开始，一群人在室内轨道上起飞。</v>
      </c>
    </row>
    <row r="17039">
      <c r="A17039" s="4" t="s">
        <v>21453</v>
      </c>
      <c r="B17039" s="4" t="s">
        <v>21459</v>
      </c>
      <c r="C17039" s="5" t="str">
        <f>IFERROR(__xludf.DUMMYFUNCTION("GOOGLETRANSLATE(B17039,""en"",""zh-CN"")"),"我们看到男人在户外骑行的镜头，另一扇门打开。")</f>
        <v>我们看到男人在户外骑行的镜头，另一扇门打开。</v>
      </c>
    </row>
    <row r="17040">
      <c r="A17040" s="4" t="s">
        <v>21453</v>
      </c>
      <c r="B17040" s="4" t="s">
        <v>21460</v>
      </c>
      <c r="C17040" s="5" t="str">
        <f>IFERROR(__xludf.DUMMYFUNCTION("GOOGLETRANSLATE(B17040,""en"",""zh-CN"")"),"我们看到一辆自行车躺在侧面。")</f>
        <v>我们看到一辆自行车躺在侧面。</v>
      </c>
    </row>
    <row r="17041">
      <c r="A17041" s="4" t="s">
        <v>21461</v>
      </c>
      <c r="B17041" s="4" t="s">
        <v>21462</v>
      </c>
      <c r="C17041" s="5" t="str">
        <f>IFERROR(__xludf.DUMMYFUNCTION("GOOGLETRANSLATE(B17041,""en"",""zh-CN"")"),"简介开始，显示一个男人拿着铲子并与镜头交谈。")</f>
        <v>简介开始，显示一个男人拿着铲子并与镜头交谈。</v>
      </c>
    </row>
    <row r="17042">
      <c r="A17042" s="4" t="s">
        <v>21461</v>
      </c>
      <c r="B17042" s="6" t="s">
        <v>21463</v>
      </c>
      <c r="C17042" s="5" t="str">
        <f>IFERROR(__xludf.DUMMYFUNCTION("GOOGLETRANSLATE(B17042,""en"",""zh-CN"")"),"他逐渐耙开并与镜头交谈，并向几个人展示了还帮助捡起树叶。")</f>
        <v>他逐渐耙开并与镜头交谈，并向几个人展示了还帮助捡起树叶。</v>
      </c>
    </row>
    <row r="17043">
      <c r="A17043" s="4" t="s">
        <v>21461</v>
      </c>
      <c r="B17043" s="4" t="s">
        <v>21464</v>
      </c>
      <c r="C17043" s="5" t="str">
        <f>IFERROR(__xludf.DUMMYFUNCTION("GOOGLETRANSLATE(B17043,""en"",""zh-CN"")"),"在摄像机上接受了不同的人采访，而其他几个人则被割开叶子。")</f>
        <v>在摄像机上接受了不同的人采访，而其他几个人则被割开叶子。</v>
      </c>
    </row>
    <row r="17044">
      <c r="A17044" s="4" t="s">
        <v>21461</v>
      </c>
      <c r="B17044" s="4" t="s">
        <v>21465</v>
      </c>
      <c r="C17044" s="5" t="str">
        <f>IFERROR(__xludf.DUMMYFUNCTION("GOOGLETRANSLATE(B17044,""en"",""zh-CN"")"),"看到一个男人坐在他的车里，另一个男人戴着手套。")</f>
        <v>看到一个男人坐在他的车里，另一个男人戴着手套。</v>
      </c>
    </row>
    <row r="17045">
      <c r="A17045" s="4" t="s">
        <v>21461</v>
      </c>
      <c r="B17045" s="4" t="s">
        <v>21466</v>
      </c>
      <c r="C17045" s="5" t="str">
        <f>IFERROR(__xludf.DUMMYFUNCTION("GOOGLETRANSLATE(B17045,""en"",""zh-CN"")"),"摄像头铺在烂叶的叶子上，而其他几个人讨论了他们的辛勤工作。")</f>
        <v>摄像头铺在烂叶的叶子上，而其他几个人讨论了他们的辛勤工作。</v>
      </c>
    </row>
    <row r="17046">
      <c r="A17046" s="4" t="s">
        <v>21467</v>
      </c>
      <c r="B17046" s="4" t="s">
        <v>21468</v>
      </c>
      <c r="C17046" s="5" t="str">
        <f>IFERROR(__xludf.DUMMYFUNCTION("GOOGLETRANSLATE(B17046,""en"",""zh-CN"")"),"我们看到两个女孩坐在另一个弯腰。")</f>
        <v>我们看到两个女孩坐在另一个弯腰。</v>
      </c>
    </row>
    <row r="17047">
      <c r="A17047" s="4" t="s">
        <v>21467</v>
      </c>
      <c r="B17047" s="4" t="s">
        <v>21469</v>
      </c>
      <c r="C17047" s="5" t="str">
        <f>IFERROR(__xludf.DUMMYFUNCTION("GOOGLETRANSLATE(B17047,""en"",""zh-CN"")"),"弯曲的女孩站起来。")</f>
        <v>弯曲的女孩站起来。</v>
      </c>
    </row>
    <row r="17048">
      <c r="A17048" s="4" t="s">
        <v>21467</v>
      </c>
      <c r="B17048" s="4" t="s">
        <v>21470</v>
      </c>
      <c r="C17048" s="5" t="str">
        <f>IFERROR(__xludf.DUMMYFUNCTION("GOOGLETRANSLATE(B17048,""en"",""zh-CN"")"),"我们看到一个人在画坐着的女孩钉指甲。")</f>
        <v>我们看到一个人在画坐着的女孩钉指甲。</v>
      </c>
    </row>
    <row r="17049">
      <c r="A17049" s="4" t="s">
        <v>21471</v>
      </c>
      <c r="B17049" s="4" t="s">
        <v>21472</v>
      </c>
      <c r="C17049" s="5" t="str">
        <f>IFERROR(__xludf.DUMMYFUNCTION("GOOGLETRANSLATE(B17049,""en"",""zh-CN"")"),"小孩子在一个停车场里玩跳车的啤酒花。")</f>
        <v>小孩子在一个停车场里玩跳车的啤酒花。</v>
      </c>
    </row>
    <row r="17050">
      <c r="A17050" s="4" t="s">
        <v>21471</v>
      </c>
      <c r="B17050" s="4" t="s">
        <v>21473</v>
      </c>
      <c r="C17050" s="5" t="str">
        <f>IFERROR(__xludf.DUMMYFUNCTION("GOOGLETRANSLATE(B17050,""en"",""zh-CN"")"),"穿着短裤的男子站在啤酒花游戏旁边。")</f>
        <v>穿着短裤的男子站在啤酒花游戏旁边。</v>
      </c>
    </row>
    <row r="17051">
      <c r="A17051" s="4" t="s">
        <v>21471</v>
      </c>
      <c r="B17051" s="4" t="s">
        <v>21474</v>
      </c>
      <c r="C17051" s="5" t="str">
        <f>IFERROR(__xludf.DUMMYFUNCTION("GOOGLETRANSLATE(B17051,""en"",""zh-CN"")"),"Litle Blond Kid正站在街头玩耍的街头。")</f>
        <v>Litle Blond Kid正站在街头玩耍的街头。</v>
      </c>
    </row>
    <row r="17052">
      <c r="A17052" s="4" t="s">
        <v>21475</v>
      </c>
      <c r="B17052" s="4" t="s">
        <v>21476</v>
      </c>
      <c r="C17052" s="5" t="str">
        <f>IFERROR(__xludf.DUMMYFUNCTION("GOOGLETRANSLATE(B17052,""en"",""zh-CN"")"),"有马，他们正在下车。")</f>
        <v>有马，他们正在下车。</v>
      </c>
    </row>
    <row r="17053">
      <c r="A17053" s="4" t="s">
        <v>21475</v>
      </c>
      <c r="B17053" s="4" t="s">
        <v>21477</v>
      </c>
      <c r="C17053" s="5" t="str">
        <f>IFERROR(__xludf.DUMMYFUNCTION("GOOGLETRANSLATE(B17053,""en"",""zh-CN"")"),"他们穿过沙漠的不同部分穿越沙漠。")</f>
        <v>他们穿过沙漠的不同部分穿越沙漠。</v>
      </c>
    </row>
    <row r="17054">
      <c r="A17054" s="4" t="s">
        <v>21478</v>
      </c>
      <c r="B17054" s="6" t="s">
        <v>21479</v>
      </c>
      <c r="C17054" s="5" t="str">
        <f>IFERROR(__xludf.DUMMYFUNCTION("GOOGLETRANSLATE(B17054,""en"",""zh-CN"")"),"看到一名妇女在水槽下洗手，水中出现了光线。")</f>
        <v>看到一名妇女在水槽下洗手，水中出现了光线。</v>
      </c>
    </row>
    <row r="17055">
      <c r="A17055" s="4" t="s">
        <v>21478</v>
      </c>
      <c r="B17055" s="4" t="s">
        <v>21480</v>
      </c>
      <c r="C17055" s="5" t="str">
        <f>IFERROR(__xludf.DUMMYFUNCTION("GOOGLETRANSLATE(B17055,""en"",""zh-CN"")"),"该人继续擦洗双手，最后摇晃他们。")</f>
        <v>该人继续擦洗双手，最后摇晃他们。</v>
      </c>
    </row>
    <row r="17056">
      <c r="A17056" s="4" t="s">
        <v>21481</v>
      </c>
      <c r="B17056" s="4" t="s">
        <v>21482</v>
      </c>
      <c r="C17056" s="5" t="str">
        <f>IFERROR(__xludf.DUMMYFUNCTION("GOOGLETRANSLATE(B17056,""en"",""zh-CN"")"),"人们在海洋的帆板上航行。")</f>
        <v>人们在海洋的帆板上航行。</v>
      </c>
    </row>
    <row r="17057">
      <c r="A17057" s="4" t="s">
        <v>21481</v>
      </c>
      <c r="B17057" s="4" t="s">
        <v>21483</v>
      </c>
      <c r="C17057" s="5" t="str">
        <f>IFERROR(__xludf.DUMMYFUNCTION("GOOGLETRANSLATE(B17057,""en"",""zh-CN"")"),"一个男人在帆板上航行在前面的其他水手前。")</f>
        <v>一个男人在帆板上航行在前面的其他水手前。</v>
      </c>
    </row>
    <row r="17058">
      <c r="A17058" s="4" t="s">
        <v>21481</v>
      </c>
      <c r="B17058" s="4" t="s">
        <v>21484</v>
      </c>
      <c r="C17058" s="5" t="str">
        <f>IFERROR(__xludf.DUMMYFUNCTION("GOOGLETRANSLATE(B17058,""en"",""zh-CN"")"),"一架飞机飞越海滩，人们航行。")</f>
        <v>一架飞机飞越海滩，人们航行。</v>
      </c>
    </row>
    <row r="17059">
      <c r="A17059" s="4" t="s">
        <v>21481</v>
      </c>
      <c r="B17059" s="4" t="s">
        <v>21485</v>
      </c>
      <c r="C17059" s="5" t="str">
        <f>IFERROR(__xludf.DUMMYFUNCTION("GOOGLETRANSLATE(B17059,""en"",""zh-CN"")"),"一个女人从山上拍照。")</f>
        <v>一个女人从山上拍照。</v>
      </c>
    </row>
    <row r="17060">
      <c r="A17060" s="4" t="s">
        <v>21486</v>
      </c>
      <c r="B17060" s="4" t="s">
        <v>21487</v>
      </c>
      <c r="C17060" s="5" t="str">
        <f>IFERROR(__xludf.DUMMYFUNCTION("GOOGLETRANSLATE(B17060,""en"",""zh-CN"")"),"在不同的场景中看到了几个人，在公共场合行走。")</f>
        <v>在不同的场景中看到了几个人，在公共场合行走。</v>
      </c>
    </row>
    <row r="17061">
      <c r="A17061" s="4" t="s">
        <v>21486</v>
      </c>
      <c r="B17061" s="4" t="s">
        <v>21488</v>
      </c>
      <c r="C17061" s="5" t="str">
        <f>IFERROR(__xludf.DUMMYFUNCTION("GOOGLETRANSLATE(B17061,""en"",""zh-CN"")"),"男人帮助女人在树林里骑马。")</f>
        <v>男人帮助女人在树林里骑马。</v>
      </c>
    </row>
    <row r="17062">
      <c r="A17062" s="4" t="s">
        <v>21486</v>
      </c>
      <c r="B17062" s="4" t="s">
        <v>21489</v>
      </c>
      <c r="C17062" s="5" t="str">
        <f>IFERROR(__xludf.DUMMYFUNCTION("GOOGLETRANSLATE(B17062,""en"",""zh-CN"")"),"当马穿过树木繁茂的小路时，她喂了马苹果。")</f>
        <v>当马穿过树木繁茂的小路时，她喂了马苹果。</v>
      </c>
    </row>
    <row r="17063">
      <c r="A17063" s="4" t="s">
        <v>21490</v>
      </c>
      <c r="B17063" s="4" t="s">
        <v>21491</v>
      </c>
      <c r="C17063" s="5" t="str">
        <f>IFERROR(__xludf.DUMMYFUNCTION("GOOGLETRANSLATE(B17063,""en"",""zh-CN"")"),"一个男孩在树林里站着，抱着一块树皮，和镜头说话。")</f>
        <v>一个男孩在树林里站着，抱着一块树皮，和镜头说话。</v>
      </c>
    </row>
    <row r="17064">
      <c r="A17064" s="4" t="s">
        <v>21490</v>
      </c>
      <c r="B17064" s="4" t="s">
        <v>21492</v>
      </c>
      <c r="C17064" s="5" t="str">
        <f>IFERROR(__xludf.DUMMYFUNCTION("GOOGLETRANSLATE(B17064,""en"",""zh-CN"")"),"当男孩走进框架时，看到一个女人在做一堆原木。")</f>
        <v>当男孩走进框架时，看到一个女人在做一堆原木。</v>
      </c>
    </row>
    <row r="17065">
      <c r="A17065" s="4" t="s">
        <v>21490</v>
      </c>
      <c r="B17065" s="4" t="s">
        <v>21493</v>
      </c>
      <c r="C17065" s="5" t="str">
        <f>IFERROR(__xludf.DUMMYFUNCTION("GOOGLETRANSLATE(B17065,""en"",""zh-CN"")"),"她继续照亮棍子，直到火焰开始并将其放入火中。")</f>
        <v>她继续照亮棍子，直到火焰开始并将其放入火中。</v>
      </c>
    </row>
    <row r="17066">
      <c r="A17066" s="4" t="s">
        <v>21490</v>
      </c>
      <c r="B17066" s="4" t="s">
        <v>21494</v>
      </c>
      <c r="C17066" s="5" t="str">
        <f>IFERROR(__xludf.DUMMYFUNCTION("GOOGLETRANSLATE(B17066,""en"",""zh-CN"")"),"大火逐渐变大，女人越来越多地树皮。")</f>
        <v>大火逐渐变大，女人越来越多地树皮。</v>
      </c>
    </row>
    <row r="17067">
      <c r="A17067" s="4" t="s">
        <v>21495</v>
      </c>
      <c r="B17067" s="4" t="s">
        <v>21496</v>
      </c>
      <c r="C17067" s="5" t="str">
        <f>IFERROR(__xludf.DUMMYFUNCTION("GOOGLETRANSLATE(B17067,""en"",""zh-CN"")"),"看到一个男人穿着红色衬衫，站在秋水桌旁边。")</f>
        <v>看到一个男人穿着红色衬衫，站在秋水桌旁边。</v>
      </c>
    </row>
    <row r="17068">
      <c r="A17068" s="4" t="s">
        <v>21495</v>
      </c>
      <c r="B17068" s="4" t="s">
        <v>21497</v>
      </c>
      <c r="C17068" s="5" t="str">
        <f>IFERROR(__xludf.DUMMYFUNCTION("GOOGLETRANSLATE(B17068,""en"",""zh-CN"")"),"该男子扮演的角色，然后举起啤酒罐并将其呈现给相机。")</f>
        <v>该男子扮演的角色，然后举起啤酒罐并将其呈现给相机。</v>
      </c>
    </row>
    <row r="17069">
      <c r="A17069" s="4" t="s">
        <v>21495</v>
      </c>
      <c r="B17069" s="4" t="s">
        <v>21498</v>
      </c>
      <c r="C17069" s="5" t="str">
        <f>IFERROR(__xludf.DUMMYFUNCTION("GOOGLETRANSLATE(B17069,""en"",""zh-CN"")"),"然后，当相机放大桌子时，该男子继续播放。")</f>
        <v>然后，当相机放大桌子时，该男子继续播放。</v>
      </c>
    </row>
    <row r="17070">
      <c r="A17070" s="4" t="s">
        <v>21499</v>
      </c>
      <c r="B17070" s="4" t="s">
        <v>21500</v>
      </c>
      <c r="C17070" s="5" t="str">
        <f>IFERROR(__xludf.DUMMYFUNCTION("GOOGLETRANSLATE(B17070,""en"",""zh-CN"")"),"一个男人在人群欢呼时四处奔跑。")</f>
        <v>一个男人在人群欢呼时四处奔跑。</v>
      </c>
    </row>
    <row r="17071">
      <c r="A17071" s="4" t="s">
        <v>21499</v>
      </c>
      <c r="B17071" s="4" t="s">
        <v>21501</v>
      </c>
      <c r="C17071" s="5" t="str">
        <f>IFERROR(__xludf.DUMMYFUNCTION("GOOGLETRANSLATE(B17071,""en"",""zh-CN"")"),"有些人在地板上的背景中爬行。")</f>
        <v>有些人在地板上的背景中爬行。</v>
      </c>
    </row>
    <row r="17072">
      <c r="A17072" s="4" t="s">
        <v>21499</v>
      </c>
      <c r="B17072" s="4" t="s">
        <v>21502</v>
      </c>
      <c r="C17072" s="5" t="str">
        <f>IFERROR(__xludf.DUMMYFUNCTION("GOOGLETRANSLATE(B17072,""en"",""zh-CN"")"),"男人完成了例行程序，然后跑过去拥抱一个女人。")</f>
        <v>男人完成了例行程序，然后跑过去拥抱一个女人。</v>
      </c>
    </row>
    <row r="17073">
      <c r="A17073" s="4" t="s">
        <v>21503</v>
      </c>
      <c r="B17073" s="4" t="s">
        <v>21504</v>
      </c>
      <c r="C17073" s="5" t="str">
        <f>IFERROR(__xludf.DUMMYFUNCTION("GOOGLETRANSLATE(B17073,""en"",""zh-CN"")"),"看到两个孩子站在室内房间里，拿着网球球拍。")</f>
        <v>看到两个孩子站在室内房间里，拿着网球球拍。</v>
      </c>
    </row>
    <row r="17074">
      <c r="A17074" s="4" t="s">
        <v>21503</v>
      </c>
      <c r="B17074" s="4" t="s">
        <v>21505</v>
      </c>
      <c r="C17074" s="5" t="str">
        <f>IFERROR(__xludf.DUMMYFUNCTION("GOOGLETRANSLATE(B17074,""en"",""zh-CN"")"),"摄像头朝着孩子们击打球拍球拍的孩子。")</f>
        <v>摄像头朝着孩子们击打球拍球拍的孩子。</v>
      </c>
    </row>
    <row r="17075">
      <c r="A17075" s="4" t="s">
        <v>21503</v>
      </c>
      <c r="B17075" s="4" t="s">
        <v>21506</v>
      </c>
      <c r="C17075" s="5" t="str">
        <f>IFERROR(__xludf.DUMMYFUNCTION("GOOGLETRANSLATE(B17075,""en"",""zh-CN"")"),"孩子们继续互相击球。")</f>
        <v>孩子们继续互相击球。</v>
      </c>
    </row>
    <row r="17076">
      <c r="A17076" s="4" t="s">
        <v>21507</v>
      </c>
      <c r="B17076" s="6" t="s">
        <v>21508</v>
      </c>
      <c r="C17076" s="5" t="str">
        <f>IFERROR(__xludf.DUMMYFUNCTION("GOOGLETRANSLATE(B17076,""en"",""zh-CN"")"),"看到一小群人彼此站着，并导致他们奔跑和玩彩弹比赛。")</f>
        <v>看到一小群人彼此站着，并导致他们奔跑和玩彩弹比赛。</v>
      </c>
    </row>
    <row r="17077">
      <c r="A17077" s="4" t="s">
        <v>21507</v>
      </c>
      <c r="B17077" s="6" t="s">
        <v>21509</v>
      </c>
      <c r="C17077" s="5" t="str">
        <f>IFERROR(__xludf.DUMMYFUNCTION("GOOGLETRANSLATE(B17077,""en"",""zh-CN"")"),"摄影师瞄准了他周围的所有人捕获他人，并射出了几次远距离。")</f>
        <v>摄影师瞄准了他周围的所有人捕获他人，并射出了几次远距离。</v>
      </c>
    </row>
    <row r="17078">
      <c r="A17078" s="4" t="s">
        <v>21507</v>
      </c>
      <c r="B17078" s="4" t="s">
        <v>21510</v>
      </c>
      <c r="C17078" s="5" t="str">
        <f>IFERROR(__xludf.DUMMYFUNCTION("GOOGLETRANSLATE(B17078,""en"",""zh-CN"")"),"比赛继续进行，该男子跑来跑去并停下来。")</f>
        <v>比赛继续进行，该男子跑来跑去并停下来。</v>
      </c>
    </row>
    <row r="17079">
      <c r="A17079" s="4" t="s">
        <v>21511</v>
      </c>
      <c r="B17079" s="4" t="s">
        <v>21512</v>
      </c>
      <c r="C17079" s="5" t="str">
        <f>IFERROR(__xludf.DUMMYFUNCTION("GOOGLETRANSLATE(B17079,""en"",""zh-CN"")"),"一个男人跪在蓝色垫子上。")</f>
        <v>一个男人跪在蓝色垫子上。</v>
      </c>
    </row>
    <row r="17080">
      <c r="A17080" s="4" t="s">
        <v>21511</v>
      </c>
      <c r="B17080" s="4" t="s">
        <v>21513</v>
      </c>
      <c r="C17080" s="5" t="str">
        <f>IFERROR(__xludf.DUMMYFUNCTION("GOOGLETRANSLATE(B17080,""en"",""zh-CN"")"),"另一个男人跪在他旁边的地面上。")</f>
        <v>另一个男人跪在他旁边的地面上。</v>
      </c>
    </row>
    <row r="17081">
      <c r="A17081" s="4" t="s">
        <v>21511</v>
      </c>
      <c r="B17081" s="4" t="s">
        <v>21514</v>
      </c>
      <c r="C17081" s="5" t="str">
        <f>IFERROR(__xludf.DUMMYFUNCTION("GOOGLETRANSLATE(B17081,""en"",""zh-CN"")"),"该男子举起一端的重量，将其抬起头顶。")</f>
        <v>该男子举起一端的重量，将其抬起头顶。</v>
      </c>
    </row>
    <row r="17082">
      <c r="A17082" s="4" t="s">
        <v>21515</v>
      </c>
      <c r="B17082" s="4" t="s">
        <v>21516</v>
      </c>
      <c r="C17082" s="5" t="str">
        <f>IFERROR(__xludf.DUMMYFUNCTION("GOOGLETRANSLATE(B17082,""en"",""zh-CN"")"),"一名穿着黑色袜子的男人戴上黑色皮鞋并绑着鞋带。")</f>
        <v>一名穿着黑色袜子的男人戴上黑色皮鞋并绑着鞋带。</v>
      </c>
    </row>
    <row r="17083">
      <c r="A17083" s="4" t="s">
        <v>21515</v>
      </c>
      <c r="B17083" s="4" t="s">
        <v>21517</v>
      </c>
      <c r="C17083" s="5" t="str">
        <f>IFERROR(__xludf.DUMMYFUNCTION("GOOGLETRANSLATE(B17083,""en"",""zh-CN"")"),"还有另一个人在黑色袜子上穿棕色皮鞋。")</f>
        <v>还有另一个人在黑色袜子上穿棕色皮鞋。</v>
      </c>
    </row>
    <row r="17084">
      <c r="A17084" s="4" t="s">
        <v>21515</v>
      </c>
      <c r="B17084" s="4" t="s">
        <v>21518</v>
      </c>
      <c r="C17084" s="5" t="str">
        <f>IFERROR(__xludf.DUMMYFUNCTION("GOOGLETRANSLATE(B17084,""en"",""zh-CN"")"),"他将鞋带紧密地绑住以固定它们。")</f>
        <v>他将鞋带紧密地绑住以固定它们。</v>
      </c>
    </row>
    <row r="17085">
      <c r="A17085" s="4" t="s">
        <v>21515</v>
      </c>
      <c r="B17085" s="4" t="s">
        <v>21519</v>
      </c>
      <c r="C17085" s="5" t="str">
        <f>IFERROR(__xludf.DUMMYFUNCTION("GOOGLETRANSLATE(B17085,""en"",""zh-CN"")"),"然后另一个场景显示一个人穿着皮革鞋穿着黑色袜子。")</f>
        <v>然后另一个场景显示一个人穿着皮革鞋穿着黑色袜子。</v>
      </c>
    </row>
    <row r="17086">
      <c r="A17086" s="4" t="s">
        <v>21515</v>
      </c>
      <c r="B17086" s="4" t="s">
        <v>21520</v>
      </c>
      <c r="C17086" s="5" t="str">
        <f>IFERROR(__xludf.DUMMYFUNCTION("GOOGLETRANSLATE(B17086,""en"",""zh-CN"")"),"其次是几个场景，显示该人穿着带鞋带的棕色皮鞋。")</f>
        <v>其次是几个场景，显示该人穿着带鞋带的棕色皮鞋。</v>
      </c>
    </row>
    <row r="17087">
      <c r="A17087" s="4" t="s">
        <v>21515</v>
      </c>
      <c r="B17087" s="4" t="s">
        <v>21521</v>
      </c>
      <c r="C17087" s="5" t="str">
        <f>IFERROR(__xludf.DUMMYFUNCTION("GOOGLETRANSLATE(B17087,""en"",""zh-CN"")"),"他穿着黑色袜子穿鞋，牢固地绑住鞋带。")</f>
        <v>他穿着黑色袜子穿鞋，牢固地绑住鞋带。</v>
      </c>
    </row>
    <row r="17088">
      <c r="A17088" s="4" t="s">
        <v>21515</v>
      </c>
      <c r="B17088" s="4" t="s">
        <v>21522</v>
      </c>
      <c r="C17088" s="5" t="str">
        <f>IFERROR(__xludf.DUMMYFUNCTION("GOOGLETRANSLATE(B17088,""en"",""zh-CN"")"),"然后，他穿着棕色皮鞋后站起来。")</f>
        <v>然后，他穿着棕色皮鞋后站起来。</v>
      </c>
    </row>
    <row r="17089">
      <c r="A17089" s="4" t="s">
        <v>21523</v>
      </c>
      <c r="B17089" s="4" t="s">
        <v>21524</v>
      </c>
      <c r="C17089" s="5" t="str">
        <f>IFERROR(__xludf.DUMMYFUNCTION("GOOGLETRANSLATE(B17089,""en"",""zh-CN"")"),"看到一个人的手剪掉猫的指甲，而猫有些挣扎。")</f>
        <v>看到一个人的手剪掉猫的指甲，而猫有些挣扎。</v>
      </c>
    </row>
    <row r="17090">
      <c r="A17090" s="4" t="s">
        <v>21523</v>
      </c>
      <c r="B17090" s="6" t="s">
        <v>21525</v>
      </c>
      <c r="C17090" s="5" t="str">
        <f>IFERROR(__xludf.DUMMYFUNCTION("GOOGLETRANSLATE(B17090,""en"",""zh-CN"")"),"显示了她剪裁猫的更多镜头，并在某一时刻移动，她抓住了他的脖子。")</f>
        <v>显示了她剪裁猫的更多镜头，并在某一时刻移动，她抓住了他的脖子。</v>
      </c>
    </row>
    <row r="17091">
      <c r="A17091" s="4" t="s">
        <v>21526</v>
      </c>
      <c r="B17091" s="4" t="s">
        <v>21527</v>
      </c>
      <c r="C17091" s="5" t="str">
        <f>IFERROR(__xludf.DUMMYFUNCTION("GOOGLETRANSLATE(B17091,""en"",""zh-CN"")"),"男人正在一个体育场里从看台上清除雪。")</f>
        <v>男人正在一个体育场里从看台上清除雪。</v>
      </c>
    </row>
    <row r="17092">
      <c r="A17092" s="4" t="s">
        <v>21526</v>
      </c>
      <c r="B17092" s="4" t="s">
        <v>21528</v>
      </c>
      <c r="C17092" s="5" t="str">
        <f>IFERROR(__xludf.DUMMYFUNCTION("GOOGLETRANSLATE(B17092,""en"",""zh-CN"")"),"男人在白雪皑皑的田野里骑马。")</f>
        <v>男人在白雪皑皑的田野里骑马。</v>
      </c>
    </row>
    <row r="17093">
      <c r="A17093" s="4" t="s">
        <v>21526</v>
      </c>
      <c r="B17093" s="4" t="s">
        <v>21529</v>
      </c>
      <c r="C17093" s="5" t="str">
        <f>IFERROR(__xludf.DUMMYFUNCTION("GOOGLETRANSLATE(B17093,""en"",""zh-CN"")"),"男人正在穿靴子和马球制服。")</f>
        <v>男人正在穿靴子和马球制服。</v>
      </c>
    </row>
    <row r="17094">
      <c r="A17094" s="4" t="s">
        <v>21526</v>
      </c>
      <c r="B17094" s="4" t="s">
        <v>21530</v>
      </c>
      <c r="C17094" s="5" t="str">
        <f>IFERROR(__xludf.DUMMYFUNCTION("GOOGLETRANSLATE(B17094,""en"",""zh-CN"")"),"妇女站在田野里，坐在看台上。")</f>
        <v>妇女站在田野里，坐在看台上。</v>
      </c>
    </row>
    <row r="17095">
      <c r="A17095" s="4" t="s">
        <v>21526</v>
      </c>
      <c r="B17095" s="4" t="s">
        <v>21531</v>
      </c>
      <c r="C17095" s="5" t="str">
        <f>IFERROR(__xludf.DUMMYFUNCTION("GOOGLETRANSLATE(B17095,""en"",""zh-CN"")"),"人们在白雪皑皑的田野里玩马球，而人们在看着他们。")</f>
        <v>人们在白雪皑皑的田野里玩马球，而人们在看着他们。</v>
      </c>
    </row>
    <row r="17096">
      <c r="A17096" s="4" t="s">
        <v>21532</v>
      </c>
      <c r="B17096" s="6" t="s">
        <v>21533</v>
      </c>
      <c r="C17096" s="5" t="str">
        <f>IFERROR(__xludf.DUMMYFUNCTION("GOOGLETRANSLATE(B17096,""en"",""zh-CN"")"),"看到一个穿着领带衬衫的年轻人在相机上说话，然后向他展示挑选一些衣服。")</f>
        <v>看到一个穿着领带衬衫的年轻人在相机上说话，然后向他展示挑选一些衣服。</v>
      </c>
    </row>
    <row r="17097">
      <c r="A17097" s="4" t="s">
        <v>21532</v>
      </c>
      <c r="B17097" s="4" t="s">
        <v>21534</v>
      </c>
      <c r="C17097" s="5" t="str">
        <f>IFERROR(__xludf.DUMMYFUNCTION("GOOGLETRANSLATE(B17097,""en"",""zh-CN"")"),"他炫耀自己的腿，然后用电剃须刀从腿上剃光，从头发上剃光。")</f>
        <v>他炫耀自己的腿，然后用电剃须刀从腿上剃光，从头发上剃光。</v>
      </c>
    </row>
    <row r="17098">
      <c r="A17098" s="4" t="s">
        <v>21532</v>
      </c>
      <c r="B17098" s="6" t="s">
        <v>21535</v>
      </c>
      <c r="C17098" s="5" t="str">
        <f>IFERROR(__xludf.DUMMYFUNCTION("GOOGLETRANSLATE(B17098,""en"",""zh-CN"")"),"然后，他将剃须霜放在腿上并剃光，最后露出裸露的腿，然后与相机说话。")</f>
        <v>然后，他将剃须霜放在腿上并剃光，最后露出裸露的腿，然后与相机说话。</v>
      </c>
    </row>
    <row r="17099">
      <c r="A17099" s="4" t="s">
        <v>21536</v>
      </c>
      <c r="B17099" s="4" t="s">
        <v>21537</v>
      </c>
      <c r="C17099" s="5" t="str">
        <f>IFERROR(__xludf.DUMMYFUNCTION("GOOGLETRANSLATE(B17099,""en"",""zh-CN"")"),"我们看到宇航员漂浮在船上。")</f>
        <v>我们看到宇航员漂浮在船上。</v>
      </c>
    </row>
    <row r="17100">
      <c r="A17100" s="4" t="s">
        <v>21536</v>
      </c>
      <c r="B17100" s="4" t="s">
        <v>21538</v>
      </c>
      <c r="C17100" s="5" t="str">
        <f>IFERROR(__xludf.DUMMYFUNCTION("GOOGLETRANSLATE(B17100,""en"",""zh-CN"")"),"男人递给女士麦克风。")</f>
        <v>男人递给女士麦克风。</v>
      </c>
    </row>
    <row r="17101">
      <c r="A17101" s="4" t="s">
        <v>21536</v>
      </c>
      <c r="B17101" s="4" t="s">
        <v>21539</v>
      </c>
      <c r="C17101" s="5" t="str">
        <f>IFERROR(__xludf.DUMMYFUNCTION("GOOGLETRANSLATE(B17101,""en"",""zh-CN"")"),"中间人交叉手，有麦克风。")</f>
        <v>中间人交叉手，有麦克风。</v>
      </c>
    </row>
    <row r="17102">
      <c r="A17102" s="4" t="s">
        <v>21536</v>
      </c>
      <c r="B17102" s="4" t="s">
        <v>21540</v>
      </c>
      <c r="C17102" s="5" t="str">
        <f>IFERROR(__xludf.DUMMYFUNCTION("GOOGLETRANSLATE(B17102,""en"",""zh-CN"")"),"这位女士让麦克风回来并进行交谈。")</f>
        <v>这位女士让麦克风回来并进行交谈。</v>
      </c>
    </row>
    <row r="17103">
      <c r="A17103" s="4" t="s">
        <v>21536</v>
      </c>
      <c r="B17103" s="4" t="s">
        <v>21541</v>
      </c>
      <c r="C17103" s="5" t="str">
        <f>IFERROR(__xludf.DUMMYFUNCTION("GOOGLETRANSLATE(B17103,""en"",""zh-CN"")"),"那位女士抓住长笛并玩耍。")</f>
        <v>那位女士抓住长笛并玩耍。</v>
      </c>
    </row>
    <row r="17104">
      <c r="A17104" s="4" t="s">
        <v>21542</v>
      </c>
      <c r="B17104" s="4" t="s">
        <v>21543</v>
      </c>
      <c r="C17104" s="5" t="str">
        <f>IFERROR(__xludf.DUMMYFUNCTION("GOOGLETRANSLATE(B17104,""en"",""zh-CN"")"),"看到一个女人和一匹马一起走路，到另一个女孩走开。")</f>
        <v>看到一个女人和一匹马一起走路，到另一个女孩走开。</v>
      </c>
    </row>
    <row r="17105">
      <c r="A17105" s="4" t="s">
        <v>21542</v>
      </c>
      <c r="B17105" s="6" t="s">
        <v>21544</v>
      </c>
      <c r="C17105" s="5" t="str">
        <f>IFERROR(__xludf.DUMMYFUNCTION("GOOGLETRANSLATE(B17105,""en"",""zh-CN"")"),"看到更多的女孩拿着产品并与相机交谈，并导致女孩展示如何清洁马匹和刷马。")</f>
        <v>看到更多的女孩拿着产品并与相机交谈，并导致女孩展示如何清洁马匹和刷马。</v>
      </c>
    </row>
    <row r="17106">
      <c r="A17106" s="4" t="s">
        <v>21545</v>
      </c>
      <c r="B17106" s="4" t="s">
        <v>21546</v>
      </c>
      <c r="C17106" s="5" t="str">
        <f>IFERROR(__xludf.DUMMYFUNCTION("GOOGLETRANSLATE(B17106,""en"",""zh-CN"")"),"站立时，一个人正在使用椭圆教练。")</f>
        <v>站立时，一个人正在使用椭圆教练。</v>
      </c>
    </row>
    <row r="17107">
      <c r="A17107" s="4" t="s">
        <v>21545</v>
      </c>
      <c r="B17107" s="4" t="s">
        <v>21547</v>
      </c>
      <c r="C17107" s="5" t="str">
        <f>IFERROR(__xludf.DUMMYFUNCTION("GOOGLETRANSLATE(B17107,""en"",""zh-CN"")"),"然后，一个女人以另一种方式使用它时坐在它上。")</f>
        <v>然后，一个女人以另一种方式使用它时坐在它上。</v>
      </c>
    </row>
    <row r="17108">
      <c r="A17108" s="4" t="s">
        <v>21545</v>
      </c>
      <c r="B17108" s="4" t="s">
        <v>21548</v>
      </c>
      <c r="C17108" s="5" t="str">
        <f>IFERROR(__xludf.DUMMYFUNCTION("GOOGLETRANSLATE(B17108,""en"",""zh-CN"")"),"它在两者锻炼时切换。")</f>
        <v>它在两者锻炼时切换。</v>
      </c>
    </row>
    <row r="17109">
      <c r="A17109" s="4" t="s">
        <v>21545</v>
      </c>
      <c r="B17109" s="4" t="s">
        <v>21549</v>
      </c>
      <c r="C17109" s="5" t="str">
        <f>IFERROR(__xludf.DUMMYFUNCTION("GOOGLETRANSLATE(B17109,""en"",""zh-CN"")"),"显示了有关机器的工作方式的特写镜头，并折叠起来以方便存储。")</f>
        <v>显示了有关机器的工作方式的特写镜头，并折叠起来以方便存储。</v>
      </c>
    </row>
    <row r="17110">
      <c r="A17110" s="4" t="s">
        <v>21550</v>
      </c>
      <c r="B17110" s="4" t="s">
        <v>21551</v>
      </c>
      <c r="C17110" s="5" t="str">
        <f>IFERROR(__xludf.DUMMYFUNCTION("GOOGLETRANSLATE(B17110,""en"",""zh-CN"")"),"一个男人和男孩在车道上。")</f>
        <v>一个男人和男孩在车道上。</v>
      </c>
    </row>
    <row r="17111">
      <c r="A17111" s="4" t="s">
        <v>21550</v>
      </c>
      <c r="B17111" s="4" t="s">
        <v>21552</v>
      </c>
      <c r="C17111" s="5" t="str">
        <f>IFERROR(__xludf.DUMMYFUNCTION("GOOGLETRANSLATE(B17111,""en"",""zh-CN"")"),"他们正在竞争，看看他们可以将雪从车道上铲下来的速度。")</f>
        <v>他们正在竞争，看看他们可以将雪从车道上铲下来的速度。</v>
      </c>
    </row>
    <row r="17112">
      <c r="A17112" s="4" t="s">
        <v>21550</v>
      </c>
      <c r="B17112" s="4" t="s">
        <v>21553</v>
      </c>
      <c r="C17112" s="5" t="str">
        <f>IFERROR(__xludf.DUMMYFUNCTION("GOOGLETRANSLATE(B17112,""en"",""zh-CN"")"),"他们尽可能快地来回奔跑。")</f>
        <v>他们尽可能快地来回奔跑。</v>
      </c>
    </row>
    <row r="17113">
      <c r="A17113" s="4" t="s">
        <v>21554</v>
      </c>
      <c r="B17113" s="4" t="s">
        <v>21555</v>
      </c>
      <c r="C17113" s="5" t="str">
        <f>IFERROR(__xludf.DUMMYFUNCTION("GOOGLETRANSLATE(B17113,""en"",""zh-CN"")"),"一群人漂浮在河上的木筏上。")</f>
        <v>一群人漂浮在河上的木筏上。</v>
      </c>
    </row>
    <row r="17114">
      <c r="A17114" s="4" t="s">
        <v>21554</v>
      </c>
      <c r="B17114" s="4" t="s">
        <v>21556</v>
      </c>
      <c r="C17114" s="5" t="str">
        <f>IFERROR(__xludf.DUMMYFUNCTION("GOOGLETRANSLATE(B17114,""en"",""zh-CN"")"),"他们通过苛刻的白水急流划船。")</f>
        <v>他们通过苛刻的白水急流划船。</v>
      </c>
    </row>
    <row r="17115">
      <c r="A17115" s="4" t="s">
        <v>21554</v>
      </c>
      <c r="B17115" s="4" t="s">
        <v>21557</v>
      </c>
      <c r="C17115" s="5" t="str">
        <f>IFERROR(__xludf.DUMMYFUNCTION("GOOGLETRANSLATE(B17115,""en"",""zh-CN"")"),"人民摔倒了，在继续前进之前被其他after徒撤回。")</f>
        <v>人民摔倒了，在继续前进之前被其他after徒撤回。</v>
      </c>
    </row>
    <row r="17116">
      <c r="A17116" s="4" t="s">
        <v>21558</v>
      </c>
      <c r="B17116" s="6" t="s">
        <v>21559</v>
      </c>
      <c r="C17116" s="5" t="str">
        <f>IFERROR(__xludf.DUMMYFUNCTION("GOOGLETRANSLATE(B17116,""en"",""zh-CN"")"),"看到一个男人坐在皮划艇上，将玩具人抱在腿上的皮划艇上时，就在镜头上说话。")</f>
        <v>看到一个男人坐在皮划艇上，将玩具人抱在腿上的皮划艇上时，就在镜头上说话。</v>
      </c>
    </row>
    <row r="17117">
      <c r="A17117" s="4" t="s">
        <v>21558</v>
      </c>
      <c r="B17117" s="6" t="s">
        <v>21560</v>
      </c>
      <c r="C17117" s="5" t="str">
        <f>IFERROR(__xludf.DUMMYFUNCTION("GOOGLETRANSLATE(B17117,""en"",""zh-CN"")"),"该男子继续握住物体，并导致他在皮划艇上骑行时继续与相机说话。")</f>
        <v>该男子继续握住物体，并导致他在皮划艇上骑行时继续与相机说话。</v>
      </c>
    </row>
    <row r="17118">
      <c r="A17118" s="4" t="s">
        <v>21561</v>
      </c>
      <c r="B17118" s="4" t="s">
        <v>21562</v>
      </c>
      <c r="C17118" s="5" t="str">
        <f>IFERROR(__xludf.DUMMYFUNCTION("GOOGLETRANSLATE(B17118,""en"",""zh-CN"")"),"在门廊前面看到一个男人，向后推割割草机。")</f>
        <v>在门廊前面看到一个男人，向后推割割草机。</v>
      </c>
    </row>
    <row r="17119">
      <c r="A17119" s="4" t="s">
        <v>21561</v>
      </c>
      <c r="B17119" s="4" t="s">
        <v>21563</v>
      </c>
      <c r="C17119" s="5" t="str">
        <f>IFERROR(__xludf.DUMMYFUNCTION("GOOGLETRANSLATE(B17119,""en"",""zh-CN"")"),"他沿着草割割草机，然后在草坪上上下移动。")</f>
        <v>他沿着草割割草机，然后在草坪上上下移动。</v>
      </c>
    </row>
    <row r="17120">
      <c r="A17120" s="4" t="s">
        <v>21564</v>
      </c>
      <c r="B17120" s="6" t="s">
        <v>21565</v>
      </c>
      <c r="C17120" s="5" t="str">
        <f>IFERROR(__xludf.DUMMYFUNCTION("GOOGLETRANSLATE(B17120,""en"",""zh-CN"")"),"一个男人穿着西装，说话，屏幕上的话说他的名字叫Noonan，他是最好的电视节目的主持人。")</f>
        <v>一个男人穿着西装，说话，屏幕上的话说他的名字叫Noonan，他是最好的电视节目的主持人。</v>
      </c>
    </row>
    <row r="17121">
      <c r="A17121" s="4" t="s">
        <v>21564</v>
      </c>
      <c r="B17121" s="6" t="s">
        <v>21566</v>
      </c>
      <c r="C17121" s="5" t="str">
        <f>IFERROR(__xludf.DUMMYFUNCTION("GOOGLETRANSLATE(B17121,""en"",""zh-CN"")"),"一系列仍在房屋上拍摄房屋，人，灰泥工作的图片，灰泥信息的列表开始播放，并在图片开始说“最好的电视上最好的电视”之前就开始播放。")</f>
        <v>一系列仍在房屋上拍摄房屋，人，灰泥工作的图片，灰泥信息的列表开始播放，并在图片开始说“最好的电视上最好的电视”之前就开始播放。</v>
      </c>
    </row>
    <row r="17122">
      <c r="A17122" s="4" t="s">
        <v>21564</v>
      </c>
      <c r="B17122" s="6" t="s">
        <v>21567</v>
      </c>
      <c r="C17122" s="5" t="str">
        <f>IFERROR(__xludf.DUMMYFUNCTION("GOOGLETRANSLATE(B17122,""en"",""zh-CN"")"),"图片完成后，出现了深灰色的屏幕，其中包括灰泥公司的名称，他们的电话号码和他们的网站。")</f>
        <v>图片完成后，出现了深灰色的屏幕，其中包括灰泥公司的名称，他们的电话号码和他们的网站。</v>
      </c>
    </row>
    <row r="17123">
      <c r="A17123" s="4" t="s">
        <v>21564</v>
      </c>
      <c r="B17123" s="6" t="s">
        <v>21568</v>
      </c>
      <c r="C17123" s="5" t="str">
        <f>IFERROR(__xludf.DUMMYFUNCTION("GOOGLETRANSLATE(B17123,""en"",""zh-CN"")"),"主持人再次出现在说话，最后以屏幕上的单词结尾，说最好的电视是最好的电视，然后屏幕命名制作人及其网站。")</f>
        <v>主持人再次出现在说话，最后以屏幕上的单词结尾，说最好的电视是最好的电视，然后屏幕命名制作人及其网站。</v>
      </c>
    </row>
    <row r="17124">
      <c r="A17124" s="4" t="s">
        <v>21569</v>
      </c>
      <c r="B17124" s="4" t="s">
        <v>21570</v>
      </c>
      <c r="C17124" s="5" t="str">
        <f>IFERROR(__xludf.DUMMYFUNCTION("GOOGLETRANSLATE(B17124,""en"",""zh-CN"")"),"引言图形带有标题。")</f>
        <v>引言图形带有标题。</v>
      </c>
    </row>
    <row r="17125">
      <c r="A17125" s="4" t="s">
        <v>21569</v>
      </c>
      <c r="B17125" s="4" t="s">
        <v>21571</v>
      </c>
      <c r="C17125" s="5" t="str">
        <f>IFERROR(__xludf.DUMMYFUNCTION("GOOGLETRANSLATE(B17125,""en"",""zh-CN"")"),"从岸边看到一个空的空海滩。")</f>
        <v>从岸边看到一个空的空海滩。</v>
      </c>
    </row>
    <row r="17126">
      <c r="A17126" s="4" t="s">
        <v>21569</v>
      </c>
      <c r="B17126" s="4" t="s">
        <v>21572</v>
      </c>
      <c r="C17126" s="5" t="str">
        <f>IFERROR(__xludf.DUMMYFUNCTION("GOOGLETRANSLATE(B17126,""en"",""zh-CN"")"),"看到一只鸟沿着海岸线行走。")</f>
        <v>看到一只鸟沿着海岸线行走。</v>
      </c>
    </row>
    <row r="17127">
      <c r="A17127" s="4" t="s">
        <v>21569</v>
      </c>
      <c r="B17127" s="4" t="s">
        <v>21573</v>
      </c>
      <c r="C17127" s="5" t="str">
        <f>IFERROR(__xludf.DUMMYFUNCTION("GOOGLETRANSLATE(B17127,""en"",""zh-CN"")"),"一群人一起沿着海岸线骑马。")</f>
        <v>一群人一起沿着海岸线骑马。</v>
      </c>
    </row>
    <row r="17128">
      <c r="A17128" s="4" t="s">
        <v>21569</v>
      </c>
      <c r="B17128" s="4" t="s">
        <v>21574</v>
      </c>
      <c r="C17128" s="5" t="str">
        <f>IFERROR(__xludf.DUMMYFUNCTION("GOOGLETRANSLATE(B17128,""en"",""zh-CN"")"),"看到不同种类的花。")</f>
        <v>看到不同种类的花。</v>
      </c>
    </row>
    <row r="17129">
      <c r="A17129" s="4" t="s">
        <v>21569</v>
      </c>
      <c r="B17129" s="4" t="s">
        <v>21575</v>
      </c>
      <c r="C17129" s="5" t="str">
        <f>IFERROR(__xludf.DUMMYFUNCTION("GOOGLETRANSLATE(B17129,""en"",""zh-CN"")"),"该小组沿着虚张声势骑行。")</f>
        <v>该小组沿着虚张声势骑行。</v>
      </c>
    </row>
    <row r="17130">
      <c r="A17130" s="4" t="s">
        <v>21569</v>
      </c>
      <c r="B17130" s="4" t="s">
        <v>21576</v>
      </c>
      <c r="C17130" s="5" t="str">
        <f>IFERROR(__xludf.DUMMYFUNCTION("GOOGLETRANSLATE(B17130,""en"",""zh-CN"")"),"一名女骑手骑在水边。")</f>
        <v>一名女骑手骑在水边。</v>
      </c>
    </row>
    <row r="17131">
      <c r="A17131" s="4" t="s">
        <v>21569</v>
      </c>
      <c r="B17131" s="4" t="s">
        <v>21577</v>
      </c>
      <c r="C17131" s="5" t="str">
        <f>IFERROR(__xludf.DUMMYFUNCTION("GOOGLETRANSLATE(B17131,""en"",""zh-CN"")"),"小组骑着松散的沙子，马将其踢向空中。")</f>
        <v>小组骑着松散的沙子，马将其踢向空中。</v>
      </c>
    </row>
    <row r="17132">
      <c r="A17132" s="4" t="s">
        <v>21569</v>
      </c>
      <c r="B17132" s="4" t="s">
        <v>21578</v>
      </c>
      <c r="C17132" s="5" t="str">
        <f>IFERROR(__xludf.DUMMYFUNCTION("GOOGLETRANSLATE(B17132,""en"",""zh-CN"")"),"该小组沿着沙丘部分骑行，并穿过一些低植被。")</f>
        <v>该小组沿着沙丘部分骑行，并穿过一些低植被。</v>
      </c>
    </row>
    <row r="17133">
      <c r="A17133" s="4" t="s">
        <v>21569</v>
      </c>
      <c r="B17133" s="4" t="s">
        <v>21579</v>
      </c>
      <c r="C17133" s="5" t="str">
        <f>IFERROR(__xludf.DUMMYFUNCTION("GOOGLETRANSLATE(B17133,""en"",""zh-CN"")"),"该小组穿过水和海滩上的盖洛普（Gallup）骑行。")</f>
        <v>该小组穿过水和海滩上的盖洛普（Gallup）骑行。</v>
      </c>
    </row>
    <row r="17134">
      <c r="A17134" s="4" t="s">
        <v>21569</v>
      </c>
      <c r="B17134" s="4" t="s">
        <v>21580</v>
      </c>
      <c r="C17134" s="5" t="str">
        <f>IFERROR(__xludf.DUMMYFUNCTION("GOOGLETRANSLATE(B17134,""en"",""zh-CN"")"),"车手骑行缓慢，然后在一天晚些时候变成阳光。")</f>
        <v>车手骑行缓慢，然后在一天晚些时候变成阳光。</v>
      </c>
    </row>
    <row r="17135">
      <c r="A17135" s="4" t="s">
        <v>21569</v>
      </c>
      <c r="B17135" s="4" t="s">
        <v>21581</v>
      </c>
      <c r="C17135" s="5" t="str">
        <f>IFERROR(__xludf.DUMMYFUNCTION("GOOGLETRANSLATE(B17135,""en"",""zh-CN"")"),"天气落山时，海滩从远处看到。")</f>
        <v>天气落山时，海滩从远处看到。</v>
      </c>
    </row>
    <row r="17136">
      <c r="A17136" s="4" t="s">
        <v>21582</v>
      </c>
      <c r="B17136" s="4" t="s">
        <v>21583</v>
      </c>
      <c r="C17136" s="5" t="str">
        <f>IFERROR(__xludf.DUMMYFUNCTION("GOOGLETRANSLATE(B17136,""en"",""zh-CN"")"),"黑色背景上的一些白色文字解释说，在此视频中，没有人受伤。")</f>
        <v>黑色背景上的一些白色文字解释说，在此视频中，没有人受伤。</v>
      </c>
    </row>
    <row r="17137">
      <c r="A17137" s="4" t="s">
        <v>21582</v>
      </c>
      <c r="B17137" s="4" t="s">
        <v>21584</v>
      </c>
      <c r="C17137" s="5" t="str">
        <f>IFERROR(__xludf.DUMMYFUNCTION("GOOGLETRANSLATE(B17137,""en"",""zh-CN"")"),"一个年轻人站在岩石前，正在镜头里脸上有些面孔。")</f>
        <v>一个年轻人站在岩石前，正在镜头里脸上有些面孔。</v>
      </c>
    </row>
    <row r="17138">
      <c r="A17138" s="4" t="s">
        <v>21582</v>
      </c>
      <c r="B17138" s="4" t="s">
        <v>21585</v>
      </c>
      <c r="C17138" s="5" t="str">
        <f>IFERROR(__xludf.DUMMYFUNCTION("GOOGLETRANSLATE(B17138,""en"",""zh-CN"")"),"一些其他人的录像剧本紧紧行走，并在紧身的绳索上做其他技巧。")</f>
        <v>一些其他人的录像剧本紧紧行走，并在紧身的绳索上做其他技巧。</v>
      </c>
    </row>
    <row r="17139">
      <c r="A17139" s="4" t="s">
        <v>21582</v>
      </c>
      <c r="B17139" s="4" t="s">
        <v>21586</v>
      </c>
      <c r="C17139" s="5" t="str">
        <f>IFERROR(__xludf.DUMMYFUNCTION("GOOGLETRANSLATE(B17139,""en"",""zh-CN"")"),"一个老人在商店里骑着一辆小型自行车。")</f>
        <v>一个老人在商店里骑着一辆小型自行车。</v>
      </c>
    </row>
    <row r="17140">
      <c r="A17140" s="4" t="s">
        <v>21582</v>
      </c>
      <c r="B17140" s="4" t="s">
        <v>21587</v>
      </c>
      <c r="C17140" s="5" t="str">
        <f>IFERROR(__xludf.DUMMYFUNCTION("GOOGLETRANSLATE(B17140,""en"",""zh-CN"")"),"更多的镜头显示了紧密的绳索步行者绊倒和跌倒。")</f>
        <v>更多的镜头显示了紧密的绳索步行者绊倒和跌倒。</v>
      </c>
    </row>
    <row r="17141">
      <c r="A17141" s="4" t="s">
        <v>21582</v>
      </c>
      <c r="B17141" s="4" t="s">
        <v>21588</v>
      </c>
      <c r="C17141" s="5" t="str">
        <f>IFERROR(__xludf.DUMMYFUNCTION("GOOGLETRANSLATE(B17141,""en"",""zh-CN"")"),"显示了制作视频的组织的一些图形。")</f>
        <v>显示了制作视频的组织的一些图形。</v>
      </c>
    </row>
    <row r="17142">
      <c r="A17142" s="4" t="s">
        <v>21589</v>
      </c>
      <c r="B17142" s="4" t="s">
        <v>21590</v>
      </c>
      <c r="C17142" s="5" t="str">
        <f>IFERROR(__xludf.DUMMYFUNCTION("GOOGLETRANSLATE(B17142,""en"",""zh-CN"")"),"看到一个人沿着皮划艇骑着水。")</f>
        <v>看到一个人沿着皮划艇骑着水。</v>
      </c>
    </row>
    <row r="17143">
      <c r="A17143" s="4" t="s">
        <v>21589</v>
      </c>
      <c r="B17143" s="6" t="s">
        <v>21591</v>
      </c>
      <c r="C17143" s="5" t="str">
        <f>IFERROR(__xludf.DUMMYFUNCTION("GOOGLETRANSLATE(B17143,""en"",""zh-CN"")"),"该人使用桨将自己推到远处时将自己推到水中。")</f>
        <v>该人使用桨将自己推到远处时将自己推到水中。</v>
      </c>
    </row>
    <row r="17144">
      <c r="A17144" s="4" t="s">
        <v>21589</v>
      </c>
      <c r="B17144" s="4" t="s">
        <v>21592</v>
      </c>
      <c r="C17144" s="5" t="str">
        <f>IFERROR(__xludf.DUMMYFUNCTION("GOOGLETRANSLATE(B17144,""en"",""zh-CN"")"),"该人继续绕着水中翻转并离开相机。")</f>
        <v>该人继续绕着水中翻转并离开相机。</v>
      </c>
    </row>
    <row r="17145">
      <c r="A17145" s="4" t="s">
        <v>21593</v>
      </c>
      <c r="B17145" s="6" t="s">
        <v>21594</v>
      </c>
      <c r="C17145" s="5" t="str">
        <f>IFERROR(__xludf.DUMMYFUNCTION("GOOGLETRANSLATE(B17145,""en"",""zh-CN"")"),"一个男人，脖子上有一个萨克斯管，展示了如何在绿色黑板前和棕色钢琴旁边演奏萨克斯管。")</f>
        <v>一个男人，脖子上有一个萨克斯管，展示了如何在绿色黑板前和棕色钢琴旁边演奏萨克斯管。</v>
      </c>
    </row>
    <row r="17146">
      <c r="A17146" s="4" t="s">
        <v>21593</v>
      </c>
      <c r="B17146" s="4" t="s">
        <v>21595</v>
      </c>
      <c r="C17146" s="5" t="str">
        <f>IFERROR(__xludf.DUMMYFUNCTION("GOOGLETRANSLATE(B17146,""en"",""zh-CN"")"),"该人在与镜头交谈时指出了萨克斯管的不同部分。")</f>
        <v>该人在与镜头交谈时指出了萨克斯管的不同部分。</v>
      </c>
    </row>
    <row r="17147">
      <c r="A17147" s="4" t="s">
        <v>21593</v>
      </c>
      <c r="B17147" s="6" t="s">
        <v>21596</v>
      </c>
      <c r="C17147" s="5" t="str">
        <f>IFERROR(__xludf.DUMMYFUNCTION("GOOGLETRANSLATE(B17147,""en"",""zh-CN"")"),"该男子开始短暂演奏萨克斯管，然后转向黑板，并在与镜头交谈时开始在上面写笔记。")</f>
        <v>该男子开始短暂演奏萨克斯管，然后转向黑板，并在与镜头交谈时开始在上面写笔记。</v>
      </c>
    </row>
    <row r="17148">
      <c r="A17148" s="4" t="s">
        <v>21593</v>
      </c>
      <c r="B17148" s="6" t="s">
        <v>21597</v>
      </c>
      <c r="C17148" s="5" t="str">
        <f>IFERROR(__xludf.DUMMYFUNCTION("GOOGLETRANSLATE(B17148,""en"",""zh-CN"")"),"该男子指着在黑板上写下的笔记，然后在他读到董事会的笔记时开始演奏，然后再回到镜头前说话和演奏。")</f>
        <v>该男子指着在黑板上写下的笔记，然后在他读到董事会的笔记时开始演奏，然后再回到镜头前说话和演奏。</v>
      </c>
    </row>
    <row r="17149">
      <c r="A17149" s="4" t="s">
        <v>21598</v>
      </c>
      <c r="B17149" s="4" t="s">
        <v>21599</v>
      </c>
      <c r="C17149" s="5" t="str">
        <f>IFERROR(__xludf.DUMMYFUNCTION("GOOGLETRANSLATE(B17149,""en"",""zh-CN"")"),"一个人走进相机的视线，地板上有一个橙色的玩具。")</f>
        <v>一个人走进相机的视线，地板上有一个橙色的玩具。</v>
      </c>
    </row>
    <row r="17150">
      <c r="A17150" s="4" t="s">
        <v>21598</v>
      </c>
      <c r="B17150" s="4" t="s">
        <v>21600</v>
      </c>
      <c r="C17150" s="5" t="str">
        <f>IFERROR(__xludf.DUMMYFUNCTION("GOOGLETRANSLATE(B17150,""en"",""zh-CN"")"),"该人开始在玩具上大力擦拭脚。")</f>
        <v>该人开始在玩具上大力擦拭脚。</v>
      </c>
    </row>
    <row r="17151">
      <c r="A17151" s="4" t="s">
        <v>21598</v>
      </c>
      <c r="B17151" s="4" t="s">
        <v>21601</v>
      </c>
      <c r="C17151" s="5" t="str">
        <f>IFERROR(__xludf.DUMMYFUNCTION("GOOGLETRANSLATE(B17151,""en"",""zh-CN"")"),"当他们完成玩具上的脚时，该人将玩具踢开了。")</f>
        <v>当他们完成玩具上的脚时，该人将玩具踢开了。</v>
      </c>
    </row>
    <row r="17152">
      <c r="A17152" s="4" t="s">
        <v>21602</v>
      </c>
      <c r="B17152" s="4" t="s">
        <v>21603</v>
      </c>
      <c r="C17152" s="5" t="str">
        <f>IFERROR(__xludf.DUMMYFUNCTION("GOOGLETRANSLATE(B17152,""en"",""zh-CN"")"),"一个坐着的人正在与一个充满足球运动员的房间交谈。")</f>
        <v>一个坐着的人正在与一个充满足球运动员的房间交谈。</v>
      </c>
    </row>
    <row r="17153">
      <c r="A17153" s="4" t="s">
        <v>21602</v>
      </c>
      <c r="B17153" s="4" t="s">
        <v>21604</v>
      </c>
      <c r="C17153" s="5" t="str">
        <f>IFERROR(__xludf.DUMMYFUNCTION("GOOGLETRANSLATE(B17153,""en"",""zh-CN"")"),"他们在更衣室里踢球。")</f>
        <v>他们在更衣室里踢球。</v>
      </c>
    </row>
    <row r="17154">
      <c r="A17154" s="4" t="s">
        <v>21602</v>
      </c>
      <c r="B17154" s="4" t="s">
        <v>21605</v>
      </c>
      <c r="C17154" s="5" t="str">
        <f>IFERROR(__xludf.DUMMYFUNCTION("GOOGLETRANSLATE(B17154,""en"",""zh-CN"")"),"该男子与摄像机谈论游戏。")</f>
        <v>该男子与摄像机谈论游戏。</v>
      </c>
    </row>
    <row r="17155">
      <c r="A17155" s="4" t="s">
        <v>21602</v>
      </c>
      <c r="B17155" s="4" t="s">
        <v>21606</v>
      </c>
      <c r="C17155" s="5" t="str">
        <f>IFERROR(__xludf.DUMMYFUNCTION("GOOGLETRANSLATE(B17155,""en"",""zh-CN"")"),"他走出去，在讨论更长的时间时，正在进行一场比赛。")</f>
        <v>他走出去，在讨论更长的时间时，正在进行一场比赛。</v>
      </c>
    </row>
    <row r="17156">
      <c r="A17156" s="4" t="s">
        <v>21602</v>
      </c>
      <c r="B17156" s="4" t="s">
        <v>21607</v>
      </c>
      <c r="C17156" s="5" t="str">
        <f>IFERROR(__xludf.DUMMYFUNCTION("GOOGLETRANSLATE(B17156,""en"",""zh-CN"")"),"显示男人在谈论，玩游戏，并在最后为团队照片摆姿势。")</f>
        <v>显示男人在谈论，玩游戏，并在最后为团队照片摆姿势。</v>
      </c>
    </row>
    <row r="17157">
      <c r="A17157" s="4" t="s">
        <v>21608</v>
      </c>
      <c r="B17157" s="4" t="s">
        <v>21609</v>
      </c>
      <c r="C17157" s="5" t="str">
        <f>IFERROR(__xludf.DUMMYFUNCTION("GOOGLETRANSLATE(B17157,""en"",""zh-CN"")"),"白天，路上的青少年滑板和停车场。")</f>
        <v>白天，路上的青少年滑板和停车场。</v>
      </c>
    </row>
    <row r="17158">
      <c r="A17158" s="4" t="s">
        <v>21608</v>
      </c>
      <c r="B17158" s="4" t="s">
        <v>21610</v>
      </c>
      <c r="C17158" s="5" t="str">
        <f>IFERROR(__xludf.DUMMYFUNCTION("GOOGLETRANSLATE(B17158,""en"",""zh-CN"")"),"白天和黑夜街头滑板的青少年滑板。")</f>
        <v>白天和黑夜街头滑板的青少年滑板。</v>
      </c>
    </row>
    <row r="17159">
      <c r="A17159" s="4" t="s">
        <v>21608</v>
      </c>
      <c r="B17159" s="4" t="s">
        <v>21611</v>
      </c>
      <c r="C17159" s="5" t="str">
        <f>IFERROR(__xludf.DUMMYFUNCTION("GOOGLETRANSLATE(B17159,""en"",""zh-CN"")"),"青少年滑板在繁忙的街道上，然后在建筑物的轨道上滑板。")</f>
        <v>青少年滑板在繁忙的街道上，然后在建筑物的轨道上滑板。</v>
      </c>
    </row>
    <row r="17160">
      <c r="A17160" s="4" t="s">
        <v>21608</v>
      </c>
      <c r="B17160" s="4" t="s">
        <v>21612</v>
      </c>
      <c r="C17160" s="5" t="str">
        <f>IFERROR(__xludf.DUMMYFUNCTION("GOOGLETRANSLATE(B17160,""en"",""zh-CN"")"),"之后，青少年在街上白天和黑夜。")</f>
        <v>之后，青少年在街上白天和黑夜。</v>
      </c>
    </row>
    <row r="17161">
      <c r="A17161" s="4" t="s">
        <v>21613</v>
      </c>
      <c r="B17161" s="6" t="s">
        <v>21614</v>
      </c>
      <c r="C17161" s="5" t="str">
        <f>IFERROR(__xludf.DUMMYFUNCTION("GOOGLETRANSLATE(B17161,""en"",""zh-CN"")"),"看到一个男人在摄影师说话并用衬衫向那个男人说话时，看到一个男人举起衬衫。")</f>
        <v>看到一个男人在摄影师说话并用衬衫向那个男人说话时，看到一个男人举起衬衫。</v>
      </c>
    </row>
    <row r="17162">
      <c r="A17162" s="4" t="s">
        <v>21613</v>
      </c>
      <c r="B17162" s="4" t="s">
        <v>21615</v>
      </c>
      <c r="C17162" s="5" t="str">
        <f>IFERROR(__xludf.DUMMYFUNCTION("GOOGLETRANSLATE(B17162,""en"",""zh-CN"")"),"那个男人举行说话，指着他附近的铁。")</f>
        <v>那个男人举行说话，指着他附近的铁。</v>
      </c>
    </row>
    <row r="17163">
      <c r="A17163" s="4" t="s">
        <v>21613</v>
      </c>
      <c r="B17163" s="6" t="s">
        <v>21616</v>
      </c>
      <c r="C17163" s="5" t="str">
        <f>IFERROR(__xludf.DUMMYFUNCTION("GOOGLETRANSLATE(B17163,""en"",""zh-CN"")"),"他拿起铁等待它变热，然后看着相机时熨烫衬衫。")</f>
        <v>他拿起铁等待它变热，然后看着相机时熨烫衬衫。</v>
      </c>
    </row>
    <row r="17164">
      <c r="A17164" s="4" t="s">
        <v>21617</v>
      </c>
      <c r="B17164" s="6" t="s">
        <v>21618</v>
      </c>
      <c r="C17164" s="5" t="str">
        <f>IFERROR(__xludf.DUMMYFUNCTION("GOOGLETRANSLATE(B17164,""en"",""zh-CN"")"),"看到一小群人站在体育馆周围，其中一个人奔跑并射击了一个篮子。")</f>
        <v>看到一小群人站在体育馆周围，其中一个人奔跑并射击了一个篮子。</v>
      </c>
    </row>
    <row r="17165">
      <c r="A17165" s="4" t="s">
        <v>21617</v>
      </c>
      <c r="B17165" s="4" t="s">
        <v>21619</v>
      </c>
      <c r="C17165" s="5" t="str">
        <f>IFERROR(__xludf.DUMMYFUNCTION("GOOGLETRANSLATE(B17165,""en"",""zh-CN"")"),"看到更多的人从车道上奔跑，并在他们上方开了一个篮子。")</f>
        <v>看到更多的人从车道上奔跑，并在他们上方开了一个篮子。</v>
      </c>
    </row>
    <row r="17166">
      <c r="A17166" s="4" t="s">
        <v>21617</v>
      </c>
      <c r="B17166" s="4" t="s">
        <v>21620</v>
      </c>
      <c r="C17166" s="5" t="str">
        <f>IFERROR(__xludf.DUMMYFUNCTION("GOOGLETRANSLATE(B17166,""en"",""zh-CN"")"),"更多的女孩跑了下来，通过回去射击篮子，结束。")</f>
        <v>更多的女孩跑了下来，通过回去射击篮子，结束。</v>
      </c>
    </row>
    <row r="17167">
      <c r="A17167" s="4" t="s">
        <v>21621</v>
      </c>
      <c r="B17167" s="4" t="s">
        <v>21622</v>
      </c>
      <c r="C17167" s="5" t="str">
        <f>IFERROR(__xludf.DUMMYFUNCTION("GOOGLETRANSLATE(B17167,""en"",""zh-CN"")"),"显示了曲棍球队的静止图像，并在屏幕上显示了第七个图像。")</f>
        <v>显示了曲棍球队的静止图像，并在屏幕上显示了第七个图像。</v>
      </c>
    </row>
    <row r="17168">
      <c r="A17168" s="4" t="s">
        <v>21621</v>
      </c>
      <c r="B17168" s="4" t="s">
        <v>21623</v>
      </c>
      <c r="C17168" s="5" t="str">
        <f>IFERROR(__xludf.DUMMYFUNCTION("GOOGLETRANSLATE(B17168,""en"",""zh-CN"")"),"然后一个圆圈突出显示玩家，游戏开始。")</f>
        <v>然后一个圆圈突出显示玩家，游戏开始。</v>
      </c>
    </row>
    <row r="17169">
      <c r="A17169" s="4" t="s">
        <v>21621</v>
      </c>
      <c r="B17169" s="6" t="s">
        <v>21624</v>
      </c>
      <c r="C17169" s="5" t="str">
        <f>IFERROR(__xludf.DUMMYFUNCTION("GOOGLETRANSLATE(B17169,""en"",""zh-CN"")"),"随着比赛的继续进行，运动员在做一些壮观的事情时几次被描绘。")</f>
        <v>随着比赛的继续进行，运动员在做一些壮观的事情时几次被描绘。</v>
      </c>
    </row>
    <row r="17170">
      <c r="A17170" s="4" t="s">
        <v>21625</v>
      </c>
      <c r="B17170" s="4" t="s">
        <v>21626</v>
      </c>
      <c r="C17170" s="5" t="str">
        <f>IFERROR(__xludf.DUMMYFUNCTION("GOOGLETRANSLATE(B17170,""en"",""zh-CN"")"),"一个持有杆子的男子迅速朝终点线奔跑，并将其投掷得很远。")</f>
        <v>一个持有杆子的男子迅速朝终点线奔跑，并将其投掷得很远。</v>
      </c>
    </row>
    <row r="17171">
      <c r="A17171" s="4" t="s">
        <v>21625</v>
      </c>
      <c r="B17171" s="4" t="s">
        <v>21627</v>
      </c>
      <c r="C17171" s="5" t="str">
        <f>IFERROR(__xludf.DUMMYFUNCTION("GOOGLETRANSLATE(B17171,""en"",""zh-CN"")"),"运动员似乎为自己的投掷感到自豪，他的时刻再次以慢动作显示。")</f>
        <v>运动员似乎为自己的投掷感到自豪，他的时刻再次以慢动作显示。</v>
      </c>
    </row>
    <row r="17172">
      <c r="A17172" s="4" t="s">
        <v>21625</v>
      </c>
      <c r="B17172" s="4" t="s">
        <v>21628</v>
      </c>
      <c r="C17172" s="5" t="str">
        <f>IFERROR(__xludf.DUMMYFUNCTION("GOOGLETRANSLATE(B17172,""en"",""zh-CN"")"),"评论员继续讨论他的技术，同时重播投掷几次。")</f>
        <v>评论员继续讨论他的技术，同时重播投掷几次。</v>
      </c>
    </row>
    <row r="17173">
      <c r="A17173" s="4" t="s">
        <v>21629</v>
      </c>
      <c r="B17173" s="4" t="s">
        <v>21630</v>
      </c>
      <c r="C17173" s="5" t="str">
        <f>IFERROR(__xludf.DUMMYFUNCTION("GOOGLETRANSLATE(B17173,""en"",""zh-CN"")"),"一个人在烤箱上按下按钮。")</f>
        <v>一个人在烤箱上按下按钮。</v>
      </c>
    </row>
    <row r="17174">
      <c r="A17174" s="4" t="s">
        <v>21629</v>
      </c>
      <c r="B17174" s="4" t="s">
        <v>21631</v>
      </c>
      <c r="C17174" s="5" t="str">
        <f>IFERROR(__xludf.DUMMYFUNCTION("GOOGLETRANSLATE(B17174,""en"",""zh-CN"")"),"一个女孩一起倒入一个碗中。")</f>
        <v>一个女孩一起倒入一个碗中。</v>
      </c>
    </row>
    <row r="17175">
      <c r="A17175" s="4" t="s">
        <v>21629</v>
      </c>
      <c r="B17175" s="4" t="s">
        <v>21632</v>
      </c>
      <c r="C17175" s="5" t="str">
        <f>IFERROR(__xludf.DUMMYFUNCTION("GOOGLETRANSLATE(B17175,""en"",""zh-CN"")"),"她使用搅拌机混合成分，然后将更多的成分放入碗中。")</f>
        <v>她使用搅拌机混合成分，然后将更多的成分放入碗中。</v>
      </c>
    </row>
    <row r="17176">
      <c r="A17176" s="4" t="s">
        <v>21629</v>
      </c>
      <c r="B17176" s="4" t="s">
        <v>21633</v>
      </c>
      <c r="C17176" s="5" t="str">
        <f>IFERROR(__xludf.DUMMYFUNCTION("GOOGLETRANSLATE(B17176,""en"",""zh-CN"")"),"混合物再次，最终在碗中添加了另一份少量成分。")</f>
        <v>混合物再次，最终在碗中添加了另一份少量成分。</v>
      </c>
    </row>
    <row r="17177">
      <c r="A17177" s="4" t="s">
        <v>21629</v>
      </c>
      <c r="B17177" s="4" t="s">
        <v>21634</v>
      </c>
      <c r="C17177" s="5" t="str">
        <f>IFERROR(__xludf.DUMMYFUNCTION("GOOGLETRANSLATE(B17177,""en"",""zh-CN"")"),"她第三次混合，添加巧克力片，最后再混合一次。")</f>
        <v>她第三次混合，添加巧克力片，最后再混合一次。</v>
      </c>
    </row>
    <row r="17178">
      <c r="A17178" s="4" t="s">
        <v>21629</v>
      </c>
      <c r="B17178" s="4" t="s">
        <v>21635</v>
      </c>
      <c r="C17178" s="5" t="str">
        <f>IFERROR(__xludf.DUMMYFUNCTION("GOOGLETRANSLATE(B17178,""en"",""zh-CN"")"),"烤箱窥视，她准备了一个用饼干面团的锅。")</f>
        <v>烤箱窥视，她准备了一个用饼干面团的锅。</v>
      </c>
    </row>
    <row r="17179">
      <c r="A17179" s="4" t="s">
        <v>21629</v>
      </c>
      <c r="B17179" s="4" t="s">
        <v>21636</v>
      </c>
      <c r="C17179" s="5" t="str">
        <f>IFERROR(__xludf.DUMMYFUNCTION("GOOGLETRANSLATE(B17179,""en"",""zh-CN"")"),"她将面团放入烤箱中，并按下烘烤选择。")</f>
        <v>她将面团放入烤箱中，并按下烘烤选择。</v>
      </c>
    </row>
    <row r="17180">
      <c r="A17180" s="4" t="s">
        <v>21629</v>
      </c>
      <c r="B17180" s="4" t="s">
        <v>21637</v>
      </c>
      <c r="C17180" s="5" t="str">
        <f>IFERROR(__xludf.DUMMYFUNCTION("GOOGLETRANSLATE(B17180,""en"",""zh-CN"")"),"几分钟后，她取出锅并将饼干铺开。")</f>
        <v>几分钟后，她取出锅并将饼干铺开。</v>
      </c>
    </row>
    <row r="17181">
      <c r="A17181" s="4" t="s">
        <v>21638</v>
      </c>
      <c r="B17181" s="4" t="s">
        <v>21639</v>
      </c>
      <c r="C17181" s="5" t="str">
        <f>IFERROR(__xludf.DUMMYFUNCTION("GOOGLETRANSLATE(B17181,""en"",""zh-CN"")"),"看到柠檬水被倒入玻璃杯中，一个女人倒了水。")</f>
        <v>看到柠檬水被倒入玻璃杯中，一个女人倒了水。</v>
      </c>
    </row>
    <row r="17182">
      <c r="A17182" s="4" t="s">
        <v>21638</v>
      </c>
      <c r="B17182" s="4" t="s">
        <v>21640</v>
      </c>
      <c r="C17182" s="5" t="str">
        <f>IFERROR(__xludf.DUMMYFUNCTION("GOOGLETRANSLATE(B17182,""en"",""zh-CN"")"),"她将食材混合到容器中，然后倒更多水。")</f>
        <v>她将食材混合到容器中，然后倒更多水。</v>
      </c>
    </row>
    <row r="17183">
      <c r="A17183" s="4" t="s">
        <v>21638</v>
      </c>
      <c r="B17183" s="4" t="s">
        <v>21641</v>
      </c>
      <c r="C17183" s="5" t="str">
        <f>IFERROR(__xludf.DUMMYFUNCTION("GOOGLETRANSLATE(B17183,""en"",""zh-CN"")"),"她在她炫耀柠檬水。")</f>
        <v>她在她炫耀柠檬水。</v>
      </c>
    </row>
    <row r="17184">
      <c r="A17184" s="4" t="s">
        <v>21642</v>
      </c>
      <c r="B17184" s="6" t="s">
        <v>21643</v>
      </c>
      <c r="C17184" s="5" t="str">
        <f>IFERROR(__xludf.DUMMYFUNCTION("GOOGLETRANSLATE(B17184,""en"",""zh-CN"")"),"看到一大批人站在几名男子周围，拿着一条绳子准备打拔河。")</f>
        <v>看到一大批人站在几名男子周围，拿着一条绳子准备打拔河。</v>
      </c>
    </row>
    <row r="17185">
      <c r="A17185" s="4" t="s">
        <v>21642</v>
      </c>
      <c r="B17185" s="6" t="s">
        <v>21644</v>
      </c>
      <c r="C17185" s="5" t="str">
        <f>IFERROR(__xludf.DUMMYFUNCTION("GOOGLETRANSLATE(B17185,""en"",""zh-CN"")"),"看到另一组男子，拉起绳子，而人群站在周围，为他们加油打气。")</f>
        <v>看到另一组男子，拉起绳子，而人群站在周围，为他们加油打气。</v>
      </c>
    </row>
    <row r="17186">
      <c r="A17186" s="4" t="s">
        <v>21642</v>
      </c>
      <c r="B17186" s="4" t="s">
        <v>21645</v>
      </c>
      <c r="C17186" s="5" t="str">
        <f>IFERROR(__xludf.DUMMYFUNCTION("GOOGLETRANSLATE(B17186,""en"",""zh-CN"")"),"看到第三组男子与周围的人群一起玩拔河。")</f>
        <v>看到第三组男子与周围的人群一起玩拔河。</v>
      </c>
    </row>
    <row r="17187">
      <c r="A17187" s="4" t="s">
        <v>21642</v>
      </c>
      <c r="B17187" s="4" t="s">
        <v>21646</v>
      </c>
      <c r="C17187" s="5" t="str">
        <f>IFERROR(__xludf.DUMMYFUNCTION("GOOGLETRANSLATE(B17187,""en"",""zh-CN"")"),"一群人也在人群中表现出拔河。")</f>
        <v>一群人也在人群中表现出拔河。</v>
      </c>
    </row>
    <row r="17188">
      <c r="A17188" s="4" t="s">
        <v>21642</v>
      </c>
      <c r="B17188" s="4" t="s">
        <v>21647</v>
      </c>
      <c r="C17188" s="5" t="str">
        <f>IFERROR(__xludf.DUMMYFUNCTION("GOOGLETRANSLATE(B17188,""en"",""zh-CN"")"),"在一群人和狗的人群中，显示了第五组男子在拔河比赛。")</f>
        <v>在一群人和狗的人群中，显示了第五组男子在拔河比赛。</v>
      </c>
    </row>
    <row r="17189">
      <c r="A17189" s="4" t="s">
        <v>21642</v>
      </c>
      <c r="B17189" s="4" t="s">
        <v>21648</v>
      </c>
      <c r="C17189" s="5" t="str">
        <f>IFERROR(__xludf.DUMMYFUNCTION("GOOGLETRANSLATE(B17189,""en"",""zh-CN"")"),"一群人在观看人群中扮演拔河战。")</f>
        <v>一群人在观看人群中扮演拔河战。</v>
      </c>
    </row>
    <row r="17190">
      <c r="A17190" s="4" t="s">
        <v>21642</v>
      </c>
      <c r="B17190" s="4" t="s">
        <v>21649</v>
      </c>
      <c r="C17190" s="5" t="str">
        <f>IFERROR(__xludf.DUMMYFUNCTION("GOOGLETRANSLATE(B17190,""en"",""zh-CN"")"),"第七组的人正在人群中扮演战争。")</f>
        <v>第七组的人正在人群中扮演战争。</v>
      </c>
    </row>
    <row r="17191">
      <c r="A17191" s="4" t="s">
        <v>21642</v>
      </c>
      <c r="B17191" s="6" t="s">
        <v>21650</v>
      </c>
      <c r="C17191" s="5" t="str">
        <f>IFERROR(__xludf.DUMMYFUNCTION("GOOGLETRANSLATE(B17191,""en"",""zh-CN"")"),"如果战争，另一组男子正在打拖线，似乎在被人群欢呼时赢得了胜利。")</f>
        <v>如果战争，另一组男子正在打拖线，似乎在被人群欢呼时赢得了胜利。</v>
      </c>
    </row>
    <row r="17192">
      <c r="A17192" s="4" t="s">
        <v>21642</v>
      </c>
      <c r="B17192" s="4" t="s">
        <v>21651</v>
      </c>
      <c r="C17192" s="5" t="str">
        <f>IFERROR(__xludf.DUMMYFUNCTION("GOOGLETRANSLATE(B17192,""en"",""zh-CN"")"),"然而，一群人正在播放拔河时，一群人看着。")</f>
        <v>然而，一群人正在播放拔河时，一群人看着。</v>
      </c>
    </row>
    <row r="17193">
      <c r="A17193" s="4" t="s">
        <v>21642</v>
      </c>
      <c r="B17193" s="4" t="s">
        <v>21652</v>
      </c>
      <c r="C17193" s="5" t="str">
        <f>IFERROR(__xludf.DUMMYFUNCTION("GOOGLETRANSLATE(B17193,""en"",""zh-CN"")"),"如果人群观看时，如果战争在战斗中近距离，则显示另一组男子在玩拖船。")</f>
        <v>如果人群观看时，如果战争在战斗中近距离，则显示另一组男子在玩拖船。</v>
      </c>
    </row>
    <row r="17194">
      <c r="A17194" s="4" t="s">
        <v>21642</v>
      </c>
      <c r="B17194" s="4" t="s">
        <v>21653</v>
      </c>
      <c r="C17194" s="5" t="str">
        <f>IFERROR(__xludf.DUMMYFUNCTION("GOOGLETRANSLATE(B17194,""en"",""zh-CN"")"),"当人们坐在背景中时，另一组男人扮演。")</f>
        <v>当人们坐在背景中时，另一组男人扮演。</v>
      </c>
    </row>
    <row r="17195">
      <c r="A17195" s="4" t="s">
        <v>21642</v>
      </c>
      <c r="B17195" s="4" t="s">
        <v>21654</v>
      </c>
      <c r="C17195" s="5" t="str">
        <f>IFERROR(__xludf.DUMMYFUNCTION("GOOGLETRANSLATE(B17195,""en"",""zh-CN"")"),"当人们坐在他们周围时，看到一群不同的男人在玩耍。")</f>
        <v>当人们坐在他们周围时，看到一群不同的男人在玩耍。</v>
      </c>
    </row>
    <row r="17196">
      <c r="A17196" s="4" t="s">
        <v>21642</v>
      </c>
      <c r="B17196" s="4" t="s">
        <v>21655</v>
      </c>
      <c r="C17196" s="5" t="str">
        <f>IFERROR(__xludf.DUMMYFUNCTION("GOOGLETRANSLATE(B17196,""en"",""zh-CN"")"),"当人们坐在背景中时，一群不同的男人近距离出现。")</f>
        <v>当人们坐在背景中时，一群不同的男人近距离出现。</v>
      </c>
    </row>
    <row r="17197">
      <c r="A17197" s="4" t="s">
        <v>21642</v>
      </c>
      <c r="B17197" s="4" t="s">
        <v>21656</v>
      </c>
      <c r="C17197" s="5" t="str">
        <f>IFERROR(__xludf.DUMMYFUNCTION("GOOGLETRANSLATE(B17197,""en"",""zh-CN"")"),"一群男人与周围的人一起表现出紧密的战争。")</f>
        <v>一群男人与周围的人一起表现出紧密的战争。</v>
      </c>
    </row>
    <row r="17198">
      <c r="A17198" s="4" t="s">
        <v>21642</v>
      </c>
      <c r="B17198" s="4" t="s">
        <v>21657</v>
      </c>
      <c r="C17198" s="5" t="str">
        <f>IFERROR(__xludf.DUMMYFUNCTION("GOOGLETRANSLATE(B17198,""en"",""zh-CN"")"),"当人们站在人行道上观看时，看到另一组男人在玩耍。")</f>
        <v>当人们站在人行道上观看时，看到另一组男人在玩耍。</v>
      </c>
    </row>
    <row r="17199">
      <c r="A17199" s="4" t="s">
        <v>21642</v>
      </c>
      <c r="B17199" s="4" t="s">
        <v>21658</v>
      </c>
      <c r="C17199" s="5" t="str">
        <f>IFERROR(__xludf.DUMMYFUNCTION("GOOGLETRANSLATE(B17199,""en"",""zh-CN"")"),"一群黑色的男人在人们站在他们周围时扮演拔河战争。")</f>
        <v>一群黑色的男人在人们站在他们周围时扮演拔河战争。</v>
      </c>
    </row>
    <row r="17200">
      <c r="A17200" s="4" t="s">
        <v>21642</v>
      </c>
      <c r="B17200" s="4" t="s">
        <v>21659</v>
      </c>
      <c r="C17200" s="5" t="str">
        <f>IFERROR(__xludf.DUMMYFUNCTION("GOOGLETRANSLATE(B17200,""en"",""zh-CN"")"),"另一组男子在为他们欢呼的大批人群中扮演拔河战。")</f>
        <v>另一组男子在为他们欢呼的大批人群中扮演拔河战。</v>
      </c>
    </row>
    <row r="17201">
      <c r="A17201" s="4" t="s">
        <v>21642</v>
      </c>
      <c r="B17201" s="4" t="s">
        <v>21660</v>
      </c>
      <c r="C17201" s="5" t="str">
        <f>IFERROR(__xludf.DUMMYFUNCTION("GOOGLETRANSLATE(B17201,""en"",""zh-CN"")"),"一些男人在赢得比赛时摔倒了。")</f>
        <v>一些男人在赢得比赛时摔倒了。</v>
      </c>
    </row>
    <row r="17202">
      <c r="A17202" s="4" t="s">
        <v>21642</v>
      </c>
      <c r="B17202" s="4" t="s">
        <v>21661</v>
      </c>
      <c r="C17202" s="5" t="str">
        <f>IFERROR(__xludf.DUMMYFUNCTION("GOOGLETRANSLATE(B17202,""en"",""zh-CN"")"),"看到另一组人与一群人和一个年轻的女孩尖叫。")</f>
        <v>看到另一组人与一群人和一个年轻的女孩尖叫。</v>
      </c>
    </row>
    <row r="17203">
      <c r="A17203" s="4" t="s">
        <v>21662</v>
      </c>
      <c r="B17203" s="4" t="s">
        <v>21663</v>
      </c>
      <c r="C17203" s="5" t="str">
        <f>IFERROR(__xludf.DUMMYFUNCTION("GOOGLETRANSLATE(B17203,""en"",""zh-CN"")"),"有一个戴着黄色橡胶手套的家伙演示如何在车轮上修理轮胎。")</f>
        <v>有一个戴着黄色橡胶手套的家伙演示如何在车轮上修理轮胎。</v>
      </c>
    </row>
    <row r="17204">
      <c r="A17204" s="4" t="s">
        <v>21662</v>
      </c>
      <c r="B17204" s="4" t="s">
        <v>21664</v>
      </c>
      <c r="C17204" s="5" t="str">
        <f>IFERROR(__xludf.DUMMYFUNCTION("GOOGLETRANSLATE(B17204,""en"",""zh-CN"")"),"他正在拧下固定车轮板的螺钉。")</f>
        <v>他正在拧下固定车轮板的螺钉。</v>
      </c>
    </row>
    <row r="17205">
      <c r="A17205" s="4" t="s">
        <v>21662</v>
      </c>
      <c r="B17205" s="4" t="s">
        <v>21665</v>
      </c>
      <c r="C17205" s="5" t="str">
        <f>IFERROR(__xludf.DUMMYFUNCTION("GOOGLETRANSLATE(B17205,""en"",""zh-CN"")"),"他松开螺钉以卸下轮胎。")</f>
        <v>他松开螺钉以卸下轮胎。</v>
      </c>
    </row>
    <row r="17206">
      <c r="A17206" s="4" t="s">
        <v>21666</v>
      </c>
      <c r="B17206" s="4" t="s">
        <v>21667</v>
      </c>
      <c r="C17206" s="5" t="str">
        <f>IFERROR(__xludf.DUMMYFUNCTION("GOOGLETRANSLATE(B17206,""en"",""zh-CN"")"),"一群年轻人在一个房间里。")</f>
        <v>一群年轻人在一个房间里。</v>
      </c>
    </row>
    <row r="17207">
      <c r="A17207" s="4" t="s">
        <v>21666</v>
      </c>
      <c r="B17207" s="4" t="s">
        <v>21668</v>
      </c>
      <c r="C17207" s="5" t="str">
        <f>IFERROR(__xludf.DUMMYFUNCTION("GOOGLETRANSLATE(B17207,""en"",""zh-CN"")"),"他们一起参加了桌上足球比赛。")</f>
        <v>他们一起参加了桌上足球比赛。</v>
      </c>
    </row>
    <row r="17208">
      <c r="A17208" s="4" t="s">
        <v>21666</v>
      </c>
      <c r="B17208" s="4" t="s">
        <v>21669</v>
      </c>
      <c r="C17208" s="5" t="str">
        <f>IFERROR(__xludf.DUMMYFUNCTION("GOOGLETRANSLATE(B17208,""en"",""zh-CN"")"),"他们笑着来回踢人。")</f>
        <v>他们笑着来回踢人。</v>
      </c>
    </row>
    <row r="17209">
      <c r="A17209" s="4" t="s">
        <v>21670</v>
      </c>
      <c r="B17209" s="4" t="s">
        <v>21671</v>
      </c>
      <c r="C17209" s="5" t="str">
        <f>IFERROR(__xludf.DUMMYFUNCTION("GOOGLETRANSLATE(B17209,""en"",""zh-CN"")"),"显示了一个被雪覆盖的SREET的屋子和汽车。")</f>
        <v>显示了一个被雪覆盖的SREET的屋子和汽车。</v>
      </c>
    </row>
    <row r="17210">
      <c r="A17210" s="4" t="s">
        <v>21670</v>
      </c>
      <c r="B17210" s="4" t="s">
        <v>21672</v>
      </c>
      <c r="C17210" s="5" t="str">
        <f>IFERROR(__xludf.DUMMYFUNCTION("GOOGLETRANSLATE(B17210,""en"",""zh-CN"")"),"人正在从汽车上取出一层大雪。")</f>
        <v>人正在从汽车上取出一层大雪。</v>
      </c>
    </row>
    <row r="17211">
      <c r="A17211" s="4" t="s">
        <v>21673</v>
      </c>
      <c r="B17211" s="6" t="s">
        <v>21674</v>
      </c>
      <c r="C17211" s="5" t="str">
        <f>IFERROR(__xludf.DUMMYFUNCTION("GOOGLETRANSLATE(B17211,""en"",""zh-CN"")"),"看到一个女人坐在椅子上时在相机上说话，并导致听到坐在淋浴里抱着狗的声音。")</f>
        <v>看到一个女人坐在椅子上时在相机上说话，并导致听到坐在淋浴里抱着狗的声音。</v>
      </c>
    </row>
    <row r="17212">
      <c r="A17212" s="4" t="s">
        <v>21673</v>
      </c>
      <c r="B17212" s="4" t="s">
        <v>21675</v>
      </c>
      <c r="C17212" s="5" t="str">
        <f>IFERROR(__xludf.DUMMYFUNCTION("GOOGLETRANSLATE(B17212,""en"",""zh-CN"")"),"她用肥皂将狗磨碎，然后在与镜头说话时冲洗狗。")</f>
        <v>她用肥皂将狗磨碎，然后在与镜头说话时冲洗狗。</v>
      </c>
    </row>
    <row r="17213">
      <c r="A17213" s="4" t="s">
        <v>21673</v>
      </c>
      <c r="B17213" s="4" t="s">
        <v>21676</v>
      </c>
      <c r="C17213" s="5" t="str">
        <f>IFERROR(__xludf.DUMMYFUNCTION("GOOGLETRANSLATE(B17213,""en"",""zh-CN"")"),"然后看到她和外面的狗一起玩，间歇性地与镜头说话。")</f>
        <v>然后看到她和外面的狗一起玩，间歇性地与镜头说话。</v>
      </c>
    </row>
    <row r="17214">
      <c r="A17214" s="4" t="s">
        <v>21677</v>
      </c>
      <c r="B17214" s="4" t="s">
        <v>21678</v>
      </c>
      <c r="C17214" s="5" t="str">
        <f>IFERROR(__xludf.DUMMYFUNCTION("GOOGLETRANSLATE(B17214,""en"",""zh-CN"")"),"屏幕上出现了“康加艺人舞蹈公司弗莱明顿”一词。")</f>
        <v>屏幕上出现了“康加艺人舞蹈公司弗莱明顿”一词。</v>
      </c>
    </row>
    <row r="17215">
      <c r="A17215" s="4" t="s">
        <v>21677</v>
      </c>
      <c r="B17215" s="4" t="s">
        <v>21679</v>
      </c>
      <c r="C17215" s="5" t="str">
        <f>IFERROR(__xludf.DUMMYFUNCTION("GOOGLETRANSLATE(B17215,""en"",""zh-CN"")"),"四个年轻女孩在“美国舞蹈锦标赛”上演出。")</f>
        <v>四个年轻女孩在“美国舞蹈锦标赛”上演出。</v>
      </c>
    </row>
    <row r="17216">
      <c r="A17216" s="4" t="s">
        <v>21677</v>
      </c>
      <c r="B17216" s="4" t="s">
        <v>21680</v>
      </c>
      <c r="C17216" s="5" t="str">
        <f>IFERROR(__xludf.DUMMYFUNCTION("GOOGLETRANSLATE(B17216,""en"",""zh-CN"")"),"“女孩们作为例行活动的一部分跌落在地板上，并继续跳舞。")</f>
        <v>“女孩们作为例行活动的一部分跌落在地板上，并继续跳舞。</v>
      </c>
    </row>
    <row r="17217">
      <c r="A17217" s="4" t="s">
        <v>21681</v>
      </c>
      <c r="B17217" s="4" t="s">
        <v>21682</v>
      </c>
      <c r="C17217" s="5" t="str">
        <f>IFERROR(__xludf.DUMMYFUNCTION("GOOGLETRANSLATE(B17217,""en"",""zh-CN"")"),"一个人站在一个巨大的球周围。")</f>
        <v>一个人站在一个巨大的球周围。</v>
      </c>
    </row>
    <row r="17218">
      <c r="A17218" s="4" t="s">
        <v>21681</v>
      </c>
      <c r="B17218" s="4" t="s">
        <v>21683</v>
      </c>
      <c r="C17218" s="5" t="str">
        <f>IFERROR(__xludf.DUMMYFUNCTION("GOOGLETRANSLATE(B17218,""en"",""zh-CN"")"),"该男子跪下并抓住球。")</f>
        <v>该男子跪下并抓住球。</v>
      </c>
    </row>
    <row r="17219">
      <c r="A17219" s="4" t="s">
        <v>21681</v>
      </c>
      <c r="B17219" s="4" t="s">
        <v>21684</v>
      </c>
      <c r="C17219" s="5" t="str">
        <f>IFERROR(__xludf.DUMMYFUNCTION("GOOGLETRANSLATE(B17219,""en"",""zh-CN"")"),"该男子用球滑倒，将球滑到他面前。")</f>
        <v>该男子用球滑倒，将球滑到他面前。</v>
      </c>
    </row>
    <row r="17220">
      <c r="A17220" s="4" t="s">
        <v>21681</v>
      </c>
      <c r="B17220" s="4" t="s">
        <v>21685</v>
      </c>
      <c r="C17220" s="5" t="str">
        <f>IFERROR(__xludf.DUMMYFUNCTION("GOOGLETRANSLATE(B17220,""en"",""zh-CN"")"),"一个男人被球击中，跌倒在地板上。")</f>
        <v>一个男人被球击中，跌倒在地板上。</v>
      </c>
    </row>
    <row r="17221">
      <c r="A17221" s="4" t="s">
        <v>21681</v>
      </c>
      <c r="B17221" s="4" t="s">
        <v>21686</v>
      </c>
      <c r="C17221" s="5" t="str">
        <f>IFERROR(__xludf.DUMMYFUNCTION("GOOGLETRANSLATE(B17221,""en"",""zh-CN"")"),"该男子站起来开始走路。")</f>
        <v>该男子站起来开始走路。</v>
      </c>
    </row>
    <row r="17222">
      <c r="A17222" s="4" t="s">
        <v>21687</v>
      </c>
      <c r="B17222" s="6" t="s">
        <v>21688</v>
      </c>
      <c r="C17222" s="5" t="str">
        <f>IFERROR(__xludf.DUMMYFUNCTION("GOOGLETRANSLATE(B17222,""en"",""zh-CN"")"),"两个十几岁的男孩站在一所学校玩岩石，纸和剪刀的学校里，周围有一群正在观看的青少年。")</f>
        <v>两个十几岁的男孩站在一所学校玩岩石，纸和剪刀的学校里，周围有一群正在观看的青少年。</v>
      </c>
    </row>
    <row r="17223">
      <c r="A17223" s="4" t="s">
        <v>21687</v>
      </c>
      <c r="B17223" s="4" t="s">
        <v>21689</v>
      </c>
      <c r="C17223" s="5" t="str">
        <f>IFERROR(__xludf.DUMMYFUNCTION("GOOGLETRANSLATE(B17223,""en"",""zh-CN"")"),"一个女人走向他们看自己在做什么，然后走出圈子。")</f>
        <v>一个女人走向他们看自己在做什么，然后走出圈子。</v>
      </c>
    </row>
    <row r="17224">
      <c r="A17224" s="4" t="s">
        <v>21687</v>
      </c>
      <c r="B17224" s="6" t="s">
        <v>21690</v>
      </c>
      <c r="C17224" s="5" t="str">
        <f>IFERROR(__xludf.DUMMYFUNCTION("GOOGLETRANSLATE(B17224,""en"",""zh-CN"")"),"然后，一个男人走到男孩身上，将手放在每个男孩上并走下去，从而阻止了他们。")</f>
        <v>然后，一个男人走到男孩身上，将手放在每个男孩上并走下去，从而阻止了他们。</v>
      </c>
    </row>
    <row r="17225">
      <c r="A17225" s="4" t="s">
        <v>21691</v>
      </c>
      <c r="B17225" s="4" t="s">
        <v>21692</v>
      </c>
      <c r="C17225" s="5" t="str">
        <f>IFERROR(__xludf.DUMMYFUNCTION("GOOGLETRANSLATE(B17225,""en"",""zh-CN"")"),"在我们看到白色文字之前，出现了一个带有闪电的阴天。")</f>
        <v>在我们看到白色文字之前，出现了一个带有闪电的阴天。</v>
      </c>
    </row>
    <row r="17226">
      <c r="A17226" s="4" t="s">
        <v>21691</v>
      </c>
      <c r="B17226" s="4" t="s">
        <v>21693</v>
      </c>
      <c r="C17226" s="5" t="str">
        <f>IFERROR(__xludf.DUMMYFUNCTION("GOOGLETRANSLATE(B17226,""en"",""zh-CN"")"),"几个人被展示了，吸烟。")</f>
        <v>几个人被展示了，吸烟。</v>
      </c>
    </row>
    <row r="17227">
      <c r="A17227" s="4" t="s">
        <v>21691</v>
      </c>
      <c r="B17227" s="4" t="s">
        <v>21694</v>
      </c>
      <c r="C17227" s="5" t="str">
        <f>IFERROR(__xludf.DUMMYFUNCTION("GOOGLETRANSLATE(B17227,""en"",""zh-CN"")"),"有些人与相机交谈。")</f>
        <v>有些人与相机交谈。</v>
      </c>
    </row>
    <row r="17228">
      <c r="A17228" s="4" t="s">
        <v>21691</v>
      </c>
      <c r="B17228" s="4" t="s">
        <v>21695</v>
      </c>
      <c r="C17228" s="5" t="str">
        <f>IFERROR(__xludf.DUMMYFUNCTION("GOOGLETRANSLATE(B17228,""en"",""zh-CN"")"),"视频以South Beach Smoke的单词结尾。")</f>
        <v>视频以South Beach Smoke的单词结尾。</v>
      </c>
    </row>
    <row r="17229">
      <c r="A17229" s="4" t="s">
        <v>21696</v>
      </c>
      <c r="B17229" s="4" t="s">
        <v>21697</v>
      </c>
      <c r="C17229" s="5" t="str">
        <f>IFERROR(__xludf.DUMMYFUNCTION("GOOGLETRANSLATE(B17229,""en"",""zh-CN"")"),"一个女人在相机上说话，然后用呼啦圈切开一个小男孩。")</f>
        <v>一个女人在相机上说话，然后用呼啦圈切开一个小男孩。</v>
      </c>
    </row>
    <row r="17230">
      <c r="A17230" s="4" t="s">
        <v>21696</v>
      </c>
      <c r="B17230" s="4" t="s">
        <v>21698</v>
      </c>
      <c r="C17230" s="5" t="str">
        <f>IFERROR(__xludf.DUMMYFUNCTION("GOOGLETRANSLATE(B17230,""en"",""zh-CN"")"),"该名女子展示的彩色胶带用来包裹软管并自己创建管子。")</f>
        <v>该名女子展示的彩色胶带用来包裹软管并自己创建管子。</v>
      </c>
    </row>
    <row r="17231">
      <c r="A17231" s="4" t="s">
        <v>21696</v>
      </c>
      <c r="B17231" s="4" t="s">
        <v>21699</v>
      </c>
      <c r="C17231" s="5" t="str">
        <f>IFERROR(__xludf.DUMMYFUNCTION("GOOGLETRANSLATE(B17231,""en"",""zh-CN"")"),"她展示了最终产品，然后再次使用呼啦圈。")</f>
        <v>她展示了最终产品，然后再次使用呼啦圈。</v>
      </c>
    </row>
    <row r="17232">
      <c r="A17232" s="4" t="s">
        <v>21700</v>
      </c>
      <c r="B17232" s="4" t="s">
        <v>21701</v>
      </c>
      <c r="C17232" s="5" t="str">
        <f>IFERROR(__xludf.DUMMYFUNCTION("GOOGLETRANSLATE(B17232,""en"",""zh-CN"")"),"女人正在卧室里调整相机。")</f>
        <v>女人正在卧室里调整相机。</v>
      </c>
    </row>
    <row r="17233">
      <c r="A17233" s="4" t="s">
        <v>21700</v>
      </c>
      <c r="B17233" s="4" t="s">
        <v>21702</v>
      </c>
      <c r="C17233" s="5" t="str">
        <f>IFERROR(__xludf.DUMMYFUNCTION("GOOGLETRANSLATE(B17233,""en"",""zh-CN"")"),"她正在抽烟，然后将其刺入托盘。")</f>
        <v>她正在抽烟，然后将其刺入托盘。</v>
      </c>
    </row>
    <row r="17234">
      <c r="A17234" s="4" t="s">
        <v>21700</v>
      </c>
      <c r="B17234" s="4" t="s">
        <v>21703</v>
      </c>
      <c r="C17234" s="5" t="str">
        <f>IFERROR(__xludf.DUMMYFUNCTION("GOOGLETRANSLATE(B17234,""en"",""zh-CN"")"),"完成后，她将香烟磨成托盘。")</f>
        <v>完成后，她将香烟磨成托盘。</v>
      </c>
    </row>
    <row r="17235">
      <c r="A17235" s="4" t="s">
        <v>21704</v>
      </c>
      <c r="B17235" s="4" t="s">
        <v>21705</v>
      </c>
      <c r="C17235" s="5" t="str">
        <f>IFERROR(__xludf.DUMMYFUNCTION("GOOGLETRANSLATE(B17235,""en"",""zh-CN"")"),"一个关于如何熨烫衬衫的女性。")</f>
        <v>一个关于如何熨烫衬衫的女性。</v>
      </c>
    </row>
    <row r="17236">
      <c r="A17236" s="4" t="s">
        <v>21704</v>
      </c>
      <c r="B17236" s="4" t="s">
        <v>21706</v>
      </c>
      <c r="C17236" s="5" t="str">
        <f>IFERROR(__xludf.DUMMYFUNCTION("GOOGLETRANSLATE(B17236,""en"",""zh-CN"")"),"她正在讨论这件衬衫，并带出了启动喷雾剂。")</f>
        <v>她正在讨论这件衬衫，并带出了启动喷雾剂。</v>
      </c>
    </row>
    <row r="17237">
      <c r="A17237" s="4" t="s">
        <v>21704</v>
      </c>
      <c r="B17237" s="4" t="s">
        <v>21707</v>
      </c>
      <c r="C17237" s="5" t="str">
        <f>IFERROR(__xludf.DUMMYFUNCTION("GOOGLETRANSLATE(B17237,""en"",""zh-CN"")"),"她开始在衬衫上使用喷雾剂。")</f>
        <v>她开始在衬衫上使用喷雾剂。</v>
      </c>
    </row>
    <row r="17238">
      <c r="A17238" s="4" t="s">
        <v>21704</v>
      </c>
      <c r="B17238" s="4" t="s">
        <v>21708</v>
      </c>
      <c r="C17238" s="5" t="str">
        <f>IFERROR(__xludf.DUMMYFUNCTION("GOOGLETRANSLATE(B17238,""en"",""zh-CN"")"),"然后，她重新布置衬衫。")</f>
        <v>然后，她重新布置衬衫。</v>
      </c>
    </row>
    <row r="17239">
      <c r="A17239" s="4" t="s">
        <v>21704</v>
      </c>
      <c r="B17239" s="4" t="s">
        <v>21709</v>
      </c>
      <c r="C17239" s="5" t="str">
        <f>IFERROR(__xludf.DUMMYFUNCTION("GOOGLETRANSLATE(B17239,""en"",""zh-CN"")"),"接下来，她演示了如何熨烫衬衫。")</f>
        <v>接下来，她演示了如何熨烫衬衫。</v>
      </c>
    </row>
    <row r="17240">
      <c r="A17240" s="4" t="s">
        <v>21704</v>
      </c>
      <c r="B17240" s="4" t="s">
        <v>21710</v>
      </c>
      <c r="C17240" s="5" t="str">
        <f>IFERROR(__xludf.DUMMYFUNCTION("GOOGLETRANSLATE(B17240,""en"",""zh-CN"")"),"然后，她展示了如何使艰难的折磨。")</f>
        <v>然后，她展示了如何使艰难的折磨。</v>
      </c>
    </row>
    <row r="17241">
      <c r="A17241" s="4" t="s">
        <v>21704</v>
      </c>
      <c r="B17241" s="4" t="s">
        <v>21711</v>
      </c>
      <c r="C17241" s="5" t="str">
        <f>IFERROR(__xludf.DUMMYFUNCTION("GOOGLETRANSLATE(B17241,""en"",""zh-CN"")"),"接下来，她翻转衬衫，将袖子放下。")</f>
        <v>接下来，她翻转衬衫，将袖子放下。</v>
      </c>
    </row>
    <row r="17242">
      <c r="A17242" s="4" t="s">
        <v>21704</v>
      </c>
      <c r="B17242" s="4" t="s">
        <v>21712</v>
      </c>
      <c r="C17242" s="5" t="str">
        <f>IFERROR(__xludf.DUMMYFUNCTION("GOOGLETRANSLATE(B17242,""en"",""zh-CN"")"),"然后，她展示了如何熨烫袖子。")</f>
        <v>然后，她展示了如何熨烫袖子。</v>
      </c>
    </row>
    <row r="17243">
      <c r="A17243" s="4" t="s">
        <v>21704</v>
      </c>
      <c r="B17243" s="4" t="s">
        <v>21713</v>
      </c>
      <c r="C17243" s="5" t="str">
        <f>IFERROR(__xludf.DUMMYFUNCTION("GOOGLETRANSLATE(B17243,""en"",""zh-CN"")"),"然后，她将衬衫翻转过来。")</f>
        <v>然后，她将衬衫翻转过来。</v>
      </c>
    </row>
    <row r="17244">
      <c r="A17244" s="4" t="s">
        <v>21714</v>
      </c>
      <c r="B17244" s="4" t="s">
        <v>21715</v>
      </c>
      <c r="C17244" s="5" t="str">
        <f>IFERROR(__xludf.DUMMYFUNCTION("GOOGLETRANSLATE(B17244,""en"",""zh-CN"")"),"一个人骑着越自行车。")</f>
        <v>一个人骑着越自行车。</v>
      </c>
    </row>
    <row r="17245">
      <c r="A17245" s="4" t="s">
        <v>21714</v>
      </c>
      <c r="B17245" s="4" t="s">
        <v>21716</v>
      </c>
      <c r="C17245" s="5" t="str">
        <f>IFERROR(__xludf.DUMMYFUNCTION("GOOGLETRANSLATE(B17245,""en"",""zh-CN"")"),"他准备参加比赛。")</f>
        <v>他准备参加比赛。</v>
      </c>
    </row>
    <row r="17246">
      <c r="A17246" s="4" t="s">
        <v>21714</v>
      </c>
      <c r="B17246" s="4" t="s">
        <v>21717</v>
      </c>
      <c r="C17246" s="5" t="str">
        <f>IFERROR(__xludf.DUMMYFUNCTION("GOOGLETRANSLATE(B17246,""en"",""zh-CN"")"),"他开始骑越野车。")</f>
        <v>他开始骑越野车。</v>
      </c>
    </row>
    <row r="17247">
      <c r="A17247" s="4" t="s">
        <v>21714</v>
      </c>
      <c r="B17247" s="4" t="s">
        <v>21718</v>
      </c>
      <c r="C17247" s="5" t="str">
        <f>IFERROR(__xludf.DUMMYFUNCTION("GOOGLETRANSLATE(B17247,""en"",""zh-CN"")"),"文字出现在屏幕上时出现在屏幕上。")</f>
        <v>文字出现在屏幕上时出现在屏幕上。</v>
      </c>
    </row>
    <row r="17248">
      <c r="A17248" s="4" t="s">
        <v>21719</v>
      </c>
      <c r="B17248" s="4" t="s">
        <v>21720</v>
      </c>
      <c r="C17248" s="5" t="str">
        <f>IFERROR(__xludf.DUMMYFUNCTION("GOOGLETRANSLATE(B17248,""en"",""zh-CN"")"),"穿着白衬衫的男人站在健身房。")</f>
        <v>穿着白衬衫的男人站在健身房。</v>
      </c>
    </row>
    <row r="17249">
      <c r="A17249" s="4" t="s">
        <v>21719</v>
      </c>
      <c r="B17249" s="4" t="s">
        <v>21721</v>
      </c>
      <c r="C17249" s="5" t="str">
        <f>IFERROR(__xludf.DUMMYFUNCTION("GOOGLETRANSLATE(B17249,""en"",""zh-CN"")"),"他坐在锻炼机上并开始锻炼。")</f>
        <v>他坐在锻炼机上并开始锻炼。</v>
      </c>
    </row>
    <row r="17250">
      <c r="A17250" s="4" t="s">
        <v>21719</v>
      </c>
      <c r="B17250" s="4" t="s">
        <v>21722</v>
      </c>
      <c r="C17250" s="5" t="str">
        <f>IFERROR(__xludf.DUMMYFUNCTION("GOOGLETRANSLATE(B17250,""en"",""zh-CN"")"),"他完成并放下了酒吧。")</f>
        <v>他完成并放下了酒吧。</v>
      </c>
    </row>
    <row r="17251">
      <c r="A17251" s="4" t="s">
        <v>21723</v>
      </c>
      <c r="B17251" s="4" t="s">
        <v>21724</v>
      </c>
      <c r="C17251" s="5" t="str">
        <f>IFERROR(__xludf.DUMMYFUNCTION("GOOGLETRANSLATE(B17251,""en"",""zh-CN"")"),"一位女士跳舞并在室内讲话。")</f>
        <v>一位女士跳舞并在室内讲话。</v>
      </c>
    </row>
    <row r="17252">
      <c r="A17252" s="4" t="s">
        <v>21723</v>
      </c>
      <c r="B17252" s="4" t="s">
        <v>21725</v>
      </c>
      <c r="C17252" s="5" t="str">
        <f>IFERROR(__xludf.DUMMYFUNCTION("GOOGLETRANSLATE(B17252,""en"",""zh-CN"")"),"这位女士将所有成分和烘烤颜色的成分混合在一起，为蛋糕。")</f>
        <v>这位女士将所有成分和烘烤颜色的成分混合在一起，为蛋糕。</v>
      </c>
    </row>
    <row r="17253">
      <c r="A17253" s="4" t="s">
        <v>21723</v>
      </c>
      <c r="B17253" s="4" t="s">
        <v>21726</v>
      </c>
      <c r="C17253" s="5" t="str">
        <f>IFERROR(__xludf.DUMMYFUNCTION("GOOGLETRANSLATE(B17253,""en"",""zh-CN"")"),"这位女士在分层蛋糕上添加了很多色彩鲜艳的点缀。")</f>
        <v>这位女士在分层蛋糕上添加了很多色彩鲜艳的点缀。</v>
      </c>
    </row>
    <row r="17254">
      <c r="A17254" s="4" t="s">
        <v>21723</v>
      </c>
      <c r="B17254" s="4" t="s">
        <v>21727</v>
      </c>
      <c r="C17254" s="5" t="str">
        <f>IFERROR(__xludf.DUMMYFUNCTION("GOOGLETRANSLATE(B17254,""en"",""zh-CN"")"),"那位女士走到外面的兔子笼子里。")</f>
        <v>那位女士走到外面的兔子笼子里。</v>
      </c>
    </row>
    <row r="17255">
      <c r="A17255" s="4" t="s">
        <v>21728</v>
      </c>
      <c r="B17255" s="4" t="s">
        <v>21729</v>
      </c>
      <c r="C17255" s="5" t="str">
        <f>IFERROR(__xludf.DUMMYFUNCTION("GOOGLETRANSLATE(B17255,""en"",""zh-CN"")"),"两个小男孩站在住宅车道上。")</f>
        <v>两个小男孩站在住宅车道上。</v>
      </c>
    </row>
    <row r="17256">
      <c r="A17256" s="4" t="s">
        <v>21728</v>
      </c>
      <c r="B17256" s="4" t="s">
        <v>21730</v>
      </c>
      <c r="C17256" s="5" t="str">
        <f>IFERROR(__xludf.DUMMYFUNCTION("GOOGLETRANSLATE(B17256,""en"",""zh-CN"")"),"这个小男孩在车道上两次踢跳。")</f>
        <v>这个小男孩在车道上两次踢跳。</v>
      </c>
    </row>
    <row r="17257">
      <c r="A17257" s="4" t="s">
        <v>21728</v>
      </c>
      <c r="B17257" s="4" t="s">
        <v>21731</v>
      </c>
      <c r="C17257" s="5" t="str">
        <f>IFERROR(__xludf.DUMMYFUNCTION("GOOGLETRANSLATE(B17257,""en"",""zh-CN"")"),"一个小女孩也玩游戏，然后跟随其他孩子远离车道。")</f>
        <v>一个小女孩也玩游戏，然后跟随其他孩子远离车道。</v>
      </c>
    </row>
    <row r="17258">
      <c r="A17258" s="4" t="s">
        <v>21732</v>
      </c>
      <c r="B17258" s="4" t="s">
        <v>21733</v>
      </c>
      <c r="C17258" s="5" t="str">
        <f>IFERROR(__xludf.DUMMYFUNCTION("GOOGLETRANSLATE(B17258,""en"",""zh-CN"")"),"场上的女人站在网后面。")</f>
        <v>场上的女人站在网后面。</v>
      </c>
    </row>
    <row r="17259">
      <c r="A17259" s="4" t="s">
        <v>21732</v>
      </c>
      <c r="B17259" s="4" t="s">
        <v>21734</v>
      </c>
      <c r="C17259" s="5" t="str">
        <f>IFERROR(__xludf.DUMMYFUNCTION("GOOGLETRANSLATE(B17259,""en"",""zh-CN"")"),"女人四处旋转，将重金属扔向田野。")</f>
        <v>女人四处旋转，将重金属扔向田野。</v>
      </c>
    </row>
    <row r="17260">
      <c r="A17260" s="4" t="s">
        <v>21732</v>
      </c>
      <c r="B17260" s="4" t="s">
        <v>21735</v>
      </c>
      <c r="C17260" s="5" t="str">
        <f>IFERROR(__xludf.DUMMYFUNCTION("GOOGLETRANSLATE(B17260,""en"",""zh-CN"")"),"该领域有人，一个人正在奔跑。")</f>
        <v>该领域有人，一个人正在奔跑。</v>
      </c>
    </row>
    <row r="17261">
      <c r="A17261" s="4" t="s">
        <v>21732</v>
      </c>
      <c r="B17261" s="4" t="s">
        <v>21736</v>
      </c>
      <c r="C17261" s="5" t="str">
        <f>IFERROR(__xludf.DUMMYFUNCTION("GOOGLETRANSLATE(B17261,""en"",""zh-CN"")"),"粉红色上衣的运动员正在向前走。")</f>
        <v>粉红色上衣的运动员正在向前走。</v>
      </c>
    </row>
    <row r="17262">
      <c r="A17262" s="4" t="s">
        <v>21732</v>
      </c>
      <c r="B17262" s="4" t="s">
        <v>21737</v>
      </c>
      <c r="C17262" s="5" t="str">
        <f>IFERROR(__xludf.DUMMYFUNCTION("GOOGLETRANSLATE(B17262,""en"",""zh-CN"")"),"她的衬衫上有Barrios标签的运动员站在网后面。")</f>
        <v>她的衬衫上有Barrios标签的运动员站在网后面。</v>
      </c>
    </row>
    <row r="17263">
      <c r="A17263" s="4" t="s">
        <v>21732</v>
      </c>
      <c r="B17263" s="4" t="s">
        <v>21738</v>
      </c>
      <c r="C17263" s="5" t="str">
        <f>IFERROR(__xludf.DUMMYFUNCTION("GOOGLETRANSLATE(B17263,""en"",""zh-CN"")"),"那个女人举起了圆形金属，她开始四处旋转并扔掉金属。")</f>
        <v>那个女人举起了圆形金属，她开始四处旋转并扔掉金属。</v>
      </c>
    </row>
    <row r="17264">
      <c r="A17264" s="4" t="s">
        <v>21732</v>
      </c>
      <c r="B17264" s="4" t="s">
        <v>21739</v>
      </c>
      <c r="C17264" s="5" t="str">
        <f>IFERROR(__xludf.DUMMYFUNCTION("GOOGLETRANSLATE(B17264,""en"",""zh-CN"")"),"金属击中了场。")</f>
        <v>金属击中了场。</v>
      </c>
    </row>
    <row r="17265">
      <c r="A17265" s="4" t="s">
        <v>21732</v>
      </c>
      <c r="B17265" s="4" t="s">
        <v>21740</v>
      </c>
      <c r="C17265" s="5" t="str">
        <f>IFERROR(__xludf.DUMMYFUNCTION("GOOGLETRANSLATE(B17265,""en"",""zh-CN"")"),"一个男人正朝着地面上的白色圆圈奔跑。")</f>
        <v>一个男人正朝着地面上的白色圆圈奔跑。</v>
      </c>
    </row>
    <row r="17266">
      <c r="A17266" s="4" t="s">
        <v>21732</v>
      </c>
      <c r="B17266" s="4" t="s">
        <v>21741</v>
      </c>
      <c r="C17266" s="5" t="str">
        <f>IFERROR(__xludf.DUMMYFUNCTION("GOOGLETRANSLATE(B17266,""en"",""zh-CN"")"),"一个女人在网后伸展。")</f>
        <v>一个女人在网后伸展。</v>
      </c>
    </row>
    <row r="17267">
      <c r="A17267" s="4" t="s">
        <v>21732</v>
      </c>
      <c r="B17267" s="4" t="s">
        <v>21742</v>
      </c>
      <c r="C17267" s="5" t="str">
        <f>IFERROR(__xludf.DUMMYFUNCTION("GOOGLETRANSLATE(B17267,""en"",""zh-CN"")"),"她四处旋转，向田野扔东西。")</f>
        <v>她四处旋转，向田野扔东西。</v>
      </c>
    </row>
    <row r="17268">
      <c r="A17268" s="4" t="s">
        <v>21732</v>
      </c>
      <c r="B17268" s="4" t="s">
        <v>21743</v>
      </c>
      <c r="C17268" s="5" t="str">
        <f>IFERROR(__xludf.DUMMYFUNCTION("GOOGLETRANSLATE(B17268,""en"",""zh-CN"")"),"两个人互相奔跑。")</f>
        <v>两个人互相奔跑。</v>
      </c>
    </row>
    <row r="17269">
      <c r="A17269" s="4" t="s">
        <v>21732</v>
      </c>
      <c r="B17269" s="4" t="s">
        <v>21744</v>
      </c>
      <c r="C17269" s="5" t="str">
        <f>IFERROR(__xludf.DUMMYFUNCTION("GOOGLETRANSLATE(B17269,""en"",""zh-CN"")"),"那个女人拥抱了另一个女人。")</f>
        <v>那个女人拥抱了另一个女人。</v>
      </c>
    </row>
    <row r="17270">
      <c r="A17270" s="4" t="s">
        <v>21732</v>
      </c>
      <c r="B17270" s="4" t="s">
        <v>21745</v>
      </c>
      <c r="C17270" s="5" t="str">
        <f>IFERROR(__xludf.DUMMYFUNCTION("GOOGLETRANSLATE(B17270,""en"",""zh-CN"")"),"绿色田地在该场的侧面有听众。")</f>
        <v>绿色田地在该场的侧面有听众。</v>
      </c>
    </row>
    <row r="17271">
      <c r="A17271" s="4" t="s">
        <v>21746</v>
      </c>
      <c r="B17271" s="4" t="s">
        <v>21747</v>
      </c>
      <c r="C17271" s="5" t="str">
        <f>IFERROR(__xludf.DUMMYFUNCTION("GOOGLETRANSLATE(B17271,""en"",""zh-CN"")"),"一个男人在屋顶上，将一些金属碎片穿过木瓦。")</f>
        <v>一个男人在屋顶上，将一些金属碎片穿过木瓦。</v>
      </c>
    </row>
    <row r="17272">
      <c r="A17272" s="4" t="s">
        <v>21746</v>
      </c>
      <c r="B17272" s="4" t="s">
        <v>21748</v>
      </c>
      <c r="C17272" s="5" t="str">
        <f>IFERROR(__xludf.DUMMYFUNCTION("GOOGLETRANSLATE(B17272,""en"",""zh-CN"")"),"他将小金属碎片放在金属上以保持它们的固定。")</f>
        <v>他将小金属碎片放在金属上以保持它们的固定。</v>
      </c>
    </row>
    <row r="17273">
      <c r="A17273" s="4" t="s">
        <v>21746</v>
      </c>
      <c r="B17273" s="4" t="s">
        <v>21749</v>
      </c>
      <c r="C17273" s="5" t="str">
        <f>IFERROR(__xludf.DUMMYFUNCTION("GOOGLETRANSLATE(B17273,""en"",""zh-CN"")"),"他开玩笑地谈论这件事。")</f>
        <v>他开玩笑地谈论这件事。</v>
      </c>
    </row>
    <row r="17274">
      <c r="A17274" s="4" t="s">
        <v>21746</v>
      </c>
      <c r="B17274" s="4" t="s">
        <v>21750</v>
      </c>
      <c r="C17274" s="5" t="str">
        <f>IFERROR(__xludf.DUMMYFUNCTION("GOOGLETRANSLATE(B17274,""en"",""zh-CN"")"),"然后，他试图对其进行更多调整。")</f>
        <v>然后，他试图对其进行更多调整。</v>
      </c>
    </row>
    <row r="17275">
      <c r="A17275" s="4" t="s">
        <v>21751</v>
      </c>
      <c r="B17275" s="4" t="s">
        <v>1251</v>
      </c>
      <c r="C17275" s="5" t="str">
        <f>IFERROR(__xludf.DUMMYFUNCTION("GOOGLETRANSLATE(B17275,""en"",""zh-CN"")"),"显示了剪辑的信用。")</f>
        <v>显示了剪辑的信用。</v>
      </c>
    </row>
    <row r="17276">
      <c r="A17276" s="4" t="s">
        <v>21751</v>
      </c>
      <c r="B17276" s="4" t="s">
        <v>21752</v>
      </c>
      <c r="C17276" s="5" t="str">
        <f>IFERROR(__xludf.DUMMYFUNCTION("GOOGLETRANSLATE(B17276,""en"",""zh-CN"")"),"展示了头发产品和发型工具。")</f>
        <v>展示了头发产品和发型工具。</v>
      </c>
    </row>
    <row r="17277">
      <c r="A17277" s="4" t="s">
        <v>21751</v>
      </c>
      <c r="B17277" s="4" t="s">
        <v>21753</v>
      </c>
      <c r="C17277" s="5" t="str">
        <f>IFERROR(__xludf.DUMMYFUNCTION("GOOGLETRANSLATE(B17277,""en"",""zh-CN"")"),"男性设计师是用产品，快船和吹风机的客户的头发。")</f>
        <v>男性设计师是用产品，快船和吹风机的客户的头发。</v>
      </c>
    </row>
    <row r="17278">
      <c r="A17278" s="4" t="s">
        <v>21751</v>
      </c>
      <c r="B17278" s="4" t="s">
        <v>573</v>
      </c>
      <c r="C17278" s="5" t="str">
        <f>IFERROR(__xludf.DUMMYFUNCTION("GOOGLETRANSLATE(B17278,""en"",""zh-CN"")"),"显示了视频的积分。")</f>
        <v>显示了视频的积分。</v>
      </c>
    </row>
    <row r="17279">
      <c r="A17279" s="4" t="s">
        <v>21754</v>
      </c>
      <c r="B17279" s="6" t="s">
        <v>21755</v>
      </c>
      <c r="C17279" s="5" t="str">
        <f>IFERROR(__xludf.DUMMYFUNCTION("GOOGLETRANSLATE(B17279,""en"",""zh-CN"")"),"在一个泳池的地方，人们都聚集在一些台球桌旁，等待玩家轮流。")</f>
        <v>在一个泳池的地方，人们都聚集在一些台球桌旁，等待玩家轮流。</v>
      </c>
    </row>
    <row r="17280">
      <c r="A17280" s="4" t="s">
        <v>21754</v>
      </c>
      <c r="B17280" s="4" t="s">
        <v>21756</v>
      </c>
      <c r="C17280" s="5" t="str">
        <f>IFERROR(__xludf.DUMMYFUNCTION("GOOGLETRANSLATE(B17280,""en"",""zh-CN"")"),"一名雄性转弯，然后另一个红色的人击中了他的击中，但机器人使它进入。")</f>
        <v>一名雄性转弯，然后另一个红色的人击中了他的击中，但机器人使它进入。</v>
      </c>
    </row>
    <row r="17281">
      <c r="A17281" s="4" t="s">
        <v>21754</v>
      </c>
      <c r="B17281" s="4" t="s">
        <v>21757</v>
      </c>
      <c r="C17281" s="5" t="str">
        <f>IFERROR(__xludf.DUMMYFUNCTION("GOOGLETRANSLATE(B17281,""en"",""zh-CN"")"),"没有人轮到他们，所以他们继续加入下一个球员。")</f>
        <v>没有人轮到他们，所以他们继续加入下一个球员。</v>
      </c>
    </row>
    <row r="17282">
      <c r="A17282" s="4" t="s">
        <v>21754</v>
      </c>
      <c r="B17282" s="4" t="s">
        <v>21758</v>
      </c>
      <c r="C17282" s="5" t="str">
        <f>IFERROR(__xludf.DUMMYFUNCTION("GOOGLETRANSLATE(B17282,""en"",""zh-CN"")"),"游戏继续等待某人进行一些镜头。")</f>
        <v>游戏继续等待某人进行一些镜头。</v>
      </c>
    </row>
    <row r="17283">
      <c r="A17283" s="4" t="s">
        <v>21759</v>
      </c>
      <c r="B17283" s="4" t="s">
        <v>21760</v>
      </c>
      <c r="C17283" s="5" t="str">
        <f>IFERROR(__xludf.DUMMYFUNCTION("GOOGLETRANSLATE(B17283,""en"",""zh-CN"")"),"田径运动员准备并在起跑线上伸展。")</f>
        <v>田径运动员准备并在起跑线上伸展。</v>
      </c>
    </row>
    <row r="17284">
      <c r="A17284" s="4" t="s">
        <v>21759</v>
      </c>
      <c r="B17284" s="4" t="s">
        <v>21761</v>
      </c>
      <c r="C17284" s="5" t="str">
        <f>IFERROR(__xludf.DUMMYFUNCTION("GOOGLETRANSLATE(B17284,""en"",""zh-CN"")"),"一名田径运动员沿着轨道奔跑，然后跳到垫子上。")</f>
        <v>一名田径运动员沿着轨道奔跑，然后跳到垫子上。</v>
      </c>
    </row>
    <row r="17285">
      <c r="A17285" s="4" t="s">
        <v>21759</v>
      </c>
      <c r="B17285" s="6" t="s">
        <v>21762</v>
      </c>
      <c r="C17285" s="5" t="str">
        <f>IFERROR(__xludf.DUMMYFUNCTION("GOOGLETRANSLATE(B17285,""en"",""zh-CN"")"),"运动员试图跳过酒吧，但没有成功地将其撞倒在垫子上。")</f>
        <v>运动员试图跳过酒吧，但没有成功地将其撞倒在垫子上。</v>
      </c>
    </row>
    <row r="17286">
      <c r="A17286" s="4" t="s">
        <v>21763</v>
      </c>
      <c r="B17286" s="4" t="s">
        <v>21764</v>
      </c>
      <c r="C17286" s="5" t="str">
        <f>IFERROR(__xludf.DUMMYFUNCTION("GOOGLETRANSLATE(B17286,""en"",""zh-CN"")"),"一个女孩在体育馆的蹦床上翻转。")</f>
        <v>一个女孩在体育馆的蹦床上翻转。</v>
      </c>
    </row>
    <row r="17287">
      <c r="A17287" s="4" t="s">
        <v>21763</v>
      </c>
      <c r="B17287" s="4" t="s">
        <v>21765</v>
      </c>
      <c r="C17287" s="5" t="str">
        <f>IFERROR(__xludf.DUMMYFUNCTION("GOOGLETRANSLATE(B17287,""en"",""zh-CN"")"),"然后，我们看到一个孩子向后潜水。")</f>
        <v>然后，我们看到一个孩子向后潜水。</v>
      </c>
    </row>
    <row r="17288">
      <c r="A17288" s="4" t="s">
        <v>21763</v>
      </c>
      <c r="B17288" s="4" t="s">
        <v>21766</v>
      </c>
      <c r="C17288" s="5" t="str">
        <f>IFERROR(__xludf.DUMMYFUNCTION("GOOGLETRANSLATE(B17288,""en"",""zh-CN"")"),"我们看到蹦床上的孩子。")</f>
        <v>我们看到蹦床上的孩子。</v>
      </c>
    </row>
    <row r="17289">
      <c r="A17289" s="4" t="s">
        <v>21763</v>
      </c>
      <c r="B17289" s="4" t="s">
        <v>21767</v>
      </c>
      <c r="C17289" s="5" t="str">
        <f>IFERROR(__xludf.DUMMYFUNCTION("GOOGLETRANSLATE(B17289,""en"",""zh-CN"")"),"然后，我们看到孩子们再次潜水。")</f>
        <v>然后，我们看到孩子们再次潜水。</v>
      </c>
    </row>
    <row r="17290">
      <c r="A17290" s="4" t="s">
        <v>21763</v>
      </c>
      <c r="B17290" s="4" t="s">
        <v>21768</v>
      </c>
      <c r="C17290" s="5" t="str">
        <f>IFERROR(__xludf.DUMMYFUNCTION("GOOGLETRANSLATE(B17290,""en"",""zh-CN"")"),"我们回到蹦床上练习的孩子，然后再次潜水。")</f>
        <v>我们回到蹦床上练习的孩子，然后再次潜水。</v>
      </c>
    </row>
    <row r="17291">
      <c r="A17291" s="4" t="s">
        <v>21769</v>
      </c>
      <c r="B17291" s="4" t="s">
        <v>21770</v>
      </c>
      <c r="C17291" s="5" t="str">
        <f>IFERROR(__xludf.DUMMYFUNCTION("GOOGLETRANSLATE(B17291,""en"",""zh-CN"")"),"看到一个女人在大量观众面前的舞台上表演舞蹈。")</f>
        <v>看到一个女人在大量观众面前的舞台上表演舞蹈。</v>
      </c>
    </row>
    <row r="17292">
      <c r="A17292" s="4" t="s">
        <v>21769</v>
      </c>
      <c r="B17292" s="4" t="s">
        <v>21771</v>
      </c>
      <c r="C17292" s="5" t="str">
        <f>IFERROR(__xludf.DUMMYFUNCTION("GOOGLETRANSLATE(B17292,""en"",""zh-CN"")"),"该名女子继续在舞台上跳舞，并以弓并走下舞台结束。")</f>
        <v>该名女子继续在舞台上跳舞，并以弓并走下舞台结束。</v>
      </c>
    </row>
    <row r="17293">
      <c r="A17293" s="4" t="s">
        <v>21772</v>
      </c>
      <c r="B17293" s="4" t="s">
        <v>21773</v>
      </c>
      <c r="C17293" s="5" t="str">
        <f>IFERROR(__xludf.DUMMYFUNCTION("GOOGLETRANSLATE(B17293,""en"",""zh-CN"")"),"一个男人站在酒吧。")</f>
        <v>一个男人站在酒吧。</v>
      </c>
    </row>
    <row r="17294">
      <c r="A17294" s="4" t="s">
        <v>21772</v>
      </c>
      <c r="B17294" s="4" t="s">
        <v>21774</v>
      </c>
      <c r="C17294" s="5" t="str">
        <f>IFERROR(__xludf.DUMMYFUNCTION("GOOGLETRANSLATE(B17294,""en"",""zh-CN"")"),"我们看到有关如何饮料的标题屏幕。")</f>
        <v>我们看到有关如何饮料的标题屏幕。</v>
      </c>
    </row>
    <row r="17295">
      <c r="A17295" s="4" t="s">
        <v>21772</v>
      </c>
      <c r="B17295" s="4" t="s">
        <v>21775</v>
      </c>
      <c r="C17295" s="5" t="str">
        <f>IFERROR(__xludf.DUMMYFUNCTION("GOOGLETRANSLATE(B17295,""en"",""zh-CN"")"),"该男子将三杯酒和一些石灰苏打倒在玻璃杯中。")</f>
        <v>该男子将三杯酒和一些石灰苏打倒在玻璃杯中。</v>
      </c>
    </row>
    <row r="17296">
      <c r="A17296" s="4" t="s">
        <v>21772</v>
      </c>
      <c r="B17296" s="4" t="s">
        <v>21776</v>
      </c>
      <c r="C17296" s="5" t="str">
        <f>IFERROR(__xludf.DUMMYFUNCTION("GOOGLETRANSLATE(B17296,""en"",""zh-CN"")"),"他用金属工具搅拌玻璃。")</f>
        <v>他用金属工具搅拌玻璃。</v>
      </c>
    </row>
    <row r="17297">
      <c r="A17297" s="4" t="s">
        <v>21772</v>
      </c>
      <c r="B17297" s="4" t="s">
        <v>21777</v>
      </c>
      <c r="C17297" s="5" t="str">
        <f>IFERROR(__xludf.DUMMYFUNCTION("GOOGLETRANSLATE(B17297,""en"",""zh-CN"")"),"然后那个男人从玻璃杯里喝酒。")</f>
        <v>然后那个男人从玻璃杯里喝酒。</v>
      </c>
    </row>
    <row r="17298">
      <c r="A17298" s="4" t="s">
        <v>21772</v>
      </c>
      <c r="B17298" s="4" t="s">
        <v>21778</v>
      </c>
      <c r="C17298" s="5" t="str">
        <f>IFERROR(__xludf.DUMMYFUNCTION("GOOGLETRANSLATE(B17298,""en"",""zh-CN"")"),"那个人指着相机，我们看到了末端序列。")</f>
        <v>那个人指着相机，我们看到了末端序列。</v>
      </c>
    </row>
    <row r="17299">
      <c r="A17299" s="4" t="s">
        <v>21779</v>
      </c>
      <c r="B17299" s="4" t="s">
        <v>21780</v>
      </c>
      <c r="C17299" s="5" t="str">
        <f>IFERROR(__xludf.DUMMYFUNCTION("GOOGLETRANSLATE(B17299,""en"",""zh-CN"")"),"一对舞者开始在拉丁舞蹈杯中预言。")</f>
        <v>一对舞者开始在拉丁舞蹈杯中预言。</v>
      </c>
    </row>
    <row r="17300">
      <c r="A17300" s="4" t="s">
        <v>21779</v>
      </c>
      <c r="B17300" s="4" t="s">
        <v>21781</v>
      </c>
      <c r="C17300" s="5" t="str">
        <f>IFERROR(__xludf.DUMMYFUNCTION("GOOGLETRANSLATE(B17300,""en"",""zh-CN"")"),"那个女人露出乳沟。")</f>
        <v>那个女人露出乳沟。</v>
      </c>
    </row>
    <row r="17301">
      <c r="A17301" s="4" t="s">
        <v>21779</v>
      </c>
      <c r="B17301" s="4" t="s">
        <v>21782</v>
      </c>
      <c r="C17301" s="5" t="str">
        <f>IFERROR(__xludf.DUMMYFUNCTION("GOOGLETRANSLATE(B17301,""en"",""zh-CN"")"),"舞者开始互相旋转。")</f>
        <v>舞者开始互相旋转。</v>
      </c>
    </row>
    <row r="17302">
      <c r="A17302" s="4" t="s">
        <v>21779</v>
      </c>
      <c r="B17302" s="4" t="s">
        <v>21783</v>
      </c>
      <c r="C17302" s="5" t="str">
        <f>IFERROR(__xludf.DUMMYFUNCTION("GOOGLETRANSLATE(B17302,""en"",""zh-CN"")"),"舞者开始分开预言。")</f>
        <v>舞者开始分开预言。</v>
      </c>
    </row>
    <row r="17303">
      <c r="A17303" s="4" t="s">
        <v>21779</v>
      </c>
      <c r="B17303" s="4" t="s">
        <v>21784</v>
      </c>
      <c r="C17303" s="5" t="str">
        <f>IFERROR(__xludf.DUMMYFUNCTION("GOOGLETRANSLATE(B17303,""en"",""zh-CN"")"),"舞者开始再次一起移动以进行大量完成。")</f>
        <v>舞者开始再次一起移动以进行大量完成。</v>
      </c>
    </row>
    <row r="17304">
      <c r="A17304" s="4" t="s">
        <v>21785</v>
      </c>
      <c r="B17304" s="4" t="s">
        <v>21786</v>
      </c>
      <c r="C17304" s="5" t="str">
        <f>IFERROR(__xludf.DUMMYFUNCTION("GOOGLETRANSLATE(B17304,""en"",""zh-CN"")"),"看到一个男人在外面对摄像机说话，而各种物体和工具则坐在他周围。")</f>
        <v>看到一个男人在外面对摄像机说话，而各种物体和工具则坐在他周围。</v>
      </c>
    </row>
    <row r="17305">
      <c r="A17305" s="4" t="s">
        <v>21785</v>
      </c>
      <c r="B17305" s="4" t="s">
        <v>21787</v>
      </c>
      <c r="C17305" s="5" t="str">
        <f>IFERROR(__xludf.DUMMYFUNCTION("GOOGLETRANSLATE(B17305,""en"",""zh-CN"")"),"该男子继续讲话，并导致他推动低矮的割草机的剪辑。")</f>
        <v>该男子继续讲话，并导致他推动低矮的割草机的剪辑。</v>
      </c>
    </row>
    <row r="17306">
      <c r="A17306" s="4" t="s">
        <v>21785</v>
      </c>
      <c r="B17306" s="4" t="s">
        <v>21788</v>
      </c>
      <c r="C17306" s="5" t="str">
        <f>IFERROR(__xludf.DUMMYFUNCTION("GOOGLETRANSLATE(B17306,""en"",""zh-CN"")"),"他继续割草，进入更多讲话的片段。")</f>
        <v>他继续割草，进入更多讲话的片段。</v>
      </c>
    </row>
    <row r="17307">
      <c r="A17307" s="4" t="s">
        <v>21789</v>
      </c>
      <c r="B17307" s="4" t="s">
        <v>21790</v>
      </c>
      <c r="C17307" s="5" t="str">
        <f>IFERROR(__xludf.DUMMYFUNCTION("GOOGLETRANSLATE(B17307,""en"",""zh-CN"")"),"令人敬畏的电视网络徽标动画播放。")</f>
        <v>令人敬畏的电视网络徽标动画播放。</v>
      </c>
    </row>
    <row r="17308">
      <c r="A17308" s="4" t="s">
        <v>21789</v>
      </c>
      <c r="B17308" s="4" t="s">
        <v>21791</v>
      </c>
      <c r="C17308" s="5" t="str">
        <f>IFERROR(__xludf.DUMMYFUNCTION("GOOGLETRANSLATE(B17308,""en"",""zh-CN"")"),"一个人在垫子上翻转并翻滚。")</f>
        <v>一个人在垫子上翻转并翻滚。</v>
      </c>
    </row>
    <row r="17309">
      <c r="A17309" s="4" t="s">
        <v>21789</v>
      </c>
      <c r="B17309" s="4" t="s">
        <v>21792</v>
      </c>
      <c r="C17309" s="5" t="str">
        <f>IFERROR(__xludf.DUMMYFUNCTION("GOOGLETRANSLATE(B17309,""en"",""zh-CN"")"),"同一个人再次翻转垫子，这次不穿衬衫。")</f>
        <v>同一个人再次翻转垫子，这次不穿衬衫。</v>
      </c>
    </row>
    <row r="17310">
      <c r="A17310" s="4" t="s">
        <v>21789</v>
      </c>
      <c r="B17310" s="4" t="s">
        <v>21793</v>
      </c>
      <c r="C17310" s="5" t="str">
        <f>IFERROR(__xludf.DUMMYFUNCTION("GOOGLETRANSLATE(B17310,""en"",""zh-CN"")"),"这个男人正在和镜头说话。")</f>
        <v>这个男人正在和镜头说话。</v>
      </c>
    </row>
    <row r="17311">
      <c r="A17311" s="4" t="s">
        <v>21789</v>
      </c>
      <c r="B17311" s="6" t="s">
        <v>21794</v>
      </c>
      <c r="C17311" s="5" t="str">
        <f>IFERROR(__xludf.DUMMYFUNCTION("GOOGLETRANSLATE(B17311,""en"",""zh-CN"")"),"一名蓝色弓形的女人在男人后面的屏幕上行走，并开始与另一个离开屏幕的女人交谈。")</f>
        <v>一名蓝色弓形的女人在男人后面的屏幕上行走，并开始与另一个离开屏幕的女人交谈。</v>
      </c>
    </row>
    <row r="17312">
      <c r="A17312" s="4" t="s">
        <v>21789</v>
      </c>
      <c r="B17312" s="6" t="s">
        <v>21795</v>
      </c>
      <c r="C17312" s="5" t="str">
        <f>IFERROR(__xludf.DUMMYFUNCTION("GOOGLETRANSLATE(B17312,""en"",""zh-CN"")"),"这位光着膀子的男人再次在屏幕上翻转并翻滚，这次他没有降落最后的翻转，而是跌落在他的身边。")</f>
        <v>这位光着膀子的男人再次在屏幕上翻转并翻滚，这次他没有降落最后的翻转，而是跌落在他的身边。</v>
      </c>
    </row>
    <row r="17313">
      <c r="A17313" s="4" t="s">
        <v>21789</v>
      </c>
      <c r="B17313" s="4" t="s">
        <v>21796</v>
      </c>
      <c r="C17313" s="5" t="str">
        <f>IFERROR(__xludf.DUMMYFUNCTION("GOOGLETRANSLATE(B17313,""en"",""zh-CN"")"),"然后，他开始朝垫子侧面的一个男人走。")</f>
        <v>然后，他开始朝垫子侧面的一个男人走。</v>
      </c>
    </row>
    <row r="17314">
      <c r="A17314" s="4" t="s">
        <v>21789</v>
      </c>
      <c r="B17314" s="4" t="s">
        <v>21797</v>
      </c>
      <c r="C17314" s="5" t="str">
        <f>IFERROR(__xludf.DUMMYFUNCTION("GOOGLETRANSLATE(B17314,""en"",""zh-CN"")"),"旁观者指向他的头，体操运动员也对自己的头也做同样的事情。")</f>
        <v>旁观者指向他的头，体操运动员也对自己的头也做同样的事情。</v>
      </c>
    </row>
    <row r="17315">
      <c r="A17315" s="4" t="s">
        <v>21789</v>
      </c>
      <c r="B17315" s="4" t="s">
        <v>21798</v>
      </c>
      <c r="C17315" s="5" t="str">
        <f>IFERROR(__xludf.DUMMYFUNCTION("GOOGLETRANSLATE(B17315,""en"",""zh-CN"")"),"体操运动员再次与摄像机交谈，以解释该例程中发生的情况。")</f>
        <v>体操运动员再次与摄像机交谈，以解释该例程中发生的情况。</v>
      </c>
    </row>
    <row r="17316">
      <c r="A17316" s="4" t="s">
        <v>21789</v>
      </c>
      <c r="B17316" s="4" t="s">
        <v>21799</v>
      </c>
      <c r="C17316" s="5" t="str">
        <f>IFERROR(__xludf.DUMMYFUNCTION("GOOGLETRANSLATE(B17316,""en"",""zh-CN"")"),"一段小录像带在右下角弹出，重播他跌倒的那一刻。")</f>
        <v>一段小录像带在右下角弹出，重播他跌倒的那一刻。</v>
      </c>
    </row>
    <row r="17317">
      <c r="A17317" s="4" t="s">
        <v>21789</v>
      </c>
      <c r="B17317" s="4" t="s">
        <v>21800</v>
      </c>
      <c r="C17317" s="5" t="str">
        <f>IFERROR(__xludf.DUMMYFUNCTION("GOOGLETRANSLATE(B17317,""en"",""zh-CN"")"),"他开始再次翻过垫子。")</f>
        <v>他开始再次翻过垫子。</v>
      </c>
    </row>
    <row r="17318">
      <c r="A17318" s="4" t="s">
        <v>21789</v>
      </c>
      <c r="B17318" s="4" t="s">
        <v>21801</v>
      </c>
      <c r="C17318" s="5" t="str">
        <f>IFERROR(__xludf.DUMMYFUNCTION("GOOGLETRANSLATE(B17318,""en"",""zh-CN"")"),"该男子站在其他几个家伙旁边，他跳上空中并踢了一些踢。")</f>
        <v>该男子站在其他几个家伙旁边，他跳上空中并踢了一些踢。</v>
      </c>
    </row>
    <row r="17319">
      <c r="A17319" s="4" t="s">
        <v>21789</v>
      </c>
      <c r="B17319" s="4" t="s">
        <v>21802</v>
      </c>
      <c r="C17319" s="5" t="str">
        <f>IFERROR(__xludf.DUMMYFUNCTION("GOOGLETRANSLATE(B17319,""en"",""zh-CN"")"),"现在他正在横穿垫子。")</f>
        <v>现在他正在横穿垫子。</v>
      </c>
    </row>
    <row r="17320">
      <c r="A17320" s="4" t="s">
        <v>21789</v>
      </c>
      <c r="B17320" s="4" t="s">
        <v>21803</v>
      </c>
      <c r="C17320" s="5" t="str">
        <f>IFERROR(__xludf.DUMMYFUNCTION("GOOGLETRANSLATE(B17320,""en"",""zh-CN"")"),"他从向前翻转变成后退。")</f>
        <v>他从向前翻转变成后退。</v>
      </c>
    </row>
    <row r="17321">
      <c r="A17321" s="4" t="s">
        <v>21789</v>
      </c>
      <c r="B17321" s="4" t="s">
        <v>21804</v>
      </c>
      <c r="C17321" s="5" t="str">
        <f>IFERROR(__xludf.DUMMYFUNCTION("GOOGLETRANSLATE(B17321,""en"",""zh-CN"")"),"现在他站在侧线上，准备进行翻转。")</f>
        <v>现在他站在侧线上，准备进行翻转。</v>
      </c>
    </row>
    <row r="17322">
      <c r="A17322" s="4" t="s">
        <v>21789</v>
      </c>
      <c r="B17322" s="4" t="s">
        <v>21805</v>
      </c>
      <c r="C17322" s="5" t="str">
        <f>IFERROR(__xludf.DUMMYFUNCTION("GOOGLETRANSLATE(B17322,""en"",""zh-CN"")"),"他正在做更多的翻转并降落在红色垫子上。")</f>
        <v>他正在做更多的翻转并降落在红色垫子上。</v>
      </c>
    </row>
    <row r="17323">
      <c r="A17323" s="4" t="s">
        <v>21789</v>
      </c>
      <c r="B17323" s="4" t="s">
        <v>21806</v>
      </c>
      <c r="C17323" s="5" t="str">
        <f>IFERROR(__xludf.DUMMYFUNCTION("GOOGLETRANSLATE(B17323,""en"",""zh-CN"")"),"现在，他再次翻转，逆转并开始以另一种方式翻转。")</f>
        <v>现在，他再次翻转，逆转并开始以另一种方式翻转。</v>
      </c>
    </row>
    <row r="17324">
      <c r="A17324" s="4" t="s">
        <v>21789</v>
      </c>
      <c r="B17324" s="4" t="s">
        <v>21807</v>
      </c>
      <c r="C17324" s="5" t="str">
        <f>IFERROR(__xludf.DUMMYFUNCTION("GOOGLETRANSLATE(B17324,""en"",""zh-CN"")"),"这次他穿着黄色衬衫，然后踢开，然后开始向后翻转。")</f>
        <v>这次他穿着黄色衬衫，然后踢开，然后开始向后翻转。</v>
      </c>
    </row>
    <row r="17325">
      <c r="A17325" s="4" t="s">
        <v>21789</v>
      </c>
      <c r="B17325" s="4" t="s">
        <v>21808</v>
      </c>
      <c r="C17325" s="5" t="str">
        <f>IFERROR(__xludf.DUMMYFUNCTION("GOOGLETRANSLATE(B17325,""en"",""zh-CN"")"),"现在他正在慢慢穿过垫子。")</f>
        <v>现在他正在慢慢穿过垫子。</v>
      </c>
    </row>
    <row r="17326">
      <c r="A17326" s="4" t="s">
        <v>21809</v>
      </c>
      <c r="B17326" s="4" t="s">
        <v>21810</v>
      </c>
      <c r="C17326" s="5" t="str">
        <f>IFERROR(__xludf.DUMMYFUNCTION("GOOGLETRANSLATE(B17326,""en"",""zh-CN"")"),"看到一个男人站在一个大型田野上，与狗一起表演各种狗屎。")</f>
        <v>看到一个男人站在一个大型田野上，与狗一起表演各种狗屎。</v>
      </c>
    </row>
    <row r="17327">
      <c r="A17327" s="4" t="s">
        <v>21809</v>
      </c>
      <c r="B17327" s="6" t="s">
        <v>21811</v>
      </c>
      <c r="C17327" s="5" t="str">
        <f>IFERROR(__xludf.DUMMYFUNCTION("GOOGLETRANSLATE(B17327,""en"",""zh-CN"")"),"另一个人在远处观看，因为男人和狗继续执行技巧，狗到处都是。")</f>
        <v>另一个人在远处观看，因为男人和狗继续执行技巧，狗到处都是。</v>
      </c>
    </row>
    <row r="17328">
      <c r="A17328" s="4" t="s">
        <v>21812</v>
      </c>
      <c r="B17328" s="4" t="s">
        <v>21813</v>
      </c>
      <c r="C17328" s="5" t="str">
        <f>IFERROR(__xludf.DUMMYFUNCTION("GOOGLETRANSLATE(B17328,""en"",""zh-CN"")"),"一个男人环顾四周，抓住他的脸。")</f>
        <v>一个男人环顾四周，抓住他的脸。</v>
      </c>
    </row>
    <row r="17329">
      <c r="A17329" s="4" t="s">
        <v>21812</v>
      </c>
      <c r="B17329" s="4" t="s">
        <v>21814</v>
      </c>
      <c r="C17329" s="5" t="str">
        <f>IFERROR(__xludf.DUMMYFUNCTION("GOOGLETRANSLATE(B17329,""en"",""zh-CN"")"),"他把毛巾放在脸上。")</f>
        <v>他把毛巾放在脸上。</v>
      </c>
    </row>
    <row r="17330">
      <c r="A17330" s="4" t="s">
        <v>21812</v>
      </c>
      <c r="B17330" s="4" t="s">
        <v>21815</v>
      </c>
      <c r="C17330" s="5" t="str">
        <f>IFERROR(__xludf.DUMMYFUNCTION("GOOGLETRANSLATE(B17330,""en"",""zh-CN"")"),"该男子展示了一个剃须单元和一个香脂。")</f>
        <v>该男子展示了一个剃须单元和一个香脂。</v>
      </c>
    </row>
    <row r="17331">
      <c r="A17331" s="4" t="s">
        <v>21812</v>
      </c>
      <c r="B17331" s="4" t="s">
        <v>21816</v>
      </c>
      <c r="C17331" s="5" t="str">
        <f>IFERROR(__xludf.DUMMYFUNCTION("GOOGLETRANSLATE(B17331,""en"",""zh-CN"")"),"他展示了一个碗，并在其周围旋转剃须刷。")</f>
        <v>他展示了一个碗，并在其周围旋转剃须刷。</v>
      </c>
    </row>
    <row r="17332">
      <c r="A17332" s="4" t="s">
        <v>21812</v>
      </c>
      <c r="B17332" s="4" t="s">
        <v>21817</v>
      </c>
      <c r="C17332" s="5" t="str">
        <f>IFERROR(__xludf.DUMMYFUNCTION("GOOGLETRANSLATE(B17332,""en"",""zh-CN"")"),"该男子使用剃须刷将剃须奶油整个脸上放在他的脸上。")</f>
        <v>该男子使用剃须刷将剃须奶油整个脸上放在他的脸上。</v>
      </c>
    </row>
    <row r="17333">
      <c r="A17333" s="4" t="s">
        <v>21812</v>
      </c>
      <c r="B17333" s="4" t="s">
        <v>21818</v>
      </c>
      <c r="C17333" s="5" t="str">
        <f>IFERROR(__xludf.DUMMYFUNCTION("GOOGLETRANSLATE(B17333,""en"",""zh-CN"")"),"他拿起剃刀和剃须。")</f>
        <v>他拿起剃刀和剃须。</v>
      </c>
    </row>
    <row r="17334">
      <c r="A17334" s="4" t="s">
        <v>21812</v>
      </c>
      <c r="B17334" s="4" t="s">
        <v>21819</v>
      </c>
      <c r="C17334" s="5" t="str">
        <f>IFERROR(__xludf.DUMMYFUNCTION("GOOGLETRANSLATE(B17334,""en"",""zh-CN"")"),"他再次抓住碗，然后在内部旋转剃须刷。")</f>
        <v>他再次抓住碗，然后在内部旋转剃须刷。</v>
      </c>
    </row>
    <row r="17335">
      <c r="A17335" s="4" t="s">
        <v>21812</v>
      </c>
      <c r="B17335" s="4" t="s">
        <v>21820</v>
      </c>
      <c r="C17335" s="5" t="str">
        <f>IFERROR(__xludf.DUMMYFUNCTION("GOOGLETRANSLATE(B17335,""en"",""zh-CN"")"),"他窒息了脸上的脸。")</f>
        <v>他窒息了脸上的脸。</v>
      </c>
    </row>
    <row r="17336">
      <c r="A17336" s="4" t="s">
        <v>21812</v>
      </c>
      <c r="B17336" s="4" t="s">
        <v>21821</v>
      </c>
      <c r="C17336" s="5" t="str">
        <f>IFERROR(__xludf.DUMMYFUNCTION("GOOGLETRANSLATE(B17336,""en"",""zh-CN"")"),"他再次剃了脸。")</f>
        <v>他再次剃了脸。</v>
      </c>
    </row>
    <row r="17337">
      <c r="A17337" s="4" t="s">
        <v>21812</v>
      </c>
      <c r="B17337" s="4" t="s">
        <v>21822</v>
      </c>
      <c r="C17337" s="5" t="str">
        <f>IFERROR(__xludf.DUMMYFUNCTION("GOOGLETRANSLATE(B17337,""en"",""zh-CN"")"),"他溅起脸，用紫色的毛巾干燥。")</f>
        <v>他溅起脸，用紫色的毛巾干燥。</v>
      </c>
    </row>
    <row r="17338">
      <c r="A17338" s="4" t="s">
        <v>21812</v>
      </c>
      <c r="B17338" s="4" t="s">
        <v>21823</v>
      </c>
      <c r="C17338" s="5" t="str">
        <f>IFERROR(__xludf.DUMMYFUNCTION("GOOGLETRANSLATE(B17338,""en"",""zh-CN"")"),"他在脸上擦油，兴奋地炫耀自己的肌肉。")</f>
        <v>他在脸上擦油，兴奋地炫耀自己的肌肉。</v>
      </c>
    </row>
    <row r="17339">
      <c r="A17339" s="4" t="s">
        <v>21824</v>
      </c>
      <c r="B17339" s="4" t="s">
        <v>21825</v>
      </c>
      <c r="C17339" s="5" t="str">
        <f>IFERROR(__xludf.DUMMYFUNCTION("GOOGLETRANSLATE(B17339,""en"",""zh-CN"")"),"一个红色头巾的男人站在厨房里。")</f>
        <v>一个红色头巾的男人站在厨房里。</v>
      </c>
    </row>
    <row r="17340">
      <c r="A17340" s="4" t="s">
        <v>21824</v>
      </c>
      <c r="B17340" s="4" t="s">
        <v>21826</v>
      </c>
      <c r="C17340" s="5" t="str">
        <f>IFERROR(__xludf.DUMMYFUNCTION("GOOGLETRANSLATE(B17340,""en"",""zh-CN"")"),"他将一些成分倒入玻璃杯中。")</f>
        <v>他将一些成分倒入玻璃杯中。</v>
      </c>
    </row>
    <row r="17341">
      <c r="A17341" s="4" t="s">
        <v>21824</v>
      </c>
      <c r="B17341" s="4" t="s">
        <v>21827</v>
      </c>
      <c r="C17341" s="5" t="str">
        <f>IFERROR(__xludf.DUMMYFUNCTION("GOOGLETRANSLATE(B17341,""en"",""zh-CN"")"),"他解释了拿着勺子的方法。")</f>
        <v>他解释了拿着勺子的方法。</v>
      </c>
    </row>
    <row r="17342">
      <c r="A17342" s="4" t="s">
        <v>21824</v>
      </c>
      <c r="B17342" s="4" t="s">
        <v>21828</v>
      </c>
      <c r="C17342" s="5" t="str">
        <f>IFERROR(__xludf.DUMMYFUNCTION("GOOGLETRANSLATE(B17342,""en"",""zh-CN"")"),"然后，他用装饰完成了饮料。")</f>
        <v>然后，他用装饰完成了饮料。</v>
      </c>
    </row>
    <row r="17343">
      <c r="A17343" s="4" t="s">
        <v>21829</v>
      </c>
      <c r="B17343" s="4" t="s">
        <v>21830</v>
      </c>
      <c r="C17343" s="5" t="str">
        <f>IFERROR(__xludf.DUMMYFUNCTION("GOOGLETRANSLATE(B17343,""en"",""zh-CN"")"),"显示了海底的特写，还有一个水肺潜水员和鱼在周围游泳。")</f>
        <v>显示了海底的特写，还有一个水肺潜水员和鱼在周围游泳。</v>
      </c>
    </row>
    <row r="17344">
      <c r="A17344" s="4" t="s">
        <v>21829</v>
      </c>
      <c r="B17344" s="6" t="s">
        <v>21831</v>
      </c>
      <c r="C17344" s="5" t="str">
        <f>IFERROR(__xludf.DUMMYFUNCTION("GOOGLETRANSLATE(B17344,""en"",""zh-CN"")"),"相机继续捕获地板的底部以及地面上的几条鱼和底部馈线。")</f>
        <v>相机继续捕获地板的底部以及地面上的几条鱼和底部馈线。</v>
      </c>
    </row>
    <row r="17345">
      <c r="A17345" s="4" t="s">
        <v>21829</v>
      </c>
      <c r="B17345" s="6" t="s">
        <v>21832</v>
      </c>
      <c r="C17345" s="5" t="str">
        <f>IFERROR(__xludf.DUMMYFUNCTION("GOOGLETRANSLATE(B17345,""en"",""zh-CN"")"),"水肺潜水员四处移动手电筒，以捕捉底部，并看着野生动植物的移动。")</f>
        <v>水肺潜水员四处移动手电筒，以捕捉底部，并看着野生动植物的移动。</v>
      </c>
    </row>
    <row r="17346">
      <c r="A17346" s="4" t="s">
        <v>21833</v>
      </c>
      <c r="B17346" s="4" t="s">
        <v>21834</v>
      </c>
      <c r="C17346" s="5" t="str">
        <f>IFERROR(__xludf.DUMMYFUNCTION("GOOGLETRANSLATE(B17346,""en"",""zh-CN"")"),"一个男人在草地上戴着高跷行走。")</f>
        <v>一个男人在草地上戴着高跷行走。</v>
      </c>
    </row>
    <row r="17347">
      <c r="A17347" s="4" t="s">
        <v>21833</v>
      </c>
      <c r="B17347" s="4" t="s">
        <v>21835</v>
      </c>
      <c r="C17347" s="5" t="str">
        <f>IFERROR(__xludf.DUMMYFUNCTION("GOOGLETRANSLATE(B17347,""en"",""zh-CN"")"),"人们在池塘旁边看着他。")</f>
        <v>人们在池塘旁边看着他。</v>
      </c>
    </row>
    <row r="17348">
      <c r="A17348" s="4" t="s">
        <v>21833</v>
      </c>
      <c r="B17348" s="4" t="s">
        <v>21836</v>
      </c>
      <c r="C17348" s="5" t="str">
        <f>IFERROR(__xludf.DUMMYFUNCTION("GOOGLETRANSLATE(B17348,""en"",""zh-CN"")"),"他继续在草地上走向人民。")</f>
        <v>他继续在草地上走向人民。</v>
      </c>
    </row>
    <row r="17349">
      <c r="A17349" s="4" t="s">
        <v>21837</v>
      </c>
      <c r="B17349" s="6" t="s">
        <v>21838</v>
      </c>
      <c r="C17349" s="5" t="str">
        <f>IFERROR(__xludf.DUMMYFUNCTION("GOOGLETRANSLATE(B17349,""en"",""zh-CN"")"),"绘画的近距离显示，然后是刷子浸入油漆中并沿着图片移动的刷子。")</f>
        <v>绘画的近距离显示，然后是刷子浸入油漆中并沿着图片移动的刷子。</v>
      </c>
    </row>
    <row r="17350">
      <c r="A17350" s="4" t="s">
        <v>21837</v>
      </c>
      <c r="B17350" s="6" t="s">
        <v>21839</v>
      </c>
      <c r="C17350" s="5" t="str">
        <f>IFERROR(__xludf.DUMMYFUNCTION("GOOGLETRANSLATE(B17350,""en"",""zh-CN"")"),"该人继续在图片中绘画灌木丛，并在屏幕上方滚动的信用结束。")</f>
        <v>该人继续在图片中绘画灌木丛，并在屏幕上方滚动的信用结束。</v>
      </c>
    </row>
    <row r="17351">
      <c r="A17351" s="4" t="s">
        <v>21840</v>
      </c>
      <c r="B17351" s="4" t="s">
        <v>21841</v>
      </c>
      <c r="C17351" s="5" t="str">
        <f>IFERROR(__xludf.DUMMYFUNCTION("GOOGLETRANSLATE(B17351,""en"",""zh-CN"")"),"展示了一个土豆的特写，后面是一个女人在相机上说话。")</f>
        <v>展示了一个土豆的特写，后面是一个女人在相机上说话。</v>
      </c>
    </row>
    <row r="17352">
      <c r="A17352" s="4" t="s">
        <v>21840</v>
      </c>
      <c r="B17352" s="4" t="s">
        <v>21842</v>
      </c>
      <c r="C17352" s="5" t="str">
        <f>IFERROR(__xludf.DUMMYFUNCTION("GOOGLETRANSLATE(B17352,""en"",""zh-CN"")"),"女人指着锅，然后开始剥土豆，然后将其放入锅中。")</f>
        <v>女人指着锅，然后开始剥土豆，然后将其放入锅中。</v>
      </c>
    </row>
    <row r="17353">
      <c r="A17353" s="4" t="s">
        <v>21840</v>
      </c>
      <c r="B17353" s="4" t="s">
        <v>21843</v>
      </c>
      <c r="C17353" s="5" t="str">
        <f>IFERROR(__xludf.DUMMYFUNCTION("GOOGLETRANSLATE(B17353,""en"",""zh-CN"")"),"她将其与盐混合，将土豆浸入冰水中，看着它们脱皮。")</f>
        <v>她将其与盐混合，将土豆浸入冰水中，看着它们脱皮。</v>
      </c>
    </row>
    <row r="17354">
      <c r="A17354" s="4" t="s">
        <v>21844</v>
      </c>
      <c r="B17354" s="6" t="s">
        <v>21845</v>
      </c>
      <c r="C17354" s="5" t="str">
        <f>IFERROR(__xludf.DUMMYFUNCTION("GOOGLETRANSLATE(B17354,""en"",""zh-CN"")"),"看到一个女人看着远处，然后骑着马射击并望向远处。")</f>
        <v>看到一个女人看着远处，然后骑着马射击并望向远处。</v>
      </c>
    </row>
    <row r="17355">
      <c r="A17355" s="4" t="s">
        <v>21844</v>
      </c>
      <c r="B17355" s="6" t="s">
        <v>21846</v>
      </c>
      <c r="C17355" s="5" t="str">
        <f>IFERROR(__xludf.DUMMYFUNCTION("GOOGLETRANSLATE(B17355,""en"",""zh-CN"")"),"女人继续在马上骑行，最后她走开并挥舞着相机。")</f>
        <v>女人继续在马上骑行，最后她走开并挥舞着相机。</v>
      </c>
    </row>
    <row r="17356">
      <c r="A17356" s="4" t="s">
        <v>21847</v>
      </c>
      <c r="B17356" s="4" t="s">
        <v>21848</v>
      </c>
      <c r="C17356" s="5" t="str">
        <f>IFERROR(__xludf.DUMMYFUNCTION("GOOGLETRANSLATE(B17356,""en"",""zh-CN"")"),"女性举重运动员试图举起一组举重。")</f>
        <v>女性举重运动员试图举起一组举重。</v>
      </c>
    </row>
    <row r="17357">
      <c r="A17357" s="4" t="s">
        <v>21847</v>
      </c>
      <c r="B17357" s="4" t="s">
        <v>21849</v>
      </c>
      <c r="C17357" s="5" t="str">
        <f>IFERROR(__xludf.DUMMYFUNCTION("GOOGLETRANSLATE(B17357,""en"",""zh-CN"")"),"她慢慢抬起膝盖。")</f>
        <v>她慢慢抬起膝盖。</v>
      </c>
    </row>
    <row r="17358">
      <c r="A17358" s="4" t="s">
        <v>21847</v>
      </c>
      <c r="B17358" s="4" t="s">
        <v>21850</v>
      </c>
      <c r="C17358" s="5" t="str">
        <f>IFERROR(__xludf.DUMMYFUNCTION("GOOGLETRANSLATE(B17358,""en"",""zh-CN"")"),"她将酒吧抬到胸前，暂停。")</f>
        <v>她将酒吧抬到胸前，暂停。</v>
      </c>
    </row>
    <row r="17359">
      <c r="A17359" s="4" t="s">
        <v>21847</v>
      </c>
      <c r="B17359" s="4" t="s">
        <v>21851</v>
      </c>
      <c r="C17359" s="5" t="str">
        <f>IFERROR(__xludf.DUMMYFUNCTION("GOOGLETRANSLATE(B17359,""en"",""zh-CN"")"),"然后，她将其抬到头上，然后蹲在下面。")</f>
        <v>然后，她将其抬到头上，然后蹲在下面。</v>
      </c>
    </row>
    <row r="17360">
      <c r="A17360" s="4" t="s">
        <v>21852</v>
      </c>
      <c r="B17360" s="4" t="s">
        <v>21853</v>
      </c>
      <c r="C17360" s="5" t="str">
        <f>IFERROR(__xludf.DUMMYFUNCTION("GOOGLETRANSLATE(B17360,""en"",""zh-CN"")"),"两个人在聚光灯下面对面面对面。")</f>
        <v>两个人在聚光灯下面对面面对面。</v>
      </c>
    </row>
    <row r="17361">
      <c r="A17361" s="4" t="s">
        <v>21852</v>
      </c>
      <c r="B17361" s="6" t="s">
        <v>21854</v>
      </c>
      <c r="C17361" s="5" t="str">
        <f>IFERROR(__xludf.DUMMYFUNCTION("GOOGLETRANSLATE(B17361,""en"",""zh-CN"")"),"穿着黑色和白色西装的男人模拟了右边穿着连衣裙的女人的一巴掌。")</f>
        <v>穿着黑色和白色西装的男人模拟了右边穿着连衣裙的女人的一巴掌。</v>
      </c>
    </row>
    <row r="17362">
      <c r="A17362" s="4" t="s">
        <v>21852</v>
      </c>
      <c r="B17362" s="6" t="s">
        <v>21855</v>
      </c>
      <c r="C17362" s="5" t="str">
        <f>IFERROR(__xludf.DUMMYFUNCTION("GOOGLETRANSLATE(B17362,""en"",""zh-CN"")"),"一个戴着黑色背心的男人立即聚焦在两者之间站立，他们都开始跳舞，因为房间被照亮，以展示一个大舞区，观众中的人看着他们。")</f>
        <v>一个戴着黑色背心的男人立即聚焦在两者之间站立，他们都开始跳舞，因为房间被照亮，以展示一个大舞区，观众中的人看着他们。</v>
      </c>
    </row>
    <row r="17363">
      <c r="A17363" s="4" t="s">
        <v>21852</v>
      </c>
      <c r="B17363" s="6" t="s">
        <v>21856</v>
      </c>
      <c r="C17363" s="5" t="str">
        <f>IFERROR(__xludf.DUMMYFUNCTION("GOOGLETRANSLATE(B17363,""en"",""zh-CN"")"),"三人继续跳舞，直到黑色背心的男人捡起女人，把她扔到地上，离开舞池。")</f>
        <v>三人继续跳舞，直到黑色背心的男人捡起女人，把她扔到地上，离开舞池。</v>
      </c>
    </row>
    <row r="17364">
      <c r="A17364" s="4" t="s">
        <v>21852</v>
      </c>
      <c r="B17364" s="4" t="s">
        <v>21857</v>
      </c>
      <c r="C17364" s="5" t="str">
        <f>IFERROR(__xludf.DUMMYFUNCTION("GOOGLETRANSLATE(B17364,""en"",""zh-CN"")"),"穿着西装和女人的男人继续独自跳舞。")</f>
        <v>穿着西装和女人的男人继续独自跳舞。</v>
      </c>
    </row>
    <row r="17365">
      <c r="A17365" s="4" t="s">
        <v>21852</v>
      </c>
      <c r="B17365" s="6" t="s">
        <v>21858</v>
      </c>
      <c r="C17365" s="5" t="str">
        <f>IFERROR(__xludf.DUMMYFUNCTION("GOOGLETRANSLATE(B17365,""en"",""zh-CN"")"),"背心上的男人回到舞池，试图穿上西装的男人，但西装的男人躲开了拳，将男人推到舞池中。")</f>
        <v>背心上的男人回到舞池，试图穿上西装的男人，但西装的男人躲开了拳，将男人推到舞池中。</v>
      </c>
    </row>
    <row r="17366">
      <c r="A17366" s="4" t="s">
        <v>21852</v>
      </c>
      <c r="B17366" s="6" t="s">
        <v>21859</v>
      </c>
      <c r="C17366" s="5" t="str">
        <f>IFERROR(__xludf.DUMMYFUNCTION("GOOGLETRANSLATE(B17366,""en"",""zh-CN"")"),"穿着西装的男人和衣服穿着的女人继续跳舞，她们在姿势上急剧结束，她的背上，男人盘旋在她身上。")</f>
        <v>穿着西装的男人和衣服穿着的女人继续跳舞，她们在姿势上急剧结束，她的背上，男人盘旋在她身上。</v>
      </c>
    </row>
    <row r="17367">
      <c r="A17367" s="4" t="s">
        <v>21860</v>
      </c>
      <c r="B17367" s="6" t="s">
        <v>21861</v>
      </c>
      <c r="C17367" s="5" t="str">
        <f>IFERROR(__xludf.DUMMYFUNCTION("GOOGLETRANSLATE(B17367,""en"",""zh-CN"")"),"一个金色的运动女孩，她的双手全都摇摇欲坠，站在木制平衡梁旁边，穿着黑色和白色装饰的紧身衣裤，屏幕底部的横幅表明她的名字是肖恩·约翰逊（Shawn Johnson）第二旋后。")</f>
        <v>一个金色的运动女孩，她的双手全都摇摇欲坠，站在木制平衡梁旁边，穿着黑色和白色装饰的紧身衣裤，屏幕底部的横幅表明她的名字是肖恩·约翰逊（Shawn Johnson）第二旋后。</v>
      </c>
    </row>
    <row r="17368">
      <c r="A17368" s="4" t="s">
        <v>21860</v>
      </c>
      <c r="B17368" s="6" t="s">
        <v>21862</v>
      </c>
      <c r="C17368" s="5" t="str">
        <f>IFERROR(__xludf.DUMMYFUNCTION("GOOGLETRANSLATE(B17368,""en"",""zh-CN"")"),"女孩几次摩擦双手，观众鼓掌，微笑着举起两只手臂，微笑着，转向马，奔跑并跳跃，直到她落在平衡梁上。")</f>
        <v>女孩几次摩擦双手，观众鼓掌，微笑着举起两只手臂，微笑着，转向马，奔跑并跳跃，直到她落在平衡梁上。</v>
      </c>
    </row>
    <row r="17369">
      <c r="A17369" s="4" t="s">
        <v>21860</v>
      </c>
      <c r="B17369" s="6" t="s">
        <v>21863</v>
      </c>
      <c r="C17369" s="5" t="str">
        <f>IFERROR(__xludf.DUMMYFUNCTION("GOOGLETRANSLATE(B17369,""en"",""zh-CN"")"),"这个女孩立即开始例行工作，其中包括大量翻转，步行，旋转，手动，旋转等。")</f>
        <v>这个女孩立即开始例行工作，其中包括大量翻转，步行，旋转，手动，旋转等。</v>
      </c>
    </row>
    <row r="17370">
      <c r="A17370" s="4" t="s">
        <v>21860</v>
      </c>
      <c r="B17370" s="6" t="s">
        <v>21864</v>
      </c>
      <c r="C17370" s="5" t="str">
        <f>IFERROR(__xludf.DUMMYFUNCTION("GOOGLETRANSLATE(B17370,""en"",""zh-CN"")"),"女孩走到平衡束的最远的端，凝视着另一端，迅速翻转平衡梁，然后将平衡梁从平衡梁上摔下几次，降落在她的脚上，将她的两只手臂抬起空中，然后人群欢呼。")</f>
        <v>女孩走到平衡束的最远的端，凝视着另一端，迅速翻转平衡梁，然后将平衡梁从平衡梁上摔下几次，降落在她的脚上，将她的两只手臂抬起空中，然后人群欢呼。</v>
      </c>
    </row>
    <row r="17371">
      <c r="A17371" s="4" t="s">
        <v>21865</v>
      </c>
      <c r="B17371" s="4" t="s">
        <v>21866</v>
      </c>
      <c r="C17371" s="5" t="str">
        <f>IFERROR(__xludf.DUMMYFUNCTION("GOOGLETRANSLATE(B17371,""en"",""zh-CN"")"),"牛由城市广场的一名教练持有。")</f>
        <v>牛由城市广场的一名教练持有。</v>
      </c>
    </row>
    <row r="17372">
      <c r="A17372" s="4" t="s">
        <v>21865</v>
      </c>
      <c r="B17372" s="4" t="s">
        <v>21867</v>
      </c>
      <c r="C17372" s="5" t="str">
        <f>IFERROR(__xludf.DUMMYFUNCTION("GOOGLETRANSLATE(B17372,""en"",""zh-CN"")"),"两个牛决斗，牛角在畜栏中引导他们。")</f>
        <v>两个牛决斗，牛角在畜栏中引导他们。</v>
      </c>
    </row>
    <row r="17373">
      <c r="A17373" s="4" t="s">
        <v>21865</v>
      </c>
      <c r="B17373" s="4" t="s">
        <v>21868</v>
      </c>
      <c r="C17373" s="5" t="str">
        <f>IFERROR(__xludf.DUMMYFUNCTION("GOOGLETRANSLATE(B17373,""en"",""zh-CN"")"),"训练师的牛充电在墙壁上排成一排。")</f>
        <v>训练师的牛充电在墙壁上排成一排。</v>
      </c>
    </row>
    <row r="17374">
      <c r="A17374" s="4" t="s">
        <v>21865</v>
      </c>
      <c r="B17374" s="4" t="s">
        <v>21869</v>
      </c>
      <c r="C17374" s="5" t="str">
        <f>IFERROR(__xludf.DUMMYFUNCTION("GOOGLETRANSLATE(B17374,""en"",""zh-CN"")"),"观众在活动期间观看并在看台上行走。")</f>
        <v>观众在活动期间观看并在看台上行走。</v>
      </c>
    </row>
    <row r="17375">
      <c r="A17375" s="4" t="s">
        <v>21870</v>
      </c>
      <c r="B17375" s="4" t="s">
        <v>21871</v>
      </c>
      <c r="C17375" s="5" t="str">
        <f>IFERROR(__xludf.DUMMYFUNCTION("GOOGLETRANSLATE(B17375,""en"",""zh-CN"")"),"人们正在一个房间里锻炼，踩踏脚凳。")</f>
        <v>人们正在一个房间里锻炼，踩踏脚凳。</v>
      </c>
    </row>
    <row r="17376">
      <c r="A17376" s="4" t="s">
        <v>21870</v>
      </c>
      <c r="B17376" s="4" t="s">
        <v>21872</v>
      </c>
      <c r="C17376" s="5" t="str">
        <f>IFERROR(__xludf.DUMMYFUNCTION("GOOGLETRANSLATE(B17376,""en"",""zh-CN"")"),"穿着白衬衫的男人正在领导团队。")</f>
        <v>穿着白衬衫的男人正在领导团队。</v>
      </c>
    </row>
    <row r="17377">
      <c r="A17377" s="4" t="s">
        <v>21870</v>
      </c>
      <c r="B17377" s="4" t="s">
        <v>21873</v>
      </c>
      <c r="C17377" s="5" t="str">
        <f>IFERROR(__xludf.DUMMYFUNCTION("GOOGLETRANSLATE(B17377,""en"",""zh-CN"")"),"然后，他走出镜头后面。")</f>
        <v>然后，他走出镜头后面。</v>
      </c>
    </row>
    <row r="17378">
      <c r="A17378" s="4" t="s">
        <v>21874</v>
      </c>
      <c r="B17378" s="4" t="s">
        <v>21875</v>
      </c>
      <c r="C17378" s="5" t="str">
        <f>IFERROR(__xludf.DUMMYFUNCTION("GOOGLETRANSLATE(B17378,""en"",""zh-CN"")"),"一系列运动员参加了参加人群面前的铁饼比赛。")</f>
        <v>一系列运动员参加了参加人群面前的铁饼比赛。</v>
      </c>
    </row>
    <row r="17379">
      <c r="A17379" s="4" t="s">
        <v>21874</v>
      </c>
      <c r="B17379" s="4" t="s">
        <v>21876</v>
      </c>
      <c r="C17379" s="5" t="str">
        <f>IFERROR(__xludf.DUMMYFUNCTION("GOOGLETRANSLATE(B17379,""en"",""zh-CN"")"),"当男人向运动员分发奖品时，人群为运动员表示鼓掌。")</f>
        <v>当男人向运动员分发奖品时，人群为运动员表示鼓掌。</v>
      </c>
    </row>
    <row r="17380">
      <c r="A17380" s="4" t="s">
        <v>21874</v>
      </c>
      <c r="B17380" s="4" t="s">
        <v>21877</v>
      </c>
      <c r="C17380" s="5" t="str">
        <f>IFERROR(__xludf.DUMMYFUNCTION("GOOGLETRANSLATE(B17380,""en"",""zh-CN"")"),"记者用相机包围运动员。")</f>
        <v>记者用相机包围运动员。</v>
      </c>
    </row>
    <row r="17381">
      <c r="A17381" s="4" t="s">
        <v>21874</v>
      </c>
      <c r="B17381" s="4" t="s">
        <v>21878</v>
      </c>
      <c r="C17381" s="5" t="str">
        <f>IFERROR(__xludf.DUMMYFUNCTION("GOOGLETRANSLATE(B17381,""en"",""zh-CN"")"),"显示了更多的铁饼比赛表演。")</f>
        <v>显示了更多的铁饼比赛表演。</v>
      </c>
    </row>
    <row r="17382">
      <c r="A17382" s="4" t="s">
        <v>21874</v>
      </c>
      <c r="B17382" s="4" t="s">
        <v>21879</v>
      </c>
      <c r="C17382" s="5" t="str">
        <f>IFERROR(__xludf.DUMMYFUNCTION("GOOGLETRANSLATE(B17382,""en"",""zh-CN"")"),"相机船员专注于出汗的座位运动员。")</f>
        <v>相机船员专注于出汗的座位运动员。</v>
      </c>
    </row>
    <row r="17383">
      <c r="A17383" s="4" t="s">
        <v>21874</v>
      </c>
      <c r="B17383" s="4" t="s">
        <v>21880</v>
      </c>
      <c r="C17383" s="5" t="str">
        <f>IFERROR(__xludf.DUMMYFUNCTION("GOOGLETRANSLATE(B17383,""en"",""zh-CN"")"),"还显示了铁饼投掷的另一个表现。")</f>
        <v>还显示了铁饼投掷的另一个表现。</v>
      </c>
    </row>
    <row r="17384">
      <c r="A17384" s="4" t="s">
        <v>21874</v>
      </c>
      <c r="B17384" s="4" t="s">
        <v>21881</v>
      </c>
      <c r="C17384" s="5" t="str">
        <f>IFERROR(__xludf.DUMMYFUNCTION("GOOGLETRANSLATE(B17384,""en"",""zh-CN"")"),"三个人坐在观众面前聊天。")</f>
        <v>三个人坐在观众面前聊天。</v>
      </c>
    </row>
    <row r="17385">
      <c r="A17385" s="4" t="s">
        <v>21882</v>
      </c>
      <c r="B17385" s="4" t="s">
        <v>21883</v>
      </c>
      <c r="C17385" s="5" t="str">
        <f>IFERROR(__xludf.DUMMYFUNCTION("GOOGLETRANSLATE(B17385,""en"",""zh-CN"")"),"一个男人正在谈论制作辣面食。")</f>
        <v>一个男人正在谈论制作辣面食。</v>
      </c>
    </row>
    <row r="17386">
      <c r="A17386" s="4" t="s">
        <v>21882</v>
      </c>
      <c r="B17386" s="4" t="s">
        <v>21884</v>
      </c>
      <c r="C17386" s="5" t="str">
        <f>IFERROR(__xludf.DUMMYFUNCTION("GOOGLETRANSLATE(B17386,""en"",""zh-CN"")"),"该男子拿香肠并将其煮在锅中。")</f>
        <v>该男子拿香肠并将其煮在锅中。</v>
      </c>
    </row>
    <row r="17387">
      <c r="A17387" s="4" t="s">
        <v>21882</v>
      </c>
      <c r="B17387" s="4" t="s">
        <v>21885</v>
      </c>
      <c r="C17387" s="5" t="str">
        <f>IFERROR(__xludf.DUMMYFUNCTION("GOOGLETRANSLATE(B17387,""en"",""zh-CN"")"),"香菜被添加到香肠中。")</f>
        <v>香菜被添加到香肠中。</v>
      </c>
    </row>
    <row r="17388">
      <c r="A17388" s="4" t="s">
        <v>21882</v>
      </c>
      <c r="B17388" s="4" t="s">
        <v>21886</v>
      </c>
      <c r="C17388" s="5" t="str">
        <f>IFERROR(__xludf.DUMMYFUNCTION("GOOGLETRANSLATE(B17388,""en"",""zh-CN"")"),"将白葡萄酒添加到混合物中。")</f>
        <v>将白葡萄酒添加到混合物中。</v>
      </c>
    </row>
    <row r="17389">
      <c r="A17389" s="4" t="s">
        <v>21882</v>
      </c>
      <c r="B17389" s="4" t="s">
        <v>21887</v>
      </c>
      <c r="C17389" s="5" t="str">
        <f>IFERROR(__xludf.DUMMYFUNCTION("GOOGLETRANSLATE(B17389,""en"",""zh-CN"")"),"浓奶油与一罐腌料酱一起添加到肉中。")</f>
        <v>浓奶油与一罐腌料酱一起添加到肉中。</v>
      </c>
    </row>
    <row r="17390">
      <c r="A17390" s="4" t="s">
        <v>21882</v>
      </c>
      <c r="B17390" s="4" t="s">
        <v>21888</v>
      </c>
      <c r="C17390" s="5" t="str">
        <f>IFERROR(__xludf.DUMMYFUNCTION("GOOGLETRANSLATE(B17390,""en"",""zh-CN"")"),"水在锅中沸腾。")</f>
        <v>水在锅中沸腾。</v>
      </c>
    </row>
    <row r="17391">
      <c r="A17391" s="4" t="s">
        <v>21882</v>
      </c>
      <c r="B17391" s="4" t="s">
        <v>21889</v>
      </c>
      <c r="C17391" s="5" t="str">
        <f>IFERROR(__xludf.DUMMYFUNCTION("GOOGLETRANSLATE(B17391,""en"",""zh-CN"")"),"面食和酱汁混合在一起。")</f>
        <v>面食和酱汁混合在一起。</v>
      </c>
    </row>
    <row r="17392">
      <c r="A17392" s="4" t="s">
        <v>21882</v>
      </c>
      <c r="B17392" s="4" t="s">
        <v>21890</v>
      </c>
      <c r="C17392" s="5" t="str">
        <f>IFERROR(__xludf.DUMMYFUNCTION("GOOGLETRANSLATE(B17392,""en"",""zh-CN"")"),"最终的意大利面添加到碗中，并添加了帕玛森奶酪。")</f>
        <v>最终的意大利面添加到碗中，并添加了帕玛森奶酪。</v>
      </c>
    </row>
    <row r="17393">
      <c r="A17393" s="4" t="s">
        <v>21891</v>
      </c>
      <c r="B17393" s="4" t="s">
        <v>21892</v>
      </c>
      <c r="C17393" s="5" t="str">
        <f>IFERROR(__xludf.DUMMYFUNCTION("GOOGLETRANSLATE(B17393,""en"",""zh-CN"")"),"一大批人坐在封闭区域附近的马上。")</f>
        <v>一大批人坐在封闭区域附近的马上。</v>
      </c>
    </row>
    <row r="17394">
      <c r="A17394" s="4" t="s">
        <v>21891</v>
      </c>
      <c r="B17394" s="4" t="s">
        <v>21893</v>
      </c>
      <c r="C17394" s="5" t="str">
        <f>IFERROR(__xludf.DUMMYFUNCTION("GOOGLETRANSLATE(B17394,""en"",""zh-CN"")"),"当一匹马几乎立即抓住小牛时，人们惊讶地环顾四周。")</f>
        <v>当一匹马几乎立即抓住小牛时，人们惊讶地环顾四周。</v>
      </c>
    </row>
    <row r="17395">
      <c r="A17395" s="4" t="s">
        <v>21891</v>
      </c>
      <c r="B17395" s="4" t="s">
        <v>21894</v>
      </c>
      <c r="C17395" s="5" t="str">
        <f>IFERROR(__xludf.DUMMYFUNCTION("GOOGLETRANSLATE(B17395,""en"",""zh-CN"")"),"小牛和人群的绳子为他的时间加油打气。")</f>
        <v>小牛和人群的绳子为他的时间加油打气。</v>
      </c>
    </row>
    <row r="17396">
      <c r="A17396" s="4" t="s">
        <v>21895</v>
      </c>
      <c r="B17396" s="4" t="s">
        <v>21896</v>
      </c>
      <c r="C17396" s="5" t="str">
        <f>IFERROR(__xludf.DUMMYFUNCTION("GOOGLETRANSLATE(B17396,""en"",""zh-CN"")"),"显示了一个覆盖着雪的城镇的图片。")</f>
        <v>显示了一个覆盖着雪的城镇的图片。</v>
      </c>
    </row>
    <row r="17397">
      <c r="A17397" s="4" t="s">
        <v>21895</v>
      </c>
      <c r="B17397" s="4" t="s">
        <v>21897</v>
      </c>
      <c r="C17397" s="5" t="str">
        <f>IFERROR(__xludf.DUMMYFUNCTION("GOOGLETRANSLATE(B17397,""en"",""zh-CN"")"),"一个人正在把冰上扔掉。")</f>
        <v>一个人正在把冰上扔掉。</v>
      </c>
    </row>
    <row r="17398">
      <c r="A17398" s="4" t="s">
        <v>21898</v>
      </c>
      <c r="B17398" s="4" t="s">
        <v>21899</v>
      </c>
      <c r="C17398" s="5" t="str">
        <f>IFERROR(__xludf.DUMMYFUNCTION("GOOGLETRANSLATE(B17398,""en"",""zh-CN"")"),"一只猫躺在某人的腿上。")</f>
        <v>一只猫躺在某人的腿上。</v>
      </c>
    </row>
    <row r="17399">
      <c r="A17399" s="4" t="s">
        <v>21898</v>
      </c>
      <c r="B17399" s="4" t="s">
        <v>21900</v>
      </c>
      <c r="C17399" s="5" t="str">
        <f>IFERROR(__xludf.DUMMYFUNCTION("GOOGLETRANSLATE(B17399,""en"",""zh-CN"")"),"该人开始用指甲剪子剪掉猫指甲。")</f>
        <v>该人开始用指甲剪子剪掉猫指甲。</v>
      </c>
    </row>
    <row r="17400">
      <c r="A17400" s="4" t="s">
        <v>21898</v>
      </c>
      <c r="B17400" s="4" t="s">
        <v>21901</v>
      </c>
      <c r="C17400" s="5" t="str">
        <f>IFERROR(__xludf.DUMMYFUNCTION("GOOGLETRANSLATE(B17400,""en"",""zh-CN"")"),"他们完成并宠爱猫的脚。")</f>
        <v>他们完成并宠爱猫的脚。</v>
      </c>
    </row>
    <row r="17401">
      <c r="A17401" s="4" t="s">
        <v>21902</v>
      </c>
      <c r="B17401" s="4" t="s">
        <v>21903</v>
      </c>
      <c r="C17401" s="5" t="str">
        <f>IFERROR(__xludf.DUMMYFUNCTION("GOOGLETRANSLATE(B17401,""en"",""zh-CN"")"),"一名雌性在运动胸罩和比基尼底部的底部四处准备。")</f>
        <v>一名雌性在运动胸罩和比基尼底部的底部四处准备。</v>
      </c>
    </row>
    <row r="17402">
      <c r="A17402" s="4" t="s">
        <v>21902</v>
      </c>
      <c r="B17402" s="4" t="s">
        <v>21904</v>
      </c>
      <c r="C17402" s="5" t="str">
        <f>IFERROR(__xludf.DUMMYFUNCTION("GOOGLETRANSLATE(B17402,""en"",""zh-CN"")"),"她把头发放下，把它放回马尾辫中。")</f>
        <v>她把头发放下，把它放回马尾辫中。</v>
      </c>
    </row>
    <row r="17403">
      <c r="A17403" s="4" t="s">
        <v>21902</v>
      </c>
      <c r="B17403" s="4" t="s">
        <v>21905</v>
      </c>
      <c r="C17403" s="5" t="str">
        <f>IFERROR(__xludf.DUMMYFUNCTION("GOOGLETRANSLATE(B17403,""en"",""zh-CN"")"),"她打了个屁股，站在那儿准备开始跑步。")</f>
        <v>她打了个屁股，站在那儿准备开始跑步。</v>
      </c>
    </row>
    <row r="17404">
      <c r="A17404" s="4" t="s">
        <v>21902</v>
      </c>
      <c r="B17404" s="4" t="s">
        <v>21906</v>
      </c>
      <c r="C17404" s="5" t="str">
        <f>IFERROR(__xludf.DUMMYFUNCTION("GOOGLETRANSLATE(B17404,""en"",""zh-CN"")"),"她开始跑步，然后跳过路线并着陆。")</f>
        <v>她开始跑步，然后跳过路线并着陆。</v>
      </c>
    </row>
    <row r="17405">
      <c r="A17405" s="4" t="s">
        <v>21907</v>
      </c>
      <c r="B17405" s="6" t="s">
        <v>21908</v>
      </c>
      <c r="C17405" s="5" t="str">
        <f>IFERROR(__xludf.DUMMYFUNCTION("GOOGLETRANSLATE(B17405,""en"",""zh-CN"")"),"有两个年轻的女孩手里拿着小提琴，站在音乐摊位上，背后有音乐笔记。")</f>
        <v>有两个年轻的女孩手里拿着小提琴，站在音乐摊位上，背后有音乐笔记。</v>
      </c>
    </row>
    <row r="17406">
      <c r="A17406" s="4" t="s">
        <v>21907</v>
      </c>
      <c r="B17406" s="6" t="s">
        <v>21909</v>
      </c>
      <c r="C17406" s="5" t="str">
        <f>IFERROR(__xludf.DUMMYFUNCTION("GOOGLETRANSLATE(B17406,""en"",""zh-CN"")"),"这位年长的女孩正在帮助和教她的妹妹通过改变头部位置来适当地握住小提琴。")</f>
        <v>这位年长的女孩正在帮助和教她的妹妹通过改变头部位置来适当地握住小提琴。</v>
      </c>
    </row>
    <row r="17407">
      <c r="A17407" s="4" t="s">
        <v>21907</v>
      </c>
      <c r="B17407" s="4" t="s">
        <v>21910</v>
      </c>
      <c r="C17407" s="5" t="str">
        <f>IFERROR(__xludf.DUMMYFUNCTION("GOOGLETRANSLATE(B17407,""en"",""zh-CN"")"),"然后姐姐抓住小提琴并调整小提琴的弦。")</f>
        <v>然后姐姐抓住小提琴并调整小提琴的弦。</v>
      </c>
    </row>
    <row r="17408">
      <c r="A17408" s="4" t="s">
        <v>21907</v>
      </c>
      <c r="B17408" s="4" t="s">
        <v>21911</v>
      </c>
      <c r="C17408" s="5" t="str">
        <f>IFERROR(__xludf.DUMMYFUNCTION("GOOGLETRANSLATE(B17408,""en"",""zh-CN"")"),"然后姐姐开始玩小提琴，而妹妹看着她。")</f>
        <v>然后姐姐开始玩小提琴，而妹妹看着她。</v>
      </c>
    </row>
    <row r="17409">
      <c r="A17409" s="4" t="s">
        <v>21907</v>
      </c>
      <c r="B17409" s="4" t="s">
        <v>21912</v>
      </c>
      <c r="C17409" s="5" t="str">
        <f>IFERROR(__xludf.DUMMYFUNCTION("GOOGLETRANSLATE(B17409,""en"",""zh-CN"")"),"大女孩向她的姐姐展示了如何弹小提琴。")</f>
        <v>大女孩向她的姐姐展示了如何弹小提琴。</v>
      </c>
    </row>
    <row r="17410">
      <c r="A17410" s="4" t="s">
        <v>21907</v>
      </c>
      <c r="B17410" s="4" t="s">
        <v>21913</v>
      </c>
      <c r="C17410" s="5" t="str">
        <f>IFERROR(__xludf.DUMMYFUNCTION("GOOGLETRANSLATE(B17410,""en"",""zh-CN"")"),"然后他们俩开始一起演奏小提琴。")</f>
        <v>然后他们俩开始一起演奏小提琴。</v>
      </c>
    </row>
    <row r="17411">
      <c r="A17411" s="4" t="s">
        <v>21914</v>
      </c>
      <c r="B17411" s="4" t="s">
        <v>21915</v>
      </c>
      <c r="C17411" s="5" t="str">
        <f>IFERROR(__xludf.DUMMYFUNCTION("GOOGLETRANSLATE(B17411,""en"",""zh-CN"")"),"一个男人在舞台上显示，打鼓。")</f>
        <v>一个男人在舞台上显示，打鼓。</v>
      </c>
    </row>
    <row r="17412">
      <c r="A17412" s="4" t="s">
        <v>21914</v>
      </c>
      <c r="B17412" s="4" t="s">
        <v>21916</v>
      </c>
      <c r="C17412" s="5" t="str">
        <f>IFERROR(__xludf.DUMMYFUNCTION("GOOGLETRANSLATE(B17412,""en"",""zh-CN"")"),"他非常快地击败了Cymbals和鼓。")</f>
        <v>他非常快地击败了Cymbals和鼓。</v>
      </c>
    </row>
    <row r="17413">
      <c r="A17413" s="4" t="s">
        <v>21914</v>
      </c>
      <c r="B17413" s="4" t="s">
        <v>21917</v>
      </c>
      <c r="C17413" s="5" t="str">
        <f>IFERROR(__xludf.DUMMYFUNCTION("GOOGLETRANSLATE(B17413,""en"",""zh-CN"")"),"他继续说，随着他的身份发表脸。")</f>
        <v>他继续说，随着他的身份发表脸。</v>
      </c>
    </row>
    <row r="17414">
      <c r="A17414" s="4" t="s">
        <v>21918</v>
      </c>
      <c r="B17414" s="4" t="s">
        <v>21919</v>
      </c>
      <c r="C17414" s="5" t="str">
        <f>IFERROR(__xludf.DUMMYFUNCTION("GOOGLETRANSLATE(B17414,""en"",""zh-CN"")"),"一大批骑马的人在大型田野上互相走动。")</f>
        <v>一大批骑马的人在大型田野上互相走动。</v>
      </c>
    </row>
    <row r="17415">
      <c r="A17415" s="4" t="s">
        <v>21918</v>
      </c>
      <c r="B17415" s="4" t="s">
        <v>21920</v>
      </c>
      <c r="C17415" s="5" t="str">
        <f>IFERROR(__xludf.DUMMYFUNCTION("GOOGLETRANSLATE(B17415,""en"",""zh-CN"")"),"他们中的一个将球扔到场上，人们开始在马匹上玩游戏。")</f>
        <v>他们中的一个将球扔到场上，人们开始在马匹上玩游戏。</v>
      </c>
    </row>
    <row r="17416">
      <c r="A17416" s="4" t="s">
        <v>21921</v>
      </c>
      <c r="B17416" s="4" t="s">
        <v>21922</v>
      </c>
      <c r="C17416" s="5" t="str">
        <f>IFERROR(__xludf.DUMMYFUNCTION("GOOGLETRANSLATE(B17416,""en"",""zh-CN"")"),"一个男人穿着所有白色的衣服在一个露天的地方玩槌球。")</f>
        <v>一个男人穿着所有白色的衣服在一个露天的地方玩槌球。</v>
      </c>
    </row>
    <row r="17417">
      <c r="A17417" s="4" t="s">
        <v>21921</v>
      </c>
      <c r="B17417" s="4" t="s">
        <v>21923</v>
      </c>
      <c r="C17417" s="5" t="str">
        <f>IFERROR(__xludf.DUMMYFUNCTION("GOOGLETRANSLATE(B17417,""en"",""zh-CN"")"),"田野里有几把椅子。")</f>
        <v>田野里有几把椅子。</v>
      </c>
    </row>
    <row r="17418">
      <c r="A17418" s="4" t="s">
        <v>21921</v>
      </c>
      <c r="B17418" s="4" t="s">
        <v>21924</v>
      </c>
      <c r="C17418" s="5" t="str">
        <f>IFERROR(__xludf.DUMMYFUNCTION("GOOGLETRANSLATE(B17418,""en"",""zh-CN"")"),"他把槌拿到手中，将槌球球撞到箍上。")</f>
        <v>他把槌拿到手中，将槌球球撞到箍上。</v>
      </c>
    </row>
    <row r="17419">
      <c r="A17419" s="4" t="s">
        <v>21921</v>
      </c>
      <c r="B17419" s="4" t="s">
        <v>21925</v>
      </c>
      <c r="C17419" s="5" t="str">
        <f>IFERROR(__xludf.DUMMYFUNCTION("GOOGLETRANSLATE(B17419,""en"",""zh-CN"")"),"他击中球，然后直接落入箍。")</f>
        <v>他击中球，然后直接落入箍。</v>
      </c>
    </row>
    <row r="17420">
      <c r="A17420" s="4" t="s">
        <v>21926</v>
      </c>
      <c r="B17420" s="4" t="s">
        <v>21927</v>
      </c>
      <c r="C17420" s="5" t="str">
        <f>IFERROR(__xludf.DUMMYFUNCTION("GOOGLETRANSLATE(B17420,""en"",""zh-CN"")"),"一个男人用球拍捡起球，然后将其摇到他的对手。")</f>
        <v>一个男人用球拍捡起球，然后将其摇到他的对手。</v>
      </c>
    </row>
    <row r="17421">
      <c r="A17421" s="4" t="s">
        <v>21926</v>
      </c>
      <c r="B17421" s="4" t="s">
        <v>21928</v>
      </c>
      <c r="C17421" s="5" t="str">
        <f>IFERROR(__xludf.DUMMYFUNCTION("GOOGLETRANSLATE(B17421,""en"",""zh-CN"")"),"对手为球服务。")</f>
        <v>对手为球服务。</v>
      </c>
    </row>
    <row r="17422">
      <c r="A17422" s="4" t="s">
        <v>21926</v>
      </c>
      <c r="B17422" s="4" t="s">
        <v>21929</v>
      </c>
      <c r="C17422" s="5" t="str">
        <f>IFERROR(__xludf.DUMMYFUNCTION("GOOGLETRANSLATE(B17422,""en"",""zh-CN"")"),"球队参与了迅速的来回击球。")</f>
        <v>球队参与了迅速的来回击球。</v>
      </c>
    </row>
    <row r="17423">
      <c r="A17423" s="4" t="s">
        <v>21926</v>
      </c>
      <c r="B17423" s="4" t="s">
        <v>21930</v>
      </c>
      <c r="C17423" s="5" t="str">
        <f>IFERROR(__xludf.DUMMYFUNCTION("GOOGLETRANSLATE(B17423,""en"",""zh-CN"")"),"比赛停止了一秒钟，并与其中一支球队一起服务。")</f>
        <v>比赛停止了一秒钟，并与其中一支球队一起服务。</v>
      </c>
    </row>
    <row r="17424">
      <c r="A17424" s="4" t="s">
        <v>21926</v>
      </c>
      <c r="B17424" s="4" t="s">
        <v>21931</v>
      </c>
      <c r="C17424" s="5" t="str">
        <f>IFERROR(__xludf.DUMMYFUNCTION("GOOGLETRANSLATE(B17424,""en"",""zh-CN"")"),"他们在球场上互相战斗，在网上来回送球。")</f>
        <v>他们在球场上互相战斗，在网上来回送球。</v>
      </c>
    </row>
    <row r="17425">
      <c r="A17425" s="4" t="s">
        <v>21926</v>
      </c>
      <c r="B17425" s="4" t="s">
        <v>21932</v>
      </c>
      <c r="C17425" s="5" t="str">
        <f>IFERROR(__xludf.DUMMYFUNCTION("GOOGLETRANSLATE(B17425,""en"",""zh-CN"")"),"球超出了范围。")</f>
        <v>球超出了范围。</v>
      </c>
    </row>
    <row r="17426">
      <c r="A17426" s="4" t="s">
        <v>21926</v>
      </c>
      <c r="B17426" s="6" t="s">
        <v>21933</v>
      </c>
      <c r="C17426" s="5" t="str">
        <f>IFERROR(__xludf.DUMMYFUNCTION("GOOGLETRANSLATE(B17426,""en"",""zh-CN"")"),"一个人将球送给球，他们在球落到地面之前来回短暂地在球中来回跳动。")</f>
        <v>一个人将球送给球，他们在球落到地面之前来回短暂地在球中来回跳动。</v>
      </c>
    </row>
    <row r="17427">
      <c r="A17427" s="4" t="s">
        <v>21934</v>
      </c>
      <c r="B17427" s="4" t="s">
        <v>7239</v>
      </c>
      <c r="C17427" s="5" t="str">
        <f>IFERROR(__xludf.DUMMYFUNCTION("GOOGLETRANSLATE(B17427,""en"",""zh-CN"")"),"我们看到一个黑色标题屏幕。")</f>
        <v>我们看到一个黑色标题屏幕。</v>
      </c>
    </row>
    <row r="17428">
      <c r="A17428" s="4" t="s">
        <v>21934</v>
      </c>
      <c r="B17428" s="4" t="s">
        <v>21935</v>
      </c>
      <c r="C17428" s="5" t="str">
        <f>IFERROR(__xludf.DUMMYFUNCTION("GOOGLETRANSLATE(B17428,""en"",""zh-CN"")"),"一个人走到带有挤压器的砖墙上，向我们展示了一瓶风口。")</f>
        <v>一个人走到带有挤压器的砖墙上，向我们展示了一瓶风口。</v>
      </c>
    </row>
    <row r="17429">
      <c r="A17429" s="4" t="s">
        <v>21934</v>
      </c>
      <c r="B17429" s="4" t="s">
        <v>21936</v>
      </c>
      <c r="C17429" s="5" t="str">
        <f>IFERROR(__xludf.DUMMYFUNCTION("GOOGLETRANSLATE(B17429,""en"",""zh-CN"")"),"那个人洗窗户。")</f>
        <v>那个人洗窗户。</v>
      </c>
    </row>
    <row r="17430">
      <c r="A17430" s="4" t="s">
        <v>21934</v>
      </c>
      <c r="B17430" s="4" t="s">
        <v>21937</v>
      </c>
      <c r="C17430" s="5" t="str">
        <f>IFERROR(__xludf.DUMMYFUNCTION("GOOGLETRANSLATE(B17430,""en"",""zh-CN"")"),"该男子喷洒了风，并用Squeegee洗净。")</f>
        <v>该男子喷洒了风，并用Squeegee洗净。</v>
      </c>
    </row>
    <row r="17431">
      <c r="A17431" s="4" t="s">
        <v>21934</v>
      </c>
      <c r="B17431" s="4" t="s">
        <v>21938</v>
      </c>
      <c r="C17431" s="5" t="str">
        <f>IFERROR(__xludf.DUMMYFUNCTION("GOOGLETRANSLATE(B17431,""en"",""zh-CN"")"),"该男子使用叶子鼓风机干燥窗户。")</f>
        <v>该男子使用叶子鼓风机干燥窗户。</v>
      </c>
    </row>
    <row r="17432">
      <c r="A17432" s="4" t="s">
        <v>21934</v>
      </c>
      <c r="B17432" s="4" t="s">
        <v>21939</v>
      </c>
      <c r="C17432" s="5" t="str">
        <f>IFERROR(__xludf.DUMMYFUNCTION("GOOGLETRANSLATE(B17432,""en"",""zh-CN"")"),"该男子在离开之前结束并谈论窗户。")</f>
        <v>该男子在离开之前结束并谈论窗户。</v>
      </c>
    </row>
    <row r="17433">
      <c r="A17433" s="4" t="s">
        <v>21940</v>
      </c>
      <c r="B17433" s="4" t="s">
        <v>21941</v>
      </c>
      <c r="C17433" s="5" t="str">
        <f>IFERROR(__xludf.DUMMYFUNCTION("GOOGLETRANSLATE(B17433,""en"",""zh-CN"")"),"有两个孩子在电视前做混合的武术。")</f>
        <v>有两个孩子在电视前做混合的武术。</v>
      </c>
    </row>
    <row r="17434">
      <c r="A17434" s="4" t="s">
        <v>21940</v>
      </c>
      <c r="B17434" s="4" t="s">
        <v>21942</v>
      </c>
      <c r="C17434" s="5" t="str">
        <f>IFERROR(__xludf.DUMMYFUNCTION("GOOGLETRANSLATE(B17434,""en"",""zh-CN"")"),"他们正在互相踢和踢运动。")</f>
        <v>他们正在互相踢和踢运动。</v>
      </c>
    </row>
    <row r="17435">
      <c r="A17435" s="4" t="s">
        <v>21943</v>
      </c>
      <c r="B17435" s="4" t="s">
        <v>21944</v>
      </c>
      <c r="C17435" s="5" t="str">
        <f>IFERROR(__xludf.DUMMYFUNCTION("GOOGLETRANSLATE(B17435,""en"",""zh-CN"")"),"一个男人在黑暗仓库的滑板上的几枪中看到了一个男人。")</f>
        <v>一个男人在黑暗仓库的滑板上的几枪中看到了一个男人。</v>
      </c>
    </row>
    <row r="17436">
      <c r="A17436" s="4" t="s">
        <v>21943</v>
      </c>
      <c r="B17436" s="4" t="s">
        <v>21945</v>
      </c>
      <c r="C17436" s="5" t="str">
        <f>IFERROR(__xludf.DUMMYFUNCTION("GOOGLETRANSLATE(B17436,""en"",""zh-CN"")"),"然后，该男子开始跳到董事会以展示动作。")</f>
        <v>然后，该男子开始跳到董事会以展示动作。</v>
      </c>
    </row>
    <row r="17437">
      <c r="A17437" s="4" t="s">
        <v>21943</v>
      </c>
      <c r="B17437" s="4" t="s">
        <v>21946</v>
      </c>
      <c r="C17437" s="5" t="str">
        <f>IFERROR(__xludf.DUMMYFUNCTION("GOOGLETRANSLATE(B17437,""en"",""zh-CN"")"),"当相机捕捉他的动作时，他继续在房间里跳跃。")</f>
        <v>当相机捕捉他的动作时，他继续在房间里跳跃。</v>
      </c>
    </row>
    <row r="17438">
      <c r="A17438" s="4" t="s">
        <v>21947</v>
      </c>
      <c r="B17438" s="4" t="s">
        <v>21948</v>
      </c>
      <c r="C17438" s="5" t="str">
        <f>IFERROR(__xludf.DUMMYFUNCTION("GOOGLETRANSLATE(B17438,""en"",""zh-CN"")"),"我们看到冰球守门员在冰上滑冰。")</f>
        <v>我们看到冰球守门员在冰上滑冰。</v>
      </c>
    </row>
    <row r="17439">
      <c r="A17439" s="4" t="s">
        <v>21947</v>
      </c>
      <c r="B17439" s="4" t="s">
        <v>21949</v>
      </c>
      <c r="C17439" s="5" t="str">
        <f>IFERROR(__xludf.DUMMYFUNCTION("GOOGLETRANSLATE(B17439,""en"",""zh-CN"")"),"守门员反复击球。")</f>
        <v>守门员反复击球。</v>
      </c>
    </row>
    <row r="17440">
      <c r="A17440" s="4" t="s">
        <v>21947</v>
      </c>
      <c r="B17440" s="4" t="s">
        <v>21950</v>
      </c>
      <c r="C17440" s="5" t="str">
        <f>IFERROR(__xludf.DUMMYFUNCTION("GOOGLETRANSLATE(B17440,""en"",""zh-CN"")"),"我们看到守门员躺在冰上。")</f>
        <v>我们看到守门员躺在冰上。</v>
      </c>
    </row>
    <row r="17441">
      <c r="A17441" s="4" t="s">
        <v>21947</v>
      </c>
      <c r="B17441" s="4" t="s">
        <v>21951</v>
      </c>
      <c r="C17441" s="5" t="str">
        <f>IFERROR(__xludf.DUMMYFUNCTION("GOOGLETRANSLATE(B17441,""en"",""zh-CN"")"),"射门使它过去，守门员发脾气。")</f>
        <v>射门使它过去，守门员发脾气。</v>
      </c>
    </row>
    <row r="17442">
      <c r="A17442" s="4" t="s">
        <v>21947</v>
      </c>
      <c r="B17442" s="4" t="s">
        <v>21952</v>
      </c>
      <c r="C17442" s="5" t="str">
        <f>IFERROR(__xludf.DUMMYFUNCTION("GOOGLETRANSLATE(B17442,""en"",""zh-CN"")"),"当一个人开枪时，守门员坐在地面上。")</f>
        <v>当一个人开枪时，守门员坐在地面上。</v>
      </c>
    </row>
    <row r="17443">
      <c r="A17443" s="4" t="s">
        <v>21953</v>
      </c>
      <c r="B17443" s="4" t="s">
        <v>21954</v>
      </c>
      <c r="C17443" s="5" t="str">
        <f>IFERROR(__xludf.DUMMYFUNCTION("GOOGLETRANSLATE(B17443,""en"",""zh-CN"")"),"一个穿着黑色衬衫和蓝色牛仔裤的男人正在弹吉他。")</f>
        <v>一个穿着黑色衬衫和蓝色牛仔裤的男人正在弹吉他。</v>
      </c>
    </row>
    <row r="17444">
      <c r="A17444" s="4" t="s">
        <v>21953</v>
      </c>
      <c r="B17444" s="4" t="s">
        <v>21955</v>
      </c>
      <c r="C17444" s="5" t="str">
        <f>IFERROR(__xludf.DUMMYFUNCTION("GOOGLETRANSLATE(B17444,""en"",""zh-CN"")"),"当他有节奏地移动双腿时，他扮演即兴演奏。")</f>
        <v>当他有节奏地移动双腿时，他扮演即兴演奏。</v>
      </c>
    </row>
    <row r="17445">
      <c r="A17445" s="4" t="s">
        <v>21953</v>
      </c>
      <c r="B17445" s="4" t="s">
        <v>21956</v>
      </c>
      <c r="C17445" s="5" t="str">
        <f>IFERROR(__xludf.DUMMYFUNCTION("GOOGLETRANSLATE(B17445,""en"",""zh-CN"")"),"当相机专注于手和吉他时，他继续弹吉他。")</f>
        <v>当相机专注于手和吉他时，他继续弹吉他。</v>
      </c>
    </row>
    <row r="17446">
      <c r="A17446" s="4" t="s">
        <v>21953</v>
      </c>
      <c r="B17446" s="4" t="s">
        <v>21957</v>
      </c>
      <c r="C17446" s="5" t="str">
        <f>IFERROR(__xludf.DUMMYFUNCTION("GOOGLETRANSLATE(B17446,""en"",""zh-CN"")"),"当他用自己的精选弹奏吉他时，他又一次播放了几首不同的音乐。")</f>
        <v>当他用自己的精选弹奏吉他时，他又一次播放了几首不同的音乐。</v>
      </c>
    </row>
    <row r="17447">
      <c r="A17447" s="4" t="s">
        <v>21958</v>
      </c>
      <c r="B17447" s="4" t="s">
        <v>21959</v>
      </c>
      <c r="C17447" s="5" t="str">
        <f>IFERROR(__xludf.DUMMYFUNCTION("GOOGLETRANSLATE(B17447,""en"",""zh-CN"")"),"看到一个男人笑着对自己微笑，并导致他在他面前弹钢琴。")</f>
        <v>看到一个男人笑着对自己微笑，并导致他在他面前弹钢琴。</v>
      </c>
    </row>
    <row r="17448">
      <c r="A17448" s="4" t="s">
        <v>21958</v>
      </c>
      <c r="B17448" s="6" t="s">
        <v>21960</v>
      </c>
      <c r="C17448" s="5" t="str">
        <f>IFERROR(__xludf.DUMMYFUNCTION("GOOGLETRANSLATE(B17448,""en"",""zh-CN"")"),"该男子停下来，向远处看，看到另一个男人对他和麦克风说话。")</f>
        <v>该男子停下来，向远处看，看到另一个男人对他和麦克风说话。</v>
      </c>
    </row>
    <row r="17449">
      <c r="A17449" s="4" t="s">
        <v>21961</v>
      </c>
      <c r="B17449" s="4" t="s">
        <v>21962</v>
      </c>
      <c r="C17449" s="5" t="str">
        <f>IFERROR(__xludf.DUMMYFUNCTION("GOOGLETRANSLATE(B17449,""en"",""zh-CN"")"),"一系列球员一起在法庭上。")</f>
        <v>一系列球员一起在法庭上。</v>
      </c>
    </row>
    <row r="17450">
      <c r="A17450" s="4" t="s">
        <v>21961</v>
      </c>
      <c r="B17450" s="4" t="s">
        <v>21963</v>
      </c>
      <c r="C17450" s="5" t="str">
        <f>IFERROR(__xludf.DUMMYFUNCTION("GOOGLETRANSLATE(B17450,""en"",""zh-CN"")"),"他们开始一致跳绳。")</f>
        <v>他们开始一致跳绳。</v>
      </c>
    </row>
    <row r="17451">
      <c r="A17451" s="4" t="s">
        <v>21961</v>
      </c>
      <c r="B17451" s="4" t="s">
        <v>21964</v>
      </c>
      <c r="C17451" s="5" t="str">
        <f>IFERROR(__xludf.DUMMYFUNCTION("GOOGLETRANSLATE(B17451,""en"",""zh-CN"")"),"他们移动，跳舞和翻转绳索。")</f>
        <v>他们移动，跳舞和翻转绳索。</v>
      </c>
    </row>
    <row r="17452">
      <c r="A17452" s="4" t="s">
        <v>21965</v>
      </c>
      <c r="B17452" s="4" t="s">
        <v>21966</v>
      </c>
      <c r="C17452" s="5" t="str">
        <f>IFERROR(__xludf.DUMMYFUNCTION("GOOGLETRANSLATE(B17452,""en"",""zh-CN"")"),"一个人准备演奏乐器。")</f>
        <v>一个人准备演奏乐器。</v>
      </c>
    </row>
    <row r="17453">
      <c r="A17453" s="4" t="s">
        <v>21965</v>
      </c>
      <c r="B17453" s="4" t="s">
        <v>21967</v>
      </c>
      <c r="C17453" s="5" t="str">
        <f>IFERROR(__xludf.DUMMYFUNCTION("GOOGLETRANSLATE(B17453,""en"",""zh-CN"")"),"这个家伙演奏萨克斯管并使用麦克风。")</f>
        <v>这个家伙演奏萨克斯管并使用麦克风。</v>
      </c>
    </row>
    <row r="17454">
      <c r="A17454" s="4" t="s">
        <v>21965</v>
      </c>
      <c r="B17454" s="4" t="s">
        <v>21968</v>
      </c>
      <c r="C17454" s="5" t="str">
        <f>IFERROR(__xludf.DUMMYFUNCTION("GOOGLETRANSLATE(B17454,""en"",""zh-CN"")"),"那家伙把萨克斯管从他的嘴里拿出来，弯腰。")</f>
        <v>那家伙把萨克斯管从他的嘴里拿出来，弯腰。</v>
      </c>
    </row>
    <row r="17455">
      <c r="A17455" s="4" t="s">
        <v>21969</v>
      </c>
      <c r="B17455" s="4" t="s">
        <v>21970</v>
      </c>
      <c r="C17455" s="5" t="str">
        <f>IFERROR(__xludf.DUMMYFUNCTION("GOOGLETRANSLATE(B17455,""en"",""zh-CN"")"),"一个人正在画一个木篱笆。")</f>
        <v>一个人正在画一个木篱笆。</v>
      </c>
    </row>
    <row r="17456">
      <c r="A17456" s="4" t="s">
        <v>21969</v>
      </c>
      <c r="B17456" s="4" t="s">
        <v>21971</v>
      </c>
      <c r="C17456" s="5" t="str">
        <f>IFERROR(__xludf.DUMMYFUNCTION("GOOGLETRANSLATE(B17456,""en"",""zh-CN"")"),"可以看到猫的爪子从篱笆下方出来。")</f>
        <v>可以看到猫的爪子从篱笆下方出来。</v>
      </c>
    </row>
    <row r="17457">
      <c r="A17457" s="4" t="s">
        <v>21969</v>
      </c>
      <c r="B17457" s="4" t="s">
        <v>21972</v>
      </c>
      <c r="C17457" s="5" t="str">
        <f>IFERROR(__xludf.DUMMYFUNCTION("GOOGLETRANSLATE(B17457,""en"",""zh-CN"")"),"一只狗看着猫的爪子。")</f>
        <v>一只狗看着猫的爪子。</v>
      </c>
    </row>
    <row r="17458">
      <c r="A17458" s="4" t="s">
        <v>21973</v>
      </c>
      <c r="B17458" s="4" t="s">
        <v>21974</v>
      </c>
      <c r="C17458" s="5" t="str">
        <f>IFERROR(__xludf.DUMMYFUNCTION("GOOGLETRANSLATE(B17458,""en"",""zh-CN"")"),"一个男人在家里演奏一组手鼓时在电视上观看表演。")</f>
        <v>一个男人在家里演奏一组手鼓时在电视上观看表演。</v>
      </c>
    </row>
    <row r="17459">
      <c r="A17459" s="4" t="s">
        <v>21973</v>
      </c>
      <c r="B17459" s="4" t="s">
        <v>21975</v>
      </c>
      <c r="C17459" s="5" t="str">
        <f>IFERROR(__xludf.DUMMYFUNCTION("GOOGLETRANSLATE(B17459,""en"",""zh-CN"")"),"该男子在演奏鼓时期待着并集中精力。")</f>
        <v>该男子在演奏鼓时期待着并集中精力。</v>
      </c>
    </row>
    <row r="17460">
      <c r="A17460" s="4" t="s">
        <v>21973</v>
      </c>
      <c r="B17460" s="4" t="s">
        <v>21976</v>
      </c>
      <c r="C17460" s="5" t="str">
        <f>IFERROR(__xludf.DUMMYFUNCTION("GOOGLETRANSLATE(B17460,""en"",""zh-CN"")"),"该男子向后倾斜，猛烈地在鼓上演奏。")</f>
        <v>该男子向后倾斜，猛烈地在鼓上演奏。</v>
      </c>
    </row>
    <row r="17461">
      <c r="A17461" s="4" t="s">
        <v>21977</v>
      </c>
      <c r="B17461" s="4" t="s">
        <v>21978</v>
      </c>
      <c r="C17461" s="5" t="str">
        <f>IFERROR(__xludf.DUMMYFUNCTION("GOOGLETRANSLATE(B17461,""en"",""zh-CN"")"),"显示了许多河中的树木和深水。")</f>
        <v>显示了许多河中的树木和深水。</v>
      </c>
    </row>
    <row r="17462">
      <c r="A17462" s="4" t="s">
        <v>21977</v>
      </c>
      <c r="B17462" s="4" t="s">
        <v>21979</v>
      </c>
      <c r="C17462" s="5" t="str">
        <f>IFERROR(__xludf.DUMMYFUNCTION("GOOGLETRANSLATE(B17462,""en"",""zh-CN"")"),"一个人站在快艇的后部。")</f>
        <v>一个人站在快艇的后部。</v>
      </c>
    </row>
    <row r="17463">
      <c r="A17463" s="4" t="s">
        <v>21977</v>
      </c>
      <c r="B17463" s="4" t="s">
        <v>21980</v>
      </c>
      <c r="C17463" s="5" t="str">
        <f>IFERROR(__xludf.DUMMYFUNCTION("GOOGLETRANSLATE(B17463,""en"",""zh-CN"")"),"他将木板放在水中，开始滑水。")</f>
        <v>他将木板放在水中，开始滑水。</v>
      </c>
    </row>
    <row r="17464">
      <c r="A17464" s="4" t="s">
        <v>21977</v>
      </c>
      <c r="B17464" s="4" t="s">
        <v>21981</v>
      </c>
      <c r="C17464" s="5" t="str">
        <f>IFERROR(__xludf.DUMMYFUNCTION("GOOGLETRANSLATE(B17464,""en"",""zh-CN"")"),"他在滑雪板时执行了几个技巧。")</f>
        <v>他在滑雪板时执行了几个技巧。</v>
      </c>
    </row>
    <row r="17465">
      <c r="A17465" s="4" t="s">
        <v>21982</v>
      </c>
      <c r="B17465" s="4" t="s">
        <v>21983</v>
      </c>
      <c r="C17465" s="5" t="str">
        <f>IFERROR(__xludf.DUMMYFUNCTION("GOOGLETRANSLATE(B17465,""en"",""zh-CN"")"),"一个小男孩在皮纳塔（Pinata）挥舞着，没有受到良好打击。")</f>
        <v>一个小男孩在皮纳塔（Pinata）挥舞着，没有受到良好打击。</v>
      </c>
    </row>
    <row r="17466">
      <c r="A17466" s="4" t="s">
        <v>21982</v>
      </c>
      <c r="B17466" s="4" t="s">
        <v>21984</v>
      </c>
      <c r="C17466" s="5" t="str">
        <f>IFERROR(__xludf.DUMMYFUNCTION("GOOGLETRANSLATE(B17466,""en"",""zh-CN"")"),"这个男孩躲开了摇摆他的皮纳塔。")</f>
        <v>这个男孩躲开了摇摆他的皮纳塔。</v>
      </c>
    </row>
    <row r="17467">
      <c r="A17467" s="4" t="s">
        <v>21982</v>
      </c>
      <c r="B17467" s="4" t="s">
        <v>21985</v>
      </c>
      <c r="C17467" s="5" t="str">
        <f>IFERROR(__xludf.DUMMYFUNCTION("GOOGLETRANSLATE(B17467,""en"",""zh-CN"")"),"这个男孩放弃了，走开了。")</f>
        <v>这个男孩放弃了，走开了。</v>
      </c>
    </row>
    <row r="17468">
      <c r="A17468" s="4" t="s">
        <v>21986</v>
      </c>
      <c r="B17468" s="4" t="s">
        <v>21987</v>
      </c>
      <c r="C17468" s="5" t="str">
        <f>IFERROR(__xludf.DUMMYFUNCTION("GOOGLETRANSLATE(B17468,""en"",""zh-CN"")"),"一个男人走进一个房间里玩风笛。")</f>
        <v>一个男人走进一个房间里玩风笛。</v>
      </c>
    </row>
    <row r="17469">
      <c r="A17469" s="4" t="s">
        <v>21986</v>
      </c>
      <c r="B17469" s="4" t="s">
        <v>21988</v>
      </c>
      <c r="C17469" s="5" t="str">
        <f>IFERROR(__xludf.DUMMYFUNCTION("GOOGLETRANSLATE(B17469,""en"",""zh-CN"")"),"他停止玩风笛。")</f>
        <v>他停止玩风笛。</v>
      </c>
    </row>
    <row r="17470">
      <c r="A17470" s="4" t="s">
        <v>21989</v>
      </c>
      <c r="B17470" s="4" t="s">
        <v>21990</v>
      </c>
      <c r="C17470" s="5" t="str">
        <f>IFERROR(__xludf.DUMMYFUNCTION("GOOGLETRANSLATE(B17470,""en"",""zh-CN"")"),"一群人在一个房间里说话。")</f>
        <v>一群人在一个房间里说话。</v>
      </c>
    </row>
    <row r="17471">
      <c r="A17471" s="4" t="s">
        <v>21989</v>
      </c>
      <c r="B17471" s="4" t="s">
        <v>21991</v>
      </c>
      <c r="C17471" s="5" t="str">
        <f>IFERROR(__xludf.DUMMYFUNCTION("GOOGLETRANSLATE(B17471,""en"",""zh-CN"")"),"武术电影中显示了几个战斗场景。")</f>
        <v>武术电影中显示了几个战斗场景。</v>
      </c>
    </row>
    <row r="17472">
      <c r="A17472" s="4" t="s">
        <v>21989</v>
      </c>
      <c r="B17472" s="4" t="s">
        <v>21992</v>
      </c>
      <c r="C17472" s="5" t="str">
        <f>IFERROR(__xludf.DUMMYFUNCTION("GOOGLETRANSLATE(B17472,""en"",""zh-CN"")"),"他们快速移动，假装为相机而战。")</f>
        <v>他们快速移动，假装为相机而战。</v>
      </c>
    </row>
    <row r="17473">
      <c r="A17473" s="4" t="s">
        <v>21993</v>
      </c>
      <c r="B17473" s="6" t="s">
        <v>21994</v>
      </c>
      <c r="C17473" s="5" t="str">
        <f>IFERROR(__xludf.DUMMYFUNCTION("GOOGLETRANSLATE(B17473,""en"",""zh-CN"")"),"看到一个男人在相机上说话，并导致他沿着走廊走并喝咖啡的镜头。")</f>
        <v>看到一个男人在相机上说话，并导致他沿着走廊走并喝咖啡的镜头。</v>
      </c>
    </row>
    <row r="17474">
      <c r="A17474" s="4" t="s">
        <v>21993</v>
      </c>
      <c r="B17474" s="4" t="s">
        <v>21995</v>
      </c>
      <c r="C17474" s="5" t="str">
        <f>IFERROR(__xludf.DUMMYFUNCTION("GOOGLETRANSLATE(B17474,""en"",""zh-CN"")"),"他抓住糖，在咖啡上盖上盖子，然后走开时在远处微笑。")</f>
        <v>他抓住糖，在咖啡上盖上盖子，然后走开时在远处微笑。</v>
      </c>
    </row>
    <row r="17475">
      <c r="A17475" s="4" t="s">
        <v>21996</v>
      </c>
      <c r="B17475" s="6" t="s">
        <v>21997</v>
      </c>
      <c r="C17475" s="5" t="str">
        <f>IFERROR(__xludf.DUMMYFUNCTION("GOOGLETRANSLATE(B17475,""en"",""zh-CN"")"),"一个男人在穿着工作服，牛仔衬衫和油漆面具时，在油漆店里使用喷漆器专业地用喷漆器画几件家具。")</f>
        <v>一个男人在穿着工作服，牛仔衬衫和油漆面具时，在油漆店里使用喷漆器专业地用喷漆器画几件家具。</v>
      </c>
    </row>
    <row r="17476">
      <c r="A17476" s="4" t="s">
        <v>21996</v>
      </c>
      <c r="B17476" s="4" t="s">
        <v>21998</v>
      </c>
      <c r="C17476" s="5" t="str">
        <f>IFERROR(__xludf.DUMMYFUNCTION("GOOGLETRANSLATE(B17476,""en"",""zh-CN"")"),"该男子首先要用金色喷漆罐涂上木制扶手椅金属灰色。")</f>
        <v>该男子首先要用金色喷漆罐涂上木制扶手椅金属灰色。</v>
      </c>
    </row>
    <row r="17477">
      <c r="A17477" s="4" t="s">
        <v>21996</v>
      </c>
      <c r="B17477" s="4" t="s">
        <v>21999</v>
      </c>
      <c r="C17477" s="5" t="str">
        <f>IFERROR(__xludf.DUMMYFUNCTION("GOOGLETRANSLATE(B17477,""en"",""zh-CN"")"),"然后，该男子将侧面桌子涂成黑色，灯光从黑色涂漆的木头上闪闪发光。")</f>
        <v>然后，该男子将侧面桌子涂成黑色，灯光从黑色涂漆的木头上闪闪发光。</v>
      </c>
    </row>
    <row r="17478">
      <c r="A17478" s="4" t="s">
        <v>21996</v>
      </c>
      <c r="B17478" s="6" t="s">
        <v>22000</v>
      </c>
      <c r="C17478" s="5" t="str">
        <f>IFERROR(__xludf.DUMMYFUNCTION("GOOGLETRANSLATE(B17478,""en"",""zh-CN"")"),"该男子以在现场淡化为黑色营销图形之前将梳妆台抽屉粉红色的粉红色结尾。")</f>
        <v>该男子以在现场淡化为黑色营销图形之前将梳妆台抽屉粉红色的粉红色结尾。</v>
      </c>
    </row>
    <row r="17479">
      <c r="A17479" s="4" t="s">
        <v>22001</v>
      </c>
      <c r="B17479" s="4" t="s">
        <v>22002</v>
      </c>
      <c r="C17479" s="5" t="str">
        <f>IFERROR(__xludf.DUMMYFUNCTION("GOOGLETRANSLATE(B17479,""en"",""zh-CN"")"),"一个男人开始骑越自行车，立即坠入他身后的地面。")</f>
        <v>一个男人开始骑越自行车，立即坠入他身后的地面。</v>
      </c>
    </row>
    <row r="17480">
      <c r="A17480" s="4" t="s">
        <v>22001</v>
      </c>
      <c r="B17480" s="6" t="s">
        <v>22003</v>
      </c>
      <c r="C17480" s="5" t="str">
        <f>IFERROR(__xludf.DUMMYFUNCTION("GOOGLETRANSLATE(B17480,""en"",""zh-CN"")"),"该视频跟随了更多的人试图竞争一辆越野车，并立即撞到他们面前的路上。")</f>
        <v>该视频跟随了更多的人试图竞争一辆越野车，并立即撞到他们面前的路上。</v>
      </c>
    </row>
    <row r="17481">
      <c r="A17481" s="4" t="s">
        <v>22004</v>
      </c>
      <c r="B17481" s="4" t="s">
        <v>22005</v>
      </c>
      <c r="C17481" s="5" t="str">
        <f>IFERROR(__xludf.DUMMYFUNCTION("GOOGLETRANSLATE(B17481,""en"",""zh-CN"")"),"一个男孩和一个女孩用五颜六色的纱坐在客厅里，展示如何编织。")</f>
        <v>一个男孩和一个女孩用五颜六色的纱坐在客厅里，展示如何编织。</v>
      </c>
    </row>
    <row r="17482">
      <c r="A17482" s="4" t="s">
        <v>22004</v>
      </c>
      <c r="B17482" s="6" t="s">
        <v>22006</v>
      </c>
      <c r="C17482" s="5" t="str">
        <f>IFERROR(__xludf.DUMMYFUNCTION("GOOGLETRANSLATE(B17482,""en"",""zh-CN"")"),"这个男孩穿着蓝色连帽衫，女孩穿着一件白色的毛衣，上面有蓝色的水平条纹。")</f>
        <v>这个男孩穿着蓝色连帽衫，女孩穿着一件白色的毛衣，上面有蓝色的水平条纹。</v>
      </c>
    </row>
    <row r="17483">
      <c r="A17483" s="4" t="s">
        <v>22004</v>
      </c>
      <c r="B17483" s="4" t="s">
        <v>22007</v>
      </c>
      <c r="C17483" s="5" t="str">
        <f>IFERROR(__xludf.DUMMYFUNCTION("GOOGLETRANSLATE(B17483,""en"",""zh-CN"")"),"视频中未显示的母亲正在录制录音。")</f>
        <v>视频中未显示的母亲正在录制录音。</v>
      </c>
    </row>
    <row r="17484">
      <c r="A17484" s="4" t="s">
        <v>22004</v>
      </c>
      <c r="B17484" s="4" t="s">
        <v>22008</v>
      </c>
      <c r="C17484" s="5" t="str">
        <f>IFERROR(__xludf.DUMMYFUNCTION("GOOGLETRANSLATE(B17484,""en"",""zh-CN"")"),"这个男孩握住针头，并展示了他如何使用纱线编织。")</f>
        <v>这个男孩握住针头，并展示了他如何使用纱线编织。</v>
      </c>
    </row>
    <row r="17485">
      <c r="A17485" s="4" t="s">
        <v>22009</v>
      </c>
      <c r="B17485" s="6" t="s">
        <v>22010</v>
      </c>
      <c r="C17485" s="5" t="str">
        <f>IFERROR(__xludf.DUMMYFUNCTION("GOOGLETRANSLATE(B17485,""en"",""zh-CN"")"),"一群戴着黑色的蒙面的人在战场上演奏彩弹射击的动画图形游戏。")</f>
        <v>一群戴着黑色的蒙面的人在战场上演奏彩弹射击的动画图形游戏。</v>
      </c>
    </row>
    <row r="17486">
      <c r="A17486" s="4" t="s">
        <v>22009</v>
      </c>
      <c r="B17486" s="6" t="s">
        <v>22011</v>
      </c>
      <c r="C17486" s="5" t="str">
        <f>IFERROR(__xludf.DUMMYFUNCTION("GOOGLETRANSLATE(B17486,""en"",""zh-CN"")"),"一个动画的人穿过黑色蒙面的士兵，用油漆枪开始开枪射击人，几个人受伤了，在一个充满空的石棚和废弃汽车的战场中受伤。")</f>
        <v>一个动画的人穿过黑色蒙面的士兵，用油漆枪开始开枪射击人，几个人受伤了，在一个充满空的石棚和废弃汽车的战场中受伤。</v>
      </c>
    </row>
    <row r="17487">
      <c r="A17487" s="4" t="s">
        <v>22009</v>
      </c>
      <c r="B17487" s="6" t="s">
        <v>22012</v>
      </c>
      <c r="C17487" s="5" t="str">
        <f>IFERROR(__xludf.DUMMYFUNCTION("GOOGLETRANSLATE(B17487,""en"",""zh-CN"")"),"战斗士兵在皮带上经过一只动画狗，穿着黑白裁判制服的人拿着皮带。")</f>
        <v>战斗士兵在皮带上经过一只动画狗，穿着黑白裁判制服的人拿着皮带。</v>
      </c>
    </row>
    <row r="17488">
      <c r="A17488" s="4" t="s">
        <v>22009</v>
      </c>
      <c r="B17488" s="6" t="s">
        <v>22013</v>
      </c>
      <c r="C17488" s="5" t="str">
        <f>IFERROR(__xludf.DUMMYFUNCTION("GOOGLETRANSLATE(B17488,""en"",""zh-CN"")"),"枪击事件一直持续到蒙面士兵中，直到出现“红队获胜”字母框，士兵向右前进，并在数字上瘦弱。")</f>
        <v>枪击事件一直持续到蒙面士兵中，直到出现“红队获胜”字母框，士兵向右前进，并在数字上瘦弱。</v>
      </c>
    </row>
    <row r="17489">
      <c r="A17489" s="4" t="s">
        <v>22014</v>
      </c>
      <c r="B17489" s="4" t="s">
        <v>22015</v>
      </c>
      <c r="C17489" s="5" t="str">
        <f>IFERROR(__xludf.DUMMYFUNCTION("GOOGLETRANSLATE(B17489,""en"",""zh-CN"")"),"看到一个男人在握着钩针蝙蝠的同时弯腰，并通过洞击球。")</f>
        <v>看到一个男人在握着钩针蝙蝠的同时弯腰，并通过洞击球。</v>
      </c>
    </row>
    <row r="17490">
      <c r="A17490" s="4" t="s">
        <v>22014</v>
      </c>
      <c r="B17490" s="4" t="s">
        <v>22016</v>
      </c>
      <c r="C17490" s="5" t="str">
        <f>IFERROR(__xludf.DUMMYFUNCTION("GOOGLETRANSLATE(B17490,""en"",""zh-CN"")"),"然后，该男子举起双手，回头看着相机并微笑。")</f>
        <v>然后，该男子举起双手，回头看着相机并微笑。</v>
      </c>
    </row>
    <row r="17491">
      <c r="A17491" s="4" t="s">
        <v>22017</v>
      </c>
      <c r="B17491" s="4" t="s">
        <v>22018</v>
      </c>
      <c r="C17491" s="5" t="str">
        <f>IFERROR(__xludf.DUMMYFUNCTION("GOOGLETRANSLATE(B17491,""en"",""zh-CN"")"),"潜水员轮流从高潜水平台跳入游泳池。")</f>
        <v>潜水员轮流从高潜水平台跳入游泳池。</v>
      </c>
    </row>
    <row r="17492">
      <c r="A17492" s="4" t="s">
        <v>22017</v>
      </c>
      <c r="B17492" s="4" t="s">
        <v>22019</v>
      </c>
      <c r="C17492" s="5" t="str">
        <f>IFERROR(__xludf.DUMMYFUNCTION("GOOGLETRANSLATE(B17492,""en"",""zh-CN"")"),"人群拍打并观看潜水员的表现。")</f>
        <v>人群拍打并观看潜水员的表现。</v>
      </c>
    </row>
    <row r="17493">
      <c r="A17493" s="4" t="s">
        <v>22017</v>
      </c>
      <c r="B17493" s="4" t="s">
        <v>22020</v>
      </c>
      <c r="C17493" s="5" t="str">
        <f>IFERROR(__xludf.DUMMYFUNCTION("GOOGLETRANSLATE(B17493,""en"",""zh-CN"")"),"潜水员从最高平台向游泳池进行倒立潜水。")</f>
        <v>潜水员从最高平台向游泳池进行倒立潜水。</v>
      </c>
    </row>
    <row r="17494">
      <c r="A17494" s="4" t="s">
        <v>22021</v>
      </c>
      <c r="B17494" s="4" t="s">
        <v>22022</v>
      </c>
      <c r="C17494" s="5" t="str">
        <f>IFERROR(__xludf.DUMMYFUNCTION("GOOGLETRANSLATE(B17494,""en"",""zh-CN"")"),"一个女人在舞台上跳舞。")</f>
        <v>一个女人在舞台上跳舞。</v>
      </c>
    </row>
    <row r="17495">
      <c r="A17495" s="4" t="s">
        <v>22021</v>
      </c>
      <c r="B17495" s="4" t="s">
        <v>22023</v>
      </c>
      <c r="C17495" s="5" t="str">
        <f>IFERROR(__xludf.DUMMYFUNCTION("GOOGLETRANSLATE(B17495,""en"",""zh-CN"")"),"她的腹部有一个特写。")</f>
        <v>她的腹部有一个特写。</v>
      </c>
    </row>
    <row r="17496">
      <c r="A17496" s="4" t="s">
        <v>22021</v>
      </c>
      <c r="B17496" s="4" t="s">
        <v>22024</v>
      </c>
      <c r="C17496" s="5" t="str">
        <f>IFERROR(__xludf.DUMMYFUNCTION("GOOGLETRANSLATE(B17496,""en"",""zh-CN"")"),"她减慢了舞蹈的速度，转过身来。")</f>
        <v>她减慢了舞蹈的速度，转过身来。</v>
      </c>
    </row>
    <row r="17497">
      <c r="A17497" s="4" t="s">
        <v>22025</v>
      </c>
      <c r="B17497" s="4" t="s">
        <v>22026</v>
      </c>
      <c r="C17497" s="5" t="str">
        <f>IFERROR(__xludf.DUMMYFUNCTION("GOOGLETRANSLATE(B17497,""en"",""zh-CN"")"),"在一条岩石的水小径附近显示了一个大瀑布。")</f>
        <v>在一条岩石的水小径附近显示了一个大瀑布。</v>
      </c>
    </row>
    <row r="17498">
      <c r="A17498" s="4" t="s">
        <v>22025</v>
      </c>
      <c r="B17498" s="6" t="s">
        <v>22027</v>
      </c>
      <c r="C17498" s="5" t="str">
        <f>IFERROR(__xludf.DUMMYFUNCTION("GOOGLETRANSLATE(B17498,""en"",""zh-CN"")"),"突然之间，一个长筏上的一个人划着水从水中划桨，轻松地跌落。")</f>
        <v>突然之间，一个长筏上的一个人划着水从水中划桨，轻松地跌落。</v>
      </c>
    </row>
    <row r="17499">
      <c r="A17499" s="4" t="s">
        <v>22025</v>
      </c>
      <c r="B17499" s="6" t="s">
        <v>22028</v>
      </c>
      <c r="C17499" s="5" t="str">
        <f>IFERROR(__xludf.DUMMYFUNCTION("GOOGLETRANSLATE(B17499,""en"",""zh-CN"")"),"结束后，他们继续划船并在侧面观看的人时穿过水。")</f>
        <v>结束后，他们继续划船并在侧面观看的人时穿过水。</v>
      </c>
    </row>
    <row r="17500">
      <c r="A17500" s="4" t="s">
        <v>22029</v>
      </c>
      <c r="B17500" s="4" t="s">
        <v>22030</v>
      </c>
      <c r="C17500" s="5" t="str">
        <f>IFERROR(__xludf.DUMMYFUNCTION("GOOGLETRANSLATE(B17500,""en"",""zh-CN"")"),"首先，相机显示了三个在雪管下来滑雪的人。")</f>
        <v>首先，相机显示了三个在雪管下来滑雪的人。</v>
      </c>
    </row>
    <row r="17501">
      <c r="A17501" s="4" t="s">
        <v>22029</v>
      </c>
      <c r="B17501" s="4" t="s">
        <v>22031</v>
      </c>
      <c r="C17501" s="5" t="str">
        <f>IFERROR(__xludf.DUMMYFUNCTION("GOOGLETRANSLATE(B17501,""en"",""zh-CN"")"),"然后显示一个人在雪管中戴着眼镜和其他雪齿轮。")</f>
        <v>然后显示一个人在雪管中戴着眼镜和其他雪齿轮。</v>
      </c>
    </row>
    <row r="17502">
      <c r="A17502" s="4" t="s">
        <v>22029</v>
      </c>
      <c r="B17502" s="4" t="s">
        <v>22032</v>
      </c>
      <c r="C17502" s="5" t="str">
        <f>IFERROR(__xludf.DUMMYFUNCTION("GOOGLETRANSLATE(B17502,""en"",""zh-CN"")"),"然后，显示大量其他人彼此相邻。")</f>
        <v>然后，显示大量其他人彼此相邻。</v>
      </c>
    </row>
    <row r="17503">
      <c r="A17503" s="4" t="s">
        <v>22033</v>
      </c>
      <c r="B17503" s="6" t="s">
        <v>22034</v>
      </c>
      <c r="C17503" s="5" t="str">
        <f>IFERROR(__xludf.DUMMYFUNCTION("GOOGLETRANSLATE(B17503,""en"",""zh-CN"")"),"看到一个人绘画一堵墙，而相机捕捉他的动作迅速，其他人则走进框架。")</f>
        <v>看到一个人绘画一堵墙，而相机捕捉他的动作迅速，其他人则走进框架。</v>
      </c>
    </row>
    <row r="17504">
      <c r="A17504" s="4" t="s">
        <v>22033</v>
      </c>
      <c r="B17504" s="4" t="s">
        <v>22035</v>
      </c>
      <c r="C17504" s="5" t="str">
        <f>IFERROR(__xludf.DUMMYFUNCTION("GOOGLETRANSLATE(B17504,""en"",""zh-CN"")"),"该人继续沿着墙壁绘画，其他人站在周围并提供帮助。")</f>
        <v>该人继续沿着墙壁绘画，其他人站在周围并提供帮助。</v>
      </c>
    </row>
    <row r="17505">
      <c r="A17505" s="4" t="s">
        <v>22036</v>
      </c>
      <c r="B17505" s="4" t="s">
        <v>22037</v>
      </c>
      <c r="C17505" s="5" t="str">
        <f>IFERROR(__xludf.DUMMYFUNCTION("GOOGLETRANSLATE(B17505,""en"",""zh-CN"")"),"一个男人的脚步快速驶过一座非常陡峭的山坡。")</f>
        <v>一个男人的脚步快速驶过一座非常陡峭的山坡。</v>
      </c>
    </row>
    <row r="17506">
      <c r="A17506" s="4" t="s">
        <v>22036</v>
      </c>
      <c r="B17506" s="6" t="s">
        <v>22038</v>
      </c>
      <c r="C17506" s="5" t="str">
        <f>IFERROR(__xludf.DUMMYFUNCTION("GOOGLETRANSLATE(B17506,""en"",""zh-CN"")"),"该视频与各种角度相互交织，以一种非常令人兴奋的方式显示了这次旅行。")</f>
        <v>该视频与各种角度相互交织，以一种非常令人兴奋的方式显示了这次旅行。</v>
      </c>
    </row>
    <row r="17507">
      <c r="A17507" s="4" t="s">
        <v>22036</v>
      </c>
      <c r="B17507" s="4" t="s">
        <v>22039</v>
      </c>
      <c r="C17507" s="5" t="str">
        <f>IFERROR(__xludf.DUMMYFUNCTION("GOOGLETRANSLATE(B17507,""en"",""zh-CN"")"),"这个孩子跳出了为此目的的原木，并继续下山。")</f>
        <v>这个孩子跳出了为此目的的原木，并继续下山。</v>
      </c>
    </row>
    <row r="17508">
      <c r="A17508" s="4" t="s">
        <v>22036</v>
      </c>
      <c r="B17508" s="4" t="s">
        <v>22040</v>
      </c>
      <c r="C17508" s="5" t="str">
        <f>IFERROR(__xludf.DUMMYFUNCTION("GOOGLETRANSLATE(B17508,""en"",""zh-CN"")"),"另一个穿着黄色的男人在山上下山时从一个小雪地上倒下。")</f>
        <v>另一个穿着黄色的男人在山上下山时从一个小雪地上倒下。</v>
      </c>
    </row>
    <row r="17509">
      <c r="A17509" s="4" t="s">
        <v>22036</v>
      </c>
      <c r="B17509" s="6" t="s">
        <v>22041</v>
      </c>
      <c r="C17509" s="5" t="str">
        <f>IFERROR(__xludf.DUMMYFUNCTION("GOOGLETRANSLATE(B17509,""en"",""zh-CN"")"),"另一个蓝色的人也这样做，其中三个人之间有各种各样的削减。")</f>
        <v>另一个蓝色的人也这样做，其中三个人之间有各种各样的削减。</v>
      </c>
    </row>
    <row r="17510">
      <c r="A17510" s="4" t="s">
        <v>22036</v>
      </c>
      <c r="B17510" s="4" t="s">
        <v>22042</v>
      </c>
      <c r="C17510" s="5" t="str">
        <f>IFERROR(__xludf.DUMMYFUNCTION("GOOGLETRANSLATE(B17510,""en"",""zh-CN"")"),"他们技巧高，遇到了他们能找到的每一个障碍。")</f>
        <v>他们技巧高，遇到了他们能找到的每一个障碍。</v>
      </c>
    </row>
    <row r="17511">
      <c r="A17511" s="4" t="s">
        <v>22036</v>
      </c>
      <c r="B17511" s="6" t="s">
        <v>22043</v>
      </c>
      <c r="C17511" s="5" t="str">
        <f>IFERROR(__xludf.DUMMYFUNCTION("GOOGLETRANSLATE(B17511,""en"",""zh-CN"")"),"然后，该视频显示了多人在与镜头说话时远足一座岩石山。")</f>
        <v>然后，该视频显示了多人在与镜头说话时远足一座岩石山。</v>
      </c>
    </row>
    <row r="17512">
      <c r="A17512" s="4" t="s">
        <v>22036</v>
      </c>
      <c r="B17512" s="4" t="s">
        <v>22044</v>
      </c>
      <c r="C17512" s="5" t="str">
        <f>IFERROR(__xludf.DUMMYFUNCTION("GOOGLETRANSLATE(B17512,""en"",""zh-CN"")"),"然后，攀登的人将其滑雪，像特技表演一样在夜魔中下来。")</f>
        <v>然后，攀登的人将其滑雪，像特技表演一样在夜魔中下来。</v>
      </c>
    </row>
    <row r="17513">
      <c r="A17513" s="4" t="s">
        <v>22045</v>
      </c>
      <c r="B17513" s="4" t="s">
        <v>22046</v>
      </c>
      <c r="C17513" s="5" t="str">
        <f>IFERROR(__xludf.DUMMYFUNCTION("GOOGLETRANSLATE(B17513,""en"",""zh-CN"")"),"一个年轻的女孩在墙上使用抹子，并在地板上放置。")</f>
        <v>一个年轻的女孩在墙上使用抹子，并在地板上放置。</v>
      </c>
    </row>
    <row r="17514">
      <c r="A17514" s="4" t="s">
        <v>22045</v>
      </c>
      <c r="B17514" s="4" t="s">
        <v>22047</v>
      </c>
      <c r="C17514" s="5" t="str">
        <f>IFERROR(__xludf.DUMMYFUNCTION("GOOGLETRANSLATE(B17514,""en"",""zh-CN"")"),"她站着并用刷子擦拭抹子。")</f>
        <v>她站着并用刷子擦拭抹子。</v>
      </c>
    </row>
    <row r="17515">
      <c r="A17515" s="4" t="s">
        <v>22045</v>
      </c>
      <c r="B17515" s="4" t="s">
        <v>22048</v>
      </c>
      <c r="C17515" s="5" t="str">
        <f>IFERROR(__xludf.DUMMYFUNCTION("GOOGLETRANSLATE(B17515,""en"",""zh-CN"")"),"她返回墙壁工作。")</f>
        <v>她返回墙壁工作。</v>
      </c>
    </row>
    <row r="17516">
      <c r="A17516" s="4" t="s">
        <v>22045</v>
      </c>
      <c r="B17516" s="4" t="s">
        <v>22049</v>
      </c>
      <c r="C17516" s="5" t="str">
        <f>IFERROR(__xludf.DUMMYFUNCTION("GOOGLETRANSLATE(B17516,""en"",""zh-CN"")"),"她站着，点和墙。")</f>
        <v>她站着，点和墙。</v>
      </c>
    </row>
    <row r="17517">
      <c r="A17517" s="4" t="s">
        <v>22045</v>
      </c>
      <c r="B17517" s="4" t="s">
        <v>22050</v>
      </c>
      <c r="C17517" s="5" t="str">
        <f>IFERROR(__xludf.DUMMYFUNCTION("GOOGLETRANSLATE(B17517,""en"",""zh-CN"")"),"她再次擦拭抹子上的刷子。")</f>
        <v>她再次擦拭抹子上的刷子。</v>
      </c>
    </row>
    <row r="17518">
      <c r="A17518" s="4" t="s">
        <v>22045</v>
      </c>
      <c r="B17518" s="4" t="s">
        <v>22051</v>
      </c>
      <c r="C17518" s="5" t="str">
        <f>IFERROR(__xludf.DUMMYFUNCTION("GOOGLETRANSLATE(B17518,""en"",""zh-CN"")"),"她再次使墙齐平。")</f>
        <v>她再次使墙齐平。</v>
      </c>
    </row>
    <row r="17519">
      <c r="A17519" s="4" t="s">
        <v>22045</v>
      </c>
      <c r="B17519" s="4" t="s">
        <v>22052</v>
      </c>
      <c r="C17519" s="5" t="str">
        <f>IFERROR(__xludf.DUMMYFUNCTION("GOOGLETRANSLATE(B17519,""en"",""zh-CN"")"),"女孩们使用刷子清洁工具。")</f>
        <v>女孩们使用刷子清洁工具。</v>
      </c>
    </row>
    <row r="17520">
      <c r="A17520" s="4" t="s">
        <v>22045</v>
      </c>
      <c r="B17520" s="4" t="s">
        <v>22053</v>
      </c>
      <c r="C17520" s="5" t="str">
        <f>IFERROR(__xludf.DUMMYFUNCTION("GOOGLETRANSLATE(B17520,""en"",""zh-CN"")"),"她再次擦拭墙壁，然后再次清洁两次刷子。")</f>
        <v>她再次擦拭墙壁，然后再次清洁两次刷子。</v>
      </c>
    </row>
    <row r="17521">
      <c r="A17521" s="4" t="s">
        <v>22045</v>
      </c>
      <c r="B17521" s="4" t="s">
        <v>22054</v>
      </c>
      <c r="C17521" s="5" t="str">
        <f>IFERROR(__xludf.DUMMYFUNCTION("GOOGLETRANSLATE(B17521,""en"",""zh-CN"")"),"我们在工作时展示了墙壁的顶部和女孩。")</f>
        <v>我们在工作时展示了墙壁的顶部和女孩。</v>
      </c>
    </row>
    <row r="17522">
      <c r="A17522" s="4" t="s">
        <v>22055</v>
      </c>
      <c r="B17522" s="4" t="s">
        <v>22056</v>
      </c>
      <c r="C17522" s="5" t="str">
        <f>IFERROR(__xludf.DUMMYFUNCTION("GOOGLETRANSLATE(B17522,""en"",""zh-CN"")"),"出现徽标，公司名称和网站的介绍屏幕。")</f>
        <v>出现徽标，公司名称和网站的介绍屏幕。</v>
      </c>
    </row>
    <row r="17523">
      <c r="A17523" s="4" t="s">
        <v>22055</v>
      </c>
      <c r="B17523" s="6" t="s">
        <v>22057</v>
      </c>
      <c r="C17523" s="5" t="str">
        <f>IFERROR(__xludf.DUMMYFUNCTION("GOOGLETRANSLATE(B17523,""en"",""zh-CN"")"),"一个女人在3箱的前面弯下腰，开始从顶部盒子拉出瓷砖地毯碎片。")</f>
        <v>一个女人在3箱的前面弯下腰，开始从顶部盒子拉出瓷砖地毯碎片。</v>
      </c>
    </row>
    <row r="17524">
      <c r="A17524" s="4" t="s">
        <v>22055</v>
      </c>
      <c r="B17524" s="6" t="s">
        <v>22058</v>
      </c>
      <c r="C17524" s="5" t="str">
        <f>IFERROR(__xludf.DUMMYFUNCTION("GOOGLETRANSLATE(B17524,""en"",""zh-CN"")"),"一堆工具出现在瓷砖地板上，其中包括：地毯胶带，刀，粘性标签和T方。")</f>
        <v>一堆工具出现在瓷砖地板上，其中包括：地毯胶带，刀，粘性标签和T方。</v>
      </c>
    </row>
    <row r="17525">
      <c r="A17525" s="4" t="s">
        <v>22055</v>
      </c>
      <c r="B17525" s="6" t="s">
        <v>22059</v>
      </c>
      <c r="C17525" s="5" t="str">
        <f>IFERROR(__xludf.DUMMYFUNCTION("GOOGLETRANSLATE(B17525,""en"",""zh-CN"")"),"女人在瓷砖地板上，她的前面有一堆瓷砖地毯，她开始将多余的地毯碎片从碎片的正面和后部撒上。")</f>
        <v>女人在瓷砖地板上，她的前面有一堆瓷砖地毯，她开始将多余的地毯碎片从碎片的正面和后部撒上。</v>
      </c>
    </row>
    <row r="17526">
      <c r="A17526" s="4" t="s">
        <v>22055</v>
      </c>
      <c r="B17526" s="6" t="s">
        <v>22060</v>
      </c>
      <c r="C17526" s="5" t="str">
        <f>IFERROR(__xludf.DUMMYFUNCTION("GOOGLETRANSLATE(B17526,""en"",""zh-CN"")"),"屏幕上显示了“安装方法”一词，并包含3个不同的布局图，然后在每个布局中显示不同的瓷砖地毯。")</f>
        <v>屏幕上显示了“安装方法”一词，并包含3个不同的布局图，然后在每个布局中显示不同的瓷砖地毯。</v>
      </c>
    </row>
    <row r="17527">
      <c r="A17527" s="4" t="s">
        <v>22055</v>
      </c>
      <c r="B17527" s="6" t="s">
        <v>22061</v>
      </c>
      <c r="C17527" s="5" t="str">
        <f>IFERROR(__xludf.DUMMYFUNCTION("GOOGLETRANSLATE(B17527,""en"",""zh-CN"")"),"现在，一个女人跪在一块瓷砖地毯上，她从床单上拉出双面粘带，将它们放在瓷砖地毯上，并将其粘在地板上。")</f>
        <v>现在，一个女人跪在一块瓷砖地毯上，她从床单上拉出双面粘带，将它们放在瓷砖地毯上，并将其粘在地板上。</v>
      </c>
    </row>
    <row r="17528">
      <c r="A17528" s="4" t="s">
        <v>22055</v>
      </c>
      <c r="B17528" s="6" t="s">
        <v>22062</v>
      </c>
      <c r="C17528" s="5" t="str">
        <f>IFERROR(__xludf.DUMMYFUNCTION("GOOGLETRANSLATE(B17528,""en"",""zh-CN"")"),"一位不同的女人出现在墙壁附近，她正在演示如何在墙到达墙壁并使用长尺子来测量，切割和拆开地毯瓷砖并将其放回地板上。")</f>
        <v>一位不同的女人出现在墙壁附近，她正在演示如何在墙到达墙壁并使用长尺子来测量，切割和拆开地毯瓷砖并将其放回地板上。</v>
      </c>
    </row>
    <row r="17529">
      <c r="A17529" s="4" t="s">
        <v>22055</v>
      </c>
      <c r="B17529" s="4" t="s">
        <v>22063</v>
      </c>
      <c r="C17529" s="5" t="str">
        <f>IFERROR(__xludf.DUMMYFUNCTION("GOOGLETRANSLATE(B17529,""en"",""zh-CN"")"),"Outro是一个带有徽标，公司名称和网站的白色屏幕。")</f>
        <v>Outro是一个带有徽标，公司名称和网站的白色屏幕。</v>
      </c>
    </row>
    <row r="17530">
      <c r="A17530" s="4" t="s">
        <v>22064</v>
      </c>
      <c r="B17530" s="6" t="s">
        <v>22065</v>
      </c>
      <c r="C17530" s="5" t="str">
        <f>IFERROR(__xludf.DUMMYFUNCTION("GOOGLETRANSLATE(B17530,""en"",""zh-CN"")"),"看到一个男人向前走，向相机说话，而两个人将一个物体拉到他身后。")</f>
        <v>看到一个男人向前走，向相机说话，而两个人将一个物体拉到他身后。</v>
      </c>
    </row>
    <row r="17531">
      <c r="A17531" s="4" t="s">
        <v>22064</v>
      </c>
      <c r="B17531" s="4" t="s">
        <v>22066</v>
      </c>
      <c r="C17531" s="5" t="str">
        <f>IFERROR(__xludf.DUMMYFUNCTION("GOOGLETRANSLATE(B17531,""en"",""zh-CN"")"),"那个男人在讲话时说话，一个女人在他旁边锻炼。")</f>
        <v>那个男人在讲话时说话，一个女人在他旁边锻炼。</v>
      </c>
    </row>
    <row r="17532">
      <c r="A17532" s="4" t="s">
        <v>22064</v>
      </c>
      <c r="B17532" s="4" t="s">
        <v>22067</v>
      </c>
      <c r="C17532" s="5" t="str">
        <f>IFERROR(__xludf.DUMMYFUNCTION("GOOGLETRANSLATE(B17532,""en"",""zh-CN"")"),"该男子继续讲话，并在屏幕上显示文字。")</f>
        <v>该男子继续讲话，并在屏幕上显示文字。</v>
      </c>
    </row>
    <row r="17533">
      <c r="A17533" s="4" t="s">
        <v>22068</v>
      </c>
      <c r="B17533" s="4" t="s">
        <v>22069</v>
      </c>
      <c r="C17533" s="5" t="str">
        <f>IFERROR(__xludf.DUMMYFUNCTION("GOOGLETRANSLATE(B17533,""en"",""zh-CN"")"),"人们站在一个房间里。")</f>
        <v>人们站在一个房间里。</v>
      </c>
    </row>
    <row r="17534">
      <c r="A17534" s="4" t="s">
        <v>22068</v>
      </c>
      <c r="B17534" s="4" t="s">
        <v>22070</v>
      </c>
      <c r="C17534" s="5" t="str">
        <f>IFERROR(__xludf.DUMMYFUNCTION("GOOGLETRANSLATE(B17534,""en"",""zh-CN"")"),"人们在鼓声时做空手道。")</f>
        <v>人们在鼓声时做空手道。</v>
      </c>
    </row>
    <row r="17535">
      <c r="A17535" s="4" t="s">
        <v>22068</v>
      </c>
      <c r="B17535" s="4" t="s">
        <v>22071</v>
      </c>
      <c r="C17535" s="5" t="str">
        <f>IFERROR(__xludf.DUMMYFUNCTION("GOOGLETRANSLATE(B17535,""en"",""zh-CN"")"),"空手道对手握手和拥抱。")</f>
        <v>空手道对手握手和拥抱。</v>
      </c>
    </row>
    <row r="17536">
      <c r="A17536" s="4" t="s">
        <v>22072</v>
      </c>
      <c r="B17536" s="6" t="s">
        <v>22073</v>
      </c>
      <c r="C17536" s="5" t="str">
        <f>IFERROR(__xludf.DUMMYFUNCTION("GOOGLETRANSLATE(B17536,""en"",""zh-CN"")"),"一个小女孩/幼儿站在外面，在草地上的田野上，反复击中一棵树上的粉红色皮纳塔。")</f>
        <v>一个小女孩/幼儿站在外面，在草地上的田野上，反复击中一棵树上的粉红色皮纳塔。</v>
      </c>
    </row>
    <row r="17537">
      <c r="A17537" s="4" t="s">
        <v>22072</v>
      </c>
      <c r="B17537" s="6" t="s">
        <v>22074</v>
      </c>
      <c r="C17537" s="5" t="str">
        <f>IFERROR(__xludf.DUMMYFUNCTION("GOOGLETRANSLATE(B17537,""en"",""zh-CN"")"),"一个小女孩/幼儿在酸橙绿色的头发弓上，芭蕾舞短裙站在一棵树下面，用棍子击中皮纳塔。")</f>
        <v>一个小女孩/幼儿在酸橙绿色的头发弓上，芭蕾舞短裙站在一棵树下面，用棍子击中皮纳塔。</v>
      </c>
    </row>
    <row r="17538">
      <c r="A17538" s="4" t="s">
        <v>22072</v>
      </c>
      <c r="B17538" s="4" t="s">
        <v>22075</v>
      </c>
      <c r="C17538" s="5" t="str">
        <f>IFERROR(__xludf.DUMMYFUNCTION("GOOGLETRANSLATE(B17538,""en"",""zh-CN"")"),"皮纳塔（Pinata）飞来飞去，女孩再次撞到皮纳塔（Pinata）。")</f>
        <v>皮纳塔（Pinata）飞来飞去，女孩再次撞到皮纳塔（Pinata）。</v>
      </c>
    </row>
    <row r="17539">
      <c r="A17539" s="4" t="s">
        <v>22072</v>
      </c>
      <c r="B17539" s="4" t="s">
        <v>22076</v>
      </c>
      <c r="C17539" s="5" t="str">
        <f>IFERROR(__xludf.DUMMYFUNCTION("GOOGLETRANSLATE(B17539,""en"",""zh-CN"")"),"小女孩转身看着击中皮纳塔的相机。")</f>
        <v>小女孩转身看着击中皮纳塔的相机。</v>
      </c>
    </row>
    <row r="17540">
      <c r="A17540" s="4" t="s">
        <v>22077</v>
      </c>
      <c r="B17540" s="4" t="s">
        <v>22078</v>
      </c>
      <c r="C17540" s="5" t="str">
        <f>IFERROR(__xludf.DUMMYFUNCTION("GOOGLETRANSLATE(B17540,""en"",""zh-CN"")"),"一个站立的男人与坐在他旁边的两个女人说话。")</f>
        <v>一个站立的男人与坐在他旁边的两个女人说话。</v>
      </c>
    </row>
    <row r="17541">
      <c r="A17541" s="4" t="s">
        <v>22077</v>
      </c>
      <c r="B17541" s="4" t="s">
        <v>22079</v>
      </c>
      <c r="C17541" s="5" t="str">
        <f>IFERROR(__xludf.DUMMYFUNCTION("GOOGLETRANSLATE(B17541,""en"",""zh-CN"")"),"相机锅专注于两个女人。")</f>
        <v>相机锅专注于两个女人。</v>
      </c>
    </row>
    <row r="17542">
      <c r="A17542" s="4" t="s">
        <v>22080</v>
      </c>
      <c r="B17542" s="4" t="s">
        <v>22081</v>
      </c>
      <c r="C17542" s="5" t="str">
        <f>IFERROR(__xludf.DUMMYFUNCTION("GOOGLETRANSLATE(B17542,""en"",""zh-CN"")"),"一个人剪了猫前腿的指甲。")</f>
        <v>一个人剪了猫前腿的指甲。</v>
      </c>
    </row>
    <row r="17543">
      <c r="A17543" s="4" t="s">
        <v>22080</v>
      </c>
      <c r="B17543" s="4" t="s">
        <v>22082</v>
      </c>
      <c r="C17543" s="5" t="str">
        <f>IFERROR(__xludf.DUMMYFUNCTION("GOOGLETRANSLATE(B17543,""en"",""zh-CN"")"),"然后，该人切断了汽车后腿的指甲。")</f>
        <v>然后，该人切断了汽车后腿的指甲。</v>
      </c>
    </row>
    <row r="17544">
      <c r="A17544" s="4" t="s">
        <v>22083</v>
      </c>
      <c r="B17544" s="4" t="s">
        <v>22084</v>
      </c>
      <c r="C17544" s="5" t="str">
        <f>IFERROR(__xludf.DUMMYFUNCTION("GOOGLETRANSLATE(B17544,""en"",""zh-CN"")"),"一个男人试图在两块自制的木头之间散开一条绳子。")</f>
        <v>一个男人试图在两块自制的木头之间散开一条绳子。</v>
      </c>
    </row>
    <row r="17545">
      <c r="A17545" s="4" t="s">
        <v>22083</v>
      </c>
      <c r="B17545" s="4" t="s">
        <v>22085</v>
      </c>
      <c r="C17545" s="5" t="str">
        <f>IFERROR(__xludf.DUMMYFUNCTION("GOOGLETRANSLATE(B17545,""en"",""zh-CN"")"),"他在绳子上平衡，来回摆动。")</f>
        <v>他在绳子上平衡，来回摆动。</v>
      </c>
    </row>
    <row r="17546">
      <c r="A17546" s="4" t="s">
        <v>22083</v>
      </c>
      <c r="B17546" s="4" t="s">
        <v>22086</v>
      </c>
      <c r="C17546" s="5" t="str">
        <f>IFERROR(__xludf.DUMMYFUNCTION("GOOGLETRANSLATE(B17546,""en"",""zh-CN"")"),"他失去了平衡，跳下了绳索。")</f>
        <v>他失去了平衡，跳下了绳索。</v>
      </c>
    </row>
    <row r="17547">
      <c r="A17547" s="4" t="s">
        <v>22087</v>
      </c>
      <c r="B17547" s="4" t="s">
        <v>22088</v>
      </c>
      <c r="C17547" s="5" t="str">
        <f>IFERROR(__xludf.DUMMYFUNCTION("GOOGLETRANSLATE(B17547,""en"",""zh-CN"")"),"洗车上有两辆车，一辆停在一个地方。")</f>
        <v>洗车上有两辆车，一辆停在一个地方。</v>
      </c>
    </row>
    <row r="17548">
      <c r="A17548" s="4" t="s">
        <v>22087</v>
      </c>
      <c r="B17548" s="4" t="s">
        <v>22089</v>
      </c>
      <c r="C17548" s="5" t="str">
        <f>IFERROR(__xludf.DUMMYFUNCTION("GOOGLETRANSLATE(B17548,""en"",""zh-CN"")"),"汽车的所有者正在肥皂下来，清洁轮胎。")</f>
        <v>汽车的所有者正在肥皂下来，清洁轮胎。</v>
      </c>
    </row>
    <row r="17549">
      <c r="A17549" s="4" t="s">
        <v>22087</v>
      </c>
      <c r="B17549" s="4" t="s">
        <v>22090</v>
      </c>
      <c r="C17549" s="5" t="str">
        <f>IFERROR(__xludf.DUMMYFUNCTION("GOOGLETRANSLATE(B17549,""en"",""zh-CN"")"),"在汽车内部清洗它，它是完全空的，没有人在里面。")</f>
        <v>在汽车内部清洗它，它是完全空的，没有人在里面。</v>
      </c>
    </row>
    <row r="17550">
      <c r="A17550" s="4" t="s">
        <v>22087</v>
      </c>
      <c r="B17550" s="4" t="s">
        <v>22091</v>
      </c>
      <c r="C17550" s="5" t="str">
        <f>IFERROR(__xludf.DUMMYFUNCTION("GOOGLETRANSLATE(B17550,""en"",""zh-CN"")"),"其他汽车所有者之一正在冲洗汽车。")</f>
        <v>其他汽车所有者之一正在冲洗汽车。</v>
      </c>
    </row>
    <row r="17551">
      <c r="A17551" s="4" t="s">
        <v>22092</v>
      </c>
      <c r="B17551" s="4" t="s">
        <v>22093</v>
      </c>
      <c r="C17551" s="5" t="str">
        <f>IFERROR(__xludf.DUMMYFUNCTION("GOOGLETRANSLATE(B17551,""en"",""zh-CN"")"),"看到一个男人在相机上说话，然后是名人和假人的几张照片。")</f>
        <v>看到一个男人在相机上说话，然后是名人和假人的几张照片。</v>
      </c>
    </row>
    <row r="17552">
      <c r="A17552" s="4" t="s">
        <v>22092</v>
      </c>
      <c r="B17552" s="4" t="s">
        <v>22094</v>
      </c>
      <c r="C17552" s="5" t="str">
        <f>IFERROR(__xludf.DUMMYFUNCTION("GOOGLETRANSLATE(B17552,""en"",""zh-CN"")"),"然后，该男子开始向假人的头发延伸，并在侧面使用剪刀。")</f>
        <v>然后，该男子开始向假人的头发延伸，并在侧面使用剪刀。</v>
      </c>
    </row>
    <row r="17553">
      <c r="A17553" s="4" t="s">
        <v>22092</v>
      </c>
      <c r="B17553" s="4" t="s">
        <v>22095</v>
      </c>
      <c r="C17553" s="5" t="str">
        <f>IFERROR(__xludf.DUMMYFUNCTION("GOOGLETRANSLATE(B17553,""en"",""zh-CN"")"),"他继续剪下虚拟的头发，最后用凝胶将其刺激。")</f>
        <v>他继续剪下虚拟的头发，最后用凝胶将其刺激。</v>
      </c>
    </row>
    <row r="17554">
      <c r="A17554" s="4" t="s">
        <v>22096</v>
      </c>
      <c r="B17554" s="4" t="s">
        <v>22097</v>
      </c>
      <c r="C17554" s="5" t="str">
        <f>IFERROR(__xludf.DUMMYFUNCTION("GOOGLETRANSLATE(B17554,""en"",""zh-CN"")"),"显示了有关如何制作风筝的视频。")</f>
        <v>显示了有关如何制作风筝的视频。</v>
      </c>
    </row>
    <row r="17555">
      <c r="A17555" s="4" t="s">
        <v>22096</v>
      </c>
      <c r="B17555" s="4" t="s">
        <v>22098</v>
      </c>
      <c r="C17555" s="5" t="str">
        <f>IFERROR(__xludf.DUMMYFUNCTION("GOOGLETRANSLATE(B17555,""en"",""zh-CN"")"),"收集材料，然后放风筝。")</f>
        <v>收集材料，然后放风筝。</v>
      </c>
    </row>
    <row r="17556">
      <c r="A17556" s="4" t="s">
        <v>22099</v>
      </c>
      <c r="B17556" s="4" t="s">
        <v>22100</v>
      </c>
      <c r="C17556" s="5" t="str">
        <f>IFERROR(__xludf.DUMMYFUNCTION("GOOGLETRANSLATE(B17556,""en"",""zh-CN"")"),"看到几个人站在一个里面有一头公牛的大坑里，有很多人在侧面看着。")</f>
        <v>看到几个人站在一个里面有一头公牛的大坑里，有很多人在侧面看着。</v>
      </c>
    </row>
    <row r="17557">
      <c r="A17557" s="4" t="s">
        <v>22099</v>
      </c>
      <c r="B17557" s="6" t="s">
        <v>22101</v>
      </c>
      <c r="C17557" s="5" t="str">
        <f>IFERROR(__xludf.DUMMYFUNCTION("GOOGLETRANSLATE(B17557,""en"",""zh-CN"")"),"该男子走近公牛，公牛攻击了几个人，而他们也试图将他的头和尾巴拉倒。")</f>
        <v>该男子走近公牛，公牛攻击了几个人，而他们也试图将他的头和尾巴拉倒。</v>
      </c>
    </row>
    <row r="17558">
      <c r="A17558" s="4" t="s">
        <v>22099</v>
      </c>
      <c r="B17558" s="4" t="s">
        <v>22102</v>
      </c>
      <c r="C17558" s="5" t="str">
        <f>IFERROR(__xludf.DUMMYFUNCTION("GOOGLETRANSLATE(B17558,""en"",""zh-CN"")"),"他们终于立刻立刻爆发了。")</f>
        <v>他们终于立刻立刻爆发了。</v>
      </c>
    </row>
    <row r="17559">
      <c r="A17559" s="4" t="s">
        <v>22103</v>
      </c>
      <c r="B17559" s="4" t="s">
        <v>22104</v>
      </c>
      <c r="C17559" s="5" t="str">
        <f>IFERROR(__xludf.DUMMYFUNCTION("GOOGLETRANSLATE(B17559,""en"",""zh-CN"")"),"一个男人和朋友坐在体育馆里，他们在镜头前做出愚蠢的标志。")</f>
        <v>一个男人和朋友坐在体育馆里，他们在镜头前做出愚蠢的标志。</v>
      </c>
    </row>
    <row r="17560">
      <c r="A17560" s="4" t="s">
        <v>22103</v>
      </c>
      <c r="B17560" s="4" t="s">
        <v>22105</v>
      </c>
      <c r="C17560" s="5" t="str">
        <f>IFERROR(__xludf.DUMMYFUNCTION("GOOGLETRANSLATE(B17560,""en"",""zh-CN"")"),"然后玩一些躲避球。")</f>
        <v>然后玩一些躲避球。</v>
      </c>
    </row>
    <row r="17561">
      <c r="A17561" s="4" t="s">
        <v>22106</v>
      </c>
      <c r="B17561" s="4" t="s">
        <v>22107</v>
      </c>
      <c r="C17561" s="5" t="str">
        <f>IFERROR(__xludf.DUMMYFUNCTION("GOOGLETRANSLATE(B17561,""en"",""zh-CN"")"),"显示了具有一些构成数字“ 2”的图形。")</f>
        <v>显示了具有一些构成数字“ 2”的图形。</v>
      </c>
    </row>
    <row r="17562">
      <c r="A17562" s="4" t="s">
        <v>22106</v>
      </c>
      <c r="B17562" s="4" t="s">
        <v>22108</v>
      </c>
      <c r="C17562" s="5" t="str">
        <f>IFERROR(__xludf.DUMMYFUNCTION("GOOGLETRANSLATE(B17562,""en"",""zh-CN"")"),"场景切换到黑屏，并提供一些有关即将举行的马拉松比赛的文字。")</f>
        <v>场景切换到黑屏，并提供一些有关即将举行的马拉松比赛的文字。</v>
      </c>
    </row>
    <row r="17563">
      <c r="A17563" s="4" t="s">
        <v>22106</v>
      </c>
      <c r="B17563" s="6" t="s">
        <v>22109</v>
      </c>
      <c r="C17563" s="5" t="str">
        <f>IFERROR(__xludf.DUMMYFUNCTION("GOOGLETRANSLATE(B17563,""en"",""zh-CN"")"),"一个男人被显示在一些人行道上的城市，一座桥梁，公园里的一些路径等，旁边有一个柜台，显示他的进度在公里处进展。")</f>
        <v>一个男人被显示在一些人行道上的城市，一座桥梁，公园里的一些路径等，旁边有一个柜台，显示他的进度在公里处进展。</v>
      </c>
    </row>
    <row r="17564">
      <c r="A17564" s="4" t="s">
        <v>22110</v>
      </c>
      <c r="B17564" s="4" t="s">
        <v>22111</v>
      </c>
      <c r="C17564" s="5" t="str">
        <f>IFERROR(__xludf.DUMMYFUNCTION("GOOGLETRANSLATE(B17564,""en"",""zh-CN"")"),"当她站在浴缸上时，一个人用肥皂遮住双腿。")</f>
        <v>当她站在浴缸上时，一个人用肥皂遮住双腿。</v>
      </c>
    </row>
    <row r="17565">
      <c r="A17565" s="4" t="s">
        <v>22110</v>
      </c>
      <c r="B17565" s="4" t="s">
        <v>22112</v>
      </c>
      <c r="C17565" s="5" t="str">
        <f>IFERROR(__xludf.DUMMYFUNCTION("GOOGLETRANSLATE(B17565,""en"",""zh-CN"")"),"然后，该人拿着刀片在水龙头下面洗刀片时剃光双腿。")</f>
        <v>然后，该人拿着刀片在水龙头下面洗刀片时剃光双腿。</v>
      </c>
    </row>
    <row r="17566">
      <c r="A17566" s="4" t="s">
        <v>22110</v>
      </c>
      <c r="B17566" s="4" t="s">
        <v>22113</v>
      </c>
      <c r="C17566" s="5" t="str">
        <f>IFERROR(__xludf.DUMMYFUNCTION("GOOGLETRANSLATE(B17566,""en"",""zh-CN"")"),"之后，该人脱下内衣，将其放在浴缸上。")</f>
        <v>之后，该人脱下内衣，将其放在浴缸上。</v>
      </c>
    </row>
    <row r="17567">
      <c r="A17567" s="4" t="s">
        <v>22114</v>
      </c>
      <c r="B17567" s="6" t="s">
        <v>22115</v>
      </c>
      <c r="C17567" s="5" t="str">
        <f>IFERROR(__xludf.DUMMYFUNCTION("GOOGLETRANSLATE(B17567,""en"",""zh-CN"")"),"有一个快速变动的视频，显示一个家庭雕刻四个南瓜，以使厨房里的杰克O灯笼。")</f>
        <v>有一个快速变动的视频，显示一个家庭雕刻四个南瓜，以使厨房里的杰克O灯笼。</v>
      </c>
    </row>
    <row r="17568">
      <c r="A17568" s="4" t="s">
        <v>22114</v>
      </c>
      <c r="B17568" s="4" t="s">
        <v>22116</v>
      </c>
      <c r="C17568" s="5" t="str">
        <f>IFERROR(__xludf.DUMMYFUNCTION("GOOGLETRANSLATE(B17568,""en"",""zh-CN"")"),"餐桌上有一个小婴儿坐在看着其他人雕刻南瓜。")</f>
        <v>餐桌上有一个小婴儿坐在看着其他人雕刻南瓜。</v>
      </c>
    </row>
    <row r="17569">
      <c r="A17569" s="4" t="s">
        <v>22114</v>
      </c>
      <c r="B17569" s="6" t="s">
        <v>22117</v>
      </c>
      <c r="C17569" s="5" t="str">
        <f>IFERROR(__xludf.DUMMYFUNCTION("GOOGLETRANSLATE(B17569,""en"",""zh-CN"")"),"另外两个女孩正在帮助父母雕刻南瓜，然后将种子和果肉从南瓜中取出。")</f>
        <v>另外两个女孩正在帮助父母雕刻南瓜，然后将种子和果肉从南瓜中取出。</v>
      </c>
    </row>
    <row r="17570">
      <c r="A17570" s="4" t="s">
        <v>22118</v>
      </c>
      <c r="B17570" s="6" t="s">
        <v>22119</v>
      </c>
      <c r="C17570" s="5" t="str">
        <f>IFERROR(__xludf.DUMMYFUNCTION("GOOGLETRANSLATE(B17570,""en"",""zh-CN"")"),"一个坐在网球网前面的男子转过身，面对他的对手，一名教练和摄影师看着。")</f>
        <v>一个坐在网球网前面的男子转过身，面对他的对手，一名教练和摄影师看着。</v>
      </c>
    </row>
    <row r="17571">
      <c r="A17571" s="4" t="s">
        <v>22118</v>
      </c>
      <c r="B17571" s="6" t="s">
        <v>22120</v>
      </c>
      <c r="C17571" s="5" t="str">
        <f>IFERROR(__xludf.DUMMYFUNCTION("GOOGLETRANSLATE(B17571,""en"",""zh-CN"")"),"当他们俩上升时，我们看到他们实际上正在前往乒乓球比赛，这是一个实际的网球场上的桌子。")</f>
        <v>当他们俩上升时，我们看到他们实际上正在前往乒乓球比赛，这是一个实际的网球场上的桌子。</v>
      </c>
    </row>
    <row r="17572">
      <c r="A17572" s="4" t="s">
        <v>22118</v>
      </c>
      <c r="B17572" s="6" t="s">
        <v>22121</v>
      </c>
      <c r="C17572" s="5" t="str">
        <f>IFERROR(__xludf.DUMMYFUNCTION("GOOGLETRANSLATE(B17572,""en"",""zh-CN"")"),"他们是他们的比赛，一个是白色背心和绿色短裤，另一个穿着橙色衬衫和白色短裤。")</f>
        <v>他们是他们的比赛，一个是白色背心和绿色短裤，另一个穿着橙色衬衫和白色短裤。</v>
      </c>
    </row>
    <row r="17573">
      <c r="A17573" s="4" t="s">
        <v>22118</v>
      </c>
      <c r="B17573" s="6" t="s">
        <v>22122</v>
      </c>
      <c r="C17573" s="5" t="str">
        <f>IFERROR(__xludf.DUMMYFUNCTION("GOOGLETRANSLATE(B17573,""en"",""zh-CN"")"),"他们来回击败了一段时间，对游戏的享受似乎更为重要，他们在结论中拍打了双手。")</f>
        <v>他们来回击败了一段时间，对游戏的享受似乎更为重要，他们在结论中拍打了双手。</v>
      </c>
    </row>
    <row r="17574">
      <c r="A17574" s="4" t="s">
        <v>22123</v>
      </c>
      <c r="B17574" s="6" t="s">
        <v>22124</v>
      </c>
      <c r="C17574" s="5" t="str">
        <f>IFERROR(__xludf.DUMMYFUNCTION("GOOGLETRANSLATE(B17574,""en"",""zh-CN"")"),"看到两个男人在镜头前互相讲话，同时将手移到他们的声音上。")</f>
        <v>看到两个男人在镜头前互相讲话，同时将手移到他们的声音上。</v>
      </c>
    </row>
    <row r="17575">
      <c r="A17575" s="4" t="s">
        <v>22123</v>
      </c>
      <c r="B17575" s="6" t="s">
        <v>22125</v>
      </c>
      <c r="C17575" s="5" t="str">
        <f>IFERROR(__xludf.DUMMYFUNCTION("GOOGLETRANSLATE(B17575,""en"",""zh-CN"")"),"这些人继续在沙发上疯狂地表演并彼此指向时，继续互相交谈。")</f>
        <v>这些人继续在沙发上疯狂地表演并彼此指向时，继续互相交谈。</v>
      </c>
    </row>
    <row r="17576">
      <c r="A17576" s="4" t="s">
        <v>22126</v>
      </c>
      <c r="B17576" s="4" t="s">
        <v>22127</v>
      </c>
      <c r="C17576" s="5" t="str">
        <f>IFERROR(__xludf.DUMMYFUNCTION("GOOGLETRANSLATE(B17576,""en"",""zh-CN"")"),"看到一个男人跪在轨道前，而其他人则在侧面看。")</f>
        <v>看到一个男人跪在轨道前，而其他人则在侧面看。</v>
      </c>
    </row>
    <row r="17577">
      <c r="A17577" s="4" t="s">
        <v>22126</v>
      </c>
      <c r="B17577" s="4" t="s">
        <v>22128</v>
      </c>
      <c r="C17577" s="5" t="str">
        <f>IFERROR(__xludf.DUMMYFUNCTION("GOOGLETRANSLATE(B17577,""en"",""zh-CN"")"),"一个人在侧面跑来跑去，跳入坑里。")</f>
        <v>一个人在侧面跑来跑去，跳入坑里。</v>
      </c>
    </row>
    <row r="17578">
      <c r="A17578" s="4" t="s">
        <v>22126</v>
      </c>
      <c r="B17578" s="4" t="s">
        <v>22129</v>
      </c>
      <c r="C17578" s="5" t="str">
        <f>IFERROR(__xludf.DUMMYFUNCTION("GOOGLETRANSLATE(B17578,""en"",""zh-CN"")"),"那个男人坐在他的得分上，看到了更多的人奔跑。")</f>
        <v>那个男人坐在他的得分上，看到了更多的人奔跑。</v>
      </c>
    </row>
    <row r="17579">
      <c r="A17579" s="4" t="s">
        <v>22130</v>
      </c>
      <c r="B17579" s="4" t="s">
        <v>22131</v>
      </c>
      <c r="C17579" s="5" t="str">
        <f>IFERROR(__xludf.DUMMYFUNCTION("GOOGLETRANSLATE(B17579,""en"",""zh-CN"")"),"一个年轻人在数字定时的会话中迅速解决了鲁rix立方体。")</f>
        <v>一个年轻人在数字定时的会话中迅速解决了鲁rix立方体。</v>
      </c>
    </row>
    <row r="17580">
      <c r="A17580" s="4" t="s">
        <v>22130</v>
      </c>
      <c r="B17580" s="6" t="s">
        <v>22132</v>
      </c>
      <c r="C17580" s="5" t="str">
        <f>IFERROR(__xludf.DUMMYFUNCTION("GOOGLETRANSLATE(B17580,""en"",""zh-CN"")"),"一个穿着黄色衬衫的男人，上面贴着一个男人的脸，与镜头说话，并举起一个未解决的rubix立方体。")</f>
        <v>一个穿着黄色衬衫的男人，上面贴着一个男人的脸，与镜头说话，并举起一个未解决的rubix立方体。</v>
      </c>
    </row>
    <row r="17581">
      <c r="A17581" s="4" t="s">
        <v>22130</v>
      </c>
      <c r="B17581" s="4" t="s">
        <v>22133</v>
      </c>
      <c r="C17581" s="5" t="str">
        <f>IFERROR(__xludf.DUMMYFUNCTION("GOOGLETRANSLATE(B17581,""en"",""zh-CN"")"),"一个黑色的数字计时器出现在右下角的屏幕上，并开始运行时间。")</f>
        <v>一个黑色的数字计时器出现在右下角的屏幕上，并开始运行时间。</v>
      </c>
    </row>
    <row r="17582">
      <c r="A17582" s="4" t="s">
        <v>22130</v>
      </c>
      <c r="B17582" s="6" t="s">
        <v>22134</v>
      </c>
      <c r="C17582" s="5" t="str">
        <f>IFERROR(__xludf.DUMMYFUNCTION("GOOGLETRANSLATE(B17582,""en"",""zh-CN"")"),"当计时器启动时，该男子开始解决Rubix Cube，然后用00:34:08时间解决Rubix Cube，此时他将已解决的Rubix Cube固定在空中作为演示。")</f>
        <v>当计时器启动时，该男子开始解决Rubix Cube，然后用00:34:08时间解决Rubix Cube，此时他将已解决的Rubix Cube固定在空中作为演示。</v>
      </c>
    </row>
    <row r="17583">
      <c r="A17583" s="4" t="s">
        <v>22135</v>
      </c>
      <c r="B17583" s="4" t="s">
        <v>22136</v>
      </c>
      <c r="C17583" s="5" t="str">
        <f>IFERROR(__xludf.DUMMYFUNCTION("GOOGLETRANSLATE(B17583,""en"",""zh-CN"")"),"看到两个男人在相机上说话，每个人都握着弓箭。")</f>
        <v>看到两个男人在相机上说话，每个人都握着弓箭。</v>
      </c>
    </row>
    <row r="17584">
      <c r="A17584" s="4" t="s">
        <v>22135</v>
      </c>
      <c r="B17584" s="4" t="s">
        <v>22137</v>
      </c>
      <c r="C17584" s="5" t="str">
        <f>IFERROR(__xludf.DUMMYFUNCTION("GOOGLETRANSLATE(B17584,""en"",""zh-CN"")"),"一个人炫耀他的剪辑，显示人们射击弓并介于两者之间。")</f>
        <v>一个人炫耀他的剪辑，显示人们射击弓并介于两者之间。</v>
      </c>
    </row>
    <row r="17585">
      <c r="A17585" s="4" t="s">
        <v>22135</v>
      </c>
      <c r="B17585" s="4" t="s">
        <v>22138</v>
      </c>
      <c r="C17585" s="5" t="str">
        <f>IFERROR(__xludf.DUMMYFUNCTION("GOOGLETRANSLATE(B17585,""en"",""zh-CN"")"),"另一个男人炫耀自己的弓，同时仍炫耀自己的规格。")</f>
        <v>另一个男人炫耀自己的弓，同时仍炫耀自己的规格。</v>
      </c>
    </row>
    <row r="17586">
      <c r="A17586" s="4" t="s">
        <v>22139</v>
      </c>
      <c r="B17586" s="4" t="s">
        <v>22140</v>
      </c>
      <c r="C17586" s="5" t="str">
        <f>IFERROR(__xludf.DUMMYFUNCTION("GOOGLETRANSLATE(B17586,""en"",""zh-CN"")"),"看到一个人在街道上秃顶，而看到许多人周围走来走去。")</f>
        <v>看到一个人在街道上秃顶，而看到许多人周围走来走去。</v>
      </c>
    </row>
    <row r="17587">
      <c r="A17587" s="4" t="s">
        <v>22139</v>
      </c>
      <c r="B17587" s="4" t="s">
        <v>22141</v>
      </c>
      <c r="C17587" s="5" t="str">
        <f>IFERROR(__xludf.DUMMYFUNCTION("GOOGLETRANSLATE(B17587,""en"",""zh-CN"")"),"然后，一个男人正在接受记者的采访，并以摄像机抛弃结尾。")</f>
        <v>然后，一个男人正在接受记者的采访，并以摄像机抛弃结尾。</v>
      </c>
    </row>
    <row r="17588">
      <c r="A17588" s="4" t="s">
        <v>22142</v>
      </c>
      <c r="B17588" s="4" t="s">
        <v>22143</v>
      </c>
      <c r="C17588" s="5" t="str">
        <f>IFERROR(__xludf.DUMMYFUNCTION("GOOGLETRANSLATE(B17588,""en"",""zh-CN"")"),"一个人将一张墙纸放在适当的位置，并与其他碎片进行行动。")</f>
        <v>一个人将一张墙纸放在适当的位置，并与其他碎片进行行动。</v>
      </c>
    </row>
    <row r="17589">
      <c r="A17589" s="4" t="s">
        <v>22142</v>
      </c>
      <c r="B17589" s="4" t="s">
        <v>22144</v>
      </c>
      <c r="C17589" s="5" t="str">
        <f>IFERROR(__xludf.DUMMYFUNCTION("GOOGLETRANSLATE(B17589,""en"",""zh-CN"")"),"墙纸用透明的尺寸切割成纯净的尺寸。")</f>
        <v>墙纸用透明的尺寸切割成纯净的尺寸。</v>
      </c>
    </row>
    <row r="17590">
      <c r="A17590" s="4" t="s">
        <v>22142</v>
      </c>
      <c r="B17590" s="4" t="s">
        <v>22145</v>
      </c>
      <c r="C17590" s="5" t="str">
        <f>IFERROR(__xludf.DUMMYFUNCTION("GOOGLETRANSLATE(B17590,""en"",""zh-CN"")"),"该男子检查墙纸，然后从背面剥落一条粘合条。")</f>
        <v>该男子检查墙纸，然后从背面剥落一条粘合条。</v>
      </c>
    </row>
    <row r="17591">
      <c r="A17591" s="4" t="s">
        <v>22142</v>
      </c>
      <c r="B17591" s="4" t="s">
        <v>22146</v>
      </c>
      <c r="C17591" s="5" t="str">
        <f>IFERROR(__xludf.DUMMYFUNCTION("GOOGLETRANSLATE(B17591,""en"",""zh-CN"")"),"墙纸连接到墙上，并用手平滑。")</f>
        <v>墙纸连接到墙上，并用手平滑。</v>
      </c>
    </row>
    <row r="17592">
      <c r="A17592" s="4" t="s">
        <v>22142</v>
      </c>
      <c r="B17592" s="4" t="s">
        <v>22147</v>
      </c>
      <c r="C17592" s="5" t="str">
        <f>IFERROR(__xludf.DUMMYFUNCTION("GOOGLETRANSLATE(B17592,""en"",""zh-CN"")"),"该人使用毛巾将墙纸弄平。")</f>
        <v>该人使用毛巾将墙纸弄平。</v>
      </c>
    </row>
    <row r="17593">
      <c r="A17593" s="4" t="s">
        <v>22142</v>
      </c>
      <c r="B17593" s="4" t="s">
        <v>22148</v>
      </c>
      <c r="C17593" s="5" t="str">
        <f>IFERROR(__xludf.DUMMYFUNCTION("GOOGLETRANSLATE(B17593,""en"",""zh-CN"")"),"墙纸在底部切割，并在地板上折痕。")</f>
        <v>墙纸在底部切割，并在地板上折痕。</v>
      </c>
    </row>
    <row r="17594">
      <c r="A17594" s="4" t="s">
        <v>22142</v>
      </c>
      <c r="B17594" s="4" t="s">
        <v>22149</v>
      </c>
      <c r="C17594" s="5" t="str">
        <f>IFERROR(__xludf.DUMMYFUNCTION("GOOGLETRANSLATE(B17594,""en"",""zh-CN"")"),"沿着天花板切割并折痕墙纸。")</f>
        <v>沿着天花板切割并折痕墙纸。</v>
      </c>
    </row>
    <row r="17595">
      <c r="A17595" s="4" t="s">
        <v>22150</v>
      </c>
      <c r="B17595" s="4" t="s">
        <v>22151</v>
      </c>
      <c r="C17595" s="5" t="str">
        <f>IFERROR(__xludf.DUMMYFUNCTION("GOOGLETRANSLATE(B17595,""en"",""zh-CN"")"),"一群人在一个节日中展示了食物，并与人群互动。")</f>
        <v>一群人在一个节日中展示了食物，并与人群互动。</v>
      </c>
    </row>
    <row r="17596">
      <c r="A17596" s="4" t="s">
        <v>22150</v>
      </c>
      <c r="B17596" s="4" t="s">
        <v>22152</v>
      </c>
      <c r="C17596" s="5" t="str">
        <f>IFERROR(__xludf.DUMMYFUNCTION("GOOGLETRANSLATE(B17596,""en"",""zh-CN"")"),"雄性继续与人群一起玩，使他们为冰淇淋蛋筒工作。")</f>
        <v>雄性继续与人群一起玩，使他们为冰淇淋蛋筒工作。</v>
      </c>
    </row>
    <row r="17597">
      <c r="A17597" s="4" t="s">
        <v>22150</v>
      </c>
      <c r="B17597" s="4" t="s">
        <v>22153</v>
      </c>
      <c r="C17597" s="5" t="str">
        <f>IFERROR(__xludf.DUMMYFUNCTION("GOOGLETRANSLATE(B17597,""en"",""zh-CN"")"),"最后，视频结束了，男人微笑，积分开始滚动。")</f>
        <v>最后，视频结束了，男人微笑，积分开始滚动。</v>
      </c>
    </row>
    <row r="17598">
      <c r="A17598" s="4" t="s">
        <v>22154</v>
      </c>
      <c r="B17598" s="4" t="s">
        <v>22155</v>
      </c>
      <c r="C17598" s="5" t="str">
        <f>IFERROR(__xludf.DUMMYFUNCTION("GOOGLETRANSLATE(B17598,""en"",""zh-CN"")"),"人们在前院捡起一堆草。")</f>
        <v>人们在前院捡起一堆草。</v>
      </c>
    </row>
    <row r="17599">
      <c r="A17599" s="4" t="s">
        <v>22154</v>
      </c>
      <c r="B17599" s="4" t="s">
        <v>22156</v>
      </c>
      <c r="C17599" s="5" t="str">
        <f>IFERROR(__xludf.DUMMYFUNCTION("GOOGLETRANSLATE(B17599,""en"",""zh-CN"")"),"一条狗在院子里散步，人们堆草。")</f>
        <v>一条狗在院子里散步，人们堆草。</v>
      </c>
    </row>
    <row r="17600">
      <c r="A17600" s="4" t="s">
        <v>22154</v>
      </c>
      <c r="B17600" s="4" t="s">
        <v>22157</v>
      </c>
      <c r="C17600" s="5" t="str">
        <f>IFERROR(__xludf.DUMMYFUNCTION("GOOGLETRANSLATE(B17600,""en"",""zh-CN"")"),"一个人用手动切割机切草。")</f>
        <v>一个人用手动切割机切草。</v>
      </c>
    </row>
    <row r="17601">
      <c r="A17601" s="4" t="s">
        <v>22154</v>
      </c>
      <c r="B17601" s="4" t="s">
        <v>22158</v>
      </c>
      <c r="C17601" s="5" t="str">
        <f>IFERROR(__xludf.DUMMYFUNCTION("GOOGLETRANSLATE(B17601,""en"",""zh-CN"")"),"狗在地面上闻起来。")</f>
        <v>狗在地面上闻起来。</v>
      </c>
    </row>
    <row r="17602">
      <c r="A17602" s="4" t="s">
        <v>22159</v>
      </c>
      <c r="B17602" s="4" t="s">
        <v>22160</v>
      </c>
      <c r="C17602" s="5" t="str">
        <f>IFERROR(__xludf.DUMMYFUNCTION("GOOGLETRANSLATE(B17602,""en"",""zh-CN"")"),"显示了一对手弹钢琴。")</f>
        <v>显示了一对手弹钢琴。</v>
      </c>
    </row>
    <row r="17603">
      <c r="A17603" s="4" t="s">
        <v>22159</v>
      </c>
      <c r="B17603" s="4" t="s">
        <v>22161</v>
      </c>
      <c r="C17603" s="5" t="str">
        <f>IFERROR(__xludf.DUMMYFUNCTION("GOOGLETRANSLATE(B17603,""en"",""zh-CN"")"),"钢琴演奏家与坐在他旁边的另一个人一起演奏。")</f>
        <v>钢琴演奏家与坐在他旁边的另一个人一起演奏。</v>
      </c>
    </row>
    <row r="17604">
      <c r="A17604" s="4" t="s">
        <v>22159</v>
      </c>
      <c r="B17604" s="4" t="s">
        <v>22162</v>
      </c>
      <c r="C17604" s="5" t="str">
        <f>IFERROR(__xludf.DUMMYFUNCTION("GOOGLETRANSLATE(B17604,""en"",""zh-CN"")"),"从手近的视图中可以看到演奏。")</f>
        <v>从手近的视图中可以看到演奏。</v>
      </c>
    </row>
    <row r="17605">
      <c r="A17605" s="4" t="s">
        <v>22159</v>
      </c>
      <c r="B17605" s="4" t="s">
        <v>22163</v>
      </c>
      <c r="C17605" s="5" t="str">
        <f>IFERROR(__xludf.DUMMYFUNCTION("GOOGLETRANSLATE(B17605,""en"",""zh-CN"")"),"第二个人模仿了第一个男人。")</f>
        <v>第二个人模仿了第一个男人。</v>
      </c>
    </row>
    <row r="17606">
      <c r="A17606" s="4" t="s">
        <v>22159</v>
      </c>
      <c r="B17606" s="4" t="s">
        <v>22164</v>
      </c>
      <c r="C17606" s="5" t="str">
        <f>IFERROR(__xludf.DUMMYFUNCTION("GOOGLETRANSLATE(B17606,""en"",""zh-CN"")"),"第一个男人在第二个人的模仿中拍了拍。")</f>
        <v>第一个男人在第二个人的模仿中拍了拍。</v>
      </c>
    </row>
    <row r="17607">
      <c r="A17607" s="4" t="s">
        <v>22165</v>
      </c>
      <c r="B17607" s="4" t="s">
        <v>22166</v>
      </c>
      <c r="C17607" s="5" t="str">
        <f>IFERROR(__xludf.DUMMYFUNCTION("GOOGLETRANSLATE(B17607,""en"",""zh-CN"")"),"一个男人站在镜头前，然后抽了一口烟。")</f>
        <v>一个男人站在镜头前，然后抽了一口烟。</v>
      </c>
    </row>
    <row r="17608">
      <c r="A17608" s="4" t="s">
        <v>22165</v>
      </c>
      <c r="B17608" s="6" t="s">
        <v>22167</v>
      </c>
      <c r="C17608" s="5" t="str">
        <f>IFERROR(__xludf.DUMMYFUNCTION("GOOGLETRANSLATE(B17608,""en"",""zh-CN"")"),"之后，他出现在滚筒上，开始跳上城市的不同街区和巨石。")</f>
        <v>之后，他出现在滚筒上，开始跳上城市的不同街区和巨石。</v>
      </c>
    </row>
    <row r="17609">
      <c r="A17609" s="4" t="s">
        <v>22165</v>
      </c>
      <c r="B17609" s="4" t="s">
        <v>22168</v>
      </c>
      <c r="C17609" s="5" t="str">
        <f>IFERROR(__xludf.DUMMYFUNCTION("GOOGLETRANSLATE(B17609,""en"",""zh-CN"")"),"该男子继续穿越城市，经过汽车，跳过岩石。")</f>
        <v>该男子继续穿越城市，经过汽车，跳过岩石。</v>
      </c>
    </row>
    <row r="17610">
      <c r="A17610" s="4" t="s">
        <v>22169</v>
      </c>
      <c r="B17610" s="4" t="s">
        <v>22170</v>
      </c>
      <c r="C17610" s="5" t="str">
        <f>IFERROR(__xludf.DUMMYFUNCTION("GOOGLETRANSLATE(B17610,""en"",""zh-CN"")"),"一个女人和一个男人致敬，然后他们展示了空手道在健身房的移动。")</f>
        <v>一个女人和一个男人致敬，然后他们展示了空手道在健身房的移动。</v>
      </c>
    </row>
    <row r="17611">
      <c r="A17611" s="4" t="s">
        <v>22169</v>
      </c>
      <c r="B17611" s="4" t="s">
        <v>22171</v>
      </c>
      <c r="C17611" s="5" t="str">
        <f>IFERROR(__xludf.DUMMYFUNCTION("GOOGLETRANSLATE(B17611,""en"",""zh-CN"")"),"之后，女人和男人站着致敬。")</f>
        <v>之后，女人和男人站着致敬。</v>
      </c>
    </row>
    <row r="17612">
      <c r="A17612" s="4" t="s">
        <v>22172</v>
      </c>
      <c r="B17612" s="4" t="s">
        <v>22173</v>
      </c>
      <c r="C17612" s="5" t="str">
        <f>IFERROR(__xludf.DUMMYFUNCTION("GOOGLETRANSLATE(B17612,""en"",""zh-CN"")"),"可以看到图形，上面有蘑菇和植物的图纸。")</f>
        <v>可以看到图形，上面有蘑菇和植物的图纸。</v>
      </c>
    </row>
    <row r="17613">
      <c r="A17613" s="4" t="s">
        <v>22172</v>
      </c>
      <c r="B17613" s="4" t="s">
        <v>22174</v>
      </c>
      <c r="C17613" s="5" t="str">
        <f>IFERROR(__xludf.DUMMYFUNCTION("GOOGLETRANSLATE(B17613,""en"",""zh-CN"")"),"看到一棵高大的松树。")</f>
        <v>看到一棵高大的松树。</v>
      </c>
    </row>
    <row r="17614">
      <c r="A17614" s="4" t="s">
        <v>22172</v>
      </c>
      <c r="B17614" s="4" t="s">
        <v>22175</v>
      </c>
      <c r="C17614" s="5" t="str">
        <f>IFERROR(__xludf.DUMMYFUNCTION("GOOGLETRANSLATE(B17614,""en"",""zh-CN"")"),"一场比赛被点燃，一个年轻人和棍棒一起举起另一场点亮的比赛，然后将其吹出。")</f>
        <v>一场比赛被点燃，一个年轻人和棍棒一起举起另一场点亮的比赛，然后将其吹出。</v>
      </c>
    </row>
    <row r="17615">
      <c r="A17615" s="4" t="s">
        <v>22172</v>
      </c>
      <c r="B17615" s="4" t="s">
        <v>22176</v>
      </c>
      <c r="C17615" s="5" t="str">
        <f>IFERROR(__xludf.DUMMYFUNCTION("GOOGLETRANSLATE(B17615,""en"",""zh-CN"")"),"这位年轻人在帐篷附近建造了一圈岩石。")</f>
        <v>这位年轻人在帐篷附近建造了一圈岩石。</v>
      </c>
    </row>
    <row r="17616">
      <c r="A17616" s="4" t="s">
        <v>22172</v>
      </c>
      <c r="B17616" s="4" t="s">
        <v>22177</v>
      </c>
      <c r="C17616" s="5" t="str">
        <f>IFERROR(__xludf.DUMMYFUNCTION("GOOGLETRANSLATE(B17616,""en"",""zh-CN"")"),"然后，露营者在他的手中表现出各种大小的棍子，其他棍子分为两分。")</f>
        <v>然后，露营者在他的手中表现出各种大小的棍子，其他棍子分为两分。</v>
      </c>
    </row>
    <row r="17617">
      <c r="A17617" s="4" t="s">
        <v>22172</v>
      </c>
      <c r="B17617" s="4" t="s">
        <v>22178</v>
      </c>
      <c r="C17617" s="5" t="str">
        <f>IFERROR(__xludf.DUMMYFUNCTION("GOOGLETRANSLATE(B17617,""en"",""zh-CN"")"),"这位年轻人用脚断裂，将它们带到营地。")</f>
        <v>这位年轻人用脚断裂，将它们带到营地。</v>
      </c>
    </row>
    <row r="17618">
      <c r="A17618" s="4" t="s">
        <v>22172</v>
      </c>
      <c r="B17618" s="4" t="s">
        <v>22179</v>
      </c>
      <c r="C17618" s="5" t="str">
        <f>IFERROR(__xludf.DUMMYFUNCTION("GOOGLETRANSLATE(B17618,""en"",""zh-CN"")"),"这位年轻人在火环中用各种大小的棍棒燃烧着火，并照亮了它。")</f>
        <v>这位年轻人在火环中用各种大小的棍棒燃烧着火，并照亮了它。</v>
      </c>
    </row>
    <row r="17619">
      <c r="A17619" s="4" t="s">
        <v>22172</v>
      </c>
      <c r="B17619" s="4" t="s">
        <v>22180</v>
      </c>
      <c r="C17619" s="5" t="str">
        <f>IFERROR(__xludf.DUMMYFUNCTION("GOOGLETRANSLATE(B17619,""en"",""zh-CN"")"),"大火燃烧到深夜。")</f>
        <v>大火燃烧到深夜。</v>
      </c>
    </row>
    <row r="17620">
      <c r="A17620" s="4" t="s">
        <v>22181</v>
      </c>
      <c r="B17620" s="6" t="s">
        <v>22182</v>
      </c>
      <c r="C17620" s="5" t="str">
        <f>IFERROR(__xludf.DUMMYFUNCTION("GOOGLETRANSLATE(B17620,""en"",""zh-CN"")"),"燕尾服的一个男人和派对礼服的女人在表演期间在舞厅里舞蹈中的探戈舞。")</f>
        <v>燕尾服的一个男人和派对礼服的女人在表演期间在舞厅里舞蹈中的探戈舞。</v>
      </c>
    </row>
    <row r="17621">
      <c r="A17621" s="4" t="s">
        <v>22181</v>
      </c>
      <c r="B17621" s="4" t="s">
        <v>22183</v>
      </c>
      <c r="C17621" s="5" t="str">
        <f>IFERROR(__xludf.DUMMYFUNCTION("GOOGLETRANSLATE(B17621,""en"",""zh-CN"")"),"人群在最后欢呼，拍手。")</f>
        <v>人群在最后欢呼，拍手。</v>
      </c>
    </row>
    <row r="17622">
      <c r="A17622" s="4" t="s">
        <v>22184</v>
      </c>
      <c r="B17622" s="4" t="s">
        <v>22185</v>
      </c>
      <c r="C17622" s="5" t="str">
        <f>IFERROR(__xludf.DUMMYFUNCTION("GOOGLETRANSLATE(B17622,""en"",""zh-CN"")"),"一个女人站在洗衣房的洗衣机和烘干机的前面。")</f>
        <v>一个女人站在洗衣房的洗衣机和烘干机的前面。</v>
      </c>
    </row>
    <row r="17623">
      <c r="A17623" s="4" t="s">
        <v>22184</v>
      </c>
      <c r="B17623" s="4" t="s">
        <v>22186</v>
      </c>
      <c r="C17623" s="5" t="str">
        <f>IFERROR(__xludf.DUMMYFUNCTION("GOOGLETRANSLATE(B17623,""en"",""zh-CN"")"),"逐步提供了熨烫衣服的说明。")</f>
        <v>逐步提供了熨烫衣服的说明。</v>
      </c>
    </row>
    <row r="17624">
      <c r="A17624" s="4" t="s">
        <v>22184</v>
      </c>
      <c r="B17624" s="4" t="s">
        <v>22187</v>
      </c>
      <c r="C17624" s="5" t="str">
        <f>IFERROR(__xludf.DUMMYFUNCTION("GOOGLETRANSLATE(B17624,""en"",""zh-CN"")"),"她展示了如何使用抹布和蒸汽准备和熨烫衣服。")</f>
        <v>她展示了如何使用抹布和蒸汽准备和熨烫衣服。</v>
      </c>
    </row>
    <row r="17625">
      <c r="A17625" s="4" t="s">
        <v>22188</v>
      </c>
      <c r="B17625" s="4" t="s">
        <v>22189</v>
      </c>
      <c r="C17625" s="5" t="str">
        <f>IFERROR(__xludf.DUMMYFUNCTION("GOOGLETRANSLATE(B17625,""en"",""zh-CN"")"),"一个女人坐在一个高椅子的婴儿旁边。")</f>
        <v>一个女人坐在一个高椅子的婴儿旁边。</v>
      </c>
    </row>
    <row r="17626">
      <c r="A17626" s="4" t="s">
        <v>22188</v>
      </c>
      <c r="B17626" s="4" t="s">
        <v>22190</v>
      </c>
      <c r="C17626" s="5" t="str">
        <f>IFERROR(__xludf.DUMMYFUNCTION("GOOGLETRANSLATE(B17626,""en"",""zh-CN"")"),"她正在为婴儿演奏手风琴。")</f>
        <v>她正在为婴儿演奏手风琴。</v>
      </c>
    </row>
    <row r="17627">
      <c r="A17627" s="4" t="s">
        <v>22188</v>
      </c>
      <c r="B17627" s="4" t="s">
        <v>22191</v>
      </c>
      <c r="C17627" s="5" t="str">
        <f>IFERROR(__xludf.DUMMYFUNCTION("GOOGLETRANSLATE(B17627,""en"",""zh-CN"")"),"婴儿来回摇滚，跳舞音乐。")</f>
        <v>婴儿来回摇滚，跳舞音乐。</v>
      </c>
    </row>
    <row r="17628">
      <c r="A17628" s="4" t="s">
        <v>22192</v>
      </c>
      <c r="B17628" s="4" t="s">
        <v>22193</v>
      </c>
      <c r="C17628" s="5" t="str">
        <f>IFERROR(__xludf.DUMMYFUNCTION("GOOGLETRANSLATE(B17628,""en"",""zh-CN"")"),"一个女人正在指示如何制作柠檬水。")</f>
        <v>一个女人正在指示如何制作柠檬水。</v>
      </c>
    </row>
    <row r="17629">
      <c r="A17629" s="4" t="s">
        <v>22192</v>
      </c>
      <c r="B17629" s="6" t="s">
        <v>22194</v>
      </c>
      <c r="C17629" s="5" t="str">
        <f>IFERROR(__xludf.DUMMYFUNCTION("GOOGLETRANSLATE(B17629,""en"",""zh-CN"")"),"她展示了她使用的所有成分，并开始将它们煮沸并在炉子上的锅上混合。")</f>
        <v>她展示了她使用的所有成分，并开始将它们煮沸并在炉子上的锅上混合。</v>
      </c>
    </row>
    <row r="17630">
      <c r="A17630" s="4" t="s">
        <v>22192</v>
      </c>
      <c r="B17630" s="4" t="s">
        <v>22195</v>
      </c>
      <c r="C17630" s="5" t="str">
        <f>IFERROR(__xludf.DUMMYFUNCTION("GOOGLETRANSLATE(B17630,""en"",""zh-CN"")"),"在搅拌机中，她将一些草莓和柠檬汁混合在一起。")</f>
        <v>在搅拌机中，她将一些草莓和柠檬汁混合在一起。</v>
      </c>
    </row>
    <row r="17631">
      <c r="A17631" s="4" t="s">
        <v>22192</v>
      </c>
      <c r="B17631" s="6" t="s">
        <v>22196</v>
      </c>
      <c r="C17631" s="5" t="str">
        <f>IFERROR(__xludf.DUMMYFUNCTION("GOOGLETRANSLATE(B17631,""en"",""zh-CN"")"),"然后，她开始对所有不同类型的其他柠檬水进行更多或多或少的步骤。")</f>
        <v>然后，她开始对所有不同类型的其他柠檬水进行更多或多或少的步骤。</v>
      </c>
    </row>
    <row r="17632">
      <c r="A17632" s="4" t="s">
        <v>22197</v>
      </c>
      <c r="B17632" s="6" t="s">
        <v>22198</v>
      </c>
      <c r="C17632" s="5" t="str">
        <f>IFERROR(__xludf.DUMMYFUNCTION("GOOGLETRANSLATE(B17632,""en"",""zh-CN"")"),"显示了一个人在绳索上行走的人的特写，后面是老人在相机上说话，还有更多人走路的人。")</f>
        <v>显示了一个人在绳索上行走的人的特写，后面是老人在相机上说话，还有更多人走路的人。</v>
      </c>
    </row>
    <row r="17633">
      <c r="A17633" s="4" t="s">
        <v>22197</v>
      </c>
      <c r="B17633" s="6" t="s">
        <v>22199</v>
      </c>
      <c r="C17633" s="5" t="str">
        <f>IFERROR(__xludf.DUMMYFUNCTION("GOOGLETRANSLATE(B17633,""en"",""zh-CN"")"),"当人们走在他们身后，展示更多的人越过绳索时，人们正在接受采访。")</f>
        <v>当人们走在他们身后，展示更多的人越过绳索时，人们正在接受采访。</v>
      </c>
    </row>
    <row r="17634">
      <c r="A17634" s="4" t="s">
        <v>22200</v>
      </c>
      <c r="B17634" s="6" t="s">
        <v>22201</v>
      </c>
      <c r="C17634" s="5" t="str">
        <f>IFERROR(__xludf.DUMMYFUNCTION("GOOGLETRANSLATE(B17634,""en"",""zh-CN"")"),"看到一小群人站在室内，一名球员踢球并打进进球。")</f>
        <v>看到一小群人站在室内，一名球员踢球并打进进球。</v>
      </c>
    </row>
    <row r="17635">
      <c r="A17635" s="4" t="s">
        <v>22200</v>
      </c>
      <c r="B17635" s="4" t="s">
        <v>22202</v>
      </c>
      <c r="C17635" s="5" t="str">
        <f>IFERROR(__xludf.DUMMYFUNCTION("GOOGLETRANSLATE(B17635,""en"",""zh-CN"")"),"观众欢呼雀跃和同一张镜头几次，玩家走开了。")</f>
        <v>观众欢呼雀跃和同一张镜头几次，玩家走开了。</v>
      </c>
    </row>
    <row r="17636">
      <c r="A17636" s="4" t="s">
        <v>22200</v>
      </c>
      <c r="B17636" s="6" t="s">
        <v>22203</v>
      </c>
      <c r="C17636" s="5" t="str">
        <f>IFERROR(__xludf.DUMMYFUNCTION("GOOGLETRANSLATE(B17636,""en"",""zh-CN"")"),"在比赛中显示了更多的目标，然后在慢动作中再次显示了相同的射门。")</f>
        <v>在比赛中显示了更多的目标，然后在慢动作中再次显示了相同的射门。</v>
      </c>
    </row>
    <row r="17637">
      <c r="A17637" s="4" t="s">
        <v>22204</v>
      </c>
      <c r="B17637" s="4" t="s">
        <v>22205</v>
      </c>
      <c r="C17637" s="5" t="str">
        <f>IFERROR(__xludf.DUMMYFUNCTION("GOOGLETRANSLATE(B17637,""en"",""zh-CN"")"),"我们看到男人用旗帜戏弄公牛。")</f>
        <v>我们看到男人用旗帜戏弄公牛。</v>
      </c>
    </row>
    <row r="17638">
      <c r="A17638" s="4" t="s">
        <v>22204</v>
      </c>
      <c r="B17638" s="4" t="s">
        <v>22206</v>
      </c>
      <c r="C17638" s="5" t="str">
        <f>IFERROR(__xludf.DUMMYFUNCTION("GOOGLETRANSLATE(B17638,""en"",""zh-CN"")"),"公牛在国旗上指控。")</f>
        <v>公牛在国旗上指控。</v>
      </c>
    </row>
    <row r="17639">
      <c r="A17639" s="4" t="s">
        <v>22204</v>
      </c>
      <c r="B17639" s="4" t="s">
        <v>22207</v>
      </c>
      <c r="C17639" s="5" t="str">
        <f>IFERROR(__xludf.DUMMYFUNCTION("GOOGLETRANSLATE(B17639,""en"",""zh-CN"")"),"公牛收费并追随国旗。")</f>
        <v>公牛收费并追随国旗。</v>
      </c>
    </row>
    <row r="17640">
      <c r="A17640" s="4" t="s">
        <v>22204</v>
      </c>
      <c r="B17640" s="4" t="s">
        <v>22208</v>
      </c>
      <c r="C17640" s="5" t="str">
        <f>IFERROR(__xludf.DUMMYFUNCTION("GOOGLETRANSLATE(B17640,""en"",""zh-CN"")"),"斗牛士向左移动，公牛跟随他。")</f>
        <v>斗牛士向左移动，公牛跟随他。</v>
      </c>
    </row>
    <row r="17641">
      <c r="A17641" s="4" t="s">
        <v>22209</v>
      </c>
      <c r="B17641" s="4" t="s">
        <v>22210</v>
      </c>
      <c r="C17641" s="5" t="str">
        <f>IFERROR(__xludf.DUMMYFUNCTION("GOOGLETRANSLATE(B17641,""en"",""zh-CN"")"),"两个男人在他们面前走路。")</f>
        <v>两个男人在他们面前走路。</v>
      </c>
    </row>
    <row r="17642">
      <c r="A17642" s="4" t="s">
        <v>22209</v>
      </c>
      <c r="B17642" s="4" t="s">
        <v>22211</v>
      </c>
      <c r="C17642" s="5" t="str">
        <f>IFERROR(__xludf.DUMMYFUNCTION("GOOGLETRANSLATE(B17642,""en"",""zh-CN"")"),"他们将光盘安排到一些数字上。")</f>
        <v>他们将光盘安排到一些数字上。</v>
      </c>
    </row>
    <row r="17643">
      <c r="A17643" s="4" t="s">
        <v>22209</v>
      </c>
      <c r="B17643" s="4" t="s">
        <v>22212</v>
      </c>
      <c r="C17643" s="5" t="str">
        <f>IFERROR(__xludf.DUMMYFUNCTION("GOOGLETRANSLATE(B17643,""en"",""zh-CN"")"),"其中一个人用棍子扔了一个光盘。")</f>
        <v>其中一个人用棍子扔了一个光盘。</v>
      </c>
    </row>
    <row r="17644">
      <c r="A17644" s="4" t="s">
        <v>22209</v>
      </c>
      <c r="B17644" s="4" t="s">
        <v>22213</v>
      </c>
      <c r="C17644" s="5" t="str">
        <f>IFERROR(__xludf.DUMMYFUNCTION("GOOGLETRANSLATE(B17644,""en"",""zh-CN"")"),"红色的男人扔了他的唱片。")</f>
        <v>红色的男人扔了他的唱片。</v>
      </c>
    </row>
    <row r="17645">
      <c r="A17645" s="4" t="s">
        <v>22209</v>
      </c>
      <c r="B17645" s="4" t="s">
        <v>22214</v>
      </c>
      <c r="C17645" s="5" t="str">
        <f>IFERROR(__xludf.DUMMYFUNCTION("GOOGLETRANSLATE(B17645,""en"",""zh-CN"")"),"第一个男人扔了另一个光盘。")</f>
        <v>第一个男人扔了另一个光盘。</v>
      </c>
    </row>
    <row r="17646">
      <c r="A17646" s="4" t="s">
        <v>22209</v>
      </c>
      <c r="B17646" s="4" t="s">
        <v>22215</v>
      </c>
      <c r="C17646" s="5" t="str">
        <f>IFERROR(__xludf.DUMMYFUNCTION("GOOGLETRANSLATE(B17646,""en"",""zh-CN"")"),"红色衬衫的男人随之而来。")</f>
        <v>红色衬衫的男人随之而来。</v>
      </c>
    </row>
    <row r="17647">
      <c r="A17647" s="4" t="s">
        <v>22209</v>
      </c>
      <c r="B17647" s="4" t="s">
        <v>22216</v>
      </c>
      <c r="C17647" s="5" t="str">
        <f>IFERROR(__xludf.DUMMYFUNCTION("GOOGLETRANSLATE(B17647,""en"",""zh-CN"")"),"第一个人扔另一个光盘，然后穿着红色衬衫的男人随之而来。")</f>
        <v>第一个人扔另一个光盘，然后穿着红色衬衫的男人随之而来。</v>
      </c>
    </row>
    <row r="17648">
      <c r="A17648" s="4" t="s">
        <v>22209</v>
      </c>
      <c r="B17648" s="4" t="s">
        <v>22217</v>
      </c>
      <c r="C17648" s="5" t="str">
        <f>IFERROR(__xludf.DUMMYFUNCTION("GOOGLETRANSLATE(B17648,""en"",""zh-CN"")"),"他们彼此高五。")</f>
        <v>他们彼此高五。</v>
      </c>
    </row>
    <row r="17649">
      <c r="A17649" s="4" t="s">
        <v>22218</v>
      </c>
      <c r="B17649" s="4" t="s">
        <v>22219</v>
      </c>
      <c r="C17649" s="5" t="str">
        <f>IFERROR(__xludf.DUMMYFUNCTION("GOOGLETRANSLATE(B17649,""en"",""zh-CN"")"),"一名穿着军装的男子站在一群士兵面前。")</f>
        <v>一名穿着军装的男子站在一群士兵面前。</v>
      </c>
    </row>
    <row r="17650">
      <c r="A17650" s="4" t="s">
        <v>22218</v>
      </c>
      <c r="B17650" s="4" t="s">
        <v>22220</v>
      </c>
      <c r="C17650" s="5" t="str">
        <f>IFERROR(__xludf.DUMMYFUNCTION("GOOGLETRANSLATE(B17650,""en"",""zh-CN"")"),"当其他士兵站着看他时，他正在玩风笛。")</f>
        <v>当其他士兵站着看他时，他正在玩风笛。</v>
      </c>
    </row>
    <row r="17651">
      <c r="A17651" s="4" t="s">
        <v>22218</v>
      </c>
      <c r="B17651" s="6" t="s">
        <v>22221</v>
      </c>
      <c r="C17651" s="5" t="str">
        <f>IFERROR(__xludf.DUMMYFUNCTION("GOOGLETRANSLATE(B17651,""en"",""zh-CN"")"),"他们可能正在练习游行，因为他们站在拖车上并看着他。")</f>
        <v>他们可能正在练习游行，因为他们站在拖车上并看着他。</v>
      </c>
    </row>
    <row r="17652">
      <c r="A17652" s="4" t="s">
        <v>22218</v>
      </c>
      <c r="B17652" s="4" t="s">
        <v>22222</v>
      </c>
      <c r="C17652" s="5" t="str">
        <f>IFERROR(__xludf.DUMMYFUNCTION("GOOGLETRANSLATE(B17652,""en"",""zh-CN"")"),"一旦士兵在风笛上完成他的歌，所有士兵都鼓掌并为他加油。")</f>
        <v>一旦士兵在风笛上完成他的歌，所有士兵都鼓掌并为他加油。</v>
      </c>
    </row>
    <row r="17653">
      <c r="A17653" s="4" t="s">
        <v>22223</v>
      </c>
      <c r="B17653" s="4" t="s">
        <v>22224</v>
      </c>
      <c r="C17653" s="5" t="str">
        <f>IFERROR(__xludf.DUMMYFUNCTION("GOOGLETRANSLATE(B17653,""en"",""zh-CN"")"),"显示了人们冲浪的旧视频。")</f>
        <v>显示了人们冲浪的旧视频。</v>
      </c>
    </row>
    <row r="17654">
      <c r="A17654" s="4" t="s">
        <v>22223</v>
      </c>
      <c r="B17654" s="4" t="s">
        <v>22225</v>
      </c>
      <c r="C17654" s="5" t="str">
        <f>IFERROR(__xludf.DUMMYFUNCTION("GOOGLETRANSLATE(B17654,""en"",""zh-CN"")"),"人们抓住了海浪，胖子做得很好。")</f>
        <v>人们抓住了海浪，胖子做得很好。</v>
      </c>
    </row>
    <row r="17655">
      <c r="A17655" s="4" t="s">
        <v>22226</v>
      </c>
      <c r="B17655" s="4" t="s">
        <v>22227</v>
      </c>
      <c r="C17655" s="5" t="str">
        <f>IFERROR(__xludf.DUMMYFUNCTION("GOOGLETRANSLATE(B17655,""en"",""zh-CN"")"),"一名大型黑人男性和约翰·塞纳（John Cena）正在摔跤手臂摔跤。")</f>
        <v>一名大型黑人男性和约翰·塞纳（John Cena）正在摔跤手臂摔跤。</v>
      </c>
    </row>
    <row r="17656">
      <c r="A17656" s="4" t="s">
        <v>22226</v>
      </c>
      <c r="B17656" s="6" t="s">
        <v>22228</v>
      </c>
      <c r="C17656" s="5" t="str">
        <f>IFERROR(__xludf.DUMMYFUNCTION("GOOGLETRANSLATE(B17656,""en"",""zh-CN"")"),"这位黑人男性开始赢得胜利，但约翰·塞纳（John Cena）借着他所有的力量不屈服，并获得了足够的力量，以另一种方式向后推。")</f>
        <v>这位黑人男性开始赢得胜利，但约翰·塞纳（John Cena）借着他所有的力量不屈服，并获得了足够的力量，以另一种方式向后推。</v>
      </c>
    </row>
    <row r="17657">
      <c r="A17657" s="4" t="s">
        <v>22226</v>
      </c>
      <c r="B17657" s="6" t="s">
        <v>22229</v>
      </c>
      <c r="C17657" s="5" t="str">
        <f>IFERROR(__xludf.DUMMYFUNCTION("GOOGLETRANSLATE(B17657,""en"",""zh-CN"")"),"经过一段时间，约翰·塞纳（John Cena）获胜，有人跳了起来，开始摔跤他，把黑人捡起来，把他丢下来。")</f>
        <v>经过一段时间，约翰·塞纳（John Cena）获胜，有人跳了起来，开始摔跤他，把黑人捡起来，把他丢下来。</v>
      </c>
    </row>
    <row r="17658">
      <c r="A17658" s="4" t="s">
        <v>22226</v>
      </c>
      <c r="B17658" s="6" t="s">
        <v>22230</v>
      </c>
      <c r="C17658" s="5" t="str">
        <f>IFERROR(__xludf.DUMMYFUNCTION("GOOGLETRANSLATE(B17658,""en"",""zh-CN"")"),"当约翰·塞纳（John Cena）继续庆祝另一个家伙开始谈论垃圾时，约翰·塞纳（John Cena）看着他，然后回到人群中。")</f>
        <v>当约翰·塞纳（John Cena）继续庆祝另一个家伙开始谈论垃圾时，约翰·塞纳（John Cena）看着他，然后回到人群中。</v>
      </c>
    </row>
    <row r="17659">
      <c r="A17659" s="4" t="s">
        <v>22231</v>
      </c>
      <c r="B17659" s="4" t="s">
        <v>22232</v>
      </c>
      <c r="C17659" s="5" t="str">
        <f>IFERROR(__xludf.DUMMYFUNCTION("GOOGLETRANSLATE(B17659,""en"",""zh-CN"")"),"一支游行乐队在健身房和人们观看。")</f>
        <v>一支游行乐队在健身房和人们观看。</v>
      </c>
    </row>
    <row r="17660">
      <c r="A17660" s="4" t="s">
        <v>22231</v>
      </c>
      <c r="B17660" s="4" t="s">
        <v>22233</v>
      </c>
      <c r="C17660" s="5" t="str">
        <f>IFERROR(__xludf.DUMMYFUNCTION("GOOGLETRANSLATE(B17660,""en"",""zh-CN"")"),"然后，游行乐队停止演奏，然后恢复。")</f>
        <v>然后，游行乐队停止演奏，然后恢复。</v>
      </c>
    </row>
    <row r="17661">
      <c r="A17661" s="4" t="s">
        <v>22231</v>
      </c>
      <c r="B17661" s="4" t="s">
        <v>22234</v>
      </c>
      <c r="C17661" s="5" t="str">
        <f>IFERROR(__xludf.DUMMYFUNCTION("GOOGLETRANSLATE(B17661,""en"",""zh-CN"")"),"一个女人在游行乐队的身边经过。")</f>
        <v>一个女人在游行乐队的身边经过。</v>
      </c>
    </row>
    <row r="17662">
      <c r="A17662" s="4" t="s">
        <v>22231</v>
      </c>
      <c r="B17662" s="4" t="s">
        <v>22235</v>
      </c>
      <c r="C17662" s="5" t="str">
        <f>IFERROR(__xludf.DUMMYFUNCTION("GOOGLETRANSLATE(B17662,""en"",""zh-CN"")"),"一个年轻人用罐子喝酒。")</f>
        <v>一个年轻人用罐子喝酒。</v>
      </c>
    </row>
    <row r="17663">
      <c r="A17663" s="4" t="s">
        <v>22231</v>
      </c>
      <c r="B17663" s="4" t="s">
        <v>22236</v>
      </c>
      <c r="C17663" s="5" t="str">
        <f>IFERROR(__xludf.DUMMYFUNCTION("GOOGLETRANSLATE(B17663,""en"",""zh-CN"")"),"之后，一个孩子在前进乐队的前面传递。")</f>
        <v>之后，一个孩子在前进乐队的前面传递。</v>
      </c>
    </row>
    <row r="17664">
      <c r="A17664" s="4" t="s">
        <v>22237</v>
      </c>
      <c r="B17664" s="4" t="s">
        <v>22238</v>
      </c>
      <c r="C17664" s="5" t="str">
        <f>IFERROR(__xludf.DUMMYFUNCTION("GOOGLETRANSLATE(B17664,""en"",""zh-CN"")"),"家里的人们准备好在雪橇上雪橇上雪橇。")</f>
        <v>家里的人们准备好在雪橇上雪橇上雪橇。</v>
      </c>
    </row>
    <row r="17665">
      <c r="A17665" s="4" t="s">
        <v>22237</v>
      </c>
      <c r="B17665" s="4" t="s">
        <v>22239</v>
      </c>
      <c r="C17665" s="5" t="str">
        <f>IFERROR(__xludf.DUMMYFUNCTION("GOOGLETRANSLATE(B17665,""en"",""zh-CN"")"),"两名年轻人雪橇在路上被汽车拉的道路上。")</f>
        <v>两名年轻人雪橇在路上被汽车拉的道路上。</v>
      </c>
    </row>
    <row r="17666">
      <c r="A17666" s="4" t="s">
        <v>22237</v>
      </c>
      <c r="B17666" s="4" t="s">
        <v>22240</v>
      </c>
      <c r="C17666" s="5" t="str">
        <f>IFERROR(__xludf.DUMMYFUNCTION("GOOGLETRANSLATE(B17666,""en"",""zh-CN"")"),"雪的飞溅落在那些被雪覆盖的年轻人身上。")</f>
        <v>雪的飞溅落在那些被雪覆盖的年轻人身上。</v>
      </c>
    </row>
    <row r="17667">
      <c r="A17667" s="4" t="s">
        <v>22237</v>
      </c>
      <c r="B17667" s="6" t="s">
        <v>22241</v>
      </c>
      <c r="C17667" s="5" t="str">
        <f>IFERROR(__xludf.DUMMYFUNCTION("GOOGLETRANSLATE(B17667,""en"",""zh-CN"")"),"一个年轻人站在雪橇上，进入汽车，其他人在雪橇上占据一席之地。")</f>
        <v>一个年轻人站在雪橇上，进入汽车，其他人在雪橇上占据一席之地。</v>
      </c>
    </row>
    <row r="17668">
      <c r="A17668" s="4" t="s">
        <v>22237</v>
      </c>
      <c r="B17668" s="4" t="s">
        <v>22242</v>
      </c>
      <c r="C17668" s="5" t="str">
        <f>IFERROR(__xludf.DUMMYFUNCTION("GOOGLETRANSLATE(B17668,""en"",""zh-CN"")"),"一名年轻人沿着雪橇雪橇走下去，而雪对着他们。")</f>
        <v>一名年轻人沿着雪橇雪橇走下去，而雪对着他们。</v>
      </c>
    </row>
    <row r="17669">
      <c r="A17669" s="4" t="s">
        <v>22237</v>
      </c>
      <c r="B17669" s="4" t="s">
        <v>22243</v>
      </c>
      <c r="C17669" s="5" t="str">
        <f>IFERROR(__xludf.DUMMYFUNCTION("GOOGLETRANSLATE(B17669,""en"",""zh-CN"")"),"一个年轻人的滑雪板拿着一条绳子固定在汽车上，最后他跌倒了。")</f>
        <v>一个年轻人的滑雪板拿着一条绳子固定在汽车上，最后他跌倒了。</v>
      </c>
    </row>
    <row r="17670">
      <c r="A17670" s="4" t="s">
        <v>22244</v>
      </c>
      <c r="B17670" s="4" t="s">
        <v>22245</v>
      </c>
      <c r="C17670" s="5" t="str">
        <f>IFERROR(__xludf.DUMMYFUNCTION("GOOGLETRANSLATE(B17670,""en"",""zh-CN"")"),"一个男孩滑板在道路上跳跃，翻转街上的滑板。")</f>
        <v>一个男孩滑板在道路上跳跃，翻转街上的滑板。</v>
      </c>
    </row>
    <row r="17671">
      <c r="A17671" s="4" t="s">
        <v>22244</v>
      </c>
      <c r="B17671" s="4" t="s">
        <v>22246</v>
      </c>
      <c r="C17671" s="5" t="str">
        <f>IFERROR(__xludf.DUMMYFUNCTION("GOOGLETRANSLATE(B17671,""en"",""zh-CN"")"),"滑板靠在树上。")</f>
        <v>滑板靠在树上。</v>
      </c>
    </row>
    <row r="17672">
      <c r="A17672" s="4" t="s">
        <v>22244</v>
      </c>
      <c r="B17672" s="4" t="s">
        <v>22247</v>
      </c>
      <c r="C17672" s="5" t="str">
        <f>IFERROR(__xludf.DUMMYFUNCTION("GOOGLETRANSLATE(B17672,""en"",""zh-CN"")"),"然后，男孩滑板在小坡道上，然后在街上继续滑板。")</f>
        <v>然后，男孩滑板在小坡道上，然后在街上继续滑板。</v>
      </c>
    </row>
    <row r="17673">
      <c r="A17673" s="4" t="s">
        <v>22248</v>
      </c>
      <c r="B17673" s="4" t="s">
        <v>22249</v>
      </c>
      <c r="C17673" s="5" t="str">
        <f>IFERROR(__xludf.DUMMYFUNCTION("GOOGLETRANSLATE(B17673,""en"",""zh-CN"")"),"一个男人将剃须霜放在他的脸上。")</f>
        <v>一个男人将剃须霜放在他的脸上。</v>
      </c>
    </row>
    <row r="17674">
      <c r="A17674" s="4" t="s">
        <v>22248</v>
      </c>
      <c r="B17674" s="4" t="s">
        <v>22250</v>
      </c>
      <c r="C17674" s="5" t="str">
        <f>IFERROR(__xludf.DUMMYFUNCTION("GOOGLETRANSLATE(B17674,""en"",""zh-CN"")"),"一个人从嘴里吐出一些液体。")</f>
        <v>一个人从嘴里吐出一些液体。</v>
      </c>
    </row>
    <row r="17675">
      <c r="A17675" s="4" t="s">
        <v>22248</v>
      </c>
      <c r="B17675" s="4" t="s">
        <v>22251</v>
      </c>
      <c r="C17675" s="5" t="str">
        <f>IFERROR(__xludf.DUMMYFUNCTION("GOOGLETRANSLATE(B17675,""en"",""zh-CN"")"),"一个男人锐化了他的剃刀刀片。")</f>
        <v>一个男人锐化了他的剃刀刀片。</v>
      </c>
    </row>
    <row r="17676">
      <c r="A17676" s="4" t="s">
        <v>22248</v>
      </c>
      <c r="B17676" s="4" t="s">
        <v>22252</v>
      </c>
      <c r="C17676" s="5" t="str">
        <f>IFERROR(__xludf.DUMMYFUNCTION("GOOGLETRANSLATE(B17676,""en"",""zh-CN"")"),"该男子用剃刀剃了脸。")</f>
        <v>该男子用剃刀剃了脸。</v>
      </c>
    </row>
    <row r="17677">
      <c r="A17677" s="4" t="s">
        <v>22248</v>
      </c>
      <c r="B17677" s="4" t="s">
        <v>22253</v>
      </c>
      <c r="C17677" s="5" t="str">
        <f>IFERROR(__xludf.DUMMYFUNCTION("GOOGLETRANSLATE(B17677,""en"",""zh-CN"")"),"该男子在他的脸上放了更多的剃须霜。")</f>
        <v>该男子在他的脸上放了更多的剃须霜。</v>
      </c>
    </row>
    <row r="17678">
      <c r="A17678" s="4" t="s">
        <v>22254</v>
      </c>
      <c r="B17678" s="6" t="s">
        <v>22255</v>
      </c>
      <c r="C17678" s="5" t="str">
        <f>IFERROR(__xludf.DUMMYFUNCTION("GOOGLETRANSLATE(B17678,""en"",""zh-CN"")"),"出现一个介绍，并具有徽标和“室外Interlaker +”一词，然后出现黄色单词和罗马数字。")</f>
        <v>出现一个介绍，并具有徽标和“室外Interlaker +”一词，然后出现黄色单词和罗马数字。</v>
      </c>
    </row>
    <row r="17679">
      <c r="A17679" s="4" t="s">
        <v>22254</v>
      </c>
      <c r="B17679" s="6" t="s">
        <v>22256</v>
      </c>
      <c r="C17679" s="5" t="str">
        <f>IFERROR(__xludf.DUMMYFUNCTION("GOOGLETRANSLATE(B17679,""en"",""zh-CN"")"),"室外商店出现了，它很快就会变成商店内部，那里的人们都聚集在一起以获取指示，穿上头盔和安全装备，并为白水漂流做准备。")</f>
        <v>室外商店出现了，它很快就会变成商店内部，那里的人们都聚集在一起以获取指示，穿上头盔和安全装备，并为白水漂流做准备。</v>
      </c>
    </row>
    <row r="17680">
      <c r="A17680" s="4" t="s">
        <v>22254</v>
      </c>
      <c r="B17680" s="6" t="s">
        <v>22257</v>
      </c>
      <c r="C17680" s="5" t="str">
        <f>IFERROR(__xludf.DUMMYFUNCTION("GOOGLETRANSLATE(B17680,""en"",""zh-CN"")"),"然后，人们正去户外练习，在木筏上坐在木筏上，桨等上练习。")</f>
        <v>然后，人们正去户外练习，在木筏上坐在木筏上，桨等上练习。</v>
      </c>
    </row>
    <row r="17681">
      <c r="A17681" s="4" t="s">
        <v>22254</v>
      </c>
      <c r="B17681" s="6" t="s">
        <v>22258</v>
      </c>
      <c r="C17681" s="5" t="str">
        <f>IFERROR(__xludf.DUMMYFUNCTION("GOOGLETRANSLATE(B17681,""en"",""zh-CN"")"),"当他们完成练习时，他们用筏子走到水中时，它们都在非常粗糙的水域中看到，划船，划船，在木筏上，他们最终进入平静的水域，跳出木筏，以庆祝他们的成功。")</f>
        <v>当他们完成练习时，他们用筏子走到水中时，它们都在非常粗糙的水域中看到，划船，划船，在木筏上，他们最终进入平静的水域，跳出木筏，以庆祝他们的成功。</v>
      </c>
    </row>
    <row r="17682">
      <c r="A17682" s="4" t="s">
        <v>22254</v>
      </c>
      <c r="B17682" s="6" t="s">
        <v>22259</v>
      </c>
      <c r="C17682" s="5" t="str">
        <f>IFERROR(__xludf.DUMMYFUNCTION("GOOGLETRANSLATE(B17682,""en"",""zh-CN"")"),"当他们庆祝人们走出水中时，他们拿着筏子走出水，最终乘着他们微笑和快乐的车辆。")</f>
        <v>当他们庆祝人们走出水中时，他们拿着筏子走出水，最终乘着他们微笑和快乐的车辆。</v>
      </c>
    </row>
    <row r="17683">
      <c r="A17683" s="4" t="s">
        <v>22254</v>
      </c>
      <c r="B17683" s="4" t="s">
        <v>22260</v>
      </c>
      <c r="C17683" s="5" t="str">
        <f>IFERROR(__xludf.DUMMYFUNCTION("GOOGLETRANSLATE(B17683,""en"",""zh-CN"")"),"该连接信息，网站，徽标和积分出现。")</f>
        <v>该连接信息，网站，徽标和积分出现。</v>
      </c>
    </row>
    <row r="17684">
      <c r="A17684" s="4" t="s">
        <v>22261</v>
      </c>
      <c r="B17684" s="4" t="s">
        <v>22262</v>
      </c>
      <c r="C17684" s="5" t="str">
        <f>IFERROR(__xludf.DUMMYFUNCTION("GOOGLETRANSLATE(B17684,""en"",""zh-CN"")"),"坐在皮划艇时，看到两个人坐在岸上。")</f>
        <v>坐在皮划艇时，看到两个人坐在岸上。</v>
      </c>
    </row>
    <row r="17685">
      <c r="A17685" s="4" t="s">
        <v>22261</v>
      </c>
      <c r="B17685" s="4" t="s">
        <v>22263</v>
      </c>
      <c r="C17685" s="5" t="str">
        <f>IFERROR(__xludf.DUMMYFUNCTION("GOOGLETRANSLATE(B17685,""en"",""zh-CN"")"),"一个人靠近水，开始沿着河上骑行。")</f>
        <v>一个人靠近水，开始沿着河上骑行。</v>
      </c>
    </row>
    <row r="17686">
      <c r="A17686" s="4" t="s">
        <v>22264</v>
      </c>
      <c r="B17686" s="4" t="s">
        <v>22265</v>
      </c>
      <c r="C17686" s="5" t="str">
        <f>IFERROR(__xludf.DUMMYFUNCTION("GOOGLETRANSLATE(B17686,""en"",""zh-CN"")"),"年轻人骑滑板，然后在城市广场上转弯。")</f>
        <v>年轻人骑滑板，然后在城市广场上转弯。</v>
      </c>
    </row>
    <row r="17687">
      <c r="A17687" s="4" t="s">
        <v>22264</v>
      </c>
      <c r="B17687" s="4" t="s">
        <v>22266</v>
      </c>
      <c r="C17687" s="5" t="str">
        <f>IFERROR(__xludf.DUMMYFUNCTION("GOOGLETRANSLATE(B17687,""en"",""zh-CN"")"),"滑板手做一个轮子。")</f>
        <v>滑板手做一个轮子。</v>
      </c>
    </row>
    <row r="17688">
      <c r="A17688" s="4" t="s">
        <v>22264</v>
      </c>
      <c r="B17688" s="4" t="s">
        <v>22267</v>
      </c>
      <c r="C17688" s="5" t="str">
        <f>IFERROR(__xludf.DUMMYFUNCTION("GOOGLETRANSLATE(B17688,""en"",""zh-CN"")"),"滑板手沿着人行道上的某个地方骑行。")</f>
        <v>滑板手沿着人行道上的某个地方骑行。</v>
      </c>
    </row>
    <row r="17689">
      <c r="A17689" s="4" t="s">
        <v>22264</v>
      </c>
      <c r="B17689" s="4" t="s">
        <v>22268</v>
      </c>
      <c r="C17689" s="5" t="str">
        <f>IFERROR(__xludf.DUMMYFUNCTION("GOOGLETRANSLATE(B17689,""en"",""zh-CN"")"),"男孩们走来走去走进运输站。")</f>
        <v>男孩们走来走去走进运输站。</v>
      </c>
    </row>
    <row r="17690">
      <c r="A17690" s="4" t="s">
        <v>22269</v>
      </c>
      <c r="B17690" s="4" t="s">
        <v>22270</v>
      </c>
      <c r="C17690" s="5" t="str">
        <f>IFERROR(__xludf.DUMMYFUNCTION("GOOGLETRANSLATE(B17690,""en"",""zh-CN"")"),"一个穿着红色的男人在外面拧紧他的转子，将轮胎放回卡车上。")</f>
        <v>一个穿着红色的男人在外面拧紧他的转子，将轮胎放回卡车上。</v>
      </c>
    </row>
    <row r="17691">
      <c r="A17691" s="4" t="s">
        <v>22269</v>
      </c>
      <c r="B17691" s="4" t="s">
        <v>22271</v>
      </c>
      <c r="C17691" s="5" t="str">
        <f>IFERROR(__xludf.DUMMYFUNCTION("GOOGLETRANSLATE(B17691,""en"",""zh-CN"")"),"他抓住碎片来收紧它，并开始确保它们处于超紧密状态。")</f>
        <v>他抓住碎片来收紧它，并开始确保它们处于超紧密状态。</v>
      </c>
    </row>
    <row r="17692">
      <c r="A17692" s="4" t="s">
        <v>22269</v>
      </c>
      <c r="B17692" s="4" t="s">
        <v>22272</v>
      </c>
      <c r="C17692" s="5" t="str">
        <f>IFERROR(__xludf.DUMMYFUNCTION("GOOGLETRANSLATE(B17692,""en"",""zh-CN"")"),"他反复这样做以确保他们都保持良好状态。")</f>
        <v>他反复这样做以确保他们都保持良好状态。</v>
      </c>
    </row>
    <row r="17693">
      <c r="A17693" s="4" t="s">
        <v>22269</v>
      </c>
      <c r="B17693" s="4" t="s">
        <v>22273</v>
      </c>
      <c r="C17693" s="5" t="str">
        <f>IFERROR(__xludf.DUMMYFUNCTION("GOOGLETRANSLATE(B17693,""en"",""zh-CN"")"),"否则，如果他们放松，开车会很危险。")</f>
        <v>否则，如果他们放松，开车会很危险。</v>
      </c>
    </row>
    <row r="17694">
      <c r="A17694" s="4" t="s">
        <v>22274</v>
      </c>
      <c r="B17694" s="4" t="s">
        <v>22275</v>
      </c>
      <c r="C17694" s="5" t="str">
        <f>IFERROR(__xludf.DUMMYFUNCTION("GOOGLETRANSLATE(B17694,""en"",""zh-CN"")"),"我们看到一个男孩在房间里的帽子里笑着坐着。")</f>
        <v>我们看到一个男孩在房间里的帽子里笑着坐着。</v>
      </c>
    </row>
    <row r="17695">
      <c r="A17695" s="4" t="s">
        <v>22274</v>
      </c>
      <c r="B17695" s="4" t="s">
        <v>22276</v>
      </c>
      <c r="C17695" s="5" t="str">
        <f>IFERROR(__xludf.DUMMYFUNCTION("GOOGLETRANSLATE(B17695,""en"",""zh-CN"")"),"我们看到男孩在后台与两个男人说话。")</f>
        <v>我们看到男孩在后台与两个男人说话。</v>
      </c>
    </row>
    <row r="17696">
      <c r="A17696" s="4" t="s">
        <v>22274</v>
      </c>
      <c r="B17696" s="4" t="s">
        <v>22277</v>
      </c>
      <c r="C17696" s="5" t="str">
        <f>IFERROR(__xludf.DUMMYFUNCTION("GOOGLETRANSLATE(B17696,""en"",""zh-CN"")"),"男孩在舞台上行走，与法官交谈。")</f>
        <v>男孩在舞台上行走，与法官交谈。</v>
      </c>
    </row>
    <row r="17697">
      <c r="A17697" s="4" t="s">
        <v>22274</v>
      </c>
      <c r="B17697" s="4" t="s">
        <v>22278</v>
      </c>
      <c r="C17697" s="5" t="str">
        <f>IFERROR(__xludf.DUMMYFUNCTION("GOOGLETRANSLATE(B17697,""en"",""zh-CN"")"),"这个男孩表演了休息舞。")</f>
        <v>这个男孩表演了休息舞。</v>
      </c>
    </row>
    <row r="17698">
      <c r="A17698" s="4" t="s">
        <v>22274</v>
      </c>
      <c r="B17698" s="4" t="s">
        <v>22279</v>
      </c>
      <c r="C17698" s="5" t="str">
        <f>IFERROR(__xludf.DUMMYFUNCTION("GOOGLETRANSLATE(B17698,""en"",""zh-CN"")"),"法官的嘴巴悬挂着。")</f>
        <v>法官的嘴巴悬挂着。</v>
      </c>
    </row>
    <row r="17699">
      <c r="A17699" s="4" t="s">
        <v>22274</v>
      </c>
      <c r="B17699" s="4" t="s">
        <v>22280</v>
      </c>
      <c r="C17699" s="5" t="str">
        <f>IFERROR(__xludf.DUMMYFUNCTION("GOOGLETRANSLATE(B17699,""en"",""zh-CN"")"),"男孩维修舞蹈，法官们给出了反馈。")</f>
        <v>男孩维修舞蹈，法官们给出了反馈。</v>
      </c>
    </row>
    <row r="17700">
      <c r="A17700" s="4" t="s">
        <v>22274</v>
      </c>
      <c r="B17700" s="4" t="s">
        <v>22281</v>
      </c>
      <c r="C17700" s="5" t="str">
        <f>IFERROR(__xludf.DUMMYFUNCTION("GOOGLETRANSLATE(B17700,""en"",""zh-CN"")"),"人群举起双臂。")</f>
        <v>人群举起双臂。</v>
      </c>
    </row>
    <row r="17701">
      <c r="A17701" s="4" t="s">
        <v>22274</v>
      </c>
      <c r="B17701" s="4" t="s">
        <v>22282</v>
      </c>
      <c r="C17701" s="5" t="str">
        <f>IFERROR(__xludf.DUMMYFUNCTION("GOOGLETRANSLATE(B17701,""en"",""zh-CN"")"),"男孩走下舞台并接受了采访。")</f>
        <v>男孩走下舞台并接受了采访。</v>
      </c>
    </row>
    <row r="17702">
      <c r="A17702" s="4" t="s">
        <v>22274</v>
      </c>
      <c r="B17702" s="4" t="s">
        <v>22283</v>
      </c>
      <c r="C17702" s="5" t="str">
        <f>IFERROR(__xludf.DUMMYFUNCTION("GOOGLETRANSLATE(B17702,""en"",""zh-CN"")"),"这个男孩离开了男人。")</f>
        <v>这个男孩离开了男人。</v>
      </c>
    </row>
    <row r="17703">
      <c r="A17703" s="4" t="s">
        <v>22284</v>
      </c>
      <c r="B17703" s="4" t="s">
        <v>22285</v>
      </c>
      <c r="C17703" s="5" t="str">
        <f>IFERROR(__xludf.DUMMYFUNCTION("GOOGLETRANSLATE(B17703,""en"",""zh-CN"")"),"一个男人正在奔跑会投掷标枪。")</f>
        <v>一个男人正在奔跑会投掷标枪。</v>
      </c>
    </row>
    <row r="17704">
      <c r="A17704" s="4" t="s">
        <v>22284</v>
      </c>
      <c r="B17704" s="4" t="s">
        <v>22286</v>
      </c>
      <c r="C17704" s="5" t="str">
        <f>IFERROR(__xludf.DUMMYFUNCTION("GOOGLETRANSLATE(B17704,""en"",""zh-CN"")"),"他把手放在空中，向人群挥手。")</f>
        <v>他把手放在空中，向人群挥手。</v>
      </c>
    </row>
    <row r="17705">
      <c r="A17705" s="4" t="s">
        <v>22284</v>
      </c>
      <c r="B17705" s="4" t="s">
        <v>22287</v>
      </c>
      <c r="C17705" s="5" t="str">
        <f>IFERROR(__xludf.DUMMYFUNCTION("GOOGLETRANSLATE(B17705,""en"",""zh-CN"")"),"他抓住一条毛巾，把手放在空中。")</f>
        <v>他抓住一条毛巾，把手放在空中。</v>
      </c>
    </row>
    <row r="17706">
      <c r="A17706" s="4" t="s">
        <v>22288</v>
      </c>
      <c r="B17706" s="6" t="s">
        <v>22289</v>
      </c>
      <c r="C17706" s="5" t="str">
        <f>IFERROR(__xludf.DUMMYFUNCTION("GOOGLETRANSLATE(B17706,""en"",""zh-CN"")"),"一个男人站在酒吧里，他开始将冰和蓝色液体，深色液体和红色液体一起倒入一个高杯子中。")</f>
        <v>一个男人站在酒吧里，他开始将冰和蓝色液体，深色液体和红色液体一起倒入一个高杯子中。</v>
      </c>
    </row>
    <row r="17707">
      <c r="A17707" s="4" t="s">
        <v>22288</v>
      </c>
      <c r="B17707" s="4" t="s">
        <v>22290</v>
      </c>
      <c r="C17707" s="5" t="str">
        <f>IFERROR(__xludf.DUMMYFUNCTION("GOOGLETRANSLATE(B17707,""en"",""zh-CN"")"),"然后，该名男子将其倒入振动板中，然后摇动直到彻底混合。")</f>
        <v>然后，该名男子将其倒入振动板中，然后摇动直到彻底混合。</v>
      </c>
    </row>
    <row r="17708">
      <c r="A17708" s="4" t="s">
        <v>22288</v>
      </c>
      <c r="B17708" s="6" t="s">
        <v>22291</v>
      </c>
      <c r="C17708" s="5" t="str">
        <f>IFERROR(__xludf.DUMMYFUNCTION("GOOGLETRANSLATE(B17708,""en"",""zh-CN"")"),"当男人完成摇晃的饮料时，他将杯子从振动器上取出，将液体倒入较小的杯子中，然后将一根白色的吸管粘在其中。")</f>
        <v>当男人完成摇晃的饮料时，他将杯子从振动器上取出，将液体倒入较小的杯子中，然后将一根白色的吸管粘在其中。</v>
      </c>
    </row>
    <row r="17709">
      <c r="A17709" s="4" t="s">
        <v>22288</v>
      </c>
      <c r="B17709" s="4" t="s">
        <v>22292</v>
      </c>
      <c r="C17709" s="5" t="str">
        <f>IFERROR(__xludf.DUMMYFUNCTION("GOOGLETRANSLATE(B17709,""en"",""zh-CN"")"),"在说话时，所有人都会拿起杯子，闻到它的味道，微笑并举起饮料。")</f>
        <v>在说话时，所有人都会拿起杯子，闻到它的味道，微笑并举起饮料。</v>
      </c>
    </row>
    <row r="17710">
      <c r="A17710" s="4" t="s">
        <v>22293</v>
      </c>
      <c r="B17710" s="4" t="s">
        <v>22294</v>
      </c>
      <c r="C17710" s="5" t="str">
        <f>IFERROR(__xludf.DUMMYFUNCTION("GOOGLETRANSLATE(B17710,""en"",""zh-CN"")"),"一个相机周围的人骑着马。")</f>
        <v>一个相机周围的人骑着马。</v>
      </c>
    </row>
    <row r="17711">
      <c r="A17711" s="4" t="s">
        <v>22293</v>
      </c>
      <c r="B17711" s="6" t="s">
        <v>22295</v>
      </c>
      <c r="C17711" s="5" t="str">
        <f>IFERROR(__xludf.DUMMYFUNCTION("GOOGLETRANSLATE(B17711,""en"",""zh-CN"")"),"该人继续在该地区骑行，并停下来与女人说话，同时她笑着和相机说话。")</f>
        <v>该人继续在该地区骑行，并停下来与女人说话，同时她笑着和相机说话。</v>
      </c>
    </row>
    <row r="17712">
      <c r="A17712" s="4" t="s">
        <v>22296</v>
      </c>
      <c r="B17712" s="4" t="s">
        <v>22297</v>
      </c>
      <c r="C17712" s="5" t="str">
        <f>IFERROR(__xludf.DUMMYFUNCTION("GOOGLETRANSLATE(B17712,""en"",""zh-CN"")"),"一群啦啦队聚集在足球场上。")</f>
        <v>一群啦啦队聚集在足球场上。</v>
      </c>
    </row>
    <row r="17713">
      <c r="A17713" s="4" t="s">
        <v>22296</v>
      </c>
      <c r="B17713" s="4" t="s">
        <v>22298</v>
      </c>
      <c r="C17713" s="5" t="str">
        <f>IFERROR(__xludf.DUMMYFUNCTION("GOOGLETRANSLATE(B17713,""en"",""zh-CN"")"),"当他们在田野上慢跑时，他们欢呼和翻转。")</f>
        <v>当他们在田野上慢跑时，他们欢呼和翻转。</v>
      </c>
    </row>
    <row r="17714">
      <c r="A17714" s="4" t="s">
        <v>22296</v>
      </c>
      <c r="B17714" s="4" t="s">
        <v>22299</v>
      </c>
      <c r="C17714" s="5" t="str">
        <f>IFERROR(__xludf.DUMMYFUNCTION("GOOGLETRANSLATE(B17714,""en"",""zh-CN"")"),"然后，他们进行了表演，翻转和跳跃。")</f>
        <v>然后，他们进行了表演，翻转和跳跃。</v>
      </c>
    </row>
    <row r="17715">
      <c r="A17715" s="4" t="s">
        <v>22300</v>
      </c>
      <c r="B17715" s="6" t="s">
        <v>22301</v>
      </c>
      <c r="C17715" s="5" t="str">
        <f>IFERROR(__xludf.DUMMYFUNCTION("GOOGLETRANSLATE(B17715,""en"",""zh-CN"")"),"简介通向一个林区的几枪，几个人蹦极从桥上跳下来。")</f>
        <v>简介通向一个林区的几枪，几个人蹦极从桥上跳下来。</v>
      </c>
    </row>
    <row r="17716">
      <c r="A17716" s="4" t="s">
        <v>22300</v>
      </c>
      <c r="B17716" s="6" t="s">
        <v>22302</v>
      </c>
      <c r="C17716" s="5" t="str">
        <f>IFERROR(__xludf.DUMMYFUNCTION("GOOGLETRANSLATE(B17716,""en"",""zh-CN"")"),"几次人们跳下并显示出来的镜头，许多人站在跳线的侧面和近距离上。")</f>
        <v>几次人们跳下并显示出来的镜头，许多人站在跳线的侧面和近距离上。</v>
      </c>
    </row>
    <row r="17717">
      <c r="A17717" s="4" t="s">
        <v>22303</v>
      </c>
      <c r="B17717" s="6" t="s">
        <v>22304</v>
      </c>
      <c r="C17717" s="5" t="str">
        <f>IFERROR(__xludf.DUMMYFUNCTION("GOOGLETRANSLATE(B17717,""en"",""zh-CN"")"),"架子里的人看着两只公牛在斗牛环上四处走动时，其他人在戒指上走来走去拍照。")</f>
        <v>架子里的人看着两只公牛在斗牛环上四处走动时，其他人在戒指上走来走去拍照。</v>
      </c>
    </row>
    <row r="17718">
      <c r="A17718" s="4" t="s">
        <v>22303</v>
      </c>
      <c r="B17718" s="4" t="s">
        <v>22305</v>
      </c>
      <c r="C17718" s="5" t="str">
        <f>IFERROR(__xludf.DUMMYFUNCTION("GOOGLETRANSLATE(B17718,""en"",""zh-CN"")"),"公牛锁定角，彼此攻击。")</f>
        <v>公牛锁定角，彼此攻击。</v>
      </c>
    </row>
    <row r="17719">
      <c r="A17719" s="4" t="s">
        <v>22303</v>
      </c>
      <c r="B17719" s="4" t="s">
        <v>22306</v>
      </c>
      <c r="C17719" s="5" t="str">
        <f>IFERROR(__xludf.DUMMYFUNCTION("GOOGLETRANSLATE(B17719,""en"",""zh-CN"")"),"一头公牛从另一只公牛走开，然后迅速转身在战斗中重新连接。")</f>
        <v>一头公牛从另一只公牛走开，然后迅速转身在战斗中重新连接。</v>
      </c>
    </row>
    <row r="17720">
      <c r="A17720" s="4" t="s">
        <v>22303</v>
      </c>
      <c r="B17720" s="4" t="s">
        <v>22307</v>
      </c>
      <c r="C17720" s="5" t="str">
        <f>IFERROR(__xludf.DUMMYFUNCTION("GOOGLETRANSLATE(B17720,""en"",""zh-CN"")"),"公牛互相圈。")</f>
        <v>公牛互相圈。</v>
      </c>
    </row>
    <row r="17721">
      <c r="A17721" s="4" t="s">
        <v>22303</v>
      </c>
      <c r="B17721" s="4" t="s">
        <v>22308</v>
      </c>
      <c r="C17721" s="5" t="str">
        <f>IFERROR(__xludf.DUMMYFUNCTION("GOOGLETRANSLATE(B17721,""en"",""zh-CN"")"),"公牛开始战斗。")</f>
        <v>公牛开始战斗。</v>
      </c>
    </row>
    <row r="17722">
      <c r="A17722" s="4" t="s">
        <v>22309</v>
      </c>
      <c r="B17722" s="4" t="s">
        <v>22310</v>
      </c>
      <c r="C17722" s="5" t="str">
        <f>IFERROR(__xludf.DUMMYFUNCTION("GOOGLETRANSLATE(B17722,""en"",""zh-CN"")"),"男人站在一个站在自行车前与镜头说话的车间里。")</f>
        <v>男人站在一个站在自行车前与镜头说话的车间里。</v>
      </c>
    </row>
    <row r="17723">
      <c r="A17723" s="4" t="s">
        <v>22309</v>
      </c>
      <c r="B17723" s="4" t="s">
        <v>22311</v>
      </c>
      <c r="C17723" s="5" t="str">
        <f>IFERROR(__xludf.DUMMYFUNCTION("GOOGLETRANSLATE(B17723,""en"",""zh-CN"")"),"材料列表显示在屏幕上。")</f>
        <v>材料列表显示在屏幕上。</v>
      </c>
    </row>
    <row r="17724">
      <c r="A17724" s="4" t="s">
        <v>22309</v>
      </c>
      <c r="B17724" s="4" t="s">
        <v>22312</v>
      </c>
      <c r="C17724" s="5" t="str">
        <f>IFERROR(__xludf.DUMMYFUNCTION("GOOGLETRANSLATE(B17724,""en"",""zh-CN"")"),"人正在将繁文tape节放在骑自行车的吧台上。")</f>
        <v>人正在将繁文tape节放在骑自行车的吧台上。</v>
      </c>
    </row>
    <row r="17725">
      <c r="A17725" s="4" t="s">
        <v>22309</v>
      </c>
      <c r="B17725" s="4" t="s">
        <v>22313</v>
      </c>
      <c r="C17725" s="5" t="str">
        <f>IFERROR(__xludf.DUMMYFUNCTION("GOOGLETRANSLATE(B17725,""en"",""zh-CN"")"),"该男子将所有栏缠绕在繁文tape节中。")</f>
        <v>该男子将所有栏缠绕在繁文tape节中。</v>
      </c>
    </row>
    <row r="17726">
      <c r="A17726" s="4" t="s">
        <v>22314</v>
      </c>
      <c r="B17726" s="4" t="s">
        <v>22315</v>
      </c>
      <c r="C17726" s="5" t="str">
        <f>IFERROR(__xludf.DUMMYFUNCTION("GOOGLETRANSLATE(B17726,""en"",""zh-CN"")"),"一个人将飞盘扔在田野上。")</f>
        <v>一个人将飞盘扔在田野上。</v>
      </c>
    </row>
    <row r="17727">
      <c r="A17727" s="4" t="s">
        <v>22314</v>
      </c>
      <c r="B17727" s="4" t="s">
        <v>22316</v>
      </c>
      <c r="C17727" s="5" t="str">
        <f>IFERROR(__xludf.DUMMYFUNCTION("GOOGLETRANSLATE(B17727,""en"",""zh-CN"")"),"一只狗跳了起来，抓住了空中飞盘。")</f>
        <v>一只狗跳了起来，抓住了空中飞盘。</v>
      </c>
    </row>
    <row r="17728">
      <c r="A17728" s="4" t="s">
        <v>22314</v>
      </c>
      <c r="B17728" s="4" t="s">
        <v>22317</v>
      </c>
      <c r="C17728" s="5" t="str">
        <f>IFERROR(__xludf.DUMMYFUNCTION("GOOGLETRANSLATE(B17728,""en"",""zh-CN"")"),"该男子躺在他的背上，狗站在他的脚上。")</f>
        <v>该男子躺在他的背上，狗站在他的脚上。</v>
      </c>
    </row>
    <row r="17729">
      <c r="A17729" s="4" t="s">
        <v>22314</v>
      </c>
      <c r="B17729" s="4" t="s">
        <v>22318</v>
      </c>
      <c r="C17729" s="5" t="str">
        <f>IFERROR(__xludf.DUMMYFUNCTION("GOOGLETRANSLATE(B17729,""en"",""zh-CN"")"),"那个男人弯下腰，狗跳了起来。")</f>
        <v>那个男人弯下腰，狗跳了起来。</v>
      </c>
    </row>
    <row r="17730">
      <c r="A17730" s="4" t="s">
        <v>22314</v>
      </c>
      <c r="B17730" s="4" t="s">
        <v>22319</v>
      </c>
      <c r="C17730" s="5" t="str">
        <f>IFERROR(__xludf.DUMMYFUNCTION("GOOGLETRANSLATE(B17730,""en"",""zh-CN"")"),"狗奔跑并跳入曼斯的武器，男人携带他。")</f>
        <v>狗奔跑并跳入曼斯的武器，男人携带他。</v>
      </c>
    </row>
    <row r="17731">
      <c r="A17731" s="4" t="s">
        <v>22320</v>
      </c>
      <c r="B17731" s="4" t="s">
        <v>22321</v>
      </c>
      <c r="C17731" s="5" t="str">
        <f>IFERROR(__xludf.DUMMYFUNCTION("GOOGLETRANSLATE(B17731,""en"",""zh-CN"")"),"一个女人在相机上说话。")</f>
        <v>一个女人在相机上说话。</v>
      </c>
    </row>
    <row r="17732">
      <c r="A17732" s="4" t="s">
        <v>22320</v>
      </c>
      <c r="B17732" s="4" t="s">
        <v>22322</v>
      </c>
      <c r="C17732" s="5" t="str">
        <f>IFERROR(__xludf.DUMMYFUNCTION("GOOGLETRANSLATE(B17732,""en"",""zh-CN"")"),"许多柠檬落在柜台上。")</f>
        <v>许多柠檬落在柜台上。</v>
      </c>
    </row>
    <row r="17733">
      <c r="A17733" s="4" t="s">
        <v>22320</v>
      </c>
      <c r="B17733" s="4" t="s">
        <v>22323</v>
      </c>
      <c r="C17733" s="5" t="str">
        <f>IFERROR(__xludf.DUMMYFUNCTION("GOOGLETRANSLATE(B17733,""en"",""zh-CN"")"),"那个女人抓住一个木碗，将红糖倒入其中。")</f>
        <v>那个女人抓住一个木碗，将红糖倒入其中。</v>
      </c>
    </row>
    <row r="17734">
      <c r="A17734" s="4" t="s">
        <v>22320</v>
      </c>
      <c r="B17734" s="4" t="s">
        <v>22324</v>
      </c>
      <c r="C17734" s="5" t="str">
        <f>IFERROR(__xludf.DUMMYFUNCTION("GOOGLETRANSLATE(B17734,""en"",""zh-CN"")"),"她抓住柠檬，在柠檬上擦红糖。")</f>
        <v>她抓住柠檬，在柠檬上擦红糖。</v>
      </c>
    </row>
    <row r="17735">
      <c r="A17735" s="4" t="s">
        <v>22320</v>
      </c>
      <c r="B17735" s="4" t="s">
        <v>22325</v>
      </c>
      <c r="C17735" s="5" t="str">
        <f>IFERROR(__xludf.DUMMYFUNCTION("GOOGLETRANSLATE(B17735,""en"",""zh-CN"")"),"她继续将两个柠檬擦在柜台上。")</f>
        <v>她继续将两个柠檬擦在柜台上。</v>
      </c>
    </row>
    <row r="17736">
      <c r="A17736" s="4" t="s">
        <v>22320</v>
      </c>
      <c r="B17736" s="4" t="s">
        <v>22326</v>
      </c>
      <c r="C17736" s="5" t="str">
        <f>IFERROR(__xludf.DUMMYFUNCTION("GOOGLETRANSLATE(B17736,""en"",""zh-CN"")"),"她用刀将柠檬切成两半。")</f>
        <v>她用刀将柠檬切成两半。</v>
      </c>
    </row>
    <row r="17737">
      <c r="A17737" s="4" t="s">
        <v>22320</v>
      </c>
      <c r="B17737" s="4" t="s">
        <v>22327</v>
      </c>
      <c r="C17737" s="5" t="str">
        <f>IFERROR(__xludf.DUMMYFUNCTION("GOOGLETRANSLATE(B17737,""en"",""zh-CN"")"),"她把柠檬汁挤进碗中。")</f>
        <v>她把柠檬汁挤进碗中。</v>
      </c>
    </row>
    <row r="17738">
      <c r="A17738" s="4" t="s">
        <v>22320</v>
      </c>
      <c r="B17738" s="4" t="s">
        <v>22328</v>
      </c>
      <c r="C17738" s="5" t="str">
        <f>IFERROR(__xludf.DUMMYFUNCTION("GOOGLETRANSLATE(B17738,""en"",""zh-CN"")"),"她将挤压的柠檬汁倒入投手。")</f>
        <v>她将挤压的柠檬汁倒入投手。</v>
      </c>
    </row>
    <row r="17739">
      <c r="A17739" s="4" t="s">
        <v>22320</v>
      </c>
      <c r="B17739" s="4" t="s">
        <v>22329</v>
      </c>
      <c r="C17739" s="5" t="str">
        <f>IFERROR(__xludf.DUMMYFUNCTION("GOOGLETRANSLATE(B17739,""en"",""zh-CN"")"),"她将沸水倒入碗中，里面加了红糖。")</f>
        <v>她将沸水倒入碗中，里面加了红糖。</v>
      </c>
    </row>
    <row r="17740">
      <c r="A17740" s="4" t="s">
        <v>22320</v>
      </c>
      <c r="B17740" s="4" t="s">
        <v>22330</v>
      </c>
      <c r="C17740" s="5" t="str">
        <f>IFERROR(__xludf.DUMMYFUNCTION("GOOGLETRANSLATE(B17740,""en"",""zh-CN"")"),"她将浇水的红糖倒入投手并搅拌。")</f>
        <v>她将浇水的红糖倒入投手并搅拌。</v>
      </c>
    </row>
    <row r="17741">
      <c r="A17741" s="4" t="s">
        <v>22320</v>
      </c>
      <c r="B17741" s="4" t="s">
        <v>22331</v>
      </c>
      <c r="C17741" s="5" t="str">
        <f>IFERROR(__xludf.DUMMYFUNCTION("GOOGLETRANSLATE(B17741,""en"",""zh-CN"")"),"她用勺子击中冰块。")</f>
        <v>她用勺子击中冰块。</v>
      </c>
    </row>
    <row r="17742">
      <c r="A17742" s="4" t="s">
        <v>22320</v>
      </c>
      <c r="B17742" s="4" t="s">
        <v>22332</v>
      </c>
      <c r="C17742" s="5" t="str">
        <f>IFERROR(__xludf.DUMMYFUNCTION("GOOGLETRANSLATE(B17742,""en"",""zh-CN"")"),"她将冰放入玻璃杯中，并加入柠檬水。")</f>
        <v>她将冰放入玻璃杯中，并加入柠檬水。</v>
      </c>
    </row>
    <row r="17743">
      <c r="A17743" s="4" t="s">
        <v>22320</v>
      </c>
      <c r="B17743" s="4" t="s">
        <v>22333</v>
      </c>
      <c r="C17743" s="5" t="str">
        <f>IFERROR(__xludf.DUMMYFUNCTION("GOOGLETRANSLATE(B17743,""en"",""zh-CN"")"),"最后，她喝了一口刚刚做的柠檬水。")</f>
        <v>最后，她喝了一口刚刚做的柠檬水。</v>
      </c>
    </row>
    <row r="17744">
      <c r="A17744" s="4" t="s">
        <v>22334</v>
      </c>
      <c r="B17744" s="4" t="s">
        <v>22335</v>
      </c>
      <c r="C17744" s="5" t="str">
        <f>IFERROR(__xludf.DUMMYFUNCTION("GOOGLETRANSLATE(B17744,""en"",""zh-CN"")"),"牛仔从畜栏里骑马，进入围栏的区域。")</f>
        <v>牛仔从畜栏里骑马，进入围栏的区域。</v>
      </c>
    </row>
    <row r="17745">
      <c r="A17745" s="4" t="s">
        <v>22334</v>
      </c>
      <c r="B17745" s="4" t="s">
        <v>22336</v>
      </c>
      <c r="C17745" s="5" t="str">
        <f>IFERROR(__xludf.DUMMYFUNCTION("GOOGLETRANSLATE(B17745,""en"",""zh-CN"")"),"该名男子从围栏上骑马并扔了一条绳子。")</f>
        <v>该名男子从围栏上骑马并扔了一条绳子。</v>
      </c>
    </row>
    <row r="17746">
      <c r="A17746" s="4" t="s">
        <v>22334</v>
      </c>
      <c r="B17746" s="4" t="s">
        <v>22337</v>
      </c>
      <c r="C17746" s="5" t="str">
        <f>IFERROR(__xludf.DUMMYFUNCTION("GOOGLETRANSLATE(B17746,""en"",""zh-CN"")"),"该男子在养牛的同时得到了其他牛仔的帮助。")</f>
        <v>该男子在养牛的同时得到了其他牛仔的帮助。</v>
      </c>
    </row>
    <row r="17747">
      <c r="A17747" s="4" t="s">
        <v>22338</v>
      </c>
      <c r="B17747" s="4" t="s">
        <v>22339</v>
      </c>
      <c r="C17747" s="5" t="str">
        <f>IFERROR(__xludf.DUMMYFUNCTION("GOOGLETRANSLATE(B17747,""en"",""zh-CN"")"),"一个穿着闪闪发光的衣服的女孩前往法庭，然后是其他女孩。")</f>
        <v>一个穿着闪闪发光的衣服的女孩前往法庭，然后是其他女孩。</v>
      </c>
    </row>
    <row r="17748">
      <c r="A17748" s="4" t="s">
        <v>22338</v>
      </c>
      <c r="B17748" s="4" t="s">
        <v>22340</v>
      </c>
      <c r="C17748" s="5" t="str">
        <f>IFERROR(__xludf.DUMMYFUNCTION("GOOGLETRANSLATE(B17748,""en"",""zh-CN"")"),"他们在游行时拿着警棍。")</f>
        <v>他们在游行时拿着警棍。</v>
      </c>
    </row>
    <row r="17749">
      <c r="A17749" s="4" t="s">
        <v>22338</v>
      </c>
      <c r="B17749" s="4" t="s">
        <v>22341</v>
      </c>
      <c r="C17749" s="5" t="str">
        <f>IFERROR(__xludf.DUMMYFUNCTION("GOOGLETRANSLATE(B17749,""en"",""zh-CN"")"),"然后，他们走开，离开球场。")</f>
        <v>然后，他们走开，离开球场。</v>
      </c>
    </row>
    <row r="17750">
      <c r="A17750" s="4" t="s">
        <v>22342</v>
      </c>
      <c r="B17750" s="6" t="s">
        <v>22343</v>
      </c>
      <c r="C17750" s="5" t="str">
        <f>IFERROR(__xludf.DUMMYFUNCTION("GOOGLETRANSLATE(B17750,""en"",""zh-CN"")"),"室内轨道显示为雄性开始用撑杆跳，但他的跳跃并没有成功。")</f>
        <v>室内轨道显示为雄性开始用撑杆跳，但他的跳跃并没有成功。</v>
      </c>
    </row>
    <row r="17751">
      <c r="A17751" s="4" t="s">
        <v>22342</v>
      </c>
      <c r="B17751" s="4" t="s">
        <v>22344</v>
      </c>
      <c r="C17751" s="5" t="str">
        <f>IFERROR(__xludf.DUMMYFUNCTION("GOOGLETRANSLATE(B17751,""en"",""zh-CN"")"),"然后，另一个人来到镜头后面开始说话。")</f>
        <v>然后，另一个人来到镜头后面开始说话。</v>
      </c>
    </row>
    <row r="17752">
      <c r="A17752" s="4" t="s">
        <v>22342</v>
      </c>
      <c r="B17752" s="4" t="s">
        <v>22345</v>
      </c>
      <c r="C17752" s="5" t="str">
        <f>IFERROR(__xludf.DUMMYFUNCTION("GOOGLETRANSLATE(B17752,""en"",""zh-CN"")"),"然后，运动员再打几次，但他没有成功。")</f>
        <v>然后，运动员再打几次，但他没有成功。</v>
      </c>
    </row>
    <row r="17753">
      <c r="A17753" s="4" t="s">
        <v>22346</v>
      </c>
      <c r="B17753" s="4" t="s">
        <v>22347</v>
      </c>
      <c r="C17753" s="5" t="str">
        <f>IFERROR(__xludf.DUMMYFUNCTION("GOOGLETRANSLATE(B17753,""en"",""zh-CN"")"),"老年人在海洋附近玩槌球。")</f>
        <v>老年人在海洋附近玩槌球。</v>
      </c>
    </row>
    <row r="17754">
      <c r="A17754" s="4" t="s">
        <v>22346</v>
      </c>
      <c r="B17754" s="4" t="s">
        <v>22348</v>
      </c>
      <c r="C17754" s="5" t="str">
        <f>IFERROR(__xludf.DUMMYFUNCTION("GOOGLETRANSLATE(B17754,""en"",""zh-CN"")"),"一群人来在后台走来走去。")</f>
        <v>一群人来在后台走来走去。</v>
      </c>
    </row>
    <row r="17755">
      <c r="A17755" s="4" t="s">
        <v>22346</v>
      </c>
      <c r="B17755" s="4" t="s">
        <v>22349</v>
      </c>
      <c r="C17755" s="5" t="str">
        <f>IFERROR(__xludf.DUMMYFUNCTION("GOOGLETRANSLATE(B17755,""en"",""zh-CN"")"),"两组互相互动。")</f>
        <v>两组互相互动。</v>
      </c>
    </row>
    <row r="17756">
      <c r="A17756" s="4" t="s">
        <v>22350</v>
      </c>
      <c r="B17756" s="4" t="s">
        <v>22351</v>
      </c>
      <c r="C17756" s="5" t="str">
        <f>IFERROR(__xludf.DUMMYFUNCTION("GOOGLETRANSLATE(B17756,""en"",""zh-CN"")"),"一个人死了，在健身房的头上从地面上抬起一个重量棒。")</f>
        <v>一个人死了，在健身房的头上从地面上抬起一个重量棒。</v>
      </c>
    </row>
    <row r="17757">
      <c r="A17757" s="4" t="s">
        <v>22350</v>
      </c>
      <c r="B17757" s="4" t="s">
        <v>22352</v>
      </c>
      <c r="C17757" s="5" t="str">
        <f>IFERROR(__xludf.DUMMYFUNCTION("GOOGLETRANSLATE(B17757,""en"",""zh-CN"")"),"该男子确实重复将重物杆从地面上提升至腰部水平。")</f>
        <v>该男子确实重复将重物杆从地面上提升至腰部水平。</v>
      </c>
    </row>
    <row r="17758">
      <c r="A17758" s="4" t="s">
        <v>22353</v>
      </c>
      <c r="B17758" s="4" t="s">
        <v>22354</v>
      </c>
      <c r="C17758" s="5" t="str">
        <f>IFERROR(__xludf.DUMMYFUNCTION("GOOGLETRANSLATE(B17758,""en"",""zh-CN"")"),"有两个人使用防御技术作为舞蹈动作的方式。")</f>
        <v>有两个人使用防御技术作为舞蹈动作的方式。</v>
      </c>
    </row>
    <row r="17759">
      <c r="A17759" s="4" t="s">
        <v>22353</v>
      </c>
      <c r="B17759" s="4" t="s">
        <v>22355</v>
      </c>
      <c r="C17759" s="5" t="str">
        <f>IFERROR(__xludf.DUMMYFUNCTION("GOOGLETRANSLATE(B17759,""en"",""zh-CN"")"),"他们正处于一个鼓掌的人的中间。")</f>
        <v>他们正处于一个鼓掌的人的中间。</v>
      </c>
    </row>
    <row r="17760">
      <c r="A17760" s="4" t="s">
        <v>22353</v>
      </c>
      <c r="B17760" s="4" t="s">
        <v>22356</v>
      </c>
      <c r="C17760" s="5" t="str">
        <f>IFERROR(__xludf.DUMMYFUNCTION("GOOGLETRANSLATE(B17760,""en"",""zh-CN"")"),"另外两个人从人群中进来尝试跳舞，但视频结束了。")</f>
        <v>另外两个人从人群中进来尝试跳舞，但视频结束了。</v>
      </c>
    </row>
    <row r="17761">
      <c r="A17761" s="4" t="s">
        <v>22357</v>
      </c>
      <c r="B17761" s="4" t="s">
        <v>22358</v>
      </c>
      <c r="C17761" s="5" t="str">
        <f>IFERROR(__xludf.DUMMYFUNCTION("GOOGLETRANSLATE(B17761,""en"",""zh-CN"")"),"看到一个男人戴着太阳镜，并拿着长曲棍球棒在相机上说话。")</f>
        <v>看到一个男人戴着太阳镜，并拿着长曲棍球棒在相机上说话。</v>
      </c>
    </row>
    <row r="17762">
      <c r="A17762" s="4" t="s">
        <v>22357</v>
      </c>
      <c r="B17762" s="4" t="s">
        <v>22359</v>
      </c>
      <c r="C17762" s="5" t="str">
        <f>IFERROR(__xludf.DUMMYFUNCTION("GOOGLETRANSLATE(B17762,""en"",""zh-CN"")"),"该男子在四处移动棍子时继续与相机说话。")</f>
        <v>该男子在四处移动棍子时继续与相机说话。</v>
      </c>
    </row>
    <row r="17763">
      <c r="A17763" s="4" t="s">
        <v>22357</v>
      </c>
      <c r="B17763" s="6" t="s">
        <v>22360</v>
      </c>
      <c r="C17763" s="5" t="str">
        <f>IFERROR(__xludf.DUMMYFUNCTION("GOOGLETRANSLATE(B17763,""en"",""zh-CN"")"),"最后，人们仍然可以在移动双腿时说话，并显示如何正确扔球。")</f>
        <v>最后，人们仍然可以在移动双腿时说话，并显示如何正确扔球。</v>
      </c>
    </row>
    <row r="17764">
      <c r="A17764" s="4" t="s">
        <v>22361</v>
      </c>
      <c r="B17764" s="4" t="s">
        <v>22362</v>
      </c>
      <c r="C17764" s="5" t="str">
        <f>IFERROR(__xludf.DUMMYFUNCTION("GOOGLETRANSLATE(B17764,""en"",""zh-CN"")"),"看到一个男人在相机上说话，并带着他用棍子击中球的剪辑。")</f>
        <v>看到一个男人在相机上说话，并带着他用棍子击中球的剪辑。</v>
      </c>
    </row>
    <row r="17765">
      <c r="A17765" s="4" t="s">
        <v>22361</v>
      </c>
      <c r="B17765" s="6" t="s">
        <v>22363</v>
      </c>
      <c r="C17765" s="5" t="str">
        <f>IFERROR(__xludf.DUMMYFUNCTION("GOOGLETRANSLATE(B17765,""en"",""zh-CN"")"),"该男子继续在几个地方与相机交谈，并在室内区域击中球。")</f>
        <v>该男子继续在几个地方与相机交谈，并在室内区域击中球。</v>
      </c>
    </row>
    <row r="17766">
      <c r="A17766" s="4" t="s">
        <v>22364</v>
      </c>
      <c r="B17766" s="4" t="s">
        <v>22365</v>
      </c>
      <c r="C17766" s="5" t="str">
        <f>IFERROR(__xludf.DUMMYFUNCTION("GOOGLETRANSLATE(B17766,""en"",""zh-CN"")"),"介绍出现在屏幕上，以获取有关如何滑雪的视频。")</f>
        <v>介绍出现在屏幕上，以获取有关如何滑雪的视频。</v>
      </c>
    </row>
    <row r="17767">
      <c r="A17767" s="4" t="s">
        <v>22364</v>
      </c>
      <c r="B17767" s="6" t="s">
        <v>22366</v>
      </c>
      <c r="C17767" s="5" t="str">
        <f>IFERROR(__xludf.DUMMYFUNCTION("GOOGLETRANSLATE(B17767,""en"",""zh-CN"")"),"一个人开始谈论滑雪的一些关键组成部分以及如何学习滑雪。")</f>
        <v>一个人开始谈论滑雪的一些关键组成部分以及如何学习滑雪。</v>
      </c>
    </row>
    <row r="17768">
      <c r="A17768" s="4" t="s">
        <v>22364</v>
      </c>
      <c r="B17768" s="6" t="s">
        <v>22367</v>
      </c>
      <c r="C17768" s="5" t="str">
        <f>IFERROR(__xludf.DUMMYFUNCTION("GOOGLETRANSLATE(B17768,""en"",""zh-CN"")"),"然后，该视频转到了人们在扭曲和从一侧转动的同时滑雪的视频。")</f>
        <v>然后，该视频转到了人们在扭曲和从一侧转动的同时滑雪的视频。</v>
      </c>
    </row>
    <row r="17769">
      <c r="A17769" s="4" t="s">
        <v>22364</v>
      </c>
      <c r="B17769" s="4" t="s">
        <v>22368</v>
      </c>
      <c r="C17769" s="5" t="str">
        <f>IFERROR(__xludf.DUMMYFUNCTION("GOOGLETRANSLATE(B17769,""en"",""zh-CN"")"),"一个场景显示了三名男子在骑滑雪缆车时说话。")</f>
        <v>一个场景显示了三名男子在骑滑雪缆车时说话。</v>
      </c>
    </row>
    <row r="17770">
      <c r="A17770" s="4" t="s">
        <v>22364</v>
      </c>
      <c r="B17770" s="4" t="s">
        <v>22369</v>
      </c>
      <c r="C17770" s="5" t="str">
        <f>IFERROR(__xludf.DUMMYFUNCTION("GOOGLETRANSLATE(B17770,""en"",""zh-CN"")"),"结束信用和图形在最后显示。")</f>
        <v>结束信用和图形在最后显示。</v>
      </c>
    </row>
    <row r="17771">
      <c r="A17771" s="4" t="s">
        <v>22370</v>
      </c>
      <c r="B17771" s="4" t="s">
        <v>22371</v>
      </c>
      <c r="C17771" s="5" t="str">
        <f>IFERROR(__xludf.DUMMYFUNCTION("GOOGLETRANSLATE(B17771,""en"",""zh-CN"")"),"一名地铁员工站在厨房里准备子。")</f>
        <v>一名地铁员工站在厨房里准备子。</v>
      </c>
    </row>
    <row r="17772">
      <c r="A17772" s="4" t="s">
        <v>22370</v>
      </c>
      <c r="B17772" s="6" t="s">
        <v>22372</v>
      </c>
      <c r="C17772" s="5" t="str">
        <f>IFERROR(__xludf.DUMMYFUNCTION("GOOGLETRANSLATE(B17772,""en"",""zh-CN"")"),"在白色的纸上是一只脚的长面包和一排火腿，意大利辣香肠，萨拉米语，然后在潜艇上添加奶酪。")</f>
        <v>在白色的纸上是一只脚的长面包和一排火腿，意大利辣香肠，萨拉米语，然后在潜艇上添加奶酪。</v>
      </c>
    </row>
    <row r="17773">
      <c r="A17773" s="4" t="s">
        <v>22370</v>
      </c>
      <c r="B17773" s="6" t="s">
        <v>22373</v>
      </c>
      <c r="C17773" s="5" t="str">
        <f>IFERROR(__xludf.DUMMYFUNCTION("GOOGLETRANSLATE(B17773,""en"",""zh-CN"")"),"接下来，该男子将潜水艇放在烤箱中进行烤面包，并将一盘饼干移到柜台的另一侧。")</f>
        <v>接下来，该男子将潜水艇放在烤箱中进行烤面包，并将一盘饼干移到柜台的另一侧。</v>
      </c>
    </row>
    <row r="17774">
      <c r="A17774" s="4" t="s">
        <v>22370</v>
      </c>
      <c r="B17774" s="4" t="s">
        <v>22374</v>
      </c>
      <c r="C17774" s="5" t="str">
        <f>IFERROR(__xludf.DUMMYFUNCTION("GOOGLETRANSLATE(B17774,""en"",""zh-CN"")"),"当他等待时，他开始与他的朋友交谈并检查饼干。")</f>
        <v>当他等待时，他开始与他的朋友交谈并检查饼干。</v>
      </c>
    </row>
    <row r="17775">
      <c r="A17775" s="4" t="s">
        <v>22370</v>
      </c>
      <c r="B17775" s="6" t="s">
        <v>22375</v>
      </c>
      <c r="C17775" s="5" t="str">
        <f>IFERROR(__xludf.DUMMYFUNCTION("GOOGLETRANSLATE(B17775,""en"",""zh-CN"")"),"现在，该潜艇被烤了一个生菜，并添加西红柿以及黄瓜，凤尾鱼，油，醋和蛋黄酱。")</f>
        <v>现在，该潜艇被烤了一个生菜，并添加西红柿以及黄瓜，凤尾鱼，油，醋和蛋黄酱。</v>
      </c>
    </row>
    <row r="17776">
      <c r="A17776" s="4" t="s">
        <v>22370</v>
      </c>
      <c r="B17776" s="4" t="s">
        <v>22376</v>
      </c>
      <c r="C17776" s="5" t="str">
        <f>IFERROR(__xludf.DUMMYFUNCTION("GOOGLETRANSLATE(B17776,""en"",""zh-CN"")"),"该潜水艇最终将其切成两半，用纸卷，然后在寄存器上总计。")</f>
        <v>该潜水艇最终将其切成两半，用纸卷，然后在寄存器上总计。</v>
      </c>
    </row>
    <row r="17777">
      <c r="A17777" s="4" t="s">
        <v>22377</v>
      </c>
      <c r="B17777" s="4" t="s">
        <v>22378</v>
      </c>
      <c r="C17777" s="5" t="str">
        <f>IFERROR(__xludf.DUMMYFUNCTION("GOOGLETRANSLATE(B17777,""en"",""zh-CN"")"),"几个男孩正​​在溜冰场互动。")</f>
        <v>几个男孩正​​在溜冰场互动。</v>
      </c>
    </row>
    <row r="17778">
      <c r="A17778" s="4" t="s">
        <v>22377</v>
      </c>
      <c r="B17778" s="4" t="s">
        <v>22379</v>
      </c>
      <c r="C17778" s="5" t="str">
        <f>IFERROR(__xludf.DUMMYFUNCTION("GOOGLETRANSLATE(B17778,""en"",""zh-CN"")"),"两个男孩在膝盖上滑向彼此并撞倒。")</f>
        <v>两个男孩在膝盖上滑向彼此并撞倒。</v>
      </c>
    </row>
    <row r="17779">
      <c r="A17779" s="4" t="s">
        <v>22377</v>
      </c>
      <c r="B17779" s="4" t="s">
        <v>22380</v>
      </c>
      <c r="C17779" s="5" t="str">
        <f>IFERROR(__xludf.DUMMYFUNCTION("GOOGLETRANSLATE(B17779,""en"",""zh-CN"")"),"一个男孩释放了一块冰壶石。")</f>
        <v>一个男孩释放了一块冰壶石。</v>
      </c>
    </row>
    <row r="17780">
      <c r="A17780" s="4" t="s">
        <v>22377</v>
      </c>
      <c r="B17780" s="4" t="s">
        <v>22381</v>
      </c>
      <c r="C17780" s="5" t="str">
        <f>IFERROR(__xludf.DUMMYFUNCTION("GOOGLETRANSLATE(B17780,""en"",""zh-CN"")"),"三个男孩在冰上走过。")</f>
        <v>三个男孩在冰上走过。</v>
      </c>
    </row>
    <row r="17781">
      <c r="A17781" s="4" t="s">
        <v>22382</v>
      </c>
      <c r="B17781" s="4" t="s">
        <v>22383</v>
      </c>
      <c r="C17781" s="5" t="str">
        <f>IFERROR(__xludf.DUMMYFUNCTION("GOOGLETRANSLATE(B17781,""en"",""zh-CN"")"),"标题卡在屏幕上闪烁。")</f>
        <v>标题卡在屏幕上闪烁。</v>
      </c>
    </row>
    <row r="17782">
      <c r="A17782" s="4" t="s">
        <v>22382</v>
      </c>
      <c r="B17782" s="4" t="s">
        <v>22384</v>
      </c>
      <c r="C17782" s="5" t="str">
        <f>IFERROR(__xludf.DUMMYFUNCTION("GOOGLETRANSLATE(B17782,""en"",""zh-CN"")"),"显示了筏的图像。")</f>
        <v>显示了筏的图像。</v>
      </c>
    </row>
    <row r="17783">
      <c r="A17783" s="4" t="s">
        <v>22382</v>
      </c>
      <c r="B17783" s="4" t="s">
        <v>22385</v>
      </c>
      <c r="C17783" s="5" t="str">
        <f>IFERROR(__xludf.DUMMYFUNCTION("GOOGLETRANSLATE(B17783,""en"",""zh-CN"")"),"我们看到人们坐在木筏上，然后开始划船。")</f>
        <v>我们看到人们坐在木筏上，然后开始划船。</v>
      </c>
    </row>
    <row r="17784">
      <c r="A17784" s="4" t="s">
        <v>22382</v>
      </c>
      <c r="B17784" s="4" t="s">
        <v>22386</v>
      </c>
      <c r="C17784" s="5" t="str">
        <f>IFERROR(__xludf.DUMMYFUNCTION("GOOGLETRANSLATE(B17784,""en"",""zh-CN"")"),"瀑布洒到木筏上。")</f>
        <v>瀑布洒到木筏上。</v>
      </c>
    </row>
    <row r="17785">
      <c r="A17785" s="4" t="s">
        <v>22382</v>
      </c>
      <c r="B17785" s="4" t="s">
        <v>22387</v>
      </c>
      <c r="C17785" s="5" t="str">
        <f>IFERROR(__xludf.DUMMYFUNCTION("GOOGLETRANSLATE(B17785,""en"",""zh-CN"")"),"两艘afters船沿着河上沿着河上。")</f>
        <v>两艘afters船沿着河上沿着河上。</v>
      </c>
    </row>
    <row r="17786">
      <c r="A17786" s="4" t="s">
        <v>22382</v>
      </c>
      <c r="B17786" s="4" t="s">
        <v>22388</v>
      </c>
      <c r="C17786" s="5" t="str">
        <f>IFERROR(__xludf.DUMMYFUNCTION("GOOGLETRANSLATE(B17786,""en"",""zh-CN"")"),"第一艘船飞溅了后船。")</f>
        <v>第一艘船飞溅了后船。</v>
      </c>
    </row>
    <row r="17787">
      <c r="A17787" s="4" t="s">
        <v>22382</v>
      </c>
      <c r="B17787" s="4" t="s">
        <v>22389</v>
      </c>
      <c r="C17787" s="5" t="str">
        <f>IFERROR(__xludf.DUMMYFUNCTION("GOOGLETRANSLATE(B17787,""en"",""zh-CN"")"),"afters互相飞溅。")</f>
        <v>afters互相飞溅。</v>
      </c>
    </row>
    <row r="17788">
      <c r="A17788" s="4" t="s">
        <v>22382</v>
      </c>
      <c r="B17788" s="4" t="s">
        <v>22390</v>
      </c>
      <c r="C17788" s="5" t="str">
        <f>IFERROR(__xludf.DUMMYFUNCTION("GOOGLETRANSLATE(B17788,""en"",""zh-CN"")"),"一条木筏在水中翻倒，afters漂流到河岸。")</f>
        <v>一条木筏在水中翻倒，afters漂流到河岸。</v>
      </c>
    </row>
    <row r="17789">
      <c r="A17789" s="4" t="s">
        <v>22382</v>
      </c>
      <c r="B17789" s="4" t="s">
        <v>22391</v>
      </c>
      <c r="C17789" s="5" t="str">
        <f>IFERROR(__xludf.DUMMYFUNCTION("GOOGLETRANSLATE(B17789,""en"",""zh-CN"")"),"然后，一辆面包车沿着道路行驶。")</f>
        <v>然后，一辆面包车沿着道路行驶。</v>
      </c>
    </row>
    <row r="17790">
      <c r="A17790" s="4" t="s">
        <v>22382</v>
      </c>
      <c r="B17790" s="4" t="s">
        <v>22392</v>
      </c>
      <c r="C17790" s="5" t="str">
        <f>IFERROR(__xludf.DUMMYFUNCTION("GOOGLETRANSLATE(B17790,""en"",""zh-CN"")"),"最终标题卡出现在屏幕上。")</f>
        <v>最终标题卡出现在屏幕上。</v>
      </c>
    </row>
    <row r="17791">
      <c r="A17791" s="4" t="s">
        <v>22393</v>
      </c>
      <c r="B17791" s="4" t="s">
        <v>22394</v>
      </c>
      <c r="C17791" s="5" t="str">
        <f>IFERROR(__xludf.DUMMYFUNCTION("GOOGLETRANSLATE(B17791,""en"",""zh-CN"")"),"一个人在海水里，拿着绳子。")</f>
        <v>一个人在海水里，拿着绳子。</v>
      </c>
    </row>
    <row r="17792">
      <c r="A17792" s="4" t="s">
        <v>22393</v>
      </c>
      <c r="B17792" s="4" t="s">
        <v>22395</v>
      </c>
      <c r="C17792" s="5" t="str">
        <f>IFERROR(__xludf.DUMMYFUNCTION("GOOGLETRANSLATE(B17792,""en"",""zh-CN"")"),"他在滑雪板上时，他依附在船上。")</f>
        <v>他在滑雪板上时，他依附在船上。</v>
      </c>
    </row>
    <row r="17793">
      <c r="A17793" s="4" t="s">
        <v>22393</v>
      </c>
      <c r="B17793" s="4" t="s">
        <v>22396</v>
      </c>
      <c r="C17793" s="5" t="str">
        <f>IFERROR(__xludf.DUMMYFUNCTION("GOOGLETRANSLATE(B17793,""en"",""zh-CN"")"),"他举起自己，在海浪中滑雪。")</f>
        <v>他举起自己，在海浪中滑雪。</v>
      </c>
    </row>
    <row r="17794">
      <c r="A17794" s="4" t="s">
        <v>22397</v>
      </c>
      <c r="B17794" s="4" t="s">
        <v>22398</v>
      </c>
      <c r="C17794" s="5" t="str">
        <f>IFERROR(__xludf.DUMMYFUNCTION("GOOGLETRANSLATE(B17794,""en"",""zh-CN"")"),"一个男人站在外面喝啤酒。")</f>
        <v>一个男人站在外面喝啤酒。</v>
      </c>
    </row>
    <row r="17795">
      <c r="A17795" s="4" t="s">
        <v>22397</v>
      </c>
      <c r="B17795" s="4" t="s">
        <v>22399</v>
      </c>
      <c r="C17795" s="5" t="str">
        <f>IFERROR(__xludf.DUMMYFUNCTION("GOOGLETRANSLATE(B17795,""en"",""zh-CN"")"),"人们站在周围看着他。")</f>
        <v>人们站在周围看着他。</v>
      </c>
    </row>
    <row r="17796">
      <c r="A17796" s="4" t="s">
        <v>22397</v>
      </c>
      <c r="B17796" s="4" t="s">
        <v>22400</v>
      </c>
      <c r="C17796" s="5" t="str">
        <f>IFERROR(__xludf.DUMMYFUNCTION("GOOGLETRANSLATE(B17796,""en"",""zh-CN"")"),"他把啤酒杯放在桌子上。")</f>
        <v>他把啤酒杯放在桌子上。</v>
      </c>
    </row>
    <row r="17797">
      <c r="A17797" s="4" t="s">
        <v>22401</v>
      </c>
      <c r="B17797" s="4" t="s">
        <v>22402</v>
      </c>
      <c r="C17797" s="5" t="str">
        <f>IFERROR(__xludf.DUMMYFUNCTION("GOOGLETRANSLATE(B17797,""en"",""zh-CN"")"),"一个女人戴着两个大手套，两个小女孩用双手敲打。")</f>
        <v>一个女人戴着两个大手套，两个小女孩用双手敲打。</v>
      </c>
    </row>
    <row r="17798">
      <c r="A17798" s="4" t="s">
        <v>22401</v>
      </c>
      <c r="B17798" s="4" t="s">
        <v>22403</v>
      </c>
      <c r="C17798" s="5" t="str">
        <f>IFERROR(__xludf.DUMMYFUNCTION("GOOGLETRANSLATE(B17798,""en"",""zh-CN"")"),"然后，那个女人把地球放在她的胸前。")</f>
        <v>然后，那个女人把地球放在她的胸前。</v>
      </c>
    </row>
    <row r="17799">
      <c r="A17799" s="4" t="s">
        <v>22401</v>
      </c>
      <c r="B17799" s="4" t="s">
        <v>22404</v>
      </c>
      <c r="C17799" s="5" t="str">
        <f>IFERROR(__xludf.DUMMYFUNCTION("GOOGLETRANSLATE(B17799,""en"",""zh-CN"")"),"人们在房间里练习空手道。")</f>
        <v>人们在房间里练习空手道。</v>
      </c>
    </row>
    <row r="17800">
      <c r="A17800" s="4" t="s">
        <v>22405</v>
      </c>
      <c r="B17800" s="4" t="s">
        <v>22406</v>
      </c>
      <c r="C17800" s="5" t="str">
        <f>IFERROR(__xludf.DUMMYFUNCTION("GOOGLETRANSLATE(B17800,""en"",""zh-CN"")"),"一个人抱着一个在摇杆上的男孩，然后推杆。")</f>
        <v>一个人抱着一个在摇杆上的男孩，然后推杆。</v>
      </c>
    </row>
    <row r="17801">
      <c r="A17801" s="4" t="s">
        <v>22405</v>
      </c>
      <c r="B17801" s="4" t="s">
        <v>22407</v>
      </c>
      <c r="C17801" s="5" t="str">
        <f>IFERROR(__xludf.DUMMYFUNCTION("GOOGLETRANSLATE(B17801,""en"",""zh-CN"")"),"然后，男孩在杆上摇摆，冲动他的身体旋转，直到杆损失力。")</f>
        <v>然后，男孩在杆上摇摆，冲动他的身体旋转，直到杆损失力。</v>
      </c>
    </row>
    <row r="17802">
      <c r="A17802" s="4" t="s">
        <v>22405</v>
      </c>
      <c r="B17802" s="4" t="s">
        <v>22408</v>
      </c>
      <c r="C17802" s="5" t="str">
        <f>IFERROR(__xludf.DUMMYFUNCTION("GOOGLETRANSLATE(B17802,""en"",""zh-CN"")"),"之后，一个人有助于停止摇杆，而其他人正在修理一些东西。")</f>
        <v>之后，一个人有助于停止摇杆，而其他人正在修理一些东西。</v>
      </c>
    </row>
    <row r="17803">
      <c r="A17803" s="4" t="s">
        <v>22405</v>
      </c>
      <c r="B17803" s="4" t="s">
        <v>22409</v>
      </c>
      <c r="C17803" s="5" t="str">
        <f>IFERROR(__xludf.DUMMYFUNCTION("GOOGLETRANSLATE(B17803,""en"",""zh-CN"")"),"一名穿着黄色T恤的年轻人移动他的手臂。")</f>
        <v>一名穿着黄色T恤的年轻人移动他的手臂。</v>
      </c>
    </row>
    <row r="17804">
      <c r="A17804" s="4" t="s">
        <v>22410</v>
      </c>
      <c r="B17804" s="4" t="s">
        <v>22411</v>
      </c>
      <c r="C17804" s="5" t="str">
        <f>IFERROR(__xludf.DUMMYFUNCTION("GOOGLETRANSLATE(B17804,""en"",""zh-CN"")"),"正在玩曲棍球比赛。")</f>
        <v>正在玩曲棍球比赛。</v>
      </c>
    </row>
    <row r="17805">
      <c r="A17805" s="4" t="s">
        <v>22410</v>
      </c>
      <c r="B17805" s="4" t="s">
        <v>22412</v>
      </c>
      <c r="C17805" s="5" t="str">
        <f>IFERROR(__xludf.DUMMYFUNCTION("GOOGLETRANSLATE(B17805,""en"",""zh-CN"")"),"当一支球队试图得分时，冰球飞过她的头，穿着白衬衫的球员。")</f>
        <v>当一支球队试图得分时，冰球飞过她的头，穿着白衬衫的球员。</v>
      </c>
    </row>
    <row r="17806">
      <c r="A17806" s="4" t="s">
        <v>22410</v>
      </c>
      <c r="B17806" s="6" t="s">
        <v>22413</v>
      </c>
      <c r="C17806" s="5" t="str">
        <f>IFERROR(__xludf.DUMMYFUNCTION("GOOGLETRANSLATE(B17806,""en"",""zh-CN"")"),"冰球经过守门员之后，这位年轻的女士在前往边线时微笑着，并从教练那里获得了高五分。")</f>
        <v>冰球经过守门员之后，这位年轻的女士在前往边线时微笑着，并从教练那里获得了高五分。</v>
      </c>
    </row>
    <row r="17807">
      <c r="A17807" s="4" t="s">
        <v>22414</v>
      </c>
      <c r="B17807" s="4" t="s">
        <v>1487</v>
      </c>
      <c r="C17807" s="5" t="str">
        <f>IFERROR(__xludf.DUMMYFUNCTION("GOOGLETRANSLATE(B17807,""en"",""zh-CN"")"),"我们看到一个开放标题屏幕。")</f>
        <v>我们看到一个开放标题屏幕。</v>
      </c>
    </row>
    <row r="17808">
      <c r="A17808" s="4" t="s">
        <v>22414</v>
      </c>
      <c r="B17808" s="4" t="s">
        <v>22415</v>
      </c>
      <c r="C17808" s="5" t="str">
        <f>IFERROR(__xludf.DUMMYFUNCTION("GOOGLETRANSLATE(B17808,""en"",""zh-CN"")"),"两个人将风筝冲浪板带到水中，我们看到人们骑在水中。")</f>
        <v>两个人将风筝冲浪板带到水中，我们看到人们骑在水中。</v>
      </c>
    </row>
    <row r="17809">
      <c r="A17809" s="4" t="s">
        <v>22414</v>
      </c>
      <c r="B17809" s="4" t="s">
        <v>22416</v>
      </c>
      <c r="C17809" s="5" t="str">
        <f>IFERROR(__xludf.DUMMYFUNCTION("GOOGLETRANSLATE(B17809,""en"",""zh-CN"")"),"我们看到董事会近距离。")</f>
        <v>我们看到董事会近距离。</v>
      </c>
    </row>
    <row r="17810">
      <c r="A17810" s="4" t="s">
        <v>22414</v>
      </c>
      <c r="B17810" s="4" t="s">
        <v>22417</v>
      </c>
      <c r="C17810" s="5" t="str">
        <f>IFERROR(__xludf.DUMMYFUNCTION("GOOGLETRANSLATE(B17810,""en"",""zh-CN"")"),"我们看到一个男人骑行，停下来。")</f>
        <v>我们看到一个男人骑行，停下来。</v>
      </c>
    </row>
    <row r="17811">
      <c r="A17811" s="4" t="s">
        <v>22414</v>
      </c>
      <c r="B17811" s="4" t="s">
        <v>22418</v>
      </c>
      <c r="C17811" s="5" t="str">
        <f>IFERROR(__xludf.DUMMYFUNCTION("GOOGLETRANSLATE(B17811,""en"",""zh-CN"")"),"我们再次看到董事会倒闭。")</f>
        <v>我们再次看到董事会倒闭。</v>
      </c>
    </row>
    <row r="17812">
      <c r="A17812" s="4" t="s">
        <v>22414</v>
      </c>
      <c r="B17812" s="4" t="s">
        <v>22419</v>
      </c>
      <c r="C17812" s="5" t="str">
        <f>IFERROR(__xludf.DUMMYFUNCTION("GOOGLETRANSLATE(B17812,""en"",""zh-CN"")"),"我们看到该男子再次骑在水中。")</f>
        <v>我们看到该男子再次骑在水中。</v>
      </c>
    </row>
    <row r="17813">
      <c r="A17813" s="4" t="s">
        <v>22414</v>
      </c>
      <c r="B17813" s="4" t="s">
        <v>777</v>
      </c>
      <c r="C17813" s="5" t="str">
        <f>IFERROR(__xludf.DUMMYFUNCTION("GOOGLETRANSLATE(B17813,""en"",""zh-CN"")"),"我们看到结尾标题屏幕。")</f>
        <v>我们看到结尾标题屏幕。</v>
      </c>
    </row>
    <row r="17814">
      <c r="A17814" s="4" t="s">
        <v>22420</v>
      </c>
      <c r="B17814" s="4" t="s">
        <v>22421</v>
      </c>
      <c r="C17814" s="5" t="str">
        <f>IFERROR(__xludf.DUMMYFUNCTION("GOOGLETRANSLATE(B17814,""en"",""zh-CN"")"),"一个穿着白衬衫的男人正在休闲室玩游泳池。")</f>
        <v>一个穿着白衬衫的男人正在休闲室玩游泳池。</v>
      </c>
    </row>
    <row r="17815">
      <c r="A17815" s="4" t="s">
        <v>22420</v>
      </c>
      <c r="B17815" s="4" t="s">
        <v>22422</v>
      </c>
      <c r="C17815" s="5" t="str">
        <f>IFERROR(__xludf.DUMMYFUNCTION("GOOGLETRANSLATE(B17815,""en"",""zh-CN"")"),"除了泳池桌以外，还有其他一些球员站着。")</f>
        <v>除了泳池桌以外，还有其他一些球员站着。</v>
      </c>
    </row>
    <row r="17816">
      <c r="A17816" s="4" t="s">
        <v>22420</v>
      </c>
      <c r="B17816" s="4" t="s">
        <v>22423</v>
      </c>
      <c r="C17816" s="5" t="str">
        <f>IFERROR(__xludf.DUMMYFUNCTION("GOOGLETRANSLATE(B17816,""en"",""zh-CN"")"),"当他继续玩游戏时，打球的那个人击中了球。")</f>
        <v>当他继续玩游戏时，打球的那个人击中了球。</v>
      </c>
    </row>
    <row r="17817">
      <c r="A17817" s="4" t="s">
        <v>22424</v>
      </c>
      <c r="B17817" s="4" t="s">
        <v>22425</v>
      </c>
      <c r="C17817" s="5" t="str">
        <f>IFERROR(__xludf.DUMMYFUNCTION("GOOGLETRANSLATE(B17817,""en"",""zh-CN"")"),"展示了一棵树和覆盖材料，然后一个人准备树周围的区域。")</f>
        <v>展示了一棵树和覆盖材料，然后一个人准备树周围的区域。</v>
      </c>
    </row>
    <row r="17818">
      <c r="A17818" s="4" t="s">
        <v>22424</v>
      </c>
      <c r="B17818" s="4" t="s">
        <v>22426</v>
      </c>
      <c r="C17818" s="5" t="str">
        <f>IFERROR(__xludf.DUMMYFUNCTION("GOOGLETRANSLATE(B17818,""en"",""zh-CN"")"),"然后，该男子将覆盖物覆盖在树上，并用架子给出形式。")</f>
        <v>然后，该男子将覆盖物覆盖在树上，并用架子给出形式。</v>
      </c>
    </row>
    <row r="17819">
      <c r="A17819" s="4" t="s">
        <v>22427</v>
      </c>
      <c r="B17819" s="6" t="s">
        <v>22428</v>
      </c>
      <c r="C17819" s="5" t="str">
        <f>IFERROR(__xludf.DUMMYFUNCTION("GOOGLETRANSLATE(B17819,""en"",""zh-CN"")"),"看到一个女人把飞镖扔到董事会上，然后回头笑着笑着，而另一个从遥远的人看了看。")</f>
        <v>看到一个女人把飞镖扔到董事会上，然后回头笑着笑着，而另一个从遥远的人看了看。</v>
      </c>
    </row>
    <row r="17820">
      <c r="A17820" s="4" t="s">
        <v>22427</v>
      </c>
      <c r="B17820" s="6" t="s">
        <v>22429</v>
      </c>
      <c r="C17820" s="5" t="str">
        <f>IFERROR(__xludf.DUMMYFUNCTION("GOOGLETRANSLATE(B17820,""en"",""zh-CN"")"),"她在停下来抓住它们的同时将更多的飞镖投向了板上，一个男人弯腰在她身边。")</f>
        <v>她在停下来抓住它们的同时将更多的飞镖投向了板上，一个男人弯腰在她身边。</v>
      </c>
    </row>
    <row r="17821">
      <c r="A17821" s="4" t="s">
        <v>22430</v>
      </c>
      <c r="B17821" s="4" t="s">
        <v>22431</v>
      </c>
      <c r="C17821" s="5" t="str">
        <f>IFERROR(__xludf.DUMMYFUNCTION("GOOGLETRANSLATE(B17821,""en"",""zh-CN"")"),"一个男人在室内壁球场上，拿着球和球拍时说话。")</f>
        <v>一个男人在室内壁球场上，拿着球和球拍时说话。</v>
      </c>
    </row>
    <row r="17822">
      <c r="A17822" s="4" t="s">
        <v>22430</v>
      </c>
      <c r="B17822" s="4" t="s">
        <v>22432</v>
      </c>
      <c r="C17822" s="5" t="str">
        <f>IFERROR(__xludf.DUMMYFUNCTION("GOOGLETRANSLATE(B17822,""en"",""zh-CN"")"),"他来回朝墙壁上吹着球，散布着谈论比赛。")</f>
        <v>他来回朝墙壁上吹着球，散布着谈论比赛。</v>
      </c>
    </row>
    <row r="17823">
      <c r="A17823" s="4" t="s">
        <v>22430</v>
      </c>
      <c r="B17823" s="4" t="s">
        <v>22433</v>
      </c>
      <c r="C17823" s="5" t="str">
        <f>IFERROR(__xludf.DUMMYFUNCTION("GOOGLETRANSLATE(B17823,""en"",""zh-CN"")"),"在视频结束之前，他讲话了一段时间。")</f>
        <v>在视频结束之前，他讲话了一段时间。</v>
      </c>
    </row>
    <row r="17824">
      <c r="A17824" s="4" t="s">
        <v>22434</v>
      </c>
      <c r="B17824" s="6" t="s">
        <v>22435</v>
      </c>
      <c r="C17824" s="5" t="str">
        <f>IFERROR(__xludf.DUMMYFUNCTION("GOOGLETRANSLATE(B17824,""en"",""zh-CN"")"),"两个人站在室内健身房上，同步他们都开始跳上金属弹力柱，他们都做了一个反弹。")</f>
        <v>两个人站在室内健身房上，同步他们都开始跳上金属弹力柱，他们都做了一个反弹。</v>
      </c>
    </row>
    <row r="17825">
      <c r="A17825" s="4" t="s">
        <v>22434</v>
      </c>
      <c r="B17825" s="6" t="s">
        <v>22436</v>
      </c>
      <c r="C17825" s="5" t="str">
        <f>IFERROR(__xludf.DUMMYFUNCTION("GOOGLETRANSLATE(B17825,""en"",""zh-CN"")"),"各种不同的人的各种剪辑也戴着有弹性高跷游戏，它们都在跑步，翻转和做各种技巧，同时降落在室内健身房的蓝色垫子上。")</f>
        <v>各种不同的人的各种剪辑也戴着有弹性高跷游戏，它们都在跑步，翻转和做各种技巧，同时降落在室内健身房的蓝色垫子上。</v>
      </c>
    </row>
    <row r="17826">
      <c r="A17826" s="4" t="s">
        <v>22434</v>
      </c>
      <c r="B17826" s="6" t="s">
        <v>22437</v>
      </c>
      <c r="C17826" s="5" t="str">
        <f>IFERROR(__xludf.DUMMYFUNCTION("GOOGLETRANSLATE(B17826,""en"",""zh-CN"")"),"现在，有很多人在户外，无论男人和女人，他们都在奔跑，跳跃，跳跃和在户外翻转。")</f>
        <v>现在，有很多人在户外，无论男人和女人，他们都在奔跑，跳跃，跳跃和在户外翻转。</v>
      </c>
    </row>
    <row r="17827">
      <c r="A17827" s="4" t="s">
        <v>22434</v>
      </c>
      <c r="B17827" s="6" t="s">
        <v>22438</v>
      </c>
      <c r="C17827" s="5" t="str">
        <f>IFERROR(__xludf.DUMMYFUNCTION("GOOGLETRANSLATE(B17827,""en"",""zh-CN"")"),"他们中的一大批都对齐，并且从上面的角度表明它们已经形成了数字7。")</f>
        <v>他们中的一大批都对齐，并且从上面的角度表明它们已经形成了数字7。</v>
      </c>
    </row>
    <row r="17828">
      <c r="A17828" s="4" t="s">
        <v>22434</v>
      </c>
      <c r="B17828" s="6" t="s">
        <v>22439</v>
      </c>
      <c r="C17828" s="5" t="str">
        <f>IFERROR(__xludf.DUMMYFUNCTION("GOOGLETRANSLATE(B17828,""en"",""zh-CN"")"),"在不同区域玩耍中，各种仍在户外活动的片段和越来越多的人的剪辑，他们都跳过杆子，翻转，跳跃，跑步，跑步等。")</f>
        <v>在不同区域玩耍中，各种仍在户外活动的片段和越来越多的人的剪辑，他们都跳过杆子，翻转，跳跃，跑步，跑步等。</v>
      </c>
    </row>
    <row r="17829">
      <c r="A17829" s="4" t="s">
        <v>22434</v>
      </c>
      <c r="B17829" s="6" t="s">
        <v>22440</v>
      </c>
      <c r="C17829" s="5" t="str">
        <f>IFERROR(__xludf.DUMMYFUNCTION("GOOGLETRANSLATE(B17829,""en"",""zh-CN"")"),"现在，人们用弹性的高跷跳入水中，然后回到一个大草地，直到出现黑屏，许多白色单词和网站从下到顶部迅速滚动。")</f>
        <v>现在，人们用弹性的高跷跳入水中，然后回到一个大草地，直到出现黑屏，许多白色单词和网站从下到顶部迅速滚动。</v>
      </c>
    </row>
    <row r="17830">
      <c r="A17830" s="4" t="s">
        <v>22441</v>
      </c>
      <c r="B17830" s="4" t="s">
        <v>22442</v>
      </c>
      <c r="C17830" s="5" t="str">
        <f>IFERROR(__xludf.DUMMYFUNCTION("GOOGLETRANSLATE(B17830,""en"",""zh-CN"")"),"人们正在划独木舟。")</f>
        <v>人们正在划独木舟。</v>
      </c>
    </row>
    <row r="17831">
      <c r="A17831" s="4" t="s">
        <v>22441</v>
      </c>
      <c r="B17831" s="4" t="s">
        <v>22443</v>
      </c>
      <c r="C17831" s="5" t="str">
        <f>IFERROR(__xludf.DUMMYFUNCTION("GOOGLETRANSLATE(B17831,""en"",""zh-CN"")"),"他们在水中绕过杆子。")</f>
        <v>他们在水中绕过杆子。</v>
      </c>
    </row>
    <row r="17832">
      <c r="A17832" s="4" t="s">
        <v>22441</v>
      </c>
      <c r="B17832" s="4" t="s">
        <v>22444</v>
      </c>
      <c r="C17832" s="5" t="str">
        <f>IFERROR(__xludf.DUMMYFUNCTION("GOOGLETRANSLATE(B17832,""en"",""zh-CN"")"),"他们走到桥下。")</f>
        <v>他们走到桥下。</v>
      </c>
    </row>
    <row r="17833">
      <c r="A17833" s="4" t="s">
        <v>22445</v>
      </c>
      <c r="B17833" s="6" t="s">
        <v>22446</v>
      </c>
      <c r="C17833" s="5" t="str">
        <f>IFERROR(__xludf.DUMMYFUNCTION("GOOGLETRANSLATE(B17833,""en"",""zh-CN"")"),"一个穿着灰色和印花外套的小女孩站在干叶的中心，她从叶子堆中走开，抓住少量并将其放在一侧。")</f>
        <v>一个穿着灰色和印花外套的小女孩站在干叶的中心，她从叶子堆中走开，抓住少量并将其放在一侧。</v>
      </c>
    </row>
    <row r="17834">
      <c r="A17834" s="4" t="s">
        <v>22445</v>
      </c>
      <c r="B17834" s="6" t="s">
        <v>22447</v>
      </c>
      <c r="C17834" s="5" t="str">
        <f>IFERROR(__xludf.DUMMYFUNCTION("GOOGLETRANSLATE(B17834,""en"",""zh-CN"")"),"一名穿着灰色毛衣和蓝色裤子的女人从后面的女孩走到她的身后，那位女士拿着耙子。")</f>
        <v>一名穿着灰色毛衣和蓝色裤子的女人从后面的女孩走到她的身后，那位女士拿着耙子。</v>
      </c>
    </row>
    <row r="17835">
      <c r="A17835" s="4" t="s">
        <v>22445</v>
      </c>
      <c r="B17835" s="4" t="s">
        <v>22448</v>
      </c>
      <c r="C17835" s="5" t="str">
        <f>IFERROR(__xludf.DUMMYFUNCTION("GOOGLETRANSLATE(B17835,""en"",""zh-CN"")"),"小女孩走到她身边，试图伸手去拿耙子。")</f>
        <v>小女孩走到她身边，试图伸手去拿耙子。</v>
      </c>
    </row>
    <row r="17836">
      <c r="A17836" s="4" t="s">
        <v>22445</v>
      </c>
      <c r="B17836" s="4" t="s">
        <v>22449</v>
      </c>
      <c r="C17836" s="5" t="str">
        <f>IFERROR(__xludf.DUMMYFUNCTION("GOOGLETRANSLATE(B17836,""en"",""zh-CN"")"),"女人调整了耙子的手柄，使其短并交给了女孩。")</f>
        <v>女人调整了耙子的手柄，使其短并交给了女孩。</v>
      </c>
    </row>
    <row r="17837">
      <c r="A17837" s="4" t="s">
        <v>22445</v>
      </c>
      <c r="B17837" s="6" t="s">
        <v>22450</v>
      </c>
      <c r="C17837" s="5" t="str">
        <f>IFERROR(__xludf.DUMMYFUNCTION("GOOGLETRANSLATE(B17837,""en"",""zh-CN"")"),"这个小女孩试图耙开，但不会动，所以那个女人坐在女孩旁边，从她身边拿走耙子，而小女孩则被跑在街上的孩子们分心。")</f>
        <v>这个小女孩试图耙开，但不会动，所以那个女人坐在女孩旁边，从她身边拿走耙子，而小女孩则被跑在街上的孩子们分心。</v>
      </c>
    </row>
    <row r="17838">
      <c r="A17838" s="4" t="s">
        <v>22445</v>
      </c>
      <c r="B17838" s="4" t="s">
        <v>22451</v>
      </c>
      <c r="C17838" s="5" t="str">
        <f>IFERROR(__xludf.DUMMYFUNCTION("GOOGLETRANSLATE(B17838,""en"",""zh-CN"")"),"小女孩继续耙开，而那位女士则拿起更大的耙子，开始耙树叶。")</f>
        <v>小女孩继续耙开，而那位女士则拿起更大的耙子，开始耙树叶。</v>
      </c>
    </row>
    <row r="17839">
      <c r="A17839" s="4" t="s">
        <v>22452</v>
      </c>
      <c r="B17839" s="4" t="s">
        <v>22453</v>
      </c>
      <c r="C17839" s="5" t="str">
        <f>IFERROR(__xludf.DUMMYFUNCTION("GOOGLETRANSLATE(B17839,""en"",""zh-CN"")"),"一个人沿着有粉笔的街道行走。")</f>
        <v>一个人沿着有粉笔的街道行走。</v>
      </c>
    </row>
    <row r="17840">
      <c r="A17840" s="4" t="s">
        <v>22452</v>
      </c>
      <c r="B17840" s="4" t="s">
        <v>22454</v>
      </c>
      <c r="C17840" s="5" t="str">
        <f>IFERROR(__xludf.DUMMYFUNCTION("GOOGLETRANSLATE(B17840,""en"",""zh-CN"")"),"穿着红色衬衫的人在街上跳上粉笔。")</f>
        <v>穿着红色衬衫的人在街上跳上粉笔。</v>
      </c>
    </row>
    <row r="17841">
      <c r="A17841" s="4" t="s">
        <v>22452</v>
      </c>
      <c r="B17841" s="4" t="s">
        <v>22455</v>
      </c>
      <c r="C17841" s="5" t="str">
        <f>IFERROR(__xludf.DUMMYFUNCTION("GOOGLETRANSLATE(B17841,""en"",""zh-CN"")"),"他们在相机上结束并微笑。")</f>
        <v>他们在相机上结束并微笑。</v>
      </c>
    </row>
    <row r="17842">
      <c r="A17842" s="4" t="s">
        <v>22456</v>
      </c>
      <c r="B17842" s="4" t="s">
        <v>22457</v>
      </c>
      <c r="C17842" s="5" t="str">
        <f>IFERROR(__xludf.DUMMYFUNCTION("GOOGLETRANSLATE(B17842,""en"",""zh-CN"")"),"这是制作巧克力曲奇的食谱。")</f>
        <v>这是制作巧克力曲奇的食谱。</v>
      </c>
    </row>
    <row r="17843">
      <c r="A17843" s="4" t="s">
        <v>22456</v>
      </c>
      <c r="B17843" s="4" t="s">
        <v>22458</v>
      </c>
      <c r="C17843" s="5" t="str">
        <f>IFERROR(__xludf.DUMMYFUNCTION("GOOGLETRANSLATE(B17843,""en"",""zh-CN"")"),"巧克力棒用刀切。")</f>
        <v>巧克力棒用刀切。</v>
      </c>
    </row>
    <row r="17844">
      <c r="A17844" s="4" t="s">
        <v>22456</v>
      </c>
      <c r="B17844" s="4" t="s">
        <v>22459</v>
      </c>
      <c r="C17844" s="5" t="str">
        <f>IFERROR(__xludf.DUMMYFUNCTION("GOOGLETRANSLATE(B17844,""en"",""zh-CN"")"),"黄油是微波炉的，并用糖和其他成分制备。")</f>
        <v>黄油是微波炉的，并用糖和其他成分制备。</v>
      </c>
    </row>
    <row r="17845">
      <c r="A17845" s="4" t="s">
        <v>22456</v>
      </c>
      <c r="B17845" s="4" t="s">
        <v>22460</v>
      </c>
      <c r="C17845" s="5" t="str">
        <f>IFERROR(__xludf.DUMMYFUNCTION("GOOGLETRANSLATE(B17845,""en"",""zh-CN"")"),"一切都被搅拌，巧克力放进去。")</f>
        <v>一切都被搅拌，巧克力放进去。</v>
      </c>
    </row>
    <row r="17846">
      <c r="A17846" s="4" t="s">
        <v>22456</v>
      </c>
      <c r="B17846" s="4" t="s">
        <v>22461</v>
      </c>
      <c r="C17846" s="5" t="str">
        <f>IFERROR(__xludf.DUMMYFUNCTION("GOOGLETRANSLATE(B17846,""en"",""zh-CN"")"),"饼干形状并放入烤箱中。")</f>
        <v>饼干形状并放入烤箱中。</v>
      </c>
    </row>
    <row r="17847">
      <c r="A17847" s="4" t="s">
        <v>22462</v>
      </c>
      <c r="B17847" s="4" t="s">
        <v>22463</v>
      </c>
      <c r="C17847" s="5" t="str">
        <f>IFERROR(__xludf.DUMMYFUNCTION("GOOGLETRANSLATE(B17847,""en"",""zh-CN"")"),"男人坐在驾驶员座位上。")</f>
        <v>男人坐在驾驶员座位上。</v>
      </c>
    </row>
    <row r="17848">
      <c r="A17848" s="4" t="s">
        <v>22462</v>
      </c>
      <c r="B17848" s="4" t="s">
        <v>22464</v>
      </c>
      <c r="C17848" s="5" t="str">
        <f>IFERROR(__xludf.DUMMYFUNCTION("GOOGLETRANSLATE(B17848,""en"",""zh-CN"")"),"人们在白雪皑皑的滑雪板中。")</f>
        <v>人们在白雪皑皑的滑雪板中。</v>
      </c>
    </row>
    <row r="17849">
      <c r="A17849" s="4" t="s">
        <v>22465</v>
      </c>
      <c r="B17849" s="4" t="s">
        <v>22466</v>
      </c>
      <c r="C17849" s="5" t="str">
        <f>IFERROR(__xludf.DUMMYFUNCTION("GOOGLETRANSLATE(B17849,""en"",""zh-CN"")"),"有人从办公桌上抓住一个鲁rix立方体，开始解决它。")</f>
        <v>有人从办公桌上抓住一个鲁rix立方体，开始解决它。</v>
      </c>
    </row>
    <row r="17850">
      <c r="A17850" s="4" t="s">
        <v>22465</v>
      </c>
      <c r="B17850" s="4" t="s">
        <v>22467</v>
      </c>
      <c r="C17850" s="5" t="str">
        <f>IFERROR(__xludf.DUMMYFUNCTION("GOOGLETRANSLATE(B17850,""en"",""zh-CN"")"),"他们移动得如此之快，他们放下了一秒钟。")</f>
        <v>他们移动得如此之快，他们放下了一秒钟。</v>
      </c>
    </row>
    <row r="17851">
      <c r="A17851" s="4" t="s">
        <v>22465</v>
      </c>
      <c r="B17851" s="4" t="s">
        <v>22468</v>
      </c>
      <c r="C17851" s="5" t="str">
        <f>IFERROR(__xludf.DUMMYFUNCTION("GOOGLETRANSLATE(B17851,""en"",""zh-CN"")"),"他们迅速将其捡起来，然后重新恢复，再次移动如此之快。")</f>
        <v>他们迅速将其捡起来，然后重新恢复，再次移动如此之快。</v>
      </c>
    </row>
    <row r="17852">
      <c r="A17852" s="4" t="s">
        <v>22465</v>
      </c>
      <c r="B17852" s="4" t="s">
        <v>22469</v>
      </c>
      <c r="C17852" s="5" t="str">
        <f>IFERROR(__xludf.DUMMYFUNCTION("GOOGLETRANSLATE(B17852,""en"",""zh-CN"")"),"当他们最终解决立方体时，他们显示了自己的时间，只需33,91个即可解决立方体。")</f>
        <v>当他们最终解决立方体时，他们显示了自己的时间，只需33,91个即可解决立方体。</v>
      </c>
    </row>
    <row r="17853">
      <c r="A17853" s="4" t="s">
        <v>22470</v>
      </c>
      <c r="B17853" s="4" t="s">
        <v>22471</v>
      </c>
      <c r="C17853" s="5" t="str">
        <f>IFERROR(__xludf.DUMMYFUNCTION("GOOGLETRANSLATE(B17853,""en"",""zh-CN"")"),"穿着黑色衬衫的男人正在走路，然后将球抬起。")</f>
        <v>穿着黑色衬衫的男人正在走路，然后将球抬起。</v>
      </c>
    </row>
    <row r="17854">
      <c r="A17854" s="4" t="s">
        <v>22470</v>
      </c>
      <c r="B17854" s="4" t="s">
        <v>22472</v>
      </c>
      <c r="C17854" s="5" t="str">
        <f>IFERROR(__xludf.DUMMYFUNCTION("GOOGLETRANSLATE(B17854,""en"",""zh-CN"")"),"该男子把球放在脖子上，开始转身扔球。")</f>
        <v>该男子把球放在脖子上，开始转身扔球。</v>
      </c>
    </row>
    <row r="17855">
      <c r="A17855" s="4" t="s">
        <v>22470</v>
      </c>
      <c r="B17855" s="6" t="s">
        <v>22473</v>
      </c>
      <c r="C17855" s="5" t="str">
        <f>IFERROR(__xludf.DUMMYFUNCTION("GOOGLETRANSLATE(B17855,""en"",""zh-CN"")"),"那个男人欢呼雀跃，给另一个男人拿了五个，然后他很高兴他在肚子上走到地上，继续为他加油打气。")</f>
        <v>那个男人欢呼雀跃，给另一个男人拿了五个，然后他很高兴他在肚子上走到地上，继续为他加油打气。</v>
      </c>
    </row>
    <row r="17856">
      <c r="A17856" s="4" t="s">
        <v>22474</v>
      </c>
      <c r="B17856" s="4" t="s">
        <v>22475</v>
      </c>
      <c r="C17856" s="5" t="str">
        <f>IFERROR(__xludf.DUMMYFUNCTION("GOOGLETRANSLATE(B17856,""en"",""zh-CN"")"),"有一个穿着粉红色连衣裙的女人，穿着一件灰色衬衫的男人。")</f>
        <v>有一个穿着粉红色连衣裙的女人，穿着一件灰色衬衫的男人。</v>
      </c>
    </row>
    <row r="17857">
      <c r="A17857" s="4" t="s">
        <v>22474</v>
      </c>
      <c r="B17857" s="4" t="s">
        <v>22476</v>
      </c>
      <c r="C17857" s="5" t="str">
        <f>IFERROR(__xludf.DUMMYFUNCTION("GOOGLETRANSLATE(B17857,""en"",""zh-CN"")"),"他们谈论的是穿着内衣刷牙以及如何被metacafe禁止。")</f>
        <v>他们谈论的是穿着内衣刷牙以及如何被metacafe禁止。</v>
      </c>
    </row>
    <row r="17858">
      <c r="A17858" s="4" t="s">
        <v>22474</v>
      </c>
      <c r="B17858" s="4" t="s">
        <v>22477</v>
      </c>
      <c r="C17858" s="5" t="str">
        <f>IFERROR(__xludf.DUMMYFUNCTION("GOOGLETRANSLATE(B17858,""en"",""zh-CN"")"),"这个人手里拿着一个脚本，他正在阅读。")</f>
        <v>这个人手里拿着一个脚本，他正在阅读。</v>
      </c>
    </row>
    <row r="17859">
      <c r="A17859" s="4" t="s">
        <v>22474</v>
      </c>
      <c r="B17859" s="4" t="s">
        <v>22478</v>
      </c>
      <c r="C17859" s="5" t="str">
        <f>IFERROR(__xludf.DUMMYFUNCTION("GOOGLETRANSLATE(B17859,""en"",""zh-CN"")"),"一个穿着折叠裤的男人在海滩上行走。")</f>
        <v>一个穿着折叠裤的男人在海滩上行走。</v>
      </c>
    </row>
    <row r="17860">
      <c r="A17860" s="4" t="s">
        <v>22474</v>
      </c>
      <c r="B17860" s="4" t="s">
        <v>22479</v>
      </c>
      <c r="C17860" s="5" t="str">
        <f>IFERROR(__xludf.DUMMYFUNCTION("GOOGLETRANSLATE(B17860,""en"",""zh-CN"")"),"他从沙滩上捡起牙刷，开始刷牙。")</f>
        <v>他从沙滩上捡起牙刷，开始刷牙。</v>
      </c>
    </row>
    <row r="17861">
      <c r="A17861" s="4" t="s">
        <v>22474</v>
      </c>
      <c r="B17861" s="4" t="s">
        <v>22480</v>
      </c>
      <c r="C17861" s="5" t="str">
        <f>IFERROR(__xludf.DUMMYFUNCTION("GOOGLETRANSLATE(B17861,""en"",""zh-CN"")"),"浴室里的女人在刷牙，并被一把刀子袭击。")</f>
        <v>浴室里的女人在刷牙，并被一把刀子袭击。</v>
      </c>
    </row>
    <row r="17862">
      <c r="A17862" s="4" t="s">
        <v>22474</v>
      </c>
      <c r="B17862" s="4" t="s">
        <v>22481</v>
      </c>
      <c r="C17862" s="5" t="str">
        <f>IFERROR(__xludf.DUMMYFUNCTION("GOOGLETRANSLATE(B17862,""en"",""zh-CN"")"),"整个浴室里都有鲜血。")</f>
        <v>整个浴室里都有鲜血。</v>
      </c>
    </row>
    <row r="17863">
      <c r="A17863" s="4" t="s">
        <v>22474</v>
      </c>
      <c r="B17863" s="6" t="s">
        <v>22482</v>
      </c>
      <c r="C17863" s="5" t="str">
        <f>IFERROR(__xludf.DUMMYFUNCTION("GOOGLETRANSLATE(B17863,""en"",""zh-CN"")"),"受伤的女人站起来，看着镜子，只发现她从海滩上有男人的脸。")</f>
        <v>受伤的女人站起来，看着镜子，只发现她从海滩上有男人的脸。</v>
      </c>
    </row>
    <row r="17864">
      <c r="A17864" s="4" t="s">
        <v>22474</v>
      </c>
      <c r="B17864" s="4" t="s">
        <v>22483</v>
      </c>
      <c r="C17864" s="5" t="str">
        <f>IFERROR(__xludf.DUMMYFUNCTION("GOOGLETRANSLATE(B17864,""en"",""zh-CN"")"),"同一个人现在回到海滩上，沿着岸边行走。")</f>
        <v>同一个人现在回到海滩上，沿着岸边行走。</v>
      </c>
    </row>
    <row r="17865">
      <c r="A17865" s="4" t="s">
        <v>22484</v>
      </c>
      <c r="B17865" s="6" t="s">
        <v>22485</v>
      </c>
      <c r="C17865" s="5" t="str">
        <f>IFERROR(__xludf.DUMMYFUNCTION("GOOGLETRANSLATE(B17865,""en"",""zh-CN"")"),"显示了各种景观的镜头，后面是一名妇女在相机上说话，抬起头和骑车后面。")</f>
        <v>显示了各种景观的镜头，后面是一名妇女在相机上说话，抬起头和骑车后面。</v>
      </c>
    </row>
    <row r="17866">
      <c r="A17866" s="4" t="s">
        <v>22484</v>
      </c>
      <c r="B17866" s="6" t="s">
        <v>22486</v>
      </c>
      <c r="C17866" s="5" t="str">
        <f>IFERROR(__xludf.DUMMYFUNCTION("GOOGLETRANSLATE(B17866,""en"",""zh-CN"")"),"该人四处走走并与驾驶员互动，并导致更多骑车后面的人的剪辑。")</f>
        <v>该人四处走走并与驾驶员互动，并导致更多骑车后面的人的剪辑。</v>
      </c>
    </row>
    <row r="17867">
      <c r="A17867" s="4" t="s">
        <v>22484</v>
      </c>
      <c r="B17867" s="6" t="s">
        <v>22487</v>
      </c>
      <c r="C17867" s="5" t="str">
        <f>IFERROR(__xludf.DUMMYFUNCTION("GOOGLETRANSLATE(B17867,""en"",""zh-CN"")"),"一个男人讲话说对讲机，展示汽车的速度以及庆祝的人和接受牌匾的人。")</f>
        <v>一个男人讲话说对讲机，展示汽车的速度以及庆祝的人和接受牌匾的人。</v>
      </c>
    </row>
    <row r="17868">
      <c r="A17868" s="4" t="s">
        <v>22488</v>
      </c>
      <c r="B17868" s="4" t="s">
        <v>22489</v>
      </c>
      <c r="C17868" s="5" t="str">
        <f>IFERROR(__xludf.DUMMYFUNCTION("GOOGLETRANSLATE(B17868,""en"",""zh-CN"")"),"一群男人在一个房间里做各种手动并移动脚。")</f>
        <v>一群男人在一个房间里做各种手动并移动脚。</v>
      </c>
    </row>
    <row r="17869">
      <c r="A17869" s="4" t="s">
        <v>22488</v>
      </c>
      <c r="B17869" s="6" t="s">
        <v>22490</v>
      </c>
      <c r="C17869" s="5" t="str">
        <f>IFERROR(__xludf.DUMMYFUNCTION("GOOGLETRANSLATE(B17869,""en"",""zh-CN"")"),"随着他们的继续，后面的那个人落在地面上，站起来并继续在房间的后部移动。")</f>
        <v>随着他们的继续，后面的那个人落在地面上，站起来并继续在房间的后部移动。</v>
      </c>
    </row>
    <row r="17870">
      <c r="A17870" s="4" t="s">
        <v>22488</v>
      </c>
      <c r="B17870" s="4" t="s">
        <v>22491</v>
      </c>
      <c r="C17870" s="5" t="str">
        <f>IFERROR(__xludf.DUMMYFUNCTION("GOOGLETRANSLATE(B17870,""en"",""zh-CN"")"),"他们结束，站着，开始鼓掌并互相高攻击。")</f>
        <v>他们结束，站着，开始鼓掌并互相高攻击。</v>
      </c>
    </row>
    <row r="17871">
      <c r="A17871" s="4" t="s">
        <v>22492</v>
      </c>
      <c r="B17871" s="4" t="s">
        <v>22493</v>
      </c>
      <c r="C17871" s="5" t="str">
        <f>IFERROR(__xludf.DUMMYFUNCTION("GOOGLETRANSLATE(B17871,""en"",""zh-CN"")"),"金发碧眼的女人正在后院耙干叶，狗正在和它们一起奔跑。")</f>
        <v>金发碧眼的女人正在后院耙干叶，狗正在和它们一起奔跑。</v>
      </c>
    </row>
    <row r="17872">
      <c r="A17872" s="4" t="s">
        <v>22492</v>
      </c>
      <c r="B17872" s="6" t="s">
        <v>22494</v>
      </c>
      <c r="C17872" s="5" t="str">
        <f>IFERROR(__xludf.DUMMYFUNCTION("GOOGLETRANSLATE(B17872,""en"",""zh-CN"")"),"狗在后院不在，是从一个smal喷泉中喝水，在女人继续耙开的同时，继续在田野里奔跑。")</f>
        <v>狗在后院不在，是从一个smal喷泉中喝水，在女人继续耙开的同时，继续在田野里奔跑。</v>
      </c>
    </row>
    <row r="17873">
      <c r="A17873" s="4" t="s">
        <v>22495</v>
      </c>
      <c r="B17873" s="4" t="s">
        <v>22496</v>
      </c>
      <c r="C17873" s="5" t="str">
        <f>IFERROR(__xludf.DUMMYFUNCTION("GOOGLETRANSLATE(B17873,""en"",""zh-CN"")"),"两个人站在柜台后面。")</f>
        <v>两个人站在柜台后面。</v>
      </c>
    </row>
    <row r="17874">
      <c r="A17874" s="4" t="s">
        <v>22495</v>
      </c>
      <c r="B17874" s="4" t="s">
        <v>22497</v>
      </c>
      <c r="C17874" s="5" t="str">
        <f>IFERROR(__xludf.DUMMYFUNCTION("GOOGLETRANSLATE(B17874,""en"",""zh-CN"")"),"一个人正在将辣椒添加到沙拉中。")</f>
        <v>一个人正在将辣椒添加到沙拉中。</v>
      </c>
    </row>
    <row r="17875">
      <c r="A17875" s="4" t="s">
        <v>22495</v>
      </c>
      <c r="B17875" s="4" t="s">
        <v>22498</v>
      </c>
      <c r="C17875" s="5" t="str">
        <f>IFERROR(__xludf.DUMMYFUNCTION("GOOGLETRANSLATE(B17875,""en"",""zh-CN"")"),"另一个人将胡椒粉切成板上。")</f>
        <v>另一个人将胡椒粉切成板上。</v>
      </c>
    </row>
    <row r="17876">
      <c r="A17876" s="4" t="s">
        <v>22499</v>
      </c>
      <c r="B17876" s="4" t="s">
        <v>22500</v>
      </c>
      <c r="C17876" s="5" t="str">
        <f>IFERROR(__xludf.DUMMYFUNCTION("GOOGLETRANSLATE(B17876,""en"",""zh-CN"")"),"电影的开幕片出现在屏幕上。")</f>
        <v>电影的开幕片出现在屏幕上。</v>
      </c>
    </row>
    <row r="17877">
      <c r="A17877" s="4" t="s">
        <v>22499</v>
      </c>
      <c r="B17877" s="4" t="s">
        <v>22501</v>
      </c>
      <c r="C17877" s="5" t="str">
        <f>IFERROR(__xludf.DUMMYFUNCTION("GOOGLETRANSLATE(B17877,""en"",""zh-CN"")"),"显示几名年轻人在滑板上表现各种特技表演。")</f>
        <v>显示几名年轻人在滑板上表现各种特技表演。</v>
      </c>
    </row>
    <row r="17878">
      <c r="A17878" s="4" t="s">
        <v>22499</v>
      </c>
      <c r="B17878" s="4" t="s">
        <v>22502</v>
      </c>
      <c r="C17878" s="5" t="str">
        <f>IFERROR(__xludf.DUMMYFUNCTION("GOOGLETRANSLATE(B17878,""en"",""zh-CN"")"),"他们跳上桌子，喷泉和楼梯。")</f>
        <v>他们跳上桌子，喷泉和楼梯。</v>
      </c>
    </row>
    <row r="17879">
      <c r="A17879" s="4" t="s">
        <v>22503</v>
      </c>
      <c r="B17879" s="4" t="s">
        <v>22504</v>
      </c>
      <c r="C17879" s="5" t="str">
        <f>IFERROR(__xludf.DUMMYFUNCTION("GOOGLETRANSLATE(B17879,""en"",""zh-CN"")"),"一个男人在锅中搅动一些东西。")</f>
        <v>一个男人在锅中搅动一些东西。</v>
      </c>
    </row>
    <row r="17880">
      <c r="A17880" s="4" t="s">
        <v>22503</v>
      </c>
      <c r="B17880" s="4" t="s">
        <v>22505</v>
      </c>
      <c r="C17880" s="5" t="str">
        <f>IFERROR(__xludf.DUMMYFUNCTION("GOOGLETRANSLATE(B17880,""en"",""zh-CN"")"),"第一个人离开现场时，第二个人进入碗中并在碗中搅动一些东西。")</f>
        <v>第一个人离开现场时，第二个人进入碗中并在碗中搅动一些东西。</v>
      </c>
    </row>
    <row r="17881">
      <c r="A17881" s="4" t="s">
        <v>22503</v>
      </c>
      <c r="B17881" s="4" t="s">
        <v>22506</v>
      </c>
      <c r="C17881" s="5" t="str">
        <f>IFERROR(__xludf.DUMMYFUNCTION("GOOGLETRANSLATE(B17881,""en"",""zh-CN"")"),"第一个男人走进框架。")</f>
        <v>第一个男人走进框架。</v>
      </c>
    </row>
    <row r="17882">
      <c r="A17882" s="4" t="s">
        <v>22503</v>
      </c>
      <c r="B17882" s="4" t="s">
        <v>22507</v>
      </c>
      <c r="C17882" s="5" t="str">
        <f>IFERROR(__xludf.DUMMYFUNCTION("GOOGLETRANSLATE(B17882,""en"",""zh-CN"")"),"摄影机锅留下来观看第一个在烤箱里工作的男人。")</f>
        <v>摄影机锅留下来观看第一个在烤箱里工作的男人。</v>
      </c>
    </row>
    <row r="17883">
      <c r="A17883" s="4" t="s">
        <v>22508</v>
      </c>
      <c r="B17883" s="4" t="s">
        <v>22509</v>
      </c>
      <c r="C17883" s="5" t="str">
        <f>IFERROR(__xludf.DUMMYFUNCTION("GOOGLETRANSLATE(B17883,""en"",""zh-CN"")"),"穿着各种角色制服的人在绿色领域周围奔跑。")</f>
        <v>穿着各种角色制服的人在绿色领域周围奔跑。</v>
      </c>
    </row>
    <row r="17884">
      <c r="A17884" s="4" t="s">
        <v>22508</v>
      </c>
      <c r="B17884" s="4" t="s">
        <v>22510</v>
      </c>
      <c r="C17884" s="5" t="str">
        <f>IFERROR(__xludf.DUMMYFUNCTION("GOOGLETRANSLATE(B17884,""en"",""zh-CN"")"),"然后，曲棍网兜球比赛开始，他们相互竞争。")</f>
        <v>然后，曲棍网兜球比赛开始，他们相互竞争。</v>
      </c>
    </row>
    <row r="17885">
      <c r="A17885" s="4" t="s">
        <v>22508</v>
      </c>
      <c r="B17885" s="6" t="s">
        <v>22511</v>
      </c>
      <c r="C17885" s="5" t="str">
        <f>IFERROR(__xludf.DUMMYFUNCTION("GOOGLETRANSLATE(B17885,""en"",""zh-CN"")"),"大黄色角色试图获得目标，但没有成功，他失望地屈服于膝盖。")</f>
        <v>大黄色角色试图获得目标，但没有成功，他失望地屈服于膝盖。</v>
      </c>
    </row>
    <row r="17886">
      <c r="A17886" s="4" t="s">
        <v>22512</v>
      </c>
      <c r="B17886" s="6" t="s">
        <v>22513</v>
      </c>
      <c r="C17886" s="5" t="str">
        <f>IFERROR(__xludf.DUMMYFUNCTION("GOOGLETRANSLATE(B17886,""en"",""zh-CN"")"),"一个穿着牛仔衬衫和黑色棒球帽的男人在沙滩，海水，草和花朵盖的丘陵前的海滩上扮演口琴。")</f>
        <v>一个穿着牛仔衬衫和黑色棒球帽的男人在沙滩，海水，草和花朵盖的丘陵前的海滩上扮演口琴。</v>
      </c>
    </row>
    <row r="17887">
      <c r="A17887" s="4" t="s">
        <v>22512</v>
      </c>
      <c r="B17887" s="6" t="s">
        <v>22514</v>
      </c>
      <c r="C17887" s="5" t="str">
        <f>IFERROR(__xludf.DUMMYFUNCTION("GOOGLETRANSLATE(B17887,""en"",""zh-CN"")"),"该男子站在一个短木楼的顶部，靠在栏杆上，男人开始演奏口琴，在演奏时用双手覆盖整个乐器。")</f>
        <v>该男子站在一个短木楼的顶部，靠在栏杆上，男人开始演奏口琴，在演奏时用双手覆盖整个乐器。</v>
      </c>
    </row>
    <row r="17888">
      <c r="A17888" s="4" t="s">
        <v>22512</v>
      </c>
      <c r="B17888" s="4" t="s">
        <v>22515</v>
      </c>
      <c r="C17888" s="5" t="str">
        <f>IFERROR(__xludf.DUMMYFUNCTION("GOOGLETRANSLATE(B17888,""en"",""zh-CN"")"),"一位短裤的海滩爱好者在海滩的湿沙上走过远处。")</f>
        <v>一位短裤的海滩爱好者在海滩的湿沙上走过远处。</v>
      </c>
    </row>
    <row r="17889">
      <c r="A17889" s="4" t="s">
        <v>22512</v>
      </c>
      <c r="B17889" s="6" t="s">
        <v>22516</v>
      </c>
      <c r="C17889" s="5" t="str">
        <f>IFERROR(__xludf.DUMMYFUNCTION("GOOGLETRANSLATE(B17889,""en"",""zh-CN"")"),"该名男子继续扮演口琴结尾，通过将口琴从嘴里拉开，并急剧地扭动大小的胡子。")</f>
        <v>该名男子继续扮演口琴结尾，通过将口琴从嘴里拉开，并急剧地扭动大小的胡子。</v>
      </c>
    </row>
    <row r="17890">
      <c r="A17890" s="4" t="s">
        <v>22517</v>
      </c>
      <c r="B17890" s="4" t="s">
        <v>22518</v>
      </c>
      <c r="C17890" s="5" t="str">
        <f>IFERROR(__xludf.DUMMYFUNCTION("GOOGLETRANSLATE(B17890,""en"",""zh-CN"")"),"看到一个男人和狗站在田野里，狗看着主人。")</f>
        <v>看到一个男人和狗站在田野里，狗看着主人。</v>
      </c>
    </row>
    <row r="17891">
      <c r="A17891" s="4" t="s">
        <v>22517</v>
      </c>
      <c r="B17891" s="4" t="s">
        <v>22519</v>
      </c>
      <c r="C17891" s="5" t="str">
        <f>IFERROR(__xludf.DUMMYFUNCTION("GOOGLETRANSLATE(B17891,""en"",""zh-CN"")"),"该男子将飞盘扔到远处，狗追着它。")</f>
        <v>该男子将飞盘扔到远处，狗追着它。</v>
      </c>
    </row>
    <row r="17892">
      <c r="A17892" s="4" t="s">
        <v>22517</v>
      </c>
      <c r="B17892" s="4" t="s">
        <v>22520</v>
      </c>
      <c r="C17892" s="5" t="str">
        <f>IFERROR(__xludf.DUMMYFUNCTION("GOOGLETRANSLATE(B17892,""en"",""zh-CN"")"),"狗抓住飞盘，跑回男人。")</f>
        <v>狗抓住飞盘，跑回男人。</v>
      </c>
    </row>
    <row r="17893">
      <c r="A17893" s="4" t="s">
        <v>22521</v>
      </c>
      <c r="B17893" s="4" t="s">
        <v>22522</v>
      </c>
      <c r="C17893" s="5" t="str">
        <f>IFERROR(__xludf.DUMMYFUNCTION("GOOGLETRANSLATE(B17893,""en"",""zh-CN"")"),"一个年轻的女人在健身房。")</f>
        <v>一个年轻的女人在健身房。</v>
      </c>
    </row>
    <row r="17894">
      <c r="A17894" s="4" t="s">
        <v>22521</v>
      </c>
      <c r="B17894" s="4" t="s">
        <v>22523</v>
      </c>
      <c r="C17894" s="5" t="str">
        <f>IFERROR(__xludf.DUMMYFUNCTION("GOOGLETRANSLATE(B17894,""en"",""zh-CN"")"),"她在与镜头说话时坐在健身机上。")</f>
        <v>她在与镜头说话时坐在健身机上。</v>
      </c>
    </row>
    <row r="17895">
      <c r="A17895" s="4" t="s">
        <v>22521</v>
      </c>
      <c r="B17895" s="4" t="s">
        <v>22524</v>
      </c>
      <c r="C17895" s="5" t="str">
        <f>IFERROR(__xludf.DUMMYFUNCTION("GOOGLETRANSLATE(B17895,""en"",""zh-CN"")"),"另外三个人在她附近，也在锻炼机上。")</f>
        <v>另外三个人在她附近，也在锻炼机上。</v>
      </c>
    </row>
    <row r="17896">
      <c r="A17896" s="4" t="s">
        <v>22521</v>
      </c>
      <c r="B17896" s="4" t="s">
        <v>22525</v>
      </c>
      <c r="C17896" s="5" t="str">
        <f>IFERROR(__xludf.DUMMYFUNCTION("GOOGLETRANSLATE(B17896,""en"",""zh-CN"")"),"然后，女人开始使用运动机。")</f>
        <v>然后，女人开始使用运动机。</v>
      </c>
    </row>
    <row r="17897">
      <c r="A17897" s="4" t="s">
        <v>22521</v>
      </c>
      <c r="B17897" s="4" t="s">
        <v>22526</v>
      </c>
      <c r="C17897" s="5" t="str">
        <f>IFERROR(__xludf.DUMMYFUNCTION("GOOGLETRANSLATE(B17897,""en"",""zh-CN"")"),"视频以女士停下机器并在相机上微笑而结束。")</f>
        <v>视频以女士停下机器并在相机上微笑而结束。</v>
      </c>
    </row>
    <row r="17898">
      <c r="A17898" s="4" t="s">
        <v>22527</v>
      </c>
      <c r="B17898" s="4" t="s">
        <v>22528</v>
      </c>
      <c r="C17898" s="5" t="str">
        <f>IFERROR(__xludf.DUMMYFUNCTION("GOOGLETRANSLATE(B17898,""en"",""zh-CN"")"),"看到一个男人和女人彼此在地板上表演舞蹈常规。")</f>
        <v>看到一个男人和女人彼此在地板上表演舞蹈常规。</v>
      </c>
    </row>
    <row r="17899">
      <c r="A17899" s="4" t="s">
        <v>22527</v>
      </c>
      <c r="B17899" s="6" t="s">
        <v>22529</v>
      </c>
      <c r="C17899" s="5" t="str">
        <f>IFERROR(__xludf.DUMMYFUNCTION("GOOGLETRANSLATE(B17899,""en"",""zh-CN"")"),"男人和女人也从自己跳舞的镜头中看到，并再次一起跳舞。")</f>
        <v>男人和女人也从自己跳舞的镜头中看到，并再次一起跳舞。</v>
      </c>
    </row>
    <row r="17900">
      <c r="A17900" s="4" t="s">
        <v>22530</v>
      </c>
      <c r="B17900" s="4" t="s">
        <v>22531</v>
      </c>
      <c r="C17900" s="5" t="str">
        <f>IFERROR(__xludf.DUMMYFUNCTION("GOOGLETRANSLATE(B17900,""en"",""zh-CN"")"),"当男人拍摄她时，一个女孩站在浴室里与镜头交谈。")</f>
        <v>当男人拍摄她时，一个女孩站在浴室里与镜头交谈。</v>
      </c>
    </row>
    <row r="17901">
      <c r="A17901" s="4" t="s">
        <v>22530</v>
      </c>
      <c r="B17901" s="4" t="s">
        <v>22532</v>
      </c>
      <c r="C17901" s="5" t="str">
        <f>IFERROR(__xludf.DUMMYFUNCTION("GOOGLETRANSLATE(B17901,""en"",""zh-CN"")"),"那位女士擦去眼妆，洗脸。")</f>
        <v>那位女士擦去眼妆，洗脸。</v>
      </c>
    </row>
    <row r="17902">
      <c r="A17902" s="4" t="s">
        <v>22530</v>
      </c>
      <c r="B17902" s="4" t="s">
        <v>22533</v>
      </c>
      <c r="C17902" s="5" t="str">
        <f>IFERROR(__xludf.DUMMYFUNCTION("GOOGLETRANSLATE(B17902,""en"",""zh-CN"")"),"那位女士将肥皂从她的脸上冲洗干净。")</f>
        <v>那位女士将肥皂从她的脸上冲洗干净。</v>
      </c>
    </row>
    <row r="17903">
      <c r="A17903" s="4" t="s">
        <v>22530</v>
      </c>
      <c r="B17903" s="4" t="s">
        <v>22534</v>
      </c>
      <c r="C17903" s="5" t="str">
        <f>IFERROR(__xludf.DUMMYFUNCTION("GOOGLETRANSLATE(B17903,""en"",""zh-CN"")"),"那位女士站立，微笑时用手擦拭脸。")</f>
        <v>那位女士站立，微笑时用手擦拭脸。</v>
      </c>
    </row>
    <row r="17904">
      <c r="A17904" s="4" t="s">
        <v>22535</v>
      </c>
      <c r="B17904" s="6" t="s">
        <v>22536</v>
      </c>
      <c r="C17904" s="5" t="str">
        <f>IFERROR(__xludf.DUMMYFUNCTION("GOOGLETRANSLATE(B17904,""en"",""zh-CN"")"),"一个男人在金属高跷上行走的男人正在用右手弹跳篮球，因为一个人朝着相反的方向穿过滚筒。")</f>
        <v>一个男人在金属高跷上行走的男人正在用右手弹跳篮球，因为一个人朝着相反的方向穿过滚筒。</v>
      </c>
    </row>
    <row r="17905">
      <c r="A17905" s="4" t="s">
        <v>22535</v>
      </c>
      <c r="B17905" s="6" t="s">
        <v>22537</v>
      </c>
      <c r="C17905" s="5" t="str">
        <f>IFERROR(__xludf.DUMMYFUNCTION("GOOGLETRANSLATE(B17905,""en"",""zh-CN"")"),"高跷上的那个人在仍然弹跳球的同时转身，失去了一点点的控制，但是又一脚步，弹跳。")</f>
        <v>高跷上的那个人在仍然弹跳球的同时转身，失去了一点点的控制，但是又一脚步，弹跳。</v>
      </c>
    </row>
    <row r="17906">
      <c r="A17906" s="4" t="s">
        <v>22535</v>
      </c>
      <c r="B17906" s="6" t="s">
        <v>22538</v>
      </c>
      <c r="C17906" s="5" t="str">
        <f>IFERROR(__xludf.DUMMYFUNCTION("GOOGLETRANSLATE(B17906,""en"",""zh-CN"")"),"然后，该男子用两只手抓住篮球，假装他要把它扔向相机。")</f>
        <v>然后，该男子用两只手抓住篮球，假装他要把它扔向相机。</v>
      </c>
    </row>
    <row r="17907">
      <c r="A17907" s="4" t="s">
        <v>22539</v>
      </c>
      <c r="B17907" s="4" t="s">
        <v>22540</v>
      </c>
      <c r="C17907" s="5" t="str">
        <f>IFERROR(__xludf.DUMMYFUNCTION("GOOGLETRANSLATE(B17907,""en"",""zh-CN"")"),"游泳池在房间里显示。")</f>
        <v>游泳池在房间里显示。</v>
      </c>
    </row>
    <row r="17908">
      <c r="A17908" s="4" t="s">
        <v>22539</v>
      </c>
      <c r="B17908" s="4" t="s">
        <v>22541</v>
      </c>
      <c r="C17908" s="5" t="str">
        <f>IFERROR(__xludf.DUMMYFUNCTION("GOOGLETRANSLATE(B17908,""en"",""zh-CN"")"),"男人跳入游泳池和游泳圈。")</f>
        <v>男人跳入游泳池和游泳圈。</v>
      </c>
    </row>
    <row r="17909">
      <c r="A17909" s="4" t="s">
        <v>22542</v>
      </c>
      <c r="B17909" s="4" t="s">
        <v>1251</v>
      </c>
      <c r="C17909" s="5" t="str">
        <f>IFERROR(__xludf.DUMMYFUNCTION("GOOGLETRANSLATE(B17909,""en"",""zh-CN"")"),"显示了剪辑的信用。")</f>
        <v>显示了剪辑的信用。</v>
      </c>
    </row>
    <row r="17910">
      <c r="A17910" s="4" t="s">
        <v>22542</v>
      </c>
      <c r="B17910" s="4" t="s">
        <v>22543</v>
      </c>
      <c r="C17910" s="5" t="str">
        <f>IFERROR(__xludf.DUMMYFUNCTION("GOOGLETRANSLATE(B17910,""en"",""zh-CN"")"),"汽车在与房屋相邻的道路上移动。")</f>
        <v>汽车在与房屋相邻的道路上移动。</v>
      </c>
    </row>
    <row r="17911">
      <c r="A17911" s="4" t="s">
        <v>22542</v>
      </c>
      <c r="B17911" s="4" t="s">
        <v>22544</v>
      </c>
      <c r="C17911" s="5" t="str">
        <f>IFERROR(__xludf.DUMMYFUNCTION("GOOGLETRANSLATE(B17911,""en"",""zh-CN"")"),"一个人正在洗手。")</f>
        <v>一个人正在洗手。</v>
      </c>
    </row>
    <row r="17912">
      <c r="A17912" s="4" t="s">
        <v>22542</v>
      </c>
      <c r="B17912" s="4" t="s">
        <v>22545</v>
      </c>
      <c r="C17912" s="5" t="str">
        <f>IFERROR(__xludf.DUMMYFUNCTION("GOOGLETRANSLATE(B17912,""en"",""zh-CN"")"),"该人正在用真空吸收水和碎屑。")</f>
        <v>该人正在用真空吸收水和碎屑。</v>
      </c>
    </row>
    <row r="17913">
      <c r="A17913" s="4" t="s">
        <v>22542</v>
      </c>
      <c r="B17913" s="4" t="s">
        <v>22546</v>
      </c>
      <c r="C17913" s="5" t="str">
        <f>IFERROR(__xludf.DUMMYFUNCTION("GOOGLETRANSLATE(B17913,""en"",""zh-CN"")"),"一个男人正在画墙，浅蓝色。")</f>
        <v>一个男人正在画墙，浅蓝色。</v>
      </c>
    </row>
    <row r="17914">
      <c r="A17914" s="4" t="s">
        <v>22542</v>
      </c>
      <c r="B17914" s="4" t="s">
        <v>22547</v>
      </c>
      <c r="C17914" s="5" t="str">
        <f>IFERROR(__xludf.DUMMYFUNCTION("GOOGLETRANSLATE(B17914,""en"",""zh-CN"")"),"该男子正在绘画屋顶的墙壁和地板，黑色。")</f>
        <v>该男子正在绘画屋顶的墙壁和地板，黑色。</v>
      </c>
    </row>
    <row r="17915">
      <c r="A17915" s="4" t="s">
        <v>22542</v>
      </c>
      <c r="B17915" s="4" t="s">
        <v>573</v>
      </c>
      <c r="C17915" s="5" t="str">
        <f>IFERROR(__xludf.DUMMYFUNCTION("GOOGLETRANSLATE(B17915,""en"",""zh-CN"")"),"显示了视频的积分。")</f>
        <v>显示了视频的积分。</v>
      </c>
    </row>
    <row r="17916">
      <c r="A17916" s="4" t="s">
        <v>22548</v>
      </c>
      <c r="B17916" s="4" t="s">
        <v>1487</v>
      </c>
      <c r="C17916" s="5" t="str">
        <f>IFERROR(__xludf.DUMMYFUNCTION("GOOGLETRANSLATE(B17916,""en"",""zh-CN"")"),"我们看到一个开放标题屏幕。")</f>
        <v>我们看到一个开放标题屏幕。</v>
      </c>
    </row>
    <row r="17917">
      <c r="A17917" s="4" t="s">
        <v>22548</v>
      </c>
      <c r="B17917" s="4" t="s">
        <v>22549</v>
      </c>
      <c r="C17917" s="5" t="str">
        <f>IFERROR(__xludf.DUMMYFUNCTION("GOOGLETRANSLATE(B17917,""en"",""zh-CN"")"),"一个男人戴着耳机时正在打鼓。")</f>
        <v>一个男人戴着耳机时正在打鼓。</v>
      </c>
    </row>
    <row r="17918">
      <c r="A17918" s="4" t="s">
        <v>22548</v>
      </c>
      <c r="B17918" s="4" t="s">
        <v>22550</v>
      </c>
      <c r="C17918" s="5" t="str">
        <f>IFERROR(__xludf.DUMMYFUNCTION("GOOGLETRANSLATE(B17918,""en"",""zh-CN"")"),"我们看到男人的脚在上角。")</f>
        <v>我们看到男人的脚在上角。</v>
      </c>
    </row>
    <row r="17919">
      <c r="A17919" s="4" t="s">
        <v>22548</v>
      </c>
      <c r="B17919" s="4" t="s">
        <v>22551</v>
      </c>
      <c r="C17919" s="5" t="str">
        <f>IFERROR(__xludf.DUMMYFUNCTION("GOOGLETRANSLATE(B17919,""en"",""zh-CN"")"),"人的脚返回角落。")</f>
        <v>人的脚返回角落。</v>
      </c>
    </row>
    <row r="17920">
      <c r="A17920" s="4" t="s">
        <v>22548</v>
      </c>
      <c r="B17920" s="4" t="s">
        <v>22552</v>
      </c>
      <c r="C17920" s="5" t="str">
        <f>IFERROR(__xludf.DUMMYFUNCTION("GOOGLETRANSLATE(B17920,""en"",""zh-CN"")"),"在返回鼓手之前，我们看到了一场比赛。")</f>
        <v>在返回鼓手之前，我们看到了一场比赛。</v>
      </c>
    </row>
    <row r="17921">
      <c r="A17921" s="4" t="s">
        <v>22548</v>
      </c>
      <c r="B17921" s="4" t="s">
        <v>22553</v>
      </c>
      <c r="C17921" s="5" t="str">
        <f>IFERROR(__xludf.DUMMYFUNCTION("GOOGLETRANSLATE(B17921,""en"",""zh-CN"")"),"我们看到了游戏中的另一个场景。")</f>
        <v>我们看到了游戏中的另一个场景。</v>
      </c>
    </row>
    <row r="17922">
      <c r="A17922" s="4" t="s">
        <v>22548</v>
      </c>
      <c r="B17922" s="4" t="s">
        <v>22554</v>
      </c>
      <c r="C17922" s="5" t="str">
        <f>IFERROR(__xludf.DUMMYFUNCTION("GOOGLETRANSLATE(B17922,""en"",""zh-CN"")"),"该男子扔并抓住了他的一个鼓声。")</f>
        <v>该男子扔并抓住了他的一个鼓声。</v>
      </c>
    </row>
    <row r="17923">
      <c r="A17923" s="4" t="s">
        <v>22548</v>
      </c>
      <c r="B17923" s="4" t="s">
        <v>22555</v>
      </c>
      <c r="C17923" s="5" t="str">
        <f>IFERROR(__xludf.DUMMYFUNCTION("GOOGLETRANSLATE(B17923,""en"",""zh-CN"")"),"我们看到一个带有网站的关闭屏幕。")</f>
        <v>我们看到一个带有网站的关闭屏幕。</v>
      </c>
    </row>
    <row r="17924">
      <c r="A17924" s="4" t="s">
        <v>22556</v>
      </c>
      <c r="B17924" s="6" t="s">
        <v>22557</v>
      </c>
      <c r="C17924" s="5" t="str">
        <f>IFERROR(__xludf.DUMMYFUNCTION("GOOGLETRANSLATE(B17924,""en"",""zh-CN"")"),"观众欢呼时，看到两名男子一起表演两名男子。")</f>
        <v>观众欢呼时，看到两名男子一起表演两名男子。</v>
      </c>
    </row>
    <row r="17925">
      <c r="A17925" s="4" t="s">
        <v>22556</v>
      </c>
      <c r="B17925" s="4" t="s">
        <v>22558</v>
      </c>
      <c r="C17925" s="5" t="str">
        <f>IFERROR(__xludf.DUMMYFUNCTION("GOOGLETRANSLATE(B17925,""en"",""zh-CN"")"),"一个人殴打另一个人，两人举起手臂为加油打气，每个人都在庆祝。")</f>
        <v>一个人殴打另一个人，两人举起手臂为加油打气，每个人都在庆祝。</v>
      </c>
    </row>
    <row r="17926">
      <c r="A17926" s="4" t="s">
        <v>22556</v>
      </c>
      <c r="B17926" s="4" t="s">
        <v>22559</v>
      </c>
      <c r="C17926" s="5" t="str">
        <f>IFERROR(__xludf.DUMMYFUNCTION("GOOGLETRANSLATE(B17926,""en"",""zh-CN"")"),"观众中的一个人看起来令人失望，获胜者却结束了一个男孩。")</f>
        <v>观众中的一个人看起来令人失望，获胜者却结束了一个男孩。</v>
      </c>
    </row>
    <row r="17927">
      <c r="A17927" s="4" t="s">
        <v>22560</v>
      </c>
      <c r="B17927" s="4" t="s">
        <v>22561</v>
      </c>
      <c r="C17927" s="5" t="str">
        <f>IFERROR(__xludf.DUMMYFUNCTION("GOOGLETRANSLATE(B17927,""en"",""zh-CN"")"),"一个人正在挖出西瓜的内部。")</f>
        <v>一个人正在挖出西瓜的内部。</v>
      </c>
    </row>
    <row r="17928">
      <c r="A17928" s="4" t="s">
        <v>22560</v>
      </c>
      <c r="B17928" s="4" t="s">
        <v>22562</v>
      </c>
      <c r="C17928" s="5" t="str">
        <f>IFERROR(__xludf.DUMMYFUNCTION("GOOGLETRANSLATE(B17928,""en"",""zh-CN"")"),"他吃了一块西瓜。")</f>
        <v>他吃了一块西瓜。</v>
      </c>
    </row>
    <row r="17929">
      <c r="A17929" s="4" t="s">
        <v>22560</v>
      </c>
      <c r="B17929" s="4" t="s">
        <v>22563</v>
      </c>
      <c r="C17929" s="5" t="str">
        <f>IFERROR(__xludf.DUMMYFUNCTION("GOOGLETRANSLATE(B17929,""en"",""zh-CN"")"),"他画在西瓜侧。")</f>
        <v>他画在西瓜侧。</v>
      </c>
    </row>
    <row r="17930">
      <c r="A17930" s="4" t="s">
        <v>22560</v>
      </c>
      <c r="B17930" s="4" t="s">
        <v>22564</v>
      </c>
      <c r="C17930" s="5" t="str">
        <f>IFERROR(__xludf.DUMMYFUNCTION("GOOGLETRANSLATE(B17930,""en"",""zh-CN"")"),"他开始切割西瓜的一部分来雕刻它。")</f>
        <v>他开始切割西瓜的一部分来雕刻它。</v>
      </c>
    </row>
    <row r="17931">
      <c r="A17931" s="4" t="s">
        <v>22560</v>
      </c>
      <c r="B17931" s="4" t="s">
        <v>22565</v>
      </c>
      <c r="C17931" s="5" t="str">
        <f>IFERROR(__xludf.DUMMYFUNCTION("GOOGLETRANSLATE(B17931,""en"",""zh-CN"")"),"他拔出一块西瓜皮。")</f>
        <v>他拔出一块西瓜皮。</v>
      </c>
    </row>
    <row r="17932">
      <c r="A17932" s="4" t="s">
        <v>22560</v>
      </c>
      <c r="B17932" s="4" t="s">
        <v>22566</v>
      </c>
      <c r="C17932" s="5" t="str">
        <f>IFERROR(__xludf.DUMMYFUNCTION("GOOGLETRANSLATE(B17932,""en"",""zh-CN"")"),"他继续绘画并切割西瓜。")</f>
        <v>他继续绘画并切割西瓜。</v>
      </c>
    </row>
    <row r="17933">
      <c r="A17933" s="4" t="s">
        <v>22560</v>
      </c>
      <c r="B17933" s="4" t="s">
        <v>22567</v>
      </c>
      <c r="C17933" s="5" t="str">
        <f>IFERROR(__xludf.DUMMYFUNCTION("GOOGLETRANSLATE(B17933,""en"",""zh-CN"")"),"他展示了雕刻的西瓜。")</f>
        <v>他展示了雕刻的西瓜。</v>
      </c>
    </row>
    <row r="17934">
      <c r="A17934" s="4" t="s">
        <v>22560</v>
      </c>
      <c r="B17934" s="4" t="s">
        <v>22568</v>
      </c>
      <c r="C17934" s="5" t="str">
        <f>IFERROR(__xludf.DUMMYFUNCTION("GOOGLETRANSLATE(B17934,""en"",""zh-CN"")"),"灯熄灭，他展示了雕刻的西瓜。")</f>
        <v>灯熄灭，他展示了雕刻的西瓜。</v>
      </c>
    </row>
    <row r="17935">
      <c r="A17935" s="4" t="s">
        <v>22569</v>
      </c>
      <c r="B17935" s="6" t="s">
        <v>22570</v>
      </c>
      <c r="C17935" s="5" t="str">
        <f>IFERROR(__xludf.DUMMYFUNCTION("GOOGLETRANSLATE(B17935,""en"",""zh-CN"")"),"两个女孩旋转双跳绳，而一个穿着黑色裙子的女孩跳了起来，一群观众观看。")</f>
        <v>两个女孩旋转双跳绳，而一个穿着黑色裙子的女孩跳了起来，一群观众观看。</v>
      </c>
    </row>
    <row r="17936">
      <c r="A17936" s="4" t="s">
        <v>22569</v>
      </c>
      <c r="B17936" s="4" t="s">
        <v>22571</v>
      </c>
      <c r="C17936" s="5" t="str">
        <f>IFERROR(__xludf.DUMMYFUNCTION("GOOGLETRANSLATE(B17936,""en"",""zh-CN"")"),"穿着牛仔裤的女孩进入绳索并执行不同的跳跃动作。")</f>
        <v>穿着牛仔裤的女孩进入绳索并执行不同的跳跃动作。</v>
      </c>
    </row>
    <row r="17937">
      <c r="A17937" s="4" t="s">
        <v>22569</v>
      </c>
      <c r="B17937" s="4" t="s">
        <v>22572</v>
      </c>
      <c r="C17937" s="5" t="str">
        <f>IFERROR(__xludf.DUMMYFUNCTION("GOOGLETRANSLATE(B17937,""en"",""zh-CN"")"),"一件蓝色衬衫的女孩进入跳绳，跳跃时执行不同的动作。")</f>
        <v>一件蓝色衬衫的女孩进入跳绳，跳跃时执行不同的动作。</v>
      </c>
    </row>
    <row r="17938">
      <c r="A17938" s="4" t="s">
        <v>22569</v>
      </c>
      <c r="B17938" s="4" t="s">
        <v>22573</v>
      </c>
      <c r="C17938" s="5" t="str">
        <f>IFERROR(__xludf.DUMMYFUNCTION("GOOGLETRANSLATE(B17938,""en"",""zh-CN"")"),"一个女孩进入跳绳越来越快的速度并进行快速跳跃。")</f>
        <v>一个女孩进入跳绳越来越快的速度并进行快速跳跃。</v>
      </c>
    </row>
    <row r="17939">
      <c r="A17939" s="4" t="s">
        <v>22574</v>
      </c>
      <c r="B17939" s="4" t="s">
        <v>22575</v>
      </c>
      <c r="C17939" s="5" t="str">
        <f>IFERROR(__xludf.DUMMYFUNCTION("GOOGLETRANSLATE(B17939,""en"",""zh-CN"")"),"一个穿着大猩猩西装的男人正在商店中间玩萨克斯管。")</f>
        <v>一个穿着大猩猩西装的男人正在商店中间玩萨克斯管。</v>
      </c>
    </row>
    <row r="17940">
      <c r="A17940" s="4" t="s">
        <v>22574</v>
      </c>
      <c r="B17940" s="4" t="s">
        <v>22576</v>
      </c>
      <c r="C17940" s="5" t="str">
        <f>IFERROR(__xludf.DUMMYFUNCTION("GOOGLETRANSLATE(B17940,""en"",""zh-CN"")"),"员工看着并嘲笑玩耍的人，并用手机拍照。")</f>
        <v>员工看着并嘲笑玩耍的人，并用手机拍照。</v>
      </c>
    </row>
    <row r="17941">
      <c r="A17941" s="4" t="s">
        <v>22574</v>
      </c>
      <c r="B17941" s="6" t="s">
        <v>22577</v>
      </c>
      <c r="C17941" s="5" t="str">
        <f>IFERROR(__xludf.DUMMYFUNCTION("GOOGLETRANSLATE(B17941,""en"",""zh-CN"")"),"大猩猩伸出手抓住一只员工的手，这个人对此感到非常尴尬。")</f>
        <v>大猩猩伸出手抓住一只员工的手，这个人对此感到非常尴尬。</v>
      </c>
    </row>
    <row r="17942">
      <c r="A17942" s="4" t="s">
        <v>22574</v>
      </c>
      <c r="B17942" s="4" t="s">
        <v>22578</v>
      </c>
      <c r="C17942" s="5" t="str">
        <f>IFERROR(__xludf.DUMMYFUNCTION("GOOGLETRANSLATE(B17942,""en"",""zh-CN"")"),"他们互相交谈，其他员工开始兴奋地拍手。")</f>
        <v>他们互相交谈，其他员工开始兴奋地拍手。</v>
      </c>
    </row>
    <row r="17943">
      <c r="A17943" s="4" t="s">
        <v>22574</v>
      </c>
      <c r="B17943" s="4" t="s">
        <v>22579</v>
      </c>
      <c r="C17943" s="5" t="str">
        <f>IFERROR(__xludf.DUMMYFUNCTION("GOOGLETRANSLATE(B17943,""en"",""zh-CN"")"),"大猩猩西装男子在每个人仍在笑时扮演萨克斯州。")</f>
        <v>大猩猩西装男子在每个人仍在笑时扮演萨克斯州。</v>
      </c>
    </row>
    <row r="17944">
      <c r="A17944" s="4" t="s">
        <v>22574</v>
      </c>
      <c r="B17944" s="4" t="s">
        <v>22580</v>
      </c>
      <c r="C17944" s="5" t="str">
        <f>IFERROR(__xludf.DUMMYFUNCTION("GOOGLETRANSLATE(B17944,""en"",""zh-CN"")"),"当视频结束时，他播放并播放相机。")</f>
        <v>当视频结束时，他播放并播放相机。</v>
      </c>
    </row>
    <row r="17945">
      <c r="A17945" s="4" t="s">
        <v>22581</v>
      </c>
      <c r="B17945" s="4" t="s">
        <v>22582</v>
      </c>
      <c r="C17945" s="5" t="str">
        <f>IFERROR(__xludf.DUMMYFUNCTION("GOOGLETRANSLATE(B17945,""en"",""zh-CN"")"),"人们在垫子上摔跤。")</f>
        <v>人们在垫子上摔跤。</v>
      </c>
    </row>
    <row r="17946">
      <c r="A17946" s="4" t="s">
        <v>22581</v>
      </c>
      <c r="B17946" s="4" t="s">
        <v>22583</v>
      </c>
      <c r="C17946" s="5" t="str">
        <f>IFERROR(__xludf.DUMMYFUNCTION("GOOGLETRANSLATE(B17946,""en"",""zh-CN"")"),"人们在打鼓。")</f>
        <v>人们在打鼓。</v>
      </c>
    </row>
    <row r="17947">
      <c r="A17947" s="4" t="s">
        <v>22581</v>
      </c>
      <c r="B17947" s="4" t="s">
        <v>22584</v>
      </c>
      <c r="C17947" s="5" t="str">
        <f>IFERROR(__xludf.DUMMYFUNCTION("GOOGLETRANSLATE(B17947,""en"",""zh-CN"")"),"相扑摔跤手正在与相机交谈。")</f>
        <v>相扑摔跤手正在与相机交谈。</v>
      </c>
    </row>
    <row r="17948">
      <c r="A17948" s="4" t="s">
        <v>22585</v>
      </c>
      <c r="B17948" s="4" t="s">
        <v>22586</v>
      </c>
      <c r="C17948" s="5" t="str">
        <f>IFERROR(__xludf.DUMMYFUNCTION("GOOGLETRANSLATE(B17948,""en"",""zh-CN"")"),"看到一小群人在保险杠上骑车，互相撞倒。")</f>
        <v>看到一小群人在保险杠上骑车，互相撞倒。</v>
      </c>
    </row>
    <row r="17949">
      <c r="A17949" s="4" t="s">
        <v>22585</v>
      </c>
      <c r="B17949" s="4" t="s">
        <v>22587</v>
      </c>
      <c r="C17949" s="5" t="str">
        <f>IFERROR(__xludf.DUMMYFUNCTION("GOOGLETRANSLATE(B17949,""en"",""zh-CN"")"),"该小组继续开车并彼此通过。")</f>
        <v>该小组继续开车并彼此通过。</v>
      </c>
    </row>
    <row r="17950">
      <c r="A17950" s="4" t="s">
        <v>22585</v>
      </c>
      <c r="B17950" s="4" t="s">
        <v>22588</v>
      </c>
      <c r="C17950" s="5" t="str">
        <f>IFERROR(__xludf.DUMMYFUNCTION("GOOGLETRANSLATE(B17950,""en"",""zh-CN"")"),"人们继续开车并互相穿过。")</f>
        <v>人们继续开车并互相穿过。</v>
      </c>
    </row>
    <row r="17951">
      <c r="A17951" s="4" t="s">
        <v>22589</v>
      </c>
      <c r="B17951" s="6" t="s">
        <v>22590</v>
      </c>
      <c r="C17951" s="5" t="str">
        <f>IFERROR(__xludf.DUMMYFUNCTION("GOOGLETRANSLATE(B17951,""en"",""zh-CN"")"),"一个十几岁的男孩和他的母亲坐在床上穿着非常轻松的衣服，谈论如何包裹礼物。")</f>
        <v>一个十几岁的男孩和他的母亲坐在床上穿着非常轻松的衣服，谈论如何包裹礼物。</v>
      </c>
    </row>
    <row r="17952">
      <c r="A17952" s="4" t="s">
        <v>22589</v>
      </c>
      <c r="B17952" s="6" t="s">
        <v>22591</v>
      </c>
      <c r="C17952" s="5" t="str">
        <f>IFERROR(__xludf.DUMMYFUNCTION("GOOGLETRANSLATE(B17952,""en"",""zh-CN"")"),"他在手机上跟踪侧面，然后重新开始营业，他们开始切割包装纸。")</f>
        <v>他在手机上跟踪侧面，然后重新开始营业，他们开始切割包装纸。</v>
      </c>
    </row>
    <row r="17953">
      <c r="A17953" s="4" t="s">
        <v>22589</v>
      </c>
      <c r="B17953" s="4" t="s">
        <v>22592</v>
      </c>
      <c r="C17953" s="5" t="str">
        <f>IFERROR(__xludf.DUMMYFUNCTION("GOOGLETRANSLATE(B17953,""en"",""zh-CN"")"),"他们将礼物放在纸的中间，并尝试开始包装。")</f>
        <v>他们将礼物放在纸的中间，并尝试开始包装。</v>
      </c>
    </row>
    <row r="17954">
      <c r="A17954" s="4" t="s">
        <v>22589</v>
      </c>
      <c r="B17954" s="6" t="s">
        <v>22593</v>
      </c>
      <c r="C17954" s="5" t="str">
        <f>IFERROR(__xludf.DUMMYFUNCTION("GOOGLETRANSLATE(B17954,""en"",""zh-CN"")"),"随着儿子的完成速度，他们似乎拥有不同的技术，而妈妈的表现好多了。")</f>
        <v>随着儿子的完成速度，他们似乎拥有不同的技术，而妈妈的表现好多了。</v>
      </c>
    </row>
    <row r="17955">
      <c r="A17955" s="4" t="s">
        <v>22594</v>
      </c>
      <c r="B17955" s="4" t="s">
        <v>22595</v>
      </c>
      <c r="C17955" s="5" t="str">
        <f>IFERROR(__xludf.DUMMYFUNCTION("GOOGLETRANSLATE(B17955,""en"",""zh-CN"")"),"一个女人在马stable里，有一匹白马。")</f>
        <v>一个女人在马stable里，有一匹白马。</v>
      </c>
    </row>
    <row r="17956">
      <c r="A17956" s="4" t="s">
        <v>22594</v>
      </c>
      <c r="B17956" s="4" t="s">
        <v>22596</v>
      </c>
      <c r="C17956" s="5" t="str">
        <f>IFERROR(__xludf.DUMMYFUNCTION("GOOGLETRANSLATE(B17956,""en"",""zh-CN"")"),"她展示了刷子和美容用品的集合。")</f>
        <v>她展示了刷子和美容用品的集合。</v>
      </c>
    </row>
    <row r="17957">
      <c r="A17957" s="4" t="s">
        <v>22594</v>
      </c>
      <c r="B17957" s="4" t="s">
        <v>22597</v>
      </c>
      <c r="C17957" s="5" t="str">
        <f>IFERROR(__xludf.DUMMYFUNCTION("GOOGLETRANSLATE(B17957,""en"",""zh-CN"")"),"她说话时，她宠爱了马，并试图让他保持镇定。")</f>
        <v>她说话时，她宠爱了马，并试图让他保持镇定。</v>
      </c>
    </row>
    <row r="17958">
      <c r="A17958" s="4" t="s">
        <v>22594</v>
      </c>
      <c r="B17958" s="4" t="s">
        <v>22598</v>
      </c>
      <c r="C17958" s="5" t="str">
        <f>IFERROR(__xludf.DUMMYFUNCTION("GOOGLETRANSLATE(B17958,""en"",""zh-CN"")"),"她用刷子彻底修饰他，然后清洁蹄。")</f>
        <v>她用刷子彻底修饰他，然后清洁蹄。</v>
      </c>
    </row>
    <row r="17959">
      <c r="A17959" s="4" t="s">
        <v>22599</v>
      </c>
      <c r="B17959" s="6" t="s">
        <v>22600</v>
      </c>
      <c r="C17959" s="5" t="str">
        <f>IFERROR(__xludf.DUMMYFUNCTION("GOOGLETRANSLATE(B17959,""en"",""zh-CN"")"),"看到一小群人坐在扑克桌旁，一个女人在前面打交道。")</f>
        <v>看到一小群人坐在扑克桌旁，一个女人在前面打交道。</v>
      </c>
    </row>
    <row r="17960">
      <c r="A17960" s="4" t="s">
        <v>22599</v>
      </c>
      <c r="B17960" s="4" t="s">
        <v>22601</v>
      </c>
      <c r="C17960" s="5" t="str">
        <f>IFERROR(__xludf.DUMMYFUNCTION("GOOGLETRANSLATE(B17960,""en"",""zh-CN"")"),"女人在将卡片和筹码放在中间时向人们交易。")</f>
        <v>女人在将卡片和筹码放在中间时向人们交易。</v>
      </c>
    </row>
    <row r="17961">
      <c r="A17961" s="4" t="s">
        <v>22599</v>
      </c>
      <c r="B17961" s="4" t="s">
        <v>22602</v>
      </c>
      <c r="C17961" s="5" t="str">
        <f>IFERROR(__xludf.DUMMYFUNCTION("GOOGLETRANSLATE(B17961,""en"",""zh-CN"")"),"经销商继续与人一起玩，并远距离远距离观察。")</f>
        <v>经销商继续与人一起玩，并远距离远距离观察。</v>
      </c>
    </row>
    <row r="17962">
      <c r="A17962" s="4" t="s">
        <v>22603</v>
      </c>
      <c r="B17962" s="4" t="s">
        <v>22604</v>
      </c>
      <c r="C17962" s="5" t="str">
        <f>IFERROR(__xludf.DUMMYFUNCTION("GOOGLETRANSLATE(B17962,""en"",""zh-CN"")"),"我们看到一个动画开幕场景。")</f>
        <v>我们看到一个动画开幕场景。</v>
      </c>
    </row>
    <row r="17963">
      <c r="A17963" s="4" t="s">
        <v>22603</v>
      </c>
      <c r="B17963" s="4" t="s">
        <v>22605</v>
      </c>
      <c r="C17963" s="5" t="str">
        <f>IFERROR(__xludf.DUMMYFUNCTION("GOOGLETRANSLATE(B17963,""en"",""zh-CN"")"),"我们看到人跑了一根杆子，然后跳高。")</f>
        <v>我们看到人跑了一根杆子，然后跳高。</v>
      </c>
    </row>
    <row r="17964">
      <c r="A17964" s="4" t="s">
        <v>22603</v>
      </c>
      <c r="B17964" s="4" t="s">
        <v>22606</v>
      </c>
      <c r="C17964" s="5" t="str">
        <f>IFERROR(__xludf.DUMMYFUNCTION("GOOGLETRANSLATE(B17964,""en"",""zh-CN"")"),"该名男子击倒杆子，失望。")</f>
        <v>该名男子击倒杆子，失望。</v>
      </c>
    </row>
    <row r="17965">
      <c r="A17965" s="4" t="s">
        <v>22603</v>
      </c>
      <c r="B17965" s="4" t="s">
        <v>22607</v>
      </c>
      <c r="C17965" s="5" t="str">
        <f>IFERROR(__xludf.DUMMYFUNCTION("GOOGLETRANSLATE(B17965,""en"",""zh-CN"")"),"我们看到那个男人握着他的杆子，使他的第二次尝试撞倒了杆子。")</f>
        <v>我们看到那个男人握着他的杆子，使他的第二次尝试撞倒了杆子。</v>
      </c>
    </row>
    <row r="17966">
      <c r="A17966" s="4" t="s">
        <v>22603</v>
      </c>
      <c r="B17966" s="4" t="s">
        <v>22608</v>
      </c>
      <c r="C17966" s="5" t="str">
        <f>IFERROR(__xludf.DUMMYFUNCTION("GOOGLETRANSLATE(B17966,""en"",""zh-CN"")"),"该男子第三次尝试，杆子停留。")</f>
        <v>该男子第三次尝试，杆子停留。</v>
      </c>
    </row>
    <row r="17967">
      <c r="A17967" s="4" t="s">
        <v>22603</v>
      </c>
      <c r="B17967" s="4" t="s">
        <v>22609</v>
      </c>
      <c r="C17967" s="5" t="str">
        <f>IFERROR(__xludf.DUMMYFUNCTION("GOOGLETRANSLATE(B17967,""en"",""zh-CN"")"),"该男子举起双臂。")</f>
        <v>该男子举起双臂。</v>
      </c>
    </row>
    <row r="17968">
      <c r="A17968" s="4" t="s">
        <v>22603</v>
      </c>
      <c r="B17968" s="4" t="s">
        <v>22610</v>
      </c>
      <c r="C17968" s="5" t="str">
        <f>IFERROR(__xludf.DUMMYFUNCTION("GOOGLETRANSLATE(B17968,""en"",""zh-CN"")"),"然后，我们再次看到尝试1,2和3。")</f>
        <v>然后，我们再次看到尝试1,2和3。</v>
      </c>
    </row>
    <row r="17969">
      <c r="A17969" s="4" t="s">
        <v>22603</v>
      </c>
      <c r="B17969" s="4" t="s">
        <v>22611</v>
      </c>
      <c r="C17969" s="5" t="str">
        <f>IFERROR(__xludf.DUMMYFUNCTION("GOOGLETRANSLATE(B17969,""en"",""zh-CN"")"),"该男子向人群举起双臂。")</f>
        <v>该男子向人群举起双臂。</v>
      </c>
    </row>
    <row r="17970">
      <c r="A17970" s="4" t="s">
        <v>22603</v>
      </c>
      <c r="B17970" s="4" t="s">
        <v>22612</v>
      </c>
      <c r="C17970" s="5" t="str">
        <f>IFERROR(__xludf.DUMMYFUNCTION("GOOGLETRANSLATE(B17970,""en"",""zh-CN"")"),"那个人将手臂扔在空中，跌落在地面上。")</f>
        <v>那个人将手臂扔在空中，跌落在地面上。</v>
      </c>
    </row>
    <row r="17971">
      <c r="A17971" s="4" t="s">
        <v>22613</v>
      </c>
      <c r="B17971" s="4" t="s">
        <v>22614</v>
      </c>
      <c r="C17971" s="5" t="str">
        <f>IFERROR(__xludf.DUMMYFUNCTION("GOOGLETRANSLATE(B17971,""en"",""zh-CN"")"),"穿着黑色衬衫的男人坐下来打鼓。")</f>
        <v>穿着黑色衬衫的男人坐下来打鼓。</v>
      </c>
    </row>
    <row r="17972">
      <c r="A17972" s="4" t="s">
        <v>22613</v>
      </c>
      <c r="B17972" s="4" t="s">
        <v>22615</v>
      </c>
      <c r="C17972" s="5" t="str">
        <f>IFERROR(__xludf.DUMMYFUNCTION("GOOGLETRANSLATE(B17972,""en"",""zh-CN"")"),"他停止演奏并开始进入麦克风。")</f>
        <v>他停止演奏并开始进入麦克风。</v>
      </c>
    </row>
    <row r="17973">
      <c r="A17973" s="4" t="s">
        <v>22616</v>
      </c>
      <c r="B17973" s="4" t="s">
        <v>22617</v>
      </c>
      <c r="C17973" s="5" t="str">
        <f>IFERROR(__xludf.DUMMYFUNCTION("GOOGLETRANSLATE(B17973,""en"",""zh-CN"")"),"一个男人在一场大暴风雪中铲下车道的雪。")</f>
        <v>一个男人在一场大暴风雪中铲下车道的雪。</v>
      </c>
    </row>
    <row r="17974">
      <c r="A17974" s="4" t="s">
        <v>22616</v>
      </c>
      <c r="B17974" s="4" t="s">
        <v>22618</v>
      </c>
      <c r="C17974" s="5" t="str">
        <f>IFERROR(__xludf.DUMMYFUNCTION("GOOGLETRANSLATE(B17974,""en"",""zh-CN"")"),"他穿着冬季衣服，完全盖好。")</f>
        <v>他穿着冬季衣服，完全盖好。</v>
      </c>
    </row>
    <row r="17975">
      <c r="A17975" s="4" t="s">
        <v>22616</v>
      </c>
      <c r="B17975" s="6" t="s">
        <v>22619</v>
      </c>
      <c r="C17975" s="5" t="str">
        <f>IFERROR(__xludf.DUMMYFUNCTION("GOOGLETRANSLATE(B17975,""en"",""zh-CN"")"),"另一个男人还在房子的人行道上铲雪，没有穿任何冬季装备。")</f>
        <v>另一个男人还在房子的人行道上铲雪，没有穿任何冬季装备。</v>
      </c>
    </row>
    <row r="17976">
      <c r="A17976" s="4" t="s">
        <v>22616</v>
      </c>
      <c r="B17976" s="4" t="s">
        <v>22620</v>
      </c>
      <c r="C17976" s="5" t="str">
        <f>IFERROR(__xludf.DUMMYFUNCTION("GOOGLETRANSLATE(B17976,""en"",""zh-CN"")"),"他们俩都继续铲子并清洁沉雪中的雪。")</f>
        <v>他们俩都继续铲子并清洁沉雪中的雪。</v>
      </c>
    </row>
    <row r="17977">
      <c r="A17977" s="4" t="s">
        <v>22621</v>
      </c>
      <c r="B17977" s="4" t="s">
        <v>22622</v>
      </c>
      <c r="C17977" s="5" t="str">
        <f>IFERROR(__xludf.DUMMYFUNCTION("GOOGLETRANSLATE(B17977,""en"",""zh-CN"")"),"一个女人坐在覆盖有包装用品的桌子前。")</f>
        <v>一个女人坐在覆盖有包装用品的桌子前。</v>
      </c>
    </row>
    <row r="17978">
      <c r="A17978" s="4" t="s">
        <v>22621</v>
      </c>
      <c r="B17978" s="4" t="s">
        <v>22623</v>
      </c>
      <c r="C17978" s="5" t="str">
        <f>IFERROR(__xludf.DUMMYFUNCTION("GOOGLETRANSLATE(B17978,""en"",""zh-CN"")"),"她炫耀一个装满礼物的杯子。")</f>
        <v>她炫耀一个装满礼物的杯子。</v>
      </c>
    </row>
    <row r="17979">
      <c r="A17979" s="4" t="s">
        <v>22621</v>
      </c>
      <c r="B17979" s="4" t="s">
        <v>22624</v>
      </c>
      <c r="C17979" s="5" t="str">
        <f>IFERROR(__xludf.DUMMYFUNCTION("GOOGLETRANSLATE(B17979,""en"",""zh-CN"")"),"她将其放在切割的玻璃纸中，将其包裹在现在。")</f>
        <v>她将其放在切割的玻璃纸中，将其包裹在现在。</v>
      </c>
    </row>
    <row r="17980">
      <c r="A17980" s="4" t="s">
        <v>22621</v>
      </c>
      <c r="B17980" s="4" t="s">
        <v>22625</v>
      </c>
      <c r="C17980" s="5" t="str">
        <f>IFERROR(__xludf.DUMMYFUNCTION("GOOGLETRANSLATE(B17980,""en"",""zh-CN"")"),"然后，她用五颜六色的丝带将其绑起来。")</f>
        <v>然后，她用五颜六色的丝带将其绑起来。</v>
      </c>
    </row>
    <row r="17981">
      <c r="A17981" s="4" t="s">
        <v>22626</v>
      </c>
      <c r="B17981" s="4" t="s">
        <v>22627</v>
      </c>
      <c r="C17981" s="5" t="str">
        <f>IFERROR(__xludf.DUMMYFUNCTION("GOOGLETRANSLATE(B17981,""en"",""zh-CN"")"),"展示了一名男运动员，他四处旋转并扔了铁饼。")</f>
        <v>展示了一名男运动员，他四处旋转并扔了铁饼。</v>
      </c>
    </row>
    <row r="17982">
      <c r="A17982" s="4" t="s">
        <v>22626</v>
      </c>
      <c r="B17982" s="4" t="s">
        <v>22628</v>
      </c>
      <c r="C17982" s="5" t="str">
        <f>IFERROR(__xludf.DUMMYFUNCTION("GOOGLETRANSLATE(B17982,""en"",""zh-CN"")"),"完成后，两个人急忙测量距离。")</f>
        <v>完成后，两个人急忙测量距离。</v>
      </c>
    </row>
    <row r="17983">
      <c r="A17983" s="4" t="s">
        <v>22626</v>
      </c>
      <c r="B17983" s="4" t="s">
        <v>22629</v>
      </c>
      <c r="C17983" s="5" t="str">
        <f>IFERROR(__xludf.DUMMYFUNCTION("GOOGLETRANSLATE(B17983,""en"",""zh-CN"")"),"然后继续进行序列，并显示其他男人扔进铁饼。")</f>
        <v>然后继续进行序列，并显示其他男人扔进铁饼。</v>
      </c>
    </row>
    <row r="17984">
      <c r="A17984" s="4" t="s">
        <v>22630</v>
      </c>
      <c r="B17984" s="4" t="s">
        <v>22631</v>
      </c>
      <c r="C17984" s="5" t="str">
        <f>IFERROR(__xludf.DUMMYFUNCTION("GOOGLETRANSLATE(B17984,""en"",""zh-CN"")"),"看到一个人在快速运动中四处移动时，将割草机推到院子里。")</f>
        <v>看到一个人在快速运动中四处移动时，将割草机推到院子里。</v>
      </c>
    </row>
    <row r="17985">
      <c r="A17985" s="4" t="s">
        <v>22630</v>
      </c>
      <c r="B17985" s="4" t="s">
        <v>22632</v>
      </c>
      <c r="C17985" s="5" t="str">
        <f>IFERROR(__xludf.DUMMYFUNCTION("GOOGLETRANSLATE(B17985,""en"",""zh-CN"")"),"该人继续四处走动以割草，相机捕捉了他的动作。")</f>
        <v>该人继续四处走动以割草，相机捕捉了他的动作。</v>
      </c>
    </row>
    <row r="17986">
      <c r="A17986" s="4" t="s">
        <v>22633</v>
      </c>
      <c r="B17986" s="6" t="s">
        <v>22634</v>
      </c>
      <c r="C17986" s="5" t="str">
        <f>IFERROR(__xludf.DUMMYFUNCTION("GOOGLETRANSLATE(B17986,""en"",""zh-CN"")"),"看到一个人抓住一个保龄球，缠绕他的手臂，而其他人则在他周围打保龄球。")</f>
        <v>看到一个人抓住一个保龄球，缠绕他的手臂，而其他人则在他周围打保龄球。</v>
      </c>
    </row>
    <row r="17987">
      <c r="A17987" s="4" t="s">
        <v>22633</v>
      </c>
      <c r="B17987" s="4" t="s">
        <v>22635</v>
      </c>
      <c r="C17987" s="5" t="str">
        <f>IFERROR(__xludf.DUMMYFUNCTION("GOOGLETRANSLATE(B17987,""en"",""zh-CN"")"),"该男子扔球，撞到几根销钉，并在相机上欢呼。")</f>
        <v>该男子扔球，撞到几根销钉，并在相机上欢呼。</v>
      </c>
    </row>
    <row r="17988">
      <c r="A17988" s="4" t="s">
        <v>22636</v>
      </c>
      <c r="B17988" s="4" t="s">
        <v>22637</v>
      </c>
      <c r="C17988" s="5" t="str">
        <f>IFERROR(__xludf.DUMMYFUNCTION("GOOGLETRANSLATE(B17988,""en"",""zh-CN"")"),"一个年轻人坐在有氧运动机上。")</f>
        <v>一个年轻人坐在有氧运动机上。</v>
      </c>
    </row>
    <row r="17989">
      <c r="A17989" s="4" t="s">
        <v>22636</v>
      </c>
      <c r="B17989" s="4" t="s">
        <v>22638</v>
      </c>
      <c r="C17989" s="5" t="str">
        <f>IFERROR(__xludf.DUMMYFUNCTION("GOOGLETRANSLATE(B17989,""en"",""zh-CN"")"),"然后，该人抓住机器的手柄。")</f>
        <v>然后，该人抓住机器的手柄。</v>
      </c>
    </row>
    <row r="17990">
      <c r="A17990" s="4" t="s">
        <v>22636</v>
      </c>
      <c r="B17990" s="4" t="s">
        <v>22639</v>
      </c>
      <c r="C17990" s="5" t="str">
        <f>IFERROR(__xludf.DUMMYFUNCTION("GOOGLETRANSLATE(B17990,""en"",""zh-CN"")"),"之后，该男子将La Machine的手柄拉动进行腹肌。")</f>
        <v>之后，该男子将La Machine的手柄拉动进行腹肌。</v>
      </c>
    </row>
    <row r="17991">
      <c r="A17991" s="4" t="s">
        <v>22640</v>
      </c>
      <c r="B17991" s="4" t="s">
        <v>22641</v>
      </c>
      <c r="C17991" s="5" t="str">
        <f>IFERROR(__xludf.DUMMYFUNCTION("GOOGLETRANSLATE(B17991,""en"",""zh-CN"")"),"一个新闻人在斗牛犬小狗的形象面前谈论。")</f>
        <v>一个新闻人在斗牛犬小狗的形象面前谈论。</v>
      </c>
    </row>
    <row r="17992">
      <c r="A17992" s="4" t="s">
        <v>22640</v>
      </c>
      <c r="B17992" s="4" t="s">
        <v>22642</v>
      </c>
      <c r="C17992" s="5" t="str">
        <f>IFERROR(__xludf.DUMMYFUNCTION("GOOGLETRANSLATE(B17992,""en"",""zh-CN"")"),"门向商店开放，其中包括从事不同项目的人们的各种图像。")</f>
        <v>门向商店开放，其中包括从事不同项目的人们的各种图像。</v>
      </c>
    </row>
    <row r="17993">
      <c r="A17993" s="4" t="s">
        <v>22640</v>
      </c>
      <c r="B17993" s="4" t="s">
        <v>22643</v>
      </c>
      <c r="C17993" s="5" t="str">
        <f>IFERROR(__xludf.DUMMYFUNCTION("GOOGLETRANSLATE(B17993,""en"",""zh-CN"")"),"一个男人展示了他是如何为狗买的妓女腿。")</f>
        <v>一个男人展示了他是如何为狗买的妓女腿。</v>
      </c>
    </row>
    <row r="17994">
      <c r="A17994" s="4" t="s">
        <v>22640</v>
      </c>
      <c r="B17994" s="4" t="s">
        <v>22644</v>
      </c>
      <c r="C17994" s="5" t="str">
        <f>IFERROR(__xludf.DUMMYFUNCTION("GOOGLETRANSLATE(B17994,""en"",""zh-CN"")"),"狗在愈合后用新的腿显示出狗。")</f>
        <v>狗在愈合后用新的腿显示出狗。</v>
      </c>
    </row>
    <row r="17995">
      <c r="A17995" s="4" t="s">
        <v>22640</v>
      </c>
      <c r="B17995" s="4" t="s">
        <v>22645</v>
      </c>
      <c r="C17995" s="5" t="str">
        <f>IFERROR(__xludf.DUMMYFUNCTION("GOOGLETRANSLATE(B17995,""en"",""zh-CN"")"),"在最后的场景中，狗和一只牵引的宠物猪一起行走。")</f>
        <v>在最后的场景中，狗和一只牵引的宠物猪一起行走。</v>
      </c>
    </row>
    <row r="17996">
      <c r="A17996" s="4" t="s">
        <v>22646</v>
      </c>
      <c r="B17996" s="4" t="s">
        <v>22647</v>
      </c>
      <c r="C17996" s="5" t="str">
        <f>IFERROR(__xludf.DUMMYFUNCTION("GOOGLETRANSLATE(B17996,""en"",""zh-CN"")"),"出现标题屏幕，然后几段开始在屏幕上滚动。")</f>
        <v>出现标题屏幕，然后几段开始在屏幕上滚动。</v>
      </c>
    </row>
    <row r="17997">
      <c r="A17997" s="4" t="s">
        <v>22646</v>
      </c>
      <c r="B17997" s="4" t="s">
        <v>22648</v>
      </c>
      <c r="C17997" s="5" t="str">
        <f>IFERROR(__xludf.DUMMYFUNCTION("GOOGLETRANSLATE(B17997,""en"",""zh-CN"")"),"接下来，一个穿着西装的平均大小卷发的男人开始说话。")</f>
        <v>接下来，一个穿着西装的平均大小卷发的男人开始说话。</v>
      </c>
    </row>
    <row r="17998">
      <c r="A17998" s="4" t="s">
        <v>22646</v>
      </c>
      <c r="B17998" s="6" t="s">
        <v>22649</v>
      </c>
      <c r="C17998" s="5" t="str">
        <f>IFERROR(__xludf.DUMMYFUNCTION("GOOGLETRANSLATE(B17998,""en"",""zh-CN"")"),"当他结束时，一个男人在夜间电视节目中播放萨克斯管，然后男人回来说话。")</f>
        <v>当他结束时，一个男人在夜间电视节目中播放萨克斯管，然后男人回来说话。</v>
      </c>
    </row>
    <row r="17999">
      <c r="A17999" s="4" t="s">
        <v>22650</v>
      </c>
      <c r="B17999" s="6" t="s">
        <v>22651</v>
      </c>
      <c r="C17999" s="5" t="str">
        <f>IFERROR(__xludf.DUMMYFUNCTION("GOOGLETRANSLATE(B17999,""en"",""zh-CN"")"),"该男子站在站在一个紧密的扁平缎带上时，他的脚向相机弹跳，该丝带与两个非常高的岩壁相连。")</f>
        <v>该男子站在站在一个紧密的扁平缎带上时，他的脚向相机弹跳，该丝带与两个非常高的岩壁相连。</v>
      </c>
    </row>
    <row r="18000">
      <c r="A18000" s="4" t="s">
        <v>22650</v>
      </c>
      <c r="B18000" s="6" t="s">
        <v>22652</v>
      </c>
      <c r="C18000" s="5" t="str">
        <f>IFERROR(__xludf.DUMMYFUNCTION("GOOGLETRANSLATE(B18000,""en"",""zh-CN"")"),"然后，那个男人转过身，开始在他的背面弹跳，然后在握住并放开缎带的同时来回伸向他的脚和背面。")</f>
        <v>然后，那个男人转过身，开始在他的背面弹跳，然后在握住并放开缎带的同时来回伸向他的脚和背面。</v>
      </c>
    </row>
    <row r="18001">
      <c r="A18001" s="4" t="s">
        <v>22650</v>
      </c>
      <c r="B18001" s="6" t="s">
        <v>22653</v>
      </c>
      <c r="C18001" s="5" t="str">
        <f>IFERROR(__xludf.DUMMYFUNCTION("GOOGLETRANSLATE(B18001,""en"",""zh-CN"")"),"该男子继续在紧身的丝带上做技巧，直到他从缎带上脱下来，走开微笑。")</f>
        <v>该男子继续在紧身的丝带上做技巧，直到他从缎带上脱下来，走开微笑。</v>
      </c>
    </row>
    <row r="18002">
      <c r="A18002" s="4" t="s">
        <v>22654</v>
      </c>
      <c r="B18002" s="4" t="s">
        <v>22655</v>
      </c>
      <c r="C18002" s="5" t="str">
        <f>IFERROR(__xludf.DUMMYFUNCTION("GOOGLETRANSLATE(B18002,""en"",""zh-CN"")"),"介绍出现在屏幕上，以获取有关体育比赛的视频。")</f>
        <v>介绍出现在屏幕上，以获取有关体育比赛的视频。</v>
      </c>
    </row>
    <row r="18003">
      <c r="A18003" s="4" t="s">
        <v>22654</v>
      </c>
      <c r="B18003" s="4" t="s">
        <v>22656</v>
      </c>
      <c r="C18003" s="5" t="str">
        <f>IFERROR(__xludf.DUMMYFUNCTION("GOOGLETRANSLATE(B18003,""en"",""zh-CN"")"),"一名妇女正在采访另一个女人，讨论比赛和所有活动。")</f>
        <v>一名妇女正在采访另一个女人，讨论比赛和所有活动。</v>
      </c>
    </row>
    <row r="18004">
      <c r="A18004" s="4" t="s">
        <v>22654</v>
      </c>
      <c r="B18004" s="4" t="s">
        <v>22657</v>
      </c>
      <c r="C18004" s="5" t="str">
        <f>IFERROR(__xludf.DUMMYFUNCTION("GOOGLETRANSLATE(B18004,""en"",""zh-CN"")"),"有几个剪辑显示了享受不同运动和活动的人们。")</f>
        <v>有几个剪辑显示了享受不同运动和活动的人们。</v>
      </c>
    </row>
    <row r="18005">
      <c r="A18005" s="4" t="s">
        <v>22654</v>
      </c>
      <c r="B18005" s="4" t="s">
        <v>22658</v>
      </c>
      <c r="C18005" s="5" t="str">
        <f>IFERROR(__xludf.DUMMYFUNCTION("GOOGLETRANSLATE(B18005,""en"",""zh-CN"")"),"访谈结束后，通过图形显示结束信用。")</f>
        <v>访谈结束后，通过图形显示结束信用。</v>
      </c>
    </row>
    <row r="18006">
      <c r="A18006" s="4" t="s">
        <v>22659</v>
      </c>
      <c r="B18006" s="4" t="s">
        <v>22660</v>
      </c>
      <c r="C18006" s="5" t="str">
        <f>IFERROR(__xludf.DUMMYFUNCTION("GOOGLETRANSLATE(B18006,""en"",""zh-CN"")"),"骑马的牛仔驶出大门。")</f>
        <v>骑马的牛仔驶出大门。</v>
      </c>
    </row>
    <row r="18007">
      <c r="A18007" s="4" t="s">
        <v>22659</v>
      </c>
      <c r="B18007" s="4" t="s">
        <v>22661</v>
      </c>
      <c r="C18007" s="5" t="str">
        <f>IFERROR(__xludf.DUMMYFUNCTION("GOOGLETRANSLATE(B18007,""en"",""zh-CN"")"),"他用套索绳子。")</f>
        <v>他用套索绳子。</v>
      </c>
    </row>
    <row r="18008">
      <c r="A18008" s="4" t="s">
        <v>22659</v>
      </c>
      <c r="B18008" s="4" t="s">
        <v>22662</v>
      </c>
      <c r="C18008" s="5" t="str">
        <f>IFERROR(__xludf.DUMMYFUNCTION("GOOGLETRANSLATE(B18008,""en"",""zh-CN"")"),"他跳下来并绑着小牛。")</f>
        <v>他跳下来并绑着小牛。</v>
      </c>
    </row>
    <row r="18009">
      <c r="A18009" s="4" t="s">
        <v>22663</v>
      </c>
      <c r="B18009" s="4" t="s">
        <v>22664</v>
      </c>
      <c r="C18009" s="5" t="str">
        <f>IFERROR(__xludf.DUMMYFUNCTION("GOOGLETRANSLATE(B18009,""en"",""zh-CN"")"),"一个提示球在桌子上慢慢远离口袋。")</f>
        <v>一个提示球在桌子上慢慢远离口袋。</v>
      </c>
    </row>
    <row r="18010">
      <c r="A18010" s="4" t="s">
        <v>22663</v>
      </c>
      <c r="B18010" s="4" t="s">
        <v>22665</v>
      </c>
      <c r="C18010" s="5" t="str">
        <f>IFERROR(__xludf.DUMMYFUNCTION("GOOGLETRANSLATE(B18010,""en"",""zh-CN"")"),"一个人站着举行触摸屏讨论。")</f>
        <v>一个人站着举行触摸屏讨论。</v>
      </c>
    </row>
    <row r="18011">
      <c r="A18011" s="4" t="s">
        <v>22663</v>
      </c>
      <c r="B18011" s="4" t="s">
        <v>22666</v>
      </c>
      <c r="C18011" s="5" t="str">
        <f>IFERROR(__xludf.DUMMYFUNCTION("GOOGLETRANSLATE(B18011,""en"",""zh-CN"")"),"男人竞争并玩台球游戏。")</f>
        <v>男人竞争并玩台球游戏。</v>
      </c>
    </row>
    <row r="18012">
      <c r="A18012" s="4" t="s">
        <v>22667</v>
      </c>
      <c r="B18012" s="6" t="s">
        <v>22668</v>
      </c>
      <c r="C18012" s="5" t="str">
        <f>IFERROR(__xludf.DUMMYFUNCTION("GOOGLETRANSLATE(B18012,""en"",""zh-CN"")"),"显示了一条戴着红色和白线的蓝色裤子的腿，它在雪上移动，腿在雪地上移动时交叉。")</f>
        <v>显示了一条戴着红色和白线的蓝色裤子的腿，它在雪上移动，腿在雪地上移动时交叉。</v>
      </c>
    </row>
    <row r="18013">
      <c r="A18013" s="4" t="s">
        <v>22667</v>
      </c>
      <c r="B18013" s="4" t="s">
        <v>22669</v>
      </c>
      <c r="C18013" s="5" t="str">
        <f>IFERROR(__xludf.DUMMYFUNCTION("GOOGLETRANSLATE(B18013,""en"",""zh-CN"")"),"来自远处的人正在救生员滑行。")</f>
        <v>来自远处的人正在救生员滑行。</v>
      </c>
    </row>
    <row r="18014">
      <c r="A18014" s="4" t="s">
        <v>22670</v>
      </c>
      <c r="B18014" s="4" t="s">
        <v>22671</v>
      </c>
      <c r="C18014" s="5" t="str">
        <f>IFERROR(__xludf.DUMMYFUNCTION("GOOGLETRANSLATE(B18014,""en"",""zh-CN"")"),"一个小女孩在操场上的猴子酒吧摆动。")</f>
        <v>一个小女孩在操场上的猴子酒吧摆动。</v>
      </c>
    </row>
    <row r="18015">
      <c r="A18015" s="4" t="s">
        <v>22670</v>
      </c>
      <c r="B18015" s="4" t="s">
        <v>22672</v>
      </c>
      <c r="C18015" s="5" t="str">
        <f>IFERROR(__xludf.DUMMYFUNCTION("GOOGLETRANSLATE(B18015,""en"",""zh-CN"")"),"她的母亲看着她的滑动到地面并重新开始时说话。")</f>
        <v>她的母亲看着她的滑动到地面并重新开始时说话。</v>
      </c>
    </row>
    <row r="18016">
      <c r="A18016" s="4" t="s">
        <v>22673</v>
      </c>
      <c r="B18016" s="4" t="s">
        <v>22674</v>
      </c>
      <c r="C18016" s="5" t="str">
        <f>IFERROR(__xludf.DUMMYFUNCTION("GOOGLETRANSLATE(B18016,""en"",""zh-CN"")"),"显示了一匹马的特写，后面是一个女人走进框架并刷马。")</f>
        <v>显示了一匹马的特写，后面是一个女人走进框架并刷马。</v>
      </c>
    </row>
    <row r="18017">
      <c r="A18017" s="4" t="s">
        <v>22673</v>
      </c>
      <c r="B18017" s="4" t="s">
        <v>22675</v>
      </c>
      <c r="C18017" s="5" t="str">
        <f>IFERROR(__xludf.DUMMYFUNCTION("GOOGLETRANSLATE(B18017,""en"",""zh-CN"")"),"她继续在各个地方刷马，并以喂马为结尾。")</f>
        <v>她继续在各个地方刷马，并以喂马为结尾。</v>
      </c>
    </row>
    <row r="18018">
      <c r="A18018" s="4" t="s">
        <v>22676</v>
      </c>
      <c r="B18018" s="4" t="s">
        <v>9910</v>
      </c>
      <c r="C18018" s="5" t="str">
        <f>IFERROR(__xludf.DUMMYFUNCTION("GOOGLETRANSLATE(B18018,""en"",""zh-CN"")"),"一个男人跳到平衡梁上。")</f>
        <v>一个男人跳到平衡梁上。</v>
      </c>
    </row>
    <row r="18019">
      <c r="A18019" s="4" t="s">
        <v>22676</v>
      </c>
      <c r="B18019" s="4" t="s">
        <v>22677</v>
      </c>
      <c r="C18019" s="5" t="str">
        <f>IFERROR(__xludf.DUMMYFUNCTION("GOOGLETRANSLATE(B18019,""en"",""zh-CN"")"),"他在平衡梁上做体操例程。")</f>
        <v>他在平衡梁上做体操例程。</v>
      </c>
    </row>
    <row r="18020">
      <c r="A18020" s="4" t="s">
        <v>22676</v>
      </c>
      <c r="B18020" s="4" t="s">
        <v>22678</v>
      </c>
      <c r="C18020" s="5" t="str">
        <f>IFERROR(__xludf.DUMMYFUNCTION("GOOGLETRANSLATE(B18020,""en"",""zh-CN"")"),"他卸下并降落在蓝色垫子上。")</f>
        <v>他卸下并降落在蓝色垫子上。</v>
      </c>
    </row>
    <row r="18021">
      <c r="A18021" s="4" t="s">
        <v>22676</v>
      </c>
      <c r="B18021" s="4" t="s">
        <v>22679</v>
      </c>
      <c r="C18021" s="5" t="str">
        <f>IFERROR(__xludf.DUMMYFUNCTION("GOOGLETRANSLATE(B18021,""en"",""zh-CN"")"),"他向人群挥手，走开。")</f>
        <v>他向人群挥手，走开。</v>
      </c>
    </row>
    <row r="18022">
      <c r="A18022" s="4" t="s">
        <v>22680</v>
      </c>
      <c r="B18022" s="6" t="s">
        <v>22681</v>
      </c>
      <c r="C18022" s="5" t="str">
        <f>IFERROR(__xludf.DUMMYFUNCTION("GOOGLETRANSLATE(B18022,""en"",""zh-CN"")"),"摄像头绕着一大批拿着弓箭的人摇晃，然后射击了几枪。")</f>
        <v>摄像头绕着一大批拿着弓箭的人摇晃，然后射击了几枪。</v>
      </c>
    </row>
    <row r="18023">
      <c r="A18023" s="4" t="s">
        <v>22680</v>
      </c>
      <c r="B18023" s="6" t="s">
        <v>22682</v>
      </c>
      <c r="C18023" s="5" t="str">
        <f>IFERROR(__xludf.DUMMYFUNCTION("GOOGLETRANSLATE(B18023,""en"",""zh-CN"")"),"几名男子向他们射击箭，撞向剑战，人们受伤。")</f>
        <v>几名男子向他们射击箭，撞向剑战，人们受伤。</v>
      </c>
    </row>
    <row r="18024">
      <c r="A18024" s="4" t="s">
        <v>22680</v>
      </c>
      <c r="B18024" s="4" t="s">
        <v>22683</v>
      </c>
      <c r="C18024" s="5" t="str">
        <f>IFERROR(__xludf.DUMMYFUNCTION("GOOGLETRANSLATE(B18024,""en"",""zh-CN"")"),"人们向男人扔海绵，打架，向别人射击更多的箭。")</f>
        <v>人们向男人扔海绵，打架，向别人射击更多的箭。</v>
      </c>
    </row>
    <row r="18025">
      <c r="A18025" s="4" t="s">
        <v>22684</v>
      </c>
      <c r="B18025" s="4" t="s">
        <v>22685</v>
      </c>
      <c r="C18025" s="5" t="str">
        <f>IFERROR(__xludf.DUMMYFUNCTION("GOOGLETRANSLATE(B18025,""en"",""zh-CN"")"),"一个女人站着走进商店。")</f>
        <v>一个女人站着走进商店。</v>
      </c>
    </row>
    <row r="18026">
      <c r="A18026" s="4" t="s">
        <v>22684</v>
      </c>
      <c r="B18026" s="4" t="s">
        <v>22686</v>
      </c>
      <c r="C18026" s="5" t="str">
        <f>IFERROR(__xludf.DUMMYFUNCTION("GOOGLETRANSLATE(B18026,""en"",""zh-CN"")"),"她走到一个男人身边，握手。")</f>
        <v>她走到一个男人身边，握手。</v>
      </c>
    </row>
    <row r="18027">
      <c r="A18027" s="4" t="s">
        <v>22684</v>
      </c>
      <c r="B18027" s="6" t="s">
        <v>22687</v>
      </c>
      <c r="C18027" s="5" t="str">
        <f>IFERROR(__xludf.DUMMYFUNCTION("GOOGLETRANSLATE(B18027,""en"",""zh-CN"")"),"她走开了，仔细阅读货架上的物品，然后俯身柜台，弯曲二头肌。")</f>
        <v>她走开了，仔细阅读货架上的物品，然后俯身柜台，弯曲二头肌。</v>
      </c>
    </row>
    <row r="18028">
      <c r="A18028" s="4" t="s">
        <v>22684</v>
      </c>
      <c r="B18028" s="4" t="s">
        <v>22688</v>
      </c>
      <c r="C18028" s="5" t="str">
        <f>IFERROR(__xludf.DUMMYFUNCTION("GOOGLETRANSLATE(B18028,""en"",""zh-CN"")"),"女人向男人展示了她的二头肌，然后与他摔跤。")</f>
        <v>女人向男人展示了她的二头肌，然后与他摔跤。</v>
      </c>
    </row>
    <row r="18029">
      <c r="A18029" s="4" t="s">
        <v>22684</v>
      </c>
      <c r="B18029" s="4" t="s">
        <v>22689</v>
      </c>
      <c r="C18029" s="5" t="str">
        <f>IFERROR(__xludf.DUMMYFUNCTION("GOOGLETRANSLATE(B18029,""en"",""zh-CN"")"),"她坐在柜台旁边，继续与他交谈一段时间。")</f>
        <v>她坐在柜台旁边，继续与他交谈一段时间。</v>
      </c>
    </row>
    <row r="18030">
      <c r="A18030" s="4" t="s">
        <v>22690</v>
      </c>
      <c r="B18030" s="4" t="s">
        <v>22691</v>
      </c>
      <c r="C18030" s="5" t="str">
        <f>IFERROR(__xludf.DUMMYFUNCTION("GOOGLETRANSLATE(B18030,""en"",""zh-CN"")"),"男人在绿色的草田里穿着高跷。")</f>
        <v>男人在绿色的草田里穿着高跷。</v>
      </c>
    </row>
    <row r="18031">
      <c r="A18031" s="4" t="s">
        <v>22690</v>
      </c>
      <c r="B18031" s="4" t="s">
        <v>22692</v>
      </c>
      <c r="C18031" s="5" t="str">
        <f>IFERROR(__xludf.DUMMYFUNCTION("GOOGLETRANSLATE(B18031,""en"",""zh-CN"")"),"汽车停在后台的街道上。")</f>
        <v>汽车停在后台的街道上。</v>
      </c>
    </row>
    <row r="18032">
      <c r="A18032" s="4" t="s">
        <v>22690</v>
      </c>
      <c r="B18032" s="4" t="s">
        <v>22693</v>
      </c>
      <c r="C18032" s="5" t="str">
        <f>IFERROR(__xludf.DUMMYFUNCTION("GOOGLETRANSLATE(B18032,""en"",""zh-CN"")"),"男人得到草，跑进街道。")</f>
        <v>男人得到草，跑进街道。</v>
      </c>
    </row>
    <row r="18033">
      <c r="A18033" s="4" t="s">
        <v>22694</v>
      </c>
      <c r="B18033" s="4" t="s">
        <v>22695</v>
      </c>
      <c r="C18033" s="5" t="str">
        <f>IFERROR(__xludf.DUMMYFUNCTION("GOOGLETRANSLATE(B18033,""en"",""zh-CN"")"),"人们站在体育馆里说话。")</f>
        <v>人们站在体育馆里说话。</v>
      </c>
    </row>
    <row r="18034">
      <c r="A18034" s="4" t="s">
        <v>22694</v>
      </c>
      <c r="B18034" s="4" t="s">
        <v>22696</v>
      </c>
      <c r="C18034" s="5" t="str">
        <f>IFERROR(__xludf.DUMMYFUNCTION("GOOGLETRANSLATE(B18034,""en"",""zh-CN"")"),"他们开始跑步并互相扔球。")</f>
        <v>他们开始跑步并互相扔球。</v>
      </c>
    </row>
    <row r="18035">
      <c r="A18035" s="4" t="s">
        <v>22697</v>
      </c>
      <c r="B18035" s="4" t="s">
        <v>22698</v>
      </c>
      <c r="C18035" s="5" t="str">
        <f>IFERROR(__xludf.DUMMYFUNCTION("GOOGLETRANSLATE(B18035,""en"",""zh-CN"")"),"看到一个男人站在码头的尽头，回想起聚会。")</f>
        <v>看到一个男人站在码头的尽头，回想起聚会。</v>
      </c>
    </row>
    <row r="18036">
      <c r="A18036" s="4" t="s">
        <v>22697</v>
      </c>
      <c r="B18036" s="4" t="s">
        <v>22699</v>
      </c>
      <c r="C18036" s="5" t="str">
        <f>IFERROR(__xludf.DUMMYFUNCTION("GOOGLETRANSLATE(B18036,""en"",""zh-CN"")"),"该名男子走上去，看到两个人在一个圈子中间表演武术。")</f>
        <v>该名男子走上去，看到两个人在一个圈子中间表演武术。</v>
      </c>
    </row>
    <row r="18037">
      <c r="A18037" s="4" t="s">
        <v>22697</v>
      </c>
      <c r="B18037" s="6" t="s">
        <v>22700</v>
      </c>
      <c r="C18037" s="5" t="str">
        <f>IFERROR(__xludf.DUMMYFUNCTION("GOOGLETRANSLATE(B18037,""en"",""zh-CN"")"),"人们继续四处走动，而其他人则在一边看，士兵也加入了。")</f>
        <v>人们继续四处走动，而其他人则在一边看，士兵也加入了。</v>
      </c>
    </row>
    <row r="18038">
      <c r="A18038" s="4" t="s">
        <v>22701</v>
      </c>
      <c r="B18038" s="4" t="s">
        <v>22702</v>
      </c>
      <c r="C18038" s="5" t="str">
        <f>IFERROR(__xludf.DUMMYFUNCTION("GOOGLETRANSLATE(B18038,""en"",""zh-CN"")"),"有一个年轻的女人在冰壶溜冰场上卷曲。")</f>
        <v>有一个年轻的女人在冰壶溜冰场上卷曲。</v>
      </c>
    </row>
    <row r="18039">
      <c r="A18039" s="4" t="s">
        <v>22701</v>
      </c>
      <c r="B18039" s="4" t="s">
        <v>22703</v>
      </c>
      <c r="C18039" s="5" t="str">
        <f>IFERROR(__xludf.DUMMYFUNCTION("GOOGLETRANSLATE(B18039,""en"",""zh-CN"")"),"还有其他几名球员也在卷曲。")</f>
        <v>还有其他几名球员也在卷曲。</v>
      </c>
    </row>
    <row r="18040">
      <c r="A18040" s="4" t="s">
        <v>22701</v>
      </c>
      <c r="B18040" s="4" t="s">
        <v>22704</v>
      </c>
      <c r="C18040" s="5" t="str">
        <f>IFERROR(__xludf.DUMMYFUNCTION("GOOGLETRANSLATE(B18040,""en"",""zh-CN"")"),"展示了同一妇女的各种照片，为某种照片拍摄。")</f>
        <v>展示了同一妇女的各种照片，为某种照片拍摄。</v>
      </c>
    </row>
    <row r="18041">
      <c r="A18041" s="4" t="s">
        <v>22701</v>
      </c>
      <c r="B18041" s="4" t="s">
        <v>22705</v>
      </c>
      <c r="C18041" s="5" t="str">
        <f>IFERROR(__xludf.DUMMYFUNCTION("GOOGLETRANSLATE(B18041,""en"",""zh-CN"")"),"这个女人对游戏似乎有些痛苦。")</f>
        <v>这个女人对游戏似乎有些痛苦。</v>
      </c>
    </row>
    <row r="18042">
      <c r="A18042" s="4" t="s">
        <v>22701</v>
      </c>
      <c r="B18042" s="4" t="s">
        <v>22706</v>
      </c>
      <c r="C18042" s="5" t="str">
        <f>IFERROR(__xludf.DUMMYFUNCTION("GOOGLETRANSLATE(B18042,""en"",""zh-CN"")"),"她正摆姿势与卷发岩一起拍照。")</f>
        <v>她正摆姿势与卷发岩一起拍照。</v>
      </c>
    </row>
    <row r="18043">
      <c r="A18043" s="4" t="s">
        <v>22707</v>
      </c>
      <c r="B18043" s="4" t="s">
        <v>22708</v>
      </c>
      <c r="C18043" s="5" t="str">
        <f>IFERROR(__xludf.DUMMYFUNCTION("GOOGLETRANSLATE(B18043,""en"",""zh-CN"")"),"一个人正在使用杂草鞭子来修剪灌木丛。")</f>
        <v>一个人正在使用杂草鞭子来修剪灌木丛。</v>
      </c>
    </row>
    <row r="18044">
      <c r="A18044" s="4" t="s">
        <v>22707</v>
      </c>
      <c r="B18044" s="4" t="s">
        <v>22709</v>
      </c>
      <c r="C18044" s="5" t="str">
        <f>IFERROR(__xludf.DUMMYFUNCTION("GOOGLETRANSLATE(B18044,""en"",""zh-CN"")"),"他远离灌木丛，在地面上切断杂草。")</f>
        <v>他远离灌木丛，在地面上切断杂草。</v>
      </c>
    </row>
    <row r="18045">
      <c r="A18045" s="4" t="s">
        <v>22710</v>
      </c>
      <c r="B18045" s="6" t="s">
        <v>22711</v>
      </c>
      <c r="C18045" s="5" t="str">
        <f>IFERROR(__xludf.DUMMYFUNCTION("GOOGLETRANSLATE(B18045,""en"",""zh-CN"")"),"各种剪辑显示了一个女人站着并指向海滩，该海滩沿着木板拖入并在水上进行调整。")</f>
        <v>各种剪辑显示了一个女人站着并指向海滩，该海滩沿着木板拖入并在水上进行调整。</v>
      </c>
    </row>
    <row r="18046">
      <c r="A18046" s="4" t="s">
        <v>22710</v>
      </c>
      <c r="B18046" s="6" t="s">
        <v>22712</v>
      </c>
      <c r="C18046" s="5" t="str">
        <f>IFERROR(__xludf.DUMMYFUNCTION("GOOGLETRANSLATE(B18046,""en"",""zh-CN"")"),"然后，该名女子抓住木板，在水中移动，同时展示了适当的动作，相机在其他人周围移动。")</f>
        <v>然后，该名女子抓住木板，在水中移动，同时展示了适当的动作，相机在其他人周围移动。</v>
      </c>
    </row>
    <row r="18047">
      <c r="A18047" s="4" t="s">
        <v>22713</v>
      </c>
      <c r="B18047" s="6" t="s">
        <v>22714</v>
      </c>
      <c r="C18047" s="5" t="str">
        <f>IFERROR(__xludf.DUMMYFUNCTION("GOOGLETRANSLATE(B18047,""en"",""zh-CN"")"),"一个男孩坐在房间里，用三把吉他坐在房间里，开始用小提琴弓扮演所有三个吉他。")</f>
        <v>一个男孩坐在房间里，用三把吉他坐在房间里，开始用小提琴弓扮演所有三个吉他。</v>
      </c>
    </row>
    <row r="18048">
      <c r="A18048" s="4" t="s">
        <v>22713</v>
      </c>
      <c r="B18048" s="6" t="s">
        <v>22715</v>
      </c>
      <c r="C18048" s="5" t="str">
        <f>IFERROR(__xludf.DUMMYFUNCTION("GOOGLETRANSLATE(B18048,""en"",""zh-CN"")"),"然后，该男子开始用手指弹奏腿上的吉他，并完成这首歌。")</f>
        <v>然后，该男子开始用手指弹奏腿上的吉他，并完成这首歌。</v>
      </c>
    </row>
    <row r="18049">
      <c r="A18049" s="4" t="s">
        <v>22716</v>
      </c>
      <c r="B18049" s="4" t="s">
        <v>22717</v>
      </c>
      <c r="C18049" s="5" t="str">
        <f>IFERROR(__xludf.DUMMYFUNCTION("GOOGLETRANSLATE(B18049,""en"",""zh-CN"")"),"一个人在平行条上进行例行。")</f>
        <v>一个人在平行条上进行例行。</v>
      </c>
    </row>
    <row r="18050">
      <c r="A18050" s="4" t="s">
        <v>22716</v>
      </c>
      <c r="B18050" s="4" t="s">
        <v>22718</v>
      </c>
      <c r="C18050" s="5" t="str">
        <f>IFERROR(__xludf.DUMMYFUNCTION("GOOGLETRANSLATE(B18050,""en"",""zh-CN"")"),"他做例行，然后卸下。")</f>
        <v>他做例行，然后卸下。</v>
      </c>
    </row>
    <row r="18051">
      <c r="A18051" s="4" t="s">
        <v>22719</v>
      </c>
      <c r="B18051" s="4" t="s">
        <v>22720</v>
      </c>
      <c r="C18051" s="5" t="str">
        <f>IFERROR(__xludf.DUMMYFUNCTION("GOOGLETRANSLATE(B18051,""en"",""zh-CN"")"),"狗主人站着并抱着他们的狗。")</f>
        <v>狗主人站着并抱着他们的狗。</v>
      </c>
    </row>
    <row r="18052">
      <c r="A18052" s="4" t="s">
        <v>22719</v>
      </c>
      <c r="B18052" s="4" t="s">
        <v>22721</v>
      </c>
      <c r="C18052" s="5" t="str">
        <f>IFERROR(__xludf.DUMMYFUNCTION("GOOGLETRANSLATE(B18052,""en"",""zh-CN"")"),"人们在公园里和狗一起玩障碍物。")</f>
        <v>人们在公园里和狗一起玩障碍物。</v>
      </c>
    </row>
    <row r="18053">
      <c r="A18053" s="4" t="s">
        <v>22719</v>
      </c>
      <c r="B18053" s="4" t="s">
        <v>22722</v>
      </c>
      <c r="C18053" s="5" t="str">
        <f>IFERROR(__xludf.DUMMYFUNCTION("GOOGLETRANSLATE(B18053,""en"",""zh-CN"")"),"一个小组在城市人行道上与狗有标志。")</f>
        <v>一个小组在城市人行道上与狗有标志。</v>
      </c>
    </row>
    <row r="18054">
      <c r="A18054" s="4" t="s">
        <v>22723</v>
      </c>
      <c r="B18054" s="4" t="s">
        <v>22724</v>
      </c>
      <c r="C18054" s="5" t="str">
        <f>IFERROR(__xludf.DUMMYFUNCTION("GOOGLETRANSLATE(B18054,""en"",""zh-CN"")"),"看到一个男人和女人站在舞台上，上面有聚光灯。")</f>
        <v>看到一个男人和女人站在舞台上，上面有聚光灯。</v>
      </c>
    </row>
    <row r="18055">
      <c r="A18055" s="4" t="s">
        <v>22723</v>
      </c>
      <c r="B18055" s="4" t="s">
        <v>22725</v>
      </c>
      <c r="C18055" s="5" t="str">
        <f>IFERROR(__xludf.DUMMYFUNCTION("GOOGLETRANSLATE(B18055,""en"",""zh-CN"")"),"二人在互相看和相机时开始一起演奏乐器。")</f>
        <v>二人在互相看和相机时开始一起演奏乐器。</v>
      </c>
    </row>
    <row r="18056">
      <c r="A18056" s="4" t="s">
        <v>22723</v>
      </c>
      <c r="B18056" s="4" t="s">
        <v>22726</v>
      </c>
      <c r="C18056" s="5" t="str">
        <f>IFERROR(__xludf.DUMMYFUNCTION("GOOGLETRANSLATE(B18056,""en"",""zh-CN"")"),"两人继续互相玩耍，停下来看看相机。")</f>
        <v>两人继续互相玩耍，停下来看看相机。</v>
      </c>
    </row>
    <row r="18057">
      <c r="A18057" s="4" t="s">
        <v>22727</v>
      </c>
      <c r="B18057" s="4" t="s">
        <v>22728</v>
      </c>
      <c r="C18057" s="5" t="str">
        <f>IFERROR(__xludf.DUMMYFUNCTION("GOOGLETRANSLATE(B18057,""en"",""zh-CN"")"),"看到一个人切割番茄，并演示刀在纸上的工作方式。")</f>
        <v>看到一个人切割番茄，并演示刀在纸上的工作方式。</v>
      </c>
    </row>
    <row r="18058">
      <c r="A18058" s="4" t="s">
        <v>22727</v>
      </c>
      <c r="B18058" s="4" t="s">
        <v>22729</v>
      </c>
      <c r="C18058" s="5" t="str">
        <f>IFERROR(__xludf.DUMMYFUNCTION("GOOGLETRANSLATE(B18058,""en"",""zh-CN"")"),"然后，该人在咖啡杯上锐化了刀片，并切入纸张。")</f>
        <v>然后，该人在咖啡杯上锐化了刀片，并切入纸张。</v>
      </c>
    </row>
    <row r="18059">
      <c r="A18059" s="4" t="s">
        <v>22730</v>
      </c>
      <c r="B18059" s="4" t="s">
        <v>22731</v>
      </c>
      <c r="C18059" s="5" t="str">
        <f>IFERROR(__xludf.DUMMYFUNCTION("GOOGLETRANSLATE(B18059,""en"",""zh-CN"")"),"屏幕上出现“抽象鸟/油画凯蒂·玉”（Katy Jade Dobson）。")</f>
        <v>屏幕上出现“抽象鸟/油画凯蒂·玉”（Katy Jade Dobson）。</v>
      </c>
    </row>
    <row r="18060">
      <c r="A18060" s="4" t="s">
        <v>22730</v>
      </c>
      <c r="B18060" s="4" t="s">
        <v>22732</v>
      </c>
      <c r="C18060" s="5" t="str">
        <f>IFERROR(__xludf.DUMMYFUNCTION("GOOGLETRANSLATE(B18060,""en"",""zh-CN"")"),"Dobson在白色画布上绘制了一个设计，并开始绘画。")</f>
        <v>Dobson在白色画布上绘制了一个设计，并开始绘画。</v>
      </c>
    </row>
    <row r="18061">
      <c r="A18061" s="4" t="s">
        <v>22730</v>
      </c>
      <c r="B18061" s="4" t="s">
        <v>22733</v>
      </c>
      <c r="C18061" s="5" t="str">
        <f>IFERROR(__xludf.DUMMYFUNCTION("GOOGLETRANSLATE(B18061,""en"",""zh-CN"")"),"她的完成工作是在画布上排成一排的油漆。")</f>
        <v>她的完成工作是在画布上排成一排的油漆。</v>
      </c>
    </row>
    <row r="18062">
      <c r="A18062" s="4" t="s">
        <v>22734</v>
      </c>
      <c r="B18062" s="4" t="s">
        <v>22735</v>
      </c>
      <c r="C18062" s="5" t="str">
        <f>IFERROR(__xludf.DUMMYFUNCTION("GOOGLETRANSLATE(B18062,""en"",""zh-CN"")"),"一个男人站在酒吧后面。")</f>
        <v>一个男人站在酒吧后面。</v>
      </c>
    </row>
    <row r="18063">
      <c r="A18063" s="4" t="s">
        <v>22734</v>
      </c>
      <c r="B18063" s="4" t="s">
        <v>22736</v>
      </c>
      <c r="C18063" s="5" t="str">
        <f>IFERROR(__xludf.DUMMYFUNCTION("GOOGLETRANSLATE(B18063,""en"",""zh-CN"")"),"他将冰放入玻璃杯中，然后将饮料倒入其中。")</f>
        <v>他将冰放入玻璃杯中，然后将饮料倒入其中。</v>
      </c>
    </row>
    <row r="18064">
      <c r="A18064" s="4" t="s">
        <v>22734</v>
      </c>
      <c r="B18064" s="4" t="s">
        <v>22737</v>
      </c>
      <c r="C18064" s="5" t="str">
        <f>IFERROR(__xludf.DUMMYFUNCTION("GOOGLETRANSLATE(B18064,""en"",""zh-CN"")"),"他用稻草搅拌。")</f>
        <v>他用稻草搅拌。</v>
      </c>
    </row>
    <row r="18065">
      <c r="A18065" s="4" t="s">
        <v>22738</v>
      </c>
      <c r="B18065" s="4" t="s">
        <v>22739</v>
      </c>
      <c r="C18065" s="5" t="str">
        <f>IFERROR(__xludf.DUMMYFUNCTION("GOOGLETRANSLATE(B18065,""en"",""zh-CN"")"),"场景带着洗车和广告开放。")</f>
        <v>场景带着洗车和广告开放。</v>
      </c>
    </row>
    <row r="18066">
      <c r="A18066" s="4" t="s">
        <v>22738</v>
      </c>
      <c r="B18066" s="4" t="s">
        <v>22740</v>
      </c>
      <c r="C18066" s="5" t="str">
        <f>IFERROR(__xludf.DUMMYFUNCTION("GOOGLETRANSLATE(B18066,""en"",""zh-CN"")"),"两个人坐在他的车里时正在聊天。")</f>
        <v>两个人坐在他的车里时正在聊天。</v>
      </c>
    </row>
    <row r="18067">
      <c r="A18067" s="4" t="s">
        <v>22738</v>
      </c>
      <c r="B18067" s="4" t="s">
        <v>22741</v>
      </c>
      <c r="C18067" s="5" t="str">
        <f>IFERROR(__xludf.DUMMYFUNCTION("GOOGLETRANSLATE(B18067,""en"",""zh-CN"")"),"一个男人正在打扫汽车，并与镜头交谈。")</f>
        <v>一个男人正在打扫汽车，并与镜头交谈。</v>
      </c>
    </row>
    <row r="18068">
      <c r="A18068" s="4" t="s">
        <v>22738</v>
      </c>
      <c r="B18068" s="4" t="s">
        <v>22742</v>
      </c>
      <c r="C18068" s="5" t="str">
        <f>IFERROR(__xludf.DUMMYFUNCTION("GOOGLETRANSLATE(B18068,""en"",""zh-CN"")"),"汽车被干燥和吸尘，然后上下一辆汽车。")</f>
        <v>汽车被干燥和吸尘，然后上下一辆汽车。</v>
      </c>
    </row>
    <row r="18069">
      <c r="A18069" s="4" t="s">
        <v>22738</v>
      </c>
      <c r="B18069" s="4" t="s">
        <v>22743</v>
      </c>
      <c r="C18069" s="5" t="str">
        <f>IFERROR(__xludf.DUMMYFUNCTION("GOOGLETRANSLATE(B18069,""en"",""zh-CN"")"),"顾客将钥匙交给了他，他正带着干净的汽车在路上。")</f>
        <v>顾客将钥匙交给了他，他正带着干净的汽车在路上。</v>
      </c>
    </row>
    <row r="18070">
      <c r="A18070" s="4" t="s">
        <v>22738</v>
      </c>
      <c r="B18070" s="4" t="s">
        <v>22744</v>
      </c>
      <c r="C18070" s="5" t="str">
        <f>IFERROR(__xludf.DUMMYFUNCTION("GOOGLETRANSLATE(B18070,""en"",""zh-CN"")"),"两名男子在清洁汽车时四处乱逛。")</f>
        <v>两名男子在清洁汽车时四处乱逛。</v>
      </c>
    </row>
    <row r="18071">
      <c r="A18071" s="4" t="s">
        <v>22738</v>
      </c>
      <c r="B18071" s="4" t="s">
        <v>22745</v>
      </c>
      <c r="C18071" s="5" t="str">
        <f>IFERROR(__xludf.DUMMYFUNCTION("GOOGLETRANSLATE(B18071,""en"",""zh-CN"")"),"一个标志显示他们提供的服务。")</f>
        <v>一个标志显示他们提供的服务。</v>
      </c>
    </row>
    <row r="18072">
      <c r="A18072" s="4" t="s">
        <v>22746</v>
      </c>
      <c r="B18072" s="6" t="s">
        <v>22747</v>
      </c>
      <c r="C18072" s="5" t="str">
        <f>IFERROR(__xludf.DUMMYFUNCTION("GOOGLETRANSLATE(B18072,""en"",""zh-CN"")"),"一个年轻的女孩站在她的客厅里，脖子上一只猫在她的脖子上，一只猫四处走动。")</f>
        <v>一个年轻的女孩站在她的客厅里，脖子上一只猫在她的脖子上，一只猫四处走动。</v>
      </c>
    </row>
    <row r="18073">
      <c r="A18073" s="4" t="s">
        <v>22746</v>
      </c>
      <c r="B18073" s="6" t="s">
        <v>22748</v>
      </c>
      <c r="C18073" s="5" t="str">
        <f>IFERROR(__xludf.DUMMYFUNCTION("GOOGLETRANSLATE(B18073,""en"",""zh-CN"")"),"然后，女孩不伸出手臂，让警棍滚到她的手上，然后开始进行一系列旋转的指挥棒。")</f>
        <v>然后，女孩不伸出手臂，让警棍滚到她的手上，然后开始进行一系列旋转的指挥棒。</v>
      </c>
    </row>
    <row r="18074">
      <c r="A18074" s="4" t="s">
        <v>22746</v>
      </c>
      <c r="B18074" s="6" t="s">
        <v>22749</v>
      </c>
      <c r="C18074" s="5" t="str">
        <f>IFERROR(__xludf.DUMMYFUNCTION("GOOGLETRANSLATE(B18074,""en"",""zh-CN"")"),"下面的猫在她旋转警棍的同时，走进屏幕，甚至将其扔到空中，然后抓住它，然后继续旋转它。")</f>
        <v>下面的猫在她旋转警棍的同时，走进屏幕，甚至将其扔到空中，然后抓住它，然后继续旋转它。</v>
      </c>
    </row>
    <row r="18075">
      <c r="A18075" s="4" t="s">
        <v>22750</v>
      </c>
      <c r="B18075" s="4" t="s">
        <v>22751</v>
      </c>
      <c r="C18075" s="5" t="str">
        <f>IFERROR(__xludf.DUMMYFUNCTION("GOOGLETRANSLATE(B18075,""en"",""zh-CN"")"),"一个人弯曲在篱笆上，拿着电动刀具。")</f>
        <v>一个人弯曲在篱笆上，拿着电动刀具。</v>
      </c>
    </row>
    <row r="18076">
      <c r="A18076" s="4" t="s">
        <v>22750</v>
      </c>
      <c r="B18076" s="4" t="s">
        <v>22752</v>
      </c>
      <c r="C18076" s="5" t="str">
        <f>IFERROR(__xludf.DUMMYFUNCTION("GOOGLETRANSLATE(B18076,""en"",""zh-CN"")"),"该男子用电动切割机切断了花园的长长树篱。")</f>
        <v>该男子用电动切割机切断了花园的长长树篱。</v>
      </c>
    </row>
    <row r="18077">
      <c r="A18077" s="4" t="s">
        <v>22750</v>
      </c>
      <c r="B18077" s="4" t="s">
        <v>22753</v>
      </c>
      <c r="C18077" s="5" t="str">
        <f>IFERROR(__xludf.DUMMYFUNCTION("GOOGLETRANSLATE(B18077,""en"",""zh-CN"")"),"然后，该男子用手将叶子移到树篱上。")</f>
        <v>然后，该男子用手将叶子移到树篱上。</v>
      </c>
    </row>
    <row r="18078">
      <c r="A18078" s="4" t="s">
        <v>22754</v>
      </c>
      <c r="B18078" s="4" t="s">
        <v>22755</v>
      </c>
      <c r="C18078" s="5" t="str">
        <f>IFERROR(__xludf.DUMMYFUNCTION("GOOGLETRANSLATE(B18078,""en"",""zh-CN"")"),"男人正坐在一个玩康加斯的房间里。")</f>
        <v>男人正坐在一个玩康加斯的房间里。</v>
      </c>
    </row>
    <row r="18079">
      <c r="A18079" s="4" t="s">
        <v>22754</v>
      </c>
      <c r="B18079" s="4" t="s">
        <v>22756</v>
      </c>
      <c r="C18079" s="5" t="str">
        <f>IFERROR(__xludf.DUMMYFUNCTION("GOOGLETRANSLATE(B18079,""en"",""zh-CN"")"),"键盘是在一个房间里玩康加斯的男子背后的背后。")</f>
        <v>键盘是在一个房间里玩康加斯的男子背后的背后。</v>
      </c>
    </row>
    <row r="18080">
      <c r="A18080" s="4" t="s">
        <v>22754</v>
      </c>
      <c r="B18080" s="4" t="s">
        <v>22757</v>
      </c>
      <c r="C18080" s="5" t="str">
        <f>IFERROR(__xludf.DUMMYFUNCTION("GOOGLETRANSLATE(B18080,""en"",""zh-CN"")"),"男人正在音乐室里在康卡斯（Congas）玩莎莎（Salsa）。")</f>
        <v>男人正在音乐室里在康卡斯（Congas）玩莎莎（Salsa）。</v>
      </c>
    </row>
    <row r="18081">
      <c r="A18081" s="4" t="s">
        <v>22758</v>
      </c>
      <c r="B18081" s="4" t="s">
        <v>22759</v>
      </c>
      <c r="C18081" s="5" t="str">
        <f>IFERROR(__xludf.DUMMYFUNCTION("GOOGLETRANSLATE(B18081,""en"",""zh-CN"")"),"一个女孩在一个充满绿草的大院子里骑着黄色的割草机。")</f>
        <v>一个女孩在一个充满绿草的大院子里骑着黄色的割草机。</v>
      </c>
    </row>
    <row r="18082">
      <c r="A18082" s="4" t="s">
        <v>22758</v>
      </c>
      <c r="B18082" s="6" t="s">
        <v>22760</v>
      </c>
      <c r="C18082" s="5" t="str">
        <f>IFERROR(__xludf.DUMMYFUNCTION("GOOGLETRANSLATE(B18082,""en"",""zh-CN"")"),"当女孩到达院子的尽头时，她转过身，朝着她刚来自同一方向开车。")</f>
        <v>当女孩到达院子的尽头时，她转过身，朝着她刚来自同一方向开车。</v>
      </c>
    </row>
    <row r="18083">
      <c r="A18083" s="4" t="s">
        <v>22758</v>
      </c>
      <c r="B18083" s="4" t="s">
        <v>22761</v>
      </c>
      <c r="C18083" s="5" t="str">
        <f>IFERROR(__xludf.DUMMYFUNCTION("GOOGLETRANSLATE(B18083,""en"",""zh-CN"")"),"当她达到这一末端时，她转弯了，但是太紧了，她扭转了一点。")</f>
        <v>当她达到这一末端时，她转弯了，但是太紧了，她扭转了一点。</v>
      </c>
    </row>
    <row r="18084">
      <c r="A18084" s="4" t="s">
        <v>22758</v>
      </c>
      <c r="B18084" s="6" t="s">
        <v>22762</v>
      </c>
      <c r="C18084" s="5" t="str">
        <f>IFERROR(__xludf.DUMMYFUNCTION("GOOGLETRANSLATE(B18084,""en"",""zh-CN"")"),"然后，女孩再次向相反的方向转向，当她沿着院子里的一半到达一半时，她再次转身，朝她刚从中来的方向迈进。")</f>
        <v>然后，女孩再次向相反的方向转向，当她沿着院子里的一半到达一半时，她再次转身，朝她刚从中来的方向迈进。</v>
      </c>
    </row>
    <row r="18085">
      <c r="A18085" s="4" t="s">
        <v>22763</v>
      </c>
      <c r="B18085" s="4" t="s">
        <v>22764</v>
      </c>
      <c r="C18085" s="5" t="str">
        <f>IFERROR(__xludf.DUMMYFUNCTION("GOOGLETRANSLATE(B18085,""en"",""zh-CN"")"),"一个穿着滑雪板的滑雪夹克的男人将固定在卡车上的绳子上。")</f>
        <v>一个穿着滑雪板的滑雪夹克的男人将固定在卡车上的绳子上。</v>
      </c>
    </row>
    <row r="18086">
      <c r="A18086" s="4" t="s">
        <v>22763</v>
      </c>
      <c r="B18086" s="4" t="s">
        <v>22765</v>
      </c>
      <c r="C18086" s="5" t="str">
        <f>IFERROR(__xludf.DUMMYFUNCTION("GOOGLETRANSLATE(B18086,""en"",""zh-CN"")"),"卡车开始驾驶，该男子被拉到牵引绳上。")</f>
        <v>卡车开始驾驶，该男子被拉到牵引绳上。</v>
      </c>
    </row>
    <row r="18087">
      <c r="A18087" s="4" t="s">
        <v>22763</v>
      </c>
      <c r="B18087" s="6" t="s">
        <v>22766</v>
      </c>
      <c r="C18087" s="5" t="str">
        <f>IFERROR(__xludf.DUMMYFUNCTION("GOOGLETRANSLATE(B18087,""en"",""zh-CN"")"),"该男子操纵与卡车和卡车后面来回的交替拉一起拉起。")</f>
        <v>该男子操纵与卡车和卡车后面来回的交替拉一起拉起。</v>
      </c>
    </row>
    <row r="18088">
      <c r="A18088" s="4" t="s">
        <v>22763</v>
      </c>
      <c r="B18088" s="4" t="s">
        <v>22767</v>
      </c>
      <c r="C18088" s="5" t="str">
        <f>IFERROR(__xludf.DUMMYFUNCTION("GOOGLETRANSLATE(B18088,""en"",""zh-CN"")"),"那个男人放慢了脚步，然后放开拖绳，停下来。")</f>
        <v>那个男人放慢了脚步，然后放开拖绳，停下来。</v>
      </c>
    </row>
    <row r="18089">
      <c r="A18089" s="4" t="s">
        <v>22768</v>
      </c>
      <c r="B18089" s="6" t="s">
        <v>22769</v>
      </c>
      <c r="C18089" s="5" t="str">
        <f>IFERROR(__xludf.DUMMYFUNCTION("GOOGLETRANSLATE(B18089,""en"",""zh-CN"")"),"一个家伙骑着一匹白色的长绳的马，最后绑着一个大圆圈，似乎正在等待一些蓝色的大门打开。")</f>
        <v>一个家伙骑着一匹白色的长绳的马，最后绑着一个大圆圈，似乎正在等待一些蓝色的大门打开。</v>
      </c>
    </row>
    <row r="18090">
      <c r="A18090" s="4" t="s">
        <v>22768</v>
      </c>
      <c r="B18090" s="4" t="s">
        <v>22770</v>
      </c>
      <c r="C18090" s="5" t="str">
        <f>IFERROR(__xludf.DUMMYFUNCTION("GOOGLETRANSLATE(B18090,""en"",""zh-CN"")"),"蓝色的大门打开了，一头小牛耗尽，马上的那个家伙追赶它。")</f>
        <v>蓝色的大门打开了，一头小牛耗尽，马上的那个家伙追赶它。</v>
      </c>
    </row>
    <row r="18091">
      <c r="A18091" s="4" t="s">
        <v>22768</v>
      </c>
      <c r="B18091" s="6" t="s">
        <v>22771</v>
      </c>
      <c r="C18091" s="5" t="str">
        <f>IFERROR(__xludf.DUMMYFUNCTION("GOOGLETRANSLATE(B18091,""en"",""zh-CN"")"),"那个家伙扔绳子，抓住脖子上的公牛，而绳索的末端则与马匹绑在一起。")</f>
        <v>那个家伙扔绳子，抓住脖子上的公牛，而绳索的末端则与马匹绑在一起。</v>
      </c>
    </row>
    <row r="18092">
      <c r="A18092" s="4" t="s">
        <v>22768</v>
      </c>
      <c r="B18092" s="6" t="s">
        <v>22772</v>
      </c>
      <c r="C18092" s="5" t="str">
        <f>IFERROR(__xludf.DUMMYFUNCTION("GOOGLETRANSLATE(B18092,""en"",""zh-CN"")"),"然后，那个家伙跳下马，跑到公牛上并将其翻转在他的背上，然后将公牛的腿绑在一起。")</f>
        <v>然后，那个家伙跳下马，跑到公牛上并将其翻转在他的背上，然后将公牛的腿绑在一起。</v>
      </c>
    </row>
    <row r="18093">
      <c r="A18093" s="4" t="s">
        <v>22768</v>
      </c>
      <c r="B18093" s="6" t="s">
        <v>22773</v>
      </c>
      <c r="C18093" s="5" t="str">
        <f>IFERROR(__xludf.DUMMYFUNCTION("GOOGLETRANSLATE(B18093,""en"",""zh-CN"")"),"然后，那个家伙回到他的马上，而另外两个家伙则将公牛从绳索领带中释放出来，然后将其带走。")</f>
        <v>然后，那个家伙回到他的马上，而另外两个家伙则将公牛从绳索领带中释放出来，然后将其带走。</v>
      </c>
    </row>
    <row r="18094">
      <c r="A18094" s="4" t="s">
        <v>22774</v>
      </c>
      <c r="B18094" s="6" t="s">
        <v>22775</v>
      </c>
      <c r="C18094" s="5" t="str">
        <f>IFERROR(__xludf.DUMMYFUNCTION("GOOGLETRANSLATE(B18094,""en"",""zh-CN"")"),"这个男人跪在地板上，但他站起来举起手臂，上了酒吧表演。")</f>
        <v>这个男人跪在地板上，但他站起来举起手臂，上了酒吧表演。</v>
      </c>
    </row>
    <row r="18095">
      <c r="A18095" s="4" t="s">
        <v>22774</v>
      </c>
      <c r="B18095" s="6" t="s">
        <v>22776</v>
      </c>
      <c r="C18095" s="5" t="str">
        <f>IFERROR(__xludf.DUMMYFUNCTION("GOOGLETRANSLATE(B18095,""en"",""zh-CN"")"),"当他完成后，他翻转并鞠躬，接下来一个女孩坐在椅子上，然后显示他再次表演，但慢动作。")</f>
        <v>当他完成后，他翻转并鞠躬，接下来一个女孩坐在椅子上，然后显示他再次表演，但慢动作。</v>
      </c>
    </row>
    <row r="18096">
      <c r="A18096" s="4" t="s">
        <v>22774</v>
      </c>
      <c r="B18096" s="6" t="s">
        <v>22777</v>
      </c>
      <c r="C18096" s="5" t="str">
        <f>IFERROR(__xludf.DUMMYFUNCTION("GOOGLETRANSLATE(B18096,""en"",""zh-CN"")"),"接下来，一个女孩在不平坦的酒吧上摇摆，当她完成后，她去坐下来谈论自己的工作。")</f>
        <v>接下来，一个女孩在不平坦的酒吧上摇摆，当她完成后，她去坐下来谈论自己的工作。</v>
      </c>
    </row>
    <row r="18097">
      <c r="A18097" s="4" t="s">
        <v>22778</v>
      </c>
      <c r="B18097" s="4" t="s">
        <v>22779</v>
      </c>
      <c r="C18097" s="5" t="str">
        <f>IFERROR(__xludf.DUMMYFUNCTION("GOOGLETRANSLATE(B18097,""en"",""zh-CN"")"),"一位女士正在穿过草坪。")</f>
        <v>一位女士正在穿过草坪。</v>
      </c>
    </row>
    <row r="18098">
      <c r="A18098" s="4" t="s">
        <v>22778</v>
      </c>
      <c r="B18098" s="4" t="s">
        <v>22780</v>
      </c>
      <c r="C18098" s="5" t="str">
        <f>IFERROR(__xludf.DUMMYFUNCTION("GOOGLETRANSLATE(B18098,""en"",""zh-CN"")"),"一个人跑来跑去，停在草坪上。")</f>
        <v>一个人跑来跑去，停在草坪上。</v>
      </c>
    </row>
    <row r="18099">
      <c r="A18099" s="4" t="s">
        <v>22778</v>
      </c>
      <c r="B18099" s="4" t="s">
        <v>22781</v>
      </c>
      <c r="C18099" s="5" t="str">
        <f>IFERROR(__xludf.DUMMYFUNCTION("GOOGLETRANSLATE(B18099,""en"",""zh-CN"")"),"一个人站在轨道上。")</f>
        <v>一个人站在轨道上。</v>
      </c>
    </row>
    <row r="18100">
      <c r="A18100" s="4" t="s">
        <v>22778</v>
      </c>
      <c r="B18100" s="4" t="s">
        <v>22782</v>
      </c>
      <c r="C18100" s="5" t="str">
        <f>IFERROR(__xludf.DUMMYFUNCTION("GOOGLETRANSLATE(B18100,""en"",""zh-CN"")"),"该男子在赛道上奔跑，跳跃，降落在沙盒中。")</f>
        <v>该男子在赛道上奔跑，跳跃，降落在沙盒中。</v>
      </c>
    </row>
    <row r="18101">
      <c r="A18101" s="4" t="s">
        <v>22778</v>
      </c>
      <c r="B18101" s="4" t="s">
        <v>22783</v>
      </c>
      <c r="C18101" s="5" t="str">
        <f>IFERROR(__xludf.DUMMYFUNCTION("GOOGLETRANSLATE(B18101,""en"",""zh-CN"")"),"该男子站起来，跌倒在地，躺在那里。")</f>
        <v>该男子站起来，跌倒在地，躺在那里。</v>
      </c>
    </row>
    <row r="18102">
      <c r="A18102" s="4" t="s">
        <v>22784</v>
      </c>
      <c r="B18102" s="4" t="s">
        <v>22785</v>
      </c>
      <c r="C18102" s="5" t="str">
        <f>IFERROR(__xludf.DUMMYFUNCTION("GOOGLETRANSLATE(B18102,""en"",""zh-CN"")"),"女孩我们从屋顶体育馆的杆子上垂下来，跳到陆地游泳池。")</f>
        <v>女孩我们从屋顶体育馆的杆子上垂下来，跳到陆地游泳池。</v>
      </c>
    </row>
    <row r="18103">
      <c r="A18103" s="4" t="s">
        <v>22784</v>
      </c>
      <c r="B18103" s="4" t="s">
        <v>22786</v>
      </c>
      <c r="C18103" s="5" t="str">
        <f>IFERROR(__xludf.DUMMYFUNCTION("GOOGLETRANSLATE(B18103,""en"",""zh-CN"")"),"女人ww着一件红色衬衫，站在杆子的前面。")</f>
        <v>女人ww着一件红色衬衫，站在杆子的前面。</v>
      </c>
    </row>
    <row r="18104">
      <c r="A18104" s="4" t="s">
        <v>22784</v>
      </c>
      <c r="B18104" s="4" t="s">
        <v>22787</v>
      </c>
      <c r="C18104" s="5" t="str">
        <f>IFERROR(__xludf.DUMMYFUNCTION("GOOGLETRANSLATE(B18104,""en"",""zh-CN"")"),"小女孩在他的女孩做体操的面前走路。")</f>
        <v>小女孩在他的女孩做体操的面前走路。</v>
      </c>
    </row>
    <row r="18105">
      <c r="A18105" s="4" t="s">
        <v>22788</v>
      </c>
      <c r="B18105" s="6" t="s">
        <v>22789</v>
      </c>
      <c r="C18105" s="5" t="str">
        <f>IFERROR(__xludf.DUMMYFUNCTION("GOOGLETRANSLATE(B18105,""en"",""zh-CN"")"),"一个男人站在镜头前，然后被展示在打篮球比赛的同时，一双拳击手套。")</f>
        <v>一个男人站在镜头前，然后被展示在打篮球比赛的同时，一双拳击手套。</v>
      </c>
    </row>
    <row r="18106">
      <c r="A18106" s="4" t="s">
        <v>22788</v>
      </c>
      <c r="B18106" s="4" t="s">
        <v>22790</v>
      </c>
      <c r="C18106" s="5" t="str">
        <f>IFERROR(__xludf.DUMMYFUNCTION("GOOGLETRANSLATE(B18106,""en"",""zh-CN"")"),"两个人握手。")</f>
        <v>两个人握手。</v>
      </c>
    </row>
    <row r="18107">
      <c r="A18107" s="4" t="s">
        <v>22791</v>
      </c>
      <c r="B18107" s="4" t="s">
        <v>22792</v>
      </c>
      <c r="C18107" s="5" t="str">
        <f>IFERROR(__xludf.DUMMYFUNCTION("GOOGLETRANSLATE(B18107,""en"",""zh-CN"")"),"看到一个男人坐在拿着吉他的长凳上，对镜头说话。")</f>
        <v>看到一个男人坐在拿着吉他的长凳上，对镜头说话。</v>
      </c>
    </row>
    <row r="18108">
      <c r="A18108" s="4" t="s">
        <v>22791</v>
      </c>
      <c r="B18108" s="4" t="s">
        <v>22793</v>
      </c>
      <c r="C18108" s="5" t="str">
        <f>IFERROR(__xludf.DUMMYFUNCTION("GOOGLETRANSLATE(B18108,""en"",""zh-CN"")"),"他指着他面前的麦克风，开始弹奏吉他。")</f>
        <v>他指着他面前的麦克风，开始弹奏吉他。</v>
      </c>
    </row>
    <row r="18109">
      <c r="A18109" s="4" t="s">
        <v>22791</v>
      </c>
      <c r="B18109" s="4" t="s">
        <v>22794</v>
      </c>
      <c r="C18109" s="5" t="str">
        <f>IFERROR(__xludf.DUMMYFUNCTION("GOOGLETRANSLATE(B18109,""en"",""zh-CN"")"),"该男子在四处移动并停下来看相机时继续玩耍。")</f>
        <v>该男子在四处移动并停下来看相机时继续玩耍。</v>
      </c>
    </row>
    <row r="18110">
      <c r="A18110" s="4" t="s">
        <v>22795</v>
      </c>
      <c r="B18110" s="4" t="s">
        <v>22796</v>
      </c>
      <c r="C18110" s="5" t="str">
        <f>IFERROR(__xludf.DUMMYFUNCTION("GOOGLETRANSLATE(B18110,""en"",""zh-CN"")"),"我们看到人们站在有氧运动课上。")</f>
        <v>我们看到人们站在有氧运动课上。</v>
      </c>
    </row>
    <row r="18111">
      <c r="A18111" s="4" t="s">
        <v>22795</v>
      </c>
      <c r="B18111" s="4" t="s">
        <v>22797</v>
      </c>
      <c r="C18111" s="5" t="str">
        <f>IFERROR(__xludf.DUMMYFUNCTION("GOOGLETRANSLATE(B18111,""en"",""zh-CN"")"),"老师开始，班级跟随。")</f>
        <v>老师开始，班级跟随。</v>
      </c>
    </row>
    <row r="18112">
      <c r="A18112" s="4" t="s">
        <v>22795</v>
      </c>
      <c r="B18112" s="4" t="s">
        <v>22798</v>
      </c>
      <c r="C18112" s="5" t="str">
        <f>IFERROR(__xludf.DUMMYFUNCTION("GOOGLETRANSLATE(B18112,""en"",""zh-CN"")"),"站在台阶上时，人们挥舞着双手。")</f>
        <v>站在台阶上时，人们挥舞着双手。</v>
      </c>
    </row>
    <row r="18113">
      <c r="A18113" s="4" t="s">
        <v>22795</v>
      </c>
      <c r="B18113" s="4" t="s">
        <v>22799</v>
      </c>
      <c r="C18113" s="5" t="str">
        <f>IFERROR(__xludf.DUMMYFUNCTION("GOOGLETRANSLATE(B18113,""en"",""zh-CN"")"),"班级再次挥舞着他们的手臂。")</f>
        <v>班级再次挥舞着他们的手臂。</v>
      </c>
    </row>
    <row r="18114">
      <c r="A18114" s="4" t="s">
        <v>22795</v>
      </c>
      <c r="B18114" s="4" t="s">
        <v>22800</v>
      </c>
      <c r="C18114" s="5" t="str">
        <f>IFERROR(__xludf.DUMMYFUNCTION("GOOGLETRANSLATE(B18114,""en"",""zh-CN"")"),"红色的男人向左走。")</f>
        <v>红色的男人向左走。</v>
      </c>
    </row>
    <row r="18115">
      <c r="A18115" s="4" t="s">
        <v>22795</v>
      </c>
      <c r="B18115" s="4" t="s">
        <v>22801</v>
      </c>
      <c r="C18115" s="5" t="str">
        <f>IFERROR(__xludf.DUMMYFUNCTION("GOOGLETRANSLATE(B18115,""en"",""zh-CN"")"),"班级结束并停止跳舞。")</f>
        <v>班级结束并停止跳舞。</v>
      </c>
    </row>
    <row r="18116">
      <c r="A18116" s="4" t="s">
        <v>22795</v>
      </c>
      <c r="B18116" s="4" t="s">
        <v>22802</v>
      </c>
      <c r="C18116" s="5" t="str">
        <f>IFERROR(__xludf.DUMMYFUNCTION("GOOGLETRANSLATE(B18116,""en"",""zh-CN"")"),"老师走路以关闭相机。")</f>
        <v>老师走路以关闭相机。</v>
      </c>
    </row>
    <row r="18117">
      <c r="A18117" s="4" t="s">
        <v>22803</v>
      </c>
      <c r="B18117" s="6" t="s">
        <v>22804</v>
      </c>
      <c r="C18117" s="5" t="str">
        <f>IFERROR(__xludf.DUMMYFUNCTION("GOOGLETRANSLATE(B18117,""en"",""zh-CN"")"),"一名女游泳者正穿着黑色泳衣站在潜水板上，她跳下了多次翻转。")</f>
        <v>一名女游泳者正穿着黑色泳衣站在潜水板上，她跳下了多次翻转。</v>
      </c>
    </row>
    <row r="18118">
      <c r="A18118" s="4" t="s">
        <v>22803</v>
      </c>
      <c r="B18118" s="4" t="s">
        <v>22805</v>
      </c>
      <c r="C18118" s="5" t="str">
        <f>IFERROR(__xludf.DUMMYFUNCTION("GOOGLETRANSLATE(B18118,""en"",""zh-CN"")"),"然后，她在地面上说话，并用毛巾擦拭脸。")</f>
        <v>然后，她在地面上说话，并用毛巾擦拭脸。</v>
      </c>
    </row>
    <row r="18119">
      <c r="A18119" s="4" t="s">
        <v>22803</v>
      </c>
      <c r="B18119" s="6" t="s">
        <v>22806</v>
      </c>
      <c r="C18119" s="5" t="str">
        <f>IFERROR(__xludf.DUMMYFUNCTION("GOOGLETRANSLATE(B18119,""en"",""zh-CN"")"),"突然，她回到潜水板上，做了一个疯狂的翻转，膝盖被塞进去，她做了几次翻转，然后男人为她鼓掌，并立即重播。")</f>
        <v>突然，她回到潜水板上，做了一个疯狂的翻转，膝盖被塞进去，她做了几次翻转，然后男人为她鼓掌，并立即重播。</v>
      </c>
    </row>
    <row r="18120">
      <c r="A18120" s="4" t="s">
        <v>22803</v>
      </c>
      <c r="B18120" s="6" t="s">
        <v>22807</v>
      </c>
      <c r="C18120" s="5" t="str">
        <f>IFERROR(__xludf.DUMMYFUNCTION("GOOGLETRANSLATE(B18120,""en"",""zh-CN"")"),"例行程序仍在继续，女孩试图做更多的翻转，人们以同样的方式做出反应，她敬畏地把手放在嘴上。")</f>
        <v>例行程序仍在继续，女孩试图做更多的翻转，人们以同样的方式做出反应，她敬畏地把手放在嘴上。</v>
      </c>
    </row>
    <row r="18121">
      <c r="A18121" s="4" t="s">
        <v>22808</v>
      </c>
      <c r="B18121" s="4" t="s">
        <v>22809</v>
      </c>
      <c r="C18121" s="5" t="str">
        <f>IFERROR(__xludf.DUMMYFUNCTION("GOOGLETRANSLATE(B18121,""en"",""zh-CN"")"),"各种文本的介绍导致一个女孩的图片和油漆封闭。")</f>
        <v>各种文本的介绍导致一个女孩的图片和油漆封闭。</v>
      </c>
    </row>
    <row r="18122">
      <c r="A18122" s="4" t="s">
        <v>22808</v>
      </c>
      <c r="B18122" s="4" t="s">
        <v>22810</v>
      </c>
      <c r="C18122" s="5" t="str">
        <f>IFERROR(__xludf.DUMMYFUNCTION("GOOGLETRANSLATE(B18122,""en"",""zh-CN"")"),"然后看到一个人用不同的颜色在纸上绘画。")</f>
        <v>然后看到一个人用不同的颜色在纸上绘画。</v>
      </c>
    </row>
    <row r="18123">
      <c r="A18123" s="4" t="s">
        <v>22808</v>
      </c>
      <c r="B18123" s="4" t="s">
        <v>22811</v>
      </c>
      <c r="C18123" s="5" t="str">
        <f>IFERROR(__xludf.DUMMYFUNCTION("GOOGLETRANSLATE(B18123,""en"",""zh-CN"")"),"该人继续绘画，上面显示的文字并在油漆中混合。")</f>
        <v>该人继续绘画，上面显示的文字并在油漆中混合。</v>
      </c>
    </row>
    <row r="18124">
      <c r="A18124" s="4" t="s">
        <v>22812</v>
      </c>
      <c r="B18124" s="4" t="s">
        <v>22813</v>
      </c>
      <c r="C18124" s="5" t="str">
        <f>IFERROR(__xludf.DUMMYFUNCTION("GOOGLETRANSLATE(B18124,""en"",""zh-CN"")"),"该视频是关于布里斯托尔BMX俱乐部举行骑自行车活动的。")</f>
        <v>该视频是关于布里斯托尔BMX俱乐部举行骑自行车活动的。</v>
      </c>
    </row>
    <row r="18125">
      <c r="A18125" s="4" t="s">
        <v>22812</v>
      </c>
      <c r="B18125" s="4" t="s">
        <v>22814</v>
      </c>
      <c r="C18125" s="5" t="str">
        <f>IFERROR(__xludf.DUMMYFUNCTION("GOOGLETRANSLATE(B18125,""en"",""zh-CN"")"),"有一个男人在比赛的地面上画一条白色的起跑线。")</f>
        <v>有一个男人在比赛的地面上画一条白色的起跑线。</v>
      </c>
    </row>
    <row r="18126">
      <c r="A18126" s="4" t="s">
        <v>22812</v>
      </c>
      <c r="B18126" s="4" t="s">
        <v>22815</v>
      </c>
      <c r="C18126" s="5" t="str">
        <f>IFERROR(__xludf.DUMMYFUNCTION("GOOGLETRANSLATE(B18126,""en"",""zh-CN"")"),"骑自行车的人准备开始比赛。")</f>
        <v>骑自行车的人准备开始比赛。</v>
      </c>
    </row>
    <row r="18127">
      <c r="A18127" s="4" t="s">
        <v>22812</v>
      </c>
      <c r="B18127" s="4" t="s">
        <v>22816</v>
      </c>
      <c r="C18127" s="5" t="str">
        <f>IFERROR(__xludf.DUMMYFUNCTION("GOOGLETRANSLATE(B18127,""en"",""zh-CN"")"),"他们开始比赛，经历坡道和颠簸。")</f>
        <v>他们开始比赛，经历坡道和颠簸。</v>
      </c>
    </row>
    <row r="18128">
      <c r="A18128" s="4" t="s">
        <v>22812</v>
      </c>
      <c r="B18128" s="4" t="s">
        <v>22817</v>
      </c>
      <c r="C18128" s="5" t="str">
        <f>IFERROR(__xludf.DUMMYFUNCTION("GOOGLETRANSLATE(B18128,""en"",""zh-CN"")"),"骑自行车的人来自各个年龄段，从青少年到成年人。")</f>
        <v>骑自行车的人来自各个年龄段，从青少年到成年人。</v>
      </c>
    </row>
    <row r="18129">
      <c r="A18129" s="4" t="s">
        <v>22812</v>
      </c>
      <c r="B18129" s="6" t="s">
        <v>22818</v>
      </c>
      <c r="C18129" s="5" t="str">
        <f>IFERROR(__xludf.DUMMYFUNCTION("GOOGLETRANSLATE(B18129,""en"",""zh-CN"")"),"当骑自行车的人穿越坡道和颠簸的障碍路线时，比赛继续进行。")</f>
        <v>当骑自行车的人穿越坡道和颠簸的障碍路线时，比赛继续进行。</v>
      </c>
    </row>
    <row r="18130">
      <c r="A18130" s="4" t="s">
        <v>22819</v>
      </c>
      <c r="B18130" s="4" t="s">
        <v>22820</v>
      </c>
      <c r="C18130" s="5" t="str">
        <f>IFERROR(__xludf.DUMMYFUNCTION("GOOGLETRANSLATE(B18130,""en"",""zh-CN"")"),"几个相扑摔跤手正在舞台上。")</f>
        <v>几个相扑摔跤手正在舞台上。</v>
      </c>
    </row>
    <row r="18131">
      <c r="A18131" s="4" t="s">
        <v>22819</v>
      </c>
      <c r="B18131" s="4" t="s">
        <v>22821</v>
      </c>
      <c r="C18131" s="5" t="str">
        <f>IFERROR(__xludf.DUMMYFUNCTION("GOOGLETRANSLATE(B18131,""en"",""zh-CN"")"),"他们一起参加了摔跤比赛。")</f>
        <v>他们一起参加了摔跤比赛。</v>
      </c>
    </row>
    <row r="18132">
      <c r="A18132" s="4" t="s">
        <v>22819</v>
      </c>
      <c r="B18132" s="4" t="s">
        <v>22822</v>
      </c>
      <c r="C18132" s="5" t="str">
        <f>IFERROR(__xludf.DUMMYFUNCTION("GOOGLETRANSLATE(B18132,""en"",""zh-CN"")"),"当遇到技术问题时，请站出来符号。")</f>
        <v>当遇到技术问题时，请站出来符号。</v>
      </c>
    </row>
    <row r="18133">
      <c r="A18133" s="4" t="s">
        <v>22823</v>
      </c>
      <c r="B18133" s="6" t="s">
        <v>22824</v>
      </c>
      <c r="C18133" s="5" t="str">
        <f>IFERROR(__xludf.DUMMYFUNCTION("GOOGLETRANSLATE(B18133,""en"",""zh-CN"")"),"显示了一个白屏，并在屏幕顶​​部显示了各种徽标。")</f>
        <v>显示了一个白屏，并在屏幕顶​​部显示了各种徽标。</v>
      </c>
    </row>
    <row r="18134">
      <c r="A18134" s="4" t="s">
        <v>22823</v>
      </c>
      <c r="B18134" s="4" t="s">
        <v>22825</v>
      </c>
      <c r="C18134" s="5" t="str">
        <f>IFERROR(__xludf.DUMMYFUNCTION("GOOGLETRANSLATE(B18134,""en"",""zh-CN"")"),"阳光正在升起，男人正在山上走，拉绳子，读书。")</f>
        <v>阳光正在升起，男人正在山上走，拉绳子，读书。</v>
      </c>
    </row>
    <row r="18135">
      <c r="A18135" s="4" t="s">
        <v>22823</v>
      </c>
      <c r="B18135" s="6" t="s">
        <v>22826</v>
      </c>
      <c r="C18135" s="5" t="str">
        <f>IFERROR(__xludf.DUMMYFUNCTION("GOOGLETRANSLATE(B18135,""en"",""zh-CN"")"),"他们继续在山上做各种爱好，一个人回来并随着学分开始滚动开始说话。")</f>
        <v>他们继续在山上做各种爱好，一个人回来并随着学分开始滚动开始说话。</v>
      </c>
    </row>
    <row r="18136">
      <c r="A18136" s="4" t="s">
        <v>22827</v>
      </c>
      <c r="B18136" s="4" t="s">
        <v>22828</v>
      </c>
      <c r="C18136" s="5" t="str">
        <f>IFERROR(__xludf.DUMMYFUNCTION("GOOGLETRANSLATE(B18136,""en"",""zh-CN"")"),"一个年轻的女孩在公园外面与她的哥哥说话。")</f>
        <v>一个年轻的女孩在公园外面与她的哥哥说话。</v>
      </c>
    </row>
    <row r="18137">
      <c r="A18137" s="4" t="s">
        <v>22827</v>
      </c>
      <c r="B18137" s="4" t="s">
        <v>22829</v>
      </c>
      <c r="C18137" s="5" t="str">
        <f>IFERROR(__xludf.DUMMYFUNCTION("GOOGLETRANSLATE(B18137,""en"",""zh-CN"")"),"两人开始朝下，他们跌倒到人行道上，绘制了一段漫长的啤酒花游戏。")</f>
        <v>两人开始朝下，他们跌倒到人行道上，绘制了一段漫长的啤酒花游戏。</v>
      </c>
    </row>
    <row r="18138">
      <c r="A18138" s="4" t="s">
        <v>22827</v>
      </c>
      <c r="B18138" s="4" t="s">
        <v>22830</v>
      </c>
      <c r="C18138" s="5" t="str">
        <f>IFERROR(__xludf.DUMMYFUNCTION("GOOGLETRANSLATE(B18138,""en"",""zh-CN"")"),"完成后，他们站起来，扔粉笔，女孩移到游戏的右边。")</f>
        <v>完成后，他们站起来，扔粉笔，女孩移到游戏的右边。</v>
      </c>
    </row>
    <row r="18139">
      <c r="A18139" s="4" t="s">
        <v>22827</v>
      </c>
      <c r="B18139" s="6" t="s">
        <v>22831</v>
      </c>
      <c r="C18139" s="5" t="str">
        <f>IFERROR(__xludf.DUMMYFUNCTION("GOOGLETRANSLATE(B18139,""en"",""zh-CN"")"),"这个男孩开始比赛，女孩开始转身向前移动。")</f>
        <v>这个男孩开始比赛，女孩开始转身向前移动。</v>
      </c>
    </row>
    <row r="18140">
      <c r="A18140" s="4" t="s">
        <v>22827</v>
      </c>
      <c r="B18140" s="6" t="s">
        <v>22832</v>
      </c>
      <c r="C18140" s="5" t="str">
        <f>IFERROR(__xludf.DUMMYFUNCTION("GOOGLETRANSLATE(B18140,""en"",""zh-CN"")"),"为了展示她，男孩开始在人行道上跳舞，女孩通过翻转游戏来归还它。")</f>
        <v>为了展示她，男孩开始在人行道上跳舞，女孩通过翻转游戏来归还它。</v>
      </c>
    </row>
    <row r="18141">
      <c r="A18141" s="4" t="s">
        <v>22827</v>
      </c>
      <c r="B18141" s="4" t="s">
        <v>22833</v>
      </c>
      <c r="C18141" s="5" t="str">
        <f>IFERROR(__xludf.DUMMYFUNCTION("GOOGLETRANSLATE(B18141,""en"",""zh-CN"")"),"现在轮到男孩了，他试图翻转，但最终跌倒了，女孩开始嘲笑他。")</f>
        <v>现在轮到男孩了，他试图翻转，但最终跌倒了，女孩开始嘲笑他。</v>
      </c>
    </row>
    <row r="18142">
      <c r="A18142" s="4" t="s">
        <v>22827</v>
      </c>
      <c r="B18142" s="4" t="s">
        <v>22834</v>
      </c>
      <c r="C18142" s="5" t="str">
        <f>IFERROR(__xludf.DUMMYFUNCTION("GOOGLETRANSLATE(B18142,""en"",""zh-CN"")"),"年轻女孩获胜，结果给她Xbox。")</f>
        <v>年轻女孩获胜，结果给她Xbox。</v>
      </c>
    </row>
    <row r="18143">
      <c r="A18143" s="4" t="s">
        <v>22835</v>
      </c>
      <c r="B18143" s="4" t="s">
        <v>22836</v>
      </c>
      <c r="C18143" s="5" t="str">
        <f>IFERROR(__xludf.DUMMYFUNCTION("GOOGLETRANSLATE(B18143,""en"",""zh-CN"")"),"一个穿着黑色的男人在泳池露台上演奏萨克斯管。")</f>
        <v>一个穿着黑色的男人在泳池露台上演奏萨克斯管。</v>
      </c>
    </row>
    <row r="18144">
      <c r="A18144" s="4" t="s">
        <v>22835</v>
      </c>
      <c r="B18144" s="4" t="s">
        <v>22837</v>
      </c>
      <c r="C18144" s="5" t="str">
        <f>IFERROR(__xludf.DUMMYFUNCTION("GOOGLETRANSLATE(B18144,""en"",""zh-CN"")"),"萨克斯管演奏者瞥了一眼他的键盘播放器。")</f>
        <v>萨克斯管演奏者瞥了一眼他的键盘播放器。</v>
      </c>
    </row>
    <row r="18145">
      <c r="A18145" s="4" t="s">
        <v>22835</v>
      </c>
      <c r="B18145" s="4" t="s">
        <v>22838</v>
      </c>
      <c r="C18145" s="5" t="str">
        <f>IFERROR(__xludf.DUMMYFUNCTION("GOOGLETRANSLATE(B18145,""en"",""zh-CN"")"),"摄像头将弹奏键盘播放器播放，弹奏Korg Electric钢琴。")</f>
        <v>摄像头将弹奏键盘播放器播放，弹奏Korg Electric钢琴。</v>
      </c>
    </row>
    <row r="18146">
      <c r="A18146" s="4" t="s">
        <v>22839</v>
      </c>
      <c r="B18146" s="4" t="s">
        <v>22840</v>
      </c>
      <c r="C18146" s="5" t="str">
        <f>IFERROR(__xludf.DUMMYFUNCTION("GOOGLETRANSLATE(B18146,""en"",""zh-CN"")"),"女士和镜头说话。")</f>
        <v>女士和镜头说话。</v>
      </c>
    </row>
    <row r="18147">
      <c r="A18147" s="4" t="s">
        <v>22839</v>
      </c>
      <c r="B18147" s="4" t="s">
        <v>22841</v>
      </c>
      <c r="C18147" s="5" t="str">
        <f>IFERROR(__xludf.DUMMYFUNCTION("GOOGLETRANSLATE(B18147,""en"",""zh-CN"")"),"然后我们看到一个锅。")</f>
        <v>然后我们看到一个锅。</v>
      </c>
    </row>
    <row r="18148">
      <c r="A18148" s="4" t="s">
        <v>22839</v>
      </c>
      <c r="B18148" s="4" t="s">
        <v>22842</v>
      </c>
      <c r="C18148" s="5" t="str">
        <f>IFERROR(__xludf.DUMMYFUNCTION("GOOGLETRANSLATE(B18148,""en"",""zh-CN"")"),"我们在盒子里看到意大利面条。")</f>
        <v>我们在盒子里看到意大利面条。</v>
      </c>
    </row>
    <row r="18149">
      <c r="A18149" s="4" t="s">
        <v>22839</v>
      </c>
      <c r="B18149" s="4" t="s">
        <v>22843</v>
      </c>
      <c r="C18149" s="5" t="str">
        <f>IFERROR(__xludf.DUMMYFUNCTION("GOOGLETRANSLATE(B18149,""en"",""zh-CN"")"),"我们在杯子里看到盐。")</f>
        <v>我们在杯子里看到盐。</v>
      </c>
    </row>
    <row r="18150">
      <c r="A18150" s="4" t="s">
        <v>22839</v>
      </c>
      <c r="B18150" s="4" t="s">
        <v>22844</v>
      </c>
      <c r="C18150" s="5" t="str">
        <f>IFERROR(__xludf.DUMMYFUNCTION("GOOGLETRANSLATE(B18150,""en"",""zh-CN"")"),"水在机器人中沸腾。")</f>
        <v>水在机器人中沸腾。</v>
      </c>
    </row>
    <row r="18151">
      <c r="A18151" s="4" t="s">
        <v>22839</v>
      </c>
      <c r="B18151" s="4" t="s">
        <v>22845</v>
      </c>
      <c r="C18151" s="5" t="str">
        <f>IFERROR(__xludf.DUMMYFUNCTION("GOOGLETRANSLATE(B18151,""en"",""zh-CN"")"),"她在锅中添加盐。")</f>
        <v>她在锅中添加盐。</v>
      </c>
    </row>
    <row r="18152">
      <c r="A18152" s="4" t="s">
        <v>22839</v>
      </c>
      <c r="B18152" s="4" t="s">
        <v>22846</v>
      </c>
      <c r="C18152" s="5" t="str">
        <f>IFERROR(__xludf.DUMMYFUNCTION("GOOGLETRANSLATE(B18152,""en"",""zh-CN"")"),"她在水中添加意大利面。")</f>
        <v>她在水中添加意大利面。</v>
      </c>
    </row>
    <row r="18153">
      <c r="A18153" s="4" t="s">
        <v>22839</v>
      </c>
      <c r="B18153" s="4" t="s">
        <v>22847</v>
      </c>
      <c r="C18153" s="5" t="str">
        <f>IFERROR(__xludf.DUMMYFUNCTION("GOOGLETRANSLATE(B18153,""en"",""zh-CN"")"),"我们看到面食盒靠近。")</f>
        <v>我们看到面食盒靠近。</v>
      </c>
    </row>
    <row r="18154">
      <c r="A18154" s="4" t="s">
        <v>22839</v>
      </c>
      <c r="B18154" s="4" t="s">
        <v>22848</v>
      </c>
      <c r="C18154" s="5" t="str">
        <f>IFERROR(__xludf.DUMMYFUNCTION("GOOGLETRANSLATE(B18154,""en"",""zh-CN"")"),"我们看到女士设置了计时器。")</f>
        <v>我们看到女士设置了计时器。</v>
      </c>
    </row>
    <row r="18155">
      <c r="A18155" s="4" t="s">
        <v>22839</v>
      </c>
      <c r="B18155" s="4" t="s">
        <v>22849</v>
      </c>
      <c r="C18155" s="5" t="str">
        <f>IFERROR(__xludf.DUMMYFUNCTION("GOOGLETRANSLATE(B18155,""en"",""zh-CN"")"),"她从锅里取出意大利面。")</f>
        <v>她从锅里取出意大利面。</v>
      </c>
    </row>
    <row r="18156">
      <c r="A18156" s="4" t="s">
        <v>22839</v>
      </c>
      <c r="B18156" s="4" t="s">
        <v>22850</v>
      </c>
      <c r="C18156" s="5" t="str">
        <f>IFERROR(__xludf.DUMMYFUNCTION("GOOGLETRANSLATE(B18156,""en"",""zh-CN"")"),"她说话并在相机上再见。")</f>
        <v>她说话并在相机上再见。</v>
      </c>
    </row>
    <row r="18157">
      <c r="A18157" s="4" t="s">
        <v>22851</v>
      </c>
      <c r="B18157" s="6" t="s">
        <v>22852</v>
      </c>
      <c r="C18157" s="5" t="str">
        <f>IFERROR(__xludf.DUMMYFUNCTION("GOOGLETRANSLATE(B18157,""en"",""zh-CN"")"),"看到一个男人和女人站在地板的中间，一个女人在相机上说话，并与男人跳舞。")</f>
        <v>看到一个男人和女人站在地板的中间，一个女人在相机上说话，并与男人跳舞。</v>
      </c>
    </row>
    <row r="18158">
      <c r="A18158" s="4" t="s">
        <v>22851</v>
      </c>
      <c r="B18158" s="4" t="s">
        <v>22853</v>
      </c>
      <c r="C18158" s="5" t="str">
        <f>IFERROR(__xludf.DUMMYFUNCTION("GOOGLETRANSLATE(B18158,""en"",""zh-CN"")"),"两人彼此旋转并跳舞，结束，彼此走开。")</f>
        <v>两人彼此旋转并跳舞，结束，彼此走开。</v>
      </c>
    </row>
    <row r="18159">
      <c r="A18159" s="4" t="s">
        <v>22854</v>
      </c>
      <c r="B18159" s="4" t="s">
        <v>22855</v>
      </c>
      <c r="C18159" s="5" t="str">
        <f>IFERROR(__xludf.DUMMYFUNCTION("GOOGLETRANSLATE(B18159,""en"",""zh-CN"")"),"看到一个男人站在带有开放式后备箱的汽车旁边的相机上说话。")</f>
        <v>看到一个男人站在带有开放式后备箱的汽车旁边的相机上说话。</v>
      </c>
    </row>
    <row r="18160">
      <c r="A18160" s="4" t="s">
        <v>22854</v>
      </c>
      <c r="B18160" s="4" t="s">
        <v>22856</v>
      </c>
      <c r="C18160" s="5" t="str">
        <f>IFERROR(__xludf.DUMMYFUNCTION("GOOGLETRANSLATE(B18160,""en"",""zh-CN"")"),"然后，该男子拧开一个轮胎，用千斤顶抬起汽车。")</f>
        <v>然后，该男子拧开一个轮胎，用千斤顶抬起汽车。</v>
      </c>
    </row>
    <row r="18161">
      <c r="A18161" s="4" t="s">
        <v>22854</v>
      </c>
      <c r="B18161" s="4" t="s">
        <v>22857</v>
      </c>
      <c r="C18161" s="5" t="str">
        <f>IFERROR(__xludf.DUMMYFUNCTION("GOOGLETRANSLATE(B18161,""en"",""zh-CN"")"),"该男子脱下轮胎，然后将新的轮胎拧入，结束时将其拧入。")</f>
        <v>该男子脱下轮胎，然后将新的轮胎拧入，结束时将其拧入。</v>
      </c>
    </row>
    <row r="18162">
      <c r="A18162" s="4" t="s">
        <v>22854</v>
      </c>
      <c r="B18162" s="4" t="s">
        <v>22858</v>
      </c>
      <c r="C18162" s="5" t="str">
        <f>IFERROR(__xludf.DUMMYFUNCTION("GOOGLETRANSLATE(B18162,""en"",""zh-CN"")"),"他脱下千斤顶，与相机交谈结束。")</f>
        <v>他脱下千斤顶，与相机交谈结束。</v>
      </c>
    </row>
    <row r="18163">
      <c r="A18163" s="4" t="s">
        <v>22859</v>
      </c>
      <c r="B18163" s="4" t="s">
        <v>22860</v>
      </c>
      <c r="C18163" s="5" t="str">
        <f>IFERROR(__xludf.DUMMYFUNCTION("GOOGLETRANSLATE(B18163,""en"",""zh-CN"")"),"在黑暗的房间里显示了一辆自行车。")</f>
        <v>在黑暗的房间里显示了一辆自行车。</v>
      </c>
    </row>
    <row r="18164">
      <c r="A18164" s="4" t="s">
        <v>22859</v>
      </c>
      <c r="B18164" s="4" t="s">
        <v>22861</v>
      </c>
      <c r="C18164" s="5" t="str">
        <f>IFERROR(__xludf.DUMMYFUNCTION("GOOGLETRANSLATE(B18164,""en"",""zh-CN"")"),"男子穿着摩托车衣服，正在田野里骑摩托车。")</f>
        <v>男子穿着摩托车衣服，正在田野里骑摩托车。</v>
      </c>
    </row>
    <row r="18165">
      <c r="A18165" s="4" t="s">
        <v>22859</v>
      </c>
      <c r="B18165" s="4" t="s">
        <v>22862</v>
      </c>
      <c r="C18165" s="5" t="str">
        <f>IFERROR(__xludf.DUMMYFUNCTION("GOOGLETRANSLATE(B18165,""en"",""zh-CN"")"),"男人在尘土飞扬的田野中在摩托车实践越野摩托车上跳高。")</f>
        <v>男人在尘土飞扬的田野中在摩托车实践越野摩托车上跳高。</v>
      </c>
    </row>
    <row r="18166">
      <c r="A18166" s="4" t="s">
        <v>22863</v>
      </c>
      <c r="B18166" s="4" t="s">
        <v>22864</v>
      </c>
      <c r="C18166" s="5" t="str">
        <f>IFERROR(__xludf.DUMMYFUNCTION("GOOGLETRANSLATE(B18166,""en"",""zh-CN"")"),"显示了一大批旗帜。")</f>
        <v>显示了一大批旗帜。</v>
      </c>
    </row>
    <row r="18167">
      <c r="A18167" s="4" t="s">
        <v>22863</v>
      </c>
      <c r="B18167" s="4" t="s">
        <v>22865</v>
      </c>
      <c r="C18167" s="5" t="str">
        <f>IFERROR(__xludf.DUMMYFUNCTION("GOOGLETRANSLATE(B18167,""en"",""zh-CN"")"),"几个游泳者在游泳池里游泳。")</f>
        <v>几个游泳者在游泳池里游泳。</v>
      </c>
    </row>
    <row r="18168">
      <c r="A18168" s="4" t="s">
        <v>22863</v>
      </c>
      <c r="B18168" s="4" t="s">
        <v>22866</v>
      </c>
      <c r="C18168" s="5" t="str">
        <f>IFERROR(__xludf.DUMMYFUNCTION("GOOGLETRANSLATE(B18168,""en"",""zh-CN"")"),"他们在竞争中游泳，从下面展出。")</f>
        <v>他们在竞争中游泳，从下面展出。</v>
      </c>
    </row>
    <row r="18169">
      <c r="A18169" s="4" t="s">
        <v>22867</v>
      </c>
      <c r="B18169" s="4" t="s">
        <v>22868</v>
      </c>
      <c r="C18169" s="5" t="str">
        <f>IFERROR(__xludf.DUMMYFUNCTION("GOOGLETRANSLATE(B18169,""en"",""zh-CN"")"),"一个男人在他的前院里迅速耙树叶。")</f>
        <v>一个男人在他的前院里迅速耙树叶。</v>
      </c>
    </row>
    <row r="18170">
      <c r="A18170" s="4" t="s">
        <v>22867</v>
      </c>
      <c r="B18170" s="4" t="s">
        <v>22869</v>
      </c>
      <c r="C18170" s="5" t="str">
        <f>IFERROR(__xludf.DUMMYFUNCTION("GOOGLETRANSLATE(B18170,""en"",""zh-CN"")"),"当他继续耙开时，几辆汽车驶过。")</f>
        <v>当他继续耙开时，几辆汽车驶过。</v>
      </c>
    </row>
    <row r="18171">
      <c r="A18171" s="4" t="s">
        <v>22867</v>
      </c>
      <c r="B18171" s="4" t="s">
        <v>22870</v>
      </c>
      <c r="C18171" s="5" t="str">
        <f>IFERROR(__xludf.DUMMYFUNCTION("GOOGLETRANSLATE(B18171,""en"",""zh-CN"")"),"他在院子里的灌木丛和树上耙开。")</f>
        <v>他在院子里的灌木丛和树上耙开。</v>
      </c>
    </row>
    <row r="18172">
      <c r="A18172" s="4" t="s">
        <v>22867</v>
      </c>
      <c r="B18172" s="4" t="s">
        <v>22871</v>
      </c>
      <c r="C18172" s="5" t="str">
        <f>IFERROR(__xludf.DUMMYFUNCTION("GOOGLETRANSLATE(B18172,""en"",""zh-CN"")"),"一个女人出现，帮助他耙和包裹叶子。")</f>
        <v>一个女人出现，帮助他耙和包裹叶子。</v>
      </c>
    </row>
    <row r="18173">
      <c r="A18173" s="4" t="s">
        <v>22867</v>
      </c>
      <c r="B18173" s="4" t="s">
        <v>22872</v>
      </c>
      <c r="C18173" s="5" t="str">
        <f>IFERROR(__xludf.DUMMYFUNCTION("GOOGLETRANSLATE(B18173,""en"",""zh-CN"")"),"完成后，他们将行李带走。")</f>
        <v>完成后，他们将行李带走。</v>
      </c>
    </row>
    <row r="18174">
      <c r="A18174" s="4" t="s">
        <v>22867</v>
      </c>
      <c r="B18174" s="4" t="s">
        <v>22873</v>
      </c>
      <c r="C18174" s="5" t="str">
        <f>IFERROR(__xludf.DUMMYFUNCTION("GOOGLETRANSLATE(B18174,""en"",""zh-CN"")"),"他们站在镜头前，与耙子一起摆姿势。")</f>
        <v>他们站在镜头前，与耙子一起摆姿势。</v>
      </c>
    </row>
    <row r="18175">
      <c r="A18175" s="4" t="s">
        <v>22874</v>
      </c>
      <c r="B18175" s="4" t="s">
        <v>22875</v>
      </c>
      <c r="C18175" s="5" t="str">
        <f>IFERROR(__xludf.DUMMYFUNCTION("GOOGLETRANSLATE(B18175,""en"",""zh-CN"")"),"一个人在用相机录制的同时在院子里行走。")</f>
        <v>一个人在用相机录制的同时在院子里行走。</v>
      </c>
    </row>
    <row r="18176">
      <c r="A18176" s="4" t="s">
        <v>22874</v>
      </c>
      <c r="B18176" s="4" t="s">
        <v>22876</v>
      </c>
      <c r="C18176" s="5" t="str">
        <f>IFERROR(__xludf.DUMMYFUNCTION("GOOGLETRANSLATE(B18176,""en"",""zh-CN"")"),"该人得到了白色油漆的托盘，并有栅栏。")</f>
        <v>该人得到了白色油漆的托盘，并有栅栏。</v>
      </c>
    </row>
    <row r="18177">
      <c r="A18177" s="4" t="s">
        <v>22877</v>
      </c>
      <c r="B18177" s="4" t="s">
        <v>22878</v>
      </c>
      <c r="C18177" s="5" t="str">
        <f>IFERROR(__xludf.DUMMYFUNCTION("GOOGLETRANSLATE(B18177,""en"",""zh-CN"")"),"一个男人从厨房与摄像机说话。")</f>
        <v>一个男人从厨房与摄像机说话。</v>
      </c>
    </row>
    <row r="18178">
      <c r="A18178" s="4" t="s">
        <v>22877</v>
      </c>
      <c r="B18178" s="4" t="s">
        <v>22879</v>
      </c>
      <c r="C18178" s="5" t="str">
        <f>IFERROR(__xludf.DUMMYFUNCTION("GOOGLETRANSLATE(B18178,""en"",""zh-CN"")"),"该男子用几种锐化工具展示了刀具。")</f>
        <v>该男子用几种锐化工具展示了刀具。</v>
      </c>
    </row>
    <row r="18179">
      <c r="A18179" s="4" t="s">
        <v>22877</v>
      </c>
      <c r="B18179" s="4" t="s">
        <v>22880</v>
      </c>
      <c r="C18179" s="5" t="str">
        <f>IFERROR(__xludf.DUMMYFUNCTION("GOOGLETRANSLATE(B18179,""en"",""zh-CN"")"),"该男子再次与相机交谈。")</f>
        <v>该男子再次与相机交谈。</v>
      </c>
    </row>
    <row r="18180">
      <c r="A18180" s="4" t="s">
        <v>22877</v>
      </c>
      <c r="B18180" s="4" t="s">
        <v>22881</v>
      </c>
      <c r="C18180" s="5" t="str">
        <f>IFERROR(__xludf.DUMMYFUNCTION("GOOGLETRANSLATE(B18180,""en"",""zh-CN"")"),"该男子锐化，然后举起刀。")</f>
        <v>该男子锐化，然后举起刀。</v>
      </c>
    </row>
    <row r="18181">
      <c r="A18181" s="4" t="s">
        <v>22877</v>
      </c>
      <c r="B18181" s="4" t="s">
        <v>22882</v>
      </c>
      <c r="C18181" s="5" t="str">
        <f>IFERROR(__xludf.DUMMYFUNCTION("GOOGLETRANSLATE(B18181,""en"",""zh-CN"")"),"显示了几种类型的刀具存储选项。")</f>
        <v>显示了几种类型的刀具存储选项。</v>
      </c>
    </row>
    <row r="18182">
      <c r="A18182" s="4" t="s">
        <v>22877</v>
      </c>
      <c r="B18182" s="4" t="s">
        <v>22883</v>
      </c>
      <c r="C18182" s="5" t="str">
        <f>IFERROR(__xludf.DUMMYFUNCTION("GOOGLETRANSLATE(B18182,""en"",""zh-CN"")"),"该男子与摄像机交谈。")</f>
        <v>该男子与摄像机交谈。</v>
      </c>
    </row>
    <row r="18183">
      <c r="A18183" s="4" t="s">
        <v>22884</v>
      </c>
      <c r="B18183" s="4" t="s">
        <v>22885</v>
      </c>
      <c r="C18183" s="5" t="str">
        <f>IFERROR(__xludf.DUMMYFUNCTION("GOOGLETRANSLATE(B18183,""en"",""zh-CN"")"),"我们看到一个带狗的开场屏幕。")</f>
        <v>我们看到一个带狗的开场屏幕。</v>
      </c>
    </row>
    <row r="18184">
      <c r="A18184" s="4" t="s">
        <v>22884</v>
      </c>
      <c r="B18184" s="4" t="s">
        <v>22886</v>
      </c>
      <c r="C18184" s="5" t="str">
        <f>IFERROR(__xludf.DUMMYFUNCTION("GOOGLETRANSLATE(B18184,""en"",""zh-CN"")"),"我们在护士衬衫上看到一位女士说话，两只狗在厨房里。")</f>
        <v>我们在护士衬衫上看到一位女士说话，两只狗在厨房里。</v>
      </c>
    </row>
    <row r="18185">
      <c r="A18185" s="4" t="s">
        <v>22884</v>
      </c>
      <c r="B18185" s="4" t="s">
        <v>22887</v>
      </c>
      <c r="C18185" s="5" t="str">
        <f>IFERROR(__xludf.DUMMYFUNCTION("GOOGLETRANSLATE(B18185,""en"",""zh-CN"")"),"这位女士有一只小湿狗，她在桌子上吸尘，正在刷狗。")</f>
        <v>这位女士有一只小湿狗，她在桌子上吸尘，正在刷狗。</v>
      </c>
    </row>
    <row r="18186">
      <c r="A18186" s="4" t="s">
        <v>22884</v>
      </c>
      <c r="B18186" s="4" t="s">
        <v>22888</v>
      </c>
      <c r="C18186" s="5" t="str">
        <f>IFERROR(__xludf.DUMMYFUNCTION("GOOGLETRANSLATE(B18186,""en"",""zh-CN"")"),"我们看到狗在厨房地板上奔跑。")</f>
        <v>我们看到狗在厨房地板上奔跑。</v>
      </c>
    </row>
    <row r="18187">
      <c r="A18187" s="4" t="s">
        <v>22884</v>
      </c>
      <c r="B18187" s="4" t="s">
        <v>22889</v>
      </c>
      <c r="C18187" s="5" t="str">
        <f>IFERROR(__xludf.DUMMYFUNCTION("GOOGLETRANSLATE(B18187,""en"",""zh-CN"")"),"我们看到那位女士剃了狗皮毛，刷狗。")</f>
        <v>我们看到那位女士剃了狗皮毛，刷狗。</v>
      </c>
    </row>
    <row r="18188">
      <c r="A18188" s="4" t="s">
        <v>22884</v>
      </c>
      <c r="B18188" s="4" t="s">
        <v>22890</v>
      </c>
      <c r="C18188" s="5" t="str">
        <f>IFERROR(__xludf.DUMMYFUNCTION("GOOGLETRANSLATE(B18188,""en"",""zh-CN"")"),"然后，我们再次在地板上看到狗。")</f>
        <v>然后，我们再次在地板上看到狗。</v>
      </c>
    </row>
    <row r="18189">
      <c r="A18189" s="4" t="s">
        <v>22884</v>
      </c>
      <c r="B18189" s="4" t="s">
        <v>22891</v>
      </c>
      <c r="C18189" s="5" t="str">
        <f>IFERROR(__xludf.DUMMYFUNCTION("GOOGLETRANSLATE(B18189,""en"",""zh-CN"")"),"我们看到女士和她的联系信息在她的脸上。")</f>
        <v>我们看到女士和她的联系信息在她的脸上。</v>
      </c>
    </row>
    <row r="18190">
      <c r="A18190" s="4" t="s">
        <v>22892</v>
      </c>
      <c r="B18190" s="4" t="s">
        <v>22893</v>
      </c>
      <c r="C18190" s="5" t="str">
        <f>IFERROR(__xludf.DUMMYFUNCTION("GOOGLETRANSLATE(B18190,""en"",""zh-CN"")"),"足球广告出现在屏幕上。")</f>
        <v>足球广告出现在屏幕上。</v>
      </c>
    </row>
    <row r="18191">
      <c r="A18191" s="4" t="s">
        <v>22892</v>
      </c>
      <c r="B18191" s="4" t="s">
        <v>22894</v>
      </c>
      <c r="C18191" s="5" t="str">
        <f>IFERROR(__xludf.DUMMYFUNCTION("GOOGLETRANSLATE(B18191,""en"",""zh-CN"")"),"几个男人在室内踢足球。")</f>
        <v>几个男人在室内踢足球。</v>
      </c>
    </row>
    <row r="18192">
      <c r="A18192" s="4" t="s">
        <v>22892</v>
      </c>
      <c r="B18192" s="4" t="s">
        <v>22895</v>
      </c>
      <c r="C18192" s="5" t="str">
        <f>IFERROR(__xludf.DUMMYFUNCTION("GOOGLETRANSLATE(B18192,""en"",""zh-CN"")"),"他们来回踢球，而有些人则在场边看。")</f>
        <v>他们来回踢球，而有些人则在场边看。</v>
      </c>
    </row>
    <row r="18193">
      <c r="A18193" s="4" t="s">
        <v>22896</v>
      </c>
      <c r="B18193" s="4" t="s">
        <v>22897</v>
      </c>
      <c r="C18193" s="5" t="str">
        <f>IFERROR(__xludf.DUMMYFUNCTION("GOOGLETRANSLATE(B18193,""en"",""zh-CN"")"),"一名棒球运动员在体育场上奔跑，并在本垒打中跑步。")</f>
        <v>一名棒球运动员在体育场上奔跑，并在本垒打中跑步。</v>
      </c>
    </row>
    <row r="18194">
      <c r="A18194" s="4" t="s">
        <v>22896</v>
      </c>
      <c r="B18194" s="4" t="s">
        <v>22898</v>
      </c>
      <c r="C18194" s="5" t="str">
        <f>IFERROR(__xludf.DUMMYFUNCTION("GOOGLETRANSLATE(B18194,""en"",""zh-CN"")"),"球员踢球并在棒球场上运行基地。")</f>
        <v>球员踢球并在棒球场上运行基地。</v>
      </c>
    </row>
    <row r="18195">
      <c r="A18195" s="4" t="s">
        <v>22896</v>
      </c>
      <c r="B18195" s="4" t="s">
        <v>22899</v>
      </c>
      <c r="C18195" s="5" t="str">
        <f>IFERROR(__xludf.DUMMYFUNCTION("GOOGLETRANSLATE(B18195,""en"",""zh-CN"")"),"捕手在跳舞时很开心。")</f>
        <v>捕手在跳舞时很开心。</v>
      </c>
    </row>
    <row r="18196">
      <c r="A18196" s="4" t="s">
        <v>22896</v>
      </c>
      <c r="B18196" s="4" t="s">
        <v>22900</v>
      </c>
      <c r="C18196" s="5" t="str">
        <f>IFERROR(__xludf.DUMMYFUNCTION("GOOGLETRANSLATE(B18196,""en"",""zh-CN"")"),"垒手在空中抓住了一脚，球员淘汰了。")</f>
        <v>垒手在空中抓住了一脚，球员淘汰了。</v>
      </c>
    </row>
    <row r="18197">
      <c r="A18197" s="4" t="s">
        <v>22901</v>
      </c>
      <c r="B18197" s="4" t="s">
        <v>22902</v>
      </c>
      <c r="C18197" s="5" t="str">
        <f>IFERROR(__xludf.DUMMYFUNCTION("GOOGLETRANSLATE(B18197,""en"",""zh-CN"")"),"一个人在雨中骑着割草机带雨伞。")</f>
        <v>一个人在雨中骑着割草机带雨伞。</v>
      </c>
    </row>
    <row r="18198">
      <c r="A18198" s="4" t="s">
        <v>22901</v>
      </c>
      <c r="B18198" s="4" t="s">
        <v>22903</v>
      </c>
      <c r="C18198" s="5" t="str">
        <f>IFERROR(__xludf.DUMMYFUNCTION("GOOGLETRANSLATE(B18198,""en"",""zh-CN"")"),"一条浅色的轿车在道路上经过。")</f>
        <v>一条浅色的轿车在道路上经过。</v>
      </c>
    </row>
    <row r="18199">
      <c r="A18199" s="4" t="s">
        <v>22901</v>
      </c>
      <c r="B18199" s="4" t="s">
        <v>22904</v>
      </c>
      <c r="C18199" s="5" t="str">
        <f>IFERROR(__xludf.DUMMYFUNCTION("GOOGLETRANSLATE(B18199,""en"",""zh-CN"")"),"割草机上的人开车前往道路。")</f>
        <v>割草机上的人开车前往道路。</v>
      </c>
    </row>
    <row r="18200">
      <c r="A18200" s="4" t="s">
        <v>22905</v>
      </c>
      <c r="B18200" s="4" t="s">
        <v>22906</v>
      </c>
      <c r="C18200" s="5" t="str">
        <f>IFERROR(__xludf.DUMMYFUNCTION("GOOGLETRANSLATE(B18200,""en"",""zh-CN"")"),"看到一个小孩坐在秋千中。")</f>
        <v>看到一个小孩坐在秋千中。</v>
      </c>
    </row>
    <row r="18201">
      <c r="A18201" s="4" t="s">
        <v>22905</v>
      </c>
      <c r="B18201" s="4" t="s">
        <v>22907</v>
      </c>
      <c r="C18201" s="5" t="str">
        <f>IFERROR(__xludf.DUMMYFUNCTION("GOOGLETRANSLATE(B18201,""en"",""zh-CN"")"),"笑着时，孩子在秋千上移动第四。")</f>
        <v>笑着时，孩子在秋千上移动第四。</v>
      </c>
    </row>
    <row r="18202">
      <c r="A18202" s="4" t="s">
        <v>22905</v>
      </c>
      <c r="B18202" s="4" t="s">
        <v>22908</v>
      </c>
      <c r="C18202" s="5" t="str">
        <f>IFERROR(__xludf.DUMMYFUNCTION("GOOGLETRANSLATE(B18202,""en"",""zh-CN"")"),"看到一个人的手在回去和第四。")</f>
        <v>看到一个人的手在回去和第四。</v>
      </c>
    </row>
    <row r="18203">
      <c r="A18203" s="4" t="s">
        <v>22909</v>
      </c>
      <c r="B18203" s="4" t="s">
        <v>22910</v>
      </c>
      <c r="C18203" s="5" t="str">
        <f>IFERROR(__xludf.DUMMYFUNCTION("GOOGLETRANSLATE(B18203,""en"",""zh-CN"")"),"一位女士正在擦她的脸。")</f>
        <v>一位女士正在擦她的脸。</v>
      </c>
    </row>
    <row r="18204">
      <c r="A18204" s="4" t="s">
        <v>22909</v>
      </c>
      <c r="B18204" s="4" t="s">
        <v>22911</v>
      </c>
      <c r="C18204" s="5" t="str">
        <f>IFERROR(__xludf.DUMMYFUNCTION("GOOGLETRANSLATE(B18204,""en"",""zh-CN"")"),"一个小女孩正在化妆。")</f>
        <v>一个小女孩正在化妆。</v>
      </c>
    </row>
    <row r="18205">
      <c r="A18205" s="4" t="s">
        <v>22909</v>
      </c>
      <c r="B18205" s="4" t="s">
        <v>22912</v>
      </c>
      <c r="C18205" s="5" t="str">
        <f>IFERROR(__xludf.DUMMYFUNCTION("GOOGLETRANSLATE(B18205,""en"",""zh-CN"")"),"母亲化妆。")</f>
        <v>母亲化妆。</v>
      </c>
    </row>
    <row r="18206">
      <c r="A18206" s="4" t="s">
        <v>22909</v>
      </c>
      <c r="B18206" s="4" t="s">
        <v>22913</v>
      </c>
      <c r="C18206" s="5" t="str">
        <f>IFERROR(__xludf.DUMMYFUNCTION("GOOGLETRANSLATE(B18206,""en"",""zh-CN"")"),"女孩们钦佩她的反思。")</f>
        <v>女孩们钦佩她的反思。</v>
      </c>
    </row>
    <row r="18207">
      <c r="A18207" s="4" t="s">
        <v>22909</v>
      </c>
      <c r="B18207" s="4" t="s">
        <v>22914</v>
      </c>
      <c r="C18207" s="5" t="str">
        <f>IFERROR(__xludf.DUMMYFUNCTION("GOOGLETRANSLATE(B18207,""en"",""zh-CN"")"),"女孩抓住她的牙刷。")</f>
        <v>女孩抓住她的牙刷。</v>
      </c>
    </row>
    <row r="18208">
      <c r="A18208" s="4" t="s">
        <v>22915</v>
      </c>
      <c r="B18208" s="4" t="s">
        <v>22916</v>
      </c>
      <c r="C18208" s="5" t="str">
        <f>IFERROR(__xludf.DUMMYFUNCTION("GOOGLETRANSLATE(B18208,""en"",""zh-CN"")"),"一个戴着滑雪镜的男人可以调整相机。")</f>
        <v>一个戴着滑雪镜的男人可以调整相机。</v>
      </c>
    </row>
    <row r="18209">
      <c r="A18209" s="4" t="s">
        <v>22915</v>
      </c>
      <c r="B18209" s="4" t="s">
        <v>22917</v>
      </c>
      <c r="C18209" s="5" t="str">
        <f>IFERROR(__xludf.DUMMYFUNCTION("GOOGLETRANSLATE(B18209,""en"",""zh-CN"")"),"看到几个人滑下陡峭的斜坡。")</f>
        <v>看到几个人滑下陡峭的斜坡。</v>
      </c>
    </row>
    <row r="18210">
      <c r="A18210" s="4" t="s">
        <v>22915</v>
      </c>
      <c r="B18210" s="4" t="s">
        <v>22918</v>
      </c>
      <c r="C18210" s="5" t="str">
        <f>IFERROR(__xludf.DUMMYFUNCTION("GOOGLETRANSLATE(B18210,""en"",""zh-CN"")"),"他们下坡时，他们继续越来越快地滑雪。")</f>
        <v>他们下坡时，他们继续越来越快地滑雪。</v>
      </c>
    </row>
    <row r="18211">
      <c r="A18211" s="4" t="s">
        <v>22919</v>
      </c>
      <c r="B18211" s="6" t="s">
        <v>22920</v>
      </c>
      <c r="C18211" s="5" t="str">
        <f>IFERROR(__xludf.DUMMYFUNCTION("GOOGLETRANSLATE(B18211,""en"",""zh-CN"")"),"该名女子可以在赛道上脱颖而出，男人走开了。")</f>
        <v>该名女子可以在赛道上脱颖而出，男人走开了。</v>
      </c>
    </row>
    <row r="18212">
      <c r="A18212" s="4" t="s">
        <v>22919</v>
      </c>
      <c r="B18212" s="6" t="s">
        <v>22921</v>
      </c>
      <c r="C18212" s="5" t="str">
        <f>IFERROR(__xludf.DUMMYFUNCTION("GOOGLETRANSLATE(B18212,""en"",""zh-CN"")"),"然后，她加快了速度，然后将三重跳跃进入沙子，从而使其一直到16英寸统治者的末端。")</f>
        <v>然后，她加快了速度，然后将三重跳跃进入沙子，从而使其一直到16英寸统治者的末端。</v>
      </c>
    </row>
    <row r="18213">
      <c r="A18213" s="4" t="s">
        <v>22919</v>
      </c>
      <c r="B18213" s="4" t="s">
        <v>22922</v>
      </c>
      <c r="C18213" s="5" t="str">
        <f>IFERROR(__xludf.DUMMYFUNCTION("GOOGLETRANSLATE(B18213,""en"",""zh-CN"")"),"接下来，她被显示在轨道上站立，双臂在空中充满欢乐的空中抬起。")</f>
        <v>接下来，她被显示在轨道上站立，双臂在空中充满欢乐的空中抬起。</v>
      </c>
    </row>
    <row r="18214">
      <c r="A18214" s="4" t="s">
        <v>22923</v>
      </c>
      <c r="B18214" s="4" t="s">
        <v>22924</v>
      </c>
      <c r="C18214" s="5" t="str">
        <f>IFERROR(__xludf.DUMMYFUNCTION("GOOGLETRANSLATE(B18214,""en"",""zh-CN"")"),"人们在彼此之间在门上滑雪。")</f>
        <v>人们在彼此之间在门上滑雪。</v>
      </c>
    </row>
    <row r="18215">
      <c r="A18215" s="4" t="s">
        <v>22923</v>
      </c>
      <c r="B18215" s="4" t="s">
        <v>22925</v>
      </c>
      <c r="C18215" s="5" t="str">
        <f>IFERROR(__xludf.DUMMYFUNCTION("GOOGLETRANSLATE(B18215,""en"",""zh-CN"")"),"按下一个按钮在机器上。")</f>
        <v>按下一个按钮在机器上。</v>
      </c>
    </row>
    <row r="18216">
      <c r="A18216" s="4" t="s">
        <v>22923</v>
      </c>
      <c r="B18216" s="4" t="s">
        <v>22926</v>
      </c>
      <c r="C18216" s="5" t="str">
        <f>IFERROR(__xludf.DUMMYFUNCTION("GOOGLETRANSLATE(B18216,""en"",""zh-CN"")"),"人们走进小屋。")</f>
        <v>人们走进小屋。</v>
      </c>
    </row>
    <row r="18217">
      <c r="A18217" s="4" t="s">
        <v>22923</v>
      </c>
      <c r="B18217" s="4" t="s">
        <v>22927</v>
      </c>
      <c r="C18217" s="5" t="str">
        <f>IFERROR(__xludf.DUMMYFUNCTION("GOOGLETRANSLATE(B18217,""en"",""zh-CN"")"),"一个人正在尝试滑雪。")</f>
        <v>一个人正在尝试滑雪。</v>
      </c>
    </row>
    <row r="18218">
      <c r="A18218" s="4" t="s">
        <v>22923</v>
      </c>
      <c r="B18218" s="4" t="s">
        <v>22928</v>
      </c>
      <c r="C18218" s="5" t="str">
        <f>IFERROR(__xludf.DUMMYFUNCTION("GOOGLETRANSLATE(B18218,""en"",""zh-CN"")"),"其他人正在练习滑雪带。")</f>
        <v>其他人正在练习滑雪带。</v>
      </c>
    </row>
    <row r="18219">
      <c r="A18219" s="4" t="s">
        <v>22929</v>
      </c>
      <c r="B18219" s="4" t="s">
        <v>22930</v>
      </c>
      <c r="C18219" s="5" t="str">
        <f>IFERROR(__xludf.DUMMYFUNCTION("GOOGLETRANSLATE(B18219,""en"",""zh-CN"")"),"男子站在该地区高的钢平台上，讲师会讲话。")</f>
        <v>男子站在该地区高的钢平台上，讲师会讲话。</v>
      </c>
    </row>
    <row r="18220">
      <c r="A18220" s="4" t="s">
        <v>22929</v>
      </c>
      <c r="B18220" s="4" t="s">
        <v>22931</v>
      </c>
      <c r="C18220" s="5" t="str">
        <f>IFERROR(__xludf.DUMMYFUNCTION("GOOGLETRANSLATE(B18220,""en"",""zh-CN"")"),"一个人坐在平台的边缘，握在大绳索上。")</f>
        <v>一个人坐在平台的边缘，握在大绳索上。</v>
      </c>
    </row>
    <row r="18221">
      <c r="A18221" s="4" t="s">
        <v>22929</v>
      </c>
      <c r="B18221" s="6" t="s">
        <v>22932</v>
      </c>
      <c r="C18221" s="5" t="str">
        <f>IFERROR(__xludf.DUMMYFUNCTION("GOOGLETRANSLATE(B18221,""en"",""zh-CN"")"),"顾客跑步并从平台上跳下来，戴着一条芽绳，他到达底部时弹跳。")</f>
        <v>顾客跑步并从平台上跳下来，戴着一条芽绳，他到达底部时弹跳。</v>
      </c>
    </row>
    <row r="18222">
      <c r="A18222" s="4" t="s">
        <v>22933</v>
      </c>
      <c r="B18222" s="4" t="s">
        <v>22934</v>
      </c>
      <c r="C18222" s="5" t="str">
        <f>IFERROR(__xludf.DUMMYFUNCTION("GOOGLETRANSLATE(B18222,""en"",""zh-CN"")"),"我们看到一条船从码头上拉出。")</f>
        <v>我们看到一条船从码头上拉出。</v>
      </c>
    </row>
    <row r="18223">
      <c r="A18223" s="4" t="s">
        <v>22933</v>
      </c>
      <c r="B18223" s="4" t="s">
        <v>22935</v>
      </c>
      <c r="C18223" s="5" t="str">
        <f>IFERROR(__xludf.DUMMYFUNCTION("GOOGLETRANSLATE(B18223,""en"",""zh-CN"")"),"我们看到船在其后面的摩托艇上行驶。")</f>
        <v>我们看到船在其后面的摩托艇上行驶。</v>
      </c>
    </row>
    <row r="18224">
      <c r="A18224" s="4" t="s">
        <v>22933</v>
      </c>
      <c r="B18224" s="4" t="s">
        <v>22936</v>
      </c>
      <c r="C18224" s="5" t="str">
        <f>IFERROR(__xludf.DUMMYFUNCTION("GOOGLETRANSLATE(B18224,""en"",""zh-CN"")"),"我们看到没有船的滑雪者。")</f>
        <v>我们看到没有船的滑雪者。</v>
      </c>
    </row>
    <row r="18225">
      <c r="A18225" s="4" t="s">
        <v>22933</v>
      </c>
      <c r="B18225" s="4" t="s">
        <v>22937</v>
      </c>
      <c r="C18225" s="5" t="str">
        <f>IFERROR(__xludf.DUMMYFUNCTION("GOOGLETRANSLATE(B18225,""en"",""zh-CN"")"),"我们再次看到上面的船。")</f>
        <v>我们再次看到上面的船。</v>
      </c>
    </row>
    <row r="18226">
      <c r="A18226" s="4" t="s">
        <v>22933</v>
      </c>
      <c r="B18226" s="4" t="s">
        <v>22938</v>
      </c>
      <c r="C18226" s="5" t="str">
        <f>IFERROR(__xludf.DUMMYFUNCTION("GOOGLETRANSLATE(B18226,""en"",""zh-CN"")"),"滑雪者掉入水中。")</f>
        <v>滑雪者掉入水中。</v>
      </c>
    </row>
    <row r="18227">
      <c r="A18227" s="4" t="s">
        <v>22933</v>
      </c>
      <c r="B18227" s="4" t="s">
        <v>22939</v>
      </c>
      <c r="C18227" s="5" t="str">
        <f>IFERROR(__xludf.DUMMYFUNCTION("GOOGLETRANSLATE(B18227,""en"",""zh-CN"")"),"我们看到滑雪者滑雪并进行4次翻转。")</f>
        <v>我们看到滑雪者滑雪并进行4次翻转。</v>
      </c>
    </row>
    <row r="18228">
      <c r="A18228" s="4" t="s">
        <v>22933</v>
      </c>
      <c r="B18228" s="4" t="s">
        <v>22940</v>
      </c>
      <c r="C18228" s="5" t="str">
        <f>IFERROR(__xludf.DUMMYFUNCTION("GOOGLETRANSLATE(B18228,""en"",""zh-CN"")"),"我们看到滑雪者滑雪。")</f>
        <v>我们看到滑雪者滑雪。</v>
      </c>
    </row>
    <row r="18229">
      <c r="A18229" s="4" t="s">
        <v>22933</v>
      </c>
      <c r="B18229" s="4" t="s">
        <v>22941</v>
      </c>
      <c r="C18229" s="5" t="str">
        <f>IFERROR(__xludf.DUMMYFUNCTION("GOOGLETRANSLATE(B18229,""en"",""zh-CN"")"),"我们看到滑雪者朝船上游泳。")</f>
        <v>我们看到滑雪者朝船上游泳。</v>
      </c>
    </row>
    <row r="18230">
      <c r="A18230" s="4" t="s">
        <v>22933</v>
      </c>
      <c r="B18230" s="4" t="s">
        <v>22942</v>
      </c>
      <c r="C18230" s="5" t="str">
        <f>IFERROR(__xludf.DUMMYFUNCTION("GOOGLETRANSLATE(B18230,""en"",""zh-CN"")"),"船上的一个人举起了手。")</f>
        <v>船上的一个人举起了手。</v>
      </c>
    </row>
    <row r="18231">
      <c r="A18231" s="4" t="s">
        <v>22943</v>
      </c>
      <c r="B18231" s="4" t="s">
        <v>22944</v>
      </c>
      <c r="C18231" s="5" t="str">
        <f>IFERROR(__xludf.DUMMYFUNCTION("GOOGLETRANSLATE(B18231,""en"",""zh-CN"")"),"穿着黑色衬衫的男人正在录音室里弹吉他。")</f>
        <v>穿着黑色衬衫的男人正在录音室里弹吉他。</v>
      </c>
    </row>
    <row r="18232">
      <c r="A18232" s="4" t="s">
        <v>22943</v>
      </c>
      <c r="B18232" s="4" t="s">
        <v>22945</v>
      </c>
      <c r="C18232" s="5" t="str">
        <f>IFERROR(__xludf.DUMMYFUNCTION("GOOGLETRANSLATE(B18232,""en"",""zh-CN"")"),"这个男人正在弹吉他。")</f>
        <v>这个男人正在弹吉他。</v>
      </c>
    </row>
    <row r="18233">
      <c r="A18233" s="4" t="s">
        <v>22943</v>
      </c>
      <c r="B18233" s="4" t="s">
        <v>22946</v>
      </c>
      <c r="C18233" s="5" t="str">
        <f>IFERROR(__xludf.DUMMYFUNCTION("GOOGLETRANSLATE(B18233,""en"",""zh-CN"")"),"该男子在吉他弹奏吉他时按下吉他钥匙上的线。")</f>
        <v>该男子在吉他弹奏吉他时按下吉他钥匙上的线。</v>
      </c>
    </row>
    <row r="18234">
      <c r="A18234" s="4" t="s">
        <v>22947</v>
      </c>
      <c r="B18234" s="4" t="s">
        <v>22948</v>
      </c>
      <c r="C18234" s="5" t="str">
        <f>IFERROR(__xludf.DUMMYFUNCTION("GOOGLETRANSLATE(B18234,""en"",""zh-CN"")"),"一个人在木炊具上做饭，然后一个人在河里筏。")</f>
        <v>一个人在木炊具上做饭，然后一个人在河里筏。</v>
      </c>
    </row>
    <row r="18235">
      <c r="A18235" s="4" t="s">
        <v>22947</v>
      </c>
      <c r="B18235" s="4" t="s">
        <v>22949</v>
      </c>
      <c r="C18235" s="5" t="str">
        <f>IFERROR(__xludf.DUMMYFUNCTION("GOOGLETRANSLATE(B18235,""en"",""zh-CN"")"),"年轻人打开汽车，然后在丛林中携带筏船，然后穿过绳索桥。")</f>
        <v>年轻人打开汽车，然后在丛林中携带筏船，然后穿过绳索桥。</v>
      </c>
    </row>
    <row r="18236">
      <c r="A18236" s="4" t="s">
        <v>22947</v>
      </c>
      <c r="B18236" s="4" t="s">
        <v>22950</v>
      </c>
      <c r="C18236" s="5" t="str">
        <f>IFERROR(__xludf.DUMMYFUNCTION("GOOGLETRANSLATE(B18236,""en"",""zh-CN"")"),"年轻人在单个船上的狭窄波涛汹涌的河中筏。")</f>
        <v>年轻人在单个船上的狭窄波涛汹涌的河中筏。</v>
      </c>
    </row>
    <row r="18237">
      <c r="A18237" s="4" t="s">
        <v>22947</v>
      </c>
      <c r="B18237" s="4" t="s">
        <v>22951</v>
      </c>
      <c r="C18237" s="5" t="str">
        <f>IFERROR(__xludf.DUMMYFUNCTION("GOOGLETRANSLATE(B18237,""en"",""zh-CN"")"),"年轻人从洛矶河的小瀑布掉下来。")</f>
        <v>年轻人从洛矶河的小瀑布掉下来。</v>
      </c>
    </row>
    <row r="18238">
      <c r="A18238" s="4" t="s">
        <v>22952</v>
      </c>
      <c r="B18238" s="4" t="s">
        <v>22953</v>
      </c>
      <c r="C18238" s="5" t="str">
        <f>IFERROR(__xludf.DUMMYFUNCTION("GOOGLETRANSLATE(B18238,""en"",""zh-CN"")"),"一个女人以芭蕾舞姿势弯腰。")</f>
        <v>一个女人以芭蕾舞姿势弯腰。</v>
      </c>
    </row>
    <row r="18239">
      <c r="A18239" s="4" t="s">
        <v>22952</v>
      </c>
      <c r="B18239" s="4" t="s">
        <v>22954</v>
      </c>
      <c r="C18239" s="5" t="str">
        <f>IFERROR(__xludf.DUMMYFUNCTION("GOOGLETRANSLATE(B18239,""en"",""zh-CN"")"),"然后，她面对相机说话。")</f>
        <v>然后，她面对相机说话。</v>
      </c>
    </row>
    <row r="18240">
      <c r="A18240" s="4" t="s">
        <v>22952</v>
      </c>
      <c r="B18240" s="4" t="s">
        <v>22955</v>
      </c>
      <c r="C18240" s="5" t="str">
        <f>IFERROR(__xludf.DUMMYFUNCTION("GOOGLETRANSLATE(B18240,""en"",""zh-CN"")"),"她展示了更多的芭蕾舞动作。")</f>
        <v>她展示了更多的芭蕾舞动作。</v>
      </c>
    </row>
    <row r="18241">
      <c r="A18241" s="4" t="s">
        <v>22952</v>
      </c>
      <c r="B18241" s="4" t="s">
        <v>22956</v>
      </c>
      <c r="C18241" s="5" t="str">
        <f>IFERROR(__xludf.DUMMYFUNCTION("GOOGLETRANSLATE(B18241,""en"",""zh-CN"")"),"她以低分位置结束。")</f>
        <v>她以低分位置结束。</v>
      </c>
    </row>
    <row r="18242">
      <c r="A18242" s="4" t="s">
        <v>22957</v>
      </c>
      <c r="B18242" s="6" t="s">
        <v>22958</v>
      </c>
      <c r="C18242" s="5" t="str">
        <f>IFERROR(__xludf.DUMMYFUNCTION("GOOGLETRANSLATE(B18242,""en"",""zh-CN"")"),"显示了几双鞋子，以及一大批人社交并将酒精倒入眼镜中。")</f>
        <v>显示了几双鞋子，以及一大批人社交并将酒精倒入眼镜中。</v>
      </c>
    </row>
    <row r="18243">
      <c r="A18243" s="4" t="s">
        <v>22957</v>
      </c>
      <c r="B18243" s="4" t="s">
        <v>22959</v>
      </c>
      <c r="C18243" s="5" t="str">
        <f>IFERROR(__xludf.DUMMYFUNCTION("GOOGLETRANSLATE(B18243,""en"",""zh-CN"")"),"桌子上布置在桌子上，并显示了几张人在玩啤酒乒乓球。")</f>
        <v>桌子上布置在桌子上，并显示了几张人在玩啤酒乒乓球。</v>
      </c>
    </row>
    <row r="18244">
      <c r="A18244" s="4" t="s">
        <v>22957</v>
      </c>
      <c r="B18244" s="6" t="s">
        <v>22960</v>
      </c>
      <c r="C18244" s="5" t="str">
        <f>IFERROR(__xludf.DUMMYFUNCTION("GOOGLETRANSLATE(B18244,""en"",""zh-CN"")"),"有更多的镜头，人们彼此交谈，并在几个地方玩啤酒乒乓球并彼此聚会。")</f>
        <v>有更多的镜头，人们彼此交谈，并在几个地方玩啤酒乒乓球并彼此聚会。</v>
      </c>
    </row>
    <row r="18245">
      <c r="A18245" s="4" t="s">
        <v>22957</v>
      </c>
      <c r="B18245" s="4" t="s">
        <v>22961</v>
      </c>
      <c r="C18245" s="5" t="str">
        <f>IFERROR(__xludf.DUMMYFUNCTION("GOOGLETRANSLATE(B18245,""en"",""zh-CN"")"),"最终，奖牌是分发的，人们在不同地点庆祝时穿着它们。")</f>
        <v>最终，奖牌是分发的，人们在不同地点庆祝时穿着它们。</v>
      </c>
    </row>
    <row r="18246">
      <c r="A18246" s="4" t="s">
        <v>22962</v>
      </c>
      <c r="B18246" s="4" t="s">
        <v>22963</v>
      </c>
      <c r="C18246" s="5" t="str">
        <f>IFERROR(__xludf.DUMMYFUNCTION("GOOGLETRANSLATE(B18246,""en"",""zh-CN"")"),"有几个游泳者站在游泳池的最高潜水板上。")</f>
        <v>有几个游泳者站在游泳池的最高潜水板上。</v>
      </c>
    </row>
    <row r="18247">
      <c r="A18247" s="4" t="s">
        <v>22962</v>
      </c>
      <c r="B18247" s="4" t="s">
        <v>22964</v>
      </c>
      <c r="C18247" s="5" t="str">
        <f>IFERROR(__xludf.DUMMYFUNCTION("GOOGLETRANSLATE(B18247,""en"",""zh-CN"")"),"潜水员正准备潜入游泳池。")</f>
        <v>潜水员正准备潜入游泳池。</v>
      </c>
    </row>
    <row r="18248">
      <c r="A18248" s="4" t="s">
        <v>22962</v>
      </c>
      <c r="B18248" s="4" t="s">
        <v>22965</v>
      </c>
      <c r="C18248" s="5" t="str">
        <f>IFERROR(__xludf.DUMMYFUNCTION("GOOGLETRANSLATE(B18248,""en"",""zh-CN"")"),"其中一位潜水员从高度跳入游泳池。")</f>
        <v>其中一位潜水员从高度跳入游泳池。</v>
      </c>
    </row>
    <row r="18249">
      <c r="A18249" s="4" t="s">
        <v>22966</v>
      </c>
      <c r="B18249" s="4" t="s">
        <v>22967</v>
      </c>
      <c r="C18249" s="5" t="str">
        <f>IFERROR(__xludf.DUMMYFUNCTION("GOOGLETRANSLATE(B18249,""en"",""zh-CN"")"),"一个穿着红色围裙的男人在说话。")</f>
        <v>一个穿着红色围裙的男人在说话。</v>
      </c>
    </row>
    <row r="18250">
      <c r="A18250" s="4" t="s">
        <v>22966</v>
      </c>
      <c r="B18250" s="4" t="s">
        <v>22968</v>
      </c>
      <c r="C18250" s="5" t="str">
        <f>IFERROR(__xludf.DUMMYFUNCTION("GOOGLETRANSLATE(B18250,""en"",""zh-CN"")"),"他在木板上摩擦一些东西并熨烫它。")</f>
        <v>他在木板上摩擦一些东西并熨烫它。</v>
      </c>
    </row>
    <row r="18251">
      <c r="A18251" s="4" t="s">
        <v>22966</v>
      </c>
      <c r="B18251" s="4" t="s">
        <v>22969</v>
      </c>
      <c r="C18251" s="5" t="str">
        <f>IFERROR(__xludf.DUMMYFUNCTION("GOOGLETRANSLATE(B18251,""en"",""zh-CN"")"),"他正在刮擦自己熨烫的木板顶部。")</f>
        <v>他正在刮擦自己熨烫的木板顶部。</v>
      </c>
    </row>
    <row r="18252">
      <c r="A18252" s="4" t="s">
        <v>22970</v>
      </c>
      <c r="B18252" s="4" t="s">
        <v>22971</v>
      </c>
      <c r="C18252" s="5" t="str">
        <f>IFERROR(__xludf.DUMMYFUNCTION("GOOGLETRANSLATE(B18252,""en"",""zh-CN"")"),"看到一个女人骑在骆驼上另一个男人后面的骆驼上。")</f>
        <v>看到一个女人骑在骆驼上另一个男人后面的骆驼上。</v>
      </c>
    </row>
    <row r="18253">
      <c r="A18253" s="4" t="s">
        <v>22970</v>
      </c>
      <c r="B18253" s="4" t="s">
        <v>22972</v>
      </c>
      <c r="C18253" s="5" t="str">
        <f>IFERROR(__xludf.DUMMYFUNCTION("GOOGLETRANSLATE(B18253,""en"",""zh-CN"")"),"她回头看着相机，当它在该区域周围竖起时。")</f>
        <v>她回头看着相机，当它在该区域周围竖起时。</v>
      </c>
    </row>
    <row r="18254">
      <c r="A18254" s="4" t="s">
        <v>22970</v>
      </c>
      <c r="B18254" s="4" t="s">
        <v>22973</v>
      </c>
      <c r="C18254" s="5" t="str">
        <f>IFERROR(__xludf.DUMMYFUNCTION("GOOGLETRANSLATE(B18254,""en"",""zh-CN"")"),"当人们抓住骆驼时，看到另一个人从后面骑行。")</f>
        <v>当人们抓住骆驼时，看到另一个人从后面骑行。</v>
      </c>
    </row>
    <row r="18255">
      <c r="A18255" s="4" t="s">
        <v>22974</v>
      </c>
      <c r="B18255" s="6" t="s">
        <v>22975</v>
      </c>
      <c r="C18255" s="5" t="str">
        <f>IFERROR(__xludf.DUMMYFUNCTION("GOOGLETRANSLATE(B18255,""en"",""zh-CN"")"),"一个男孩在独木舟中显示了两个女人，而一个男人站在水中时拉独木舟，背景中有其他人可见。")</f>
        <v>一个男孩在独木舟中显示了两个女人，而一个男人站在水中时拉独木舟，背景中有其他人可见。</v>
      </c>
    </row>
    <row r="18256">
      <c r="A18256" s="4" t="s">
        <v>22974</v>
      </c>
      <c r="B18256" s="4" t="s">
        <v>22976</v>
      </c>
      <c r="C18256" s="5" t="str">
        <f>IFERROR(__xludf.DUMMYFUNCTION("GOOGLETRANSLATE(B18256,""en"",""zh-CN"")"),"当男人划船时，孩子和另一个男人坐在独木舟里。")</f>
        <v>当男人划船时，孩子和另一个男人坐在独木舟里。</v>
      </c>
    </row>
    <row r="18257">
      <c r="A18257" s="4" t="s">
        <v>22974</v>
      </c>
      <c r="B18257" s="4" t="s">
        <v>22977</v>
      </c>
      <c r="C18257" s="5" t="str">
        <f>IFERROR(__xludf.DUMMYFUNCTION("GOOGLETRANSLATE(B18257,""en"",""zh-CN"")"),"摄像机盘以显示前景中的第一个男人。")</f>
        <v>摄像机盘以显示前景中的第一个男人。</v>
      </c>
    </row>
    <row r="18258">
      <c r="A18258" s="4" t="s">
        <v>22974</v>
      </c>
      <c r="B18258" s="4" t="s">
        <v>22978</v>
      </c>
      <c r="C18258" s="5" t="str">
        <f>IFERROR(__xludf.DUMMYFUNCTION("GOOGLETRANSLATE(B18258,""en"",""zh-CN"")"),"第一个人划船时，孩子和第一个男人在独木舟中。")</f>
        <v>第一个人划船时，孩子和第一个男人在独木舟中。</v>
      </c>
    </row>
    <row r="18259">
      <c r="A18259" s="4" t="s">
        <v>22974</v>
      </c>
      <c r="B18259" s="4" t="s">
        <v>22979</v>
      </c>
      <c r="C18259" s="5" t="str">
        <f>IFERROR(__xludf.DUMMYFUNCTION("GOOGLETRANSLATE(B18259,""en"",""zh-CN"")"),"显示了视频中显示的各种人的一系列静止图像。")</f>
        <v>显示了视频中显示的各种人的一系列静止图像。</v>
      </c>
    </row>
    <row r="18260">
      <c r="A18260" s="4" t="s">
        <v>22980</v>
      </c>
      <c r="B18260" s="4" t="s">
        <v>22981</v>
      </c>
      <c r="C18260" s="5" t="str">
        <f>IFERROR(__xludf.DUMMYFUNCTION("GOOGLETRANSLATE(B18260,""en"",""zh-CN"")"),"秋天后，一个人在草地上滚动，起床加入曲棍球比赛。")</f>
        <v>秋天后，一个人在草地上滚动，起床加入曲棍球比赛。</v>
      </c>
    </row>
    <row r="18261">
      <c r="A18261" s="4" t="s">
        <v>22980</v>
      </c>
      <c r="B18261" s="4" t="s">
        <v>22982</v>
      </c>
      <c r="C18261" s="5" t="str">
        <f>IFERROR(__xludf.DUMMYFUNCTION("GOOGLETRANSLATE(B18261,""en"",""zh-CN"")"),"我们看到草地上的装备，一个男人在相机上说话。")</f>
        <v>我们看到草地上的装备，一个男人在相机上说话。</v>
      </c>
    </row>
    <row r="18262">
      <c r="A18262" s="4" t="s">
        <v>22980</v>
      </c>
      <c r="B18262" s="4" t="s">
        <v>22983</v>
      </c>
      <c r="C18262" s="5" t="str">
        <f>IFERROR(__xludf.DUMMYFUNCTION("GOOGLETRANSLATE(B18262,""en"",""zh-CN"")"),"男人玩曲棍球，女士们在侧面欢呼。")</f>
        <v>男人玩曲棍球，女士们在侧面欢呼。</v>
      </c>
    </row>
    <row r="18263">
      <c r="A18263" s="4" t="s">
        <v>22980</v>
      </c>
      <c r="B18263" s="4" t="s">
        <v>22984</v>
      </c>
      <c r="C18263" s="5" t="str">
        <f>IFERROR(__xludf.DUMMYFUNCTION("GOOGLETRANSLATE(B18263,""en"",""zh-CN"")"),"我们看到一名男子接受了采访，一个团队挤成一团，看到男人在比赛。")</f>
        <v>我们看到一名男子接受了采访，一个团队挤成一团，看到男人在比赛。</v>
      </c>
    </row>
    <row r="18264">
      <c r="A18264" s="4" t="s">
        <v>22980</v>
      </c>
      <c r="B18264" s="4" t="s">
        <v>22985</v>
      </c>
      <c r="C18264" s="5" t="str">
        <f>IFERROR(__xludf.DUMMYFUNCTION("GOOGLETRANSLATE(B18264,""en"",""zh-CN"")"),"一个接受采访的男人，我们看到男人在玩曲棍球。")</f>
        <v>一个接受采访的男人，我们看到男人在玩曲棍球。</v>
      </c>
    </row>
    <row r="18265">
      <c r="A18265" s="4" t="s">
        <v>22980</v>
      </c>
      <c r="B18265" s="4" t="s">
        <v>22986</v>
      </c>
      <c r="C18265" s="5" t="str">
        <f>IFERROR(__xludf.DUMMYFUNCTION("GOOGLETRANSLATE(B18265,""en"",""zh-CN"")"),"一个红色的男人接受了采访，团队握手，举起奖杯并摆姿势拍照。")</f>
        <v>一个红色的男人接受了采访，团队握手，举起奖杯并摆姿势拍照。</v>
      </c>
    </row>
    <row r="18266">
      <c r="A18266" s="4" t="s">
        <v>22987</v>
      </c>
      <c r="B18266" s="4" t="s">
        <v>22988</v>
      </c>
      <c r="C18266" s="5" t="str">
        <f>IFERROR(__xludf.DUMMYFUNCTION("GOOGLETRANSLATE(B18266,""en"",""zh-CN"")"),"一名年轻的女体操运动员穿着红色为她在奥运会上的平衡束例程做准备。")</f>
        <v>一名年轻的女体操运动员穿着红色为她在奥运会上的平衡束例程做准备。</v>
      </c>
    </row>
    <row r="18267">
      <c r="A18267" s="4" t="s">
        <v>22987</v>
      </c>
      <c r="B18267" s="4" t="s">
        <v>22989</v>
      </c>
      <c r="C18267" s="5" t="str">
        <f>IFERROR(__xludf.DUMMYFUNCTION("GOOGLETRANSLATE(B18267,""en"",""zh-CN"")"),"女体操运动员跑到跳板上，从它跳到平衡梁。")</f>
        <v>女体操运动员跑到跳板上，从它跳到平衡梁。</v>
      </c>
    </row>
    <row r="18268">
      <c r="A18268" s="4" t="s">
        <v>22987</v>
      </c>
      <c r="B18268" s="6" t="s">
        <v>22990</v>
      </c>
      <c r="C18268" s="5" t="str">
        <f>IFERROR(__xludf.DUMMYFUNCTION("GOOGLETRANSLATE(B18268,""en"",""zh-CN"")"),"然后，女性体操运动员在平衡梁上进行了表演，而评论员则解释了她在做什么以及它的困难。")</f>
        <v>然后，女性体操运动员在平衡梁上进行了表演，而评论员则解释了她在做什么以及它的困难。</v>
      </c>
    </row>
    <row r="18269">
      <c r="A18269" s="4" t="s">
        <v>22987</v>
      </c>
      <c r="B18269" s="4" t="s">
        <v>22991</v>
      </c>
      <c r="C18269" s="5" t="str">
        <f>IFERROR(__xludf.DUMMYFUNCTION("GOOGLETRANSLATE(B18269,""en"",""zh-CN"")"),"一群人观看并为体操运动员欢呼。")</f>
        <v>一群人观看并为体操运动员欢呼。</v>
      </c>
    </row>
    <row r="18270">
      <c r="A18270" s="4" t="s">
        <v>22987</v>
      </c>
      <c r="B18270" s="4" t="s">
        <v>22992</v>
      </c>
      <c r="C18270" s="5" t="str">
        <f>IFERROR(__xludf.DUMMYFUNCTION("GOOGLETRANSLATE(B18270,""en"",""zh-CN"")"),"一个亚洲人走到平衡梁上，将跳板从光束上拉开。")</f>
        <v>一个亚洲人走到平衡梁上，将跳板从光束上拉开。</v>
      </c>
    </row>
    <row r="18271">
      <c r="A18271" s="4" t="s">
        <v>22987</v>
      </c>
      <c r="B18271" s="4" t="s">
        <v>22993</v>
      </c>
      <c r="C18271" s="5" t="str">
        <f>IFERROR(__xludf.DUMMYFUNCTION("GOOGLETRANSLATE(B18271,""en"",""zh-CN"")"),"体操运动员的表现艰难，人群比以前大声欢呼。")</f>
        <v>体操运动员的表现艰难，人群比以前大声欢呼。</v>
      </c>
    </row>
    <row r="18272">
      <c r="A18272" s="4" t="s">
        <v>22987</v>
      </c>
      <c r="B18272" s="6" t="s">
        <v>22994</v>
      </c>
      <c r="C18272" s="5" t="str">
        <f>IFERROR(__xludf.DUMMYFUNCTION("GOOGLETRANSLATE(B18272,""en"",""zh-CN"")"),"观看体操运动员的人群中的人们进入健身房并找到座位，而其他人则站起来退出健身房。")</f>
        <v>观看体操运动员的人群中的人们进入健身房并找到座位，而其他人则站起来退出健身房。</v>
      </c>
    </row>
    <row r="18273">
      <c r="A18273" s="4" t="s">
        <v>22987</v>
      </c>
      <c r="B18273" s="4" t="s">
        <v>22995</v>
      </c>
      <c r="C18273" s="5" t="str">
        <f>IFERROR(__xludf.DUMMYFUNCTION("GOOGLETRANSLATE(B18273,""en"",""zh-CN"")"),"另一位女体操运动员在背景中越过平衡梁。")</f>
        <v>另一位女体操运动员在背景中越过平衡梁。</v>
      </c>
    </row>
    <row r="18274">
      <c r="A18274" s="4" t="s">
        <v>22987</v>
      </c>
      <c r="B18274" s="4" t="s">
        <v>22996</v>
      </c>
      <c r="C18274" s="5" t="str">
        <f>IFERROR(__xludf.DUMMYFUNCTION("GOOGLETRANSLATE(B18274,""en"",""zh-CN"")"),"女体操运动员为她的下马做准备。")</f>
        <v>女体操运动员为她的下马做准备。</v>
      </c>
    </row>
    <row r="18275">
      <c r="A18275" s="4" t="s">
        <v>22987</v>
      </c>
      <c r="B18275" s="4" t="s">
        <v>22997</v>
      </c>
      <c r="C18275" s="5" t="str">
        <f>IFERROR(__xludf.DUMMYFUNCTION("GOOGLETRANSLATE(B18275,""en"",""zh-CN"")"),"女性体操运动员运行并完成了翻滚序列，以退出平衡梁。")</f>
        <v>女性体操运动员运行并完成了翻滚序列，以退出平衡梁。</v>
      </c>
    </row>
    <row r="18276">
      <c r="A18276" s="4" t="s">
        <v>22987</v>
      </c>
      <c r="B18276" s="6" t="s">
        <v>22998</v>
      </c>
      <c r="C18276" s="5" t="str">
        <f>IFERROR(__xludf.DUMMYFUNCTION("GOOGLETRANSLATE(B18276,""en"",""zh-CN"")"),"女体操运动员完美地降落，并在背景手表和拍手的其他体操运动员的脸上露出灿烂的笑容，将手臂伸向空中。")</f>
        <v>女体操运动员完美地降落，并在背景手表和拍手的其他体操运动员的脸上露出灿烂的笑容，将手臂伸向空中。</v>
      </c>
    </row>
    <row r="18277">
      <c r="A18277" s="4" t="s">
        <v>22987</v>
      </c>
      <c r="B18277" s="4" t="s">
        <v>22999</v>
      </c>
      <c r="C18277" s="5" t="str">
        <f>IFERROR(__xludf.DUMMYFUNCTION("GOOGLETRANSLATE(B18277,""en"",""zh-CN"")"),"一大批摄影师观看并拍摄体操运动员的照片。")</f>
        <v>一大批摄影师观看并拍摄体操运动员的照片。</v>
      </c>
    </row>
    <row r="18278">
      <c r="A18278" s="4" t="s">
        <v>22987</v>
      </c>
      <c r="B18278" s="4" t="s">
        <v>23000</v>
      </c>
      <c r="C18278" s="5" t="str">
        <f>IFERROR(__xludf.DUMMYFUNCTION("GOOGLETRANSLATE(B18278,""en"",""zh-CN"")"),"体操运动员在圆圈旋转时挥手，然后跑到健身房地板的侧面。")</f>
        <v>体操运动员在圆圈旋转时挥手，然后跑到健身房地板的侧面。</v>
      </c>
    </row>
    <row r="18279">
      <c r="A18279" s="4" t="s">
        <v>22987</v>
      </c>
      <c r="B18279" s="4" t="s">
        <v>23001</v>
      </c>
      <c r="C18279" s="5" t="str">
        <f>IFERROR(__xludf.DUMMYFUNCTION("GOOGLETRANSLATE(B18279,""en"",""zh-CN"")"),"三个亚洲体操运动员在黄色的手表中拍拍，不微笑。")</f>
        <v>三个亚洲体操运动员在黄色的手表中拍拍，不微笑。</v>
      </c>
    </row>
    <row r="18280">
      <c r="A18280" s="4" t="s">
        <v>22987</v>
      </c>
      <c r="B18280" s="6" t="s">
        <v>23002</v>
      </c>
      <c r="C18280" s="5" t="str">
        <f>IFERROR(__xludf.DUMMYFUNCTION("GOOGLETRANSLATE(B18280,""en"",""zh-CN"")"),"红色拥抱中的体操运动员与她的其他队友和教练交谈，而几位摄影师为她拍照。")</f>
        <v>红色拥抱中的体操运动员与她的其他队友和教练交谈，而几位摄影师为她拍照。</v>
      </c>
    </row>
    <row r="18281">
      <c r="A18281" s="4" t="s">
        <v>22987</v>
      </c>
      <c r="B18281" s="6" t="s">
        <v>23003</v>
      </c>
      <c r="C18281" s="5" t="str">
        <f>IFERROR(__xludf.DUMMYFUNCTION("GOOGLETRANSLATE(B18281,""en"",""zh-CN"")"),"评论员重播了几个体操运动员，在解释她在做什么的同时，慢速移动的序列更加困难。")</f>
        <v>评论员重播了几个体操运动员，在解释她在做什么的同时，慢速移动的序列更加困难。</v>
      </c>
    </row>
    <row r="18282">
      <c r="A18282" s="4" t="s">
        <v>22987</v>
      </c>
      <c r="B18282" s="6" t="s">
        <v>23004</v>
      </c>
      <c r="C18282" s="5" t="str">
        <f>IFERROR(__xludf.DUMMYFUNCTION("GOOGLETRANSLATE(B18282,""en"",""zh-CN"")"),"女体操运动员拥抱另一个教练和另一名队友，而男人则用大型相机拍摄他们。")</f>
        <v>女体操运动员拥抱另一个教练和另一名队友，而男人则用大型相机拍摄他们。</v>
      </c>
    </row>
    <row r="18283">
      <c r="A18283" s="4" t="s">
        <v>22987</v>
      </c>
      <c r="B18283" s="6" t="s">
        <v>23005</v>
      </c>
      <c r="C18283" s="5" t="str">
        <f>IFERROR(__xludf.DUMMYFUNCTION("GOOGLETRANSLATE(B18283,""en"",""zh-CN"")"),"美国队和他们的教练在体育馆里走过体育馆的所有体操运动员，人群都大声欢呼。")</f>
        <v>美国队和他们的教练在体育馆里走过体育馆的所有体操运动员，人群都大声欢呼。</v>
      </c>
    </row>
    <row r="18284">
      <c r="A18284" s="4" t="s">
        <v>22987</v>
      </c>
      <c r="B18284" s="4" t="s">
        <v>23006</v>
      </c>
      <c r="C18284" s="5" t="str">
        <f>IFERROR(__xludf.DUMMYFUNCTION("GOOGLETRANSLATE(B18284,""en"",""zh-CN"")"),"其他团队的几个体操运动员也走过。")</f>
        <v>其他团队的几个体操运动员也走过。</v>
      </c>
    </row>
    <row r="18285">
      <c r="A18285" s="4" t="s">
        <v>22987</v>
      </c>
      <c r="B18285" s="4" t="s">
        <v>23007</v>
      </c>
      <c r="C18285" s="5" t="str">
        <f>IFERROR(__xludf.DUMMYFUNCTION("GOOGLETRANSLATE(B18285,""en"",""zh-CN"")"),"这位女体操运动员在等待她的得分展示时与她的团队交谈。")</f>
        <v>这位女体操运动员在等待她的得分展示时与她的团队交谈。</v>
      </c>
    </row>
    <row r="18286">
      <c r="A18286" s="4" t="s">
        <v>23008</v>
      </c>
      <c r="B18286" s="6" t="s">
        <v>23009</v>
      </c>
      <c r="C18286" s="5" t="str">
        <f>IFERROR(__xludf.DUMMYFUNCTION("GOOGLETRANSLATE(B18286,""en"",""zh-CN"")"),"一个小女孩在与相机交谈时展示了如何使用迷你化妆套件作为化妆源涂抹化妆。")</f>
        <v>一个小女孩在与相机交谈时展示了如何使用迷你化妆套件作为化妆源涂抹化妆。</v>
      </c>
    </row>
    <row r="18287">
      <c r="A18287" s="4" t="s">
        <v>23008</v>
      </c>
      <c r="B18287" s="4" t="s">
        <v>23010</v>
      </c>
      <c r="C18287" s="5" t="str">
        <f>IFERROR(__xludf.DUMMYFUNCTION("GOOGLETRANSLATE(B18287,""en"",""zh-CN"")"),"一个小女孩与镜头说话，然后在近距离拍摄中俯身到镜头。")</f>
        <v>一个小女孩与镜头说话，然后在近距离拍摄中俯身到镜头。</v>
      </c>
    </row>
    <row r="18288">
      <c r="A18288" s="4" t="s">
        <v>23008</v>
      </c>
      <c r="B18288" s="6" t="s">
        <v>23011</v>
      </c>
      <c r="C18288" s="5" t="str">
        <f>IFERROR(__xludf.DUMMYFUNCTION("GOOGLETRANSLATE(B18288,""en"",""zh-CN"")"),"这个小女孩拔出了一个五颜六色的化妆调色板，并向摄像机展示了调色板的内部，然后才开始将一些化妆涂在她的眼睛上。")</f>
        <v>这个小女孩拔出了一个五颜六色的化妆调色板，并向摄像机展示了调色板的内部，然后才开始将一些化妆涂在她的眼睛上。</v>
      </c>
    </row>
    <row r="18289">
      <c r="A18289" s="4" t="s">
        <v>23008</v>
      </c>
      <c r="B18289" s="6" t="s">
        <v>23012</v>
      </c>
      <c r="C18289" s="5" t="str">
        <f>IFERROR(__xludf.DUMMYFUNCTION("GOOGLETRANSLATE(B18289,""en"",""zh-CN"")"),"然后，这个女孩将黑色睫毛膏涂在她的睫毛上，申请后与镜头交谈后休息一下。")</f>
        <v>然后，这个女孩将黑色睫毛膏涂在她的睫毛上，申请后与镜头交谈后休息一下。</v>
      </c>
    </row>
    <row r="18290">
      <c r="A18290" s="4" t="s">
        <v>23008</v>
      </c>
      <c r="B18290" s="6" t="s">
        <v>23013</v>
      </c>
      <c r="C18290" s="5" t="str">
        <f>IFERROR(__xludf.DUMMYFUNCTION("GOOGLETRANSLATE(B18290,""en"",""zh-CN"")"),"这个小女孩对最后的大拇指表示赞同，然后将吻吻在相机上，然后随着场景逐渐消失，然后微笑着。")</f>
        <v>这个小女孩对最后的大拇指表示赞同，然后将吻吻在相机上，然后随着场景逐渐消失，然后微笑着。</v>
      </c>
    </row>
    <row r="18291">
      <c r="A18291" s="4" t="s">
        <v>23014</v>
      </c>
      <c r="B18291" s="6" t="s">
        <v>23015</v>
      </c>
      <c r="C18291" s="5" t="str">
        <f>IFERROR(__xludf.DUMMYFUNCTION("GOOGLETRANSLATE(B18291,""en"",""zh-CN"")"),"一个男人坐在健身房的划船机上，并在演示如何使用划船运动机的同时与相机交谈。")</f>
        <v>一个男人坐在健身房的划船机上，并在演示如何使用划船运动机的同时与相机交谈。</v>
      </c>
    </row>
    <row r="18292">
      <c r="A18292" s="4" t="s">
        <v>23014</v>
      </c>
      <c r="B18292" s="6" t="s">
        <v>23016</v>
      </c>
      <c r="C18292" s="5" t="str">
        <f>IFERROR(__xludf.DUMMYFUNCTION("GOOGLETRANSLATE(B18292,""en"",""zh-CN"")"),"该男子在与相机交谈时开始缓慢地在机器上锻炼，最终在同一台机器上锻炼得更快。")</f>
        <v>该男子在与相机交谈时开始缓慢地在机器上锻炼，最终在同一台机器上锻炼得更快。</v>
      </c>
    </row>
    <row r="18293">
      <c r="A18293" s="4" t="s">
        <v>23014</v>
      </c>
      <c r="B18293" s="6" t="s">
        <v>23017</v>
      </c>
      <c r="C18293" s="5" t="str">
        <f>IFERROR(__xludf.DUMMYFUNCTION("GOOGLETRANSLATE(B18293,""en"",""zh-CN"")"),"该男子开始通过指向运动机上的数字面板并与相机交谈来演示如何使用数字面板。")</f>
        <v>该男子开始通过指向运动机上的数字面板并与相机交谈来演示如何使用数字面板。</v>
      </c>
    </row>
    <row r="18294">
      <c r="A18294" s="4" t="s">
        <v>23018</v>
      </c>
      <c r="B18294" s="4" t="s">
        <v>23019</v>
      </c>
      <c r="C18294" s="5" t="str">
        <f>IFERROR(__xludf.DUMMYFUNCTION("GOOGLETRANSLATE(B18294,""en"",""zh-CN"")"),"风筝在空中显示高。")</f>
        <v>风筝在空中显示高。</v>
      </c>
    </row>
    <row r="18295">
      <c r="A18295" s="4" t="s">
        <v>23018</v>
      </c>
      <c r="B18295" s="4" t="s">
        <v>23020</v>
      </c>
      <c r="C18295" s="5" t="str">
        <f>IFERROR(__xludf.DUMMYFUNCTION("GOOGLETRANSLATE(B18295,""en"",""zh-CN"")"),"一个男人在放风筝之前拿着风筝。")</f>
        <v>一个男人在放风筝之前拿着风筝。</v>
      </c>
    </row>
    <row r="18296">
      <c r="A18296" s="4" t="s">
        <v>23018</v>
      </c>
      <c r="B18296" s="4" t="s">
        <v>23021</v>
      </c>
      <c r="C18296" s="5" t="str">
        <f>IFERROR(__xludf.DUMMYFUNCTION("GOOGLETRANSLATE(B18296,""en"",""zh-CN"")"),"它高高地旋转到空中，然后绕着圆形和角度翻转，从地面上弹跳。")</f>
        <v>它高高地旋转到空中，然后绕着圆形和角度翻转，从地面上弹跳。</v>
      </c>
    </row>
    <row r="18297">
      <c r="A18297" s="4" t="s">
        <v>23022</v>
      </c>
      <c r="B18297" s="6" t="s">
        <v>23023</v>
      </c>
      <c r="C18297" s="5" t="str">
        <f>IFERROR(__xludf.DUMMYFUNCTION("GOOGLETRANSLATE(B18297,""en"",""zh-CN"")"),"一个男人站在健身房里，握着大型自行车轮沿着橡胶内的管子移动。")</f>
        <v>一个男人站在健身房里，握着大型自行车轮沿着橡胶内的管子移动。</v>
      </c>
    </row>
    <row r="18298">
      <c r="A18298" s="4" t="s">
        <v>23022</v>
      </c>
      <c r="B18298" s="4" t="s">
        <v>23024</v>
      </c>
      <c r="C18298" s="5" t="str">
        <f>IFERROR(__xludf.DUMMYFUNCTION("GOOGLETRANSLATE(B18298,""en"",""zh-CN"")"),"该男子在膝盖上移动圆圈时不断地执行动作。")</f>
        <v>该男子在膝盖上移动圆圈时不断地执行动作。</v>
      </c>
    </row>
    <row r="18299">
      <c r="A18299" s="4" t="s">
        <v>23022</v>
      </c>
      <c r="B18299" s="6" t="s">
        <v>23025</v>
      </c>
      <c r="C18299" s="5" t="str">
        <f>IFERROR(__xludf.DUMMYFUNCTION("GOOGLETRANSLATE(B18299,""en"",""zh-CN"")"),"之后，该男子捡起一个黄色的物体，开始拧紧轮子上的辐条，并密封将橡胶抬起。")</f>
        <v>之后，该男子捡起一个黄色的物体，开始拧紧轮子上的辐条，并密封将橡胶抬起。</v>
      </c>
    </row>
    <row r="18300">
      <c r="A18300" s="4" t="s">
        <v>23026</v>
      </c>
      <c r="B18300" s="4" t="s">
        <v>23027</v>
      </c>
      <c r="C18300" s="5" t="str">
        <f>IFERROR(__xludf.DUMMYFUNCTION("GOOGLETRANSLATE(B18300,""en"",""zh-CN"")"),"一个人使用修剪器来修剪后院的树上的叶子，从中间开始。")</f>
        <v>一个人使用修剪器来修剪后院的树上的叶子，从中间开始。</v>
      </c>
    </row>
    <row r="18301">
      <c r="A18301" s="4" t="s">
        <v>23026</v>
      </c>
      <c r="B18301" s="4" t="s">
        <v>23028</v>
      </c>
      <c r="C18301" s="5" t="str">
        <f>IFERROR(__xludf.DUMMYFUNCTION("GOOGLETRANSLATE(B18301,""en"",""zh-CN"")"),"他向左移动，继续修剪树。")</f>
        <v>他向左移动，继续修剪树。</v>
      </c>
    </row>
    <row r="18302">
      <c r="A18302" s="4" t="s">
        <v>23029</v>
      </c>
      <c r="B18302" s="4" t="s">
        <v>23030</v>
      </c>
      <c r="C18302" s="5" t="str">
        <f>IFERROR(__xludf.DUMMYFUNCTION("GOOGLETRANSLATE(B18302,""en"",""zh-CN"")"),"两个女人站在一所房子里。")</f>
        <v>两个女人站在一所房子里。</v>
      </c>
    </row>
    <row r="18303">
      <c r="A18303" s="4" t="s">
        <v>23029</v>
      </c>
      <c r="B18303" s="4" t="s">
        <v>23031</v>
      </c>
      <c r="C18303" s="5" t="str">
        <f>IFERROR(__xludf.DUMMYFUNCTION("GOOGLETRANSLATE(B18303,""en"",""zh-CN"")"),"他们炫耀帆布瓷砖。")</f>
        <v>他们炫耀帆布瓷砖。</v>
      </c>
    </row>
    <row r="18304">
      <c r="A18304" s="4" t="s">
        <v>23029</v>
      </c>
      <c r="B18304" s="6" t="s">
        <v>23032</v>
      </c>
      <c r="C18304" s="5" t="str">
        <f>IFERROR(__xludf.DUMMYFUNCTION("GOOGLETRANSLATE(B18304,""en"",""zh-CN"")"),"然后，他们展示了如何制作瓷砖并将其放在地上，将其像拼图一样拼凑在一起。")</f>
        <v>然后，他们展示了如何制作瓷砖并将其放在地上，将其像拼图一样拼凑在一起。</v>
      </c>
    </row>
    <row r="18305">
      <c r="A18305" s="4" t="s">
        <v>23029</v>
      </c>
      <c r="B18305" s="4" t="s">
        <v>23033</v>
      </c>
      <c r="C18305" s="5" t="str">
        <f>IFERROR(__xludf.DUMMYFUNCTION("GOOGLETRANSLATE(B18305,""en"",""zh-CN"")"),"他们坐在顶上谈论它，然后将家具放回原处。")</f>
        <v>他们坐在顶上谈论它，然后将家具放回原处。</v>
      </c>
    </row>
    <row r="18306">
      <c r="A18306" s="4" t="s">
        <v>23034</v>
      </c>
      <c r="B18306" s="4" t="s">
        <v>23035</v>
      </c>
      <c r="C18306" s="5" t="str">
        <f>IFERROR(__xludf.DUMMYFUNCTION("GOOGLETRANSLATE(B18306,""en"",""zh-CN"")"),"一只蓬松的狗站在人行道上，后面有一个孩子。")</f>
        <v>一只蓬松的狗站在人行道上，后面有一个孩子。</v>
      </c>
    </row>
    <row r="18307">
      <c r="A18307" s="4" t="s">
        <v>23034</v>
      </c>
      <c r="B18307" s="6" t="s">
        <v>23036</v>
      </c>
      <c r="C18307" s="5" t="str">
        <f>IFERROR(__xludf.DUMMYFUNCTION("GOOGLETRANSLATE(B18307,""en"",""zh-CN"")"),"狗开始在人行道上行走，在他身后紧紧地走动，一个孩子在狗行走时骑着踏板车。")</f>
        <v>狗开始在人行道上行走，在他身后紧紧地走动，一个孩子在狗行走时骑着踏板车。</v>
      </c>
    </row>
    <row r="18308">
      <c r="A18308" s="4" t="s">
        <v>23037</v>
      </c>
      <c r="B18308" s="4" t="s">
        <v>23038</v>
      </c>
      <c r="C18308" s="5" t="str">
        <f>IFERROR(__xludf.DUMMYFUNCTION("GOOGLETRANSLATE(B18308,""en"",""zh-CN"")"),"水槽充满了肮脏的菜肴，并引入了各种产品。")</f>
        <v>水槽充满了肮脏的菜肴，并引入了各种产品。</v>
      </c>
    </row>
    <row r="18309">
      <c r="A18309" s="4" t="s">
        <v>23037</v>
      </c>
      <c r="B18309" s="4" t="s">
        <v>23039</v>
      </c>
      <c r="C18309" s="5" t="str">
        <f>IFERROR(__xludf.DUMMYFUNCTION("GOOGLETRANSLATE(B18309,""en"",""zh-CN"")"),"然后，一个人擦洗菜，开始将其中一些放入水桶中。")</f>
        <v>然后，一个人擦洗菜，开始将其中一些放入水桶中。</v>
      </c>
    </row>
    <row r="18310">
      <c r="A18310" s="4" t="s">
        <v>23037</v>
      </c>
      <c r="B18310" s="4" t="s">
        <v>23040</v>
      </c>
      <c r="C18310" s="5" t="str">
        <f>IFERROR(__xludf.DUMMYFUNCTION("GOOGLETRANSLATE(B18310,""en"",""zh-CN"")"),"他们在将盘子堆放在侧面的架子上时，连续洗碗。")</f>
        <v>他们在将盘子堆放在侧面的架子上时，连续洗碗。</v>
      </c>
    </row>
    <row r="18311">
      <c r="A18311" s="4" t="s">
        <v>23041</v>
      </c>
      <c r="B18311" s="4" t="s">
        <v>23042</v>
      </c>
      <c r="C18311" s="5" t="str">
        <f>IFERROR(__xludf.DUMMYFUNCTION("GOOGLETRANSLATE(B18311,""en"",""zh-CN"")"),"显示了一个菲利普斯三头剃须刀，然后在红色桌子上取消框。")</f>
        <v>显示了一个菲利普斯三头剃须刀，然后在红色桌子上取消框。</v>
      </c>
    </row>
    <row r="18312">
      <c r="A18312" s="4" t="s">
        <v>23041</v>
      </c>
      <c r="B18312" s="4" t="s">
        <v>23043</v>
      </c>
      <c r="C18312" s="5" t="str">
        <f>IFERROR(__xludf.DUMMYFUNCTION("GOOGLETRANSLATE(B18312,""en"",""zh-CN"")"),"接下来，将剃须刀组装在一起，并在将其插入后收取费用。")</f>
        <v>接下来，将剃须刀组装在一起，并在将其插入后收取费用。</v>
      </c>
    </row>
    <row r="18313">
      <c r="A18313" s="4" t="s">
        <v>23041</v>
      </c>
      <c r="B18313" s="6" t="s">
        <v>23044</v>
      </c>
      <c r="C18313" s="5" t="str">
        <f>IFERROR(__xludf.DUMMYFUNCTION("GOOGLETRANSLATE(B18313,""en"",""zh-CN"")"),"一旦充满电，该男子冲洗剃须刀，将剃须膏涂在这个胡须区域，开始剃须。")</f>
        <v>一旦充满电，该男子冲洗剃须刀，将剃须膏涂在这个胡须区域，开始剃须。</v>
      </c>
    </row>
    <row r="18314">
      <c r="A18314" s="4" t="s">
        <v>23041</v>
      </c>
      <c r="B18314" s="6" t="s">
        <v>23045</v>
      </c>
      <c r="C18314" s="5" t="str">
        <f>IFERROR(__xludf.DUMMYFUNCTION("GOOGLETRANSLATE(B18314,""en"",""zh-CN"")"),"当他剃光时，该男子继续说话，他的脸开始变成大剃刀，然后将剃须刀放回充电器上。")</f>
        <v>当他剃光时，该男子继续说话，他的脸开始变成大剃刀，然后将剃须刀放回充电器上。</v>
      </c>
    </row>
    <row r="18315">
      <c r="A18315" s="4" t="s">
        <v>23046</v>
      </c>
      <c r="B18315" s="6" t="s">
        <v>23047</v>
      </c>
      <c r="C18315" s="5" t="str">
        <f>IFERROR(__xludf.DUMMYFUNCTION("GOOGLETRANSLATE(B18315,""en"",""zh-CN"")"),"一个男人正站在美国国旗前的舞台上，同时从一张纸上读到麦克风。")</f>
        <v>一个男人正站在美国国旗前的舞台上，同时从一张纸上读到麦克风。</v>
      </c>
    </row>
    <row r="18316">
      <c r="A18316" s="4" t="s">
        <v>23046</v>
      </c>
      <c r="B18316" s="4" t="s">
        <v>23048</v>
      </c>
      <c r="C18316" s="5" t="str">
        <f>IFERROR(__xludf.DUMMYFUNCTION("GOOGLETRANSLATE(B18316,""en"",""zh-CN"")"),"然后，当他们在他身后尖叫时，他在人群面前展示。")</f>
        <v>然后，当他们在他身后尖叫时，他在人群面前展示。</v>
      </c>
    </row>
    <row r="18317">
      <c r="A18317" s="4" t="s">
        <v>23046</v>
      </c>
      <c r="B18317" s="4" t="s">
        <v>23049</v>
      </c>
      <c r="C18317" s="5" t="str">
        <f>IFERROR(__xludf.DUMMYFUNCTION("GOOGLETRANSLATE(B18317,""en"",""zh-CN"")"),"这些人走了出去，开始参加飞镖投掷挑战。")</f>
        <v>这些人走了出去，开始参加飞镖投掷挑战。</v>
      </c>
    </row>
    <row r="18318">
      <c r="A18318" s="4" t="s">
        <v>23046</v>
      </c>
      <c r="B18318" s="4" t="s">
        <v>23050</v>
      </c>
      <c r="C18318" s="5" t="str">
        <f>IFERROR(__xludf.DUMMYFUNCTION("GOOGLETRANSLATE(B18318,""en"",""zh-CN"")"),"此后，获胜者接受了采访。")</f>
        <v>此后，获胜者接受了采访。</v>
      </c>
    </row>
    <row r="18319">
      <c r="A18319" s="4" t="s">
        <v>23051</v>
      </c>
      <c r="B18319" s="4" t="s">
        <v>23052</v>
      </c>
      <c r="C18319" s="5" t="str">
        <f>IFERROR(__xludf.DUMMYFUNCTION("GOOGLETRANSLATE(B18319,""en"",""zh-CN"")"),"屏幕上显示了巴厘岛河管的信息。")</f>
        <v>屏幕上显示了巴厘岛河管的信息。</v>
      </c>
    </row>
    <row r="18320">
      <c r="A18320" s="4" t="s">
        <v>23051</v>
      </c>
      <c r="B18320" s="4" t="s">
        <v>23053</v>
      </c>
      <c r="C18320" s="5" t="str">
        <f>IFERROR(__xludf.DUMMYFUNCTION("GOOGLETRANSLATE(B18320,""en"",""zh-CN"")"),"显示了一个黄色和红色的管，上面印有巴厘岛河的名字。")</f>
        <v>显示了一个黄色和红色的管，上面印有巴厘岛河的名字。</v>
      </c>
    </row>
    <row r="18321">
      <c r="A18321" s="4" t="s">
        <v>23051</v>
      </c>
      <c r="B18321" s="4" t="s">
        <v>23054</v>
      </c>
      <c r="C18321" s="5" t="str">
        <f>IFERROR(__xludf.DUMMYFUNCTION("GOOGLETRANSLATE(B18321,""en"",""zh-CN"")"),"有几个戴着防护头盔管的人在河里。")</f>
        <v>有几个戴着防护头盔管的人在河里。</v>
      </c>
    </row>
    <row r="18322">
      <c r="A18322" s="4" t="s">
        <v>23051</v>
      </c>
      <c r="B18322" s="4" t="s">
        <v>23055</v>
      </c>
      <c r="C18322" s="5" t="str">
        <f>IFERROR(__xludf.DUMMYFUNCTION("GOOGLETRANSLATE(B18322,""en"",""zh-CN"")"),"有一个男人站在管道下，流动的水。")</f>
        <v>有一个男人站在管道下，流动的水。</v>
      </c>
    </row>
    <row r="18323">
      <c r="A18323" s="4" t="s">
        <v>23051</v>
      </c>
      <c r="B18323" s="4" t="s">
        <v>23056</v>
      </c>
      <c r="C18323" s="5" t="str">
        <f>IFERROR(__xludf.DUMMYFUNCTION("GOOGLETRANSLATE(B18323,""en"",""zh-CN"")"),"有一些块茎用手在水中划船。")</f>
        <v>有一些块茎用手在水中划船。</v>
      </c>
    </row>
    <row r="18324">
      <c r="A18324" s="4" t="s">
        <v>23051</v>
      </c>
      <c r="B18324" s="4" t="s">
        <v>23057</v>
      </c>
      <c r="C18324" s="5" t="str">
        <f>IFERROR(__xludf.DUMMYFUNCTION("GOOGLETRANSLATE(B18324,""en"",""zh-CN"")"),"他的管子里有一个男人放松，竖起大拇指。")</f>
        <v>他的管子里有一个男人放松，竖起大拇指。</v>
      </c>
    </row>
    <row r="18325">
      <c r="A18325" s="4" t="s">
        <v>23051</v>
      </c>
      <c r="B18325" s="4" t="s">
        <v>23058</v>
      </c>
      <c r="C18325" s="5" t="str">
        <f>IFERROR(__xludf.DUMMYFUNCTION("GOOGLETRANSLATE(B18325,""en"",""zh-CN"")"),"块茎继续穿过河流。")</f>
        <v>块茎继续穿过河流。</v>
      </c>
    </row>
    <row r="18326">
      <c r="A18326" s="4" t="s">
        <v>23059</v>
      </c>
      <c r="B18326" s="4" t="s">
        <v>23060</v>
      </c>
      <c r="C18326" s="5" t="str">
        <f>IFERROR(__xludf.DUMMYFUNCTION("GOOGLETRANSLATE(B18326,""en"",""zh-CN"")"),"看到一个男人戴着口罩，沿着墙壁推动物体。")</f>
        <v>看到一个男人戴着口罩，沿着墙壁推动物体。</v>
      </c>
    </row>
    <row r="18327">
      <c r="A18327" s="4" t="s">
        <v>23059</v>
      </c>
      <c r="B18327" s="4" t="s">
        <v>23061</v>
      </c>
      <c r="C18327" s="5" t="str">
        <f>IFERROR(__xludf.DUMMYFUNCTION("GOOGLETRANSLATE(B18327,""en"",""zh-CN"")"),"然后看到这个人在桌子上铺上纸。")</f>
        <v>然后看到这个人在桌子上铺上纸。</v>
      </c>
    </row>
    <row r="18328">
      <c r="A18328" s="4" t="s">
        <v>23059</v>
      </c>
      <c r="B18328" s="4" t="s">
        <v>23062</v>
      </c>
      <c r="C18328" s="5" t="str">
        <f>IFERROR(__xludf.DUMMYFUNCTION("GOOGLETRANSLATE(B18328,""en"",""zh-CN"")"),"在将墙纸放在墙上后不久。")</f>
        <v>在将墙纸放在墙上后不久。</v>
      </c>
    </row>
    <row r="18329">
      <c r="A18329" s="4" t="s">
        <v>23063</v>
      </c>
      <c r="B18329" s="4" t="s">
        <v>23064</v>
      </c>
      <c r="C18329" s="5" t="str">
        <f>IFERROR(__xludf.DUMMYFUNCTION("GOOGLETRANSLATE(B18329,""en"",""zh-CN"")"),"滚子上的一个女人向后移动，掉在草地上并笑了。")</f>
        <v>滚子上的一个女人向后移动，掉在草地上并笑了。</v>
      </c>
    </row>
    <row r="18330">
      <c r="A18330" s="4" t="s">
        <v>23063</v>
      </c>
      <c r="B18330" s="4" t="s">
        <v>23065</v>
      </c>
      <c r="C18330" s="5" t="str">
        <f>IFERROR(__xludf.DUMMYFUNCTION("GOOGLETRANSLATE(B18330,""en"",""zh-CN"")"),"当她试图起床时，一个朋友正在与堕落的女人交谈。")</f>
        <v>当她试图起床时，一个朋友正在与堕落的女人交谈。</v>
      </c>
    </row>
    <row r="18331">
      <c r="A18331" s="4" t="s">
        <v>23063</v>
      </c>
      <c r="B18331" s="4" t="s">
        <v>23066</v>
      </c>
      <c r="C18331" s="5" t="str">
        <f>IFERROR(__xludf.DUMMYFUNCTION("GOOGLETRANSLATE(B18331,""en"",""zh-CN"")"),"一位朋友拿着相机在她的同时与她交谈，并给她一只手来起床。")</f>
        <v>一位朋友拿着相机在她的同时与她交谈，并给她一只手来起床。</v>
      </c>
    </row>
    <row r="18332">
      <c r="A18332" s="4" t="s">
        <v>23063</v>
      </c>
      <c r="B18332" s="4" t="s">
        <v>23067</v>
      </c>
      <c r="C18332" s="5" t="str">
        <f>IFERROR(__xludf.DUMMYFUNCTION("GOOGLETRANSLATE(B18332,""en"",""zh-CN"")"),"两个女人握手并开始滚石，而红衬衫的女孩学会了如何。")</f>
        <v>两个女人握手并开始滚石，而红衬衫的女孩学会了如何。</v>
      </c>
    </row>
    <row r="18333">
      <c r="A18333" s="4" t="s">
        <v>23063</v>
      </c>
      <c r="B18333" s="4" t="s">
        <v>23068</v>
      </c>
      <c r="C18333" s="5" t="str">
        <f>IFERROR(__xludf.DUMMYFUNCTION("GOOGLETRANSLATE(B18333,""en"",""zh-CN"")"),"红色衬衫的女孩跌倒了，他们都笑了。")</f>
        <v>红色衬衫的女孩跌倒了，他们都笑了。</v>
      </c>
    </row>
    <row r="18334">
      <c r="A18334" s="4" t="s">
        <v>23069</v>
      </c>
      <c r="B18334" s="6" t="s">
        <v>23070</v>
      </c>
      <c r="C18334" s="5" t="str">
        <f>IFERROR(__xludf.DUMMYFUNCTION("GOOGLETRANSLATE(B18334,""en"",""zh-CN"")"),"显示了一个叶子鼓风机，吹着一大堆在住宅房屋前的绿色草坪上的叶子。")</f>
        <v>显示了一个叶子鼓风机，吹着一大堆在住宅房屋前的绿色草坪上的叶子。</v>
      </c>
    </row>
    <row r="18335">
      <c r="A18335" s="4" t="s">
        <v>23069</v>
      </c>
      <c r="B18335" s="6" t="s">
        <v>23071</v>
      </c>
      <c r="C18335" s="5" t="str">
        <f>IFERROR(__xludf.DUMMYFUNCTION("GOOGLETRANSLATE(B18335,""en"",""zh-CN"")"),"叶子在空中飞来飞去，但由于叶吹塑器擦拭棕色叶子的地面，并在草坪上开始形成堆。")</f>
        <v>叶子在空中飞来飞去，但由于叶吹塑器擦拭棕色叶子的地面，并在草坪上开始形成堆。</v>
      </c>
    </row>
    <row r="18336">
      <c r="A18336" s="4" t="s">
        <v>23069</v>
      </c>
      <c r="B18336" s="6" t="s">
        <v>23072</v>
      </c>
      <c r="C18336" s="5" t="str">
        <f>IFERROR(__xludf.DUMMYFUNCTION("GOOGLETRANSLATE(B18336,""en"",""zh-CN"")"),"偶尔的相机并最终安顿在坐在一堆叶子之外的院子里的黄色骑行割草机上。")</f>
        <v>偶尔的相机并最终安顿在坐在一堆叶子之外的院子里的黄色骑行割草机上。</v>
      </c>
    </row>
    <row r="18337">
      <c r="A18337" s="4" t="s">
        <v>23073</v>
      </c>
      <c r="B18337" s="4" t="s">
        <v>23074</v>
      </c>
      <c r="C18337" s="5" t="str">
        <f>IFERROR(__xludf.DUMMYFUNCTION("GOOGLETRANSLATE(B18337,""en"",""zh-CN"")"),"我们看到一个带有紫色头发的女孩在和镜头说话。")</f>
        <v>我们看到一个带有紫色头发的女孩在和镜头说话。</v>
      </c>
    </row>
    <row r="18338">
      <c r="A18338" s="4" t="s">
        <v>23073</v>
      </c>
      <c r="B18338" s="4" t="s">
        <v>23075</v>
      </c>
      <c r="C18338" s="5" t="str">
        <f>IFERROR(__xludf.DUMMYFUNCTION("GOOGLETRANSLATE(B18338,""en"",""zh-CN"")"),"我们看到女孩低头看着相机。")</f>
        <v>我们看到女孩低头看着相机。</v>
      </c>
    </row>
    <row r="18339">
      <c r="A18339" s="4" t="s">
        <v>23073</v>
      </c>
      <c r="B18339" s="4" t="s">
        <v>23076</v>
      </c>
      <c r="C18339" s="5" t="str">
        <f>IFERROR(__xludf.DUMMYFUNCTION("GOOGLETRANSLATE(B18339,""en"",""zh-CN"")"),"我们看到那个女孩假装刷牙和喷发头发。")</f>
        <v>我们看到那个女孩假装刷牙和喷发头发。</v>
      </c>
    </row>
    <row r="18340">
      <c r="A18340" s="4" t="s">
        <v>23073</v>
      </c>
      <c r="B18340" s="4" t="s">
        <v>23077</v>
      </c>
      <c r="C18340" s="5" t="str">
        <f>IFERROR(__xludf.DUMMYFUNCTION("GOOGLETRANSLATE(B18340,""en"",""zh-CN"")"),"她将2瓶拿到相机。")</f>
        <v>她将2瓶拿到相机。</v>
      </c>
    </row>
    <row r="18341">
      <c r="A18341" s="4" t="s">
        <v>23073</v>
      </c>
      <c r="B18341" s="4" t="s">
        <v>23078</v>
      </c>
      <c r="C18341" s="5" t="str">
        <f>IFERROR(__xludf.DUMMYFUNCTION("GOOGLETRANSLATE(B18341,""en"",""zh-CN"")"),"女孩刷她的头发，把它放在马尾辫中。")</f>
        <v>女孩刷她的头发，把它放在马尾辫中。</v>
      </c>
    </row>
    <row r="18342">
      <c r="A18342" s="4" t="s">
        <v>23073</v>
      </c>
      <c r="B18342" s="4" t="s">
        <v>23079</v>
      </c>
      <c r="C18342" s="5" t="str">
        <f>IFERROR(__xludf.DUMMYFUNCTION("GOOGLETRANSLATE(B18342,""en"",""zh-CN"")"),"女孩在头发上添加产品。")</f>
        <v>女孩在头发上添加产品。</v>
      </c>
    </row>
    <row r="18343">
      <c r="A18343" s="4" t="s">
        <v>23073</v>
      </c>
      <c r="B18343" s="4" t="s">
        <v>23080</v>
      </c>
      <c r="C18343" s="5" t="str">
        <f>IFERROR(__xludf.DUMMYFUNCTION("GOOGLETRANSLATE(B18343,""en"",""zh-CN"")"),"女孩指着相机。")</f>
        <v>女孩指着相机。</v>
      </c>
    </row>
    <row r="18344">
      <c r="A18344" s="4" t="s">
        <v>23073</v>
      </c>
      <c r="B18344" s="4" t="s">
        <v>23081</v>
      </c>
      <c r="C18344" s="5" t="str">
        <f>IFERROR(__xludf.DUMMYFUNCTION("GOOGLETRANSLATE(B18344,""en"",""zh-CN"")"),"这个女孩给镜头一个大拇指。")</f>
        <v>这个女孩给镜头一个大拇指。</v>
      </c>
    </row>
    <row r="18345">
      <c r="A18345" s="4" t="s">
        <v>23082</v>
      </c>
      <c r="B18345" s="4" t="s">
        <v>23083</v>
      </c>
      <c r="C18345" s="5" t="str">
        <f>IFERROR(__xludf.DUMMYFUNCTION("GOOGLETRANSLATE(B18345,""en"",""zh-CN"")"),"男人站在一个播放飞镖的房间里。")</f>
        <v>男人站在一个播放飞镖的房间里。</v>
      </c>
    </row>
    <row r="18346">
      <c r="A18346" s="4" t="s">
        <v>23082</v>
      </c>
      <c r="B18346" s="4" t="s">
        <v>23084</v>
      </c>
      <c r="C18346" s="5" t="str">
        <f>IFERROR(__xludf.DUMMYFUNCTION("GOOGLETRANSLATE(B18346,""en"",""zh-CN"")"),"人正在将飞镖扔进飞镖板。")</f>
        <v>人正在将飞镖扔进飞镖板。</v>
      </c>
    </row>
    <row r="18347">
      <c r="A18347" s="4" t="s">
        <v>23082</v>
      </c>
      <c r="B18347" s="4" t="s">
        <v>23085</v>
      </c>
      <c r="C18347" s="5" t="str">
        <f>IFERROR(__xludf.DUMMYFUNCTION("GOOGLETRANSLATE(B18347,""en"",""zh-CN"")"),"该男子从董事会上抓住飞镖并与镜头交谈。")</f>
        <v>该男子从董事会上抓住飞镖并与镜头交谈。</v>
      </c>
    </row>
    <row r="18348">
      <c r="A18348" s="4" t="s">
        <v>23086</v>
      </c>
      <c r="B18348" s="6" t="s">
        <v>23087</v>
      </c>
      <c r="C18348" s="5" t="str">
        <f>IFERROR(__xludf.DUMMYFUNCTION("GOOGLETRANSLATE(B18348,""en"",""zh-CN"")"),"有些人在饮料架上加油杯中工作，摇晃杯子，握住杯子或只是走来走去。")</f>
        <v>有些人在饮料架上加油杯中工作，摇晃杯子，握住杯子或只是走来走去。</v>
      </c>
    </row>
    <row r="18349">
      <c r="A18349" s="4" t="s">
        <v>23086</v>
      </c>
      <c r="B18349" s="6" t="s">
        <v>23088</v>
      </c>
      <c r="C18349" s="5" t="str">
        <f>IFERROR(__xludf.DUMMYFUNCTION("GOOGLETRANSLATE(B18349,""en"",""zh-CN"")"),"一个年轻人用液体填充一个透明的杯子，将其放在柜台上，用纸杯盖住它，剧烈摇动，当他完成时，他将纸杯放下并倒入其中的所有内容物，将黄色的稻草放入它并将其交给等待的人。")</f>
        <v>一个年轻人用液体填充一个透明的杯子，将其放在柜台上，用纸杯盖住它，剧烈摇动，当他完成时，他将纸杯放下并倒入其中的所有内容物，将黄色的稻草放入它并将其交给等待的人。</v>
      </c>
    </row>
    <row r="18350">
      <c r="A18350" s="4" t="s">
        <v>23086</v>
      </c>
      <c r="B18350" s="6" t="s">
        <v>23089</v>
      </c>
      <c r="C18350" s="5" t="str">
        <f>IFERROR(__xludf.DUMMYFUNCTION("GOOGLETRANSLATE(B18350,""en"",""zh-CN"")"),"在他旁边，另一个男孩也在摇一杯，然后准备将内容物转移到纸杯上。")</f>
        <v>在他旁边，另一个男孩也在摇一杯，然后准备将内容物转移到纸杯上。</v>
      </c>
    </row>
    <row r="18351">
      <c r="A18351" s="4" t="s">
        <v>23090</v>
      </c>
      <c r="B18351" s="6" t="s">
        <v>23091</v>
      </c>
      <c r="C18351" s="5" t="str">
        <f>IFERROR(__xludf.DUMMYFUNCTION("GOOGLETRANSLATE(B18351,""en"",""zh-CN"")"),"一位穿着蓝色衬衫的男人在展示室里的空中曲棍球桌旁边谈话，并散布着四个男人展示空中曲棍球游戏的视频。")</f>
        <v>一位穿着蓝色衬衫的男人在展示室里的空中曲棍球桌旁边谈话，并散布着四个男人展示空中曲棍球游戏的视频。</v>
      </c>
    </row>
    <row r="18352">
      <c r="A18352" s="4" t="s">
        <v>23090</v>
      </c>
      <c r="B18352" s="4" t="s">
        <v>23092</v>
      </c>
      <c r="C18352" s="5" t="str">
        <f>IFERROR(__xludf.DUMMYFUNCTION("GOOGLETRANSLATE(B18352,""en"",""zh-CN"")"),"一个男人站在空中曲棍球餐桌游戏前，开始从陈列室讲话。")</f>
        <v>一个男人站在空中曲棍球餐桌游戏前，开始从陈列室讲话。</v>
      </c>
    </row>
    <row r="18353">
      <c r="A18353" s="4" t="s">
        <v>23090</v>
      </c>
      <c r="B18353" s="4" t="s">
        <v>23093</v>
      </c>
      <c r="C18353" s="5" t="str">
        <f>IFERROR(__xludf.DUMMYFUNCTION("GOOGLETRANSLATE(B18353,""en"",""zh-CN"")"),"相机切开，向四名男子展示了与桌面游戏一起玩曲棍球比赛的比赛。")</f>
        <v>相机切开，向四名男子展示了与桌面游戏一起玩曲棍球比赛的比赛。</v>
      </c>
    </row>
    <row r="18354">
      <c r="A18354" s="4" t="s">
        <v>23090</v>
      </c>
      <c r="B18354" s="6" t="s">
        <v>23094</v>
      </c>
      <c r="C18354" s="5" t="str">
        <f>IFERROR(__xludf.DUMMYFUNCTION("GOOGLETRANSLATE(B18354,""en"",""zh-CN"")"),"该男子再次在桌上游戏旁边说话，直到摄像机再次向曲棍球奔走，直到现场逐渐消失到精心制作的金标准游戏营销图形。")</f>
        <v>该男子再次在桌上游戏旁边说话，直到摄像机再次向曲棍球奔走，直到现场逐渐消失到精心制作的金标准游戏营销图形。</v>
      </c>
    </row>
    <row r="18355">
      <c r="A18355" s="4" t="s">
        <v>23095</v>
      </c>
      <c r="B18355" s="6" t="s">
        <v>23096</v>
      </c>
      <c r="C18355" s="5" t="str">
        <f>IFERROR(__xludf.DUMMYFUNCTION("GOOGLETRANSLATE(B18355,""en"",""zh-CN"")"),"一个人站在撑竿跳高钻机上，显示一系列的杂耍表演，试图以不同程度的成功尝试库。")</f>
        <v>一个人站在撑竿跳高钻机上，显示一系列的杂耍表演，试图以不同程度的成功尝试库。</v>
      </c>
    </row>
    <row r="18356">
      <c r="A18356" s="4" t="s">
        <v>23095</v>
      </c>
      <c r="B18356" s="4" t="s">
        <v>23097</v>
      </c>
      <c r="C18356" s="5" t="str">
        <f>IFERROR(__xludf.DUMMYFUNCTION("GOOGLETRANSLATE(B18356,""en"",""zh-CN"")"),"一群穿着白色制服的人在背景中走过。")</f>
        <v>一群穿着白色制服的人在背景中走过。</v>
      </c>
    </row>
    <row r="18357">
      <c r="A18357" s="4" t="s">
        <v>23095</v>
      </c>
      <c r="B18357" s="4" t="s">
        <v>23098</v>
      </c>
      <c r="C18357" s="5" t="str">
        <f>IFERROR(__xludf.DUMMYFUNCTION("GOOGLETRANSLATE(B18357,""en"",""zh-CN"")"),"两个人在后台走过。")</f>
        <v>两个人在后台走过。</v>
      </c>
    </row>
    <row r="18358">
      <c r="A18358" s="4" t="s">
        <v>23099</v>
      </c>
      <c r="B18358" s="4" t="s">
        <v>23100</v>
      </c>
      <c r="C18358" s="5" t="str">
        <f>IFERROR(__xludf.DUMMYFUNCTION("GOOGLETRANSLATE(B18358,""en"",""zh-CN"")"),"一个女人闭上眼睛站在潜水板上。")</f>
        <v>一个女人闭上眼睛站在潜水板上。</v>
      </c>
    </row>
    <row r="18359">
      <c r="A18359" s="4" t="s">
        <v>23099</v>
      </c>
      <c r="B18359" s="4" t="s">
        <v>23101</v>
      </c>
      <c r="C18359" s="5" t="str">
        <f>IFERROR(__xludf.DUMMYFUNCTION("GOOGLETRANSLATE(B18359,""en"",""zh-CN"")"),"她翻转并潜入水中。")</f>
        <v>她翻转并潜入水中。</v>
      </c>
    </row>
    <row r="18360">
      <c r="A18360" s="4" t="s">
        <v>23099</v>
      </c>
      <c r="B18360" s="4" t="s">
        <v>23102</v>
      </c>
      <c r="C18360" s="5" t="str">
        <f>IFERROR(__xludf.DUMMYFUNCTION("GOOGLETRANSLATE(B18360,""en"",""zh-CN"")"),"她游泳到地面。")</f>
        <v>她游泳到地面。</v>
      </c>
    </row>
    <row r="18361">
      <c r="A18361" s="4" t="s">
        <v>23103</v>
      </c>
      <c r="B18361" s="4" t="s">
        <v>23104</v>
      </c>
      <c r="C18361" s="5" t="str">
        <f>IFERROR(__xludf.DUMMYFUNCTION("GOOGLETRANSLATE(B18361,""en"",""zh-CN"")"),"乐队在舞台上演奏。")</f>
        <v>乐队在舞台上演奏。</v>
      </c>
    </row>
    <row r="18362">
      <c r="A18362" s="4" t="s">
        <v>23103</v>
      </c>
      <c r="B18362" s="4" t="s">
        <v>23105</v>
      </c>
      <c r="C18362" s="5" t="str">
        <f>IFERROR(__xludf.DUMMYFUNCTION("GOOGLETRANSLATE(B18362,""en"",""zh-CN"")"),"男人和女人吻。")</f>
        <v>男人和女人吻。</v>
      </c>
    </row>
    <row r="18363">
      <c r="A18363" s="4" t="s">
        <v>23103</v>
      </c>
      <c r="B18363" s="4" t="s">
        <v>23106</v>
      </c>
      <c r="C18363" s="5" t="str">
        <f>IFERROR(__xludf.DUMMYFUNCTION("GOOGLETRANSLATE(B18363,""en"",""zh-CN"")"),"穿着黄色衬衫的男人演奏萨克斯管。")</f>
        <v>穿着黄色衬衫的男人演奏萨克斯管。</v>
      </c>
    </row>
    <row r="18364">
      <c r="A18364" s="4" t="s">
        <v>23107</v>
      </c>
      <c r="B18364" s="4" t="s">
        <v>23108</v>
      </c>
      <c r="C18364" s="5" t="str">
        <f>IFERROR(__xludf.DUMMYFUNCTION("GOOGLETRANSLATE(B18364,""en"",""zh-CN"")"),"一个年轻人坐下来，将鼓拉在他附近。")</f>
        <v>一个年轻人坐下来，将鼓拉在他附近。</v>
      </c>
    </row>
    <row r="18365">
      <c r="A18365" s="4" t="s">
        <v>23107</v>
      </c>
      <c r="B18365" s="4" t="s">
        <v>23109</v>
      </c>
      <c r="C18365" s="5" t="str">
        <f>IFERROR(__xludf.DUMMYFUNCTION("GOOGLETRANSLATE(B18365,""en"",""zh-CN"")"),"他捡起棍子，一起击打。")</f>
        <v>他捡起棍子，一起击打。</v>
      </c>
    </row>
    <row r="18366">
      <c r="A18366" s="4" t="s">
        <v>23107</v>
      </c>
      <c r="B18366" s="4" t="s">
        <v>23110</v>
      </c>
      <c r="C18366" s="5" t="str">
        <f>IFERROR(__xludf.DUMMYFUNCTION("GOOGLETRANSLATE(B18366,""en"",""zh-CN"")"),"他开始计数和鼓。")</f>
        <v>他开始计数和鼓。</v>
      </c>
    </row>
    <row r="18367">
      <c r="A18367" s="4" t="s">
        <v>23107</v>
      </c>
      <c r="B18367" s="4" t="s">
        <v>23111</v>
      </c>
      <c r="C18367" s="5" t="str">
        <f>IFERROR(__xludf.DUMMYFUNCTION("GOOGLETRANSLATE(B18367,""en"",""zh-CN"")"),"当他移开视线时，他会更快地鼓，然后停下来调整一些鼓。")</f>
        <v>当他移开视线时，他会更快地鼓，然后停下来调整一些鼓。</v>
      </c>
    </row>
    <row r="18368">
      <c r="A18368" s="4" t="s">
        <v>23107</v>
      </c>
      <c r="B18368" s="6" t="s">
        <v>23112</v>
      </c>
      <c r="C18368" s="5" t="str">
        <f>IFERROR(__xludf.DUMMYFUNCTION("GOOGLETRANSLATE(B18368,""en"",""zh-CN"")"),"他站起来，移动相机以显示他移动的杠杆，然后一遍又一遍地敲击鼓的顶部。")</f>
        <v>他站起来，移动相机以显示他移动的杠杆，然后一遍又一遍地敲击鼓的顶部。</v>
      </c>
    </row>
    <row r="18369">
      <c r="A18369" s="4" t="s">
        <v>23107</v>
      </c>
      <c r="B18369" s="4" t="s">
        <v>23113</v>
      </c>
      <c r="C18369" s="5" t="str">
        <f>IFERROR(__xludf.DUMMYFUNCTION("GOOGLETRANSLATE(B18369,""en"",""zh-CN"")"),"他竖起大拇指和和平标志。")</f>
        <v>他竖起大拇指和和平标志。</v>
      </c>
    </row>
    <row r="18370">
      <c r="A18370" s="4" t="s">
        <v>23114</v>
      </c>
      <c r="B18370" s="4" t="s">
        <v>23115</v>
      </c>
      <c r="C18370" s="5" t="str">
        <f>IFERROR(__xludf.DUMMYFUNCTION("GOOGLETRANSLATE(B18370,""en"",""zh-CN"")"),"一个男人坐在钢琴上，演奏并唱歌到麦克风中。")</f>
        <v>一个男人坐在钢琴上，演奏并唱歌到麦克风中。</v>
      </c>
    </row>
    <row r="18371">
      <c r="A18371" s="4" t="s">
        <v>23114</v>
      </c>
      <c r="B18371" s="4" t="s">
        <v>23116</v>
      </c>
      <c r="C18371" s="5" t="str">
        <f>IFERROR(__xludf.DUMMYFUNCTION("GOOGLETRANSLATE(B18371,""en"",""zh-CN"")"),"当他结束时，他抬起头微笑。")</f>
        <v>当他结束时，他抬起头微笑。</v>
      </c>
    </row>
    <row r="18372">
      <c r="A18372" s="4" t="s">
        <v>23117</v>
      </c>
      <c r="B18372" s="4" t="s">
        <v>23118</v>
      </c>
      <c r="C18372" s="5" t="str">
        <f>IFERROR(__xludf.DUMMYFUNCTION("GOOGLETRANSLATE(B18372,""en"",""zh-CN"")"),"一名女运动员迅速沿着赛道奔跑。")</f>
        <v>一名女运动员迅速沿着赛道奔跑。</v>
      </c>
    </row>
    <row r="18373">
      <c r="A18373" s="4" t="s">
        <v>23117</v>
      </c>
      <c r="B18373" s="4" t="s">
        <v>23119</v>
      </c>
      <c r="C18373" s="5" t="str">
        <f>IFERROR(__xludf.DUMMYFUNCTION("GOOGLETRANSLATE(B18373,""en"",""zh-CN"")"),"她在起床之前先耕种，然后走开。")</f>
        <v>她在起床之前先耕种，然后走开。</v>
      </c>
    </row>
    <row r="18374">
      <c r="A18374" s="4" t="s">
        <v>23117</v>
      </c>
      <c r="B18374" s="4" t="s">
        <v>23120</v>
      </c>
      <c r="C18374" s="5" t="str">
        <f>IFERROR(__xludf.DUMMYFUNCTION("GOOGLETRANSLATE(B18374,""en"",""zh-CN"")"),"现场重复三遍，然后以欢呼和鼓掌结束。")</f>
        <v>现场重复三遍，然后以欢呼和鼓掌结束。</v>
      </c>
    </row>
    <row r="18375">
      <c r="A18375" s="4" t="s">
        <v>23121</v>
      </c>
      <c r="B18375" s="4" t="s">
        <v>23122</v>
      </c>
      <c r="C18375" s="5" t="str">
        <f>IFERROR(__xludf.DUMMYFUNCTION("GOOGLETRANSLATE(B18375,""en"",""zh-CN"")"),"看到一个人挂在光束的侧面，而另一个男人则握住他。")</f>
        <v>看到一个人挂在光束的侧面，而另一个男人则握住他。</v>
      </c>
    </row>
    <row r="18376">
      <c r="A18376" s="4" t="s">
        <v>23121</v>
      </c>
      <c r="B18376" s="4" t="s">
        <v>23123</v>
      </c>
      <c r="C18376" s="5" t="str">
        <f>IFERROR(__xludf.DUMMYFUNCTION("GOOGLETRANSLATE(B18376,""en"",""zh-CN"")"),"然后，他将另一个男人拉起来，看着他在蹦极绳上跳下来。")</f>
        <v>然后，他将另一个男人拉起来，看着他在蹦极绳上跳下来。</v>
      </c>
    </row>
    <row r="18377">
      <c r="A18377" s="4" t="s">
        <v>23124</v>
      </c>
      <c r="B18377" s="4" t="s">
        <v>23125</v>
      </c>
      <c r="C18377" s="5" t="str">
        <f>IFERROR(__xludf.DUMMYFUNCTION("GOOGLETRANSLATE(B18377,""en"",""zh-CN"")"),"一个男人正在敬拜中，在一块木头前说话。")</f>
        <v>一个男人正在敬拜中，在一块木头前说话。</v>
      </c>
    </row>
    <row r="18378">
      <c r="A18378" s="4" t="s">
        <v>23124</v>
      </c>
      <c r="B18378" s="4" t="s">
        <v>23126</v>
      </c>
      <c r="C18378" s="5" t="str">
        <f>IFERROR(__xludf.DUMMYFUNCTION("GOOGLETRANSLATE(B18378,""en"",""zh-CN"")"),"他将一块木头打磨，然后擦拭密封剂或染色木材。")</f>
        <v>他将一块木头打磨，然后擦拭密封剂或染色木材。</v>
      </c>
    </row>
    <row r="18379">
      <c r="A18379" s="4" t="s">
        <v>23127</v>
      </c>
      <c r="B18379" s="4" t="s">
        <v>23128</v>
      </c>
      <c r="C18379" s="5" t="str">
        <f>IFERROR(__xludf.DUMMYFUNCTION("GOOGLETRANSLATE(B18379,""en"",""zh-CN"")"),"一个人蹲在一堆石头旁边的树林里。")</f>
        <v>一个人蹲在一堆石头旁边的树林里。</v>
      </c>
    </row>
    <row r="18380">
      <c r="A18380" s="4" t="s">
        <v>23127</v>
      </c>
      <c r="B18380" s="4" t="s">
        <v>23129</v>
      </c>
      <c r="C18380" s="5" t="str">
        <f>IFERROR(__xludf.DUMMYFUNCTION("GOOGLETRANSLATE(B18380,""en"",""zh-CN"")"),"他正在解释大火的建造。")</f>
        <v>他正在解释大火的建造。</v>
      </c>
    </row>
    <row r="18381">
      <c r="A18381" s="4" t="s">
        <v>23127</v>
      </c>
      <c r="B18381" s="4" t="s">
        <v>23130</v>
      </c>
      <c r="C18381" s="5" t="str">
        <f>IFERROR(__xludf.DUMMYFUNCTION("GOOGLETRANSLATE(B18381,""en"",""zh-CN"")"),"他点燃了木头，造了火。")</f>
        <v>他点燃了木头，造了火。</v>
      </c>
    </row>
    <row r="18382">
      <c r="A18382" s="4" t="s">
        <v>23131</v>
      </c>
      <c r="B18382" s="4" t="s">
        <v>23132</v>
      </c>
      <c r="C18382" s="5" t="str">
        <f>IFERROR(__xludf.DUMMYFUNCTION("GOOGLETRANSLATE(B18382,""en"",""zh-CN"")"),"人们在溜冰场上打曲棍球。")</f>
        <v>人们在溜冰场上打曲棍球。</v>
      </c>
    </row>
    <row r="18383">
      <c r="A18383" s="4" t="s">
        <v>23131</v>
      </c>
      <c r="B18383" s="4" t="s">
        <v>23133</v>
      </c>
      <c r="C18383" s="5" t="str">
        <f>IFERROR(__xludf.DUMMYFUNCTION("GOOGLETRANSLATE(B18383,""en"",""zh-CN"")"),"一个人跌倒在冰上。")</f>
        <v>一个人跌倒在冰上。</v>
      </c>
    </row>
    <row r="18384">
      <c r="A18384" s="4" t="s">
        <v>23131</v>
      </c>
      <c r="B18384" s="4" t="s">
        <v>23134</v>
      </c>
      <c r="C18384" s="5" t="str">
        <f>IFERROR(__xludf.DUMMYFUNCTION("GOOGLETRANSLATE(B18384,""en"",""zh-CN"")"),"一个人在冰球后奔跑，再次跌倒。")</f>
        <v>一个人在冰球后奔跑，再次跌倒。</v>
      </c>
    </row>
    <row r="18385">
      <c r="A18385" s="4" t="s">
        <v>23131</v>
      </c>
      <c r="B18385" s="4" t="s">
        <v>23135</v>
      </c>
      <c r="C18385" s="5" t="str">
        <f>IFERROR(__xludf.DUMMYFUNCTION("GOOGLETRANSLATE(B18385,""en"",""zh-CN"")"),"他开始击中冰球，再次跌倒。")</f>
        <v>他开始击中冰球，再次跌倒。</v>
      </c>
    </row>
    <row r="18386">
      <c r="A18386" s="4" t="s">
        <v>23136</v>
      </c>
      <c r="B18386" s="4" t="s">
        <v>1487</v>
      </c>
      <c r="C18386" s="5" t="str">
        <f>IFERROR(__xludf.DUMMYFUNCTION("GOOGLETRANSLATE(B18386,""en"",""zh-CN"")"),"我们看到一个开放标题屏幕。")</f>
        <v>我们看到一个开放标题屏幕。</v>
      </c>
    </row>
    <row r="18387">
      <c r="A18387" s="4" t="s">
        <v>23136</v>
      </c>
      <c r="B18387" s="4" t="s">
        <v>23137</v>
      </c>
      <c r="C18387" s="5" t="str">
        <f>IFERROR(__xludf.DUMMYFUNCTION("GOOGLETRANSLATE(B18387,""en"",""zh-CN"")"),"我们在商店里看到一个男人拿着滑雪。")</f>
        <v>我们在商店里看到一个男人拿着滑雪。</v>
      </c>
    </row>
    <row r="18388">
      <c r="A18388" s="4" t="s">
        <v>23136</v>
      </c>
      <c r="B18388" s="4" t="s">
        <v>23138</v>
      </c>
      <c r="C18388" s="5" t="str">
        <f>IFERROR(__xludf.DUMMYFUNCTION("GOOGLETRANSLATE(B18388,""en"",""zh-CN"")"),"该男子向我们展示了一罐产品，他会喷洒并擦拭滑雪板。")</f>
        <v>该男子向我们展示了一罐产品，他会喷洒并擦拭滑雪板。</v>
      </c>
    </row>
    <row r="18389">
      <c r="A18389" s="4" t="s">
        <v>23136</v>
      </c>
      <c r="B18389" s="4" t="s">
        <v>23139</v>
      </c>
      <c r="C18389" s="5" t="str">
        <f>IFERROR(__xludf.DUMMYFUNCTION("GOOGLETRANSLATE(B18389,""en"",""zh-CN"")"),"然后，该男子握住滑雪板供我们看。")</f>
        <v>然后，该男子握住滑雪板供我们看。</v>
      </c>
    </row>
    <row r="18390">
      <c r="A18390" s="4" t="s">
        <v>23136</v>
      </c>
      <c r="B18390" s="4" t="s">
        <v>23140</v>
      </c>
      <c r="C18390" s="5" t="str">
        <f>IFERROR(__xludf.DUMMYFUNCTION("GOOGLETRANSLATE(B18390,""en"",""zh-CN"")"),"我们看到两个滑雪产品和一个结尾屏幕。")</f>
        <v>我们看到两个滑雪产品和一个结尾屏幕。</v>
      </c>
    </row>
    <row r="18391">
      <c r="A18391" s="4" t="s">
        <v>23141</v>
      </c>
      <c r="B18391" s="4" t="s">
        <v>23142</v>
      </c>
      <c r="C18391" s="5" t="str">
        <f>IFERROR(__xludf.DUMMYFUNCTION("GOOGLETRANSLATE(B18391,""en"",""zh-CN"")"),"有两个长发的孩子在一群棚子附近。")</f>
        <v>有两个长发的孩子在一群棚子附近。</v>
      </c>
    </row>
    <row r="18392">
      <c r="A18392" s="4" t="s">
        <v>23141</v>
      </c>
      <c r="B18392" s="4" t="s">
        <v>23143</v>
      </c>
      <c r="C18392" s="5" t="str">
        <f>IFERROR(__xludf.DUMMYFUNCTION("GOOGLETRANSLATE(B18392,""en"",""zh-CN"")"),"这个矮个子的男孩开始拉其他男人的头发，然后把他拉。")</f>
        <v>这个矮个子的男孩开始拉其他男人的头发，然后把他拉。</v>
      </c>
    </row>
    <row r="18393">
      <c r="A18393" s="4" t="s">
        <v>23141</v>
      </c>
      <c r="B18393" s="6" t="s">
        <v>23144</v>
      </c>
      <c r="C18393" s="5" t="str">
        <f>IFERROR(__xludf.DUMMYFUNCTION("GOOGLETRANSLATE(B18393,""en"",""zh-CN"")"),"但是，这个男孩放开了伙计们的头发，那个家伙开始在私人区域跪下，把他抬起头，把他放在一块木头上。")</f>
        <v>但是，这个男孩放开了伙计们的头发，那个家伙开始在私人区域跪下，把他抬起头，把他放在一块木头上。</v>
      </c>
    </row>
    <row r="18394">
      <c r="A18394" s="4" t="s">
        <v>23145</v>
      </c>
      <c r="B18394" s="4" t="s">
        <v>23146</v>
      </c>
      <c r="C18394" s="5" t="str">
        <f>IFERROR(__xludf.DUMMYFUNCTION("GOOGLETRANSLATE(B18394,""en"",""zh-CN"")"),"在接待处，有很多打扮的人坐在一个大的用餐区。")</f>
        <v>在接待处，有很多打扮的人坐在一个大的用餐区。</v>
      </c>
    </row>
    <row r="18395">
      <c r="A18395" s="4" t="s">
        <v>23145</v>
      </c>
      <c r="B18395" s="6" t="s">
        <v>23147</v>
      </c>
      <c r="C18395" s="5" t="str">
        <f>IFERROR(__xludf.DUMMYFUNCTION("GOOGLETRANSLATE(B18395,""en"",""zh-CN"")"),"一个黑发的女人在她的背上敲打着一个金发女人，指着地面上的东西，女人和金发女郎靠在地上微笑着，捡起她的毛衣。")</f>
        <v>一个黑发的女人在她的背上敲打着一个金发女人，指着地面上的东西，女人和金发女郎靠在地上微笑着，捡起她的毛衣。</v>
      </c>
    </row>
    <row r="18396">
      <c r="A18396" s="4" t="s">
        <v>23145</v>
      </c>
      <c r="B18396" s="6" t="s">
        <v>23148</v>
      </c>
      <c r="C18396" s="5" t="str">
        <f>IFERROR(__xludf.DUMMYFUNCTION("GOOGLETRANSLATE(B18396,""en"",""zh-CN"")"),"一个穿着蓝色飘逸连衣裙的女人站在下面，她开始在大型舞蹈地板的中间做芭蕾舞舞的日常舞蹈，而接待区的人们都在看着她的每一步，拍照，并给她录像。")</f>
        <v>一个穿着蓝色飘逸连衣裙的女人站在下面，她开始在大型舞蹈地板的中间做芭蕾舞舞的日常舞蹈，而接待区的人们都在看着她的每一步，拍照，并给她录像。</v>
      </c>
    </row>
    <row r="18397">
      <c r="A18397" s="4" t="s">
        <v>23145</v>
      </c>
      <c r="B18397" s="6" t="s">
        <v>23149</v>
      </c>
      <c r="C18397" s="5" t="str">
        <f>IFERROR(__xludf.DUMMYFUNCTION("GOOGLETRANSLATE(B18397,""en"",""zh-CN"")"),"那个女人跳舞后，她站在那儿，双臂交叉在胸前，人群鼓掌，并在她拿起几根弓的同时给了她一个站立的鼓掌。")</f>
        <v>那个女人跳舞后，她站在那儿，双臂交叉在胸前，人群鼓掌，并在她拿起几根弓的同时给了她一个站立的鼓掌。</v>
      </c>
    </row>
    <row r="18398">
      <c r="A18398" s="4" t="s">
        <v>23150</v>
      </c>
      <c r="B18398" s="4" t="s">
        <v>23151</v>
      </c>
      <c r="C18398" s="5" t="str">
        <f>IFERROR(__xludf.DUMMYFUNCTION("GOOGLETRANSLATE(B18398,""en"",""zh-CN"")"),"女人站在扑克令牌和卡片前。")</f>
        <v>女人站在扑克令牌和卡片前。</v>
      </c>
    </row>
    <row r="18399">
      <c r="A18399" s="4" t="s">
        <v>23150</v>
      </c>
      <c r="B18399" s="4" t="s">
        <v>23152</v>
      </c>
      <c r="C18399" s="5" t="str">
        <f>IFERROR(__xludf.DUMMYFUNCTION("GOOGLETRANSLATE(B18399,""en"",""zh-CN"")"),"她转过身并混合。")</f>
        <v>她转过身并混合。</v>
      </c>
    </row>
    <row r="18400">
      <c r="A18400" s="4" t="s">
        <v>23150</v>
      </c>
      <c r="B18400" s="4" t="s">
        <v>23153</v>
      </c>
      <c r="C18400" s="5" t="str">
        <f>IFERROR(__xludf.DUMMYFUNCTION("GOOGLETRANSLATE(B18400,""en"",""zh-CN"")"),"卡在堆栈中，将它们分为4并混合。")</f>
        <v>卡在堆栈中，将它们分为4并混合。</v>
      </c>
    </row>
    <row r="18401">
      <c r="A18401" s="4" t="s">
        <v>23150</v>
      </c>
      <c r="B18401" s="4" t="s">
        <v>23154</v>
      </c>
      <c r="C18401" s="5" t="str">
        <f>IFERROR(__xludf.DUMMYFUNCTION("GOOGLETRANSLATE(B18401,""en"",""zh-CN"")"),"卡片堆放在堆栈中，其他人将其分为两分，然后将其放入透明的盒子中。")</f>
        <v>卡片堆放在堆栈中，其他人将其分为两分，然后将其放入透明的盒子中。</v>
      </c>
    </row>
    <row r="18402">
      <c r="A18402" s="4" t="s">
        <v>23155</v>
      </c>
      <c r="B18402" s="4" t="s">
        <v>23156</v>
      </c>
      <c r="C18402" s="5" t="str">
        <f>IFERROR(__xludf.DUMMYFUNCTION("GOOGLETRANSLATE(B18402,""en"",""zh-CN"")"),"一个女孩展示如何从头开始烤饼干。")</f>
        <v>一个女孩展示如何从头开始烤饼干。</v>
      </c>
    </row>
    <row r="18403">
      <c r="A18403" s="4" t="s">
        <v>23155</v>
      </c>
      <c r="B18403" s="4" t="s">
        <v>23157</v>
      </c>
      <c r="C18403" s="5" t="str">
        <f>IFERROR(__xludf.DUMMYFUNCTION("GOOGLETRANSLATE(B18403,""en"",""zh-CN"")"),"添加，搅拌成分，然后将混合物放入烤箱中。")</f>
        <v>添加，搅拌成分，然后将混合物放入烤箱中。</v>
      </c>
    </row>
    <row r="18404">
      <c r="A18404" s="4" t="s">
        <v>23158</v>
      </c>
      <c r="B18404" s="4" t="s">
        <v>23159</v>
      </c>
      <c r="C18404" s="5" t="str">
        <f>IFERROR(__xludf.DUMMYFUNCTION("GOOGLETRANSLATE(B18404,""en"",""zh-CN"")"),"有一个穿着黑色雨衣的女人站在木篱笆旁。")</f>
        <v>有一个穿着黑色雨衣的女人站在木篱笆旁。</v>
      </c>
    </row>
    <row r="18405">
      <c r="A18405" s="4" t="s">
        <v>23158</v>
      </c>
      <c r="B18405" s="4" t="s">
        <v>23160</v>
      </c>
      <c r="C18405" s="5" t="str">
        <f>IFERROR(__xludf.DUMMYFUNCTION("GOOGLETRANSLATE(B18405,""en"",""zh-CN"")"),"一个小女孩穿着一件圆点夹克的小女孩加入了她的行列，她给她带来了一些绿色的油漆。")</f>
        <v>一个小女孩穿着一件圆点夹克的小女孩加入了她的行列，她给她带来了一些绿色的油漆。</v>
      </c>
    </row>
    <row r="18406">
      <c r="A18406" s="4" t="s">
        <v>23158</v>
      </c>
      <c r="B18406" s="4" t="s">
        <v>23161</v>
      </c>
      <c r="C18406" s="5" t="str">
        <f>IFERROR(__xludf.DUMMYFUNCTION("GOOGLETRANSLATE(B18406,""en"",""zh-CN"")"),"女人开始用灌木丛画篱笆。")</f>
        <v>女人开始用灌木丛画篱笆。</v>
      </c>
    </row>
    <row r="18407">
      <c r="A18407" s="4" t="s">
        <v>23158</v>
      </c>
      <c r="B18407" s="6" t="s">
        <v>23162</v>
      </c>
      <c r="C18407" s="5" t="str">
        <f>IFERROR(__xludf.DUMMYFUNCTION("GOOGLETRANSLATE(B18407,""en"",""zh-CN"")"),"附近还有其他几个人，他们被认为是自愿用绿色油漆绘画篱笆的。")</f>
        <v>附近还有其他几个人，他们被认为是自愿用绿色油漆绘画篱笆的。</v>
      </c>
    </row>
    <row r="18408">
      <c r="A18408" s="4" t="s">
        <v>23158</v>
      </c>
      <c r="B18408" s="4" t="s">
        <v>23163</v>
      </c>
      <c r="C18408" s="5" t="str">
        <f>IFERROR(__xludf.DUMMYFUNCTION("GOOGLETRANSLATE(B18408,""en"",""zh-CN"")"),"志愿者正在接受采访。")</f>
        <v>志愿者正在接受采访。</v>
      </c>
    </row>
    <row r="18409">
      <c r="A18409" s="4" t="s">
        <v>23158</v>
      </c>
      <c r="B18409" s="4" t="s">
        <v>23164</v>
      </c>
      <c r="C18409" s="5" t="str">
        <f>IFERROR(__xludf.DUMMYFUNCTION("GOOGLETRANSLATE(B18409,""en"",""zh-CN"")"),"有两个男孩穿着蝙蝠侠服装，站在那儿。")</f>
        <v>有两个男孩穿着蝙蝠侠服装，站在那儿。</v>
      </c>
    </row>
    <row r="18410">
      <c r="A18410" s="4" t="s">
        <v>23158</v>
      </c>
      <c r="B18410" s="4" t="s">
        <v>23165</v>
      </c>
      <c r="C18410" s="5" t="str">
        <f>IFERROR(__xludf.DUMMYFUNCTION("GOOGLETRANSLATE(B18410,""en"",""zh-CN"")"),"志愿者继续画篱笆。")</f>
        <v>志愿者继续画篱笆。</v>
      </c>
    </row>
    <row r="18411">
      <c r="A18411" s="4" t="s">
        <v>23158</v>
      </c>
      <c r="B18411" s="4" t="s">
        <v>23166</v>
      </c>
      <c r="C18411" s="5" t="str">
        <f>IFERROR(__xludf.DUMMYFUNCTION("GOOGLETRANSLATE(B18411,""en"",""zh-CN"")"),"社区的一些人聚集在停车场周围。")</f>
        <v>社区的一些人聚集在停车场周围。</v>
      </c>
    </row>
    <row r="18412">
      <c r="A18412" s="4" t="s">
        <v>23158</v>
      </c>
      <c r="B18412" s="4" t="s">
        <v>23167</v>
      </c>
      <c r="C18412" s="5" t="str">
        <f>IFERROR(__xludf.DUMMYFUNCTION("GOOGLETRANSLATE(B18412,""en"",""zh-CN"")"),"人们继续画篱笆。")</f>
        <v>人们继续画篱笆。</v>
      </c>
    </row>
    <row r="18413">
      <c r="A18413" s="4" t="s">
        <v>23168</v>
      </c>
      <c r="B18413" s="4" t="s">
        <v>23169</v>
      </c>
      <c r="C18413" s="5" t="str">
        <f>IFERROR(__xludf.DUMMYFUNCTION("GOOGLETRANSLATE(B18413,""en"",""zh-CN"")"),"各个角度显示各种山景。")</f>
        <v>各个角度显示各种山景。</v>
      </c>
    </row>
    <row r="18414">
      <c r="A18414" s="4" t="s">
        <v>23168</v>
      </c>
      <c r="B18414" s="4" t="s">
        <v>23170</v>
      </c>
      <c r="C18414" s="5" t="str">
        <f>IFERROR(__xludf.DUMMYFUNCTION("GOOGLETRANSLATE(B18414,""en"",""zh-CN"")"),"一名士兵在山上扮演风笛。")</f>
        <v>一名士兵在山上扮演风笛。</v>
      </c>
    </row>
    <row r="18415">
      <c r="A18415" s="4" t="s">
        <v>23171</v>
      </c>
      <c r="B18415" s="6" t="s">
        <v>23172</v>
      </c>
      <c r="C18415" s="5" t="str">
        <f>IFERROR(__xludf.DUMMYFUNCTION("GOOGLETRANSLATE(B18415,""en"",""zh-CN"")"),"各种剪辑都显示了风景以及乘船骑行的人和一个男人在相机上说话。")</f>
        <v>各种剪辑都显示了风景以及乘船骑行的人和一个男人在相机上说话。</v>
      </c>
    </row>
    <row r="18416">
      <c r="A18416" s="4" t="s">
        <v>23171</v>
      </c>
      <c r="B18416" s="6" t="s">
        <v>23173</v>
      </c>
      <c r="C18416" s="5" t="str">
        <f>IFERROR(__xludf.DUMMYFUNCTION("GOOGLETRANSLATE(B18416,""en"",""zh-CN"")"),"该男子跳入水中，并在几个夹子中展出，也四处游泳，也随身携带。")</f>
        <v>该男子跳入水中，并在几个夹子中展出，也四处游泳，也随身携带。</v>
      </c>
    </row>
    <row r="18417">
      <c r="A18417" s="4" t="s">
        <v>23171</v>
      </c>
      <c r="B18417" s="6" t="s">
        <v>23174</v>
      </c>
      <c r="C18417" s="5" t="str">
        <f>IFERROR(__xludf.DUMMYFUNCTION("GOOGLETRANSLATE(B18417,""en"",""zh-CN"")"),"当另一个男人抓住他的装备，他对镜头说话时，该男子给相机伸出手势，并在水面上游泳。")</f>
        <v>当另一个男人抓住他的装备，他对镜头说话时，该男子给相机伸出手势，并在水面上游泳。</v>
      </c>
    </row>
    <row r="18418">
      <c r="A18418" s="4" t="s">
        <v>23171</v>
      </c>
      <c r="B18418" s="4" t="s">
        <v>23175</v>
      </c>
      <c r="C18418" s="5" t="str">
        <f>IFERROR(__xludf.DUMMYFUNCTION("GOOGLETRANSLATE(B18418,""en"",""zh-CN"")"),"当他跳进去时，更多的男人跟相机说话。")</f>
        <v>当他跳进去时，更多的男人跟相机说话。</v>
      </c>
    </row>
    <row r="18419">
      <c r="A18419" s="4" t="s">
        <v>23176</v>
      </c>
      <c r="B18419" s="4" t="s">
        <v>23177</v>
      </c>
      <c r="C18419" s="5" t="str">
        <f>IFERROR(__xludf.DUMMYFUNCTION("GOOGLETRANSLATE(B18419,""en"",""zh-CN"")"),"简介导致两个人在一个田野中围栏。")</f>
        <v>简介导致两个人在一个田野中围栏。</v>
      </c>
    </row>
    <row r="18420">
      <c r="A18420" s="4" t="s">
        <v>23176</v>
      </c>
      <c r="B18420" s="4" t="s">
        <v>23178</v>
      </c>
      <c r="C18420" s="5" t="str">
        <f>IFERROR(__xludf.DUMMYFUNCTION("GOOGLETRANSLATE(B18420,""en"",""zh-CN"")"),"这些人互相贴上剑，另一个被阻挡的镜头显示了几张照片。")</f>
        <v>这些人互相贴上剑，另一个被阻挡的镜头显示了几张照片。</v>
      </c>
    </row>
    <row r="18421">
      <c r="A18421" s="4" t="s">
        <v>23176</v>
      </c>
      <c r="B18421" s="4" t="s">
        <v>23179</v>
      </c>
      <c r="C18421" s="5" t="str">
        <f>IFERROR(__xludf.DUMMYFUNCTION("GOOGLETRANSLATE(B18421,""en"",""zh-CN"")"),"在剪辑之间显示了男士拳击。")</f>
        <v>在剪辑之间显示了男士拳击。</v>
      </c>
    </row>
    <row r="18422">
      <c r="A18422" s="4" t="s">
        <v>23180</v>
      </c>
      <c r="B18422" s="6" t="s">
        <v>23181</v>
      </c>
      <c r="C18422" s="5" t="str">
        <f>IFERROR(__xludf.DUMMYFUNCTION("GOOGLETRANSLATE(B18422,""en"",""zh-CN"")"),"穿过机场，乘飞机飞行，沿着高速公路行驶到他们要去的地方。")</f>
        <v>穿过机场，乘飞机飞行，沿着高速公路行驶到他们要去的地方。</v>
      </c>
    </row>
    <row r="18423">
      <c r="A18423" s="4" t="s">
        <v>23180</v>
      </c>
      <c r="B18423" s="6" t="s">
        <v>23182</v>
      </c>
      <c r="C18423" s="5" t="str">
        <f>IFERROR(__xludf.DUMMYFUNCTION("GOOGLETRANSLATE(B18423,""en"",""zh-CN"")"),"一个戴着白色面具的男人正准备走开蹦极，从一个很高的悬崖上跳下来，他的胳膊站着，就像他们在边缘的翅膀一样。")</f>
        <v>一个戴着白色面具的男人正准备走开蹦极，从一个很高的悬崖上跳下来，他的胳膊站着，就像他们在边缘的翅膀一样。</v>
      </c>
    </row>
    <row r="18424">
      <c r="A18424" s="4" t="s">
        <v>23180</v>
      </c>
      <c r="B18424" s="6" t="s">
        <v>23183</v>
      </c>
      <c r="C18424" s="5" t="str">
        <f>IFERROR(__xludf.DUMMYFUNCTION("GOOGLETRANSLATE(B18424,""en"",""zh-CN"")"),"然后他跳下来，从非常高的高度跌落，另一个男人跟着他，然后摄影师本人自己录制了整个秋天的飞跃。")</f>
        <v>然后他跳下来，从非常高的高度跌落，另一个男人跟着他，然后摄影师本人自己录制了整个秋天的飞跃。</v>
      </c>
    </row>
    <row r="18425">
      <c r="A18425" s="4" t="s">
        <v>23180</v>
      </c>
      <c r="B18425" s="4" t="s">
        <v>23184</v>
      </c>
      <c r="C18425" s="5" t="str">
        <f>IFERROR(__xludf.DUMMYFUNCTION("GOOGLETRANSLATE(B18425,""en"",""zh-CN"")"),"他们都轮流跳跃，其中一个甚至向后倒下。")</f>
        <v>他们都轮流跳跃，其中一个甚至向后倒下。</v>
      </c>
    </row>
    <row r="18426">
      <c r="A18426" s="4" t="s">
        <v>23185</v>
      </c>
      <c r="B18426" s="6" t="s">
        <v>23186</v>
      </c>
      <c r="C18426" s="5" t="str">
        <f>IFERROR(__xludf.DUMMYFUNCTION("GOOGLETRANSLATE(B18426,""en"",""zh-CN"")"),"一个摄像头在下雪区周围竖起，并通往一个手风琴并开始演奏的男人。")</f>
        <v>一个摄像头在下雪区周围竖起，并通往一个手风琴并开始演奏的男人。</v>
      </c>
    </row>
    <row r="18427">
      <c r="A18427" s="4" t="s">
        <v>23185</v>
      </c>
      <c r="B18427" s="6" t="s">
        <v>23187</v>
      </c>
      <c r="C18427" s="5" t="str">
        <f>IFERROR(__xludf.DUMMYFUNCTION("GOOGLETRANSLATE(B18427,""en"",""zh-CN"")"),"该男子继续演奏乐器，而相机展示了更多的雪地风景，该男子继续演奏。")</f>
        <v>该男子继续演奏乐器，而相机展示了更多的雪地风景，该男子继续演奏。</v>
      </c>
    </row>
    <row r="18428">
      <c r="A18428" s="4" t="s">
        <v>23188</v>
      </c>
      <c r="B18428" s="4" t="s">
        <v>23189</v>
      </c>
      <c r="C18428" s="5" t="str">
        <f>IFERROR(__xludf.DUMMYFUNCTION("GOOGLETRANSLATE(B18428,""en"",""zh-CN"")"),"一个卡普里岛的阳光包裹在地面上的一堆岩石上，上面有一堆木屑。")</f>
        <v>一个卡普里岛的阳光包裹在地面上的一堆岩石上，上面有一堆木屑。</v>
      </c>
    </row>
    <row r="18429">
      <c r="A18429" s="4" t="s">
        <v>23188</v>
      </c>
      <c r="B18429" s="4" t="s">
        <v>23190</v>
      </c>
      <c r="C18429" s="5" t="str">
        <f>IFERROR(__xludf.DUMMYFUNCTION("GOOGLETRANSLATE(B18429,""en"",""zh-CN"")"),"我们看到左边有一堆棍子，看到了一块火石。")</f>
        <v>我们看到左边有一堆棍子，看到了一块火石。</v>
      </c>
    </row>
    <row r="18430">
      <c r="A18430" s="4" t="s">
        <v>23188</v>
      </c>
      <c r="B18430" s="4" t="s">
        <v>23191</v>
      </c>
      <c r="C18430" s="5" t="str">
        <f>IFERROR(__xludf.DUMMYFUNCTION("GOOGLETRANSLATE(B18430,""en"",""zh-CN"")"),"该人撞上了火石，火焰坐在他的木屑上。")</f>
        <v>该人撞上了火石，火焰坐在他的木屑上。</v>
      </c>
    </row>
    <row r="18431">
      <c r="A18431" s="4" t="s">
        <v>23188</v>
      </c>
      <c r="B18431" s="4" t="s">
        <v>23192</v>
      </c>
      <c r="C18431" s="5" t="str">
        <f>IFERROR(__xludf.DUMMYFUNCTION("GOOGLETRANSLATE(B18431,""en"",""zh-CN"")"),"然后，该人将少量小树枝放在大火上。")</f>
        <v>然后，该人将少量小树枝放在大火上。</v>
      </c>
    </row>
    <row r="18432">
      <c r="A18432" s="4" t="s">
        <v>23188</v>
      </c>
      <c r="B18432" s="4" t="s">
        <v>23193</v>
      </c>
      <c r="C18432" s="5" t="str">
        <f>IFERROR(__xludf.DUMMYFUNCTION("GOOGLETRANSLATE(B18432,""en"",""zh-CN"")"),"火势生长，摄影师向上伸出来，向周围的岩石展示。")</f>
        <v>火势生长，摄影师向上伸出来，向周围的岩石展示。</v>
      </c>
    </row>
    <row r="18433">
      <c r="A18433" s="4" t="s">
        <v>23194</v>
      </c>
      <c r="B18433" s="4" t="s">
        <v>23195</v>
      </c>
      <c r="C18433" s="5" t="str">
        <f>IFERROR(__xludf.DUMMYFUNCTION("GOOGLETRANSLATE(B18433,""en"",""zh-CN"")"),"两个男人坐在一个房间里，他们面前有四个鸡翅。")</f>
        <v>两个男人坐在一个房间里，他们面前有四个鸡翅。</v>
      </c>
    </row>
    <row r="18434">
      <c r="A18434" s="4" t="s">
        <v>23194</v>
      </c>
      <c r="B18434" s="6" t="s">
        <v>23196</v>
      </c>
      <c r="C18434" s="5" t="str">
        <f>IFERROR(__xludf.DUMMYFUNCTION("GOOGLETRANSLATE(B18434,""en"",""zh-CN"")"),"他们俩都一致，他们将自己的身体部位作为例行的一部分来发出不同的声音。")</f>
        <v>他们俩都一致，他们将自己的身体部位作为例行的一部分来发出不同的声音。</v>
      </c>
    </row>
    <row r="18435">
      <c r="A18435" s="4" t="s">
        <v>23194</v>
      </c>
      <c r="B18435" s="6" t="s">
        <v>23197</v>
      </c>
      <c r="C18435" s="5" t="str">
        <f>IFERROR(__xludf.DUMMYFUNCTION("GOOGLETRANSLATE(B18435,""en"",""zh-CN"")"),"这些人在迅速击中刚果之前就停了下来，并以彼此指向刚果。")</f>
        <v>这些人在迅速击中刚果之前就停了下来，并以彼此指向刚果。</v>
      </c>
    </row>
    <row r="18436">
      <c r="A18436" s="4" t="s">
        <v>23198</v>
      </c>
      <c r="B18436" s="6" t="s">
        <v>23199</v>
      </c>
      <c r="C18436" s="5" t="str">
        <f>IFERROR(__xludf.DUMMYFUNCTION("GOOGLETRANSLATE(B18436,""en"",""zh-CN"")"),"看到两个人坐在越野自行车上，用一只铲土，另一个骑着手与镜头说话。")</f>
        <v>看到两个人坐在越野自行车上，用一只铲土，另一个骑着手与镜头说话。</v>
      </c>
    </row>
    <row r="18437">
      <c r="A18437" s="4" t="s">
        <v>23198</v>
      </c>
      <c r="B18437" s="6" t="s">
        <v>23200</v>
      </c>
      <c r="C18437" s="5" t="str">
        <f>IFERROR(__xludf.DUMMYFUNCTION("GOOGLETRANSLATE(B18437,""en"",""zh-CN"")"),"然后，在一条小径上显示了两辆骑自行车的镜头，同时停下来时不时地手势。")</f>
        <v>然后，在一条小径上显示了两辆骑自行车的镜头，同时停下来时不时地手势。</v>
      </c>
    </row>
    <row r="18438">
      <c r="A18438" s="4" t="s">
        <v>23201</v>
      </c>
      <c r="B18438" s="4" t="s">
        <v>23202</v>
      </c>
      <c r="C18438" s="5" t="str">
        <f>IFERROR(__xludf.DUMMYFUNCTION("GOOGLETRANSLATE(B18438,""en"",""zh-CN"")"),"海滩上的一个女人开始建造一座沙堡。")</f>
        <v>海滩上的一个女人开始建造一座沙堡。</v>
      </c>
    </row>
    <row r="18439">
      <c r="A18439" s="4" t="s">
        <v>23201</v>
      </c>
      <c r="B18439" s="4" t="s">
        <v>23203</v>
      </c>
      <c r="C18439" s="5" t="str">
        <f>IFERROR(__xludf.DUMMYFUNCTION("GOOGLETRANSLATE(B18439,""en"",""zh-CN"")"),"一个人过来，开始与她建造沙城堡。")</f>
        <v>一个人过来，开始与她建造沙城堡。</v>
      </c>
    </row>
    <row r="18440">
      <c r="A18440" s="4" t="s">
        <v>23201</v>
      </c>
      <c r="B18440" s="4" t="s">
        <v>23204</v>
      </c>
      <c r="C18440" s="5" t="str">
        <f>IFERROR(__xludf.DUMMYFUNCTION("GOOGLETRANSLATE(B18440,""en"",""zh-CN"")"),"几个人在继续建造城堡时走过。")</f>
        <v>几个人在继续建造城堡时走过。</v>
      </c>
    </row>
    <row r="18441">
      <c r="A18441" s="4" t="s">
        <v>23205</v>
      </c>
      <c r="B18441" s="4" t="s">
        <v>23206</v>
      </c>
      <c r="C18441" s="5" t="str">
        <f>IFERROR(__xludf.DUMMYFUNCTION("GOOGLETRANSLATE(B18441,""en"",""zh-CN"")"),"穿着夹克的女人正在水槽里洗衣服。")</f>
        <v>穿着夹克的女人正在水槽里洗衣服。</v>
      </c>
    </row>
    <row r="18442">
      <c r="A18442" s="4" t="s">
        <v>23205</v>
      </c>
      <c r="B18442" s="4" t="s">
        <v>23207</v>
      </c>
      <c r="C18442" s="5" t="str">
        <f>IFERROR(__xludf.DUMMYFUNCTION("GOOGLETRANSLATE(B18442,""en"",""zh-CN"")"),"她将水倒入一个蓝色的碗中。")</f>
        <v>她将水倒入一个蓝色的碗中。</v>
      </c>
    </row>
    <row r="18443">
      <c r="A18443" s="4" t="s">
        <v>23205</v>
      </c>
      <c r="B18443" s="4" t="s">
        <v>23208</v>
      </c>
      <c r="C18443" s="5" t="str">
        <f>IFERROR(__xludf.DUMMYFUNCTION("GOOGLETRANSLATE(B18443,""en"",""zh-CN"")"),"她把衣服放在水槽里的水桶里。")</f>
        <v>她把衣服放在水槽里的水桶里。</v>
      </c>
    </row>
    <row r="18444">
      <c r="A18444" s="4" t="s">
        <v>23205</v>
      </c>
      <c r="B18444" s="4" t="s">
        <v>23209</v>
      </c>
      <c r="C18444" s="5" t="str">
        <f>IFERROR(__xludf.DUMMYFUNCTION("GOOGLETRANSLATE(B18444,""en"",""zh-CN"")"),"显示了一台被拔掉的白色洗衣机。")</f>
        <v>显示了一台被拔掉的白色洗衣机。</v>
      </c>
    </row>
    <row r="18445">
      <c r="A18445" s="4" t="s">
        <v>23205</v>
      </c>
      <c r="B18445" s="4" t="s">
        <v>23210</v>
      </c>
      <c r="C18445" s="5" t="str">
        <f>IFERROR(__xludf.DUMMYFUNCTION("GOOGLETRANSLATE(B18445,""en"",""zh-CN"")"),"女人继续洗衣服。")</f>
        <v>女人继续洗衣服。</v>
      </c>
    </row>
    <row r="18446">
      <c r="A18446" s="4" t="s">
        <v>23205</v>
      </c>
      <c r="B18446" s="4" t="s">
        <v>23211</v>
      </c>
      <c r="C18446" s="5" t="str">
        <f>IFERROR(__xludf.DUMMYFUNCTION("GOOGLETRANSLATE(B18446,""en"",""zh-CN"")"),"她走过去，从地面上的一大桶水中取下盖子。")</f>
        <v>她走过去，从地面上的一大桶水中取下盖子。</v>
      </c>
    </row>
    <row r="18447">
      <c r="A18447" s="4" t="s">
        <v>23205</v>
      </c>
      <c r="B18447" s="4" t="s">
        <v>23212</v>
      </c>
      <c r="C18447" s="5" t="str">
        <f>IFERROR(__xludf.DUMMYFUNCTION("GOOGLETRANSLATE(B18447,""en"",""zh-CN"")"),"她将锅浸入水桶中，将水倒入水槽中。")</f>
        <v>她将锅浸入水桶中，将水倒入水槽中。</v>
      </c>
    </row>
    <row r="18448">
      <c r="A18448" s="4" t="s">
        <v>23213</v>
      </c>
      <c r="B18448" s="4" t="s">
        <v>23214</v>
      </c>
      <c r="C18448" s="5" t="str">
        <f>IFERROR(__xludf.DUMMYFUNCTION("GOOGLETRANSLATE(B18448,""en"",""zh-CN"")"),"公牛绕着一支笔跑来跑去，试图用角撞到小丑。")</f>
        <v>公牛绕着一支笔跑来跑去，试图用角撞到小丑。</v>
      </c>
    </row>
    <row r="18449">
      <c r="A18449" s="4" t="s">
        <v>23213</v>
      </c>
      <c r="B18449" s="4" t="s">
        <v>23215</v>
      </c>
      <c r="C18449" s="5" t="str">
        <f>IFERROR(__xludf.DUMMYFUNCTION("GOOGLETRANSLATE(B18449,""en"",""zh-CN"")"),"一个家伙跳过篱笆，摆脱公牛。")</f>
        <v>一个家伙跳过篱笆，摆脱公牛。</v>
      </c>
    </row>
    <row r="18450">
      <c r="A18450" s="4" t="s">
        <v>23213</v>
      </c>
      <c r="B18450" s="4" t="s">
        <v>23216</v>
      </c>
      <c r="C18450" s="5" t="str">
        <f>IFERROR(__xludf.DUMMYFUNCTION("GOOGLETRANSLATE(B18450,""en"",""zh-CN"")"),"一个小丑躲在红桶后面。")</f>
        <v>一个小丑躲在红桶后面。</v>
      </c>
    </row>
    <row r="18451">
      <c r="A18451" s="4" t="s">
        <v>23213</v>
      </c>
      <c r="B18451" s="4" t="s">
        <v>23217</v>
      </c>
      <c r="C18451" s="5" t="str">
        <f>IFERROR(__xludf.DUMMYFUNCTION("GOOGLETRANSLATE(B18451,""en"",""zh-CN"")"),"该男子跌落在被公牛追赶的地面上。")</f>
        <v>该男子跌落在被公牛追赶的地面上。</v>
      </c>
    </row>
    <row r="18452">
      <c r="A18452" s="4" t="s">
        <v>23218</v>
      </c>
      <c r="B18452" s="4" t="s">
        <v>23219</v>
      </c>
      <c r="C18452" s="5" t="str">
        <f>IFERROR(__xludf.DUMMYFUNCTION("GOOGLETRANSLATE(B18452,""en"",""zh-CN"")"),"在教练提供指示并修理垫子的同时，在平行条上进行了体操运动。")</f>
        <v>在教练提供指示并修理垫子的同时，在平行条上进行了体操运动。</v>
      </c>
    </row>
    <row r="18453">
      <c r="A18453" s="4" t="s">
        <v>23218</v>
      </c>
      <c r="B18453" s="4" t="s">
        <v>23220</v>
      </c>
      <c r="C18453" s="5" t="str">
        <f>IFERROR(__xludf.DUMMYFUNCTION("GOOGLETRANSLATE(B18453,""en"",""zh-CN"")"),"然后，体操运动员在高杆上旋转，然后翻转并跌落在垫子上。")</f>
        <v>然后，体操运动员在高杆上旋转，然后翻转并跌落在垫子上。</v>
      </c>
    </row>
    <row r="18454">
      <c r="A18454" s="4" t="s">
        <v>23221</v>
      </c>
      <c r="B18454" s="4" t="s">
        <v>23222</v>
      </c>
      <c r="C18454" s="5" t="str">
        <f>IFERROR(__xludf.DUMMYFUNCTION("GOOGLETRANSLATE(B18454,""en"",""zh-CN"")"),"我们在深灰色的屏幕上看到一个标题，我们从不同角度看到一条船上的船。")</f>
        <v>我们在深灰色的屏幕上看到一个标题，我们从不同角度看到一条船上的船。</v>
      </c>
    </row>
    <row r="18455">
      <c r="A18455" s="4" t="s">
        <v>23221</v>
      </c>
      <c r="B18455" s="4" t="s">
        <v>23223</v>
      </c>
      <c r="C18455" s="5" t="str">
        <f>IFERROR(__xludf.DUMMYFUNCTION("GOOGLETRANSLATE(B18455,""en"",""zh-CN"")"),"骑船后骑冲浪板的人会翻转。")</f>
        <v>骑船后骑冲浪板的人会翻转。</v>
      </c>
    </row>
    <row r="18456">
      <c r="A18456" s="4" t="s">
        <v>23221</v>
      </c>
      <c r="B18456" s="4" t="s">
        <v>23224</v>
      </c>
      <c r="C18456" s="5" t="str">
        <f>IFERROR(__xludf.DUMMYFUNCTION("GOOGLETRANSLATE(B18456,""en"",""zh-CN"")"),"，向我们展示了船的内部。")</f>
        <v>，向我们展示了船的内部。</v>
      </c>
    </row>
    <row r="18457">
      <c r="A18457" s="4" t="s">
        <v>23221</v>
      </c>
      <c r="B18457" s="4" t="s">
        <v>23225</v>
      </c>
      <c r="C18457" s="5" t="str">
        <f>IFERROR(__xludf.DUMMYFUNCTION("GOOGLETRANSLATE(B18457,""en"",""zh-CN"")"),"我们看到内部，然后间歇性地看到船的外部。")</f>
        <v>我们看到内部，然后间歇性地看到船的外部。</v>
      </c>
    </row>
    <row r="18458">
      <c r="A18458" s="4" t="s">
        <v>23221</v>
      </c>
      <c r="B18458" s="4" t="s">
        <v>23226</v>
      </c>
      <c r="C18458" s="5" t="str">
        <f>IFERROR(__xludf.DUMMYFUNCTION("GOOGLETRANSLATE(B18458,""en"",""zh-CN"")"),"我们看到船上的人被船拉。")</f>
        <v>我们看到船上的人被船拉。</v>
      </c>
    </row>
    <row r="18459">
      <c r="A18459" s="4" t="s">
        <v>23221</v>
      </c>
      <c r="B18459" s="4" t="s">
        <v>23227</v>
      </c>
      <c r="C18459" s="5" t="str">
        <f>IFERROR(__xludf.DUMMYFUNCTION("GOOGLETRANSLATE(B18459,""en"",""zh-CN"")"),"一个女孩抓住一些东西形成一个橱柜，然后跳入水中。")</f>
        <v>一个女孩抓住一些东西形成一个橱柜，然后跳入水中。</v>
      </c>
    </row>
    <row r="18460">
      <c r="A18460" s="4" t="s">
        <v>23221</v>
      </c>
      <c r="B18460" s="4" t="s">
        <v>23228</v>
      </c>
      <c r="C18460" s="5" t="str">
        <f>IFERROR(__xludf.DUMMYFUNCTION("GOOGLETRANSLATE(B18460,""en"",""zh-CN"")"),"我们看到了最终的信用场景。")</f>
        <v>我们看到了最终的信用场景。</v>
      </c>
    </row>
    <row r="18461">
      <c r="A18461" s="4" t="s">
        <v>23229</v>
      </c>
      <c r="B18461" s="4" t="s">
        <v>23230</v>
      </c>
      <c r="C18461" s="5" t="str">
        <f>IFERROR(__xludf.DUMMYFUNCTION("GOOGLETRANSLATE(B18461,""en"",""zh-CN"")"),"显示伏特加酒被倒入马提尼酒玻璃杯中。")</f>
        <v>显示伏特加酒被倒入马提尼酒玻璃杯中。</v>
      </c>
    </row>
    <row r="18462">
      <c r="A18462" s="4" t="s">
        <v>23229</v>
      </c>
      <c r="B18462" s="4" t="s">
        <v>23231</v>
      </c>
      <c r="C18462" s="5" t="str">
        <f>IFERROR(__xludf.DUMMYFUNCTION("GOOGLETRANSLATE(B18462,""en"",""zh-CN"")"),"一个女人在酒吧后面，炫耀酒精瓶。")</f>
        <v>一个女人在酒吧后面，炫耀酒精瓶。</v>
      </c>
    </row>
    <row r="18463">
      <c r="A18463" s="4" t="s">
        <v>23229</v>
      </c>
      <c r="B18463" s="6" t="s">
        <v>23232</v>
      </c>
      <c r="C18463" s="5" t="str">
        <f>IFERROR(__xludf.DUMMYFUNCTION("GOOGLETRANSLATE(B18463,""en"",""zh-CN"")"),"她将成分混合在一起，然后将它们摇动，然后倒入装满冰的玻璃杯中。")</f>
        <v>她将成分混合在一起，然后将它们摇动，然后倒入装满冰的玻璃杯中。</v>
      </c>
    </row>
    <row r="18464">
      <c r="A18464" s="4" t="s">
        <v>23233</v>
      </c>
      <c r="B18464" s="4" t="s">
        <v>23234</v>
      </c>
      <c r="C18464" s="5" t="str">
        <f>IFERROR(__xludf.DUMMYFUNCTION("GOOGLETRANSLATE(B18464,""en"",""zh-CN"")"),"三个人坐在沙发上。")</f>
        <v>三个人坐在沙发上。</v>
      </c>
    </row>
    <row r="18465">
      <c r="A18465" s="4" t="s">
        <v>23233</v>
      </c>
      <c r="B18465" s="4" t="s">
        <v>23235</v>
      </c>
      <c r="C18465" s="5" t="str">
        <f>IFERROR(__xludf.DUMMYFUNCTION("GOOGLETRANSLATE(B18465,""en"",""zh-CN"")"),"一个男人站起来走进理发店。")</f>
        <v>一个男人站起来走进理发店。</v>
      </c>
    </row>
    <row r="18466">
      <c r="A18466" s="4" t="s">
        <v>23233</v>
      </c>
      <c r="B18466" s="4" t="s">
        <v>23236</v>
      </c>
      <c r="C18466" s="5" t="str">
        <f>IFERROR(__xludf.DUMMYFUNCTION("GOOGLETRANSLATE(B18466,""en"",""zh-CN"")"),"他坐下来剪头。")</f>
        <v>他坐下来剪头。</v>
      </c>
    </row>
    <row r="18467">
      <c r="A18467" s="4" t="s">
        <v>23233</v>
      </c>
      <c r="B18467" s="4" t="s">
        <v>23237</v>
      </c>
      <c r="C18467" s="5" t="str">
        <f>IFERROR(__xludf.DUMMYFUNCTION("GOOGLETRANSLATE(B18467,""en"",""zh-CN"")"),"他在椅子上睡觉。")</f>
        <v>他在椅子上睡觉。</v>
      </c>
    </row>
    <row r="18468">
      <c r="A18468" s="4" t="s">
        <v>23233</v>
      </c>
      <c r="B18468" s="4" t="s">
        <v>23238</v>
      </c>
      <c r="C18468" s="5" t="str">
        <f>IFERROR(__xludf.DUMMYFUNCTION("GOOGLETRANSLATE(B18468,""en"",""zh-CN"")"),"他醒来，看着镜子。")</f>
        <v>他醒来，看着镜子。</v>
      </c>
    </row>
    <row r="18469">
      <c r="A18469" s="4" t="s">
        <v>23233</v>
      </c>
      <c r="B18469" s="4" t="s">
        <v>23239</v>
      </c>
      <c r="C18469" s="5" t="str">
        <f>IFERROR(__xludf.DUMMYFUNCTION("GOOGLETRANSLATE(B18469,""en"",""zh-CN"")"),"他和男人开始战斗。")</f>
        <v>他和男人开始战斗。</v>
      </c>
    </row>
    <row r="18470">
      <c r="A18470" s="4" t="s">
        <v>23233</v>
      </c>
      <c r="B18470" s="4" t="s">
        <v>23240</v>
      </c>
      <c r="C18470" s="5" t="str">
        <f>IFERROR(__xludf.DUMMYFUNCTION("GOOGLETRANSLATE(B18470,""en"",""zh-CN"")"),"该男子拉着枪，将其指向另一个男人。")</f>
        <v>该男子拉着枪，将其指向另一个男人。</v>
      </c>
    </row>
    <row r="18471">
      <c r="A18471" s="4" t="s">
        <v>23233</v>
      </c>
      <c r="B18471" s="4" t="s">
        <v>23241</v>
      </c>
      <c r="C18471" s="5" t="str">
        <f>IFERROR(__xludf.DUMMYFUNCTION("GOOGLETRANSLATE(B18471,""en"",""zh-CN"")"),"他碰到另一个人的武器，他们走出门。")</f>
        <v>他碰到另一个人的武器，他们走出门。</v>
      </c>
    </row>
    <row r="18472">
      <c r="A18472" s="4" t="s">
        <v>23242</v>
      </c>
      <c r="B18472" s="4" t="s">
        <v>23243</v>
      </c>
      <c r="C18472" s="5" t="str">
        <f>IFERROR(__xludf.DUMMYFUNCTION("GOOGLETRANSLATE(B18472,""en"",""zh-CN"")"),"该视频显示了如何在亚马逊上获得一类狗用品的折扣。")</f>
        <v>该视频显示了如何在亚马逊上获得一类狗用品的折扣。</v>
      </c>
    </row>
    <row r="18473">
      <c r="A18473" s="4" t="s">
        <v>23242</v>
      </c>
      <c r="B18473" s="4" t="s">
        <v>23244</v>
      </c>
      <c r="C18473" s="5" t="str">
        <f>IFERROR(__xludf.DUMMYFUNCTION("GOOGLETRANSLATE(B18473,""en"",""zh-CN"")"),"然后显示一个女人在剃狗。")</f>
        <v>然后显示一个女人在剃狗。</v>
      </c>
    </row>
    <row r="18474">
      <c r="A18474" s="4" t="s">
        <v>23245</v>
      </c>
      <c r="B18474" s="4" t="s">
        <v>23246</v>
      </c>
      <c r="C18474" s="5" t="str">
        <f>IFERROR(__xludf.DUMMYFUNCTION("GOOGLETRANSLATE(B18474,""en"",""zh-CN"")"),"小时候，一位女士坐在柜台上。")</f>
        <v>小时候，一位女士坐在柜台上。</v>
      </c>
    </row>
    <row r="18475">
      <c r="A18475" s="4" t="s">
        <v>23245</v>
      </c>
      <c r="B18475" s="4" t="s">
        <v>23247</v>
      </c>
      <c r="C18475" s="5" t="str">
        <f>IFERROR(__xludf.DUMMYFUNCTION("GOOGLETRANSLATE(B18475,""en"",""zh-CN"")"),"女士刷男孩的牙齿。")</f>
        <v>女士刷男孩的牙齿。</v>
      </c>
    </row>
    <row r="18476">
      <c r="A18476" s="4" t="s">
        <v>23245</v>
      </c>
      <c r="B18476" s="4" t="s">
        <v>23248</v>
      </c>
      <c r="C18476" s="5" t="str">
        <f>IFERROR(__xludf.DUMMYFUNCTION("GOOGLETRANSLATE(B18476,""en"",""zh-CN"")"),"她结束了，小男孩微笑。")</f>
        <v>她结束了，小男孩微笑。</v>
      </c>
    </row>
    <row r="18477">
      <c r="A18477" s="4" t="s">
        <v>23245</v>
      </c>
      <c r="B18477" s="4" t="s">
        <v>23249</v>
      </c>
      <c r="C18477" s="5" t="str">
        <f>IFERROR(__xludf.DUMMYFUNCTION("GOOGLETRANSLATE(B18477,""en"",""zh-CN"")"),"女士退缩了，孩子把奶嘴放在他的嘴里。")</f>
        <v>女士退缩了，孩子把奶嘴放在他的嘴里。</v>
      </c>
    </row>
    <row r="18478">
      <c r="A18478" s="4" t="s">
        <v>23250</v>
      </c>
      <c r="B18478" s="4" t="s">
        <v>23251</v>
      </c>
      <c r="C18478" s="5" t="str">
        <f>IFERROR(__xludf.DUMMYFUNCTION("GOOGLETRANSLATE(B18478,""en"",""zh-CN"")"),"一个男人坐在一个房间里笑。")</f>
        <v>一个男人坐在一个房间里笑。</v>
      </c>
    </row>
    <row r="18479">
      <c r="A18479" s="4" t="s">
        <v>23250</v>
      </c>
      <c r="B18479" s="4" t="s">
        <v>23252</v>
      </c>
      <c r="C18479" s="5" t="str">
        <f>IFERROR(__xludf.DUMMYFUNCTION("GOOGLETRANSLATE(B18479,""en"",""zh-CN"")"),"男人和一个女人和男人一起吃饭。")</f>
        <v>男人和一个女人和男人一起吃饭。</v>
      </c>
    </row>
    <row r="18480">
      <c r="A18480" s="4" t="s">
        <v>23250</v>
      </c>
      <c r="B18480" s="4" t="s">
        <v>23253</v>
      </c>
      <c r="C18480" s="5" t="str">
        <f>IFERROR(__xludf.DUMMYFUNCTION("GOOGLETRANSLATE(B18480,""en"",""zh-CN"")"),"该男子看到一个泡泡娃娃并推动它。")</f>
        <v>该男子看到一个泡泡娃娃并推动它。</v>
      </c>
    </row>
    <row r="18481">
      <c r="A18481" s="4" t="s">
        <v>23250</v>
      </c>
      <c r="B18481" s="6" t="s">
        <v>23254</v>
      </c>
      <c r="C18481" s="5" t="str">
        <f>IFERROR(__xludf.DUMMYFUNCTION("GOOGLETRANSLATE(B18481,""en"",""zh-CN"")"),"该男子撞上了洋娃娃，在房间周围弹跳一个球，把所有食物从桌子上摔下来，弄得一团糟。")</f>
        <v>该男子撞上了洋娃娃，在房间周围弹跳一个球，把所有食物从桌子上摔下来，弄得一团糟。</v>
      </c>
    </row>
    <row r="18482">
      <c r="A18482" s="4" t="s">
        <v>23250</v>
      </c>
      <c r="B18482" s="6" t="s">
        <v>23255</v>
      </c>
      <c r="C18482" s="5" t="str">
        <f>IFERROR(__xludf.DUMMYFUNCTION("GOOGLETRANSLATE(B18482,""en"",""zh-CN"")"),"人们笑了，那个男人清理了，在井中创造了一个漩涡，他的球砸碎了墙壁。")</f>
        <v>人们笑了，那个男人清理了，在井中创造了一个漩涡，他的球砸碎了墙壁。</v>
      </c>
    </row>
    <row r="18483">
      <c r="A18483" s="4" t="s">
        <v>23250</v>
      </c>
      <c r="B18483" s="4" t="s">
        <v>23256</v>
      </c>
      <c r="C18483" s="5" t="str">
        <f>IFERROR(__xludf.DUMMYFUNCTION("GOOGLETRANSLATE(B18483,""en"",""zh-CN"")"),"该男子在一个领域里锻炼。")</f>
        <v>该男子在一个领域里锻炼。</v>
      </c>
    </row>
    <row r="18484">
      <c r="A18484" s="4" t="s">
        <v>23250</v>
      </c>
      <c r="B18484" s="4" t="s">
        <v>23257</v>
      </c>
      <c r="C18484" s="5" t="str">
        <f>IFERROR(__xludf.DUMMYFUNCTION("GOOGLETRANSLATE(B18484,""en"",""zh-CN"")"),"尘埃从人类和叶子飞过天空。")</f>
        <v>尘埃从人类和叶子飞过天空。</v>
      </c>
    </row>
    <row r="18485">
      <c r="A18485" s="4" t="s">
        <v>23258</v>
      </c>
      <c r="B18485" s="4" t="s">
        <v>12542</v>
      </c>
      <c r="C18485" s="5" t="str">
        <f>IFERROR(__xludf.DUMMYFUNCTION("GOOGLETRANSLATE(B18485,""en"",""zh-CN"")"),"一个女人在和镜头说话。")</f>
        <v>一个女人在和镜头说话。</v>
      </c>
    </row>
    <row r="18486">
      <c r="A18486" s="4" t="s">
        <v>23258</v>
      </c>
      <c r="B18486" s="4" t="s">
        <v>23259</v>
      </c>
      <c r="C18486" s="5" t="str">
        <f>IFERROR(__xludf.DUMMYFUNCTION("GOOGLETRANSLATE(B18486,""en"",""zh-CN"")"),"她展示了如何沿着客厅的墙壁悬挂边界。")</f>
        <v>她展示了如何沿着客厅的墙壁悬挂边界。</v>
      </c>
    </row>
    <row r="18487">
      <c r="A18487" s="4" t="s">
        <v>23258</v>
      </c>
      <c r="B18487" s="4" t="s">
        <v>23260</v>
      </c>
      <c r="C18487" s="5" t="str">
        <f>IFERROR(__xludf.DUMMYFUNCTION("GOOGLETRANSLATE(B18487,""en"",""zh-CN"")"),"然后，她回到与相机交谈。")</f>
        <v>然后，她回到与相机交谈。</v>
      </c>
    </row>
    <row r="18488">
      <c r="A18488" s="4" t="s">
        <v>23261</v>
      </c>
      <c r="B18488" s="4" t="s">
        <v>23262</v>
      </c>
      <c r="C18488" s="5" t="str">
        <f>IFERROR(__xludf.DUMMYFUNCTION("GOOGLETRANSLATE(B18488,""en"",""zh-CN"")"),"一个小组在游泳池里打排球。")</f>
        <v>一个小组在游泳池里打排球。</v>
      </c>
    </row>
    <row r="18489">
      <c r="A18489" s="4" t="s">
        <v>23261</v>
      </c>
      <c r="B18489" s="6" t="s">
        <v>23263</v>
      </c>
      <c r="C18489" s="5" t="str">
        <f>IFERROR(__xludf.DUMMYFUNCTION("GOOGLETRANSLATE(B18489,""en"",""zh-CN"")"),"当金毛寻回犬连接在一起时，他们在网上来回弹跳球，用鼻子击中球。")</f>
        <v>当金毛寻回犬连接在一起时，他们在网上来回弹跳球，用鼻子击中球。</v>
      </c>
    </row>
    <row r="18490">
      <c r="A18490" s="4" t="s">
        <v>23264</v>
      </c>
      <c r="B18490" s="4" t="s">
        <v>23265</v>
      </c>
      <c r="C18490" s="5" t="str">
        <f>IFERROR(__xludf.DUMMYFUNCTION("GOOGLETRANSLATE(B18490,""en"",""zh-CN"")"),"一个男孩在前面的人身上演奏鼓。")</f>
        <v>一个男孩在前面的人身上演奏鼓。</v>
      </c>
    </row>
    <row r="18491">
      <c r="A18491" s="4" t="s">
        <v>23264</v>
      </c>
      <c r="B18491" s="4" t="s">
        <v>23266</v>
      </c>
      <c r="C18491" s="5" t="str">
        <f>IFERROR(__xludf.DUMMYFUNCTION("GOOGLETRANSLATE(B18491,""en"",""zh-CN"")"),"一个男人唱着鼓手旁边的麦克风。")</f>
        <v>一个男人唱着鼓手旁边的麦克风。</v>
      </c>
    </row>
    <row r="18492">
      <c r="A18492" s="4" t="s">
        <v>23264</v>
      </c>
      <c r="B18492" s="4" t="s">
        <v>23267</v>
      </c>
      <c r="C18492" s="5" t="str">
        <f>IFERROR(__xludf.DUMMYFUNCTION("GOOGLETRANSLATE(B18492,""en"",""zh-CN"")"),"一个人在男孩的前面传递。")</f>
        <v>一个人在男孩的前面传递。</v>
      </c>
    </row>
    <row r="18493">
      <c r="A18493" s="4" t="s">
        <v>23268</v>
      </c>
      <c r="B18493" s="4" t="s">
        <v>23269</v>
      </c>
      <c r="C18493" s="5" t="str">
        <f>IFERROR(__xludf.DUMMYFUNCTION("GOOGLETRANSLATE(B18493,""en"",""zh-CN"")"),"看到一小群人骑在崎rough河的木筏上。")</f>
        <v>看到一小群人骑在崎rough河的木筏上。</v>
      </c>
    </row>
    <row r="18494">
      <c r="A18494" s="4" t="s">
        <v>23268</v>
      </c>
      <c r="B18494" s="4" t="s">
        <v>23270</v>
      </c>
      <c r="C18494" s="5" t="str">
        <f>IFERROR(__xludf.DUMMYFUNCTION("GOOGLETRANSLATE(B18494,""en"",""zh-CN"")"),"人们使用桨来沿着水和隧道下移动。")</f>
        <v>人们使用桨来沿着水和隧道下移动。</v>
      </c>
    </row>
    <row r="18495">
      <c r="A18495" s="4" t="s">
        <v>23268</v>
      </c>
      <c r="B18495" s="4" t="s">
        <v>23271</v>
      </c>
      <c r="C18495" s="5" t="str">
        <f>IFERROR(__xludf.DUMMYFUNCTION("GOOGLETRANSLATE(B18495,""en"",""zh-CN"")"),"该小组继续沿着河流骑行，并在屏幕上以文字结束。")</f>
        <v>该小组继续沿着河流骑行，并在屏幕上以文字结束。</v>
      </c>
    </row>
    <row r="18496">
      <c r="A18496" s="4" t="s">
        <v>23272</v>
      </c>
      <c r="B18496" s="4" t="s">
        <v>23273</v>
      </c>
      <c r="C18496" s="5" t="str">
        <f>IFERROR(__xludf.DUMMYFUNCTION("GOOGLETRANSLATE(B18496,""en"",""zh-CN"")"),"一个女人的头发在厨房里被一对剪刀的女人剪得很短。")</f>
        <v>一个女人的头发在厨房里被一对剪刀的女人剪得很短。</v>
      </c>
    </row>
    <row r="18497">
      <c r="A18497" s="4" t="s">
        <v>23272</v>
      </c>
      <c r="B18497" s="6" t="s">
        <v>23274</v>
      </c>
      <c r="C18497" s="5" t="str">
        <f>IFERROR(__xludf.DUMMYFUNCTION("GOOGLETRANSLATE(B18497,""en"",""zh-CN"")"),"一个戴着眼镜的男人在镜头盘前与坐在柔软的椅子上的女人一起，专注于她的上臂。")</f>
        <v>一个戴着眼镜的男人在镜头盘前与坐在柔软的椅子上的女人一起，专注于她的上臂。</v>
      </c>
    </row>
    <row r="18498">
      <c r="A18498" s="4" t="s">
        <v>23272</v>
      </c>
      <c r="B18498" s="6" t="s">
        <v>23275</v>
      </c>
      <c r="C18498" s="5" t="str">
        <f>IFERROR(__xludf.DUMMYFUNCTION("GOOGLETRANSLATE(B18498,""en"",""zh-CN"")"),"摄像机锅里进入厨房区域，一个坐着的女人抱着自己的头发锁，而另一个女人（以前坐在这里的女人）开始用一双剪刀剪头发。")</f>
        <v>摄像机锅里进入厨房区域，一个坐着的女人抱着自己的头发锁，而另一个女人（以前坐在这里的女人）开始用一双剪刀剪头发。</v>
      </c>
    </row>
    <row r="18499">
      <c r="A18499" s="4" t="s">
        <v>23272</v>
      </c>
      <c r="B18499" s="6" t="s">
        <v>23276</v>
      </c>
      <c r="C18499" s="5" t="str">
        <f>IFERROR(__xludf.DUMMYFUNCTION("GOOGLETRANSLATE(B18499,""en"",""zh-CN"")"),"摄像机锅盘到了厨房椅子上的女人的特写，她的头发大部分都切断了，现在的发型很短。")</f>
        <v>摄像机锅盘到了厨房椅子上的女人的特写，她的头发大部分都切断了，现在的发型很短。</v>
      </c>
    </row>
    <row r="18500">
      <c r="A18500" s="4" t="s">
        <v>23272</v>
      </c>
      <c r="B18500" s="6" t="s">
        <v>23277</v>
      </c>
      <c r="C18500" s="5" t="str">
        <f>IFERROR(__xludf.DUMMYFUNCTION("GOOGLETRANSLATE(B18500,""en"",""zh-CN"")"),"摄像机再次向电影中首次出现的男人和数字时钟拍摄时再次剪裁。")</f>
        <v>摄像机再次向电影中首次出现的男人和数字时钟拍摄时再次剪裁。</v>
      </c>
    </row>
    <row r="18501">
      <c r="A18501" s="4" t="s">
        <v>23278</v>
      </c>
      <c r="B18501" s="4" t="s">
        <v>23279</v>
      </c>
      <c r="C18501" s="5" t="str">
        <f>IFERROR(__xludf.DUMMYFUNCTION("GOOGLETRANSLATE(B18501,""en"",""zh-CN"")"),"看到一个年轻女子跪在浴缸里，周围有衣服。")</f>
        <v>看到一个年轻女子跪在浴缸里，周围有衣服。</v>
      </c>
    </row>
    <row r="18502">
      <c r="A18502" s="4" t="s">
        <v>23278</v>
      </c>
      <c r="B18502" s="4" t="s">
        <v>23280</v>
      </c>
      <c r="C18502" s="5" t="str">
        <f>IFERROR(__xludf.DUMMYFUNCTION("GOOGLETRANSLATE(B18502,""en"",""zh-CN"")"),"她踩在衣服上，再次弯腰以擦洗它们，而相机在她周围晃动。")</f>
        <v>她踩在衣服上，再次弯腰以擦洗它们，而相机在她周围晃动。</v>
      </c>
    </row>
    <row r="18503">
      <c r="A18503" s="4" t="s">
        <v>23278</v>
      </c>
      <c r="B18503" s="6" t="s">
        <v>23281</v>
      </c>
      <c r="C18503" s="5" t="str">
        <f>IFERROR(__xludf.DUMMYFUNCTION("GOOGLETRANSLATE(B18503,""en"",""zh-CN"")"),"她举起衣服，继续洗净它们，并踏入框架以提供帮助。")</f>
        <v>她举起衣服，继续洗净它们，并踏入框架以提供帮助。</v>
      </c>
    </row>
    <row r="18504">
      <c r="A18504" s="4" t="s">
        <v>23282</v>
      </c>
      <c r="B18504" s="6" t="s">
        <v>23283</v>
      </c>
      <c r="C18504" s="5" t="str">
        <f>IFERROR(__xludf.DUMMYFUNCTION("GOOGLETRANSLATE(B18504,""en"",""zh-CN"")"),"一个穿着粉红色裙子和白色上衣的女人芭蕾舞演员正姿势姿势，背部向前弯曲，双手在舞台上。")</f>
        <v>一个穿着粉红色裙子和白色上衣的女人芭蕾舞演员正姿势姿势，背部向前弯曲，双手在舞台上。</v>
      </c>
    </row>
    <row r="18505">
      <c r="A18505" s="4" t="s">
        <v>23282</v>
      </c>
      <c r="B18505" s="4" t="s">
        <v>23284</v>
      </c>
      <c r="C18505" s="5" t="str">
        <f>IFERROR(__xludf.DUMMYFUNCTION("GOOGLETRANSLATE(B18505,""en"",""zh-CN"")"),"一个穿着蓝色牛仔裤和一件白衬衫的男人走进去，用黄色布抚摸她的背部。")</f>
        <v>一个穿着蓝色牛仔裤和一件白衬衫的男人走进去，用黄色布抚摸她的背部。</v>
      </c>
    </row>
    <row r="18506">
      <c r="A18506" s="4" t="s">
        <v>23282</v>
      </c>
      <c r="B18506" s="4" t="s">
        <v>23285</v>
      </c>
      <c r="C18506" s="5" t="str">
        <f>IFERROR(__xludf.DUMMYFUNCTION("GOOGLETRANSLATE(B18506,""en"",""zh-CN"")"),"然后，一个小女孩芭蕾舞演员来了，撞到了那个女人。")</f>
        <v>然后，一个小女孩芭蕾舞演员来了，撞到了那个女人。</v>
      </c>
    </row>
    <row r="18507">
      <c r="A18507" s="4" t="s">
        <v>23282</v>
      </c>
      <c r="B18507" s="4" t="s">
        <v>23286</v>
      </c>
      <c r="C18507" s="5" t="str">
        <f>IFERROR(__xludf.DUMMYFUNCTION("GOOGLETRANSLATE(B18507,""en"",""zh-CN"")"),"每当小女孩芭蕾舞女演员敲打她时，这个女人都会跳舞。")</f>
        <v>每当小女孩芭蕾舞女演员敲打她时，这个女人都会跳舞。</v>
      </c>
    </row>
    <row r="18508">
      <c r="A18508" s="4" t="s">
        <v>23282</v>
      </c>
      <c r="B18508" s="4" t="s">
        <v>23287</v>
      </c>
      <c r="C18508" s="5" t="str">
        <f>IFERROR(__xludf.DUMMYFUNCTION("GOOGLETRANSLATE(B18508,""en"",""zh-CN"")"),"小女孩捡起一双翅膀，试图将其放在她的背上。")</f>
        <v>小女孩捡起一双翅膀，试图将其放在她的背上。</v>
      </c>
    </row>
    <row r="18509">
      <c r="A18509" s="4" t="s">
        <v>23282</v>
      </c>
      <c r="B18509" s="4" t="s">
        <v>23288</v>
      </c>
      <c r="C18509" s="5" t="str">
        <f>IFERROR(__xludf.DUMMYFUNCTION("GOOGLETRANSLATE(B18509,""en"",""zh-CN"")"),"女人开始做一些芭蕾舞动作。")</f>
        <v>女人开始做一些芭蕾舞动作。</v>
      </c>
    </row>
    <row r="18510">
      <c r="A18510" s="4" t="s">
        <v>23282</v>
      </c>
      <c r="B18510" s="4" t="s">
        <v>23289</v>
      </c>
      <c r="C18510" s="5" t="str">
        <f>IFERROR(__xludf.DUMMYFUNCTION("GOOGLETRANSLATE(B18510,""en"",""zh-CN"")"),"当小女孩走开时，她继续向芭蕾舞团跳舞。")</f>
        <v>当小女孩走开时，她继续向芭蕾舞团跳舞。</v>
      </c>
    </row>
    <row r="18511">
      <c r="A18511" s="4" t="s">
        <v>23282</v>
      </c>
      <c r="B18511" s="4" t="s">
        <v>23290</v>
      </c>
      <c r="C18511" s="5" t="str">
        <f>IFERROR(__xludf.DUMMYFUNCTION("GOOGLETRANSLATE(B18511,""en"",""zh-CN"")"),"当她跳舞音乐时，女人芭蕾舞演员的脚趾曲折并旋转。")</f>
        <v>当她跳舞音乐时，女人芭蕾舞演员的脚趾曲折并旋转。</v>
      </c>
    </row>
    <row r="18512">
      <c r="A18512" s="4" t="s">
        <v>23282</v>
      </c>
      <c r="B18512" s="6" t="s">
        <v>23291</v>
      </c>
      <c r="C18512" s="5" t="str">
        <f>IFERROR(__xludf.DUMMYFUNCTION("GOOGLETRANSLATE(B18512,""en"",""zh-CN"")"),"人群为白衬衫和蓝色牛仔裤的男人鼓掌，使她抬起头，走出舞台。")</f>
        <v>人群为白衬衫和蓝色牛仔裤的男人鼓掌，使她抬起头，走出舞台。</v>
      </c>
    </row>
    <row r="18513">
      <c r="A18513" s="4" t="s">
        <v>23292</v>
      </c>
      <c r="B18513" s="6" t="s">
        <v>23293</v>
      </c>
      <c r="C18513" s="5" t="str">
        <f>IFERROR(__xludf.DUMMYFUNCTION("GOOGLETRANSLATE(B18513,""en"",""zh-CN"")"),"一个相机在一个房间周围，有一个新鲜油漆的墙壁，一个男人在凳子上绘画墙壁。")</f>
        <v>一个相机在一个房间周围，有一个新鲜油漆的墙壁，一个男人在凳子上绘画墙壁。</v>
      </c>
    </row>
    <row r="18514">
      <c r="A18514" s="4" t="s">
        <v>23292</v>
      </c>
      <c r="B18514" s="4" t="s">
        <v>23294</v>
      </c>
      <c r="C18514" s="5" t="str">
        <f>IFERROR(__xludf.DUMMYFUNCTION("GOOGLETRANSLATE(B18514,""en"",""zh-CN"")"),"相机在天窗上竖起，并通过在该区域后面看。")</f>
        <v>相机在天窗上竖起，并通过在该区域后面看。</v>
      </c>
    </row>
    <row r="18515">
      <c r="A18515" s="4" t="s">
        <v>23295</v>
      </c>
      <c r="B18515" s="4" t="s">
        <v>23296</v>
      </c>
      <c r="C18515" s="5" t="str">
        <f>IFERROR(__xludf.DUMMYFUNCTION("GOOGLETRANSLATE(B18515,""en"",""zh-CN"")"),"我们在炉子上看到一个人在厨房里做饭。")</f>
        <v>我们在炉子上看到一个人在厨房里做饭。</v>
      </c>
    </row>
    <row r="18516">
      <c r="A18516" s="4" t="s">
        <v>23295</v>
      </c>
      <c r="B18516" s="4" t="s">
        <v>23297</v>
      </c>
      <c r="C18516" s="5" t="str">
        <f>IFERROR(__xludf.DUMMYFUNCTION("GOOGLETRANSLATE(B18516,""en"",""zh-CN"")"),"该人的煎锅和黄油都加了鸡蛋。")</f>
        <v>该人的煎锅和黄油都加了鸡蛋。</v>
      </c>
    </row>
    <row r="18517">
      <c r="A18517" s="4" t="s">
        <v>23295</v>
      </c>
      <c r="B18517" s="4" t="s">
        <v>23298</v>
      </c>
      <c r="C18517" s="5" t="str">
        <f>IFERROR(__xludf.DUMMYFUNCTION("GOOGLETRANSLATE(B18517,""en"",""zh-CN"")"),"该人翻转鸡蛋。")</f>
        <v>该人翻转鸡蛋。</v>
      </c>
    </row>
    <row r="18518">
      <c r="A18518" s="4" t="s">
        <v>23295</v>
      </c>
      <c r="B18518" s="4" t="s">
        <v>23299</v>
      </c>
      <c r="C18518" s="5" t="str">
        <f>IFERROR(__xludf.DUMMYFUNCTION("GOOGLETRANSLATE(B18518,""en"",""zh-CN"")"),"大火从眼睛开始，人把它吹出。")</f>
        <v>大火从眼睛开始，人把它吹出。</v>
      </c>
    </row>
    <row r="18519">
      <c r="A18519" s="4" t="s">
        <v>23295</v>
      </c>
      <c r="B18519" s="4" t="s">
        <v>23300</v>
      </c>
      <c r="C18519" s="5" t="str">
        <f>IFERROR(__xludf.DUMMYFUNCTION("GOOGLETRANSLATE(B18519,""en"",""zh-CN"")"),"该人用铲子将鸡蛋翻转。")</f>
        <v>该人用铲子将鸡蛋翻转。</v>
      </c>
    </row>
    <row r="18520">
      <c r="A18520" s="4" t="s">
        <v>23295</v>
      </c>
      <c r="B18520" s="4" t="s">
        <v>23301</v>
      </c>
      <c r="C18520" s="5" t="str">
        <f>IFERROR(__xludf.DUMMYFUNCTION("GOOGLETRANSLATE(B18520,""en"",""zh-CN"")"),"将鸡蛋倒入盘子中，并加入盐和胡椒粉。")</f>
        <v>将鸡蛋倒入盘子中，并加入盐和胡椒粉。</v>
      </c>
    </row>
    <row r="18521">
      <c r="A18521" s="4" t="s">
        <v>23295</v>
      </c>
      <c r="B18521" s="4" t="s">
        <v>23302</v>
      </c>
      <c r="C18521" s="5" t="str">
        <f>IFERROR(__xludf.DUMMYFUNCTION("GOOGLETRANSLATE(B18521,""en"",""zh-CN"")"),"该人从炉子走开。")</f>
        <v>该人从炉子走开。</v>
      </c>
    </row>
    <row r="18522">
      <c r="A18522" s="4" t="s">
        <v>23303</v>
      </c>
      <c r="B18522" s="6" t="s">
        <v>23304</v>
      </c>
      <c r="C18522" s="5" t="str">
        <f>IFERROR(__xludf.DUMMYFUNCTION("GOOGLETRANSLATE(B18522,""en"",""zh-CN"")"),"一只狗始终如一地小便，不停止，而当一个人在黄色的皮带上行走时，只在其前肢上，向下和铺好的人行道上行走时。")</f>
        <v>一只狗始终如一地小便，不停止，而当一个人在黄色的皮带上行走时，只在其前肢上，向下和铺好的人行道上行走时。</v>
      </c>
    </row>
    <row r="18523">
      <c r="A18523" s="4" t="s">
        <v>23303</v>
      </c>
      <c r="B18523" s="6" t="s">
        <v>23305</v>
      </c>
      <c r="C18523" s="5" t="str">
        <f>IFERROR(__xludf.DUMMYFUNCTION("GOOGLETRANSLATE(B18523,""en"",""zh-CN"")"),"哈巴狗狗开始在沿着低矮的石头迷你墙的石头遏制上小便，降落在所有四个腿上旋转，然后开始仅在其两个前肢上行走。")</f>
        <v>哈巴狗狗开始在沿着低矮的石头迷你墙的石头遏制上小便，降落在所有四个腿上旋转，然后开始仅在其两个前肢上行走。</v>
      </c>
    </row>
    <row r="18524">
      <c r="A18524" s="4" t="s">
        <v>23303</v>
      </c>
      <c r="B18524" s="6" t="s">
        <v>23306</v>
      </c>
      <c r="C18524" s="5" t="str">
        <f>IFERROR(__xludf.DUMMYFUNCTION("GOOGLETRANSLATE(B18524,""en"",""zh-CN"")"),"这只狗在前肢上行走时开始小便，只有一条黄色的皮带在后面，一个看不见的人将狗从背景中散发出来。")</f>
        <v>这只狗在前肢上行走时开始小便，只有一条黄色的皮带在后面，一个看不见的人将狗从背景中散发出来。</v>
      </c>
    </row>
    <row r="18525">
      <c r="A18525" s="4" t="s">
        <v>23303</v>
      </c>
      <c r="B18525" s="6" t="s">
        <v>23307</v>
      </c>
      <c r="C18525" s="5" t="str">
        <f>IFERROR(__xludf.DUMMYFUNCTION("GOOGLETRANSLATE(B18525,""en"",""zh-CN"")"),"这只狗继续以这种方式排尿，经过更多的人行道和草，最后开始使用三腿，停下来，在三腿静止不动的同时进行小便。")</f>
        <v>这只狗继续以这种方式排尿，经过更多的人行道和草，最后开始使用三腿，停下来，在三腿静止不动的同时进行小便。</v>
      </c>
    </row>
    <row r="18526">
      <c r="A18526" s="4" t="s">
        <v>23308</v>
      </c>
      <c r="B18526" s="4" t="s">
        <v>23309</v>
      </c>
      <c r="C18526" s="5" t="str">
        <f>IFERROR(__xludf.DUMMYFUNCTION("GOOGLETRANSLATE(B18526,""en"",""zh-CN"")"),"一个男人将坐在蹦极线束的坐着的妇女固定，而其他人则在旁边。")</f>
        <v>一个男人将坐在蹦极线束的坐着的妇女固定，而其他人则在旁边。</v>
      </c>
    </row>
    <row r="18527">
      <c r="A18527" s="4" t="s">
        <v>23308</v>
      </c>
      <c r="B18527" s="4" t="s">
        <v>23310</v>
      </c>
      <c r="C18527" s="5" t="str">
        <f>IFERROR(__xludf.DUMMYFUNCTION("GOOGLETRANSLATE(B18527,""en"",""zh-CN"")"),"女人在近距离的视野中与镜头说话。")</f>
        <v>女人在近距离的视野中与镜头说话。</v>
      </c>
    </row>
    <row r="18528">
      <c r="A18528" s="4" t="s">
        <v>23308</v>
      </c>
      <c r="B18528" s="4" t="s">
        <v>23311</v>
      </c>
      <c r="C18528" s="5" t="str">
        <f>IFERROR(__xludf.DUMMYFUNCTION("GOOGLETRANSLATE(B18528,""en"",""zh-CN"")"),"展示了几镜的风景镜头，上面散布着那个女人等待的女人。")</f>
        <v>展示了几镜的风景镜头，上面散布着那个女人等待的女人。</v>
      </c>
    </row>
    <row r="18529">
      <c r="A18529" s="4" t="s">
        <v>23308</v>
      </c>
      <c r="B18529" s="4" t="s">
        <v>23312</v>
      </c>
      <c r="C18529" s="5" t="str">
        <f>IFERROR(__xludf.DUMMYFUNCTION("GOOGLETRANSLATE(B18529,""en"",""zh-CN"")"),"该男子用设备完成。")</f>
        <v>该男子用设备完成。</v>
      </c>
    </row>
    <row r="18530">
      <c r="A18530" s="4" t="s">
        <v>23308</v>
      </c>
      <c r="B18530" s="6" t="s">
        <v>23313</v>
      </c>
      <c r="C18530" s="5" t="str">
        <f>IFERROR(__xludf.DUMMYFUNCTION("GOOGLETRANSLATE(B18530,""en"",""zh-CN"")"),"那个女人小心翼翼地走到跳跃平台上，而其中一个男人站在她身后，观众看着。")</f>
        <v>那个女人小心翼翼地走到跳跃平台上，而其中一个男人站在她身后，观众看着。</v>
      </c>
    </row>
    <row r="18531">
      <c r="A18531" s="4" t="s">
        <v>23308</v>
      </c>
      <c r="B18531" s="4" t="s">
        <v>23314</v>
      </c>
      <c r="C18531" s="5" t="str">
        <f>IFERROR(__xludf.DUMMYFUNCTION("GOOGLETRANSLATE(B18531,""en"",""zh-CN"")"),"女人蹦极从平台上脱落。")</f>
        <v>女人蹦极从平台上脱落。</v>
      </c>
    </row>
    <row r="18532">
      <c r="A18532" s="4" t="s">
        <v>23308</v>
      </c>
      <c r="B18532" s="4" t="s">
        <v>23315</v>
      </c>
      <c r="C18532" s="5" t="str">
        <f>IFERROR(__xludf.DUMMYFUNCTION("GOOGLETRANSLATE(B18532,""en"",""zh-CN"")"),"显示了平台上蹦极的女人的重播。")</f>
        <v>显示了平台上蹦极的女人的重播。</v>
      </c>
    </row>
    <row r="18533">
      <c r="A18533" s="4" t="s">
        <v>23316</v>
      </c>
      <c r="B18533" s="4" t="s">
        <v>23317</v>
      </c>
      <c r="C18533" s="5" t="str">
        <f>IFERROR(__xludf.DUMMYFUNCTION("GOOGLETRANSLATE(B18533,""en"",""zh-CN"")"),"我们看到一张桌子上覆盖着纸张和一台笔记本电脑，就像男人的作品一样。")</f>
        <v>我们看到一张桌子上覆盖着纸张和一台笔记本电脑，就像男人的作品一样。</v>
      </c>
    </row>
    <row r="18534">
      <c r="A18534" s="4" t="s">
        <v>23316</v>
      </c>
      <c r="B18534" s="4" t="s">
        <v>23318</v>
      </c>
      <c r="C18534" s="5" t="str">
        <f>IFERROR(__xludf.DUMMYFUNCTION("GOOGLETRANSLATE(B18534,""en"",""zh-CN"")"),"该男子离开，去了一个涂鸦的车库，然后打开一个动臂箱。")</f>
        <v>该男子离开，去了一个涂鸦的车库，然后打开一个动臂箱。</v>
      </c>
    </row>
    <row r="18535">
      <c r="A18535" s="4" t="s">
        <v>23316</v>
      </c>
      <c r="B18535" s="4" t="s">
        <v>23319</v>
      </c>
      <c r="C18535" s="5" t="str">
        <f>IFERROR(__xludf.DUMMYFUNCTION("GOOGLETRANSLATE(B18535,""en"",""zh-CN"")"),"那个男人打破舞，然后看到整个房间里有一个男人。")</f>
        <v>那个男人打破舞，然后看到整个房间里有一个男人。</v>
      </c>
    </row>
    <row r="18536">
      <c r="A18536" s="4" t="s">
        <v>23316</v>
      </c>
      <c r="B18536" s="4" t="s">
        <v>23320</v>
      </c>
      <c r="C18536" s="5" t="str">
        <f>IFERROR(__xludf.DUMMYFUNCTION("GOOGLETRANSLATE(B18536,""en"",""zh-CN"")"),"然后，男人轮流跳舞。")</f>
        <v>然后，男人轮流跳舞。</v>
      </c>
    </row>
    <row r="18537">
      <c r="A18537" s="4" t="s">
        <v>23316</v>
      </c>
      <c r="B18537" s="4" t="s">
        <v>23321</v>
      </c>
      <c r="C18537" s="5" t="str">
        <f>IFERROR(__xludf.DUMMYFUNCTION("GOOGLETRANSLATE(B18537,""en"",""zh-CN"")"),"这些人面对面站着，一起打舞。")</f>
        <v>这些人面对面站着，一起打舞。</v>
      </c>
    </row>
    <row r="18538">
      <c r="A18538" s="4" t="s">
        <v>23316</v>
      </c>
      <c r="B18538" s="4" t="s">
        <v>5107</v>
      </c>
      <c r="C18538" s="5" t="str">
        <f>IFERROR(__xludf.DUMMYFUNCTION("GOOGLETRANSLATE(B18538,""en"",""zh-CN"")"),"然后，我们看到结尾标题屏幕。")</f>
        <v>然后，我们看到结尾标题屏幕。</v>
      </c>
    </row>
    <row r="18539">
      <c r="A18539" s="4" t="s">
        <v>23322</v>
      </c>
      <c r="B18539" s="6" t="s">
        <v>23323</v>
      </c>
      <c r="C18539" s="5" t="str">
        <f>IFERROR(__xludf.DUMMYFUNCTION("GOOGLETRANSLATE(B18539,""en"",""zh-CN"")"),"当一个人的滑雪板不断地沿着雪山迅速移动到树木时，他们的滑雪板被展示。")</f>
        <v>当一个人的滑雪板不断地沿着雪山迅速移动到树木时，他们的滑雪板被展示。</v>
      </c>
    </row>
    <row r="18540">
      <c r="A18540" s="4" t="s">
        <v>23322</v>
      </c>
      <c r="B18540" s="6" t="s">
        <v>23324</v>
      </c>
      <c r="C18540" s="5" t="str">
        <f>IFERROR(__xludf.DUMMYFUNCTION("GOOGLETRANSLATE(B18540,""en"",""zh-CN"")"),"该人继续以快速的步伐向下移动，并在底部与其他人会面。")</f>
        <v>该人继续以快速的步伐向下移动，并在底部与其他人会面。</v>
      </c>
    </row>
    <row r="18541">
      <c r="A18541" s="4" t="s">
        <v>23325</v>
      </c>
      <c r="B18541" s="6" t="s">
        <v>23326</v>
      </c>
      <c r="C18541" s="5" t="str">
        <f>IFERROR(__xludf.DUMMYFUNCTION("GOOGLETRANSLATE(B18541,""en"",""zh-CN"")"),"人们正站在球场上玩Shufleboard，而人们在露台上正在观看比赛。")</f>
        <v>人们正站在球场上玩Shufleboard，而人们在露台上正在观看比赛。</v>
      </c>
    </row>
    <row r="18542">
      <c r="A18542" s="4" t="s">
        <v>23325</v>
      </c>
      <c r="B18542" s="4" t="s">
        <v>23327</v>
      </c>
      <c r="C18542" s="5" t="str">
        <f>IFERROR(__xludf.DUMMYFUNCTION("GOOGLETRANSLATE(B18542,""en"",""zh-CN"")"),"许多穿着红色制服的人在走路和坐在球场周围。")</f>
        <v>许多穿着红色制服的人在走路和坐在球场周围。</v>
      </c>
    </row>
    <row r="18543">
      <c r="A18543" s="4" t="s">
        <v>23328</v>
      </c>
      <c r="B18543" s="4" t="s">
        <v>23329</v>
      </c>
      <c r="C18543" s="5" t="str">
        <f>IFERROR(__xludf.DUMMYFUNCTION("GOOGLETRANSLATE(B18543,""en"",""zh-CN"")"),"一个穿着西装的男人和一位穿着火花礼服的女士在舞台上。")</f>
        <v>一个穿着西装的男人和一位穿着火花礼服的女士在舞台上。</v>
      </c>
    </row>
    <row r="18544">
      <c r="A18544" s="4" t="s">
        <v>23328</v>
      </c>
      <c r="B18544" s="4" t="s">
        <v>23330</v>
      </c>
      <c r="C18544" s="5" t="str">
        <f>IFERROR(__xludf.DUMMYFUNCTION("GOOGLETRANSLATE(B18544,""en"",""zh-CN"")"),"当人们观看时，人们然后宴会厅跳舞。")</f>
        <v>当人们观看时，人们然后宴会厅跳舞。</v>
      </c>
    </row>
    <row r="18545">
      <c r="A18545" s="4" t="s">
        <v>23328</v>
      </c>
      <c r="B18545" s="4" t="s">
        <v>23331</v>
      </c>
      <c r="C18545" s="5" t="str">
        <f>IFERROR(__xludf.DUMMYFUNCTION("GOOGLETRANSLATE(B18545,""en"",""zh-CN"")"),"男人在他面前的空中旋转。")</f>
        <v>男人在他面前的空中旋转。</v>
      </c>
    </row>
    <row r="18546">
      <c r="A18546" s="4" t="s">
        <v>23328</v>
      </c>
      <c r="B18546" s="4" t="s">
        <v>23332</v>
      </c>
      <c r="C18546" s="5" t="str">
        <f>IFERROR(__xludf.DUMMYFUNCTION("GOOGLETRANSLATE(B18546,""en"",""zh-CN"")"),"那个男人浸了一位女士，她将脚踢在空中。")</f>
        <v>那个男人浸了一位女士，她将脚踢在空中。</v>
      </c>
    </row>
    <row r="18547">
      <c r="A18547" s="4" t="s">
        <v>23328</v>
      </c>
      <c r="B18547" s="4" t="s">
        <v>23333</v>
      </c>
      <c r="C18547" s="5" t="str">
        <f>IFERROR(__xludf.DUMMYFUNCTION("GOOGLETRANSLATE(B18547,""en"",""zh-CN"")"),"他们走出舞台时，人群结束了。")</f>
        <v>他们走出舞台时，人群结束了。</v>
      </c>
    </row>
    <row r="18548">
      <c r="A18548" s="4" t="s">
        <v>23334</v>
      </c>
      <c r="B18548" s="6" t="s">
        <v>23335</v>
      </c>
      <c r="C18548" s="5" t="str">
        <f>IFERROR(__xludf.DUMMYFUNCTION("GOOGLETRANSLATE(B18548,""en"",""zh-CN"")"),"看到两个女孩在一个大体育馆的中间拿着一个姿势，而另一些女孩则在周围看着姿势。")</f>
        <v>看到两个女孩在一个大体育馆的中间拿着一个姿势，而另一些女孩则在周围看着姿势。</v>
      </c>
    </row>
    <row r="18549">
      <c r="A18549" s="4" t="s">
        <v>23334</v>
      </c>
      <c r="B18549" s="4" t="s">
        <v>23336</v>
      </c>
      <c r="C18549" s="5" t="str">
        <f>IFERROR(__xludf.DUMMYFUNCTION("GOOGLETRANSLATE(B18549,""en"",""zh-CN"")"),"女孩们在使用警棍时开始表演舞蹈。")</f>
        <v>女孩们在使用警棍时开始表演舞蹈。</v>
      </c>
    </row>
    <row r="18550">
      <c r="A18550" s="4" t="s">
        <v>23334</v>
      </c>
      <c r="B18550" s="4" t="s">
        <v>23337</v>
      </c>
      <c r="C18550" s="5" t="str">
        <f>IFERROR(__xludf.DUMMYFUNCTION("GOOGLETRANSLATE(B18550,""en"",""zh-CN"")"),"女孩们继续跳舞，结束姿势。")</f>
        <v>女孩们继续跳舞，结束姿势。</v>
      </c>
    </row>
    <row r="18551">
      <c r="A18551" s="4" t="s">
        <v>23338</v>
      </c>
      <c r="B18551" s="4" t="s">
        <v>23339</v>
      </c>
      <c r="C18551" s="5" t="str">
        <f>IFERROR(__xludf.DUMMYFUNCTION("GOOGLETRANSLATE(B18551,""en"",""zh-CN"")"),"一个女人在海滩上携带冲浪板走路。")</f>
        <v>一个女人在海滩上携带冲浪板走路。</v>
      </c>
    </row>
    <row r="18552">
      <c r="A18552" s="4" t="s">
        <v>23338</v>
      </c>
      <c r="B18552" s="4" t="s">
        <v>23340</v>
      </c>
      <c r="C18552" s="5" t="str">
        <f>IFERROR(__xludf.DUMMYFUNCTION("GOOGLETRANSLATE(B18552,""en"",""zh-CN"")"),"她开始在水中冲浪。")</f>
        <v>她开始在水中冲浪。</v>
      </c>
    </row>
    <row r="18553">
      <c r="A18553" s="4" t="s">
        <v>23341</v>
      </c>
      <c r="B18553" s="4" t="s">
        <v>23342</v>
      </c>
      <c r="C18553" s="5" t="str">
        <f>IFERROR(__xludf.DUMMYFUNCTION("GOOGLETRANSLATE(B18553,""en"",""zh-CN"")"),"一个女人在水槽里洗涤，展示了一个小瓶子。")</f>
        <v>一个女人在水槽里洗涤，展示了一个小瓶子。</v>
      </c>
    </row>
    <row r="18554">
      <c r="A18554" s="4" t="s">
        <v>23341</v>
      </c>
      <c r="B18554" s="4" t="s">
        <v>23343</v>
      </c>
      <c r="C18554" s="5" t="str">
        <f>IFERROR(__xludf.DUMMYFUNCTION("GOOGLETRANSLATE(B18554,""en"",""zh-CN"")"),"然后，女人在蒸锅中添加几个土豆。")</f>
        <v>然后，女人在蒸锅中添加几个土豆。</v>
      </c>
    </row>
    <row r="18555">
      <c r="A18555" s="4" t="s">
        <v>23341</v>
      </c>
      <c r="B18555" s="4" t="s">
        <v>23344</v>
      </c>
      <c r="C18555" s="5" t="str">
        <f>IFERROR(__xludf.DUMMYFUNCTION("GOOGLETRANSLATE(B18555,""en"",""zh-CN"")"),"之后，那个女人把土豆放在碗里，然后轻松剥去土豆。")</f>
        <v>之后，那个女人把土豆放在碗里，然后轻松剥去土豆。</v>
      </c>
    </row>
    <row r="18556">
      <c r="A18556" s="4" t="s">
        <v>23345</v>
      </c>
      <c r="B18556" s="4" t="s">
        <v>23346</v>
      </c>
      <c r="C18556" s="5" t="str">
        <f>IFERROR(__xludf.DUMMYFUNCTION("GOOGLETRANSLATE(B18556,""en"",""zh-CN"")"),"有一个有许多树木和灌木的花园。")</f>
        <v>有一个有许多树木和灌木的花园。</v>
      </c>
    </row>
    <row r="18557">
      <c r="A18557" s="4" t="s">
        <v>23345</v>
      </c>
      <c r="B18557" s="4" t="s">
        <v>23347</v>
      </c>
      <c r="C18557" s="5" t="str">
        <f>IFERROR(__xludf.DUMMYFUNCTION("GOOGLETRANSLATE(B18557,""en"",""zh-CN"")"),"有一个男人使用对冲和修剪设备修剪灌木丛。")</f>
        <v>有一个男人使用对冲和修剪设备修剪灌木丛。</v>
      </c>
    </row>
    <row r="18558">
      <c r="A18558" s="4" t="s">
        <v>23345</v>
      </c>
      <c r="B18558" s="4" t="s">
        <v>23348</v>
      </c>
      <c r="C18558" s="5" t="str">
        <f>IFERROR(__xludf.DUMMYFUNCTION("GOOGLETRANSLATE(B18558,""en"",""zh-CN"")"),"另一个人正在向草坪和花园护理提供指示。")</f>
        <v>另一个人正在向草坪和花园护理提供指示。</v>
      </c>
    </row>
    <row r="18559">
      <c r="A18559" s="4" t="s">
        <v>23345</v>
      </c>
      <c r="B18559" s="4" t="s">
        <v>23349</v>
      </c>
      <c r="C18559" s="5" t="str">
        <f>IFERROR(__xludf.DUMMYFUNCTION("GOOGLETRANSLATE(B18559,""en"",""zh-CN"")"),"该男子爬上一个高大的梯子，几次修剪树木和灌木丛。")</f>
        <v>该男子爬上一个高大的梯子，几次修剪树木和灌木丛。</v>
      </c>
    </row>
    <row r="18560">
      <c r="A18560" s="4" t="s">
        <v>23345</v>
      </c>
      <c r="B18560" s="4" t="s">
        <v>23350</v>
      </c>
      <c r="C18560" s="5" t="str">
        <f>IFERROR(__xludf.DUMMYFUNCTION("GOOGLETRANSLATE(B18560,""en"",""zh-CN"")"),"他四处走动，修剪树篱。")</f>
        <v>他四处走动，修剪树篱。</v>
      </c>
    </row>
    <row r="18561">
      <c r="A18561" s="4" t="s">
        <v>23345</v>
      </c>
      <c r="B18561" s="6" t="s">
        <v>23351</v>
      </c>
      <c r="C18561" s="5" t="str">
        <f>IFERROR(__xludf.DUMMYFUNCTION("GOOGLETRANSLATE(B18561,""en"",""zh-CN"")"),"讲师继续谈论园艺过程，该男子修剪了树篱，这些树篱在房屋附近形成障碍。")</f>
        <v>讲师继续谈论园艺过程，该男子修剪了树篱，这些树篱在房屋附近形成障碍。</v>
      </c>
    </row>
    <row r="18562">
      <c r="A18562" s="4" t="s">
        <v>23345</v>
      </c>
      <c r="B18562" s="4" t="s">
        <v>23352</v>
      </c>
      <c r="C18562" s="5" t="str">
        <f>IFERROR(__xludf.DUMMYFUNCTION("GOOGLETRANSLATE(B18562,""en"",""zh-CN"")"),"讲师再次向观众解释过程。")</f>
        <v>讲师再次向观众解释过程。</v>
      </c>
    </row>
    <row r="18563">
      <c r="A18563" s="4" t="s">
        <v>23345</v>
      </c>
      <c r="B18563" s="6" t="s">
        <v>23353</v>
      </c>
      <c r="C18563" s="5" t="str">
        <f>IFERROR(__xludf.DUMMYFUNCTION("GOOGLETRANSLATE(B18563,""en"",""zh-CN"")"),"场景变成了一个繁忙的城市中一个奇怪的雕像，最后感谢您观看消息。")</f>
        <v>场景变成了一个繁忙的城市中一个奇怪的雕像，最后感谢您观看消息。</v>
      </c>
    </row>
    <row r="18564">
      <c r="A18564" s="4" t="s">
        <v>23354</v>
      </c>
      <c r="B18564" s="4" t="s">
        <v>23355</v>
      </c>
      <c r="C18564" s="5" t="str">
        <f>IFERROR(__xludf.DUMMYFUNCTION("GOOGLETRANSLATE(B18564,""en"",""zh-CN"")"),"一位戴着内衣的女人坐在镜头挥舞的沙发上。")</f>
        <v>一位戴着内衣的女人坐在镜头挥舞的沙发上。</v>
      </c>
    </row>
    <row r="18565">
      <c r="A18565" s="4" t="s">
        <v>23354</v>
      </c>
      <c r="B18565" s="4" t="s">
        <v>23356</v>
      </c>
      <c r="C18565" s="5" t="str">
        <f>IFERROR(__xludf.DUMMYFUNCTION("GOOGLETRANSLATE(B18565,""en"",""zh-CN"")"),"她打开一包香烟并点亮。")</f>
        <v>她打开一包香烟并点亮。</v>
      </c>
    </row>
    <row r="18566">
      <c r="A18566" s="4" t="s">
        <v>23354</v>
      </c>
      <c r="B18566" s="4" t="s">
        <v>23357</v>
      </c>
      <c r="C18566" s="5" t="str">
        <f>IFERROR(__xludf.DUMMYFUNCTION("GOOGLETRANSLATE(B18566,""en"",""zh-CN"")"),"她看着相机时继续坐着吸烟。")</f>
        <v>她看着相机时继续坐着吸烟。</v>
      </c>
    </row>
    <row r="18567">
      <c r="A18567" s="4" t="s">
        <v>23358</v>
      </c>
      <c r="B18567" s="4" t="s">
        <v>23359</v>
      </c>
      <c r="C18567" s="5" t="str">
        <f>IFERROR(__xludf.DUMMYFUNCTION("GOOGLETRANSLATE(B18567,""en"",""zh-CN"")"),"一位女士站在水槽附近的厨房里讨论。")</f>
        <v>一位女士站在水槽附近的厨房里讨论。</v>
      </c>
    </row>
    <row r="18568">
      <c r="A18568" s="4" t="s">
        <v>23358</v>
      </c>
      <c r="B18568" s="4" t="s">
        <v>23360</v>
      </c>
      <c r="C18568" s="5" t="str">
        <f>IFERROR(__xludf.DUMMYFUNCTION("GOOGLETRANSLATE(B18568,""en"",""zh-CN"")"),"这位女士在水槽水运行时拿着海绵。")</f>
        <v>这位女士在水槽水运行时拿着海绵。</v>
      </c>
    </row>
    <row r="18569">
      <c r="A18569" s="4" t="s">
        <v>23358</v>
      </c>
      <c r="B18569" s="4" t="s">
        <v>23361</v>
      </c>
      <c r="C18569" s="5" t="str">
        <f>IFERROR(__xludf.DUMMYFUNCTION("GOOGLETRANSLATE(B18569,""en"",""zh-CN"")"),"这位女士正在浸泡在肥皂水中。")</f>
        <v>这位女士正在浸泡在肥皂水中。</v>
      </c>
    </row>
    <row r="18570">
      <c r="A18570" s="4" t="s">
        <v>23362</v>
      </c>
      <c r="B18570" s="4" t="s">
        <v>23363</v>
      </c>
      <c r="C18570" s="5" t="str">
        <f>IFERROR(__xludf.DUMMYFUNCTION("GOOGLETRANSLATE(B18570,""en"",""zh-CN"")"),"一个穿着白色连衣裙的女人在圆形和树木附近的腹部跳舞。")</f>
        <v>一个穿着白色连衣裙的女人在圆形和树木附近的腹部跳舞。</v>
      </c>
    </row>
    <row r="18571">
      <c r="A18571" s="4" t="s">
        <v>23362</v>
      </c>
      <c r="B18571" s="4" t="s">
        <v>23364</v>
      </c>
      <c r="C18571" s="5" t="str">
        <f>IFERROR(__xludf.DUMMYFUNCTION("GOOGLETRANSLATE(B18571,""en"",""zh-CN"")"),"那个女人跳舞时摇晃臀部。")</f>
        <v>那个女人跳舞时摇晃臀部。</v>
      </c>
    </row>
    <row r="18572">
      <c r="A18572" s="4" t="s">
        <v>23362</v>
      </c>
      <c r="B18572" s="4" t="s">
        <v>23365</v>
      </c>
      <c r="C18572" s="5" t="str">
        <f>IFERROR(__xludf.DUMMYFUNCTION("GOOGLETRANSLATE(B18572,""en"",""zh-CN"")"),"积分出现在屏幕上。")</f>
        <v>积分出现在屏幕上。</v>
      </c>
    </row>
    <row r="18573">
      <c r="A18573" s="4" t="s">
        <v>23366</v>
      </c>
      <c r="B18573" s="4" t="s">
        <v>23367</v>
      </c>
      <c r="C18573" s="5" t="str">
        <f>IFERROR(__xludf.DUMMYFUNCTION("GOOGLETRANSLATE(B18573,""en"",""zh-CN"")"),"显示了一个射击玻璃，里面充满了三种颜色的液体。")</f>
        <v>显示了一个射击玻璃，里面充满了三种颜色的液体。</v>
      </c>
    </row>
    <row r="18574">
      <c r="A18574" s="4" t="s">
        <v>23366</v>
      </c>
      <c r="B18574" s="4" t="s">
        <v>23368</v>
      </c>
      <c r="C18574" s="5" t="str">
        <f>IFERROR(__xludf.DUMMYFUNCTION("GOOGLETRANSLATE(B18574,""en"",""zh-CN"")"),"显示了几瓶不同颜色的醇。")</f>
        <v>显示了几瓶不同颜色的醇。</v>
      </c>
    </row>
    <row r="18575">
      <c r="A18575" s="4" t="s">
        <v>23366</v>
      </c>
      <c r="B18575" s="4" t="s">
        <v>23369</v>
      </c>
      <c r="C18575" s="5" t="str">
        <f>IFERROR(__xludf.DUMMYFUNCTION("GOOGLETRANSLATE(B18575,""en"",""zh-CN"")"),"将液体一次倒入眼镜中，形成三色饮料。")</f>
        <v>将液体一次倒入眼镜中，形成三色饮料。</v>
      </c>
    </row>
    <row r="18576">
      <c r="A18576" s="4" t="s">
        <v>23370</v>
      </c>
      <c r="B18576" s="4" t="s">
        <v>23371</v>
      </c>
      <c r="C18576" s="5" t="str">
        <f>IFERROR(__xludf.DUMMYFUNCTION("GOOGLETRANSLATE(B18576,""en"",""zh-CN"")"),"穿着衣服衬衫的男人在玻璃容器的喷口上敲打布，以使其潮湿。")</f>
        <v>穿着衣服衬衫的男人在玻璃容器的喷口上敲打布，以使其潮湿。</v>
      </c>
    </row>
    <row r="18577">
      <c r="A18577" s="4" t="s">
        <v>23370</v>
      </c>
      <c r="B18577" s="4" t="s">
        <v>23372</v>
      </c>
      <c r="C18577" s="5" t="str">
        <f>IFERROR(__xludf.DUMMYFUNCTION("GOOGLETRANSLATE(B18577,""en"",""zh-CN"")"),"该名男子用包裹在索引上的布和中等额的鞋子擦洗鞋子。")</f>
        <v>该名男子用包裹在索引上的布和中等额的鞋子擦洗鞋子。</v>
      </c>
    </row>
    <row r="18578">
      <c r="A18578" s="4" t="s">
        <v>23370</v>
      </c>
      <c r="B18578" s="4" t="s">
        <v>23373</v>
      </c>
      <c r="C18578" s="5" t="str">
        <f>IFERROR(__xludf.DUMMYFUNCTION("GOOGLETRANSLATE(B18578,""en"",""zh-CN"")"),"该男子将布在鞋抛光罐中擦布，以获取更多物质。")</f>
        <v>该男子将布在鞋抛光罐中擦布，以获取更多物质。</v>
      </c>
    </row>
    <row r="18579">
      <c r="A18579" s="4" t="s">
        <v>23370</v>
      </c>
      <c r="B18579" s="4" t="s">
        <v>23374</v>
      </c>
      <c r="C18579" s="5" t="str">
        <f>IFERROR(__xludf.DUMMYFUNCTION("GOOGLETRANSLATE(B18579,""en"",""zh-CN"")"),"该男子继续在鞋子的脚趾周围抛光表演。")</f>
        <v>该男子继续在鞋子的脚趾周围抛光表演。</v>
      </c>
    </row>
    <row r="18580">
      <c r="A18580" s="4" t="s">
        <v>23370</v>
      </c>
      <c r="B18580" s="4" t="s">
        <v>23375</v>
      </c>
      <c r="C18580" s="5" t="str">
        <f>IFERROR(__xludf.DUMMYFUNCTION("GOOGLETRANSLATE(B18580,""en"",""zh-CN"")"),"该男子再次将布擦在锡罐中以获得更多的抛光。")</f>
        <v>该男子再次将布擦在锡罐中以获得更多的抛光。</v>
      </c>
    </row>
    <row r="18581">
      <c r="A18581" s="4" t="s">
        <v>23370</v>
      </c>
      <c r="B18581" s="6" t="s">
        <v>23376</v>
      </c>
      <c r="C18581" s="5" t="str">
        <f>IFERROR(__xludf.DUMMYFUNCTION("GOOGLETRANSLATE(B18581,""en"",""zh-CN"")"),"该男子继续以圆形运动来抛光脚趾附近鞋子脚趾的表演。")</f>
        <v>该男子继续以圆形运动来抛光脚趾附近鞋子脚趾的表演。</v>
      </c>
    </row>
    <row r="18582">
      <c r="A18582" s="4" t="s">
        <v>23377</v>
      </c>
      <c r="B18582" s="4" t="s">
        <v>23378</v>
      </c>
      <c r="C18582" s="5" t="str">
        <f>IFERROR(__xludf.DUMMYFUNCTION("GOOGLETRANSLATE(B18582,""en"",""zh-CN"")"),"两个女孩表现得很愚蠢，并在相机上扔了标志。")</f>
        <v>两个女孩表现得很愚蠢，并在相机上扔了标志。</v>
      </c>
    </row>
    <row r="18583">
      <c r="A18583" s="4" t="s">
        <v>23377</v>
      </c>
      <c r="B18583" s="4" t="s">
        <v>23379</v>
      </c>
      <c r="C18583" s="5" t="str">
        <f>IFERROR(__xludf.DUMMYFUNCTION("GOOGLETRANSLATE(B18583,""en"",""zh-CN"")"),"然后，他们轮流在草坪上做车轮。")</f>
        <v>然后，他们轮流在草坪上做车轮。</v>
      </c>
    </row>
    <row r="18584">
      <c r="A18584" s="4" t="s">
        <v>23377</v>
      </c>
      <c r="B18584" s="4" t="s">
        <v>23380</v>
      </c>
      <c r="C18584" s="5" t="str">
        <f>IFERROR(__xludf.DUMMYFUNCTION("GOOGLETRANSLATE(B18584,""en"",""zh-CN"")"),"他们进行前后翻转，然后朝相机奔跑。")</f>
        <v>他们进行前后翻转，然后朝相机奔跑。</v>
      </c>
    </row>
    <row r="18585">
      <c r="A18585" s="4" t="s">
        <v>23381</v>
      </c>
      <c r="B18585" s="4" t="s">
        <v>23382</v>
      </c>
      <c r="C18585" s="5" t="str">
        <f>IFERROR(__xludf.DUMMYFUNCTION("GOOGLETRANSLATE(B18585,""en"",""zh-CN"")"),"一个男人站在厨房里的成分和烹饪工具的厨房里。")</f>
        <v>一个男人站在厨房里的成分和烹饪工具的厨房里。</v>
      </c>
    </row>
    <row r="18586">
      <c r="A18586" s="4" t="s">
        <v>23381</v>
      </c>
      <c r="B18586" s="4" t="s">
        <v>23383</v>
      </c>
      <c r="C18586" s="5" t="str">
        <f>IFERROR(__xludf.DUMMYFUNCTION("GOOGLETRANSLATE(B18586,""en"",""zh-CN"")"),"他展示了将盛装倒在卷心菜沙拉上。")</f>
        <v>他展示了将盛装倒在卷心菜沙拉上。</v>
      </c>
    </row>
    <row r="18587">
      <c r="A18587" s="4" t="s">
        <v>23381</v>
      </c>
      <c r="B18587" s="4" t="s">
        <v>23384</v>
      </c>
      <c r="C18587" s="5" t="str">
        <f>IFERROR(__xludf.DUMMYFUNCTION("GOOGLETRANSLATE(B18587,""en"",""zh-CN"")"),"他解释了如何切碎瓜，创建片段进入他的沙拉。")</f>
        <v>他解释了如何切碎瓜，创建片段进入他的沙拉。</v>
      </c>
    </row>
    <row r="18588">
      <c r="A18588" s="4" t="s">
        <v>23381</v>
      </c>
      <c r="B18588" s="4" t="s">
        <v>23385</v>
      </c>
      <c r="C18588" s="5" t="str">
        <f>IFERROR(__xludf.DUMMYFUNCTION("GOOGLETRANSLATE(B18588,""en"",""zh-CN"")"),"然后，他将胡萝卜切碎，然后将沙拉移入碗中，然后用敷料淋上调味料。")</f>
        <v>然后，他将胡萝卜切碎，然后将沙拉移入碗中，然后用敷料淋上调味料。</v>
      </c>
    </row>
    <row r="18589">
      <c r="A18589" s="4" t="s">
        <v>23386</v>
      </c>
      <c r="B18589" s="6" t="s">
        <v>23387</v>
      </c>
      <c r="C18589" s="5" t="str">
        <f>IFERROR(__xludf.DUMMYFUNCTION("GOOGLETRANSLATE(B18589,""en"",""zh-CN"")"),"黑屏上出现了白色单词，上面写着“ gopro hero3+黑色使日常任务变得有趣的“割草”分辨率：1080p Superwide。")</f>
        <v>黑屏上出现了白色单词，上面写着“ gopro hero3+黑色使日常任务变得有趣的“割草”分辨率：1080p Superwide。</v>
      </c>
    </row>
    <row r="18590">
      <c r="A18590" s="4" t="s">
        <v>23386</v>
      </c>
      <c r="B18590" s="6" t="s">
        <v>23388</v>
      </c>
      <c r="C18590" s="5" t="str">
        <f>IFERROR(__xludf.DUMMYFUNCTION("GOOGLETRANSLATE(B18590,""en"",""zh-CN"")"),"从割草机顶部的景色显示，一个女人在割草机的拉手上拉动。")</f>
        <v>从割草机顶部的景色显示，一个女人在割草机的拉手上拉动。</v>
      </c>
    </row>
    <row r="18591">
      <c r="A18591" s="4" t="s">
        <v>23386</v>
      </c>
      <c r="B18591" s="6" t="s">
        <v>23389</v>
      </c>
      <c r="C18591" s="5" t="str">
        <f>IFERROR(__xludf.DUMMYFUNCTION("GOOGLETRANSLATE(B18591,""en"",""zh-CN"")"),"景色变为割草机和割草机的景色，沿着充满绿草的院子移动。")</f>
        <v>景色变为割草机和割草机的景色，沿着充满绿草的院子移动。</v>
      </c>
    </row>
    <row r="18592">
      <c r="A18592" s="4" t="s">
        <v>23386</v>
      </c>
      <c r="B18592" s="6" t="s">
        <v>23390</v>
      </c>
      <c r="C18592" s="5" t="str">
        <f>IFERROR(__xludf.DUMMYFUNCTION("GOOGLETRANSLATE(B18592,""en"",""zh-CN"")"),"观点从草坪割草机的观点和整个女人的视野来回变化。")</f>
        <v>观点从草坪割草机的观点和整个女人的视野来回变化。</v>
      </c>
    </row>
    <row r="18593">
      <c r="A18593" s="4" t="s">
        <v>23391</v>
      </c>
      <c r="B18593" s="4" t="s">
        <v>23392</v>
      </c>
      <c r="C18593" s="5" t="str">
        <f>IFERROR(__xludf.DUMMYFUNCTION("GOOGLETRANSLATE(B18593,""en"",""zh-CN"")"),"看到一大批人坐在彼此锻炼的自行车上。")</f>
        <v>看到一大批人坐在彼此锻炼的自行车上。</v>
      </c>
    </row>
    <row r="18594">
      <c r="A18594" s="4" t="s">
        <v>23391</v>
      </c>
      <c r="B18594" s="4" t="s">
        <v>23393</v>
      </c>
      <c r="C18594" s="5" t="str">
        <f>IFERROR(__xludf.DUMMYFUNCTION("GOOGLETRANSLATE(B18594,""en"",""zh-CN"")"),"一个女人在相机上说话，而更多的人骑着镜头。")</f>
        <v>一个女人在相机上说话，而更多的人骑着镜头。</v>
      </c>
    </row>
    <row r="18595">
      <c r="A18595" s="4" t="s">
        <v>23391</v>
      </c>
      <c r="B18595" s="4" t="s">
        <v>23394</v>
      </c>
      <c r="C18595" s="5" t="str">
        <f>IFERROR(__xludf.DUMMYFUNCTION("GOOGLETRANSLATE(B18595,""en"",""zh-CN"")"),"女人带领班级，并与摄像机和其他人说话。")</f>
        <v>女人带领班级，并与摄像机和其他人说话。</v>
      </c>
    </row>
    <row r="18596">
      <c r="A18596" s="4" t="s">
        <v>23395</v>
      </c>
      <c r="B18596" s="6" t="s">
        <v>23396</v>
      </c>
      <c r="C18596" s="5" t="str">
        <f>IFERROR(__xludf.DUMMYFUNCTION("GOOGLETRANSLATE(B18596,""en"",""zh-CN"")"),"一只手正在显示弯曲的刀片刀，然后他在其中显示了带有白纸的冰片。")</f>
        <v>一只手正在显示弯曲的刀片刀，然后他在其中显示了带有白纸的冰片。</v>
      </c>
    </row>
    <row r="18597">
      <c r="A18597" s="4" t="s">
        <v>23395</v>
      </c>
      <c r="B18597" s="4" t="s">
        <v>23397</v>
      </c>
      <c r="C18597" s="5" t="str">
        <f>IFERROR(__xludf.DUMMYFUNCTION("GOOGLETRANSLATE(B18597,""en"",""zh-CN"")"),"该男子将刀片扔到胶合板上，然后他扔了冰片。")</f>
        <v>该男子将刀片扔到胶合板上，然后他扔了冰片。</v>
      </c>
    </row>
    <row r="18598">
      <c r="A18598" s="4" t="s">
        <v>23398</v>
      </c>
      <c r="B18598" s="4" t="s">
        <v>23399</v>
      </c>
      <c r="C18598" s="5" t="str">
        <f>IFERROR(__xludf.DUMMYFUNCTION("GOOGLETRANSLATE(B18598,""en"",""zh-CN"")"),"一个男孩将新鲜出炉的饼干放在冷却架上。")</f>
        <v>一个男孩将新鲜出炉的饼干放在冷却架上。</v>
      </c>
    </row>
    <row r="18599">
      <c r="A18599" s="4" t="s">
        <v>23398</v>
      </c>
      <c r="B18599" s="4" t="s">
        <v>23400</v>
      </c>
      <c r="C18599" s="5" t="str">
        <f>IFERROR(__xludf.DUMMYFUNCTION("GOOGLETRANSLATE(B18599,""en"",""zh-CN"")"),"一个人被卡住了，他舔了刮刀。")</f>
        <v>一个人被卡住了，他舔了刮刀。</v>
      </c>
    </row>
    <row r="18600">
      <c r="A18600" s="4" t="s">
        <v>23401</v>
      </c>
      <c r="B18600" s="6" t="s">
        <v>23402</v>
      </c>
      <c r="C18600" s="5" t="str">
        <f>IFERROR(__xludf.DUMMYFUNCTION("GOOGLETRANSLATE(B18600,""en"",""zh-CN"")"),"看到一个人的手将各种大理石推到一条长长的轨道上，看着他们着陆的地方。")</f>
        <v>看到一个人的手将各种大理石推到一条长长的轨道上，看着他们着陆的地方。</v>
      </c>
    </row>
    <row r="18601">
      <c r="A18601" s="4" t="s">
        <v>23401</v>
      </c>
      <c r="B18601" s="4" t="s">
        <v>23403</v>
      </c>
      <c r="C18601" s="5" t="str">
        <f>IFERROR(__xludf.DUMMYFUNCTION("GOOGLETRANSLATE(B18601,""en"",""zh-CN"")"),"当相机上下移动以捕捉动作时，他们将更多的大理石推动。")</f>
        <v>当相机上下移动以捕捉动作时，他们将更多的大理石推动。</v>
      </c>
    </row>
    <row r="18602">
      <c r="A18602" s="4" t="s">
        <v>23404</v>
      </c>
      <c r="B18602" s="4" t="s">
        <v>23405</v>
      </c>
      <c r="C18602" s="5" t="str">
        <f>IFERROR(__xludf.DUMMYFUNCTION("GOOGLETRANSLATE(B18602,""en"",""zh-CN"")"),"看到一个年轻人对镜头说话，并导致他试图解决一个rubix立方体。")</f>
        <v>看到一个年轻人对镜头说话，并导致他试图解决一个rubix立方体。</v>
      </c>
    </row>
    <row r="18603">
      <c r="A18603" s="4" t="s">
        <v>23404</v>
      </c>
      <c r="B18603" s="4" t="s">
        <v>23406</v>
      </c>
      <c r="C18603" s="5" t="str">
        <f>IFERROR(__xludf.DUMMYFUNCTION("GOOGLETRANSLATE(B18603,""en"",""zh-CN"")"),"然后，男孩解决了多维数据集，然后将相机倒回去展示他的时间。")</f>
        <v>然后，男孩解决了多维数据集，然后将相机倒回去展示他的时间。</v>
      </c>
    </row>
    <row r="18604">
      <c r="A18604" s="4" t="s">
        <v>23407</v>
      </c>
      <c r="B18604" s="6" t="s">
        <v>23408</v>
      </c>
      <c r="C18604" s="5" t="str">
        <f>IFERROR(__xludf.DUMMYFUNCTION("GOOGLETRANSLATE(B18604,""en"",""zh-CN"")"),"看到一个男人用水烟，将烟雾吹到空中，并导致他刮擦烟草并四处开车。")</f>
        <v>看到一个男人用水烟，将烟雾吹到空中，并导致他刮擦烟草并四处开车。</v>
      </c>
    </row>
    <row r="18605">
      <c r="A18605" s="4" t="s">
        <v>23407</v>
      </c>
      <c r="B18605" s="4" t="s">
        <v>23409</v>
      </c>
      <c r="C18605" s="5" t="str">
        <f>IFERROR(__xludf.DUMMYFUNCTION("GOOGLETRANSLATE(B18605,""en"",""zh-CN"")"),"他与镜头说话，然后将其倒回水烟，然后开始抽烟。")</f>
        <v>他与镜头说话，然后将其倒回水烟，然后开始抽烟。</v>
      </c>
    </row>
    <row r="18606">
      <c r="A18606" s="4" t="s">
        <v>23410</v>
      </c>
      <c r="B18606" s="4" t="s">
        <v>23411</v>
      </c>
      <c r="C18606" s="5" t="str">
        <f>IFERROR(__xludf.DUMMYFUNCTION("GOOGLETRANSLATE(B18606,""en"",""zh-CN"")"),"一个男人站在手工艺桌子后面的棚子里和镜头说话。")</f>
        <v>一个男人站在手工艺桌子后面的棚子里和镜头说话。</v>
      </c>
    </row>
    <row r="18607">
      <c r="A18607" s="4" t="s">
        <v>23410</v>
      </c>
      <c r="B18607" s="6" t="s">
        <v>23412</v>
      </c>
      <c r="C18607" s="5" t="str">
        <f>IFERROR(__xludf.DUMMYFUNCTION("GOOGLETRANSLATE(B18607,""en"",""zh-CN"")"),"接下来，一个穿着海军制服的男人开始沿着道路行走，最终与男人一起进入房间。")</f>
        <v>接下来，一个穿着海军制服的男人开始沿着道路行走，最终与男人一起进入房间。</v>
      </c>
    </row>
    <row r="18608">
      <c r="A18608" s="4" t="s">
        <v>23410</v>
      </c>
      <c r="B18608" s="4" t="s">
        <v>23413</v>
      </c>
      <c r="C18608" s="5" t="str">
        <f>IFERROR(__xludf.DUMMYFUNCTION("GOOGLETRANSLATE(B18608,""en"",""zh-CN"")"),"他们两个开始用白布和绿色刷子抛光一双靴子。")</f>
        <v>他们两个开始用白布和绿色刷子抛光一双靴子。</v>
      </c>
    </row>
    <row r="18609">
      <c r="A18609" s="4" t="s">
        <v>23410</v>
      </c>
      <c r="B18609" s="6" t="s">
        <v>23414</v>
      </c>
      <c r="C18609" s="5" t="str">
        <f>IFERROR(__xludf.DUMMYFUNCTION("GOOGLETRANSLATE(B18609,""en"",""zh-CN"")"),"当他们完成时，绿色衬衫的男人会得到一个补丁，并在屏幕上放一个尖端的屏幕，以适当照顾您的靴子。")</f>
        <v>当他们完成时，绿色衬衫的男人会得到一个补丁，并在屏幕上放一个尖端的屏幕，以适当照顾您的靴子。</v>
      </c>
    </row>
    <row r="18610">
      <c r="A18610" s="4" t="s">
        <v>23415</v>
      </c>
      <c r="B18610" s="4" t="s">
        <v>1251</v>
      </c>
      <c r="C18610" s="5" t="str">
        <f>IFERROR(__xludf.DUMMYFUNCTION("GOOGLETRANSLATE(B18610,""en"",""zh-CN"")"),"显示了剪辑的信用。")</f>
        <v>显示了剪辑的信用。</v>
      </c>
    </row>
    <row r="18611">
      <c r="A18611" s="4" t="s">
        <v>23415</v>
      </c>
      <c r="B18611" s="4" t="s">
        <v>23416</v>
      </c>
      <c r="C18611" s="5" t="str">
        <f>IFERROR(__xludf.DUMMYFUNCTION("GOOGLETRANSLATE(B18611,""en"",""zh-CN"")"),"人们正在骑自行车。")</f>
        <v>人们正在骑自行车。</v>
      </c>
    </row>
    <row r="18612">
      <c r="A18612" s="4" t="s">
        <v>23415</v>
      </c>
      <c r="B18612" s="4" t="s">
        <v>23417</v>
      </c>
      <c r="C18612" s="5" t="str">
        <f>IFERROR(__xludf.DUMMYFUNCTION("GOOGLETRANSLATE(B18612,""en"",""zh-CN"")"),"一个人试图开火。")</f>
        <v>一个人试图开火。</v>
      </c>
    </row>
    <row r="18613">
      <c r="A18613" s="4" t="s">
        <v>23415</v>
      </c>
      <c r="B18613" s="4" t="s">
        <v>23418</v>
      </c>
      <c r="C18613" s="5" t="str">
        <f>IFERROR(__xludf.DUMMYFUNCTION("GOOGLETRANSLATE(B18613,""en"",""zh-CN"")"),"该人喂火并将其移至洞中。")</f>
        <v>该人喂火并将其移至洞中。</v>
      </c>
    </row>
    <row r="18614">
      <c r="A18614" s="4" t="s">
        <v>23415</v>
      </c>
      <c r="B18614" s="4" t="s">
        <v>573</v>
      </c>
      <c r="C18614" s="5" t="str">
        <f>IFERROR(__xludf.DUMMYFUNCTION("GOOGLETRANSLATE(B18614,""en"",""zh-CN"")"),"显示了视频的积分。")</f>
        <v>显示了视频的积分。</v>
      </c>
    </row>
    <row r="18615">
      <c r="A18615" s="4" t="s">
        <v>23419</v>
      </c>
      <c r="B18615" s="4" t="s">
        <v>23420</v>
      </c>
      <c r="C18615" s="5" t="str">
        <f>IFERROR(__xludf.DUMMYFUNCTION("GOOGLETRANSLATE(B18615,""en"",""zh-CN"")"),"穿着衣服的女孩正在穿越猴子酒吧。")</f>
        <v>穿着衣服的女孩正在穿越猴子酒吧。</v>
      </c>
    </row>
    <row r="18616">
      <c r="A18616" s="4" t="s">
        <v>23419</v>
      </c>
      <c r="B18616" s="4" t="s">
        <v>23421</v>
      </c>
      <c r="C18616" s="5" t="str">
        <f>IFERROR(__xludf.DUMMYFUNCTION("GOOGLETRANSLATE(B18616,""en"",""zh-CN"")"),"她走到尽头，踩在一块岩石上。")</f>
        <v>她走到尽头，踩在一块岩石上。</v>
      </c>
    </row>
    <row r="18617">
      <c r="A18617" s="4" t="s">
        <v>23419</v>
      </c>
      <c r="B18617" s="4" t="s">
        <v>23422</v>
      </c>
      <c r="C18617" s="5" t="str">
        <f>IFERROR(__xludf.DUMMYFUNCTION("GOOGLETRANSLATE(B18617,""en"",""zh-CN"")"),"一个穿着蓝色衬衫的男孩站在她身后。")</f>
        <v>一个穿着蓝色衬衫的男孩站在她身后。</v>
      </c>
    </row>
    <row r="18618">
      <c r="A18618" s="4" t="s">
        <v>23423</v>
      </c>
      <c r="B18618" s="4" t="s">
        <v>23424</v>
      </c>
      <c r="C18618" s="5" t="str">
        <f>IFERROR(__xludf.DUMMYFUNCTION("GOOGLETRANSLATE(B18618,""en"",""zh-CN"")"),"父亲和女儿在瓷砖门廊上玩苏格兰威士忌。")</f>
        <v>父亲和女儿在瓷砖门廊上玩苏格兰威士忌。</v>
      </c>
    </row>
    <row r="18619">
      <c r="A18619" s="4" t="s">
        <v>23423</v>
      </c>
      <c r="B18619" s="6" t="s">
        <v>23425</v>
      </c>
      <c r="C18619" s="5" t="str">
        <f>IFERROR(__xludf.DUMMYFUNCTION("GOOGLETRANSLATE(B18619,""en"",""zh-CN"")"),"这个女孩穿着蓝色无袖衬衫和短裤，父亲穿着灰色衬衫和短裤。")</f>
        <v>这个女孩穿着蓝色无袖衬衫和短裤，父亲穿着灰色衬衫和短裤。</v>
      </c>
    </row>
    <row r="18620">
      <c r="A18620" s="4" t="s">
        <v>23423</v>
      </c>
      <c r="B18620" s="4" t="s">
        <v>23426</v>
      </c>
      <c r="C18620" s="5" t="str">
        <f>IFERROR(__xludf.DUMMYFUNCTION("GOOGLETRANSLATE(B18620,""en"",""zh-CN"")"),"他们轮流跳上正方形。")</f>
        <v>他们轮流跳上正方形。</v>
      </c>
    </row>
    <row r="18621">
      <c r="A18621" s="4" t="s">
        <v>23423</v>
      </c>
      <c r="B18621" s="4" t="s">
        <v>23427</v>
      </c>
      <c r="C18621" s="5" t="str">
        <f>IFERROR(__xludf.DUMMYFUNCTION("GOOGLETRANSLATE(B18621,""en"",""zh-CN"")"),"然后，她的小女孩和她的母亲一起开始跳上方形。")</f>
        <v>然后，她的小女孩和她的母亲一起开始跳上方形。</v>
      </c>
    </row>
    <row r="18622">
      <c r="A18622" s="4" t="s">
        <v>23423</v>
      </c>
      <c r="B18622" s="4" t="s">
        <v>23428</v>
      </c>
      <c r="C18622" s="5" t="str">
        <f>IFERROR(__xludf.DUMMYFUNCTION("GOOGLETRANSLATE(B18622,""en"",""zh-CN"")"),"她给女儿一个高五。")</f>
        <v>她给女儿一个高五。</v>
      </c>
    </row>
    <row r="18623">
      <c r="A18623" s="4" t="s">
        <v>23423</v>
      </c>
      <c r="B18623" s="4" t="s">
        <v>23429</v>
      </c>
      <c r="C18623" s="5" t="str">
        <f>IFERROR(__xludf.DUMMYFUNCTION("GOOGLETRANSLATE(B18623,""en"",""zh-CN"")"),"然后，女孩开始跳跃并跳过正方形。")</f>
        <v>然后，女孩开始跳跃并跳过正方形。</v>
      </c>
    </row>
    <row r="18624">
      <c r="A18624" s="4" t="s">
        <v>23430</v>
      </c>
      <c r="B18624" s="4" t="s">
        <v>23431</v>
      </c>
      <c r="C18624" s="5" t="str">
        <f>IFERROR(__xludf.DUMMYFUNCTION("GOOGLETRANSLATE(B18624,""en"",""zh-CN"")"),"一个人站在水槽的前面。")</f>
        <v>一个人站在水槽的前面。</v>
      </c>
    </row>
    <row r="18625">
      <c r="A18625" s="4" t="s">
        <v>23430</v>
      </c>
      <c r="B18625" s="4" t="s">
        <v>23432</v>
      </c>
      <c r="C18625" s="5" t="str">
        <f>IFERROR(__xludf.DUMMYFUNCTION("GOOGLETRANSLATE(B18625,""en"",""zh-CN"")"),"然后，男人把肥皂放在布上。")</f>
        <v>然后，男人把肥皂放在布上。</v>
      </c>
    </row>
    <row r="18626">
      <c r="A18626" s="4" t="s">
        <v>23430</v>
      </c>
      <c r="B18626" s="4" t="s">
        <v>23433</v>
      </c>
      <c r="C18626" s="5" t="str">
        <f>IFERROR(__xludf.DUMMYFUNCTION("GOOGLETRANSLATE(B18626,""en"",""zh-CN"")"),"之后，男人在室内和内部清洗锅。")</f>
        <v>之后，男人在室内和内部清洗锅。</v>
      </c>
    </row>
    <row r="18627">
      <c r="A18627" s="4" t="s">
        <v>23430</v>
      </c>
      <c r="B18627" s="4" t="s">
        <v>23434</v>
      </c>
      <c r="C18627" s="5" t="str">
        <f>IFERROR(__xludf.DUMMYFUNCTION("GOOGLETRANSLATE(B18627,""en"",""zh-CN"")"),"接下来，那个男人转身干双手。")</f>
        <v>接下来，那个男人转身干双手。</v>
      </c>
    </row>
    <row r="18628">
      <c r="A18628" s="4" t="s">
        <v>23435</v>
      </c>
      <c r="B18628" s="4" t="s">
        <v>23436</v>
      </c>
      <c r="C18628" s="5" t="str">
        <f>IFERROR(__xludf.DUMMYFUNCTION("GOOGLETRANSLATE(B18628,""en"",""zh-CN"")"),"funkin一词在屏幕上，下面是百加迪鸡尾酒。")</f>
        <v>funkin一词在屏幕上，下面是百加迪鸡尾酒。</v>
      </c>
    </row>
    <row r="18629">
      <c r="A18629" s="4" t="s">
        <v>23435</v>
      </c>
      <c r="B18629" s="6" t="s">
        <v>23437</v>
      </c>
      <c r="C18629" s="5" t="str">
        <f>IFERROR(__xludf.DUMMYFUNCTION("GOOGLETRANSLATE(B18629,""en"",""zh-CN"")"),"一个穿着恩奇金衬衫的男人谈论并演示了如何从酒吧后面制作百加迪鸡尾酒。")</f>
        <v>一个穿着恩奇金衬衫的男人谈论并演示了如何从酒吧后面制作百加迪鸡尾酒。</v>
      </c>
    </row>
    <row r="18630">
      <c r="A18630" s="4" t="s">
        <v>23435</v>
      </c>
      <c r="B18630" s="4" t="s">
        <v>23438</v>
      </c>
      <c r="C18630" s="5" t="str">
        <f>IFERROR(__xludf.DUMMYFUNCTION("GOOGLETRANSLATE(B18630,""en"",""zh-CN"")"),"该男子正在向人们展示如何在马提尼酒杯中喝一杯。")</f>
        <v>该男子正在向人们展示如何在马提尼酒杯中喝一杯。</v>
      </c>
    </row>
    <row r="18631">
      <c r="A18631" s="4" t="s">
        <v>23435</v>
      </c>
      <c r="B18631" s="4" t="s">
        <v>23439</v>
      </c>
      <c r="C18631" s="5" t="str">
        <f>IFERROR(__xludf.DUMMYFUNCTION("GOOGLETRANSLATE(B18631,""en"",""zh-CN"")"),"该男子将食材放入普通玻璃杯中，同时展示他使用的成分瓶。")</f>
        <v>该男子将食材放入普通玻璃杯中，同时展示他使用的成分瓶。</v>
      </c>
    </row>
    <row r="18632">
      <c r="A18632" s="4" t="s">
        <v>23435</v>
      </c>
      <c r="B18632" s="4" t="s">
        <v>23440</v>
      </c>
      <c r="C18632" s="5" t="str">
        <f>IFERROR(__xludf.DUMMYFUNCTION("GOOGLETRANSLATE(B18632,""en"",""zh-CN"")"),"Funkin一词在屏幕上。")</f>
        <v>Funkin一词在屏幕上。</v>
      </c>
    </row>
    <row r="18633">
      <c r="A18633" s="4" t="s">
        <v>23441</v>
      </c>
      <c r="B18633" s="4" t="s">
        <v>23442</v>
      </c>
      <c r="C18633" s="5" t="str">
        <f>IFERROR(__xludf.DUMMYFUNCTION("GOOGLETRANSLATE(B18633,""en"",""zh-CN"")"),"一个男人站在质朴的客厅里，在袜子里玩风笛。")</f>
        <v>一个男人站在质朴的客厅里，在袜子里玩风笛。</v>
      </c>
    </row>
    <row r="18634">
      <c r="A18634" s="4" t="s">
        <v>23441</v>
      </c>
      <c r="B18634" s="4" t="s">
        <v>23443</v>
      </c>
      <c r="C18634" s="5" t="str">
        <f>IFERROR(__xludf.DUMMYFUNCTION("GOOGLETRANSLATE(B18634,""en"",""zh-CN"")"),"我们看到一个男人在他玩耍时敲打脚。")</f>
        <v>我们看到一个男人在他玩耍时敲打脚。</v>
      </c>
    </row>
    <row r="18635">
      <c r="A18635" s="4" t="s">
        <v>23441</v>
      </c>
      <c r="B18635" s="4" t="s">
        <v>23444</v>
      </c>
      <c r="C18635" s="5" t="str">
        <f>IFERROR(__xludf.DUMMYFUNCTION("GOOGLETRANSLATE(B18635,""en"",""zh-CN"")"),"该男子切换到他的另一脚敲击。")</f>
        <v>该男子切换到他的另一脚敲击。</v>
      </c>
    </row>
    <row r="18636">
      <c r="A18636" s="4" t="s">
        <v>23441</v>
      </c>
      <c r="B18636" s="4" t="s">
        <v>23445</v>
      </c>
      <c r="C18636" s="5" t="str">
        <f>IFERROR(__xludf.DUMMYFUNCTION("GOOGLETRANSLATE(B18636,""en"",""zh-CN"")"),"那个人结束了玩耍，擦脸。")</f>
        <v>那个人结束了玩耍，擦脸。</v>
      </c>
    </row>
    <row r="18637">
      <c r="A18637" s="4" t="s">
        <v>23446</v>
      </c>
      <c r="B18637" s="4" t="s">
        <v>23447</v>
      </c>
      <c r="C18637" s="5" t="str">
        <f>IFERROR(__xludf.DUMMYFUNCTION("GOOGLETRANSLATE(B18637,""en"",""zh-CN"")"),"看到一群老年人坐在公共汽车上互相讲话。")</f>
        <v>看到一群老年人坐在公共汽车上互相讲话。</v>
      </c>
    </row>
    <row r="18638">
      <c r="A18638" s="4" t="s">
        <v>23446</v>
      </c>
      <c r="B18638" s="4" t="s">
        <v>23448</v>
      </c>
      <c r="C18638" s="5" t="str">
        <f>IFERROR(__xludf.DUMMYFUNCTION("GOOGLETRANSLATE(B18638,""en"",""zh-CN"")"),"相机在公共汽车上摇晃，以显示更多的人坐着讲话。")</f>
        <v>相机在公共汽车上摇晃，以显示更多的人坐着讲话。</v>
      </c>
    </row>
    <row r="18639">
      <c r="A18639" s="4" t="s">
        <v>23446</v>
      </c>
      <c r="B18639" s="4" t="s">
        <v>23449</v>
      </c>
      <c r="C18639" s="5" t="str">
        <f>IFERROR(__xludf.DUMMYFUNCTION("GOOGLETRANSLATE(B18639,""en"",""zh-CN"")"),"看到一个女人在编织时与她旁边的男人说话。")</f>
        <v>看到一个女人在编织时与她旁边的男人说话。</v>
      </c>
    </row>
    <row r="18640">
      <c r="A18640" s="4" t="s">
        <v>23450</v>
      </c>
      <c r="B18640" s="4" t="s">
        <v>1251</v>
      </c>
      <c r="C18640" s="5" t="str">
        <f>IFERROR(__xludf.DUMMYFUNCTION("GOOGLETRANSLATE(B18640,""en"",""zh-CN"")"),"显示了剪辑的信用。")</f>
        <v>显示了剪辑的信用。</v>
      </c>
    </row>
    <row r="18641">
      <c r="A18641" s="4" t="s">
        <v>23450</v>
      </c>
      <c r="B18641" s="4" t="s">
        <v>23451</v>
      </c>
      <c r="C18641" s="5" t="str">
        <f>IFERROR(__xludf.DUMMYFUNCTION("GOOGLETRANSLATE(B18641,""en"",""zh-CN"")"),"伙计们在观众面前的舞台上跳舞。")</f>
        <v>伙计们在观众面前的舞台上跳舞。</v>
      </c>
    </row>
    <row r="18642">
      <c r="A18642" s="4" t="s">
        <v>23450</v>
      </c>
      <c r="B18642" s="4" t="s">
        <v>23452</v>
      </c>
      <c r="C18642" s="5" t="str">
        <f>IFERROR(__xludf.DUMMYFUNCTION("GOOGLETRANSLATE(B18642,""en"",""zh-CN"")"),"一个家伙马上跳出舞台并退出。")</f>
        <v>一个家伙马上跳出舞台并退出。</v>
      </c>
    </row>
    <row r="18643">
      <c r="A18643" s="4" t="s">
        <v>23450</v>
      </c>
      <c r="B18643" s="4" t="s">
        <v>573</v>
      </c>
      <c r="C18643" s="5" t="str">
        <f>IFERROR(__xludf.DUMMYFUNCTION("GOOGLETRANSLATE(B18643,""en"",""zh-CN"")"),"显示了视频的积分。")</f>
        <v>显示了视频的积分。</v>
      </c>
    </row>
    <row r="18644">
      <c r="A18644" s="4" t="s">
        <v>23453</v>
      </c>
      <c r="B18644" s="4" t="s">
        <v>23454</v>
      </c>
      <c r="C18644" s="5" t="str">
        <f>IFERROR(__xludf.DUMMYFUNCTION("GOOGLETRANSLATE(B18644,""en"",""zh-CN"")"),"一群女孩沿着壁架跳舞。")</f>
        <v>一群女孩沿着壁架跳舞。</v>
      </c>
    </row>
    <row r="18645">
      <c r="A18645" s="4" t="s">
        <v>23453</v>
      </c>
      <c r="B18645" s="4" t="s">
        <v>23455</v>
      </c>
      <c r="C18645" s="5" t="str">
        <f>IFERROR(__xludf.DUMMYFUNCTION("GOOGLETRANSLATE(B18645,""en"",""zh-CN"")"),"每个女孩优雅地在壁架上跳舞。")</f>
        <v>每个女孩优雅地在壁架上跳舞。</v>
      </c>
    </row>
    <row r="18646">
      <c r="A18646" s="4" t="s">
        <v>23453</v>
      </c>
      <c r="B18646" s="4" t="s">
        <v>23456</v>
      </c>
      <c r="C18646" s="5" t="str">
        <f>IFERROR(__xludf.DUMMYFUNCTION("GOOGLETRANSLATE(B18646,""en"",""zh-CN"")"),"屏幕逐渐消失为黑色。")</f>
        <v>屏幕逐渐消失为黑色。</v>
      </c>
    </row>
    <row r="18647">
      <c r="A18647" s="4" t="s">
        <v>23457</v>
      </c>
      <c r="B18647" s="4" t="s">
        <v>23458</v>
      </c>
      <c r="C18647" s="5" t="str">
        <f>IFERROR(__xludf.DUMMYFUNCTION("GOOGLETRANSLATE(B18647,""en"",""zh-CN"")"),"我们看到人们在有氧运动课程中锻炼锻炼步骤。")</f>
        <v>我们看到人们在有氧运动课程中锻炼锻炼步骤。</v>
      </c>
    </row>
    <row r="18648">
      <c r="A18648" s="4" t="s">
        <v>23457</v>
      </c>
      <c r="B18648" s="4" t="s">
        <v>23459</v>
      </c>
      <c r="C18648" s="5" t="str">
        <f>IFERROR(__xludf.DUMMYFUNCTION("GOOGLETRANSLATE(B18648,""en"",""zh-CN"")"),"领导者把手放在空中。")</f>
        <v>领导者把手放在空中。</v>
      </c>
    </row>
    <row r="18649">
      <c r="A18649" s="4" t="s">
        <v>23457</v>
      </c>
      <c r="B18649" s="4" t="s">
        <v>23460</v>
      </c>
      <c r="C18649" s="5" t="str">
        <f>IFERROR(__xludf.DUMMYFUNCTION("GOOGLETRANSLATE(B18649,""en"",""zh-CN"")"),"左后背的女士迷路了并停下来。")</f>
        <v>左后背的女士迷路了并停下来。</v>
      </c>
    </row>
    <row r="18650">
      <c r="A18650" s="4" t="s">
        <v>23457</v>
      </c>
      <c r="B18650" s="4" t="s">
        <v>23461</v>
      </c>
      <c r="C18650" s="5" t="str">
        <f>IFERROR(__xludf.DUMMYFUNCTION("GOOGLETRANSLATE(B18650,""en"",""zh-CN"")"),"后右迷路并伸出手臂。")</f>
        <v>后右迷路并伸出手臂。</v>
      </c>
    </row>
    <row r="18651">
      <c r="A18651" s="4" t="s">
        <v>23457</v>
      </c>
      <c r="B18651" s="4" t="s">
        <v>23462</v>
      </c>
      <c r="C18651" s="5" t="str">
        <f>IFERROR(__xludf.DUMMYFUNCTION("GOOGLETRANSLATE(B18651,""en"",""zh-CN"")"),"讲师的手臂再次在空中。")</f>
        <v>讲师的手臂再次在空中。</v>
      </c>
    </row>
    <row r="18652">
      <c r="A18652" s="4" t="s">
        <v>23457</v>
      </c>
      <c r="B18652" s="4" t="s">
        <v>23463</v>
      </c>
      <c r="C18652" s="5" t="str">
        <f>IFERROR(__xludf.DUMMYFUNCTION("GOOGLETRANSLATE(B18652,""en"",""zh-CN"")"),"右第二女士停止尝试。")</f>
        <v>右第二女士停止尝试。</v>
      </c>
    </row>
    <row r="18653">
      <c r="A18653" s="4" t="s">
        <v>23464</v>
      </c>
      <c r="B18653" s="4" t="s">
        <v>23465</v>
      </c>
      <c r="C18653" s="5" t="str">
        <f>IFERROR(__xludf.DUMMYFUNCTION("GOOGLETRANSLATE(B18653,""en"",""zh-CN"")"),"有两个人在船上准备潜入海洋。")</f>
        <v>有两个人在船上准备潜入海洋。</v>
      </c>
    </row>
    <row r="18654">
      <c r="A18654" s="4" t="s">
        <v>23464</v>
      </c>
      <c r="B18654" s="4" t="s">
        <v>23466</v>
      </c>
      <c r="C18654" s="5" t="str">
        <f>IFERROR(__xludf.DUMMYFUNCTION("GOOGLETRANSLATE(B18654,""en"",""zh-CN"")"),"他们潜入其中，能够看待所有美丽的珊瑚，并看到鱼类和其他东西。")</f>
        <v>他们潜入其中，能够看待所有美丽的珊瑚，并看到鱼类和其他东西。</v>
      </c>
    </row>
    <row r="18655">
      <c r="A18655" s="4" t="s">
        <v>23464</v>
      </c>
      <c r="B18655" s="4" t="s">
        <v>23467</v>
      </c>
      <c r="C18655" s="5" t="str">
        <f>IFERROR(__xludf.DUMMYFUNCTION("GOOGLETRANSLATE(B18655,""en"",""zh-CN"")"),"他们找到了一个驾驶舱，他们开始观察并环顾四周，也遇到了果冻鱼。")</f>
        <v>他们找到了一个驾驶舱，他们开始观察并环顾四周，也遇到了果冻鱼。</v>
      </c>
    </row>
    <row r="18656">
      <c r="A18656" s="4" t="s">
        <v>23464</v>
      </c>
      <c r="B18656" s="6" t="s">
        <v>23468</v>
      </c>
      <c r="C18656" s="5" t="str">
        <f>IFERROR(__xludf.DUMMYFUNCTION("GOOGLETRANSLATE(B18656,""en"",""zh-CN"")"),"他们开始探索飞机外部，他们也能够看到更多的鱼和其他海洋生物。")</f>
        <v>他们开始探索飞机外部，他们也能够看到更多的鱼和其他海洋生物。</v>
      </c>
    </row>
    <row r="18657">
      <c r="A18657" s="4" t="s">
        <v>23469</v>
      </c>
      <c r="B18657" s="4" t="s">
        <v>23470</v>
      </c>
      <c r="C18657" s="5" t="str">
        <f>IFERROR(__xludf.DUMMYFUNCTION("GOOGLETRANSLATE(B18657,""en"",""zh-CN"")"),"一件穿着橙色衬衫的女孩可以洗一杯漱口水。")</f>
        <v>一件穿着橙色衬衫的女孩可以洗一杯漱口水。</v>
      </c>
    </row>
    <row r="18658">
      <c r="A18658" s="4" t="s">
        <v>23469</v>
      </c>
      <c r="B18658" s="4" t="s">
        <v>23471</v>
      </c>
      <c r="C18658" s="5" t="str">
        <f>IFERROR(__xludf.DUMMYFUNCTION("GOOGLETRANSLATE(B18658,""en"",""zh-CN"")"),"她在嘴里旋转它，然后将其吐到水槽中。")</f>
        <v>她在嘴里旋转它，然后将其吐到水槽中。</v>
      </c>
    </row>
    <row r="18659">
      <c r="A18659" s="4" t="s">
        <v>23472</v>
      </c>
      <c r="B18659" s="4" t="s">
        <v>23473</v>
      </c>
      <c r="C18659" s="5" t="str">
        <f>IFERROR(__xludf.DUMMYFUNCTION("GOOGLETRANSLATE(B18659,""en"",""zh-CN"")"),"有一位女士在厨房里洗手做教程。")</f>
        <v>有一位女士在厨房里洗手做教程。</v>
      </c>
    </row>
    <row r="18660">
      <c r="A18660" s="4" t="s">
        <v>23472</v>
      </c>
      <c r="B18660" s="4" t="s">
        <v>23474</v>
      </c>
      <c r="C18660" s="5" t="str">
        <f>IFERROR(__xludf.DUMMYFUNCTION("GOOGLETRANSLATE(B18660,""en"",""zh-CN"")"),"她走向水槽，打开水龙头。")</f>
        <v>她走向水槽，打开水龙头。</v>
      </c>
    </row>
    <row r="18661">
      <c r="A18661" s="4" t="s">
        <v>23472</v>
      </c>
      <c r="B18661" s="6" t="s">
        <v>23475</v>
      </c>
      <c r="C18661" s="5" t="str">
        <f>IFERROR(__xludf.DUMMYFUNCTION("GOOGLETRANSLATE(B18661,""en"",""zh-CN"")"),"然后，她手里拿一些液体肥皂，将手在顶部，手掌和手指之间摩擦。")</f>
        <v>然后，她手里拿一些液体肥皂，将手在顶部，手掌和手指之间摩擦。</v>
      </c>
    </row>
    <row r="18662">
      <c r="A18662" s="4" t="s">
        <v>23472</v>
      </c>
      <c r="B18662" s="4" t="s">
        <v>23476</v>
      </c>
      <c r="C18662" s="5" t="str">
        <f>IFERROR(__xludf.DUMMYFUNCTION("GOOGLETRANSLATE(B18662,""en"",""zh-CN"")"),"她演示了如何正确擦手掌和手腕区域以确保清洗清洗。")</f>
        <v>她演示了如何正确擦手掌和手腕区域以确保清洗清洗。</v>
      </c>
    </row>
    <row r="18663">
      <c r="A18663" s="4" t="s">
        <v>23472</v>
      </c>
      <c r="B18663" s="4" t="s">
        <v>23477</v>
      </c>
      <c r="C18663" s="5" t="str">
        <f>IFERROR(__xludf.DUMMYFUNCTION("GOOGLETRANSLATE(B18663,""en"",""zh-CN"")"),"然后，她将水龙头重新打开以洗净肥皂。")</f>
        <v>然后，她将水龙头重新打开以洗净肥皂。</v>
      </c>
    </row>
    <row r="18664">
      <c r="A18664" s="4" t="s">
        <v>23472</v>
      </c>
      <c r="B18664" s="4" t="s">
        <v>23478</v>
      </c>
      <c r="C18664" s="5" t="str">
        <f>IFERROR(__xludf.DUMMYFUNCTION("GOOGLETRANSLATE(B18664,""en"",""zh-CN"")"),"然后，她用右肘关闭水龙头，以免直接触摸它。")</f>
        <v>然后，她用右肘关闭水龙头，以免直接触摸它。</v>
      </c>
    </row>
    <row r="18665">
      <c r="A18665" s="4" t="s">
        <v>23472</v>
      </c>
      <c r="B18665" s="4" t="s">
        <v>23479</v>
      </c>
      <c r="C18665" s="5" t="str">
        <f>IFERROR(__xludf.DUMMYFUNCTION("GOOGLETRANSLATE(B18665,""en"",""zh-CN"")"),"然后，她从窗台上拿起纸巾，擦干手。")</f>
        <v>然后，她从窗台上拿起纸巾，擦干手。</v>
      </c>
    </row>
    <row r="18666">
      <c r="A18666" s="4" t="s">
        <v>23480</v>
      </c>
      <c r="B18666" s="6" t="s">
        <v>23481</v>
      </c>
      <c r="C18666" s="5" t="str">
        <f>IFERROR(__xludf.DUMMYFUNCTION("GOOGLETRANSLATE(B18666,""en"",""zh-CN"")"),"看到三个人走到一个大型体育馆地板上，并带领三人进行了跳跃的例程。")</f>
        <v>看到三个人走到一个大型体育馆地板上，并带领三人进行了跳跃的例程。</v>
      </c>
    </row>
    <row r="18667">
      <c r="A18667" s="4" t="s">
        <v>23480</v>
      </c>
      <c r="B18667" s="4" t="s">
        <v>23482</v>
      </c>
      <c r="C18667" s="5" t="str">
        <f>IFERROR(__xludf.DUMMYFUNCTION("GOOGLETRANSLATE(B18667,""en"",""zh-CN"")"),"三人继续在地板上跳跃，而许多人则以胳膊抬起头。")</f>
        <v>三人继续在地板上跳跃，而许多人则以胳膊抬起头。</v>
      </c>
    </row>
    <row r="18668">
      <c r="A18668" s="4" t="s">
        <v>23483</v>
      </c>
      <c r="B18668" s="4" t="s">
        <v>23484</v>
      </c>
      <c r="C18668" s="5" t="str">
        <f>IFERROR(__xludf.DUMMYFUNCTION("GOOGLETRANSLATE(B18668,""en"",""zh-CN"")"),"一个以尴尬的方式从滑板上掉下来。")</f>
        <v>一个以尴尬的方式从滑板上掉下来。</v>
      </c>
    </row>
    <row r="18669">
      <c r="A18669" s="4" t="s">
        <v>23483</v>
      </c>
      <c r="B18669" s="4" t="s">
        <v>23485</v>
      </c>
      <c r="C18669" s="5" t="str">
        <f>IFERROR(__xludf.DUMMYFUNCTION("GOOGLETRANSLATE(B18669,""en"",""zh-CN"")"),"然后，我们看到其他几个男孩在旅行和跌倒时。")</f>
        <v>然后，我们看到其他几个男孩在旅行和跌倒时。</v>
      </c>
    </row>
    <row r="18670">
      <c r="A18670" s="4" t="s">
        <v>23483</v>
      </c>
      <c r="B18670" s="4" t="s">
        <v>23486</v>
      </c>
      <c r="C18670" s="5" t="str">
        <f>IFERROR(__xludf.DUMMYFUNCTION("GOOGLETRANSLATE(B18670,""en"",""zh-CN"")"),"他们在郊区的道路上急转弯，试图留在董事会上。")</f>
        <v>他们在郊区的道路上急转弯，试图留在董事会上。</v>
      </c>
    </row>
    <row r="18671">
      <c r="A18671" s="4" t="s">
        <v>23487</v>
      </c>
      <c r="B18671" s="4" t="s">
        <v>23488</v>
      </c>
      <c r="C18671" s="5" t="str">
        <f>IFERROR(__xludf.DUMMYFUNCTION("GOOGLETRANSLATE(B18671,""en"",""zh-CN"")"),"小组在一个年轻女子跳舞时扮演邦戈斯。")</f>
        <v>小组在一个年轻女子跳舞时扮演邦戈斯。</v>
      </c>
    </row>
    <row r="18672">
      <c r="A18672" s="4" t="s">
        <v>23487</v>
      </c>
      <c r="B18672" s="4" t="s">
        <v>23489</v>
      </c>
      <c r="C18672" s="5" t="str">
        <f>IFERROR(__xludf.DUMMYFUNCTION("GOOGLETRANSLATE(B18672,""en"",""zh-CN"")"),"一对夫妇走过小组。")</f>
        <v>一对夫妇走过小组。</v>
      </c>
    </row>
    <row r="18673">
      <c r="A18673" s="4" t="s">
        <v>23487</v>
      </c>
      <c r="B18673" s="4" t="s">
        <v>23490</v>
      </c>
      <c r="C18673" s="5" t="str">
        <f>IFERROR(__xludf.DUMMYFUNCTION("GOOGLETRANSLATE(B18673,""en"",""zh-CN"")"),"鼓手给摄像机一个大拇指的手势。")</f>
        <v>鼓手给摄像机一个大拇指的手势。</v>
      </c>
    </row>
    <row r="18674">
      <c r="A18674" s="4" t="s">
        <v>23487</v>
      </c>
      <c r="B18674" s="4" t="s">
        <v>23491</v>
      </c>
      <c r="C18674" s="5" t="str">
        <f>IFERROR(__xludf.DUMMYFUNCTION("GOOGLETRANSLATE(B18674,""en"",""zh-CN"")"),"很多人在后台经过。")</f>
        <v>很多人在后台经过。</v>
      </c>
    </row>
    <row r="18675">
      <c r="A18675" s="4" t="s">
        <v>23487</v>
      </c>
      <c r="B18675" s="4" t="s">
        <v>23492</v>
      </c>
      <c r="C18675" s="5" t="str">
        <f>IFERROR(__xludf.DUMMYFUNCTION("GOOGLETRANSLATE(B18675,""en"",""zh-CN"")"),"一小群人正在看音乐家。")</f>
        <v>一小群人正在看音乐家。</v>
      </c>
    </row>
    <row r="18676">
      <c r="A18676" s="4" t="s">
        <v>23487</v>
      </c>
      <c r="B18676" s="4" t="s">
        <v>23493</v>
      </c>
      <c r="C18676" s="5" t="str">
        <f>IFERROR(__xludf.DUMMYFUNCTION("GOOGLETRANSLATE(B18676,""en"",""zh-CN"")"),"舞者与另外2名女性合影。")</f>
        <v>舞者与另外2名女性合影。</v>
      </c>
    </row>
    <row r="18677">
      <c r="A18677" s="4" t="s">
        <v>23494</v>
      </c>
      <c r="B18677" s="4" t="s">
        <v>23495</v>
      </c>
      <c r="C18677" s="5" t="str">
        <f>IFERROR(__xludf.DUMMYFUNCTION("GOOGLETRANSLATE(B18677,""en"",""zh-CN"")"),"卫生专业人员用肥皂在水槽中用肥皂洗手。")</f>
        <v>卫生专业人员用肥皂在水槽中用肥皂洗手。</v>
      </c>
    </row>
    <row r="18678">
      <c r="A18678" s="4" t="s">
        <v>23494</v>
      </c>
      <c r="B18678" s="4" t="s">
        <v>23496</v>
      </c>
      <c r="C18678" s="5" t="str">
        <f>IFERROR(__xludf.DUMMYFUNCTION("GOOGLETRANSLATE(B18678,""en"",""zh-CN"")"),"女人彻底擦洗手指之间。")</f>
        <v>女人彻底擦洗手指之间。</v>
      </c>
    </row>
    <row r="18679">
      <c r="A18679" s="4" t="s">
        <v>23494</v>
      </c>
      <c r="B18679" s="4" t="s">
        <v>23497</v>
      </c>
      <c r="C18679" s="5" t="str">
        <f>IFERROR(__xludf.DUMMYFUNCTION("GOOGLETRANSLATE(B18679,""en"",""zh-CN"")"),"将手在手指之间彻底用纸巾干燥。")</f>
        <v>将手在手指之间彻底用纸巾干燥。</v>
      </c>
    </row>
    <row r="18680">
      <c r="A18680" s="4" t="s">
        <v>23494</v>
      </c>
      <c r="B18680" s="4" t="s">
        <v>23498</v>
      </c>
      <c r="C18680" s="5" t="str">
        <f>IFERROR(__xludf.DUMMYFUNCTION("GOOGLETRANSLATE(B18680,""en"",""zh-CN"")"),"女人把纸巾扔进了指定的废物箱中。")</f>
        <v>女人把纸巾扔进了指定的废物箱中。</v>
      </c>
    </row>
    <row r="18681">
      <c r="A18681" s="4" t="s">
        <v>23494</v>
      </c>
      <c r="B18681" s="4" t="s">
        <v>23499</v>
      </c>
      <c r="C18681" s="5" t="str">
        <f>IFERROR(__xludf.DUMMYFUNCTION("GOOGLETRANSLATE(B18681,""en"",""zh-CN"")"),"医学专家使用肘部和纸巾关闭水龙头。")</f>
        <v>医学专家使用肘部和纸巾关闭水龙头。</v>
      </c>
    </row>
    <row r="18682">
      <c r="A18682" s="4" t="s">
        <v>23500</v>
      </c>
      <c r="B18682" s="4" t="s">
        <v>23501</v>
      </c>
      <c r="C18682" s="5" t="str">
        <f>IFERROR(__xludf.DUMMYFUNCTION("GOOGLETRANSLATE(B18682,""en"",""zh-CN"")"),"看到一个人在升降机上组装轮胎，并使用机器脱掉橡胶。")</f>
        <v>看到一个人在升降机上组装轮胎，并使用机器脱掉橡胶。</v>
      </c>
    </row>
    <row r="18683">
      <c r="A18683" s="4" t="s">
        <v>23500</v>
      </c>
      <c r="B18683" s="4" t="s">
        <v>23502</v>
      </c>
      <c r="C18683" s="5" t="str">
        <f>IFERROR(__xludf.DUMMYFUNCTION("GOOGLETRANSLATE(B18683,""en"",""zh-CN"")"),"然后，他使用机器将橡胶放回原处，然后从轮胎上移动来结束。")</f>
        <v>然后，他使用机器将橡胶放回原处，然后从轮胎上移动来结束。</v>
      </c>
    </row>
    <row r="18684">
      <c r="A18684" s="4" t="s">
        <v>23503</v>
      </c>
      <c r="B18684" s="4" t="s">
        <v>21512</v>
      </c>
      <c r="C18684" s="5" t="str">
        <f>IFERROR(__xludf.DUMMYFUNCTION("GOOGLETRANSLATE(B18684,""en"",""zh-CN"")"),"一个男人跪在蓝色垫子上。")</f>
        <v>一个男人跪在蓝色垫子上。</v>
      </c>
    </row>
    <row r="18685">
      <c r="A18685" s="4" t="s">
        <v>23503</v>
      </c>
      <c r="B18685" s="4" t="s">
        <v>23504</v>
      </c>
      <c r="C18685" s="5" t="str">
        <f>IFERROR(__xludf.DUMMYFUNCTION("GOOGLETRANSLATE(B18685,""en"",""zh-CN"")"),"他拉下绳子并锻炼。")</f>
        <v>他拉下绳子并锻炼。</v>
      </c>
    </row>
    <row r="18686">
      <c r="A18686" s="4" t="s">
        <v>23503</v>
      </c>
      <c r="B18686" s="4" t="s">
        <v>23505</v>
      </c>
      <c r="C18686" s="5" t="str">
        <f>IFERROR(__xludf.DUMMYFUNCTION("GOOGLETRANSLATE(B18686,""en"",""zh-CN"")"),"他降低了条，开始向另一个方向拉绳子。")</f>
        <v>他降低了条，开始向另一个方向拉绳子。</v>
      </c>
    </row>
    <row r="18687">
      <c r="A18687" s="4" t="s">
        <v>23506</v>
      </c>
      <c r="B18687" s="4" t="s">
        <v>23507</v>
      </c>
      <c r="C18687" s="5" t="str">
        <f>IFERROR(__xludf.DUMMYFUNCTION("GOOGLETRANSLATE(B18687,""en"",""zh-CN"")"),"有一个非常高又陡峭的滑梯，穿过一些敞开的树木。")</f>
        <v>有一个非常高又陡峭的滑梯，穿过一些敞开的树木。</v>
      </c>
    </row>
    <row r="18688">
      <c r="A18688" s="4" t="s">
        <v>23506</v>
      </c>
      <c r="B18688" s="6" t="s">
        <v>23508</v>
      </c>
      <c r="C18688" s="5" t="str">
        <f>IFERROR(__xludf.DUMMYFUNCTION("GOOGLETRANSLATE(B18688,""en"",""zh-CN"")"),"滑梯的底端有一个纵向运行的橡胶表面，以保护人们在降落时受伤。")</f>
        <v>滑梯的底端有一个纵向运行的橡胶表面，以保护人们在降落时受伤。</v>
      </c>
    </row>
    <row r="18689">
      <c r="A18689" s="4" t="s">
        <v>23506</v>
      </c>
      <c r="B18689" s="4" t="s">
        <v>23509</v>
      </c>
      <c r="C18689" s="5" t="str">
        <f>IFERROR(__xludf.DUMMYFUNCTION("GOOGLETRANSLATE(B18689,""en"",""zh-CN"")"),"一个穿着黑色短裤和一件衬衫的小男孩全力滑动。")</f>
        <v>一个穿着黑色短裤和一件衬衫的小男孩全力滑动。</v>
      </c>
    </row>
    <row r="18690">
      <c r="A18690" s="4" t="s">
        <v>23506</v>
      </c>
      <c r="B18690" s="4" t="s">
        <v>23510</v>
      </c>
      <c r="C18690" s="5" t="str">
        <f>IFERROR(__xludf.DUMMYFUNCTION("GOOGLETRANSLATE(B18690,""en"",""zh-CN"")"),"当他跌落并从幻灯片上掉下来时，他远离滑梯。")</f>
        <v>当他跌落并从幻灯片上掉下来时，他远离滑梯。</v>
      </c>
    </row>
    <row r="18691">
      <c r="A18691" s="4" t="s">
        <v>23511</v>
      </c>
      <c r="B18691" s="4" t="s">
        <v>23512</v>
      </c>
      <c r="C18691" s="5" t="str">
        <f>IFERROR(__xludf.DUMMYFUNCTION("GOOGLETRANSLATE(B18691,""en"",""zh-CN"")"),"戴着帽子的男人在新闻发布会上讲话。")</f>
        <v>戴着帽子的男人在新闻发布会上讲话。</v>
      </c>
    </row>
    <row r="18692">
      <c r="A18692" s="4" t="s">
        <v>23511</v>
      </c>
      <c r="B18692" s="4" t="s">
        <v>23513</v>
      </c>
      <c r="C18692" s="5" t="str">
        <f>IFERROR(__xludf.DUMMYFUNCTION("GOOGLETRANSLATE(B18692,""en"",""zh-CN"")"),"我们在一个雪地里看到小屋和拖车。")</f>
        <v>我们在一个雪地里看到小屋和拖车。</v>
      </c>
    </row>
    <row r="18693">
      <c r="A18693" s="4" t="s">
        <v>23511</v>
      </c>
      <c r="B18693" s="4" t="s">
        <v>23514</v>
      </c>
      <c r="C18693" s="5" t="str">
        <f>IFERROR(__xludf.DUMMYFUNCTION("GOOGLETRANSLATE(B18693,""en"",""zh-CN"")"),"三个人在研讨会上重新打蜡滑雪板，我们在新闻发布会上看到了这名男子。")</f>
        <v>三个人在研讨会上重新打蜡滑雪板，我们在新闻发布会上看到了这名男子。</v>
      </c>
    </row>
    <row r="18694">
      <c r="A18694" s="4" t="s">
        <v>23511</v>
      </c>
      <c r="B18694" s="6" t="s">
        <v>23515</v>
      </c>
      <c r="C18694" s="5" t="str">
        <f>IFERROR(__xludf.DUMMYFUNCTION("GOOGLETRANSLATE(B18694,""en"",""zh-CN"")"),"一名男子在拖车后面跑来跑去，两个人在雪地上行走，然后我们再次看到新闻发布会。")</f>
        <v>一名男子在拖车后面跑来跑去，两个人在雪地上行走，然后我们再次看到新闻发布会。</v>
      </c>
    </row>
    <row r="18695">
      <c r="A18695" s="4" t="s">
        <v>23511</v>
      </c>
      <c r="B18695" s="4" t="s">
        <v>23516</v>
      </c>
      <c r="C18695" s="5" t="str">
        <f>IFERROR(__xludf.DUMMYFUNCTION("GOOGLETRANSLATE(B18695,""en"",""zh-CN"")"),"我们看到男人滑雪。")</f>
        <v>我们看到男人滑雪。</v>
      </c>
    </row>
    <row r="18696">
      <c r="A18696" s="4" t="s">
        <v>23511</v>
      </c>
      <c r="B18696" s="6" t="s">
        <v>23517</v>
      </c>
      <c r="C18696" s="5" t="str">
        <f>IFERROR(__xludf.DUMMYFUNCTION("GOOGLETRANSLATE(B18696,""en"",""zh-CN"")"),"在新闻发布会上的男子和一个男人在车间上戴上口罩，一台机器坐在田野中。")</f>
        <v>在新闻发布会上的男子和一个男人在车间上戴上口罩，一台机器坐在田野中。</v>
      </c>
    </row>
    <row r="18697">
      <c r="A18697" s="4" t="s">
        <v>23511</v>
      </c>
      <c r="B18697" s="4" t="s">
        <v>23518</v>
      </c>
      <c r="C18697" s="5" t="str">
        <f>IFERROR(__xludf.DUMMYFUNCTION("GOOGLETRANSLATE(B18697,""en"",""zh-CN"")"),"两个男人摆在雪中。")</f>
        <v>两个男人摆在雪中。</v>
      </c>
    </row>
    <row r="18698">
      <c r="A18698" s="4" t="s">
        <v>23519</v>
      </c>
      <c r="B18698" s="4" t="s">
        <v>23520</v>
      </c>
      <c r="C18698" s="5" t="str">
        <f>IFERROR(__xludf.DUMMYFUNCTION("GOOGLETRANSLATE(B18698,""en"",""zh-CN"")"),"看到一个男人坐在椅子上，以及骑着尾板和码头剪辑的人的镜头。")</f>
        <v>看到一个男人坐在椅子上，以及骑着尾板和码头剪辑的人的镜头。</v>
      </c>
    </row>
    <row r="18699">
      <c r="A18699" s="4" t="s">
        <v>23519</v>
      </c>
      <c r="B18699" s="6" t="s">
        <v>23521</v>
      </c>
      <c r="C18699" s="5" t="str">
        <f>IFERROR(__xludf.DUMMYFUNCTION("GOOGLETRANSLATE(B18699,""en"",""zh-CN"")"),"该男子继续在相机上说话，同时显示更多的唤醒登机镜头以及进行翻转和技巧。")</f>
        <v>该男子继续在相机上说话，同时显示更多的唤醒登机镜头以及进行翻转和技巧。</v>
      </c>
    </row>
    <row r="18700">
      <c r="A18700" s="4" t="s">
        <v>23522</v>
      </c>
      <c r="B18700" s="4" t="s">
        <v>23523</v>
      </c>
      <c r="C18700" s="5" t="str">
        <f>IFERROR(__xludf.DUMMYFUNCTION("GOOGLETRANSLATE(B18700,""en"",""zh-CN"")"),"我们看到一位女士拿着相机，吹干她的头发。")</f>
        <v>我们看到一位女士拿着相机，吹干她的头发。</v>
      </c>
    </row>
    <row r="18701">
      <c r="A18701" s="4" t="s">
        <v>23522</v>
      </c>
      <c r="B18701" s="4" t="s">
        <v>23524</v>
      </c>
      <c r="C18701" s="5" t="str">
        <f>IFERROR(__xludf.DUMMYFUNCTION("GOOGLETRANSLATE(B18701,""en"",""zh-CN"")"),"女士坐在地板上的相机，继续吹干头发。")</f>
        <v>女士坐在地板上的相机，继续吹干头发。</v>
      </c>
    </row>
    <row r="18702">
      <c r="A18702" s="4" t="s">
        <v>23522</v>
      </c>
      <c r="B18702" s="4" t="s">
        <v>23525</v>
      </c>
      <c r="C18702" s="5" t="str">
        <f>IFERROR(__xludf.DUMMYFUNCTION("GOOGLETRANSLATE(B18702,""en"",""zh-CN"")"),"那位女士把头发扔回去，拿起电话。")</f>
        <v>那位女士把头发扔回去，拿起电话。</v>
      </c>
    </row>
    <row r="18703">
      <c r="A18703" s="4" t="s">
        <v>23526</v>
      </c>
      <c r="B18703" s="4" t="s">
        <v>23527</v>
      </c>
      <c r="C18703" s="5" t="str">
        <f>IFERROR(__xludf.DUMMYFUNCTION("GOOGLETRANSLATE(B18703,""en"",""zh-CN"")"),"我们在医院里看到一位熟睡的女士。")</f>
        <v>我们在医院里看到一位熟睡的女士。</v>
      </c>
    </row>
    <row r="18704">
      <c r="A18704" s="4" t="s">
        <v>23526</v>
      </c>
      <c r="B18704" s="4" t="s">
        <v>23528</v>
      </c>
      <c r="C18704" s="5" t="str">
        <f>IFERROR(__xludf.DUMMYFUNCTION("GOOGLETRANSLATE(B18704,""en"",""zh-CN"")"),"一个人开始在医院里梳理一位熟睡的老太太的头发。")</f>
        <v>一个人开始在医院里梳理一位熟睡的老太太的头发。</v>
      </c>
    </row>
    <row r="18705">
      <c r="A18705" s="4" t="s">
        <v>23526</v>
      </c>
      <c r="B18705" s="4" t="s">
        <v>23529</v>
      </c>
      <c r="C18705" s="5" t="str">
        <f>IFERROR(__xludf.DUMMYFUNCTION("GOOGLETRANSLATE(B18705,""en"",""zh-CN"")"),"相机移至女士头顶。")</f>
        <v>相机移至女士头顶。</v>
      </c>
    </row>
    <row r="18706">
      <c r="A18706" s="4" t="s">
        <v>23526</v>
      </c>
      <c r="B18706" s="4" t="s">
        <v>23530</v>
      </c>
      <c r="C18706" s="5" t="str">
        <f>IFERROR(__xludf.DUMMYFUNCTION("GOOGLETRANSLATE(B18706,""en"",""zh-CN"")"),"然后，相机移至女士脸的前面。")</f>
        <v>然后，相机移至女士脸的前面。</v>
      </c>
    </row>
    <row r="18707">
      <c r="A18707" s="4" t="s">
        <v>23531</v>
      </c>
      <c r="B18707" s="4" t="s">
        <v>23532</v>
      </c>
      <c r="C18707" s="5" t="str">
        <f>IFERROR(__xludf.DUMMYFUNCTION("GOOGLETRANSLATE(B18707,""en"",""zh-CN"")"),"一个穿着短裤的男人在健身房。")</f>
        <v>一个穿着短裤的男人在健身房。</v>
      </c>
    </row>
    <row r="18708">
      <c r="A18708" s="4" t="s">
        <v>23531</v>
      </c>
      <c r="B18708" s="4" t="s">
        <v>23533</v>
      </c>
      <c r="C18708" s="5" t="str">
        <f>IFERROR(__xludf.DUMMYFUNCTION("GOOGLETRANSLATE(B18708,""en"",""zh-CN"")"),"他在那里跳绳。")</f>
        <v>他在那里跳绳。</v>
      </c>
    </row>
    <row r="18709">
      <c r="A18709" s="4" t="s">
        <v>23531</v>
      </c>
      <c r="B18709" s="4" t="s">
        <v>23534</v>
      </c>
      <c r="C18709" s="5" t="str">
        <f>IFERROR(__xludf.DUMMYFUNCTION("GOOGLETRANSLATE(B18709,""en"",""zh-CN"")"),"他加快了跳跃的速度。")</f>
        <v>他加快了跳跃的速度。</v>
      </c>
    </row>
    <row r="18710">
      <c r="A18710" s="4" t="s">
        <v>23531</v>
      </c>
      <c r="B18710" s="4" t="s">
        <v>23535</v>
      </c>
      <c r="C18710" s="5" t="str">
        <f>IFERROR(__xludf.DUMMYFUNCTION("GOOGLETRANSLATE(B18710,""en"",""zh-CN"")"),"他在镜子前做。")</f>
        <v>他在镜子前做。</v>
      </c>
    </row>
    <row r="18711">
      <c r="A18711" s="4" t="s">
        <v>23536</v>
      </c>
      <c r="B18711" s="4" t="s">
        <v>23537</v>
      </c>
      <c r="C18711" s="5" t="str">
        <f>IFERROR(__xludf.DUMMYFUNCTION("GOOGLETRANSLATE(B18711,""en"",""zh-CN"")"),"一个老人站在一块运动器材上。")</f>
        <v>一个老人站在一块运动器材上。</v>
      </c>
    </row>
    <row r="18712">
      <c r="A18712" s="4" t="s">
        <v>23536</v>
      </c>
      <c r="B18712" s="4" t="s">
        <v>23538</v>
      </c>
      <c r="C18712" s="5" t="str">
        <f>IFERROR(__xludf.DUMMYFUNCTION("GOOGLETRANSLATE(B18712,""en"",""zh-CN"")"),"他与相机交谈，握住遥控器并继续在机器上移动。")</f>
        <v>他与相机交谈，握住遥控器并继续在机器上移动。</v>
      </c>
    </row>
    <row r="18713">
      <c r="A18713" s="4" t="s">
        <v>23539</v>
      </c>
      <c r="B18713" s="4" t="s">
        <v>23540</v>
      </c>
      <c r="C18713" s="5" t="str">
        <f>IFERROR(__xludf.DUMMYFUNCTION("GOOGLETRANSLATE(B18713,""en"",""zh-CN"")"),"首先，看到该人解开手柄杆。")</f>
        <v>首先，看到该人解开手柄杆。</v>
      </c>
    </row>
    <row r="18714">
      <c r="A18714" s="4" t="s">
        <v>23539</v>
      </c>
      <c r="B18714" s="4" t="s">
        <v>23541</v>
      </c>
      <c r="C18714" s="5" t="str">
        <f>IFERROR(__xludf.DUMMYFUNCTION("GOOGLETRANSLATE(B18714,""en"",""zh-CN"")"),"然后，他拧开了基础，将其提高到了自己的喜好。")</f>
        <v>然后，他拧开了基础，将其提高到了自己的喜好。</v>
      </c>
    </row>
    <row r="18715">
      <c r="A18715" s="4" t="s">
        <v>23539</v>
      </c>
      <c r="B18715" s="4" t="s">
        <v>23542</v>
      </c>
      <c r="C18715" s="5" t="str">
        <f>IFERROR(__xludf.DUMMYFUNCTION("GOOGLETRANSLATE(B18715,""en"",""zh-CN"")"),"然后，他坐在自行车座上以取得最佳效果。")</f>
        <v>然后，他坐在自行车座上以取得最佳效果。</v>
      </c>
    </row>
    <row r="18716">
      <c r="A18716" s="4" t="s">
        <v>23539</v>
      </c>
      <c r="B18716" s="4" t="s">
        <v>23543</v>
      </c>
      <c r="C18716" s="5" t="str">
        <f>IFERROR(__xludf.DUMMYFUNCTION("GOOGLETRANSLATE(B18716,""en"",""zh-CN"")"),"然后，他再次调整手柄杆，并确保它们牢固地适当。")</f>
        <v>然后，他再次调整手柄杆，并确保它们牢固地适当。</v>
      </c>
    </row>
    <row r="18717">
      <c r="A18717" s="4" t="s">
        <v>23544</v>
      </c>
      <c r="B18717" s="6" t="s">
        <v>23545</v>
      </c>
      <c r="C18717" s="5" t="str">
        <f>IFERROR(__xludf.DUMMYFUNCTION("GOOGLETRANSLATE(B18717,""en"",""zh-CN"")"),"两个人在一个房间里，有三个墙壁，后面有一组玻璃门，用网球球拍向后击球，第四个球。")</f>
        <v>两个人在一个房间里，有三个墙壁，后面有一组玻璃门，用网球球拍向后击球，第四个球。</v>
      </c>
    </row>
    <row r="18718">
      <c r="A18718" s="4" t="s">
        <v>23544</v>
      </c>
      <c r="B18718" s="4" t="s">
        <v>23546</v>
      </c>
      <c r="C18718" s="5" t="str">
        <f>IFERROR(__xludf.DUMMYFUNCTION("GOOGLETRANSLATE(B18718,""en"",""zh-CN"")"),"随着他们的继续，一个男孩跌倒在地，他们必须重新开始。")</f>
        <v>随着他们的继续，一个男孩跌倒在地，他们必须重新开始。</v>
      </c>
    </row>
    <row r="18719">
      <c r="A18719" s="4" t="s">
        <v>23547</v>
      </c>
      <c r="B18719" s="4" t="s">
        <v>23548</v>
      </c>
      <c r="C18719" s="5" t="str">
        <f>IFERROR(__xludf.DUMMYFUNCTION("GOOGLETRANSLATE(B18719,""en"",""zh-CN"")"),"我们看到一个男人站在车间和交谈的工作台前。")</f>
        <v>我们看到一个男人站在车间和交谈的工作台前。</v>
      </c>
    </row>
    <row r="18720">
      <c r="A18720" s="4" t="s">
        <v>23547</v>
      </c>
      <c r="B18720" s="4" t="s">
        <v>23549</v>
      </c>
      <c r="C18720" s="5" t="str">
        <f>IFERROR(__xludf.DUMMYFUNCTION("GOOGLETRANSLATE(B18720,""en"",""zh-CN"")"),"该男子展示了一块木头和一个砂光机。")</f>
        <v>该男子展示了一块木头和一个砂光机。</v>
      </c>
    </row>
    <row r="18721">
      <c r="A18721" s="4" t="s">
        <v>23547</v>
      </c>
      <c r="B18721" s="4" t="s">
        <v>23550</v>
      </c>
      <c r="C18721" s="5" t="str">
        <f>IFERROR(__xludf.DUMMYFUNCTION("GOOGLETRANSLATE(B18721,""en"",""zh-CN"")"),"该男子从木头上的水罐和砂光机上擦拭了一种物质，然后打磨木头。")</f>
        <v>该男子从木头上的水罐和砂光机上擦拭了一种物质，然后打磨木头。</v>
      </c>
    </row>
    <row r="18722">
      <c r="A18722" s="4" t="s">
        <v>23547</v>
      </c>
      <c r="B18722" s="4" t="s">
        <v>23551</v>
      </c>
      <c r="C18722" s="5" t="str">
        <f>IFERROR(__xludf.DUMMYFUNCTION("GOOGLETRANSLATE(B18722,""en"",""zh-CN"")"),"这个人向我们展示了成品。")</f>
        <v>这个人向我们展示了成品。</v>
      </c>
    </row>
    <row r="18723">
      <c r="A18723" s="4" t="s">
        <v>23552</v>
      </c>
      <c r="B18723" s="6" t="s">
        <v>23553</v>
      </c>
      <c r="C18723" s="5" t="str">
        <f>IFERROR(__xludf.DUMMYFUNCTION("GOOGLETRANSLATE(B18723,""en"",""zh-CN"")"),"几个人在远处被其他船只，叶子和房屋包围的水体上扫射。")</f>
        <v>几个人在远处被其他船只，叶子和房屋包围的水体上扫射。</v>
      </c>
    </row>
    <row r="18724">
      <c r="A18724" s="4" t="s">
        <v>23552</v>
      </c>
      <c r="B18724" s="4" t="s">
        <v>23554</v>
      </c>
      <c r="C18724" s="5" t="str">
        <f>IFERROR(__xludf.DUMMYFUNCTION("GOOGLETRANSLATE(B18724,""en"",""zh-CN"")"),"游泳后备箱中的几个人在水体中航行，有多色的伞兵。")</f>
        <v>游泳后备箱中的几个人在水体中航行，有多色的伞兵。</v>
      </c>
    </row>
    <row r="18725">
      <c r="A18725" s="4" t="s">
        <v>23552</v>
      </c>
      <c r="B18725" s="6" t="s">
        <v>23555</v>
      </c>
      <c r="C18725" s="5" t="str">
        <f>IFERROR(__xludf.DUMMYFUNCTION("GOOGLETRANSLATE(B18725,""en"",""zh-CN"")"),"蓝色泳裤的前景中的一个人将帆翻转过来，但帆曲折并降落在底部，使人和帆登陆他们的脚。")</f>
        <v>蓝色泳裤的前景中的一个人将帆翻转过来，但帆曲折并降落在底部，使人和帆登陆他们的脚。</v>
      </c>
    </row>
    <row r="18726">
      <c r="A18726" s="4" t="s">
        <v>23556</v>
      </c>
      <c r="B18726" s="4" t="s">
        <v>23557</v>
      </c>
      <c r="C18726" s="5" t="str">
        <f>IFERROR(__xludf.DUMMYFUNCTION("GOOGLETRANSLATE(B18726,""en"",""zh-CN"")"),"在赛道上，跑步者准备表演。")</f>
        <v>在赛道上，跑步者准备表演。</v>
      </c>
    </row>
    <row r="18727">
      <c r="A18727" s="4" t="s">
        <v>23556</v>
      </c>
      <c r="B18727" s="4" t="s">
        <v>23558</v>
      </c>
      <c r="C18727" s="5" t="str">
        <f>IFERROR(__xludf.DUMMYFUNCTION("GOOGLETRANSLATE(B18727,""en"",""zh-CN"")"),"他沿途跑来跑去，最后跳高。")</f>
        <v>他沿途跑来跑去，最后跳高。</v>
      </c>
    </row>
    <row r="18728">
      <c r="A18728" s="4" t="s">
        <v>23556</v>
      </c>
      <c r="B18728" s="4" t="s">
        <v>23559</v>
      </c>
      <c r="C18728" s="5" t="str">
        <f>IFERROR(__xludf.DUMMYFUNCTION("GOOGLETRANSLATE(B18728,""en"",""zh-CN"")"),"完成后，他沿着赛道走。")</f>
        <v>完成后，他沿着赛道走。</v>
      </c>
    </row>
    <row r="18729">
      <c r="A18729" s="4" t="s">
        <v>23556</v>
      </c>
      <c r="B18729" s="4" t="s">
        <v>23560</v>
      </c>
      <c r="C18729" s="5" t="str">
        <f>IFERROR(__xludf.DUMMYFUNCTION("GOOGLETRANSLATE(B18729,""en"",""zh-CN"")"),"该男子跑来跑去。")</f>
        <v>该男子跑来跑去。</v>
      </c>
    </row>
    <row r="18730">
      <c r="A18730" s="4" t="s">
        <v>23556</v>
      </c>
      <c r="B18730" s="4" t="s">
        <v>23561</v>
      </c>
      <c r="C18730" s="5" t="str">
        <f>IFERROR(__xludf.DUMMYFUNCTION("GOOGLETRANSLATE(B18730,""en"",""zh-CN"")"),"跑步者与某人交谈。")</f>
        <v>跑步者与某人交谈。</v>
      </c>
    </row>
    <row r="18731">
      <c r="A18731" s="4" t="s">
        <v>23562</v>
      </c>
      <c r="B18731" s="4" t="s">
        <v>23563</v>
      </c>
      <c r="C18731" s="5" t="str">
        <f>IFERROR(__xludf.DUMMYFUNCTION("GOOGLETRANSLATE(B18731,""en"",""zh-CN"")"),"一个男人穿着苏格兰裙时在舞台上扮演风笛。")</f>
        <v>一个男人穿着苏格兰裙时在舞台上扮演风笛。</v>
      </c>
    </row>
    <row r="18732">
      <c r="A18732" s="4" t="s">
        <v>23562</v>
      </c>
      <c r="B18732" s="4" t="s">
        <v>23564</v>
      </c>
      <c r="C18732" s="5" t="str">
        <f>IFERROR(__xludf.DUMMYFUNCTION("GOOGLETRANSLATE(B18732,""en"",""zh-CN"")"),"然后，男人结束了比赛，将风笛握在他的左臂上。")</f>
        <v>然后，男人结束了比赛，将风笛握在他的左臂上。</v>
      </c>
    </row>
    <row r="18733">
      <c r="A18733" s="4" t="s">
        <v>23565</v>
      </c>
      <c r="B18733" s="4" t="s">
        <v>23566</v>
      </c>
      <c r="C18733" s="5" t="str">
        <f>IFERROR(__xludf.DUMMYFUNCTION("GOOGLETRANSLATE(B18733,""en"",""zh-CN"")"),"一个黄色的男人打开啤酒。")</f>
        <v>一个黄色的男人打开啤酒。</v>
      </c>
    </row>
    <row r="18734">
      <c r="A18734" s="4" t="s">
        <v>23565</v>
      </c>
      <c r="B18734" s="4" t="s">
        <v>23567</v>
      </c>
      <c r="C18734" s="5" t="str">
        <f>IFERROR(__xludf.DUMMYFUNCTION("GOOGLETRANSLATE(B18734,""en"",""zh-CN"")"),"一个灰色的男人抓住啤酒，调整他的衣服，然后坐在地板上拿着啤酒。")</f>
        <v>一个灰色的男人抓住啤酒，调整他的衣服，然后坐在地板上拿着啤酒。</v>
      </c>
    </row>
    <row r="18735">
      <c r="A18735" s="4" t="s">
        <v>23565</v>
      </c>
      <c r="B18735" s="6" t="s">
        <v>23568</v>
      </c>
      <c r="C18735" s="5" t="str">
        <f>IFERROR(__xludf.DUMMYFUNCTION("GOOGLETRANSLATE(B18735,""en"",""zh-CN"")"),"该男子将一只手臂放在背后，调整自己，试图用嘴来捡起瓶子。")</f>
        <v>该男子将一只手臂放在背后，调整自己，试图用嘴来捡起瓶子。</v>
      </c>
    </row>
    <row r="18736">
      <c r="A18736" s="4" t="s">
        <v>23565</v>
      </c>
      <c r="B18736" s="4" t="s">
        <v>23569</v>
      </c>
      <c r="C18736" s="5" t="str">
        <f>IFERROR(__xludf.DUMMYFUNCTION("GOOGLETRANSLATE(B18736,""en"",""zh-CN"")"),"然后，该男子迅速喝酒，放下瓶子。")</f>
        <v>然后，该男子迅速喝酒，放下瓶子。</v>
      </c>
    </row>
    <row r="18737">
      <c r="A18737" s="4" t="s">
        <v>23565</v>
      </c>
      <c r="B18737" s="4" t="s">
        <v>23570</v>
      </c>
      <c r="C18737" s="5" t="str">
        <f>IFERROR(__xludf.DUMMYFUNCTION("GOOGLETRANSLATE(B18737,""en"",""zh-CN"")"),"我们看到一个倒数时钟。")</f>
        <v>我们看到一个倒数时钟。</v>
      </c>
    </row>
    <row r="18738">
      <c r="A18738" s="4" t="s">
        <v>23571</v>
      </c>
      <c r="B18738" s="4" t="s">
        <v>23572</v>
      </c>
      <c r="C18738" s="5" t="str">
        <f>IFERROR(__xludf.DUMMYFUNCTION("GOOGLETRANSLATE(B18738,""en"",""zh-CN"")"),"我们看到白色标题屏幕。")</f>
        <v>我们看到白色标题屏幕。</v>
      </c>
    </row>
    <row r="18739">
      <c r="A18739" s="4" t="s">
        <v>23571</v>
      </c>
      <c r="B18739" s="4" t="s">
        <v>23573</v>
      </c>
      <c r="C18739" s="5" t="str">
        <f>IFERROR(__xludf.DUMMYFUNCTION("GOOGLETRANSLATE(B18739,""en"",""zh-CN"")"),"然后，我们看到一个酒保在酒吧里与两个人交谈。")</f>
        <v>然后，我们看到一个酒保在酒吧里与两个人交谈。</v>
      </c>
    </row>
    <row r="18740">
      <c r="A18740" s="4" t="s">
        <v>23571</v>
      </c>
      <c r="B18740" s="4" t="s">
        <v>23574</v>
      </c>
      <c r="C18740" s="5" t="str">
        <f>IFERROR(__xludf.DUMMYFUNCTION("GOOGLETRANSLATE(B18740,""en"",""zh-CN"")"),"该男子把手臂放在背后。")</f>
        <v>该男子把手臂放在背后。</v>
      </c>
    </row>
    <row r="18741">
      <c r="A18741" s="4" t="s">
        <v>23571</v>
      </c>
      <c r="B18741" s="4" t="s">
        <v>23575</v>
      </c>
      <c r="C18741" s="5" t="str">
        <f>IFERROR(__xludf.DUMMYFUNCTION("GOOGLETRANSLATE(B18741,""en"",""zh-CN"")"),"酒保将两张卡放在酒吧上。")</f>
        <v>酒保将两张卡放在酒吧上。</v>
      </c>
    </row>
    <row r="18742">
      <c r="A18742" s="4" t="s">
        <v>23571</v>
      </c>
      <c r="B18742" s="4" t="s">
        <v>23576</v>
      </c>
      <c r="C18742" s="5" t="str">
        <f>IFERROR(__xludf.DUMMYFUNCTION("GOOGLETRANSLATE(B18742,""en"",""zh-CN"")"),"他们推卡并喝啤酒，然后拉卡并喝啤酒。")</f>
        <v>他们推卡并喝啤酒，然后拉卡并喝啤酒。</v>
      </c>
    </row>
    <row r="18743">
      <c r="A18743" s="4" t="s">
        <v>23571</v>
      </c>
      <c r="B18743" s="4" t="s">
        <v>23577</v>
      </c>
      <c r="C18743" s="5" t="str">
        <f>IFERROR(__xludf.DUMMYFUNCTION("GOOGLETRANSLATE(B18743,""en"",""zh-CN"")"),"酒保将啤酒吐回玻璃杯中。")</f>
        <v>酒保将啤酒吐回玻璃杯中。</v>
      </c>
    </row>
    <row r="18744">
      <c r="A18744" s="4" t="s">
        <v>23571</v>
      </c>
      <c r="B18744" s="4" t="s">
        <v>23578</v>
      </c>
      <c r="C18744" s="5" t="str">
        <f>IFERROR(__xludf.DUMMYFUNCTION("GOOGLETRANSLATE(B18744,""en"",""zh-CN"")"),"酒保看着相机说话。")</f>
        <v>酒保看着相机说话。</v>
      </c>
    </row>
    <row r="18745">
      <c r="A18745" s="4" t="s">
        <v>23571</v>
      </c>
      <c r="B18745" s="4" t="s">
        <v>23579</v>
      </c>
      <c r="C18745" s="5" t="str">
        <f>IFERROR(__xludf.DUMMYFUNCTION("GOOGLETRANSLATE(B18745,""en"",""zh-CN"")"),"我们看到了最终标题屏幕。")</f>
        <v>我们看到了最终标题屏幕。</v>
      </c>
    </row>
    <row r="18746">
      <c r="A18746" s="4" t="s">
        <v>23580</v>
      </c>
      <c r="B18746" s="4" t="s">
        <v>23581</v>
      </c>
      <c r="C18746" s="5" t="str">
        <f>IFERROR(__xludf.DUMMYFUNCTION("GOOGLETRANSLATE(B18746,""en"",""zh-CN"")"),"一个小男孩捡起保龄球。")</f>
        <v>一个小男孩捡起保龄球。</v>
      </c>
    </row>
    <row r="18747">
      <c r="A18747" s="4" t="s">
        <v>23580</v>
      </c>
      <c r="B18747" s="4" t="s">
        <v>23582</v>
      </c>
      <c r="C18747" s="5" t="str">
        <f>IFERROR(__xludf.DUMMYFUNCTION("GOOGLETRANSLATE(B18747,""en"",""zh-CN"")"),"他将其设置在轨道上，然后将其推下一条车道。")</f>
        <v>他将其设置在轨道上，然后将其推下一条车道。</v>
      </c>
    </row>
    <row r="18748">
      <c r="A18748" s="4" t="s">
        <v>23580</v>
      </c>
      <c r="B18748" s="4" t="s">
        <v>23583</v>
      </c>
      <c r="C18748" s="5" t="str">
        <f>IFERROR(__xludf.DUMMYFUNCTION("GOOGLETRANSLATE(B18748,""en"",""zh-CN"")"),"一个绑在她的胸部碗上的女人在车道上一个球。")</f>
        <v>一个绑在她的胸部碗上的女人在车道上一个球。</v>
      </c>
    </row>
    <row r="18749">
      <c r="A18749" s="4" t="s">
        <v>23584</v>
      </c>
      <c r="B18749" s="4" t="s">
        <v>23585</v>
      </c>
      <c r="C18749" s="5" t="str">
        <f>IFERROR(__xludf.DUMMYFUNCTION("GOOGLETRANSLATE(B18749,""en"",""zh-CN"")"),"一名穿着格子衬衫的男人用棍子击中球，球散落在桌子上。")</f>
        <v>一名穿着格子衬衫的男人用棍子击中球，球散落在桌子上。</v>
      </c>
    </row>
    <row r="18750">
      <c r="A18750" s="4" t="s">
        <v>23584</v>
      </c>
      <c r="B18750" s="6" t="s">
        <v>23586</v>
      </c>
      <c r="C18750" s="5" t="str">
        <f>IFERROR(__xludf.DUMMYFUNCTION("GOOGLETRANSLATE(B18750,""en"",""zh-CN"")"),"穿着灰色毛衣的男人靠在桌子上，看着球，然后击中白球，击中黄色球，而穿着格子衬衫的男子坐在椅子上。")</f>
        <v>穿着灰色毛衣的男人靠在桌子上，看着球，然后击中白球，击中黄色球，而穿着格子衬衫的男子坐在椅子上。</v>
      </c>
    </row>
    <row r="18751">
      <c r="A18751" s="4" t="s">
        <v>23584</v>
      </c>
      <c r="B18751" s="4" t="s">
        <v>23587</v>
      </c>
      <c r="C18751" s="5" t="str">
        <f>IFERROR(__xludf.DUMMYFUNCTION("GOOGLETRANSLATE(B18751,""en"",""zh-CN"")"),"灰色毛衣的那个人继续打台球，使球在孔中射出。")</f>
        <v>灰色毛衣的那个人继续打台球，使球在孔中射出。</v>
      </c>
    </row>
    <row r="18752">
      <c r="A18752" s="4" t="s">
        <v>23588</v>
      </c>
      <c r="B18752" s="4" t="s">
        <v>23589</v>
      </c>
      <c r="C18752" s="5" t="str">
        <f>IFERROR(__xludf.DUMMYFUNCTION("GOOGLETRANSLATE(B18752,""en"",""zh-CN"")"),"一只手正在推草机。")</f>
        <v>一只手正在推草机。</v>
      </c>
    </row>
    <row r="18753">
      <c r="A18753" s="4" t="s">
        <v>23588</v>
      </c>
      <c r="B18753" s="4" t="s">
        <v>23590</v>
      </c>
      <c r="C18753" s="5" t="str">
        <f>IFERROR(__xludf.DUMMYFUNCTION("GOOGLETRANSLATE(B18753,""en"",""zh-CN"")"),"机器从黑色的杆子吐出干叶。")</f>
        <v>机器从黑色的杆子吐出干叶。</v>
      </c>
    </row>
    <row r="18754">
      <c r="A18754" s="4" t="s">
        <v>23588</v>
      </c>
      <c r="B18754" s="4" t="s">
        <v>23591</v>
      </c>
      <c r="C18754" s="5" t="str">
        <f>IFERROR(__xludf.DUMMYFUNCTION("GOOGLETRANSLATE(B18754,""en"",""zh-CN"")"),"机器向房屋弯曲。")</f>
        <v>机器向房屋弯曲。</v>
      </c>
    </row>
    <row r="18755">
      <c r="A18755" s="4" t="s">
        <v>23592</v>
      </c>
      <c r="B18755" s="6" t="s">
        <v>23593</v>
      </c>
      <c r="C18755" s="5" t="str">
        <f>IFERROR(__xludf.DUMMYFUNCTION("GOOGLETRANSLATE(B18755,""en"",""zh-CN"")"),"看到一个女人在相机上说话，然后将她的戒指摘下来，在一些水下伸出手。")</f>
        <v>看到一个女人在相机上说话，然后将她的戒指摘下来，在一些水下伸出手。</v>
      </c>
    </row>
    <row r="18756">
      <c r="A18756" s="4" t="s">
        <v>23592</v>
      </c>
      <c r="B18756" s="4" t="s">
        <v>23594</v>
      </c>
      <c r="C18756" s="5" t="str">
        <f>IFERROR(__xludf.DUMMYFUNCTION("GOOGLETRANSLATE(B18756,""en"",""zh-CN"")"),"她用肥皂擦洗双手，然后将手指放在水下。")</f>
        <v>她用肥皂擦洗双手，然后将手指放在水下。</v>
      </c>
    </row>
    <row r="18757">
      <c r="A18757" s="4" t="s">
        <v>23592</v>
      </c>
      <c r="B18757" s="4" t="s">
        <v>23595</v>
      </c>
      <c r="C18757" s="5" t="str">
        <f>IFERROR(__xludf.DUMMYFUNCTION("GOOGLETRANSLATE(B18757,""en"",""zh-CN"")"),"最终，人们表现出一些舞蹈，展示如何正确洗手。")</f>
        <v>最终，人们表现出一些舞蹈，展示如何正确洗手。</v>
      </c>
    </row>
    <row r="18758">
      <c r="A18758" s="4" t="s">
        <v>23596</v>
      </c>
      <c r="B18758" s="4" t="s">
        <v>23597</v>
      </c>
      <c r="C18758" s="5" t="str">
        <f>IFERROR(__xludf.DUMMYFUNCTION("GOOGLETRANSLATE(B18758,""en"",""zh-CN"")"),"我们看到人们深海潜水。")</f>
        <v>我们看到人们深海潜水。</v>
      </c>
    </row>
    <row r="18759">
      <c r="A18759" s="4" t="s">
        <v>23596</v>
      </c>
      <c r="B18759" s="4" t="s">
        <v>23598</v>
      </c>
      <c r="C18759" s="5" t="str">
        <f>IFERROR(__xludf.DUMMYFUNCTION("GOOGLETRANSLATE(B18759,""en"",""zh-CN"")"),"我们看到了海洋的表面。")</f>
        <v>我们看到了海洋的表面。</v>
      </c>
    </row>
    <row r="18760">
      <c r="A18760" s="4" t="s">
        <v>23596</v>
      </c>
      <c r="B18760" s="4" t="s">
        <v>23599</v>
      </c>
      <c r="C18760" s="5" t="str">
        <f>IFERROR(__xludf.DUMMYFUNCTION("GOOGLETRANSLATE(B18760,""en"",""zh-CN"")"),"我们看到人们在水下握手。")</f>
        <v>我们看到人们在水下握手。</v>
      </c>
    </row>
    <row r="18761">
      <c r="A18761" s="4" t="s">
        <v>23596</v>
      </c>
      <c r="B18761" s="4" t="s">
        <v>23600</v>
      </c>
      <c r="C18761" s="5" t="str">
        <f>IFERROR(__xludf.DUMMYFUNCTION("GOOGLETRANSLATE(B18761,""en"",""zh-CN"")"),"人们正在扔手势。")</f>
        <v>人们正在扔手势。</v>
      </c>
    </row>
    <row r="18762">
      <c r="A18762" s="4" t="s">
        <v>23596</v>
      </c>
      <c r="B18762" s="4" t="s">
        <v>23601</v>
      </c>
      <c r="C18762" s="5" t="str">
        <f>IFERROR(__xludf.DUMMYFUNCTION("GOOGLETRANSLATE(B18762,""en"",""zh-CN"")"),"我们看到一个男人扔了一个手势，我们看到人们站在水中。")</f>
        <v>我们看到一个男人扔了一个手势，我们看到人们站在水中。</v>
      </c>
    </row>
    <row r="18763">
      <c r="A18763" s="4" t="s">
        <v>23596</v>
      </c>
      <c r="B18763" s="4" t="s">
        <v>23602</v>
      </c>
      <c r="C18763" s="5" t="str">
        <f>IFERROR(__xludf.DUMMYFUNCTION("GOOGLETRANSLATE(B18763,""en"",""zh-CN"")"),"一个人慢慢地走下水。")</f>
        <v>一个人慢慢地走下水。</v>
      </c>
    </row>
    <row r="18764">
      <c r="A18764" s="4" t="s">
        <v>23603</v>
      </c>
      <c r="B18764" s="4" t="s">
        <v>23604</v>
      </c>
      <c r="C18764" s="5" t="str">
        <f>IFERROR(__xludf.DUMMYFUNCTION("GOOGLETRANSLATE(B18764,""en"",""zh-CN"")"),"看到一小群人站在海滩上玩排球比赛。")</f>
        <v>看到一小群人站在海滩上玩排球比赛。</v>
      </c>
    </row>
    <row r="18765">
      <c r="A18765" s="4" t="s">
        <v>23603</v>
      </c>
      <c r="B18765" s="4" t="s">
        <v>23605</v>
      </c>
      <c r="C18765" s="5" t="str">
        <f>IFERROR(__xludf.DUMMYFUNCTION("GOOGLETRANSLATE(B18765,""en"",""zh-CN"")"),"一个人击中了另一个人，他们打了球。")</f>
        <v>一个人击中了另一个人，他们打了球。</v>
      </c>
    </row>
    <row r="18766">
      <c r="A18766" s="4" t="s">
        <v>23603</v>
      </c>
      <c r="B18766" s="4" t="s">
        <v>23606</v>
      </c>
      <c r="C18766" s="5" t="str">
        <f>IFERROR(__xludf.DUMMYFUNCTION("GOOGLETRANSLATE(B18766,""en"",""zh-CN"")"),"比赛继续进行，当人们看到人们在侧面观看。")</f>
        <v>比赛继续进行，当人们看到人们在侧面观看。</v>
      </c>
    </row>
    <row r="18767">
      <c r="A18767" s="4" t="s">
        <v>23607</v>
      </c>
      <c r="B18767" s="4" t="s">
        <v>23608</v>
      </c>
      <c r="C18767" s="5" t="str">
        <f>IFERROR(__xludf.DUMMYFUNCTION("GOOGLETRANSLATE(B18767,""en"",""zh-CN"")"),"看到一个男人在镜头前玩着她的头发，并带领她刷头发。")</f>
        <v>看到一个男人在镜头前玩着她的头发，并带领她刷头发。</v>
      </c>
    </row>
    <row r="18768">
      <c r="A18768" s="4" t="s">
        <v>23607</v>
      </c>
      <c r="B18768" s="4" t="s">
        <v>23609</v>
      </c>
      <c r="C18768" s="5" t="str">
        <f>IFERROR(__xludf.DUMMYFUNCTION("GOOGLETRANSLATE(B18768,""en"",""zh-CN"")"),"然后，她将头发绑起来，然后在梳子的同时吹干头发。")</f>
        <v>然后，她将头发绑起来，然后在梳子的同时吹干头发。</v>
      </c>
    </row>
    <row r="18769">
      <c r="A18769" s="4" t="s">
        <v>23607</v>
      </c>
      <c r="B18769" s="4" t="s">
        <v>23610</v>
      </c>
      <c r="C18769" s="5" t="str">
        <f>IFERROR(__xludf.DUMMYFUNCTION("GOOGLETRANSLATE(B18769,""en"",""zh-CN"")"),"然后将她的头发倒下，在她的头发上穿过乳液，同时仍然看着相机。")</f>
        <v>然后将她的头发倒下，在她的头发上穿过乳液，同时仍然看着相机。</v>
      </c>
    </row>
    <row r="18770">
      <c r="A18770" s="4" t="s">
        <v>23611</v>
      </c>
      <c r="B18770" s="4" t="s">
        <v>23612</v>
      </c>
      <c r="C18770" s="5" t="str">
        <f>IFERROR(__xludf.DUMMYFUNCTION("GOOGLETRANSLATE(B18770,""en"",""zh-CN"")"),"显示了板子的镜头，然后是各种美容师在桌子上修饰狗。")</f>
        <v>显示了板子的镜头，然后是各种美容师在桌子上修饰狗。</v>
      </c>
    </row>
    <row r="18771">
      <c r="A18771" s="4" t="s">
        <v>23611</v>
      </c>
      <c r="B18771" s="4" t="s">
        <v>23613</v>
      </c>
      <c r="C18771" s="5" t="str">
        <f>IFERROR(__xludf.DUMMYFUNCTION("GOOGLETRANSLATE(B18771,""en"",""zh-CN"")"),"人们继续在桌子上修饰狗，视频在屏幕上以文字结尾。")</f>
        <v>人们继续在桌子上修饰狗，视频在屏幕上以文字结尾。</v>
      </c>
    </row>
    <row r="18772">
      <c r="A18772" s="4" t="s">
        <v>23614</v>
      </c>
      <c r="B18772" s="4" t="s">
        <v>23615</v>
      </c>
      <c r="C18772" s="5" t="str">
        <f>IFERROR(__xludf.DUMMYFUNCTION("GOOGLETRANSLATE(B18772,""en"",""zh-CN"")"),"各种各样的人被示威露出相机，并接受了有关问题的采访。")</f>
        <v>各种各样的人被示威露出相机，并接受了有关问题的采访。</v>
      </c>
    </row>
    <row r="18773">
      <c r="A18773" s="4" t="s">
        <v>23614</v>
      </c>
      <c r="B18773" s="6" t="s">
        <v>23616</v>
      </c>
      <c r="C18773" s="5" t="str">
        <f>IFERROR(__xludf.DUMMYFUNCTION("GOOGLETRANSLATE(B18773,""en"",""zh-CN"")"),"其他几个问题也向同一人提出，以及人们在海滩周围用绳子进行活动的镜头。")</f>
        <v>其他几个问题也向同一人提出，以及人们在海滩周围用绳子进行活动的镜头。</v>
      </c>
    </row>
    <row r="18774">
      <c r="A18774" s="4" t="s">
        <v>23617</v>
      </c>
      <c r="B18774" s="4" t="s">
        <v>23618</v>
      </c>
      <c r="C18774" s="5" t="str">
        <f>IFERROR(__xludf.DUMMYFUNCTION("GOOGLETRANSLATE(B18774,""en"",""zh-CN"")"),"黄色皮划艇的前部被视为船漂浮在河流的湍流白水域。")</f>
        <v>黄色皮划艇的前部被视为船漂浮在河流的湍流白水域。</v>
      </c>
    </row>
    <row r="18775">
      <c r="A18775" s="4" t="s">
        <v>23617</v>
      </c>
      <c r="B18775" s="4" t="s">
        <v>23619</v>
      </c>
      <c r="C18775" s="5" t="str">
        <f>IFERROR(__xludf.DUMMYFUNCTION("GOOGLETRANSLATE(B18775,""en"",""zh-CN"")"),"它在放慢脚步之前经过一块岩石和许多树木。")</f>
        <v>它在放慢脚步之前经过一块岩石和许多树木。</v>
      </c>
    </row>
    <row r="18776">
      <c r="A18776" s="4" t="s">
        <v>23620</v>
      </c>
      <c r="B18776" s="4" t="s">
        <v>23621</v>
      </c>
      <c r="C18776" s="5" t="str">
        <f>IFERROR(__xludf.DUMMYFUNCTION("GOOGLETRANSLATE(B18776,""en"",""zh-CN"")"),"一个年轻的金发男孩在几张静止图像中显示，包括滑雪时的几张。")</f>
        <v>一个年轻的金发男孩在几张静止图像中显示，包括滑雪时的几张。</v>
      </c>
    </row>
    <row r="18777">
      <c r="A18777" s="4" t="s">
        <v>23620</v>
      </c>
      <c r="B18777" s="4" t="s">
        <v>23622</v>
      </c>
      <c r="C18777" s="5" t="str">
        <f>IFERROR(__xludf.DUMMYFUNCTION("GOOGLETRANSLATE(B18777,""en"",""zh-CN"")"),"然后看到他从多个角度和视频下滑到一座大山丘上。")</f>
        <v>然后看到他从多个角度和视频下滑到一座大山丘上。</v>
      </c>
    </row>
    <row r="18778">
      <c r="A18778" s="4" t="s">
        <v>23620</v>
      </c>
      <c r="B18778" s="4" t="s">
        <v>23623</v>
      </c>
      <c r="C18778" s="5" t="str">
        <f>IFERROR(__xludf.DUMMYFUNCTION("GOOGLETRANSLATE(B18778,""en"",""zh-CN"")"),"他降落在一个小山顶上，跌落。")</f>
        <v>他降落在一个小山顶上，跌落。</v>
      </c>
    </row>
    <row r="18779">
      <c r="A18779" s="4" t="s">
        <v>23620</v>
      </c>
      <c r="B18779" s="4" t="s">
        <v>23624</v>
      </c>
      <c r="C18779" s="5" t="str">
        <f>IFERROR(__xludf.DUMMYFUNCTION("GOOGLETRANSLATE(B18779,""en"",""zh-CN"")"),"然后，我们看到他在沙发上睡觉的图像。")</f>
        <v>然后，我们看到他在沙发上睡觉的图像。</v>
      </c>
    </row>
    <row r="18780">
      <c r="A18780" s="4" t="s">
        <v>23625</v>
      </c>
      <c r="B18780" s="4" t="s">
        <v>23626</v>
      </c>
      <c r="C18780" s="5" t="str">
        <f>IFERROR(__xludf.DUMMYFUNCTION("GOOGLETRANSLATE(B18780,""en"",""zh-CN"")"),"一个男人在房子里的房间里。")</f>
        <v>一个男人在房子里的房间里。</v>
      </c>
    </row>
    <row r="18781">
      <c r="A18781" s="4" t="s">
        <v>23625</v>
      </c>
      <c r="B18781" s="4" t="s">
        <v>23627</v>
      </c>
      <c r="C18781" s="5" t="str">
        <f>IFERROR(__xludf.DUMMYFUNCTION("GOOGLETRANSLATE(B18781,""en"",""zh-CN"")"),"他正在使用球拍将网球来回撞到墙上。")</f>
        <v>他正在使用球拍将网球来回撞到墙上。</v>
      </c>
    </row>
    <row r="18782">
      <c r="A18782" s="4" t="s">
        <v>23625</v>
      </c>
      <c r="B18782" s="4" t="s">
        <v>23628</v>
      </c>
      <c r="C18782" s="5" t="str">
        <f>IFERROR(__xludf.DUMMYFUNCTION("GOOGLETRANSLATE(B18782,""en"",""zh-CN"")"),"他继续击球，直到他打完比赛。")</f>
        <v>他继续击球，直到他打完比赛。</v>
      </c>
    </row>
    <row r="18783">
      <c r="A18783" s="4" t="s">
        <v>23629</v>
      </c>
      <c r="B18783" s="6" t="s">
        <v>23630</v>
      </c>
      <c r="C18783" s="5" t="str">
        <f>IFERROR(__xludf.DUMMYFUNCTION("GOOGLETRANSLATE(B18783,""en"",""zh-CN"")"),"看到几个柠檬坐在桌子上，上面放着眼镜和盘子，然后将柠檬放入容器中。")</f>
        <v>看到几个柠檬坐在桌子上，上面放着眼镜和盘子，然后将柠檬放入容器中。</v>
      </c>
    </row>
    <row r="18784">
      <c r="A18784" s="4" t="s">
        <v>23629</v>
      </c>
      <c r="B18784" s="4" t="s">
        <v>23631</v>
      </c>
      <c r="C18784" s="5" t="str">
        <f>IFERROR(__xludf.DUMMYFUNCTION("GOOGLETRANSLATE(B18784,""en"",""zh-CN"")"),"他将食材与柠檬混合，然后将它们摇动在另​​一杯中。")</f>
        <v>他将食材与柠檬混合，然后将它们摇动在另​​一杯中。</v>
      </c>
    </row>
    <row r="18785">
      <c r="A18785" s="4" t="s">
        <v>23629</v>
      </c>
      <c r="B18785" s="4" t="s">
        <v>23632</v>
      </c>
      <c r="C18785" s="5" t="str">
        <f>IFERROR(__xludf.DUMMYFUNCTION("GOOGLETRANSLATE(B18785,""en"",""zh-CN"")"),"他完成了柠檬水，并将其放到相机上，同时也服用了一口。")</f>
        <v>他完成了柠檬水，并将其放到相机上，同时也服用了一口。</v>
      </c>
    </row>
    <row r="18786">
      <c r="A18786" s="4" t="s">
        <v>23633</v>
      </c>
      <c r="B18786" s="4" t="s">
        <v>23634</v>
      </c>
      <c r="C18786" s="5" t="str">
        <f>IFERROR(__xludf.DUMMYFUNCTION("GOOGLETRANSLATE(B18786,""en"",""zh-CN"")"),"看到人们在体育馆周围走来走去，并在酒吧之间站着一个站立。")</f>
        <v>看到人们在体育馆周围走来走去，并在酒吧之间站着一个站立。</v>
      </c>
    </row>
    <row r="18787">
      <c r="A18787" s="4" t="s">
        <v>23633</v>
      </c>
      <c r="B18787" s="4" t="s">
        <v>23635</v>
      </c>
      <c r="C18787" s="5" t="str">
        <f>IFERROR(__xludf.DUMMYFUNCTION("GOOGLETRANSLATE(B18787,""en"",""zh-CN"")"),"然后，体操运动员将自己移动到酒吧，然后跳下。")</f>
        <v>然后，体操运动员将自己移动到酒吧，然后跳下。</v>
      </c>
    </row>
    <row r="18788">
      <c r="A18788" s="4" t="s">
        <v>23633</v>
      </c>
      <c r="B18788" s="4" t="s">
        <v>23636</v>
      </c>
      <c r="C18788" s="5" t="str">
        <f>IFERROR(__xludf.DUMMYFUNCTION("GOOGLETRANSLATE(B18788,""en"",""zh-CN"")"),"另一个人走到酒吧，试图旋转。")</f>
        <v>另一个人走到酒吧，试图旋转。</v>
      </c>
    </row>
    <row r="18789">
      <c r="A18789" s="4" t="s">
        <v>23637</v>
      </c>
      <c r="B18789" s="4" t="s">
        <v>23638</v>
      </c>
      <c r="C18789" s="5" t="str">
        <f>IFERROR(__xludf.DUMMYFUNCTION("GOOGLETRANSLATE(B18789,""en"",""zh-CN"")"),"一个蹒跚学步的幼儿在浴缸里洗狗，用淋浴软管倒水。")</f>
        <v>一个蹒跚学步的幼儿在浴缸里洗狗，用淋浴软管倒水。</v>
      </c>
    </row>
    <row r="18790">
      <c r="A18790" s="4" t="s">
        <v>23637</v>
      </c>
      <c r="B18790" s="4" t="s">
        <v>23639</v>
      </c>
      <c r="C18790" s="5" t="str">
        <f>IFERROR(__xludf.DUMMYFUNCTION("GOOGLETRANSLATE(B18790,""en"",""zh-CN"")"),"小孩抬起马的尾巴，洗屁股。")</f>
        <v>小孩抬起马的尾巴，洗屁股。</v>
      </c>
    </row>
    <row r="18791">
      <c r="A18791" s="4" t="s">
        <v>23637</v>
      </c>
      <c r="B18791" s="4" t="s">
        <v>23640</v>
      </c>
      <c r="C18791" s="5" t="str">
        <f>IFERROR(__xludf.DUMMYFUNCTION("GOOGLETRANSLATE(B18791,""en"",""zh-CN"")"),"之后，蹒跚学步，拿起刷子擦洗并洗狗。")</f>
        <v>之后，蹒跚学步，拿起刷子擦洗并洗狗。</v>
      </c>
    </row>
    <row r="18792">
      <c r="A18792" s="4" t="s">
        <v>23641</v>
      </c>
      <c r="B18792" s="4" t="s">
        <v>23642</v>
      </c>
      <c r="C18792" s="5" t="str">
        <f>IFERROR(__xludf.DUMMYFUNCTION("GOOGLETRANSLATE(B18792,""en"",""zh-CN"")"),"一个人在船上骑着一对水滑雪。")</f>
        <v>一个人在船上骑着一对水滑雪。</v>
      </c>
    </row>
    <row r="18793">
      <c r="A18793" s="4" t="s">
        <v>23641</v>
      </c>
      <c r="B18793" s="4" t="s">
        <v>23643</v>
      </c>
      <c r="C18793" s="5" t="str">
        <f>IFERROR(__xludf.DUMMYFUNCTION("GOOGLETRANSLATE(B18793,""en"",""zh-CN"")"),"他从水中向一侧转动，坚持下去。")</f>
        <v>他从水中向一侧转动，坚持下去。</v>
      </c>
    </row>
    <row r="18794">
      <c r="A18794" s="4" t="s">
        <v>23641</v>
      </c>
      <c r="B18794" s="4" t="s">
        <v>23644</v>
      </c>
      <c r="C18794" s="5" t="str">
        <f>IFERROR(__xludf.DUMMYFUNCTION("GOOGLETRANSLATE(B18794,""en"",""zh-CN"")"),"他以特技表演跳入空中，失去平衡，掉进水中。")</f>
        <v>他以特技表演跳入空中，失去平衡，掉进水中。</v>
      </c>
    </row>
    <row r="18795">
      <c r="A18795" s="4" t="s">
        <v>23645</v>
      </c>
      <c r="B18795" s="6" t="s">
        <v>23646</v>
      </c>
      <c r="C18795" s="5" t="str">
        <f>IFERROR(__xludf.DUMMYFUNCTION("GOOGLETRANSLATE(B18795,""en"",""zh-CN"")"),"两支球队正在踢拔战，而裁判处于中央，在旁边是人们拍照的人。")</f>
        <v>两支球队正在踢拔战，而裁判处于中央，在旁边是人们拍照的人。</v>
      </c>
    </row>
    <row r="18796">
      <c r="A18796" s="4" t="s">
        <v>23645</v>
      </c>
      <c r="B18796" s="6" t="s">
        <v>23647</v>
      </c>
      <c r="C18796" s="5" t="str">
        <f>IFERROR(__xludf.DUMMYFUNCTION("GOOGLETRANSLATE(B18796,""en"",""zh-CN"")"),"裁判发出了一个发出的信号，让球队开始拉动，球员们将绳子拉动了所有的力量，直到蓝色团队赢得胜利，在车道的另一侧，另一支球队正在拔拔河，摄像机的盘子为观看游戏的观众。")</f>
        <v>裁判发出了一个发出的信号，让球队开始拉动，球员们将绳子拉动了所有的力量，直到蓝色团队赢得胜利，在车道的另一侧，另一支球队正在拔拔河，摄像机的盘子为观看游戏的观众。</v>
      </c>
    </row>
    <row r="18797">
      <c r="A18797" s="4" t="s">
        <v>23648</v>
      </c>
      <c r="B18797" s="4" t="s">
        <v>23649</v>
      </c>
      <c r="C18797" s="5" t="str">
        <f>IFERROR(__xludf.DUMMYFUNCTION("GOOGLETRANSLATE(B18797,""en"",""zh-CN"")"),"一个女人正在用粉红色的刷子刷牙。")</f>
        <v>一个女人正在用粉红色的刷子刷牙。</v>
      </c>
    </row>
    <row r="18798">
      <c r="A18798" s="4" t="s">
        <v>23648</v>
      </c>
      <c r="B18798" s="4" t="s">
        <v>23650</v>
      </c>
      <c r="C18798" s="5" t="str">
        <f>IFERROR(__xludf.DUMMYFUNCTION("GOOGLETRANSLATE(B18798,""en"",""zh-CN"")"),"她的刷牙非常快，有力。")</f>
        <v>她的刷牙非常快，有力。</v>
      </c>
    </row>
    <row r="18799">
      <c r="A18799" s="4" t="s">
        <v>23648</v>
      </c>
      <c r="B18799" s="4" t="s">
        <v>23651</v>
      </c>
      <c r="C18799" s="5" t="str">
        <f>IFERROR(__xludf.DUMMYFUNCTION("GOOGLETRANSLATE(B18799,""en"",""zh-CN"")"),"她正在刷上牙齿和下牙。")</f>
        <v>她正在刷上牙齿和下牙。</v>
      </c>
    </row>
    <row r="18800">
      <c r="A18800" s="4" t="s">
        <v>23648</v>
      </c>
      <c r="B18800" s="4" t="s">
        <v>23652</v>
      </c>
      <c r="C18800" s="5" t="str">
        <f>IFERROR(__xludf.DUMMYFUNCTION("GOOGLETRANSLATE(B18800,""en"",""zh-CN"")"),"她伸出舌头以清洁牙膏。")</f>
        <v>她伸出舌头以清洁牙膏。</v>
      </c>
    </row>
    <row r="18801">
      <c r="A18801" s="4" t="s">
        <v>23648</v>
      </c>
      <c r="B18801" s="4" t="s">
        <v>23653</v>
      </c>
      <c r="C18801" s="5" t="str">
        <f>IFERROR(__xludf.DUMMYFUNCTION("GOOGLETRANSLATE(B18801,""en"",""zh-CN"")"),"她检查牙齿，看看他们是否足够干净。")</f>
        <v>她检查牙齿，看看他们是否足够干净。</v>
      </c>
    </row>
    <row r="18802">
      <c r="A18802" s="4" t="s">
        <v>23648</v>
      </c>
      <c r="B18802" s="4" t="s">
        <v>23654</v>
      </c>
      <c r="C18802" s="5" t="str">
        <f>IFERROR(__xludf.DUMMYFUNCTION("GOOGLETRANSLATE(B18802,""en"",""zh-CN"")"),"当她继续刷牙时，她张开嘴。")</f>
        <v>当她继续刷牙时，她张开嘴。</v>
      </c>
    </row>
    <row r="18803">
      <c r="A18803" s="4" t="s">
        <v>23648</v>
      </c>
      <c r="B18803" s="4" t="s">
        <v>23655</v>
      </c>
      <c r="C18803" s="5" t="str">
        <f>IFERROR(__xludf.DUMMYFUNCTION("GOOGLETRANSLATE(B18803,""en"",""zh-CN"")"),"一些牙膏掉了下来。")</f>
        <v>一些牙膏掉了下来。</v>
      </c>
    </row>
    <row r="18804">
      <c r="A18804" s="4" t="s">
        <v>23648</v>
      </c>
      <c r="B18804" s="4" t="s">
        <v>23656</v>
      </c>
      <c r="C18804" s="5" t="str">
        <f>IFERROR(__xludf.DUMMYFUNCTION("GOOGLETRANSLATE(B18804,""en"",""zh-CN"")"),"她开始彻底刷舌头。")</f>
        <v>她开始彻底刷舌头。</v>
      </c>
    </row>
    <row r="18805">
      <c r="A18805" s="4" t="s">
        <v>23648</v>
      </c>
      <c r="B18805" s="4" t="s">
        <v>23657</v>
      </c>
      <c r="C18805" s="5" t="str">
        <f>IFERROR(__xludf.DUMMYFUNCTION("GOOGLETRANSLATE(B18805,""en"",""zh-CN"")"),"然后，她继续再次刷上牙齿和下牙。")</f>
        <v>然后，她继续再次刷上牙齿和下牙。</v>
      </c>
    </row>
    <row r="18806">
      <c r="A18806" s="4" t="s">
        <v>23648</v>
      </c>
      <c r="B18806" s="4" t="s">
        <v>23658</v>
      </c>
      <c r="C18806" s="5" t="str">
        <f>IFERROR(__xludf.DUMMYFUNCTION("GOOGLETRANSLATE(B18806,""en"",""zh-CN"")"),"然后，她伸出舌头，将其刮在牙齿上。")</f>
        <v>然后，她伸出舌头，将其刮在牙齿上。</v>
      </c>
    </row>
    <row r="18807">
      <c r="A18807" s="4" t="s">
        <v>23648</v>
      </c>
      <c r="B18807" s="4" t="s">
        <v>23659</v>
      </c>
      <c r="C18807" s="5" t="str">
        <f>IFERROR(__xludf.DUMMYFUNCTION("GOOGLETRANSLATE(B18807,""en"",""zh-CN"")"),"她吐一些牙膏。")</f>
        <v>她吐一些牙膏。</v>
      </c>
    </row>
    <row r="18808">
      <c r="A18808" s="4" t="s">
        <v>23648</v>
      </c>
      <c r="B18808" s="4" t="s">
        <v>23660</v>
      </c>
      <c r="C18808" s="5" t="str">
        <f>IFERROR(__xludf.DUMMYFUNCTION("GOOGLETRANSLATE(B18808,""en"",""zh-CN"")"),"一些牙膏落在她的下巴上，使它看起来像白胡子。")</f>
        <v>一些牙膏落在她的下巴上，使它看起来像白胡子。</v>
      </c>
    </row>
    <row r="18809">
      <c r="A18809" s="4" t="s">
        <v>23648</v>
      </c>
      <c r="B18809" s="4" t="s">
        <v>23661</v>
      </c>
      <c r="C18809" s="5" t="str">
        <f>IFERROR(__xludf.DUMMYFUNCTION("GOOGLETRANSLATE(B18809,""en"",""zh-CN"")"),"她假装是圣诞老人，说，何，何，圣诞快乐。")</f>
        <v>她假装是圣诞老人，说，何，何，圣诞快乐。</v>
      </c>
    </row>
    <row r="18810">
      <c r="A18810" s="4" t="s">
        <v>23648</v>
      </c>
      <c r="B18810" s="4" t="s">
        <v>23662</v>
      </c>
      <c r="C18810" s="5" t="str">
        <f>IFERROR(__xludf.DUMMYFUNCTION("GOOGLETRANSLATE(B18810,""en"",""zh-CN"")"),"然后，她笑着笑着笑着。")</f>
        <v>然后，她笑着笑着笑着。</v>
      </c>
    </row>
    <row r="18811">
      <c r="A18811" s="4" t="s">
        <v>23663</v>
      </c>
      <c r="B18811" s="4" t="s">
        <v>23664</v>
      </c>
      <c r="C18811" s="5" t="str">
        <f>IFERROR(__xludf.DUMMYFUNCTION("GOOGLETRANSLATE(B18811,""en"",""zh-CN"")"),"看到一大批人坐在一个圈子里，有2名公牛站在坑里。")</f>
        <v>看到一大批人坐在一个圈子里，有2名公牛站在坑里。</v>
      </c>
    </row>
    <row r="18812">
      <c r="A18812" s="4" t="s">
        <v>23663</v>
      </c>
      <c r="B18812" s="6" t="s">
        <v>23665</v>
      </c>
      <c r="C18812" s="5" t="str">
        <f>IFERROR(__xludf.DUMMYFUNCTION("GOOGLETRANSLATE(B18812,""en"",""zh-CN"")"),"动物和人民继续彼此走动，进入公牛相互战斗。")</f>
        <v>动物和人民继续彼此走动，进入公牛相互战斗。</v>
      </c>
    </row>
    <row r="18813">
      <c r="A18813" s="4" t="s">
        <v>23666</v>
      </c>
      <c r="B18813" s="4" t="s">
        <v>23667</v>
      </c>
      <c r="C18813" s="5" t="str">
        <f>IFERROR(__xludf.DUMMYFUNCTION("GOOGLETRANSLATE(B18813,""en"",""zh-CN"")"),"出现徽标，然后围栏一词。")</f>
        <v>出现徽标，然后围栏一词。</v>
      </c>
    </row>
    <row r="18814">
      <c r="A18814" s="4" t="s">
        <v>23666</v>
      </c>
      <c r="B18814" s="4" t="s">
        <v>23668</v>
      </c>
      <c r="C18814" s="5" t="str">
        <f>IFERROR(__xludf.DUMMYFUNCTION("GOOGLETRANSLATE(B18814,""en"",""zh-CN"")"),"人们开始一起围栏。")</f>
        <v>人们开始一起围栏。</v>
      </c>
    </row>
    <row r="18815">
      <c r="A18815" s="4" t="s">
        <v>23666</v>
      </c>
      <c r="B18815" s="4" t="s">
        <v>23669</v>
      </c>
      <c r="C18815" s="5" t="str">
        <f>IFERROR(__xludf.DUMMYFUNCTION("GOOGLETRANSLATE(B18815,""en"",""zh-CN"")"),"人们装备围栏，并以多种方式显示围栏。")</f>
        <v>人们装备围栏，并以多种方式显示围栏。</v>
      </c>
    </row>
    <row r="18816">
      <c r="A18816" s="4" t="s">
        <v>23670</v>
      </c>
      <c r="B18816" s="4" t="s">
        <v>23671</v>
      </c>
      <c r="C18816" s="5" t="str">
        <f>IFERROR(__xludf.DUMMYFUNCTION("GOOGLETRANSLATE(B18816,""en"",""zh-CN"")"),"显示了一条阴暗的河的底部，然后闪烁到弹簧的名称。")</f>
        <v>显示了一条阴暗的河的底部，然后闪烁到弹簧的名称。</v>
      </c>
    </row>
    <row r="18817">
      <c r="A18817" s="4" t="s">
        <v>23670</v>
      </c>
      <c r="B18817" s="6" t="s">
        <v>23672</v>
      </c>
      <c r="C18817" s="5" t="str">
        <f>IFERROR(__xludf.DUMMYFUNCTION("GOOGLETRANSLATE(B18817,""en"",""zh-CN"")"),"展示了一群人，他们开始在整个弹簧中进行浮动，播放和漂浮。")</f>
        <v>展示了一群人，他们开始在整个弹簧中进行浮动，播放和漂浮。</v>
      </c>
    </row>
    <row r="18818">
      <c r="A18818" s="4" t="s">
        <v>23670</v>
      </c>
      <c r="B18818" s="4" t="s">
        <v>23673</v>
      </c>
      <c r="C18818" s="5" t="str">
        <f>IFERROR(__xludf.DUMMYFUNCTION("GOOGLETRANSLATE(B18818,""en"",""zh-CN"")"),"两个孩子一起在岩石上，他们抓住了一只蜻蜓。")</f>
        <v>两个孩子一起在岩石上，他们抓住了一只蜻蜓。</v>
      </c>
    </row>
    <row r="18819">
      <c r="A18819" s="4" t="s">
        <v>23670</v>
      </c>
      <c r="B18819" s="6" t="s">
        <v>23674</v>
      </c>
      <c r="C18819" s="5" t="str">
        <f>IFERROR(__xludf.DUMMYFUNCTION("GOOGLETRANSLATE(B18819,""en"",""zh-CN"")"),"之后，向各种各样的人展示了一群人，还有一对夫妇和一只狗坐在男性的腿上。")</f>
        <v>之后，向各种各样的人展示了一群人，还有一对夫妇和一只狗坐在男性的腿上。</v>
      </c>
    </row>
    <row r="18820">
      <c r="A18820" s="4" t="s">
        <v>23675</v>
      </c>
      <c r="B18820" s="4" t="s">
        <v>23676</v>
      </c>
      <c r="C18820" s="5" t="str">
        <f>IFERROR(__xludf.DUMMYFUNCTION("GOOGLETRANSLATE(B18820,""en"",""zh-CN"")"),"首先，男人推了轮胎，他踩在里面。")</f>
        <v>首先，男人推了轮胎，他踩在里面。</v>
      </c>
    </row>
    <row r="18821">
      <c r="A18821" s="4" t="s">
        <v>23675</v>
      </c>
      <c r="B18821" s="4" t="s">
        <v>23677</v>
      </c>
      <c r="C18821" s="5" t="str">
        <f>IFERROR(__xludf.DUMMYFUNCTION("GOOGLETRANSLATE(B18821,""en"",""zh-CN"")"),"然后，他开始将轮胎圈在轮胎内部，腰部周围的腰部。")</f>
        <v>然后，他开始将轮胎圈在轮胎内部，腰部周围的腰部。</v>
      </c>
    </row>
    <row r="18822">
      <c r="A18822" s="4" t="s">
        <v>23678</v>
      </c>
      <c r="B18822" s="4" t="s">
        <v>23679</v>
      </c>
      <c r="C18822" s="5" t="str">
        <f>IFERROR(__xludf.DUMMYFUNCTION("GOOGLETRANSLATE(B18822,""en"",""zh-CN"")"),"演奏乐器的人在舞台上。")</f>
        <v>演奏乐器的人在舞台上。</v>
      </c>
    </row>
    <row r="18823">
      <c r="A18823" s="4" t="s">
        <v>23678</v>
      </c>
      <c r="B18823" s="4" t="s">
        <v>23680</v>
      </c>
      <c r="C18823" s="5" t="str">
        <f>IFERROR(__xludf.DUMMYFUNCTION("GOOGLETRANSLATE(B18823,""en"",""zh-CN"")"),"一个穿着西装的男人在舞台上行走，开始说话。")</f>
        <v>一个穿着西装的男人在舞台上行走，开始说话。</v>
      </c>
    </row>
    <row r="18824">
      <c r="A18824" s="4" t="s">
        <v>23678</v>
      </c>
      <c r="B18824" s="4" t="s">
        <v>23681</v>
      </c>
      <c r="C18824" s="5" t="str">
        <f>IFERROR(__xludf.DUMMYFUNCTION("GOOGLETRANSLATE(B18824,""en"",""zh-CN"")"),"乐队一直在背景中演奏。")</f>
        <v>乐队一直在背景中演奏。</v>
      </c>
    </row>
    <row r="18825">
      <c r="A18825" s="4" t="s">
        <v>23682</v>
      </c>
      <c r="B18825" s="4" t="s">
        <v>23683</v>
      </c>
      <c r="C18825" s="5" t="str">
        <f>IFERROR(__xludf.DUMMYFUNCTION("GOOGLETRANSLATE(B18825,""en"",""zh-CN"")"),"看到一个女人跪在地板上，一只狗在她旁边躺在相机上说话。")</f>
        <v>看到一个女人跪在地板上，一只狗在她旁边躺在相机上说话。</v>
      </c>
    </row>
    <row r="18826">
      <c r="A18826" s="4" t="s">
        <v>23682</v>
      </c>
      <c r="B18826" s="6" t="s">
        <v>23684</v>
      </c>
      <c r="C18826" s="5" t="str">
        <f>IFERROR(__xludf.DUMMYFUNCTION("GOOGLETRANSLATE(B18826,""en"",""zh-CN"")"),"然后看到该名女子在水槽里奔跑的肥皂和浇水，然后清理他，看着他跑来跑去并感到兴奋。")</f>
        <v>然后看到该名女子在水槽里奔跑的肥皂和浇水，然后清理他，看着他跑来跑去并感到兴奋。</v>
      </c>
    </row>
    <row r="18827">
      <c r="A18827" s="4" t="s">
        <v>23685</v>
      </c>
      <c r="B18827" s="4" t="s">
        <v>23686</v>
      </c>
      <c r="C18827" s="5" t="str">
        <f>IFERROR(__xludf.DUMMYFUNCTION("GOOGLETRANSLATE(B18827,""en"",""zh-CN"")"),"一个男人在户外花园里工作。")</f>
        <v>一个男人在户外花园里工作。</v>
      </c>
    </row>
    <row r="18828">
      <c r="A18828" s="4" t="s">
        <v>23685</v>
      </c>
      <c r="B18828" s="4" t="s">
        <v>23687</v>
      </c>
      <c r="C18828" s="5" t="str">
        <f>IFERROR(__xludf.DUMMYFUNCTION("GOOGLETRANSLATE(B18828,""en"",""zh-CN"")"),"他在工作时使用工具。")</f>
        <v>他在工作时使用工具。</v>
      </c>
    </row>
    <row r="18829">
      <c r="A18829" s="4" t="s">
        <v>23685</v>
      </c>
      <c r="B18829" s="4" t="s">
        <v>23688</v>
      </c>
      <c r="C18829" s="5" t="str">
        <f>IFERROR(__xludf.DUMMYFUNCTION("GOOGLETRANSLATE(B18829,""en"",""zh-CN"")"),"他修剪了一排长的树篱，然后清理了碎屑。")</f>
        <v>他修剪了一排长的树篱，然后清理了碎屑。</v>
      </c>
    </row>
    <row r="18830">
      <c r="A18830" s="4" t="s">
        <v>23689</v>
      </c>
      <c r="B18830" s="4" t="s">
        <v>23690</v>
      </c>
      <c r="C18830" s="5" t="str">
        <f>IFERROR(__xludf.DUMMYFUNCTION("GOOGLETRANSLATE(B18830,""en"",""zh-CN"")"),"我们看到一组鼓，一个站在鼓后面说话并拿着饮料的人。")</f>
        <v>我们看到一组鼓，一个站在鼓后面说话并拿着饮料的人。</v>
      </c>
    </row>
    <row r="18831">
      <c r="A18831" s="4" t="s">
        <v>23689</v>
      </c>
      <c r="B18831" s="4" t="s">
        <v>23691</v>
      </c>
      <c r="C18831" s="5" t="str">
        <f>IFERROR(__xludf.DUMMYFUNCTION("GOOGLETRANSLATE(B18831,""en"",""zh-CN"")"),"该男子从饮料中喝酒并放下。")</f>
        <v>该男子从饮料中喝酒并放下。</v>
      </c>
    </row>
    <row r="18832">
      <c r="A18832" s="4" t="s">
        <v>23689</v>
      </c>
      <c r="B18832" s="4" t="s">
        <v>23692</v>
      </c>
      <c r="C18832" s="5" t="str">
        <f>IFERROR(__xludf.DUMMYFUNCTION("GOOGLETRANSLATE(B18832,""en"",""zh-CN"")"),"该男子用手打鼓。")</f>
        <v>该男子用手打鼓。</v>
      </c>
    </row>
    <row r="18833">
      <c r="A18833" s="4" t="s">
        <v>23689</v>
      </c>
      <c r="B18833" s="4" t="s">
        <v>23693</v>
      </c>
      <c r="C18833" s="5" t="str">
        <f>IFERROR(__xludf.DUMMYFUNCTION("GOOGLETRANSLATE(B18833,""en"",""zh-CN"")"),"这个男人停下来说话，然后再弹鼓。")</f>
        <v>这个男人停下来说话，然后再弹鼓。</v>
      </c>
    </row>
    <row r="18834">
      <c r="A18834" s="4" t="s">
        <v>23689</v>
      </c>
      <c r="B18834" s="4" t="s">
        <v>23694</v>
      </c>
      <c r="C18834" s="5" t="str">
        <f>IFERROR(__xludf.DUMMYFUNCTION("GOOGLETRANSLATE(B18834,""en"",""zh-CN"")"),"该男子站在鼓和舞蹈上。")</f>
        <v>该男子站在鼓和舞蹈上。</v>
      </c>
    </row>
    <row r="18835">
      <c r="A18835" s="4" t="s">
        <v>23689</v>
      </c>
      <c r="B18835" s="4" t="s">
        <v>23695</v>
      </c>
      <c r="C18835" s="5" t="str">
        <f>IFERROR(__xludf.DUMMYFUNCTION("GOOGLETRANSLATE(B18835,""en"",""zh-CN"")"),"我们看到两个男人坐着，第一个男人正在鼓掌。")</f>
        <v>我们看到两个男人坐着，第一个男人正在鼓掌。</v>
      </c>
    </row>
    <row r="18836">
      <c r="A18836" s="4" t="s">
        <v>23689</v>
      </c>
      <c r="B18836" s="6" t="s">
        <v>23696</v>
      </c>
      <c r="C18836" s="5" t="str">
        <f>IFERROR(__xludf.DUMMYFUNCTION("GOOGLETRANSLATE(B18836,""en"",""zh-CN"")"),"当男人在那个男人停下来时，我们看到那个男人在扮演马拉卡斯，那个女士转身走开。")</f>
        <v>当男人在那个男人停下来时，我们看到那个男人在扮演马拉卡斯，那个女士转身走开。</v>
      </c>
    </row>
    <row r="18837">
      <c r="A18837" s="4" t="s">
        <v>23697</v>
      </c>
      <c r="B18837" s="4" t="s">
        <v>23698</v>
      </c>
      <c r="C18837" s="5" t="str">
        <f>IFERROR(__xludf.DUMMYFUNCTION("GOOGLETRANSLATE(B18837,""en"",""zh-CN"")"),"有一个小男孩穿着黑色衬衫和黑色短裤在田野里玩曲棍球棒。")</f>
        <v>有一个小男孩穿着黑色衬衫和黑色短裤在田野里玩曲棍球棒。</v>
      </c>
    </row>
    <row r="18838">
      <c r="A18838" s="4" t="s">
        <v>23697</v>
      </c>
      <c r="B18838" s="4" t="s">
        <v>23699</v>
      </c>
      <c r="C18838" s="5" t="str">
        <f>IFERROR(__xludf.DUMMYFUNCTION("GOOGLETRANSLATE(B18838,""en"",""zh-CN"")"),"他用棍子将球打入球门。")</f>
        <v>他用棍子将球打入球门。</v>
      </c>
    </row>
    <row r="18839">
      <c r="A18839" s="4" t="s">
        <v>23697</v>
      </c>
      <c r="B18839" s="4" t="s">
        <v>23700</v>
      </c>
      <c r="C18839" s="5" t="str">
        <f>IFERROR(__xludf.DUMMYFUNCTION("GOOGLETRANSLATE(B18839,""en"",""zh-CN"")"),"当另一个人将球扔给他并将其瞄准目标时，他摇摆了棍子。")</f>
        <v>当另一个人将球扔给他并将其瞄准目标时，他摇摆了棍子。</v>
      </c>
    </row>
    <row r="18840">
      <c r="A18840" s="4" t="s">
        <v>23701</v>
      </c>
      <c r="B18840" s="4" t="s">
        <v>23702</v>
      </c>
      <c r="C18840" s="5" t="str">
        <f>IFERROR(__xludf.DUMMYFUNCTION("GOOGLETRANSLATE(B18840,""en"",""zh-CN"")"),"这个男人正在展示他如何弹吉他。")</f>
        <v>这个男人正在展示他如何弹吉他。</v>
      </c>
    </row>
    <row r="18841">
      <c r="A18841" s="4" t="s">
        <v>23701</v>
      </c>
      <c r="B18841" s="4" t="s">
        <v>23703</v>
      </c>
      <c r="C18841" s="5" t="str">
        <f>IFERROR(__xludf.DUMMYFUNCTION("GOOGLETRANSLATE(B18841,""en"",""zh-CN"")"),"然后他向我们展示了他如何玩长笛。")</f>
        <v>然后他向我们展示了他如何玩长笛。</v>
      </c>
    </row>
    <row r="18842">
      <c r="A18842" s="4" t="s">
        <v>23704</v>
      </c>
      <c r="B18842" s="4" t="s">
        <v>23705</v>
      </c>
      <c r="C18842" s="5" t="str">
        <f>IFERROR(__xludf.DUMMYFUNCTION("GOOGLETRANSLATE(B18842,""en"",""zh-CN"")"),"一个女人和男人在跑步时执行心血管健身手柄。")</f>
        <v>一个女人和男人在跑步时执行心血管健身手柄。</v>
      </c>
    </row>
    <row r="18843">
      <c r="A18843" s="4" t="s">
        <v>23704</v>
      </c>
      <c r="B18843" s="4" t="s">
        <v>23706</v>
      </c>
      <c r="C18843" s="5" t="str">
        <f>IFERROR(__xludf.DUMMYFUNCTION("GOOGLETRANSLATE(B18843,""en"",""zh-CN"")"),"一个人调整踏板的角度并继续运行。")</f>
        <v>一个人调整踏板的角度并继续运行。</v>
      </c>
    </row>
    <row r="18844">
      <c r="A18844" s="4" t="s">
        <v>23704</v>
      </c>
      <c r="B18844" s="6" t="s">
        <v>23707</v>
      </c>
      <c r="C18844" s="5" t="str">
        <f>IFERROR(__xludf.DUMMYFUNCTION("GOOGLETRANSLATE(B18844,""en"",""zh-CN"")"),"机器的屏幕显示相关信息，并显示机器和肌肉轮廓的音频输入插孔，而男人和女人则继续锻炼。")</f>
        <v>机器的屏幕显示相关信息，并显示机器和肌肉轮廓的音频输入插孔，而男人和女人则继续锻炼。</v>
      </c>
    </row>
    <row r="18845">
      <c r="A18845" s="4" t="s">
        <v>23708</v>
      </c>
      <c r="B18845" s="4" t="s">
        <v>23709</v>
      </c>
      <c r="C18845" s="5" t="str">
        <f>IFERROR(__xludf.DUMMYFUNCTION("GOOGLETRANSLATE(B18845,""en"",""zh-CN"")"),"一个女人靠在一个男孩上，用某种物质擦脸。")</f>
        <v>一个女人靠在一个男孩上，用某种物质擦脸。</v>
      </c>
    </row>
    <row r="18846">
      <c r="A18846" s="4" t="s">
        <v>23708</v>
      </c>
      <c r="B18846" s="4" t="s">
        <v>23710</v>
      </c>
      <c r="C18846" s="5" t="str">
        <f>IFERROR(__xludf.DUMMYFUNCTION("GOOGLETRANSLATE(B18846,""en"",""zh-CN"")"),"当她继续前进时，他笑着挣扎。")</f>
        <v>当她继续前进时，他笑着挣扎。</v>
      </c>
    </row>
    <row r="18847">
      <c r="A18847" s="4" t="s">
        <v>23708</v>
      </c>
      <c r="B18847" s="4" t="s">
        <v>23711</v>
      </c>
      <c r="C18847" s="5" t="str">
        <f>IFERROR(__xludf.DUMMYFUNCTION("GOOGLETRANSLATE(B18847,""en"",""zh-CN"")"),"他抓住她的头发，吃了她一直在摩擦他的食物。")</f>
        <v>他抓住她的头发，吃了她一直在摩擦他的食物。</v>
      </c>
    </row>
    <row r="18848">
      <c r="A18848" s="4" t="s">
        <v>23712</v>
      </c>
      <c r="B18848" s="4" t="s">
        <v>23713</v>
      </c>
      <c r="C18848" s="5" t="str">
        <f>IFERROR(__xludf.DUMMYFUNCTION("GOOGLETRANSLATE(B18848,""en"",""zh-CN"")"),"行人走过时，有一个老人在人行道上做太极拳。")</f>
        <v>行人走过时，有一个老人在人行道上做太极拳。</v>
      </c>
    </row>
    <row r="18849">
      <c r="A18849" s="4" t="s">
        <v>23712</v>
      </c>
      <c r="B18849" s="4" t="s">
        <v>23714</v>
      </c>
      <c r="C18849" s="5" t="str">
        <f>IFERROR(__xludf.DUMMYFUNCTION("GOOGLETRANSLATE(B18849,""en"",""zh-CN"")"),"当几个人走在他身边时，该男子继续在人行道上做太极拳。")</f>
        <v>当几个人走在他身边时，该男子继续在人行道上做太极拳。</v>
      </c>
    </row>
    <row r="18850">
      <c r="A18850" s="4" t="s">
        <v>23712</v>
      </c>
      <c r="B18850" s="6" t="s">
        <v>23715</v>
      </c>
      <c r="C18850" s="5" t="str">
        <f>IFERROR(__xludf.DUMMYFUNCTION("GOOGLETRANSLATE(B18850,""en"",""zh-CN"")"),"然后，他站在一些精心修剪的灌木丛中，并在下雨时继续进行锻炼。")</f>
        <v>然后，他站在一些精心修剪的灌木丛中，并在下雨时继续进行锻炼。</v>
      </c>
    </row>
    <row r="18851">
      <c r="A18851" s="4" t="s">
        <v>23712</v>
      </c>
      <c r="B18851" s="4" t="s">
        <v>23716</v>
      </c>
      <c r="C18851" s="5" t="str">
        <f>IFERROR(__xludf.DUMMYFUNCTION("GOOGLETRANSLATE(B18851,""en"",""zh-CN"")"),"然后，他拿起衬衫并在他完成太极拳演习后走开。")</f>
        <v>然后，他拿起衬衫并在他完成太极拳演习后走开。</v>
      </c>
    </row>
    <row r="18852">
      <c r="A18852" s="4" t="s">
        <v>23717</v>
      </c>
      <c r="B18852" s="4" t="s">
        <v>23718</v>
      </c>
      <c r="C18852" s="5" t="str">
        <f>IFERROR(__xludf.DUMMYFUNCTION("GOOGLETRANSLATE(B18852,""en"",""zh-CN"")"),"看到一个男人站在一个大栅栏前，手里拿着喷雾软管。")</f>
        <v>看到一个男人站在一个大栅栏前，手里拿着喷雾软管。</v>
      </c>
    </row>
    <row r="18853">
      <c r="A18853" s="4" t="s">
        <v>23717</v>
      </c>
      <c r="B18853" s="4" t="s">
        <v>23719</v>
      </c>
      <c r="C18853" s="5" t="str">
        <f>IFERROR(__xludf.DUMMYFUNCTION("GOOGLETRANSLATE(B18853,""en"",""zh-CN"")"),"当相机捕捉到他的动作时，该男子在墙壁上绘制了整个绘画。")</f>
        <v>当相机捕捉到他的动作时，该男子在墙壁上绘制了整个绘画。</v>
      </c>
    </row>
    <row r="18854">
      <c r="A18854" s="4" t="s">
        <v>23717</v>
      </c>
      <c r="B18854" s="4" t="s">
        <v>23720</v>
      </c>
      <c r="C18854" s="5" t="str">
        <f>IFERROR(__xludf.DUMMYFUNCTION("GOOGLETRANSLATE(B18854,""en"",""zh-CN"")"),"当相机从后面跟随他时，该男子继续喷洒墙壁。")</f>
        <v>当相机从后面跟随他时，该男子继续喷洒墙壁。</v>
      </c>
    </row>
    <row r="18855">
      <c r="A18855" s="4" t="s">
        <v>23721</v>
      </c>
      <c r="B18855" s="4" t="s">
        <v>23722</v>
      </c>
      <c r="C18855" s="5" t="str">
        <f>IFERROR(__xludf.DUMMYFUNCTION("GOOGLETRANSLATE(B18855,""en"",""zh-CN"")"),"一个穿着白色连衣裙的女孩用蝙蝠击中了皮纳塔。")</f>
        <v>一个穿着白色连衣裙的女孩用蝙蝠击中了皮纳塔。</v>
      </c>
    </row>
    <row r="18856">
      <c r="A18856" s="4" t="s">
        <v>23721</v>
      </c>
      <c r="B18856" s="4" t="s">
        <v>23723</v>
      </c>
      <c r="C18856" s="5" t="str">
        <f>IFERROR(__xludf.DUMMYFUNCTION("GOOGLETRANSLATE(B18856,""en"",""zh-CN"")"),"一个男人站在她身后看着。")</f>
        <v>一个男人站在她身后看着。</v>
      </c>
    </row>
    <row r="18857">
      <c r="A18857" s="4" t="s">
        <v>23721</v>
      </c>
      <c r="B18857" s="4" t="s">
        <v>23724</v>
      </c>
      <c r="C18857" s="5" t="str">
        <f>IFERROR(__xludf.DUMMYFUNCTION("GOOGLETRANSLATE(B18857,""en"",""zh-CN"")"),"两个女孩站在房子里看着。")</f>
        <v>两个女孩站在房子里看着。</v>
      </c>
    </row>
    <row r="18858">
      <c r="A18858" s="4" t="s">
        <v>23725</v>
      </c>
      <c r="B18858" s="4" t="s">
        <v>6939</v>
      </c>
      <c r="C18858" s="5" t="str">
        <f>IFERROR(__xludf.DUMMYFUNCTION("GOOGLETRANSLATE(B18858,""en"",""zh-CN"")"),"人们在婚礼上的舞池里跳舞。")</f>
        <v>人们在婚礼上的舞池里跳舞。</v>
      </c>
    </row>
    <row r="18859">
      <c r="A18859" s="4" t="s">
        <v>23725</v>
      </c>
      <c r="B18859" s="4" t="s">
        <v>23726</v>
      </c>
      <c r="C18859" s="5" t="str">
        <f>IFERROR(__xludf.DUMMYFUNCTION("GOOGLETRANSLATE(B18859,""en"",""zh-CN"")"),"房间里很黑，五颜六色的灯亮了。")</f>
        <v>房间里很黑，五颜六色的灯亮了。</v>
      </c>
    </row>
    <row r="18860">
      <c r="A18860" s="4" t="s">
        <v>23725</v>
      </c>
      <c r="B18860" s="4" t="s">
        <v>23727</v>
      </c>
      <c r="C18860" s="5" t="str">
        <f>IFERROR(__xludf.DUMMYFUNCTION("GOOGLETRANSLATE(B18860,""en"",""zh-CN"")"),"人们继续在舞池里跳舞。")</f>
        <v>人们继续在舞池里跳舞。</v>
      </c>
    </row>
    <row r="18861">
      <c r="A18861" s="4" t="s">
        <v>23728</v>
      </c>
      <c r="B18861" s="4" t="s">
        <v>23729</v>
      </c>
      <c r="C18861" s="5" t="str">
        <f>IFERROR(__xludf.DUMMYFUNCTION("GOOGLETRANSLATE(B18861,""en"",""zh-CN"")"),"一棵白色，中等大小的圣诞树站在两个绿色门前。")</f>
        <v>一棵白色，中等大小的圣诞树站在两个绿色门前。</v>
      </c>
    </row>
    <row r="18862">
      <c r="A18862" s="4" t="s">
        <v>23728</v>
      </c>
      <c r="B18862" s="4" t="s">
        <v>23730</v>
      </c>
      <c r="C18862" s="5" t="str">
        <f>IFERROR(__xludf.DUMMYFUNCTION("GOOGLETRANSLATE(B18862,""en"",""zh-CN"")"),"一位女士正在携带一个书写的包，上面写着“ Sno-Bond Flock＃1”。")</f>
        <v>一位女士正在携带一个书写的包，上面写着“ Sno-Bond Flock＃1”。</v>
      </c>
    </row>
    <row r="18863">
      <c r="A18863" s="4" t="s">
        <v>23728</v>
      </c>
      <c r="B18863" s="4" t="s">
        <v>23731</v>
      </c>
      <c r="C18863" s="5" t="str">
        <f>IFERROR(__xludf.DUMMYFUNCTION("GOOGLETRANSLATE(B18863,""en"",""zh-CN"")"),"这位女士将Sno-Bond羊群放入过滤器中，然后抓住水喷雾瓶。")</f>
        <v>这位女士将Sno-Bond羊群放入过滤器中，然后抓住水喷雾瓶。</v>
      </c>
    </row>
    <row r="18864">
      <c r="A18864" s="4" t="s">
        <v>23728</v>
      </c>
      <c r="B18864" s="4" t="s">
        <v>23732</v>
      </c>
      <c r="C18864" s="5" t="str">
        <f>IFERROR(__xludf.DUMMYFUNCTION("GOOGLETRANSLATE(B18864,""en"",""zh-CN"")"),"她开始筛选树上的白色东西。")</f>
        <v>她开始筛选树上的白色东西。</v>
      </c>
    </row>
    <row r="18865">
      <c r="A18865" s="4" t="s">
        <v>23728</v>
      </c>
      <c r="B18865" s="4" t="s">
        <v>23733</v>
      </c>
      <c r="C18865" s="5" t="str">
        <f>IFERROR(__xludf.DUMMYFUNCTION("GOOGLETRANSLATE(B18865,""en"",""zh-CN"")"),"筛子后，她将灰尘喷向树。")</f>
        <v>筛子后，她将灰尘喷向树。</v>
      </c>
    </row>
    <row r="18866">
      <c r="A18866" s="4" t="s">
        <v>23734</v>
      </c>
      <c r="B18866" s="4" t="s">
        <v>23735</v>
      </c>
      <c r="C18866" s="5" t="str">
        <f>IFERROR(__xludf.DUMMYFUNCTION("GOOGLETRANSLATE(B18866,""en"",""zh-CN"")"),"一个男人用蓝色缓冲区向地板抛光。")</f>
        <v>一个男人用蓝色缓冲区向地板抛光。</v>
      </c>
    </row>
    <row r="18867">
      <c r="A18867" s="4" t="s">
        <v>23734</v>
      </c>
      <c r="B18867" s="4" t="s">
        <v>23736</v>
      </c>
      <c r="C18867" s="5" t="str">
        <f>IFERROR(__xludf.DUMMYFUNCTION("GOOGLETRANSLATE(B18867,""en"",""zh-CN"")"),"另一个男人站在他旁边看着。")</f>
        <v>另一个男人站在他旁边看着。</v>
      </c>
    </row>
    <row r="18868">
      <c r="A18868" s="4" t="s">
        <v>23734</v>
      </c>
      <c r="B18868" s="4" t="s">
        <v>23737</v>
      </c>
      <c r="C18868" s="5" t="str">
        <f>IFERROR(__xludf.DUMMYFUNCTION("GOOGLETRANSLATE(B18868,""en"",""zh-CN"")"),"他用缓冲区越过瓷砖。")</f>
        <v>他用缓冲区越过瓷砖。</v>
      </c>
    </row>
    <row r="18869">
      <c r="A18869" s="4" t="s">
        <v>23738</v>
      </c>
      <c r="B18869" s="4" t="s">
        <v>23739</v>
      </c>
      <c r="C18869" s="5" t="str">
        <f>IFERROR(__xludf.DUMMYFUNCTION("GOOGLETRANSLATE(B18869,""en"",""zh-CN"")"),"看到两个男人坐在独木舟中，然后用桨划着一点点的独木舟。")</f>
        <v>看到两个男人坐在独木舟中，然后用桨划着一点点的独木舟。</v>
      </c>
    </row>
    <row r="18870">
      <c r="A18870" s="4" t="s">
        <v>23738</v>
      </c>
      <c r="B18870" s="4" t="s">
        <v>23740</v>
      </c>
      <c r="C18870" s="5" t="str">
        <f>IFERROR(__xludf.DUMMYFUNCTION("GOOGLETRANSLATE(B18870,""en"",""zh-CN"")"),"这些人多次这样做，然后用文字写的说明和位置。")</f>
        <v>这些人多次这样做，然后用文字写的说明和位置。</v>
      </c>
    </row>
    <row r="18871">
      <c r="A18871" s="4" t="s">
        <v>23741</v>
      </c>
      <c r="B18871" s="4" t="s">
        <v>23742</v>
      </c>
      <c r="C18871" s="5" t="str">
        <f>IFERROR(__xludf.DUMMYFUNCTION("GOOGLETRANSLATE(B18871,""en"",""zh-CN"")"),"有人在草地上骑马，骑马骑着马。")</f>
        <v>有人在草地上骑马，骑马骑着马。</v>
      </c>
    </row>
    <row r="18872">
      <c r="A18872" s="4" t="s">
        <v>23741</v>
      </c>
      <c r="B18872" s="6" t="s">
        <v>23743</v>
      </c>
      <c r="C18872" s="5" t="str">
        <f>IFERROR(__xludf.DUMMYFUNCTION("GOOGLETRANSLATE(B18872,""en"",""zh-CN"")"),"我们很快就会看到骑手是一个小组的一部分，我们跟随该小组穿过停车场并进入溪流。")</f>
        <v>我们很快就会看到骑手是一个小组的一部分，我们跟随该小组穿过停车场并进入溪流。</v>
      </c>
    </row>
    <row r="18873">
      <c r="A18873" s="4" t="s">
        <v>23741</v>
      </c>
      <c r="B18873" s="4" t="s">
        <v>23744</v>
      </c>
      <c r="C18873" s="5" t="str">
        <f>IFERROR(__xludf.DUMMYFUNCTION("GOOGLETRANSLATE(B18873,""en"",""zh-CN"")"),"当小组喜欢在溪流中骑行时，听到庆祝性欢呼声。")</f>
        <v>当小组喜欢在溪流中骑行时，听到庆祝性欢呼声。</v>
      </c>
    </row>
    <row r="18874">
      <c r="A18874" s="4" t="s">
        <v>23741</v>
      </c>
      <c r="B18874" s="4" t="s">
        <v>23745</v>
      </c>
      <c r="C18874" s="5" t="str">
        <f>IFERROR(__xludf.DUMMYFUNCTION("GOOGLETRANSLATE(B18874,""en"",""zh-CN"")"),"然后我们看到几个骑手，其中一个站在他的马鞍上。")</f>
        <v>然后我们看到几个骑手，其中一个站在他的马鞍上。</v>
      </c>
    </row>
    <row r="18875">
      <c r="A18875" s="4" t="s">
        <v>23746</v>
      </c>
      <c r="B18875" s="4" t="s">
        <v>23747</v>
      </c>
      <c r="C18875" s="5" t="str">
        <f>IFERROR(__xludf.DUMMYFUNCTION("GOOGLETRANSLATE(B18875,""en"",""zh-CN"")"),"两个家伙开始了一场手臂摔跤比赛，后面衬衫的家伙赢得了第一场比赛。")</f>
        <v>两个家伙开始了一场手臂摔跤比赛，后面衬衫的家伙赢得了第一场比赛。</v>
      </c>
    </row>
    <row r="18876">
      <c r="A18876" s="4" t="s">
        <v>23746</v>
      </c>
      <c r="B18876" s="4" t="s">
        <v>23748</v>
      </c>
      <c r="C18876" s="5" t="str">
        <f>IFERROR(__xludf.DUMMYFUNCTION("GOOGLETRANSLATE(B18876,""en"",""zh-CN"")"),"这些人切了双手，开始了新的比赛。")</f>
        <v>这些人切了双手，开始了新的比赛。</v>
      </c>
    </row>
    <row r="18877">
      <c r="A18877" s="4" t="s">
        <v>23746</v>
      </c>
      <c r="B18877" s="4" t="s">
        <v>23749</v>
      </c>
      <c r="C18877" s="5" t="str">
        <f>IFERROR(__xludf.DUMMYFUNCTION("GOOGLETRANSLATE(B18877,""en"",""zh-CN"")"),"最后的比赛是由后衬衫赢得的。")</f>
        <v>最后的比赛是由后衬衫赢得的。</v>
      </c>
    </row>
    <row r="18878">
      <c r="A18878" s="4" t="s">
        <v>23750</v>
      </c>
      <c r="B18878" s="4" t="s">
        <v>23751</v>
      </c>
      <c r="C18878" s="5" t="str">
        <f>IFERROR(__xludf.DUMMYFUNCTION("GOOGLETRANSLATE(B18878,""en"",""zh-CN"")"),"看到钢琴的特写镜头之后是一个走进框架的人。")</f>
        <v>看到钢琴的特写镜头之后是一个走进框架的人。</v>
      </c>
    </row>
    <row r="18879">
      <c r="A18879" s="4" t="s">
        <v>23750</v>
      </c>
      <c r="B18879" s="4" t="s">
        <v>23752</v>
      </c>
      <c r="C18879" s="5" t="str">
        <f>IFERROR(__xludf.DUMMYFUNCTION("GOOGLETRANSLATE(B18879,""en"",""zh-CN"")"),"然后，该人伸出指甲，开始弹钢琴。")</f>
        <v>然后，该人伸出指甲，开始弹钢琴。</v>
      </c>
    </row>
    <row r="18880">
      <c r="A18880" s="4" t="s">
        <v>23750</v>
      </c>
      <c r="B18880" s="4" t="s">
        <v>23753</v>
      </c>
      <c r="C18880" s="5" t="str">
        <f>IFERROR(__xludf.DUMMYFUNCTION("GOOGLETRANSLATE(B18880,""en"",""zh-CN"")"),"该人继续在乐器上演奏并停止关闭相机。")</f>
        <v>该人继续在乐器上演奏并停止关闭相机。</v>
      </c>
    </row>
    <row r="18881">
      <c r="A18881" s="4" t="s">
        <v>23754</v>
      </c>
      <c r="B18881" s="4" t="s">
        <v>23755</v>
      </c>
      <c r="C18881" s="5" t="str">
        <f>IFERROR(__xludf.DUMMYFUNCTION("GOOGLETRANSLATE(B18881,""en"",""zh-CN"")"),"骑马的男人在球场上玩马球。")</f>
        <v>骑马的男人在球场上玩马球。</v>
      </c>
    </row>
    <row r="18882">
      <c r="A18882" s="4" t="s">
        <v>23754</v>
      </c>
      <c r="B18882" s="4" t="s">
        <v>23756</v>
      </c>
      <c r="C18882" s="5" t="str">
        <f>IFERROR(__xludf.DUMMYFUNCTION("GOOGLETRANSLATE(B18882,""en"",""zh-CN"")"),"这些人正在追逐球，并用槌槌击中。")</f>
        <v>这些人正在追逐球，并用槌槌击中。</v>
      </c>
    </row>
    <row r="18883">
      <c r="A18883" s="4" t="s">
        <v>23754</v>
      </c>
      <c r="B18883" s="4" t="s">
        <v>23757</v>
      </c>
      <c r="C18883" s="5" t="str">
        <f>IFERROR(__xludf.DUMMYFUNCTION("GOOGLETRANSLATE(B18883,""en"",""zh-CN"")"),"一名球员击球然后奔跑，在他身后是其他球员。")</f>
        <v>一名球员击球然后奔跑，在他身后是其他球员。</v>
      </c>
    </row>
    <row r="18884">
      <c r="A18884" s="4" t="s">
        <v>23758</v>
      </c>
      <c r="B18884" s="4" t="s">
        <v>23759</v>
      </c>
      <c r="C18884" s="5" t="str">
        <f>IFERROR(__xludf.DUMMYFUNCTION("GOOGLETRANSLATE(B18884,""en"",""zh-CN"")"),"一群人看着两名公牛在比赛中互相战斗。")</f>
        <v>一群人看着两名公牛在比赛中互相战斗。</v>
      </c>
    </row>
    <row r="18885">
      <c r="A18885" s="4" t="s">
        <v>23758</v>
      </c>
      <c r="B18885" s="4" t="s">
        <v>23760</v>
      </c>
      <c r="C18885" s="5" t="str">
        <f>IFERROR(__xludf.DUMMYFUNCTION("GOOGLETRANSLATE(B18885,""en"",""zh-CN"")"),"摄像机盘了，向人群中的许多人展示观看节目。")</f>
        <v>摄像机盘了，向人群中的许多人展示观看节目。</v>
      </c>
    </row>
    <row r="18886">
      <c r="A18886" s="4" t="s">
        <v>23758</v>
      </c>
      <c r="B18886" s="4" t="s">
        <v>23761</v>
      </c>
      <c r="C18886" s="5" t="str">
        <f>IFERROR(__xludf.DUMMYFUNCTION("GOOGLETRANSLATE(B18886,""en"",""zh-CN"")"),"一个男人在镜头前行走。")</f>
        <v>一个男人在镜头前行走。</v>
      </c>
    </row>
    <row r="18887">
      <c r="A18887" s="4" t="s">
        <v>23758</v>
      </c>
      <c r="B18887" s="4" t="s">
        <v>23762</v>
      </c>
      <c r="C18887" s="5" t="str">
        <f>IFERROR(__xludf.DUMMYFUNCTION("GOOGLETRANSLATE(B18887,""en"",""zh-CN"")"),"几个人正接近公牛试图捕捉这一行动。")</f>
        <v>几个人正接近公牛试图捕捉这一行动。</v>
      </c>
    </row>
    <row r="18888">
      <c r="A18888" s="4" t="s">
        <v>23758</v>
      </c>
      <c r="B18888" s="4" t="s">
        <v>23763</v>
      </c>
      <c r="C18888" s="5" t="str">
        <f>IFERROR(__xludf.DUMMYFUNCTION("GOOGLETRANSLATE(B18888,""en"",""zh-CN"")"),"公牛开始在田野周围互相追逐。")</f>
        <v>公牛开始在田野周围互相追逐。</v>
      </c>
    </row>
    <row r="18889">
      <c r="A18889" s="4" t="s">
        <v>23764</v>
      </c>
      <c r="B18889" s="6" t="s">
        <v>23765</v>
      </c>
      <c r="C18889" s="5" t="str">
        <f>IFERROR(__xludf.DUMMYFUNCTION("GOOGLETRANSLATE(B18889,""en"",""zh-CN"")"),"几张照片显示了人们在海滩上徘徊的人，这些人会导致足球比赛和庆祝活动的片段。")</f>
        <v>几张照片显示了人们在海滩上徘徊的人，这些人会导致足球比赛和庆祝活动的片段。</v>
      </c>
    </row>
    <row r="18890">
      <c r="A18890" s="4" t="s">
        <v>23764</v>
      </c>
      <c r="B18890" s="4" t="s">
        <v>23766</v>
      </c>
      <c r="C18890" s="5" t="str">
        <f>IFERROR(__xludf.DUMMYFUNCTION("GOOGLETRANSLATE(B18890,""en"",""zh-CN"")"),"看到更多的人在周围跳舞，踢足球和示意相机。")</f>
        <v>看到更多的人在周围跳舞，踢足球和示意相机。</v>
      </c>
    </row>
    <row r="18891">
      <c r="A18891" s="4" t="s">
        <v>23767</v>
      </c>
      <c r="B18891" s="4" t="s">
        <v>23768</v>
      </c>
      <c r="C18891" s="5" t="str">
        <f>IFERROR(__xludf.DUMMYFUNCTION("GOOGLETRANSLATE(B18891,""en"",""zh-CN"")"),"一只缺少前腿的狗正在穿过草坪。")</f>
        <v>一只缺少前腿的狗正在穿过草坪。</v>
      </c>
    </row>
    <row r="18892">
      <c r="A18892" s="4" t="s">
        <v>23767</v>
      </c>
      <c r="B18892" s="4" t="s">
        <v>23769</v>
      </c>
      <c r="C18892" s="5" t="str">
        <f>IFERROR(__xludf.DUMMYFUNCTION("GOOGLETRANSLATE(B18892,""en"",""zh-CN"")"),"他正在跟随摄影师，然后闯入跳跃。")</f>
        <v>他正在跟随摄影师，然后闯入跳跃。</v>
      </c>
    </row>
    <row r="18893">
      <c r="A18893" s="4" t="s">
        <v>23767</v>
      </c>
      <c r="B18893" s="4" t="s">
        <v>23770</v>
      </c>
      <c r="C18893" s="5" t="str">
        <f>IFERROR(__xludf.DUMMYFUNCTION("GOOGLETRANSLATE(B18893,""en"",""zh-CN"")"),"他返回，再次做同样的事情。")</f>
        <v>他返回，再次做同样的事情。</v>
      </c>
    </row>
    <row r="18894">
      <c r="A18894" s="4" t="s">
        <v>23771</v>
      </c>
      <c r="B18894" s="4" t="s">
        <v>23772</v>
      </c>
      <c r="C18894" s="5" t="str">
        <f>IFERROR(__xludf.DUMMYFUNCTION("GOOGLETRANSLATE(B18894,""en"",""zh-CN"")"),"一个穿着寒冷天气的男人在河上划皮划艇。")</f>
        <v>一个穿着寒冷天气的男人在河上划皮划艇。</v>
      </c>
    </row>
    <row r="18895">
      <c r="A18895" s="4" t="s">
        <v>23771</v>
      </c>
      <c r="B18895" s="4" t="s">
        <v>23773</v>
      </c>
      <c r="C18895" s="5" t="str">
        <f>IFERROR(__xludf.DUMMYFUNCTION("GOOGLETRANSLATE(B18895,""en"",""zh-CN"")"),"射击挥舞着看几种皮划艇，那个男人卡在一个小瀑布上。")</f>
        <v>射击挥舞着看几种皮划艇，那个男人卡在一个小瀑布上。</v>
      </c>
    </row>
    <row r="18896">
      <c r="A18896" s="4" t="s">
        <v>23771</v>
      </c>
      <c r="B18896" s="4" t="s">
        <v>23774</v>
      </c>
      <c r="C18896" s="5" t="str">
        <f>IFERROR(__xludf.DUMMYFUNCTION("GOOGLETRANSLATE(B18896,""en"",""zh-CN"")"),"他终于让自己解开了，从瀑布上拉开。")</f>
        <v>他终于让自己解开了，从瀑布上拉开。</v>
      </c>
    </row>
    <row r="18897">
      <c r="A18897" s="4" t="s">
        <v>23775</v>
      </c>
      <c r="B18897" s="4" t="s">
        <v>23776</v>
      </c>
      <c r="C18897" s="5" t="str">
        <f>IFERROR(__xludf.DUMMYFUNCTION("GOOGLETRANSLATE(B18897,""en"",""zh-CN"")"),"狗嗅着一个男人和女人的脚。")</f>
        <v>狗嗅着一个男人和女人的脚。</v>
      </c>
    </row>
    <row r="18898">
      <c r="A18898" s="4" t="s">
        <v>23775</v>
      </c>
      <c r="B18898" s="4" t="s">
        <v>23777</v>
      </c>
      <c r="C18898" s="5" t="str">
        <f>IFERROR(__xludf.DUMMYFUNCTION("GOOGLETRANSLATE(B18898,""en"",""zh-CN"")"),"这对夫妇把狗带到湖边。")</f>
        <v>这对夫妇把狗带到湖边。</v>
      </c>
    </row>
    <row r="18899">
      <c r="A18899" s="4" t="s">
        <v>23775</v>
      </c>
      <c r="B18899" s="4" t="s">
        <v>23778</v>
      </c>
      <c r="C18899" s="5" t="str">
        <f>IFERROR(__xludf.DUMMYFUNCTION("GOOGLETRANSLATE(B18899,""en"",""zh-CN"")"),"还有其他所有者和狗，他们在水边玩。")</f>
        <v>还有其他所有者和狗，他们在水边玩。</v>
      </c>
    </row>
    <row r="18900">
      <c r="A18900" s="4" t="s">
        <v>23779</v>
      </c>
      <c r="B18900" s="6" t="s">
        <v>23780</v>
      </c>
      <c r="C18900" s="5" t="str">
        <f>IFERROR(__xludf.DUMMYFUNCTION("GOOGLETRANSLATE(B18900,""en"",""zh-CN"")"),"看到一个女孩微笑着向相机挥手，然后她拿着一个隐形眼镜和清洁剂。")</f>
        <v>看到一个女孩微笑着向相机挥手，然后她拿着一个隐形眼镜和清洁剂。</v>
      </c>
    </row>
    <row r="18901">
      <c r="A18901" s="4" t="s">
        <v>23779</v>
      </c>
      <c r="B18901" s="4" t="s">
        <v>23781</v>
      </c>
      <c r="C18901" s="5" t="str">
        <f>IFERROR(__xludf.DUMMYFUNCTION("GOOGLETRANSLATE(B18901,""en"",""zh-CN"")"),"她将两者混合在一起，然后将隐形眼镜放在眼睛中。")</f>
        <v>她将两者混合在一起，然后将隐形眼镜放在眼睛中。</v>
      </c>
    </row>
    <row r="18902">
      <c r="A18902" s="4" t="s">
        <v>23779</v>
      </c>
      <c r="B18902" s="4" t="s">
        <v>23782</v>
      </c>
      <c r="C18902" s="5" t="str">
        <f>IFERROR(__xludf.DUMMYFUNCTION("GOOGLETRANSLATE(B18902,""en"",""zh-CN"")"),"她终于最后露出了眼睛，并给了镜头大拇指。")</f>
        <v>她终于最后露出了眼睛，并给了镜头大拇指。</v>
      </c>
    </row>
    <row r="18903">
      <c r="A18903" s="4" t="s">
        <v>23783</v>
      </c>
      <c r="B18903" s="6" t="s">
        <v>23784</v>
      </c>
      <c r="C18903" s="5" t="str">
        <f>IFERROR(__xludf.DUMMYFUNCTION("GOOGLETRANSLATE(B18903,""en"",""zh-CN"")"),"有两个男人在室内，并在室内球场上打壁球，因为他们迅速将球撞到墙上并轮流。")</f>
        <v>有两个男人在室内，并在室内球场上打壁球，因为他们迅速将球撞到墙上并轮流。</v>
      </c>
    </row>
    <row r="18904">
      <c r="A18904" s="4" t="s">
        <v>23783</v>
      </c>
      <c r="B18904" s="6" t="s">
        <v>23785</v>
      </c>
      <c r="C18904" s="5" t="str">
        <f>IFERROR(__xludf.DUMMYFUNCTION("GOOGLETRANSLATE(B18904,""en"",""zh-CN"")"),"一名穿着绿色衬衫的男人愤怒地看着相机，将球拍扔到相机上。")</f>
        <v>一名穿着绿色衬衫的男人愤怒地看着相机，将球拍扔到相机上。</v>
      </c>
    </row>
    <row r="18905">
      <c r="A18905" s="4" t="s">
        <v>23783</v>
      </c>
      <c r="B18905" s="6" t="s">
        <v>23786</v>
      </c>
      <c r="C18905" s="5" t="str">
        <f>IFERROR(__xludf.DUMMYFUNCTION("GOOGLETRANSLATE(B18905,""en"",""zh-CN"")"),"相机人员将相机转向自己，他在看着相机时跑来跑去。")</f>
        <v>相机人员将相机转向自己，他在看着相机时跑来跑去。</v>
      </c>
    </row>
    <row r="18906">
      <c r="A18906" s="4" t="s">
        <v>23787</v>
      </c>
      <c r="B18906" s="4" t="s">
        <v>23788</v>
      </c>
      <c r="C18906" s="5" t="str">
        <f>IFERROR(__xludf.DUMMYFUNCTION("GOOGLETRANSLATE(B18906,""en"",""zh-CN"")"),"各种成分都放在柜台上，并在碗中混合在一起。")</f>
        <v>各种成分都放在柜台上，并在碗中混合在一起。</v>
      </c>
    </row>
    <row r="18907">
      <c r="A18907" s="4" t="s">
        <v>23787</v>
      </c>
      <c r="B18907" s="4" t="s">
        <v>23789</v>
      </c>
      <c r="C18907" s="5" t="str">
        <f>IFERROR(__xludf.DUMMYFUNCTION("GOOGLETRANSLATE(B18907,""en"",""zh-CN"")"),"然后显示该人将面团球放入烤箱中并按下按钮。")</f>
        <v>然后显示该人将面团球放入烤箱中并按下按钮。</v>
      </c>
    </row>
    <row r="18908">
      <c r="A18908" s="4" t="s">
        <v>23787</v>
      </c>
      <c r="B18908" s="4" t="s">
        <v>23790</v>
      </c>
      <c r="C18908" s="5" t="str">
        <f>IFERROR(__xludf.DUMMYFUNCTION("GOOGLETRANSLATE(B18908,""en"",""zh-CN"")"),"然后，人们将cookie取出，然后消失，全部在停止动画中。")</f>
        <v>然后，人们将cookie取出，然后消失，全部在停止动画中。</v>
      </c>
    </row>
    <row r="18909">
      <c r="A18909" s="4" t="s">
        <v>23791</v>
      </c>
      <c r="B18909" s="4" t="s">
        <v>23792</v>
      </c>
      <c r="C18909" s="5" t="str">
        <f>IFERROR(__xludf.DUMMYFUNCTION("GOOGLETRANSLATE(B18909,""en"",""zh-CN"")"),"看到一个男人在相机上说话，而一个人在后面打篮球表演的镜头。")</f>
        <v>看到一个男人在相机上说话，而一个人在后面打篮球表演的镜头。</v>
      </c>
    </row>
    <row r="18910">
      <c r="A18910" s="4" t="s">
        <v>23791</v>
      </c>
      <c r="B18910" s="4" t="s">
        <v>23793</v>
      </c>
      <c r="C18910" s="5" t="str">
        <f>IFERROR(__xludf.DUMMYFUNCTION("GOOGLETRANSLATE(B18910,""en"",""zh-CN"")"),"该男子继续讲话，因为男孩打篮球的射门有更多的镜头。")</f>
        <v>该男子继续讲话，因为男孩打篮球的射门有更多的镜头。</v>
      </c>
    </row>
    <row r="18911">
      <c r="A18911" s="4" t="s">
        <v>23791</v>
      </c>
      <c r="B18911" s="4" t="s">
        <v>23794</v>
      </c>
      <c r="C18911" s="5" t="str">
        <f>IFERROR(__xludf.DUMMYFUNCTION("GOOGLETRANSLATE(B18911,""en"",""zh-CN"")"),"该男子继续讲话，并在屏幕上以文字结尾。")</f>
        <v>该男子继续讲话，并在屏幕上以文字结尾。</v>
      </c>
    </row>
    <row r="18912">
      <c r="A18912" s="4" t="s">
        <v>23795</v>
      </c>
      <c r="B18912" s="4" t="s">
        <v>23796</v>
      </c>
      <c r="C18912" s="5" t="str">
        <f>IFERROR(__xludf.DUMMYFUNCTION("GOOGLETRANSLATE(B18912,""en"",""zh-CN"")"),"一名专业游泳者在参加比赛之前擦眼了眼睛。")</f>
        <v>一名专业游泳者在参加比赛之前擦眼了眼睛。</v>
      </c>
    </row>
    <row r="18913">
      <c r="A18913" s="4" t="s">
        <v>23795</v>
      </c>
      <c r="B18913" s="4" t="s">
        <v>23797</v>
      </c>
      <c r="C18913" s="5" t="str">
        <f>IFERROR(__xludf.DUMMYFUNCTION("GOOGLETRANSLATE(B18913,""en"",""zh-CN"")"),"他起飞，游泳，试图击败他两侧的两个竞争对手。")</f>
        <v>他起飞，游泳，试图击败他两侧的两个竞争对手。</v>
      </c>
    </row>
    <row r="18914">
      <c r="A18914" s="4" t="s">
        <v>23798</v>
      </c>
      <c r="B18914" s="4" t="s">
        <v>23799</v>
      </c>
      <c r="C18914" s="5" t="str">
        <f>IFERROR(__xludf.DUMMYFUNCTION("GOOGLETRANSLATE(B18914,""en"",""zh-CN"")"),"一名体操运动员准备就绪，并在活动前伸展。")</f>
        <v>一名体操运动员准备就绪，并在活动前伸展。</v>
      </c>
    </row>
    <row r="18915">
      <c r="A18915" s="4" t="s">
        <v>23798</v>
      </c>
      <c r="B18915" s="6" t="s">
        <v>23800</v>
      </c>
      <c r="C18915" s="5" t="str">
        <f>IFERROR(__xludf.DUMMYFUNCTION("GOOGLETRANSLATE(B18915,""en"",""zh-CN"")"),"在奥运会比赛中，体操运动员运行，然后在一个平台上跌落，终于降落在带衬垫的垫子上。")</f>
        <v>在奥运会比赛中，体操运动员运行，然后在一个平台上跌落，终于降落在带衬垫的垫子上。</v>
      </c>
    </row>
    <row r="18916">
      <c r="A18916" s="4" t="s">
        <v>23798</v>
      </c>
      <c r="B18916" s="4" t="s">
        <v>23801</v>
      </c>
      <c r="C18916" s="5" t="str">
        <f>IFERROR(__xludf.DUMMYFUNCTION("GOOGLETRANSLATE(B18916,""en"",""zh-CN"")"),"大量的人群为表演表示赞赏。")</f>
        <v>大量的人群为表演表示赞赏。</v>
      </c>
    </row>
    <row r="18917">
      <c r="A18917" s="4" t="s">
        <v>23798</v>
      </c>
      <c r="B18917" s="4" t="s">
        <v>23802</v>
      </c>
      <c r="C18917" s="5" t="str">
        <f>IFERROR(__xludf.DUMMYFUNCTION("GOOGLETRANSLATE(B18917,""en"",""zh-CN"")"),"其他体操运动员在认可后点头点头。")</f>
        <v>其他体操运动员在认可后点头点头。</v>
      </c>
    </row>
    <row r="18918">
      <c r="A18918" s="4" t="s">
        <v>23798</v>
      </c>
      <c r="B18918" s="4" t="s">
        <v>23803</v>
      </c>
      <c r="C18918" s="5" t="str">
        <f>IFERROR(__xludf.DUMMYFUNCTION("GOOGLETRANSLATE(B18918,""en"",""zh-CN"")"),"一个重播显示了体操运动员以慢动作的表现。")</f>
        <v>一个重播显示了体操运动员以慢动作的表现。</v>
      </c>
    </row>
    <row r="18919">
      <c r="A18919" s="4" t="s">
        <v>23798</v>
      </c>
      <c r="B18919" s="4" t="s">
        <v>23804</v>
      </c>
      <c r="C18919" s="5" t="str">
        <f>IFERROR(__xludf.DUMMYFUNCTION("GOOGLETRANSLATE(B18919,""en"",""zh-CN"")"),"体操运动员与她的教练坐在一起，并表示祝贺。")</f>
        <v>体操运动员与她的教练坐在一起，并表示祝贺。</v>
      </c>
    </row>
    <row r="18920">
      <c r="A18920" s="4" t="s">
        <v>23805</v>
      </c>
      <c r="B18920" s="4" t="s">
        <v>23806</v>
      </c>
      <c r="C18920" s="5" t="str">
        <f>IFERROR(__xludf.DUMMYFUNCTION("GOOGLETRANSLATE(B18920,""en"",""zh-CN"")"),"看到一匹马的近距离被围在围栏中。")</f>
        <v>看到一匹马的近距离被围在围栏中。</v>
      </c>
    </row>
    <row r="18921">
      <c r="A18921" s="4" t="s">
        <v>23805</v>
      </c>
      <c r="B18921" s="4" t="s">
        <v>23807</v>
      </c>
      <c r="C18921" s="5" t="str">
        <f>IFERROR(__xludf.DUMMYFUNCTION("GOOGLETRANSLATE(B18921,""en"",""zh-CN"")"),"然后看到一个人从侧面刷马。")</f>
        <v>然后看到一个人从侧面刷马。</v>
      </c>
    </row>
    <row r="18922">
      <c r="A18922" s="4" t="s">
        <v>23805</v>
      </c>
      <c r="B18922" s="4" t="s">
        <v>23808</v>
      </c>
      <c r="C18922" s="5" t="str">
        <f>IFERROR(__xludf.DUMMYFUNCTION("GOOGLETRANSLATE(B18922,""en"",""zh-CN"")"),"该人继续刷牙作为马的特写。")</f>
        <v>该人继续刷牙作为马的特写。</v>
      </c>
    </row>
    <row r="18923">
      <c r="A18923" s="4" t="s">
        <v>23809</v>
      </c>
      <c r="B18923" s="4" t="s">
        <v>23810</v>
      </c>
      <c r="C18923" s="5" t="str">
        <f>IFERROR(__xludf.DUMMYFUNCTION("GOOGLETRANSLATE(B18923,""en"",""zh-CN"")"),"看到一个人的手在纸的中间，开始沿着图片绘画。")</f>
        <v>看到一个人的手在纸的中间，开始沿着图片绘画。</v>
      </c>
    </row>
    <row r="18924">
      <c r="A18924" s="4" t="s">
        <v>23809</v>
      </c>
      <c r="B18924" s="4" t="s">
        <v>23811</v>
      </c>
      <c r="C18924" s="5" t="str">
        <f>IFERROR(__xludf.DUMMYFUNCTION("GOOGLETRANSLATE(B18924,""en"",""zh-CN"")"),"然后，该人绘画一棵大树，同时仍在绘画上迅速移动。")</f>
        <v>然后，该人绘画一棵大树，同时仍在绘画上迅速移动。</v>
      </c>
    </row>
    <row r="18925">
      <c r="A18925" s="4" t="s">
        <v>23809</v>
      </c>
      <c r="B18925" s="4" t="s">
        <v>23812</v>
      </c>
      <c r="C18925" s="5" t="str">
        <f>IFERROR(__xludf.DUMMYFUNCTION("GOOGLETRANSLATE(B18925,""en"",""zh-CN"")"),"该人完成了绘画并签名他们的名字，并显示了自己的照片。")</f>
        <v>该人完成了绘画并签名他们的名字，并显示了自己的照片。</v>
      </c>
    </row>
    <row r="18926">
      <c r="A18926" s="4" t="s">
        <v>23813</v>
      </c>
      <c r="B18926" s="4" t="s">
        <v>23814</v>
      </c>
      <c r="C18926" s="5" t="str">
        <f>IFERROR(__xludf.DUMMYFUNCTION("GOOGLETRANSLATE(B18926,""en"",""zh-CN"")"),"黑屏上出现了带有白色单词阅读的黑屏，AZ Winter Sedona。")</f>
        <v>黑屏上出现了带有白色单词阅读的黑屏，AZ Winter Sedona。</v>
      </c>
    </row>
    <row r="18927">
      <c r="A18927" s="4" t="s">
        <v>23813</v>
      </c>
      <c r="B18927" s="6" t="s">
        <v>23815</v>
      </c>
      <c r="C18927" s="5" t="str">
        <f>IFERROR(__xludf.DUMMYFUNCTION("GOOGLETRANSLATE(B18927,""en"",""zh-CN"")"),"一个男人开始穿过树木和灌木丛，戴着黄色的帽子，开衫，靴子和袋子。")</f>
        <v>一个男人开始穿过树木和灌木丛，戴着黄色的帽子，开衫，靴子和袋子。</v>
      </c>
    </row>
    <row r="18928">
      <c r="A18928" s="4" t="s">
        <v>23813</v>
      </c>
      <c r="B18928" s="4" t="s">
        <v>23816</v>
      </c>
      <c r="C18928" s="5" t="str">
        <f>IFERROR(__xludf.DUMMYFUNCTION("GOOGLETRANSLATE(B18928,""en"",""zh-CN"")"),"然后，他停下来开始玩木记录员。")</f>
        <v>然后，他停下来开始玩木记录员。</v>
      </c>
    </row>
    <row r="18929">
      <c r="A18929" s="4" t="s">
        <v>23813</v>
      </c>
      <c r="B18929" s="6" t="s">
        <v>23817</v>
      </c>
      <c r="C18929" s="5" t="str">
        <f>IFERROR(__xludf.DUMMYFUNCTION("GOOGLETRANSLATE(B18929,""en"",""zh-CN"")"),"相机放大，他继续播放录音机，并显示了各种形式的周围景观。")</f>
        <v>相机放大，他继续播放录音机，并显示了各种形式的周围景观。</v>
      </c>
    </row>
    <row r="18930">
      <c r="A18930" s="4" t="s">
        <v>23818</v>
      </c>
      <c r="B18930" s="4" t="s">
        <v>23819</v>
      </c>
      <c r="C18930" s="5" t="str">
        <f>IFERROR(__xludf.DUMMYFUNCTION("GOOGLETRANSLATE(B18930,""en"",""zh-CN"")"),"相机乘坐两辆停在街上的汽车彼此面对。")</f>
        <v>相机乘坐两辆停在街上的汽车彼此面对。</v>
      </c>
    </row>
    <row r="18931">
      <c r="A18931" s="4" t="s">
        <v>23818</v>
      </c>
      <c r="B18931" s="6" t="s">
        <v>23820</v>
      </c>
      <c r="C18931" s="5" t="str">
        <f>IFERROR(__xludf.DUMMYFUNCTION("GOOGLETRANSLATE(B18931,""en"",""zh-CN"")"),"然后看到一个年轻人沿着草坪骑着拖拉机，以切草，并在相机的人周围移动。")</f>
        <v>然后看到一个年轻人沿着草坪骑着拖拉机，以切草，并在相机的人周围移动。</v>
      </c>
    </row>
    <row r="18932">
      <c r="A18932" s="4" t="s">
        <v>23821</v>
      </c>
      <c r="B18932" s="4" t="s">
        <v>23822</v>
      </c>
      <c r="C18932" s="5" t="str">
        <f>IFERROR(__xludf.DUMMYFUNCTION("GOOGLETRANSLATE(B18932,""en"",""zh-CN"")"),"五个人携带滑板板正走向光线。")</f>
        <v>五个人携带滑板板正走向光线。</v>
      </c>
    </row>
    <row r="18933">
      <c r="A18933" s="4" t="s">
        <v>23821</v>
      </c>
      <c r="B18933" s="6" t="s">
        <v>23823</v>
      </c>
      <c r="C18933" s="5" t="str">
        <f>IFERROR(__xludf.DUMMYFUNCTION("GOOGLETRANSLATE(B18933,""en"",""zh-CN"")"),"年轻人用手坐下来，在分区中滑动滑板。")</f>
        <v>年轻人用手坐下来，在分区中滑动滑板。</v>
      </c>
    </row>
    <row r="18934">
      <c r="A18934" s="4" t="s">
        <v>23821</v>
      </c>
      <c r="B18934" s="6" t="s">
        <v>23824</v>
      </c>
      <c r="C18934" s="5" t="str">
        <f>IFERROR(__xludf.DUMMYFUNCTION("GOOGLETRANSLATE(B18934,""en"",""zh-CN"")"),"年轻人在坡道上滑板，然后到达停车场，然后到达分区，其中一位滑板手从滑板板上摔下来。")</f>
        <v>年轻人在坡道上滑板，然后到达停车场，然后到达分区，其中一位滑板手从滑板板上摔下来。</v>
      </c>
    </row>
    <row r="18935">
      <c r="A18935" s="4" t="s">
        <v>23825</v>
      </c>
      <c r="B18935" s="4" t="s">
        <v>23826</v>
      </c>
      <c r="C18935" s="5" t="str">
        <f>IFERROR(__xludf.DUMMYFUNCTION("GOOGLETRANSLATE(B18935,""en"",""zh-CN"")"),"一个男人拿着木箱。")</f>
        <v>一个男人拿着木箱。</v>
      </c>
    </row>
    <row r="18936">
      <c r="A18936" s="4" t="s">
        <v>23825</v>
      </c>
      <c r="B18936" s="4" t="s">
        <v>23827</v>
      </c>
      <c r="C18936" s="5" t="str">
        <f>IFERROR(__xludf.DUMMYFUNCTION("GOOGLETRANSLATE(B18936,""en"",""zh-CN"")"),"他把毛巾放在箱子里。")</f>
        <v>他把毛巾放在箱子里。</v>
      </c>
    </row>
    <row r="18937">
      <c r="A18937" s="4" t="s">
        <v>23825</v>
      </c>
      <c r="B18937" s="4" t="s">
        <v>23828</v>
      </c>
      <c r="C18937" s="5" t="str">
        <f>IFERROR(__xludf.DUMMYFUNCTION("GOOGLETRANSLATE(B18937,""en"",""zh-CN"")"),"他开始用毛巾照亮鞋子。")</f>
        <v>他开始用毛巾照亮鞋子。</v>
      </c>
    </row>
    <row r="18938">
      <c r="A18938" s="4" t="s">
        <v>23829</v>
      </c>
      <c r="B18938" s="4" t="s">
        <v>23830</v>
      </c>
      <c r="C18938" s="5" t="str">
        <f>IFERROR(__xludf.DUMMYFUNCTION("GOOGLETRANSLATE(B18938,""en"",""zh-CN"")"),"看到一个男人穿着西装，走开。")</f>
        <v>看到一个男人穿着西装，走开。</v>
      </c>
    </row>
    <row r="18939">
      <c r="A18939" s="4" t="s">
        <v>23829</v>
      </c>
      <c r="B18939" s="4" t="s">
        <v>23831</v>
      </c>
      <c r="C18939" s="5" t="str">
        <f>IFERROR(__xludf.DUMMYFUNCTION("GOOGLETRANSLATE(B18939,""en"",""zh-CN"")"),"该男子走到一座大椅子上，坐下。")</f>
        <v>该男子走到一座大椅子上，坐下。</v>
      </c>
    </row>
    <row r="18940">
      <c r="A18940" s="4" t="s">
        <v>23829</v>
      </c>
      <c r="B18940" s="4" t="s">
        <v>23832</v>
      </c>
      <c r="C18940" s="5" t="str">
        <f>IFERROR(__xludf.DUMMYFUNCTION("GOOGLETRANSLATE(B18940,""en"",""zh-CN"")"),"看到另一个男人站在椅子的前面，开始低头看着那个男人的脚。")</f>
        <v>看到另一个男人站在椅子的前面，开始低头看着那个男人的脚。</v>
      </c>
    </row>
    <row r="18941">
      <c r="A18941" s="4" t="s">
        <v>23833</v>
      </c>
      <c r="B18941" s="6" t="s">
        <v>23834</v>
      </c>
      <c r="C18941" s="5" t="str">
        <f>IFERROR(__xludf.DUMMYFUNCTION("GOOGLETRANSLATE(B18941,""en"",""zh-CN"")"),"当几个人与他们交谈并握手时，有两个人在桥的侧面互相交谈。")</f>
        <v>当几个人与他们交谈并握手时，有两个人在桥的侧面互相交谈。</v>
      </c>
    </row>
    <row r="18942">
      <c r="A18942" s="4" t="s">
        <v>23833</v>
      </c>
      <c r="B18942" s="6" t="s">
        <v>23835</v>
      </c>
      <c r="C18942" s="5" t="str">
        <f>IFERROR(__xludf.DUMMYFUNCTION("GOOGLETRANSLATE(B18942,""en"",""zh-CN"")"),"之后，该线束中的那个人抓住了两个人的肩膀，因为他们帮助他站在桥上。")</f>
        <v>之后，该线束中的那个人抓住了两个人的肩膀，因为他们帮助他站在桥上。</v>
      </c>
    </row>
    <row r="18943">
      <c r="A18943" s="4" t="s">
        <v>23833</v>
      </c>
      <c r="B18943" s="4" t="s">
        <v>23836</v>
      </c>
      <c r="C18943" s="5" t="str">
        <f>IFERROR(__xludf.DUMMYFUNCTION("GOOGLETRANSLATE(B18943,""en"",""zh-CN"")"),"最终，该男子自由地从桥上掉下来，然后向他扔了一个橙色的球。")</f>
        <v>最终，该男子自由地从桥上掉下来，然后向他扔了一个橙色的球。</v>
      </c>
    </row>
    <row r="18944">
      <c r="A18944" s="4" t="s">
        <v>23837</v>
      </c>
      <c r="B18944" s="6" t="s">
        <v>23838</v>
      </c>
      <c r="C18944" s="5" t="str">
        <f>IFERROR(__xludf.DUMMYFUNCTION("GOOGLETRANSLATE(B18944,""en"",""zh-CN"")"),"一名穿着红色紧身连衣裤的体操运动员正在大型体育场与几个观众的大型体育场上的不均匀酒吧表演体操。")</f>
        <v>一名穿着红色紧身连衣裤的体操运动员正在大型体育场与几个观众的大型体育场上的不均匀酒吧表演体操。</v>
      </c>
    </row>
    <row r="18945">
      <c r="A18945" s="4" t="s">
        <v>23837</v>
      </c>
      <c r="B18945" s="4" t="s">
        <v>23839</v>
      </c>
      <c r="C18945" s="5" t="str">
        <f>IFERROR(__xludf.DUMMYFUNCTION("GOOGLETRANSLATE(B18945,""en"",""zh-CN"")"),"她正在以迅速的运动而不掉下来进行前翻和后翻转。")</f>
        <v>她正在以迅速的运动而不掉下来进行前翻和后翻转。</v>
      </c>
    </row>
    <row r="18946">
      <c r="A18946" s="4" t="s">
        <v>23837</v>
      </c>
      <c r="B18946" s="4" t="s">
        <v>23840</v>
      </c>
      <c r="C18946" s="5" t="str">
        <f>IFERROR(__xludf.DUMMYFUNCTION("GOOGLETRANSLATE(B18946,""en"",""zh-CN"")"),"完成后，她脱下了不平衡的酒吧，走了，因为她给教练的五分之五。")</f>
        <v>完成后，她脱下了不平衡的酒吧，走了，因为她给教练的五分之五。</v>
      </c>
    </row>
    <row r="18947">
      <c r="A18947" s="4" t="s">
        <v>23841</v>
      </c>
      <c r="B18947" s="4" t="s">
        <v>23842</v>
      </c>
      <c r="C18947" s="5" t="str">
        <f>IFERROR(__xludf.DUMMYFUNCTION("GOOGLETRANSLATE(B18947,""en"",""zh-CN"")"),"看到两个女人在镜头上和一只抱着猫在她的腿上说话。")</f>
        <v>看到两个女人在镜头上和一只抱着猫在她的腿上说话。</v>
      </c>
    </row>
    <row r="18948">
      <c r="A18948" s="4" t="s">
        <v>23841</v>
      </c>
      <c r="B18948" s="6" t="s">
        <v>23843</v>
      </c>
      <c r="C18948" s="5" t="str">
        <f>IFERROR(__xludf.DUMMYFUNCTION("GOOGLETRANSLATE(B18948,""en"",""zh-CN"")"),"然后，该名女子继续握住猫的爪子并剪指甲，同时指着猫并看着相机。")</f>
        <v>然后，该名女子继续握住猫的爪子并剪指甲，同时指着猫并看着相机。</v>
      </c>
    </row>
    <row r="18949">
      <c r="A18949" s="4" t="s">
        <v>23844</v>
      </c>
      <c r="B18949" s="4" t="s">
        <v>23845</v>
      </c>
      <c r="C18949" s="5" t="str">
        <f>IFERROR(__xludf.DUMMYFUNCTION("GOOGLETRANSLATE(B18949,""en"",""zh-CN"")"),"一个女人站在潜水板上。")</f>
        <v>一个女人站在潜水板上。</v>
      </c>
    </row>
    <row r="18950">
      <c r="A18950" s="4" t="s">
        <v>23844</v>
      </c>
      <c r="B18950" s="4" t="s">
        <v>23846</v>
      </c>
      <c r="C18950" s="5" t="str">
        <f>IFERROR(__xludf.DUMMYFUNCTION("GOOGLETRANSLATE(B18950,""en"",""zh-CN"")"),"她跳下跳水板。")</f>
        <v>她跳下跳水板。</v>
      </c>
    </row>
    <row r="18951">
      <c r="A18951" s="4" t="s">
        <v>23844</v>
      </c>
      <c r="B18951" s="4" t="s">
        <v>23847</v>
      </c>
      <c r="C18951" s="5" t="str">
        <f>IFERROR(__xludf.DUMMYFUNCTION("GOOGLETRANSLATE(B18951,""en"",""zh-CN"")"),"她潜入水池。")</f>
        <v>她潜入水池。</v>
      </c>
    </row>
    <row r="18952">
      <c r="A18952" s="4" t="s">
        <v>23844</v>
      </c>
      <c r="B18952" s="4" t="s">
        <v>23848</v>
      </c>
      <c r="C18952" s="5" t="str">
        <f>IFERROR(__xludf.DUMMYFUNCTION("GOOGLETRANSLATE(B18952,""en"",""zh-CN"")"),"她在水下游泳。")</f>
        <v>她在水下游泳。</v>
      </c>
    </row>
    <row r="18953">
      <c r="A18953" s="4" t="s">
        <v>23849</v>
      </c>
      <c r="B18953" s="6" t="s">
        <v>23850</v>
      </c>
      <c r="C18953" s="5" t="str">
        <f>IFERROR(__xludf.DUMMYFUNCTION("GOOGLETRANSLATE(B18953,""en"",""zh-CN"")"),"两名男子展示并演示在网球场上使用自动网球服务器。")</f>
        <v>两名男子展示并演示在网球场上使用自动网球服务器。</v>
      </c>
    </row>
    <row r="18954">
      <c r="A18954" s="4" t="s">
        <v>23849</v>
      </c>
      <c r="B18954" s="4" t="s">
        <v>23851</v>
      </c>
      <c r="C18954" s="5" t="str">
        <f>IFERROR(__xludf.DUMMYFUNCTION("GOOGLETRANSLATE(B18954,""en"",""zh-CN"")"),"有动画图形出现，在金属支架内显示了两个金圆柱体。")</f>
        <v>有动画图形出现，在金属支架内显示了两个金圆柱体。</v>
      </c>
    </row>
    <row r="18955">
      <c r="A18955" s="4" t="s">
        <v>23849</v>
      </c>
      <c r="B18955" s="6" t="s">
        <v>23852</v>
      </c>
      <c r="C18955" s="5" t="str">
        <f>IFERROR(__xludf.DUMMYFUNCTION("GOOGLETRANSLATE(B18955,""en"",""zh-CN"")"),"动画的图形变为图形的真实和实际版本，出现在户外网球场上，并在两名男子的两侧。")</f>
        <v>动画的图形变为图形的真实和实际版本，出现在户外网球场上，并在两名男子的两侧。</v>
      </c>
    </row>
    <row r="18956">
      <c r="A18956" s="4" t="s">
        <v>23849</v>
      </c>
      <c r="B18956" s="6" t="s">
        <v>23853</v>
      </c>
      <c r="C18956" s="5" t="str">
        <f>IFERROR(__xludf.DUMMYFUNCTION("GOOGLETRANSLATE(B18956,""en"",""zh-CN"")"),"站在机械旁边的两名男子将网球置于机器中，这反过来吐出了作为自动网球手服务器的球，这是一个站在网球场另一侧的球员，带着网球球拍。")</f>
        <v>站在机械旁边的两名男子将网球置于机器中，这反过来吐出了作为自动网球手服务器的球，这是一个站在网球场另一侧的球员，带着网球球拍。</v>
      </c>
    </row>
    <row r="18957">
      <c r="A18957" s="4" t="s">
        <v>23854</v>
      </c>
      <c r="B18957" s="4" t="s">
        <v>23855</v>
      </c>
      <c r="C18957" s="5" t="str">
        <f>IFERROR(__xludf.DUMMYFUNCTION("GOOGLETRANSLATE(B18957,""en"",""zh-CN"")"),"南瓜坐在柜台上。")</f>
        <v>南瓜坐在柜台上。</v>
      </c>
    </row>
    <row r="18958">
      <c r="A18958" s="4" t="s">
        <v>23854</v>
      </c>
      <c r="B18958" s="4" t="s">
        <v>23856</v>
      </c>
      <c r="C18958" s="5" t="str">
        <f>IFERROR(__xludf.DUMMYFUNCTION("GOOGLETRANSLATE(B18958,""en"",""zh-CN"")"),"一把刀正在向南瓜雕刻一张脸。")</f>
        <v>一把刀正在向南瓜雕刻一张脸。</v>
      </c>
    </row>
    <row r="18959">
      <c r="A18959" s="4" t="s">
        <v>23854</v>
      </c>
      <c r="B18959" s="4" t="s">
        <v>23857</v>
      </c>
      <c r="C18959" s="5" t="str">
        <f>IFERROR(__xludf.DUMMYFUNCTION("GOOGLETRANSLATE(B18959,""en"",""zh-CN"")"),"灯关闭，南瓜点亮。")</f>
        <v>灯关闭，南瓜点亮。</v>
      </c>
    </row>
    <row r="18960">
      <c r="A18960" s="4" t="s">
        <v>23858</v>
      </c>
      <c r="B18960" s="4" t="s">
        <v>23859</v>
      </c>
      <c r="C18960" s="5" t="str">
        <f>IFERROR(__xludf.DUMMYFUNCTION("GOOGLETRANSLATE(B18960,""en"",""zh-CN"")"),"乐队成员在加拿大谈论他们的音乐会。")</f>
        <v>乐队成员在加拿大谈论他们的音乐会。</v>
      </c>
    </row>
    <row r="18961">
      <c r="A18961" s="4" t="s">
        <v>23858</v>
      </c>
      <c r="B18961" s="4" t="s">
        <v>23860</v>
      </c>
      <c r="C18961" s="5" t="str">
        <f>IFERROR(__xludf.DUMMYFUNCTION("GOOGLETRANSLATE(B18961,""en"",""zh-CN"")"),"当他们谈论自己为粉丝惊讶的经历时，他们坐在舞台上。")</f>
        <v>当他们谈论自己为粉丝惊讶的经历时，他们坐在舞台上。</v>
      </c>
    </row>
    <row r="18962">
      <c r="A18962" s="4" t="s">
        <v>23858</v>
      </c>
      <c r="B18962" s="4" t="s">
        <v>23861</v>
      </c>
      <c r="C18962" s="5" t="str">
        <f>IFERROR(__xludf.DUMMYFUNCTION("GOOGLETRANSLATE(B18962,""en"",""zh-CN"")"),"他们让赢家的球迷感到惊讶。")</f>
        <v>他们让赢家的球迷感到惊讶。</v>
      </c>
    </row>
    <row r="18963">
      <c r="A18963" s="4" t="s">
        <v>23858</v>
      </c>
      <c r="B18963" s="4" t="s">
        <v>23862</v>
      </c>
      <c r="C18963" s="5" t="str">
        <f>IFERROR(__xludf.DUMMYFUNCTION("GOOGLETRANSLATE(B18963,""en"",""zh-CN"")"),"乐队成员与惊讶的粉丝打保龄球，并在保龄球馆打球。")</f>
        <v>乐队成员与惊讶的粉丝打保龄球，并在保龄球馆打球。</v>
      </c>
    </row>
    <row r="18964">
      <c r="A18964" s="4" t="s">
        <v>23858</v>
      </c>
      <c r="B18964" s="6" t="s">
        <v>23863</v>
      </c>
      <c r="C18964" s="5" t="str">
        <f>IFERROR(__xludf.DUMMYFUNCTION("GOOGLETRANSLATE(B18964,""en"",""zh-CN"")"),"保龄球比赛结束后，他们通过邀请她参加他们的音乐会Ans声音检查派对，使球迷感到惊讶。")</f>
        <v>保龄球比赛结束后，他们通过邀请她参加他们的音乐会Ans声音检查派对，使球迷感到惊讶。</v>
      </c>
    </row>
    <row r="18965">
      <c r="A18965" s="4" t="s">
        <v>23864</v>
      </c>
      <c r="B18965" s="4" t="s">
        <v>23865</v>
      </c>
      <c r="C18965" s="5" t="str">
        <f>IFERROR(__xludf.DUMMYFUNCTION("GOOGLETRANSLATE(B18965,""en"",""zh-CN"")"),"一个人骑着鞍马，开始旋转。")</f>
        <v>一个人骑着鞍马，开始旋转。</v>
      </c>
    </row>
    <row r="18966">
      <c r="A18966" s="4" t="s">
        <v>23864</v>
      </c>
      <c r="B18966" s="4" t="s">
        <v>23866</v>
      </c>
      <c r="C18966" s="5" t="str">
        <f>IFERROR(__xludf.DUMMYFUNCTION("GOOGLETRANSLATE(B18966,""en"",""zh-CN"")"),"背景中的体操运动员在中期表现。")</f>
        <v>背景中的体操运动员在中期表现。</v>
      </c>
    </row>
    <row r="18967">
      <c r="A18967" s="4" t="s">
        <v>23864</v>
      </c>
      <c r="B18967" s="4" t="s">
        <v>23867</v>
      </c>
      <c r="C18967" s="5" t="str">
        <f>IFERROR(__xludf.DUMMYFUNCTION("GOOGLETRANSLATE(B18967,""en"",""zh-CN"")"),"主要的表演者卸下并将手臂伸到空中。")</f>
        <v>主要的表演者卸下并将手臂伸到空中。</v>
      </c>
    </row>
    <row r="18968">
      <c r="A18968" s="4" t="s">
        <v>23864</v>
      </c>
      <c r="B18968" s="4" t="s">
        <v>23868</v>
      </c>
      <c r="C18968" s="5" t="str">
        <f>IFERROR(__xludf.DUMMYFUNCTION("GOOGLETRANSLATE(B18968,""en"",""zh-CN"")"),"主要表演者走开了。")</f>
        <v>主要表演者走开了。</v>
      </c>
    </row>
    <row r="18969">
      <c r="A18969" s="4" t="s">
        <v>23869</v>
      </c>
      <c r="B18969" s="4" t="s">
        <v>23870</v>
      </c>
      <c r="C18969" s="5" t="str">
        <f>IFERROR(__xludf.DUMMYFUNCTION("GOOGLETRANSLATE(B18969,""en"",""zh-CN"")"),"一个男人站在一个房间里说话。")</f>
        <v>一个男人站在一个房间里说话。</v>
      </c>
    </row>
    <row r="18970">
      <c r="A18970" s="4" t="s">
        <v>23869</v>
      </c>
      <c r="B18970" s="4" t="s">
        <v>23871</v>
      </c>
      <c r="C18970" s="5" t="str">
        <f>IFERROR(__xludf.DUMMYFUNCTION("GOOGLETRANSLATE(B18970,""en"",""zh-CN"")"),"另一个男人正在画房间的墙壁。")</f>
        <v>另一个男人正在画房间的墙壁。</v>
      </c>
    </row>
    <row r="18971">
      <c r="A18971" s="4" t="s">
        <v>23869</v>
      </c>
      <c r="B18971" s="4" t="s">
        <v>23872</v>
      </c>
      <c r="C18971" s="5" t="str">
        <f>IFERROR(__xludf.DUMMYFUNCTION("GOOGLETRANSLATE(B18971,""en"",""zh-CN"")"),"该男子把油漆罐和毛巾放在他旁边。")</f>
        <v>该男子把油漆罐和毛巾放在他旁边。</v>
      </c>
    </row>
    <row r="18972">
      <c r="A18972" s="4" t="s">
        <v>23873</v>
      </c>
      <c r="B18972" s="4" t="s">
        <v>23874</v>
      </c>
      <c r="C18972" s="5" t="str">
        <f>IFERROR(__xludf.DUMMYFUNCTION("GOOGLETRANSLATE(B18972,""en"",""zh-CN"")"),"系绳绳在酒吧上升起。")</f>
        <v>系绳绳在酒吧上升起。</v>
      </c>
    </row>
    <row r="18973">
      <c r="A18973" s="4" t="s">
        <v>23873</v>
      </c>
      <c r="B18973" s="4" t="s">
        <v>23875</v>
      </c>
      <c r="C18973" s="5" t="str">
        <f>IFERROR(__xludf.DUMMYFUNCTION("GOOGLETRANSLATE(B18973,""en"",""zh-CN"")"),"运动员为活动准备准备好并用粉笔的手做准备。")</f>
        <v>运动员为活动准备准备好并用粉笔的手做准备。</v>
      </c>
    </row>
    <row r="18974">
      <c r="A18974" s="4" t="s">
        <v>23873</v>
      </c>
      <c r="B18974" s="4" t="s">
        <v>23876</v>
      </c>
      <c r="C18974" s="5" t="str">
        <f>IFERROR(__xludf.DUMMYFUNCTION("GOOGLETRANSLATE(B18974,""en"",""zh-CN"")"),"在比赛中，运动员撑杆跳高。")</f>
        <v>在比赛中，运动员撑杆跳高。</v>
      </c>
    </row>
    <row r="18975">
      <c r="A18975" s="4" t="s">
        <v>23873</v>
      </c>
      <c r="B18975" s="4" t="s">
        <v>23877</v>
      </c>
      <c r="C18975" s="5" t="str">
        <f>IFERROR(__xludf.DUMMYFUNCTION("GOOGLETRANSLATE(B18975,""en"",""zh-CN"")"),"活动结束后，运动员和球迷会见并签名。")</f>
        <v>活动结束后，运动员和球迷会见并签名。</v>
      </c>
    </row>
    <row r="18976">
      <c r="A18976" s="4" t="s">
        <v>23873</v>
      </c>
      <c r="B18976" s="4" t="s">
        <v>23878</v>
      </c>
      <c r="C18976" s="5" t="str">
        <f>IFERROR(__xludf.DUMMYFUNCTION("GOOGLETRANSLATE(B18976,""en"",""zh-CN"")"),"在屏幕上看到了黑色背景的事件赞助商和网站的图形。")</f>
        <v>在屏幕上看到了黑色背景的事件赞助商和网站的图形。</v>
      </c>
    </row>
    <row r="18977">
      <c r="A18977" s="4" t="s">
        <v>23879</v>
      </c>
      <c r="B18977" s="4" t="s">
        <v>23880</v>
      </c>
      <c r="C18977" s="5" t="str">
        <f>IFERROR(__xludf.DUMMYFUNCTION("GOOGLETRANSLATE(B18977,""en"",""zh-CN"")"),"一组成年人在筏子里，用大波浪划在水中。")</f>
        <v>一组成年人在筏子里，用大波浪划在水中。</v>
      </c>
    </row>
    <row r="18978">
      <c r="A18978" s="4" t="s">
        <v>23879</v>
      </c>
      <c r="B18978" s="4" t="s">
        <v>23881</v>
      </c>
      <c r="C18978" s="5" t="str">
        <f>IFERROR(__xludf.DUMMYFUNCTION("GOOGLETRANSLATE(B18978,""en"",""zh-CN"")"),"该小组像高五杆一样击中对方的桨，然后继续划船。")</f>
        <v>该小组像高五杆一样击中对方的桨，然后继续划船。</v>
      </c>
    </row>
    <row r="18979">
      <c r="A18979" s="4" t="s">
        <v>23879</v>
      </c>
      <c r="B18979" s="4" t="s">
        <v>23882</v>
      </c>
      <c r="C18979" s="5" t="str">
        <f>IFERROR(__xludf.DUMMYFUNCTION("GOOGLETRANSLATE(B18979,""en"",""zh-CN"")"),"其他一群人骑着筏子，停在河边。")</f>
        <v>其他一群人骑着筏子，停在河边。</v>
      </c>
    </row>
    <row r="18980">
      <c r="A18980" s="4" t="s">
        <v>23883</v>
      </c>
      <c r="B18980" s="6" t="s">
        <v>23884</v>
      </c>
      <c r="C18980" s="5" t="str">
        <f>IFERROR(__xludf.DUMMYFUNCTION("GOOGLETRANSLATE(B18980,""en"",""zh-CN"")"),"看到一个女人在拿着乐器的相机上说话，并导致她弹奏长笛。")</f>
        <v>看到一个女人在拿着乐器的相机上说话，并导致她弹奏长笛。</v>
      </c>
    </row>
    <row r="18981">
      <c r="A18981" s="4" t="s">
        <v>23883</v>
      </c>
      <c r="B18981" s="6" t="s">
        <v>23885</v>
      </c>
      <c r="C18981" s="5" t="str">
        <f>IFERROR(__xludf.DUMMYFUNCTION("GOOGLETRANSLATE(B18981,""en"",""zh-CN"")"),"相机继续放大她的演奏乐器，同时她与相机交谈。")</f>
        <v>相机继续放大她的演奏乐器，同时她与相机交谈。</v>
      </c>
    </row>
    <row r="18982">
      <c r="A18982" s="4" t="s">
        <v>23886</v>
      </c>
      <c r="B18982" s="4" t="s">
        <v>23887</v>
      </c>
      <c r="C18982" s="5" t="str">
        <f>IFERROR(__xludf.DUMMYFUNCTION("GOOGLETRANSLATE(B18982,""en"",""zh-CN"")"),"我们看到一瓶洗面奶。")</f>
        <v>我们看到一瓶洗面奶。</v>
      </c>
    </row>
    <row r="18983">
      <c r="A18983" s="4" t="s">
        <v>23886</v>
      </c>
      <c r="B18983" s="4" t="s">
        <v>23888</v>
      </c>
      <c r="C18983" s="5" t="str">
        <f>IFERROR(__xludf.DUMMYFUNCTION("GOOGLETRANSLATE(B18983,""en"",""zh-CN"")"),"我们看到一个人拿着洗面奶，然后将其放在他们的脸上。")</f>
        <v>我们看到一个人拿着洗面奶，然后将其放在他们的脸上。</v>
      </c>
    </row>
    <row r="18984">
      <c r="A18984" s="4" t="s">
        <v>23886</v>
      </c>
      <c r="B18984" s="4" t="s">
        <v>23889</v>
      </c>
      <c r="C18984" s="5" t="str">
        <f>IFERROR(__xludf.DUMMYFUNCTION("GOOGLETRANSLATE(B18984,""en"",""zh-CN"")"),"他们冲洗脸，并用刷子加入洗面奶。")</f>
        <v>他们冲洗脸，并用刷子加入洗面奶。</v>
      </c>
    </row>
    <row r="18985">
      <c r="A18985" s="4" t="s">
        <v>23886</v>
      </c>
      <c r="B18985" s="4" t="s">
        <v>23890</v>
      </c>
      <c r="C18985" s="5" t="str">
        <f>IFERROR(__xludf.DUMMYFUNCTION("GOOGLETRANSLATE(B18985,""en"",""zh-CN"")"),"我们看到了有关如何使用刷子添加洗涤的插图。")</f>
        <v>我们看到了有关如何使用刷子添加洗涤的插图。</v>
      </c>
    </row>
    <row r="18986">
      <c r="A18986" s="4" t="s">
        <v>23886</v>
      </c>
      <c r="B18986" s="4" t="s">
        <v>4513</v>
      </c>
      <c r="C18986" s="5" t="str">
        <f>IFERROR(__xludf.DUMMYFUNCTION("GOOGLETRANSLATE(B18986,""en"",""zh-CN"")"),"我们看到了结局。")</f>
        <v>我们看到了结局。</v>
      </c>
    </row>
    <row r="18987">
      <c r="A18987" s="4" t="s">
        <v>23891</v>
      </c>
      <c r="B18987" s="6" t="s">
        <v>23892</v>
      </c>
      <c r="C18987" s="5" t="str">
        <f>IFERROR(__xludf.DUMMYFUNCTION("GOOGLETRANSLATE(B18987,""en"",""zh-CN"")"),"看到一大批人的各种剪辑都站在一起，导致人们射击弓箭。")</f>
        <v>看到一大批人的各种剪辑都站在一起，导致人们射击弓箭。</v>
      </c>
    </row>
    <row r="18988">
      <c r="A18988" s="4" t="s">
        <v>23891</v>
      </c>
      <c r="B18988" s="6" t="s">
        <v>23893</v>
      </c>
      <c r="C18988" s="5" t="str">
        <f>IFERROR(__xludf.DUMMYFUNCTION("GOOGLETRANSLATE(B18988,""en"",""zh-CN"")"),"显示了更多人与相机交谈的人以及庆祝和拍​​摄更多弓箭和跳舞的人。")</f>
        <v>显示了更多人与相机交谈的人以及庆祝和拍​​摄更多弓箭和跳舞的人。</v>
      </c>
    </row>
    <row r="18989">
      <c r="A18989" s="4" t="s">
        <v>23894</v>
      </c>
      <c r="B18989" s="4" t="s">
        <v>23895</v>
      </c>
      <c r="C18989" s="5" t="str">
        <f>IFERROR(__xludf.DUMMYFUNCTION("GOOGLETRANSLATE(B18989,""en"",""zh-CN"")"),"当一个人走进框架时，可以看到房屋的特写。")</f>
        <v>当一个人走进框架时，可以看到房屋的特写。</v>
      </c>
    </row>
    <row r="18990">
      <c r="A18990" s="4" t="s">
        <v>23894</v>
      </c>
      <c r="B18990" s="4" t="s">
        <v>23896</v>
      </c>
      <c r="C18990" s="5" t="str">
        <f>IFERROR(__xludf.DUMMYFUNCTION("GOOGLETRANSLATE(B18990,""en"",""zh-CN"")"),"看到该人抓住割草机并将其拉到一边。")</f>
        <v>看到该人抓住割草机并将其拉到一边。</v>
      </c>
    </row>
    <row r="18991">
      <c r="A18991" s="4" t="s">
        <v>23894</v>
      </c>
      <c r="B18991" s="4" t="s">
        <v>23897</v>
      </c>
      <c r="C18991" s="5" t="str">
        <f>IFERROR(__xludf.DUMMYFUNCTION("GOOGLETRANSLATE(B18991,""en"",""zh-CN"")"),"然后，该人将割草机推到房子周围。")</f>
        <v>然后，该人将割草机推到房子周围。</v>
      </c>
    </row>
    <row r="18992">
      <c r="A18992" s="4" t="s">
        <v>23898</v>
      </c>
      <c r="B18992" s="6" t="s">
        <v>23899</v>
      </c>
      <c r="C18992" s="5" t="str">
        <f>IFERROR(__xludf.DUMMYFUNCTION("GOOGLETRANSLATE(B18992,""en"",""zh-CN"")"),"看到一个人的手在工具上近距离，并开始移动手柄并将工具拆开。")</f>
        <v>看到一个人的手在工具上近距离，并开始移动手柄并将工具拆开。</v>
      </c>
    </row>
    <row r="18993">
      <c r="A18993" s="4" t="s">
        <v>23898</v>
      </c>
      <c r="B18993" s="6" t="s">
        <v>23900</v>
      </c>
      <c r="C18993" s="5" t="str">
        <f>IFERROR(__xludf.DUMMYFUNCTION("GOOGLETRANSLATE(B18993,""en"",""zh-CN"")"),"该人拧开一些物品并收紧内部，并在握住工具时移动螺丝刀。")</f>
        <v>该人拧开一些物品并收紧内部，并在握住工具时移动螺丝刀。</v>
      </c>
    </row>
    <row r="18994">
      <c r="A18994" s="4" t="s">
        <v>23901</v>
      </c>
      <c r="B18994" s="4" t="s">
        <v>23902</v>
      </c>
      <c r="C18994" s="5" t="str">
        <f>IFERROR(__xludf.DUMMYFUNCTION("GOOGLETRANSLATE(B18994,""en"",""zh-CN"")"),"一群人聚集在室内。")</f>
        <v>一群人聚集在室内。</v>
      </c>
    </row>
    <row r="18995">
      <c r="A18995" s="4" t="s">
        <v>23901</v>
      </c>
      <c r="B18995" s="4" t="s">
        <v>23903</v>
      </c>
      <c r="C18995" s="5" t="str">
        <f>IFERROR(__xludf.DUMMYFUNCTION("GOOGLETRANSLATE(B18995,""en"",""zh-CN"")"),"他们两个蹲在中心。")</f>
        <v>他们两个蹲在中心。</v>
      </c>
    </row>
    <row r="18996">
      <c r="A18996" s="4" t="s">
        <v>23901</v>
      </c>
      <c r="B18996" s="4" t="s">
        <v>23904</v>
      </c>
      <c r="C18996" s="5" t="str">
        <f>IFERROR(__xludf.DUMMYFUNCTION("GOOGLETRANSLATE(B18996,""en"",""zh-CN"")"),"他们翻到圆圈的中心，做华丽的跆拳道特技。")</f>
        <v>他们翻到圆圈的中心，做华丽的跆拳道特技。</v>
      </c>
    </row>
    <row r="18997">
      <c r="A18997" s="4" t="s">
        <v>23901</v>
      </c>
      <c r="B18997" s="4" t="s">
        <v>23905</v>
      </c>
      <c r="C18997" s="5" t="str">
        <f>IFERROR(__xludf.DUMMYFUNCTION("GOOGLETRANSLATE(B18997,""en"",""zh-CN"")"),"还显示了其他几个其他战斗机片段，翻转，滚动和踢球。")</f>
        <v>还显示了其他几个其他战斗机片段，翻转，滚动和踢球。</v>
      </c>
    </row>
    <row r="18998">
      <c r="A18998" s="4" t="s">
        <v>23901</v>
      </c>
      <c r="B18998" s="4" t="s">
        <v>23906</v>
      </c>
      <c r="C18998" s="5" t="str">
        <f>IFERROR(__xludf.DUMMYFUNCTION("GOOGLETRANSLATE(B18998,""en"",""zh-CN"")"),"两个人在最后拥抱。")</f>
        <v>两个人在最后拥抱。</v>
      </c>
    </row>
    <row r="18999">
      <c r="A18999" s="4" t="s">
        <v>23907</v>
      </c>
      <c r="B18999" s="6" t="s">
        <v>23908</v>
      </c>
      <c r="C18999" s="5" t="str">
        <f>IFERROR(__xludf.DUMMYFUNCTION("GOOGLETRANSLATE(B18999,""en"",""zh-CN"")"),"各种男人，不同年龄，不同种族和不同规模的各种照片出现，每个脸上都出现了白色文字名称。")</f>
        <v>各种男人，不同年龄，不同种族和不同规模的各种照片出现，每个脸上都出现了白色文字名称。</v>
      </c>
    </row>
    <row r="19000">
      <c r="A19000" s="4" t="s">
        <v>23907</v>
      </c>
      <c r="B19000" s="6" t="s">
        <v>23909</v>
      </c>
      <c r="C19000" s="5" t="str">
        <f>IFERROR(__xludf.DUMMYFUNCTION("GOOGLETRANSLATE(B19000,""en"",""zh-CN"")"),"然后出现一个蓝屏，白色文字出现并说“等等！那么什么是水球？”。")</f>
        <v>然后出现一个蓝屏，白色文字出现并说“等等！那么什么是水球？”。</v>
      </c>
    </row>
    <row r="19001">
      <c r="A19001" s="4" t="s">
        <v>23907</v>
      </c>
      <c r="B19001" s="6" t="s">
        <v>23910</v>
      </c>
      <c r="C19001" s="5" t="str">
        <f>IFERROR(__xludf.DUMMYFUNCTION("GOOGLETRANSLATE(B19001,""en"",""zh-CN"")"),"许多男人在游泳池中播放水球的各种剪辑开始玩耍，这表明他们在水中溅出，为球而战，游泳并试图在游泳池尽头的网上实现一个进球。")</f>
        <v>许多男人在游泳池中播放水球的各种剪辑开始玩耍，这表明他们在水中溅出，为球而战，游泳并试图在游泳池尽头的网上实现一个进球。</v>
      </c>
    </row>
    <row r="19002">
      <c r="A19002" s="4" t="s">
        <v>23907</v>
      </c>
      <c r="B19002" s="6" t="s">
        <v>23911</v>
      </c>
      <c r="C19002" s="5" t="str">
        <f>IFERROR(__xludf.DUMMYFUNCTION("GOOGLETRANSLATE(B19002,""en"",""zh-CN"")"),"另一个蓝屏出现了，其中有白色文字，上面说“好的，所以这使我们在行动中进行了动作”，并且在游泳池中播放了水球，或者只是闲逛。")</f>
        <v>另一个蓝屏出现了，其中有白色文字，上面说“好的，所以这使我们在行动中进行了动作”，并且在游泳池中播放了水球，或者只是闲逛。</v>
      </c>
    </row>
    <row r="19003">
      <c r="A19003" s="4" t="s">
        <v>23907</v>
      </c>
      <c r="B19003" s="6" t="s">
        <v>23912</v>
      </c>
      <c r="C19003" s="5" t="str">
        <f>IFERROR(__xludf.DUMMYFUNCTION("GOOGLETRANSLATE(B19003,""en"",""zh-CN"")"),"当图片完成后，出现蓝屏，上面有很多白色单词，基本上说您对刚刚看到的内容感兴趣，只需与其中一个联系。")</f>
        <v>当图片完成后，出现蓝屏，上面有很多白色单词，基本上说您对刚刚看到的内容感兴趣，只需与其中一个联系。</v>
      </c>
    </row>
    <row r="19004">
      <c r="A19004" s="4" t="s">
        <v>23913</v>
      </c>
      <c r="B19004" s="4" t="s">
        <v>23914</v>
      </c>
      <c r="C19004" s="5" t="str">
        <f>IFERROR(__xludf.DUMMYFUNCTION("GOOGLETRANSLATE(B19004,""en"",""zh-CN"")"),"有几个人在舞台上谈论麦克风。")</f>
        <v>有几个人在舞台上谈论麦克风。</v>
      </c>
    </row>
    <row r="19005">
      <c r="A19005" s="4" t="s">
        <v>23913</v>
      </c>
      <c r="B19005" s="4" t="s">
        <v>23915</v>
      </c>
      <c r="C19005" s="5" t="str">
        <f>IFERROR(__xludf.DUMMYFUNCTION("GOOGLETRANSLATE(B19005,""en"",""zh-CN"")"),"其中一名男子开始打小提琴。")</f>
        <v>其中一名男子开始打小提琴。</v>
      </c>
    </row>
    <row r="19006">
      <c r="A19006" s="4" t="s">
        <v>23913</v>
      </c>
      <c r="B19006" s="4" t="s">
        <v>23916</v>
      </c>
      <c r="C19006" s="5" t="str">
        <f>IFERROR(__xludf.DUMMYFUNCTION("GOOGLETRANSLATE(B19006,""en"",""zh-CN"")"),"他把小提琴送给了另一个扮演的小提琴。")</f>
        <v>他把小提琴送给了另一个扮演的小提琴。</v>
      </c>
    </row>
    <row r="19007">
      <c r="A19007" s="4" t="s">
        <v>23913</v>
      </c>
      <c r="B19007" s="4" t="s">
        <v>23917</v>
      </c>
      <c r="C19007" s="5" t="str">
        <f>IFERROR(__xludf.DUMMYFUNCTION("GOOGLETRANSLATE(B19007,""en"",""zh-CN"")"),"观众开始为他们鼓掌。")</f>
        <v>观众开始为他们鼓掌。</v>
      </c>
    </row>
    <row r="19008">
      <c r="A19008" s="4" t="s">
        <v>23918</v>
      </c>
      <c r="B19008" s="4" t="s">
        <v>23919</v>
      </c>
      <c r="C19008" s="5" t="str">
        <f>IFERROR(__xludf.DUMMYFUNCTION("GOOGLETRANSLATE(B19008,""en"",""zh-CN"")"),"一个大个子在黑暗的房间里跳舞。")</f>
        <v>一个大个子在黑暗的房间里跳舞。</v>
      </c>
    </row>
    <row r="19009">
      <c r="A19009" s="4" t="s">
        <v>23918</v>
      </c>
      <c r="B19009" s="4" t="s">
        <v>23920</v>
      </c>
      <c r="C19009" s="5" t="str">
        <f>IFERROR(__xludf.DUMMYFUNCTION("GOOGLETRANSLATE(B19009,""en"",""zh-CN"")"),"他身后的人笑着拍手。")</f>
        <v>他身后的人笑着拍手。</v>
      </c>
    </row>
    <row r="19010">
      <c r="A19010" s="4" t="s">
        <v>23918</v>
      </c>
      <c r="B19010" s="4" t="s">
        <v>23921</v>
      </c>
      <c r="C19010" s="5" t="str">
        <f>IFERROR(__xludf.DUMMYFUNCTION("GOOGLETRANSLATE(B19010,""en"",""zh-CN"")"),"他在远处将飞镖投掷到目标。")</f>
        <v>他在远处将飞镖投掷到目标。</v>
      </c>
    </row>
    <row r="19011">
      <c r="A19011" s="4" t="s">
        <v>23922</v>
      </c>
      <c r="B19011" s="4" t="s">
        <v>23923</v>
      </c>
      <c r="C19011" s="5" t="str">
        <f>IFERROR(__xludf.DUMMYFUNCTION("GOOGLETRANSLATE(B19011,""en"",""zh-CN"")"),"可以看到一个女人穿着带有介绍文字的油罐。")</f>
        <v>可以看到一个女人穿着带有介绍文字的油罐。</v>
      </c>
    </row>
    <row r="19012">
      <c r="A19012" s="4" t="s">
        <v>23922</v>
      </c>
      <c r="B19012" s="4" t="s">
        <v>23924</v>
      </c>
      <c r="C19012" s="5" t="str">
        <f>IFERROR(__xludf.DUMMYFUNCTION("GOOGLETRANSLATE(B19012,""en"",""zh-CN"")"),"女人用各种刷子和颜色将头发绑回去，并将眼睛化妆。")</f>
        <v>女人用各种刷子和颜色将头发绑回去，并将眼睛化妆。</v>
      </c>
    </row>
    <row r="19013">
      <c r="A19013" s="4" t="s">
        <v>23922</v>
      </c>
      <c r="B19013" s="4" t="s">
        <v>23925</v>
      </c>
      <c r="C19013" s="5" t="str">
        <f>IFERROR(__xludf.DUMMYFUNCTION("GOOGLETRANSLATE(B19013,""en"",""zh-CN"")"),"女人开始用一支精美的铅笔戴上眼线笔。")</f>
        <v>女人开始用一支精美的铅笔戴上眼线笔。</v>
      </c>
    </row>
    <row r="19014">
      <c r="A19014" s="4" t="s">
        <v>23922</v>
      </c>
      <c r="B19014" s="4" t="s">
        <v>23926</v>
      </c>
      <c r="C19014" s="5" t="str">
        <f>IFERROR(__xludf.DUMMYFUNCTION("GOOGLETRANSLATE(B19014,""en"",""zh-CN"")"),"女人从这里拿起布束带，让她的头发倒下，现在卷曲了。")</f>
        <v>女人从这里拿起布束带，让她的头发倒下，现在卷曲了。</v>
      </c>
    </row>
    <row r="19015">
      <c r="A19015" s="4" t="s">
        <v>23922</v>
      </c>
      <c r="B19015" s="4" t="s">
        <v>23927</v>
      </c>
      <c r="C19015" s="5" t="str">
        <f>IFERROR(__xludf.DUMMYFUNCTION("GOOGLETRANSLATE(B19015,""en"",""zh-CN"")"),"该女士使用梳子和发胶来拉直这里的一部分头发，然后将其绑回去。")</f>
        <v>该女士使用梳子和发胶来拉直这里的一部分头发，然后将其绑回去。</v>
      </c>
    </row>
    <row r="19016">
      <c r="A19016" s="4" t="s">
        <v>23922</v>
      </c>
      <c r="B19016" s="4" t="s">
        <v>23928</v>
      </c>
      <c r="C19016" s="5" t="str">
        <f>IFERROR(__xludf.DUMMYFUNCTION("GOOGLETRANSLATE(B19016,""en"",""zh-CN"")"),"TEX的消息显示在视频的末尾。")</f>
        <v>TEX的消息显示在视频的末尾。</v>
      </c>
    </row>
    <row r="19017">
      <c r="A19017" s="4" t="s">
        <v>23929</v>
      </c>
      <c r="B19017" s="4" t="s">
        <v>23930</v>
      </c>
      <c r="C19017" s="5" t="str">
        <f>IFERROR(__xludf.DUMMYFUNCTION("GOOGLETRANSLATE(B19017,""en"",""zh-CN"")"),"一个人将皮带固定在一个男人身上。")</f>
        <v>一个人将皮带固定在一个男人身上。</v>
      </c>
    </row>
    <row r="19018">
      <c r="A19018" s="4" t="s">
        <v>23929</v>
      </c>
      <c r="B19018" s="4" t="s">
        <v>23931</v>
      </c>
      <c r="C19018" s="5" t="str">
        <f>IFERROR(__xludf.DUMMYFUNCTION("GOOGLETRANSLATE(B19018,""en"",""zh-CN"")"),"这个家伙靠近边缘。")</f>
        <v>这个家伙靠近边缘。</v>
      </c>
    </row>
    <row r="19019">
      <c r="A19019" s="4" t="s">
        <v>23929</v>
      </c>
      <c r="B19019" s="4" t="s">
        <v>23932</v>
      </c>
      <c r="C19019" s="5" t="str">
        <f>IFERROR(__xludf.DUMMYFUNCTION("GOOGLETRANSLATE(B19019,""en"",""zh-CN"")"),"两个男人在那个家伙身上挂钩。")</f>
        <v>两个男人在那个家伙身上挂钩。</v>
      </c>
    </row>
    <row r="19020">
      <c r="A19020" s="4" t="s">
        <v>23929</v>
      </c>
      <c r="B19020" s="4" t="s">
        <v>23933</v>
      </c>
      <c r="C19020" s="5" t="str">
        <f>IFERROR(__xludf.DUMMYFUNCTION("GOOGLETRANSLATE(B19020,""en"",""zh-CN"")"),"一个人释放一条绳子。")</f>
        <v>一个人释放一条绳子。</v>
      </c>
    </row>
    <row r="19021">
      <c r="A19021" s="4" t="s">
        <v>23929</v>
      </c>
      <c r="B19021" s="4" t="s">
        <v>23934</v>
      </c>
      <c r="C19021" s="5" t="str">
        <f>IFERROR(__xludf.DUMMYFUNCTION("GOOGLETRANSLATE(B19021,""en"",""zh-CN"")"),"那个家伙跳过边缘或蹦极跳。")</f>
        <v>那个家伙跳过边缘或蹦极跳。</v>
      </c>
    </row>
    <row r="19022">
      <c r="A19022" s="4" t="s">
        <v>23935</v>
      </c>
      <c r="B19022" s="4" t="s">
        <v>23936</v>
      </c>
      <c r="C19022" s="5" t="str">
        <f>IFERROR(__xludf.DUMMYFUNCTION("GOOGLETRANSLATE(B19022,""en"",""zh-CN"")"),"一支游行乐队在街上游行，演奏鼓和其他乐器。")</f>
        <v>一支游行乐队在街上游行，演奏鼓和其他乐器。</v>
      </c>
    </row>
    <row r="19023">
      <c r="A19023" s="4" t="s">
        <v>23935</v>
      </c>
      <c r="B19023" s="4" t="s">
        <v>23937</v>
      </c>
      <c r="C19023" s="5" t="str">
        <f>IFERROR(__xludf.DUMMYFUNCTION("GOOGLETRANSLATE(B19023,""en"",""zh-CN"")"),"街道两边的人们观看乐队的表演。")</f>
        <v>街道两边的人们观看乐队的表演。</v>
      </c>
    </row>
    <row r="19024">
      <c r="A19024" s="4" t="s">
        <v>23938</v>
      </c>
      <c r="B19024" s="4" t="s">
        <v>23939</v>
      </c>
      <c r="C19024" s="5" t="str">
        <f>IFERROR(__xludf.DUMMYFUNCTION("GOOGLETRANSLATE(B19024,""en"",""zh-CN"")"),"一个长发的女人在相机上说话。")</f>
        <v>一个长发的女人在相机上说话。</v>
      </c>
    </row>
    <row r="19025">
      <c r="A19025" s="4" t="s">
        <v>23938</v>
      </c>
      <c r="B19025" s="4" t="s">
        <v>23940</v>
      </c>
      <c r="C19025" s="5" t="str">
        <f>IFERROR(__xludf.DUMMYFUNCTION("GOOGLETRANSLATE(B19025,""en"",""zh-CN"")"),"她举起了长长的刷子。")</f>
        <v>她举起了长长的刷子。</v>
      </c>
    </row>
    <row r="19026">
      <c r="A19026" s="4" t="s">
        <v>23938</v>
      </c>
      <c r="B19026" s="4" t="s">
        <v>23941</v>
      </c>
      <c r="C19026" s="5" t="str">
        <f>IFERROR(__xludf.DUMMYFUNCTION("GOOGLETRANSLATE(B19026,""en"",""zh-CN"")"),"她演示了如何使用刷子从汽车上刮下雪。")</f>
        <v>她演示了如何使用刷子从汽车上刮下雪。</v>
      </c>
    </row>
    <row r="19027">
      <c r="A19027" s="4" t="s">
        <v>23938</v>
      </c>
      <c r="B19027" s="4" t="s">
        <v>23942</v>
      </c>
      <c r="C19027" s="5" t="str">
        <f>IFERROR(__xludf.DUMMYFUNCTION("GOOGLETRANSLATE(B19027,""en"",""zh-CN"")"),"完成后，她继续谈论刷子。")</f>
        <v>完成后，她继续谈论刷子。</v>
      </c>
    </row>
    <row r="19028">
      <c r="A19028" s="4" t="s">
        <v>23943</v>
      </c>
      <c r="B19028" s="4" t="s">
        <v>23944</v>
      </c>
      <c r="C19028" s="5" t="str">
        <f>IFERROR(__xludf.DUMMYFUNCTION("GOOGLETRANSLATE(B19028,""en"",""zh-CN"")"),"一个女士的膝盖，一个男人走路和指导。")</f>
        <v>一个女士的膝盖，一个男人走路和指导。</v>
      </c>
    </row>
    <row r="19029">
      <c r="A19029" s="4" t="s">
        <v>23943</v>
      </c>
      <c r="B19029" s="4" t="s">
        <v>23945</v>
      </c>
      <c r="C19029" s="5" t="str">
        <f>IFERROR(__xludf.DUMMYFUNCTION("GOOGLETRANSLATE(B19029,""en"",""zh-CN"")"),"那位女士将双手放在她的头后面。")</f>
        <v>那位女士将双手放在她的头后面。</v>
      </c>
    </row>
    <row r="19030">
      <c r="A19030" s="4" t="s">
        <v>23946</v>
      </c>
      <c r="B19030" s="4" t="s">
        <v>23947</v>
      </c>
      <c r="C19030" s="5" t="str">
        <f>IFERROR(__xludf.DUMMYFUNCTION("GOOGLETRANSLATE(B19030,""en"",""zh-CN"")"),"一位女士正在刷她的头发。")</f>
        <v>一位女士正在刷她的头发。</v>
      </c>
    </row>
    <row r="19031">
      <c r="A19031" s="4" t="s">
        <v>23946</v>
      </c>
      <c r="B19031" s="4" t="s">
        <v>23948</v>
      </c>
      <c r="C19031" s="5" t="str">
        <f>IFERROR(__xludf.DUMMYFUNCTION("GOOGLETRANSLATE(B19031,""en"",""zh-CN"")"),"那位女士从下面刷头发。")</f>
        <v>那位女士从下面刷头发。</v>
      </c>
    </row>
    <row r="19032">
      <c r="A19032" s="4" t="s">
        <v>23946</v>
      </c>
      <c r="B19032" s="4" t="s">
        <v>23949</v>
      </c>
      <c r="C19032" s="5" t="str">
        <f>IFERROR(__xludf.DUMMYFUNCTION("GOOGLETRANSLATE(B19032,""en"",""zh-CN"")"),"115女士把手伸到头发上。")</f>
        <v>115女士把手伸到头发上。</v>
      </c>
    </row>
    <row r="19033">
      <c r="A19033" s="4" t="s">
        <v>23946</v>
      </c>
      <c r="B19033" s="4" t="s">
        <v>23950</v>
      </c>
      <c r="C19033" s="5" t="str">
        <f>IFERROR(__xludf.DUMMYFUNCTION("GOOGLETRANSLATE(B19033,""en"",""zh-CN"")"),"女士结束并直立。")</f>
        <v>女士结束并直立。</v>
      </c>
    </row>
    <row r="19034">
      <c r="A19034" s="4" t="s">
        <v>23951</v>
      </c>
      <c r="B19034" s="4" t="s">
        <v>23952</v>
      </c>
      <c r="C19034" s="5" t="str">
        <f>IFERROR(__xludf.DUMMYFUNCTION("GOOGLETRANSLATE(B19034,""en"",""zh-CN"")"),"一个人的手显示弹钢琴。")</f>
        <v>一个人的手显示弹钢琴。</v>
      </c>
    </row>
    <row r="19035">
      <c r="A19035" s="4" t="s">
        <v>23951</v>
      </c>
      <c r="B19035" s="4" t="s">
        <v>23953</v>
      </c>
      <c r="C19035" s="5" t="str">
        <f>IFERROR(__xludf.DUMMYFUNCTION("GOOGLETRANSLATE(B19035,""en"",""zh-CN"")"),"小号的特写显示出一个男人在玩。")</f>
        <v>小号的特写显示出一个男人在玩。</v>
      </c>
    </row>
    <row r="19036">
      <c r="A19036" s="4" t="s">
        <v>23951</v>
      </c>
      <c r="B19036" s="4" t="s">
        <v>23954</v>
      </c>
      <c r="C19036" s="5" t="str">
        <f>IFERROR(__xludf.DUMMYFUNCTION("GOOGLETRANSLATE(B19036,""en"",""zh-CN"")"),"视频淡入了舞台上玩的人。")</f>
        <v>视频淡入了舞台上玩的人。</v>
      </c>
    </row>
    <row r="19037">
      <c r="A19037" s="4" t="s">
        <v>23951</v>
      </c>
      <c r="B19037" s="4" t="s">
        <v>23955</v>
      </c>
      <c r="C19037" s="5" t="str">
        <f>IFERROR(__xludf.DUMMYFUNCTION("GOOGLETRANSLATE(B19037,""en"",""zh-CN"")"),"相机放大了小号手。")</f>
        <v>相机放大了小号手。</v>
      </c>
    </row>
    <row r="19038">
      <c r="A19038" s="4" t="s">
        <v>23951</v>
      </c>
      <c r="B19038" s="4" t="s">
        <v>23956</v>
      </c>
      <c r="C19038" s="5" t="str">
        <f>IFERROR(__xludf.DUMMYFUNCTION("GOOGLETRANSLATE(B19038,""en"",""zh-CN"")"),"一个女孩弹钢琴。")</f>
        <v>一个女孩弹钢琴。</v>
      </c>
    </row>
    <row r="19039">
      <c r="A19039" s="4" t="s">
        <v>23951</v>
      </c>
      <c r="B19039" s="4" t="s">
        <v>23957</v>
      </c>
      <c r="C19039" s="5" t="str">
        <f>IFERROR(__xludf.DUMMYFUNCTION("GOOGLETRANSLATE(B19039,""en"",""zh-CN"")"),"二人将继续演奏直到歌曲结束。")</f>
        <v>二人将继续演奏直到歌曲结束。</v>
      </c>
    </row>
    <row r="19040">
      <c r="A19040" s="4" t="s">
        <v>23958</v>
      </c>
      <c r="B19040" s="4" t="s">
        <v>23959</v>
      </c>
      <c r="C19040" s="5" t="str">
        <f>IFERROR(__xludf.DUMMYFUNCTION("GOOGLETRANSLATE(B19040,""en"",""zh-CN"")"),"一个男人在外面爬了一个大梯子。")</f>
        <v>一个男人在外面爬了一个大梯子。</v>
      </c>
    </row>
    <row r="19041">
      <c r="A19041" s="4" t="s">
        <v>23958</v>
      </c>
      <c r="B19041" s="4" t="s">
        <v>23960</v>
      </c>
      <c r="C19041" s="5" t="str">
        <f>IFERROR(__xludf.DUMMYFUNCTION("GOOGLETRANSLATE(B19041,""en"",""zh-CN"")"),"他正在使用修剪器砍伐和修剪大树。")</f>
        <v>他正在使用修剪器砍伐和修剪大树。</v>
      </c>
    </row>
    <row r="19042">
      <c r="A19042" s="4" t="s">
        <v>23958</v>
      </c>
      <c r="B19042" s="4" t="s">
        <v>23961</v>
      </c>
      <c r="C19042" s="5" t="str">
        <f>IFERROR(__xludf.DUMMYFUNCTION("GOOGLETRANSLATE(B19042,""en"",""zh-CN"")"),"他伸手，切开树枝和树枝。")</f>
        <v>他伸手，切开树枝和树枝。</v>
      </c>
    </row>
    <row r="19043">
      <c r="A19043" s="4" t="s">
        <v>23962</v>
      </c>
      <c r="B19043" s="4" t="s">
        <v>23963</v>
      </c>
      <c r="C19043" s="5" t="str">
        <f>IFERROR(__xludf.DUMMYFUNCTION("GOOGLETRANSLATE(B19043,""en"",""zh-CN"")"),"看到一个男人拿着网球拍，开始在房间周围击球。")</f>
        <v>看到一个男人拿着网球拍，开始在房间周围击球。</v>
      </c>
    </row>
    <row r="19044">
      <c r="A19044" s="4" t="s">
        <v>23962</v>
      </c>
      <c r="B19044" s="4" t="s">
        <v>23964</v>
      </c>
      <c r="C19044" s="5" t="str">
        <f>IFERROR(__xludf.DUMMYFUNCTION("GOOGLETRANSLATE(B19044,""en"",""zh-CN"")"),"另一个人在框架中还拿着网球球拍并击球。")</f>
        <v>另一个人在框架中还拿着网球球拍并击球。</v>
      </c>
    </row>
    <row r="19045">
      <c r="A19045" s="4" t="s">
        <v>23962</v>
      </c>
      <c r="B19045" s="6" t="s">
        <v>23965</v>
      </c>
      <c r="C19045" s="5" t="str">
        <f>IFERROR(__xludf.DUMMYFUNCTION("GOOGLETRANSLATE(B19045,""en"",""zh-CN"")"),"当相机跟随他们的动作时，这些人继续在房间周围互相比赛。")</f>
        <v>当相机跟随他们的动作时，这些人继续在房间周围互相比赛。</v>
      </c>
    </row>
    <row r="19046">
      <c r="A19046" s="4" t="s">
        <v>23966</v>
      </c>
      <c r="B19046" s="4" t="s">
        <v>23967</v>
      </c>
      <c r="C19046" s="5" t="str">
        <f>IFERROR(__xludf.DUMMYFUNCTION("GOOGLETRANSLATE(B19046,""en"",""zh-CN"")"),"几名NHL球员正在曲棍球体育场玩曲棍球比赛。")</f>
        <v>几名NHL球员正在曲棍球体育场玩曲棍球比赛。</v>
      </c>
    </row>
    <row r="19047">
      <c r="A19047" s="4" t="s">
        <v>23966</v>
      </c>
      <c r="B19047" s="4" t="s">
        <v>23968</v>
      </c>
      <c r="C19047" s="5" t="str">
        <f>IFERROR(__xludf.DUMMYFUNCTION("GOOGLETRANSLATE(B19047,""en"",""zh-CN"")"),"一名玩家在比赛中表达了他的愤怒。")</f>
        <v>一名玩家在比赛中表达了他的愤怒。</v>
      </c>
    </row>
    <row r="19048">
      <c r="A19048" s="4" t="s">
        <v>23966</v>
      </c>
      <c r="B19048" s="4" t="s">
        <v>23969</v>
      </c>
      <c r="C19048" s="5" t="str">
        <f>IFERROR(__xludf.DUMMYFUNCTION("GOOGLETRANSLATE(B19048,""en"",""zh-CN"")"),"一个新闻施法者来到屏幕上，宣布有关曲棍球崩溃的一部分。")</f>
        <v>一个新闻施法者来到屏幕上，宣布有关曲棍球崩溃的一部分。</v>
      </c>
    </row>
    <row r="19049">
      <c r="A19049" s="4" t="s">
        <v>23966</v>
      </c>
      <c r="B19049" s="4" t="s">
        <v>23970</v>
      </c>
      <c r="C19049" s="5" t="str">
        <f>IFERROR(__xludf.DUMMYFUNCTION("GOOGLETRANSLATE(B19049,""en"",""zh-CN"")"),"然后显示前十个曲棍球融化。")</f>
        <v>然后显示前十个曲棍球融化。</v>
      </c>
    </row>
    <row r="19050">
      <c r="A19050" s="4" t="s">
        <v>23971</v>
      </c>
      <c r="B19050" s="4" t="s">
        <v>23972</v>
      </c>
      <c r="C19050" s="5" t="str">
        <f>IFERROR(__xludf.DUMMYFUNCTION("GOOGLETRANSLATE(B19050,""en"",""zh-CN"")"),"一个人用杆子修剪大树篱。")</f>
        <v>一个人用杆子修剪大树篱。</v>
      </c>
    </row>
    <row r="19051">
      <c r="A19051" s="4" t="s">
        <v>23971</v>
      </c>
      <c r="B19051" s="4" t="s">
        <v>23973</v>
      </c>
      <c r="C19051" s="5" t="str">
        <f>IFERROR(__xludf.DUMMYFUNCTION("GOOGLETRANSLATE(B19051,""en"",""zh-CN"")"),"该工具正在使用几个特写镜头。")</f>
        <v>该工具正在使用几个特写镜头。</v>
      </c>
    </row>
    <row r="19052">
      <c r="A19052" s="4" t="s">
        <v>23971</v>
      </c>
      <c r="B19052" s="4" t="s">
        <v>23974</v>
      </c>
      <c r="C19052" s="5" t="str">
        <f>IFERROR(__xludf.DUMMYFUNCTION("GOOGLETRANSLATE(B19052,""en"",""zh-CN"")"),"为此显示了几个扩展。")</f>
        <v>为此显示了几个扩展。</v>
      </c>
    </row>
    <row r="19053">
      <c r="A19053" s="4" t="s">
        <v>23971</v>
      </c>
      <c r="B19053" s="4" t="s">
        <v>23975</v>
      </c>
      <c r="C19053" s="5" t="str">
        <f>IFERROR(__xludf.DUMMYFUNCTION("GOOGLETRANSLATE(B19053,""en"",""zh-CN"")"),"该男子用它修剪一棵树。")</f>
        <v>该男子用它修剪一棵树。</v>
      </c>
    </row>
    <row r="19054">
      <c r="A19054" s="4" t="s">
        <v>23976</v>
      </c>
      <c r="B19054" s="4" t="s">
        <v>23977</v>
      </c>
      <c r="C19054" s="5" t="str">
        <f>IFERROR(__xludf.DUMMYFUNCTION("GOOGLETRANSLATE(B19054,""en"",""zh-CN"")"),"看到一个女人在相机上说话，并导致她玩弄头发并将其钉住。")</f>
        <v>看到一个女人在相机上说话，并导致她玩弄头发并将其钉住。</v>
      </c>
    </row>
    <row r="19055">
      <c r="A19055" s="4" t="s">
        <v>23976</v>
      </c>
      <c r="B19055" s="4" t="s">
        <v>23978</v>
      </c>
      <c r="C19055" s="5" t="str">
        <f>IFERROR(__xludf.DUMMYFUNCTION("GOOGLETRANSLATE(B19055,""en"",""zh-CN"")"),"她十个在与镜头说话时开始在各个地方编织头发。")</f>
        <v>她十个在与镜头说话时开始在各个地方编织头发。</v>
      </c>
    </row>
    <row r="19056">
      <c r="A19056" s="4" t="s">
        <v>23976</v>
      </c>
      <c r="B19056" s="4" t="s">
        <v>23979</v>
      </c>
      <c r="C19056" s="5" t="str">
        <f>IFERROR(__xludf.DUMMYFUNCTION("GOOGLETRANSLATE(B19056,""en"",""zh-CN"")"),"她将头发绑在头上，然后用相机说话结束。")</f>
        <v>她将头发绑在头上，然后用相机说话结束。</v>
      </c>
    </row>
    <row r="19057">
      <c r="A19057" s="4" t="s">
        <v>23980</v>
      </c>
      <c r="B19057" s="4" t="s">
        <v>23981</v>
      </c>
      <c r="C19057" s="5" t="str">
        <f>IFERROR(__xludf.DUMMYFUNCTION("GOOGLETRANSLATE(B19057,""en"",""zh-CN"")"),"一个女孩握着警棍她的手。")</f>
        <v>一个女孩握着警棍她的手。</v>
      </c>
    </row>
    <row r="19058">
      <c r="A19058" s="4" t="s">
        <v>23980</v>
      </c>
      <c r="B19058" s="4" t="s">
        <v>23982</v>
      </c>
      <c r="C19058" s="5" t="str">
        <f>IFERROR(__xludf.DUMMYFUNCTION("GOOGLETRANSLATE(B19058,""en"",""zh-CN"")"),"她把它扔给她旁边的一个男孩。")</f>
        <v>她把它扔给她旁边的一个男孩。</v>
      </c>
    </row>
    <row r="19059">
      <c r="A19059" s="4" t="s">
        <v>23980</v>
      </c>
      <c r="B19059" s="4" t="s">
        <v>23983</v>
      </c>
      <c r="C19059" s="5" t="str">
        <f>IFERROR(__xludf.DUMMYFUNCTION("GOOGLETRANSLATE(B19059,""en"",""zh-CN"")"),"他们轮流将其扔到空中并抓住它。")</f>
        <v>他们轮流将其扔到空中并抓住它。</v>
      </c>
    </row>
    <row r="19060">
      <c r="A19060" s="4" t="s">
        <v>23984</v>
      </c>
      <c r="B19060" s="4" t="s">
        <v>23985</v>
      </c>
      <c r="C19060" s="5" t="str">
        <f>IFERROR(__xludf.DUMMYFUNCTION("GOOGLETRANSLATE(B19060,""en"",""zh-CN"")"),"摄像机摇晃在室内排球场的图像上。")</f>
        <v>摄像机摇晃在室内排球场的图像上。</v>
      </c>
    </row>
    <row r="19061">
      <c r="A19061" s="4" t="s">
        <v>23984</v>
      </c>
      <c r="B19061" s="4" t="s">
        <v>23986</v>
      </c>
      <c r="C19061" s="5" t="str">
        <f>IFERROR(__xludf.DUMMYFUNCTION("GOOGLETRANSLATE(B19061,""en"",""zh-CN"")"),"一个女人从网上赛跑，击中了即将进入的排球。")</f>
        <v>一个女人从网上赛跑，击中了即将进入的排球。</v>
      </c>
    </row>
    <row r="19062">
      <c r="A19062" s="4" t="s">
        <v>23984</v>
      </c>
      <c r="B19062" s="4" t="s">
        <v>23987</v>
      </c>
      <c r="C19062" s="5" t="str">
        <f>IFERROR(__xludf.DUMMYFUNCTION("GOOGLETRANSLATE(B19062,""en"",""zh-CN"")"),"一名团队成员还击球并将其送到网上。")</f>
        <v>一名团队成员还击球并将其送到网上。</v>
      </c>
    </row>
    <row r="19063">
      <c r="A19063" s="4" t="s">
        <v>23988</v>
      </c>
      <c r="B19063" s="6" t="s">
        <v>23989</v>
      </c>
      <c r="C19063" s="5" t="str">
        <f>IFERROR(__xludf.DUMMYFUNCTION("GOOGLETRANSLATE(B19063,""en"",""zh-CN"")"),"当他走进工作空间时，该男子穿着围裙，“ Conti Ski-Boots Services呈现竞赛操作”一词被覆盖在屏幕上，因为他抓住滑雪杆并拿起钻头并在顶部使用钻头并将其使用滑雪。")</f>
        <v>当他走进工作空间时，该男子穿着围裙，“ Conti Ski-Boots Services呈现竞赛操作”一词被覆盖在屏幕上，因为他抓住滑雪杆并拿起钻头并在顶部使用钻头并将其使用滑雪。</v>
      </c>
    </row>
    <row r="19064">
      <c r="A19064" s="4" t="s">
        <v>23988</v>
      </c>
      <c r="B19064" s="6" t="s">
        <v>23990</v>
      </c>
      <c r="C19064" s="5" t="str">
        <f>IFERROR(__xludf.DUMMYFUNCTION("GOOGLETRANSLATE(B19064,""en"",""zh-CN"")"),"然后，该男子抓住滑雪板，将其放入位于他身后的绿色机器中，并将其通过机器运行几次，然后将其拆除，然后在滑雪板的背面工作，看起来像他在打磨，录音并将某种类型的清晰饰面倒在上面。")</f>
        <v>然后，该男子抓住滑雪板，将其放入位于他身后的绿色机器中，并将其通过机器运行几次，然后将其拆除，然后在滑雪板的背面工作，看起来像他在打磨，录音并将某种类型的清晰饰面倒在上面。</v>
      </c>
    </row>
    <row r="19065">
      <c r="A19065" s="4" t="s">
        <v>23988</v>
      </c>
      <c r="B19065" s="6" t="s">
        <v>23991</v>
      </c>
      <c r="C19065" s="5" t="str">
        <f>IFERROR(__xludf.DUMMYFUNCTION("GOOGLETRANSLATE(B19065,""en"",""zh-CN"")"),"然后，该男子在天空上运行一个看起来像铁的设备，并继续将其打磨，将其清除，刮擦并再次使用熨烫设备。")</f>
        <v>然后，该男子在天空上运行一个看起来像铁的设备，并继续将其打磨，将其清除，刮擦并再次使用熨烫设备。</v>
      </c>
    </row>
    <row r="19066">
      <c r="A19066" s="4" t="s">
        <v>23988</v>
      </c>
      <c r="B19066" s="4" t="s">
        <v>23992</v>
      </c>
      <c r="C19066" s="5" t="str">
        <f>IFERROR(__xludf.DUMMYFUNCTION("GOOGLETRANSLATE(B19066,""en"",""zh-CN"")"),"然后，该男子将胶带移开，然后将滑雪板转到其侧面以刮擦它。")</f>
        <v>然后，该男子将胶带移开，然后将滑雪板转到其侧面以刮擦它。</v>
      </c>
    </row>
    <row r="19067">
      <c r="A19067" s="4" t="s">
        <v>23988</v>
      </c>
      <c r="B19067" s="6" t="s">
        <v>23993</v>
      </c>
      <c r="C19067" s="5" t="str">
        <f>IFERROR(__xludf.DUMMYFUNCTION("GOOGLETRANSLATE(B19067,""en"",""zh-CN"")"),"完成后，他抓住滑雪板，将其放入位于绿色机器上方的隔间。")</f>
        <v>完成后，他抓住滑雪板，将其放入位于绿色机器上方的隔间。</v>
      </c>
    </row>
    <row r="19068">
      <c r="A19068" s="4" t="s">
        <v>23994</v>
      </c>
      <c r="B19068" s="4" t="s">
        <v>23995</v>
      </c>
      <c r="C19068" s="5" t="str">
        <f>IFERROR(__xludf.DUMMYFUNCTION("GOOGLETRANSLATE(B19068,""en"",""zh-CN"")"),"一个穿着空手道制服的男孩和女孩在镜头前玩。")</f>
        <v>一个穿着空手道制服的男孩和女孩在镜头前玩。</v>
      </c>
    </row>
    <row r="19069">
      <c r="A19069" s="4" t="s">
        <v>23994</v>
      </c>
      <c r="B19069" s="4" t="s">
        <v>23996</v>
      </c>
      <c r="C19069" s="5" t="str">
        <f>IFERROR(__xludf.DUMMYFUNCTION("GOOGLETRANSLATE(B19069,""en"",""zh-CN"")"),"他们谈论如何赢得空手道制服以及对空手道的喜好。")</f>
        <v>他们谈论如何赢得空手道制服以及对空手道的喜好。</v>
      </c>
    </row>
    <row r="19070">
      <c r="A19070" s="4" t="s">
        <v>23994</v>
      </c>
      <c r="B19070" s="4" t="s">
        <v>23997</v>
      </c>
      <c r="C19070" s="5" t="str">
        <f>IFERROR(__xludf.DUMMYFUNCTION("GOOGLETRANSLATE(B19070,""en"",""zh-CN"")"),"这个女孩谈论她的兄弟以及更多关于空手道的信息。")</f>
        <v>这个女孩谈论她的兄弟以及更多关于空手道的信息。</v>
      </c>
    </row>
    <row r="19071">
      <c r="A19071" s="4" t="s">
        <v>23994</v>
      </c>
      <c r="B19071" s="4" t="s">
        <v>23998</v>
      </c>
      <c r="C19071" s="5" t="str">
        <f>IFERROR(__xludf.DUMMYFUNCTION("GOOGLETRANSLATE(B19071,""en"",""zh-CN"")"),"女孩对她的兄弟发挥影响。")</f>
        <v>女孩对她的兄弟发挥影响。</v>
      </c>
    </row>
    <row r="19072">
      <c r="A19072" s="4" t="s">
        <v>23994</v>
      </c>
      <c r="B19072" s="4" t="s">
        <v>23999</v>
      </c>
      <c r="C19072" s="5" t="str">
        <f>IFERROR(__xludf.DUMMYFUNCTION("GOOGLETRANSLATE(B19072,""en"",""zh-CN"")"),"女孩为相机做各种空手道动作。")</f>
        <v>女孩为相机做各种空手道动作。</v>
      </c>
    </row>
    <row r="19073">
      <c r="A19073" s="4" t="s">
        <v>23994</v>
      </c>
      <c r="B19073" s="4" t="s">
        <v>24000</v>
      </c>
      <c r="C19073" s="5" t="str">
        <f>IFERROR(__xludf.DUMMYFUNCTION("GOOGLETRANSLATE(B19073,""en"",""zh-CN"")"),"然后，兄弟为相机做了几个不同的空手道动作。")</f>
        <v>然后，兄弟为相机做了几个不同的空手道动作。</v>
      </c>
    </row>
    <row r="19074">
      <c r="A19074" s="4" t="s">
        <v>24001</v>
      </c>
      <c r="B19074" s="6" t="s">
        <v>24002</v>
      </c>
      <c r="C19074" s="5" t="str">
        <f>IFERROR(__xludf.DUMMYFUNCTION("GOOGLETRANSLATE(B19074,""en"",""zh-CN"")"),"一个人在一个筛选的区域，站在混凝土圆圈上，在他的头顶上方两次摇摆绳子上挥动球。")</f>
        <v>一个人在一个筛选的区域，站在混凝土圆圈上，在他的头顶上方两次摇摆绳子上挥动球。</v>
      </c>
    </row>
    <row r="19075">
      <c r="A19075" s="4" t="s">
        <v>24001</v>
      </c>
      <c r="B19075" s="4" t="s">
        <v>24003</v>
      </c>
      <c r="C19075" s="5" t="str">
        <f>IFERROR(__xludf.DUMMYFUNCTION("GOOGLETRANSLATE(B19075,""en"",""zh-CN"")"),"然后，该男子迅速开始旋转自己，并在绳子上挥舞球。")</f>
        <v>然后，该男子迅速开始旋转自己，并在绳子上挥舞球。</v>
      </c>
    </row>
    <row r="19076">
      <c r="A19076" s="4" t="s">
        <v>24001</v>
      </c>
      <c r="B19076" s="4" t="s">
        <v>24004</v>
      </c>
      <c r="C19076" s="5" t="str">
        <f>IFERROR(__xludf.DUMMYFUNCTION("GOOGLETRANSLATE(B19076,""en"",""zh-CN"")"),"经过无数迅速的挥动并旋转后，该男子放开绳子，球飞了起来。")</f>
        <v>经过无数迅速的挥动并旋转后，该男子放开绳子，球飞了起来。</v>
      </c>
    </row>
    <row r="19077">
      <c r="A19077" s="4" t="s">
        <v>24005</v>
      </c>
      <c r="B19077" s="4" t="s">
        <v>24006</v>
      </c>
      <c r="C19077" s="5" t="str">
        <f>IFERROR(__xludf.DUMMYFUNCTION("GOOGLETRANSLATE(B19077,""en"",""zh-CN"")"),"一个人用水槽中的刷子洗碗。")</f>
        <v>一个人用水槽中的刷子洗碗。</v>
      </c>
    </row>
    <row r="19078">
      <c r="A19078" s="4" t="s">
        <v>24005</v>
      </c>
      <c r="B19078" s="4" t="s">
        <v>24007</v>
      </c>
      <c r="C19078" s="5" t="str">
        <f>IFERROR(__xludf.DUMMYFUNCTION("GOOGLETRANSLATE(B19078,""en"",""zh-CN"")"),"然后，该人在用刷子清洁时洗手器物。")</f>
        <v>然后，该人在用刷子清洁时洗手器物。</v>
      </c>
    </row>
    <row r="19079">
      <c r="A19079" s="4" t="s">
        <v>24005</v>
      </c>
      <c r="B19079" s="4" t="s">
        <v>24008</v>
      </c>
      <c r="C19079" s="5" t="str">
        <f>IFERROR(__xludf.DUMMYFUNCTION("GOOGLETRANSLATE(B19079,""en"",""zh-CN"")"),"之后，该人将洗碗机倒在玻璃杯和杯子中，然后刷并冲洗。")</f>
        <v>之后，该人将洗碗机倒在玻璃杯和杯子中，然后刷并冲洗。</v>
      </c>
    </row>
    <row r="19080">
      <c r="A19080" s="4" t="s">
        <v>24009</v>
      </c>
      <c r="B19080" s="4" t="s">
        <v>24010</v>
      </c>
      <c r="C19080" s="5" t="str">
        <f>IFERROR(__xludf.DUMMYFUNCTION("GOOGLETRANSLATE(B19080,""en"",""zh-CN"")"),"一个男人在刷鞋时看着两只熊的窗户，看着两只熊。")</f>
        <v>一个男人在刷鞋时看着两只熊的窗户，看着两只熊。</v>
      </c>
    </row>
    <row r="19081">
      <c r="A19081" s="4" t="s">
        <v>24009</v>
      </c>
      <c r="B19081" s="4" t="s">
        <v>24011</v>
      </c>
      <c r="C19081" s="5" t="str">
        <f>IFERROR(__xludf.DUMMYFUNCTION("GOOGLETRANSLATE(B19081,""en"",""zh-CN"")"),"一个女孩进入房间，看到熊，然后她离开房间。")</f>
        <v>一个女孩进入房间，看到熊，然后她离开房间。</v>
      </c>
    </row>
    <row r="19082">
      <c r="A19082" s="4" t="s">
        <v>24012</v>
      </c>
      <c r="B19082" s="4" t="s">
        <v>24013</v>
      </c>
      <c r="C19082" s="5" t="str">
        <f>IFERROR(__xludf.DUMMYFUNCTION("GOOGLETRANSLATE(B19082,""en"",""zh-CN"")"),"儿童在成年人观看时在道场上进行武术动作。")</f>
        <v>儿童在成年人观看时在道场上进行武术动作。</v>
      </c>
    </row>
    <row r="19083">
      <c r="A19083" s="4" t="s">
        <v>24012</v>
      </c>
      <c r="B19083" s="4" t="s">
        <v>24014</v>
      </c>
      <c r="C19083" s="5" t="str">
        <f>IFERROR(__xludf.DUMMYFUNCTION("GOOGLETRANSLATE(B19083,""en"",""zh-CN"")"),"一个女孩翻转转弯，然后从中央翻转。")</f>
        <v>一个女孩翻转转弯，然后从中央翻转。</v>
      </c>
    </row>
    <row r="19084">
      <c r="A19084" s="4" t="s">
        <v>24012</v>
      </c>
      <c r="B19084" s="4" t="s">
        <v>24015</v>
      </c>
      <c r="C19084" s="5" t="str">
        <f>IFERROR(__xludf.DUMMYFUNCTION("GOOGLETRANSLATE(B19084,""en"",""zh-CN"")"),"青少年翻转到房间的另一侧。")</f>
        <v>青少年翻转到房间的另一侧。</v>
      </c>
    </row>
    <row r="19085">
      <c r="A19085" s="4" t="s">
        <v>24012</v>
      </c>
      <c r="B19085" s="4" t="s">
        <v>24016</v>
      </c>
      <c r="C19085" s="5" t="str">
        <f>IFERROR(__xludf.DUMMYFUNCTION("GOOGLETRANSLATE(B19085,""en"",""zh-CN"")"),"其中一位老师移至地板中间。")</f>
        <v>其中一位老师移至地板中间。</v>
      </c>
    </row>
    <row r="19086">
      <c r="A19086" s="4" t="s">
        <v>24012</v>
      </c>
      <c r="B19086" s="4" t="s">
        <v>24017</v>
      </c>
      <c r="C19086" s="5" t="str">
        <f>IFERROR(__xludf.DUMMYFUNCTION("GOOGLETRANSLATE(B19086,""en"",""zh-CN"")"),"这位青少年与另一个孩子交谈，然后轮到他的时候派男孩。")</f>
        <v>这位青少年与另一个孩子交谈，然后轮到他的时候派男孩。</v>
      </c>
    </row>
    <row r="19087">
      <c r="A19087" s="4" t="s">
        <v>24012</v>
      </c>
      <c r="B19087" s="4" t="s">
        <v>24018</v>
      </c>
      <c r="C19087" s="5" t="str">
        <f>IFERROR(__xludf.DUMMYFUNCTION("GOOGLETRANSLATE(B19087,""en"",""zh-CN"")"),"这名少年试图让一个害怕的男孩转弯，但男孩拒绝了。")</f>
        <v>这名少年试图让一个害怕的男孩转弯，但男孩拒绝了。</v>
      </c>
    </row>
    <row r="19088">
      <c r="A19088" s="4" t="s">
        <v>24012</v>
      </c>
      <c r="B19088" s="4" t="s">
        <v>24019</v>
      </c>
      <c r="C19088" s="5" t="str">
        <f>IFERROR(__xludf.DUMMYFUNCTION("GOOGLETRANSLATE(B19088,""en"",""zh-CN"")"),"孩子们都跑到地板上。")</f>
        <v>孩子们都跑到地板上。</v>
      </c>
    </row>
    <row r="19089">
      <c r="A19089" s="4" t="s">
        <v>24020</v>
      </c>
      <c r="B19089" s="4" t="s">
        <v>24021</v>
      </c>
      <c r="C19089" s="5" t="str">
        <f>IFERROR(__xludf.DUMMYFUNCTION("GOOGLETRANSLATE(B19089,""en"",""zh-CN"")"),"一个女人用警棍在街上跳舞。")</f>
        <v>一个女人用警棍在街上跳舞。</v>
      </c>
    </row>
    <row r="19090">
      <c r="A19090" s="4" t="s">
        <v>24020</v>
      </c>
      <c r="B19090" s="4" t="s">
        <v>24022</v>
      </c>
      <c r="C19090" s="5" t="str">
        <f>IFERROR(__xludf.DUMMYFUNCTION("GOOGLETRANSLATE(B19090,""en"",""zh-CN"")"),"一小群人看着时，她旋转并扔了警棍。")</f>
        <v>一小群人看着时，她旋转并扔了警棍。</v>
      </c>
    </row>
    <row r="19091">
      <c r="A19091" s="4" t="s">
        <v>24020</v>
      </c>
      <c r="B19091" s="4" t="s">
        <v>24023</v>
      </c>
      <c r="C19091" s="5" t="str">
        <f>IFERROR(__xludf.DUMMYFUNCTION("GOOGLETRANSLATE(B19091,""en"",""zh-CN"")"),"她继续前进，与接力棒一起表演。")</f>
        <v>她继续前进，与接力棒一起表演。</v>
      </c>
    </row>
    <row r="19092">
      <c r="A19092" s="4" t="s">
        <v>24024</v>
      </c>
      <c r="B19092" s="4" t="s">
        <v>24025</v>
      </c>
      <c r="C19092" s="5" t="str">
        <f>IFERROR(__xludf.DUMMYFUNCTION("GOOGLETRANSLATE(B19092,""en"",""zh-CN"")"),"在雪中，各种年轻人在相机前进行滑雪牌。")</f>
        <v>在雪中，各种年轻人在相机前进行滑雪牌。</v>
      </c>
    </row>
    <row r="19093">
      <c r="A19093" s="4" t="s">
        <v>24024</v>
      </c>
      <c r="B19093" s="4" t="s">
        <v>24026</v>
      </c>
      <c r="C19093" s="5" t="str">
        <f>IFERROR(__xludf.DUMMYFUNCTION("GOOGLETRANSLATE(B19093,""en"",""zh-CN"")"),"一个穿着蓝色运动衫的男人跳下楼梯。")</f>
        <v>一个穿着蓝色运动衫的男人跳下楼梯。</v>
      </c>
    </row>
    <row r="19094">
      <c r="A19094" s="4" t="s">
        <v>24024</v>
      </c>
      <c r="B19094" s="6" t="s">
        <v>24027</v>
      </c>
      <c r="C19094" s="5" t="str">
        <f>IFERROR(__xludf.DUMMYFUNCTION("GOOGLETRANSLATE(B19094,""en"",""zh-CN"")"),"一个穿着黑色服装的年轻人通过打磨一个栏杆并跳下楼梯来执行双重技巧。")</f>
        <v>一个穿着黑色服装的年轻人通过打磨一个栏杆并跳下楼梯来执行双重技巧。</v>
      </c>
    </row>
    <row r="19095">
      <c r="A19095" s="4" t="s">
        <v>24024</v>
      </c>
      <c r="B19095" s="4" t="s">
        <v>24028</v>
      </c>
      <c r="C19095" s="5" t="str">
        <f>IFERROR(__xludf.DUMMYFUNCTION("GOOGLETRANSLATE(B19095,""en"",""zh-CN"")"),"一个穿着紫色运动衫的男人磨损楼梯栏杆。")</f>
        <v>一个穿着紫色运动衫的男人磨损楼梯栏杆。</v>
      </c>
    </row>
    <row r="19096">
      <c r="A19096" s="4" t="s">
        <v>24024</v>
      </c>
      <c r="B19096" s="4" t="s">
        <v>24029</v>
      </c>
      <c r="C19096" s="5" t="str">
        <f>IFERROR(__xludf.DUMMYFUNCTION("GOOGLETRANSLATE(B19096,""en"",""zh-CN"")"),"一个穿着紫色和黑色条纹运动衫的男人跳下楼梯。")</f>
        <v>一个穿着紫色和黑色条纹运动衫的男人跳下楼梯。</v>
      </c>
    </row>
    <row r="19097">
      <c r="A19097" s="4" t="s">
        <v>24024</v>
      </c>
      <c r="B19097" s="4" t="s">
        <v>24030</v>
      </c>
      <c r="C19097" s="5" t="str">
        <f>IFERROR(__xludf.DUMMYFUNCTION("GOOGLETRANSLATE(B19097,""en"",""zh-CN"")"),"穿着蓝色运动衫的男人磨损栏杆，并在地板上降落。")</f>
        <v>穿着蓝色运动衫的男人磨损栏杆，并在地板上降落。</v>
      </c>
    </row>
    <row r="19098">
      <c r="A19098" s="4" t="s">
        <v>24031</v>
      </c>
      <c r="B19098" s="4" t="s">
        <v>24032</v>
      </c>
      <c r="C19098" s="5" t="str">
        <f>IFERROR(__xludf.DUMMYFUNCTION("GOOGLETRANSLATE(B19098,""en"",""zh-CN"")"),"日落的镜头导致一群沿着海滩骑骆驼的人。")</f>
        <v>日落的镜头导致一群沿着海滩骑骆驼的人。</v>
      </c>
    </row>
    <row r="19099">
      <c r="A19099" s="4" t="s">
        <v>24031</v>
      </c>
      <c r="B19099" s="4" t="s">
        <v>24033</v>
      </c>
      <c r="C19099" s="5" t="str">
        <f>IFERROR(__xludf.DUMMYFUNCTION("GOOGLETRANSLATE(B19099,""en"",""zh-CN"")"),"看到许多人在沙滩上互相骑骆驼。")</f>
        <v>看到许多人在沙滩上互相骑骆驼。</v>
      </c>
    </row>
    <row r="19100">
      <c r="A19100" s="4" t="s">
        <v>24031</v>
      </c>
      <c r="B19100" s="4" t="s">
        <v>24034</v>
      </c>
      <c r="C19100" s="5" t="str">
        <f>IFERROR(__xludf.DUMMYFUNCTION("GOOGLETRANSLATE(B19100,""en"",""zh-CN"")"),"该视频继续显示越来越多的人骑着骆驼和其他领导的人。")</f>
        <v>该视频继续显示越来越多的人骑着骆驼和其他领导的人。</v>
      </c>
    </row>
    <row r="19101">
      <c r="A19101" s="4" t="s">
        <v>24035</v>
      </c>
      <c r="B19101" s="4" t="s">
        <v>24036</v>
      </c>
      <c r="C19101" s="5" t="str">
        <f>IFERROR(__xludf.DUMMYFUNCTION("GOOGLETRANSLATE(B19101,""en"",""zh-CN"")"),"一个男人用刷子画木头，正在展示木头。")</f>
        <v>一个男人用刷子画木头，正在展示木头。</v>
      </c>
    </row>
    <row r="19102">
      <c r="A19102" s="4" t="s">
        <v>24035</v>
      </c>
      <c r="B19102" s="4" t="s">
        <v>24037</v>
      </c>
      <c r="C19102" s="5" t="str">
        <f>IFERROR(__xludf.DUMMYFUNCTION("GOOGLETRANSLATE(B19102,""en"",""zh-CN"")"),"该男子用棕色的油漆画篱笆，然后画桌子。")</f>
        <v>该男子用棕色的油漆画篱笆，然后画桌子。</v>
      </c>
    </row>
    <row r="19103">
      <c r="A19103" s="4" t="s">
        <v>24035</v>
      </c>
      <c r="B19103" s="6" t="s">
        <v>24038</v>
      </c>
      <c r="C19103" s="5" t="str">
        <f>IFERROR(__xludf.DUMMYFUNCTION("GOOGLETRANSLATE(B19103,""en"",""zh-CN"")"),"该男子混合了油漆，然后开始涂木桌，然后清理地板并刷它。")</f>
        <v>该男子混合了油漆，然后开始涂木桌，然后清理地板并刷它。</v>
      </c>
    </row>
    <row r="19104">
      <c r="A19104" s="4" t="s">
        <v>24039</v>
      </c>
      <c r="B19104" s="6" t="s">
        <v>24040</v>
      </c>
      <c r="C19104" s="5" t="str">
        <f>IFERROR(__xludf.DUMMYFUNCTION("GOOGLETRANSLATE(B19104,""en"",""zh-CN"")"),"看到一个人坐在桌子旁，然后有两个人彼此跳舞，其他人坐在手表周围。")</f>
        <v>看到一个人坐在桌子旁，然后有两个人彼此跳舞，其他人坐在手表周围。</v>
      </c>
    </row>
    <row r="19105">
      <c r="A19105" s="4" t="s">
        <v>24039</v>
      </c>
      <c r="B19105" s="6" t="s">
        <v>24041</v>
      </c>
      <c r="C19105" s="5" t="str">
        <f>IFERROR(__xludf.DUMMYFUNCTION("GOOGLETRANSLATE(B19105,""en"",""zh-CN"")"),"人们继续彼此跳舞，结束，停下来并在他们旁边有两个跳舞。")</f>
        <v>人们继续彼此跳舞，结束，停下来并在他们旁边有两个跳舞。</v>
      </c>
    </row>
    <row r="19106">
      <c r="A19106" s="4" t="s">
        <v>24042</v>
      </c>
      <c r="B19106" s="4" t="s">
        <v>24043</v>
      </c>
      <c r="C19106" s="5" t="str">
        <f>IFERROR(__xludf.DUMMYFUNCTION("GOOGLETRANSLATE(B19106,""en"",""zh-CN"")"),"我们看到一个带有黑色背景的开放屏幕。")</f>
        <v>我们看到一个带有黑色背景的开放屏幕。</v>
      </c>
    </row>
    <row r="19107">
      <c r="A19107" s="4" t="s">
        <v>24042</v>
      </c>
      <c r="B19107" s="4" t="s">
        <v>24044</v>
      </c>
      <c r="C19107" s="5" t="str">
        <f>IFERROR(__xludf.DUMMYFUNCTION("GOOGLETRANSLATE(B19107,""en"",""zh-CN"")"),"我们看到很多人用铲子，扫帚，花盆和碗移动雪。")</f>
        <v>我们看到很多人用铲子，扫帚，花盆和碗移动雪。</v>
      </c>
    </row>
    <row r="19108">
      <c r="A19108" s="4" t="s">
        <v>24042</v>
      </c>
      <c r="B19108" s="4" t="s">
        <v>24045</v>
      </c>
      <c r="C19108" s="5" t="str">
        <f>IFERROR(__xludf.DUMMYFUNCTION("GOOGLETRANSLATE(B19108,""en"",""zh-CN"")"),"一个男人用零锅铲，然后是女士们，上面有一头ho头和盘子。")</f>
        <v>一个男人用零锅铲，然后是女士们，上面有一头ho头和盘子。</v>
      </c>
    </row>
    <row r="19109">
      <c r="A19109" s="4" t="s">
        <v>24042</v>
      </c>
      <c r="B19109" s="4" t="s">
        <v>24046</v>
      </c>
      <c r="C19109" s="5" t="str">
        <f>IFERROR(__xludf.DUMMYFUNCTION("GOOGLETRANSLATE(B19109,""en"",""zh-CN"")"),"一个男人向一位女士下雪。")</f>
        <v>一个男人向一位女士下雪。</v>
      </c>
    </row>
    <row r="19110">
      <c r="A19110" s="4" t="s">
        <v>24042</v>
      </c>
      <c r="B19110" s="4" t="s">
        <v>24047</v>
      </c>
      <c r="C19110" s="5" t="str">
        <f>IFERROR(__xludf.DUMMYFUNCTION("GOOGLETRANSLATE(B19110,""en"",""zh-CN"")"),"一个男人向人们撒雪。")</f>
        <v>一个男人向人们撒雪。</v>
      </c>
    </row>
    <row r="19111">
      <c r="A19111" s="4" t="s">
        <v>24042</v>
      </c>
      <c r="B19111" s="4" t="s">
        <v>24048</v>
      </c>
      <c r="C19111" s="5" t="str">
        <f>IFERROR(__xludf.DUMMYFUNCTION("GOOGLETRANSLATE(B19111,""en"",""zh-CN"")"),"一个人被困在雪中被别人埋葬。")</f>
        <v>一个人被困在雪中被别人埋葬。</v>
      </c>
    </row>
    <row r="19112">
      <c r="A19112" s="4" t="s">
        <v>24042</v>
      </c>
      <c r="B19112" s="4" t="s">
        <v>24049</v>
      </c>
      <c r="C19112" s="5" t="str">
        <f>IFERROR(__xludf.DUMMYFUNCTION("GOOGLETRANSLATE(B19112,""en"",""zh-CN"")"),"一位女士和相机说话，它变成了黑白。")</f>
        <v>一位女士和相机说话，它变成了黑白。</v>
      </c>
    </row>
    <row r="19113">
      <c r="A19113" s="4" t="s">
        <v>24042</v>
      </c>
      <c r="B19113" s="4" t="s">
        <v>24050</v>
      </c>
      <c r="C19113" s="5" t="str">
        <f>IFERROR(__xludf.DUMMYFUNCTION("GOOGLETRANSLATE(B19113,""en"",""zh-CN"")"),"人们是雪天天使。")</f>
        <v>人们是雪天天使。</v>
      </c>
    </row>
    <row r="19114">
      <c r="A19114" s="4" t="s">
        <v>24042</v>
      </c>
      <c r="B19114" s="4" t="s">
        <v>24051</v>
      </c>
      <c r="C19114" s="5" t="str">
        <f>IFERROR(__xludf.DUMMYFUNCTION("GOOGLETRANSLATE(B19114,""en"",""zh-CN"")"),"我们看到了视频的闭幕式。")</f>
        <v>我们看到了视频的闭幕式。</v>
      </c>
    </row>
    <row r="19115">
      <c r="A19115" s="4" t="s">
        <v>24052</v>
      </c>
      <c r="B19115" s="4" t="s">
        <v>24053</v>
      </c>
      <c r="C19115" s="5" t="str">
        <f>IFERROR(__xludf.DUMMYFUNCTION("GOOGLETRANSLATE(B19115,""en"",""zh-CN"")"),"一名中年妇女蹲在蹲下，将雪倒在堆中。")</f>
        <v>一名中年妇女蹲在蹲下，将雪倒在堆中。</v>
      </c>
    </row>
    <row r="19116">
      <c r="A19116" s="4" t="s">
        <v>24052</v>
      </c>
      <c r="B19116" s="4" t="s">
        <v>24054</v>
      </c>
      <c r="C19116" s="5" t="str">
        <f>IFERROR(__xludf.DUMMYFUNCTION("GOOGLETRANSLATE(B19116,""en"",""zh-CN"")"),"然后，她朝相机走去，伸出舌头。")</f>
        <v>然后，她朝相机走去，伸出舌头。</v>
      </c>
    </row>
    <row r="19117">
      <c r="A19117" s="4" t="s">
        <v>24055</v>
      </c>
      <c r="B19117" s="4" t="s">
        <v>24056</v>
      </c>
      <c r="C19117" s="5" t="str">
        <f>IFERROR(__xludf.DUMMYFUNCTION("GOOGLETRANSLATE(B19117,""en"",""zh-CN"")"),"一个女人在镜头前点烟。")</f>
        <v>一个女人在镜头前点烟。</v>
      </c>
    </row>
    <row r="19118">
      <c r="A19118" s="4" t="s">
        <v>24055</v>
      </c>
      <c r="B19118" s="4" t="s">
        <v>24057</v>
      </c>
      <c r="C19118" s="5" t="str">
        <f>IFERROR(__xludf.DUMMYFUNCTION("GOOGLETRANSLATE(B19118,""en"",""zh-CN"")"),"她大力抽烟。")</f>
        <v>她大力抽烟。</v>
      </c>
    </row>
    <row r="19119">
      <c r="A19119" s="4" t="s">
        <v>24055</v>
      </c>
      <c r="B19119" s="4" t="s">
        <v>24058</v>
      </c>
      <c r="C19119" s="5" t="str">
        <f>IFERROR(__xludf.DUMMYFUNCTION("GOOGLETRANSLATE(B19119,""en"",""zh-CN"")"),"她在相机上吹烟，微笑。")</f>
        <v>她在相机上吹烟，微笑。</v>
      </c>
    </row>
    <row r="19120">
      <c r="A19120" s="4" t="s">
        <v>24055</v>
      </c>
      <c r="B19120" s="4" t="s">
        <v>24059</v>
      </c>
      <c r="C19120" s="5" t="str">
        <f>IFERROR(__xludf.DUMMYFUNCTION("GOOGLETRANSLATE(B19120,""en"",""zh-CN"")"),"她又抽了烟，吹了烟。")</f>
        <v>她又抽了烟，吹了烟。</v>
      </c>
    </row>
    <row r="19121">
      <c r="A19121" s="4" t="s">
        <v>24055</v>
      </c>
      <c r="B19121" s="4" t="s">
        <v>24060</v>
      </c>
      <c r="C19121" s="5" t="str">
        <f>IFERROR(__xludf.DUMMYFUNCTION("GOOGLETRANSLATE(B19121,""en"",""zh-CN"")"),"她扮演头发。")</f>
        <v>她扮演头发。</v>
      </c>
    </row>
    <row r="19122">
      <c r="A19122" s="4" t="s">
        <v>24055</v>
      </c>
      <c r="B19122" s="4" t="s">
        <v>24061</v>
      </c>
      <c r="C19122" s="5" t="str">
        <f>IFERROR(__xludf.DUMMYFUNCTION("GOOGLETRANSLATE(B19122,""en"",""zh-CN"")"),"然后，她在环顾四周时继续抽烟。")</f>
        <v>然后，她在环顾四周时继续抽烟。</v>
      </c>
    </row>
    <row r="19123">
      <c r="A19123" s="4" t="s">
        <v>24062</v>
      </c>
      <c r="B19123" s="4" t="s">
        <v>24063</v>
      </c>
      <c r="C19123" s="5" t="str">
        <f>IFERROR(__xludf.DUMMYFUNCTION("GOOGLETRANSLATE(B19123,""en"",""zh-CN"")"),"在舞台上看到一小群人准备好自己的乐器。")</f>
        <v>在舞台上看到一小群人准备好自己的乐器。</v>
      </c>
    </row>
    <row r="19124">
      <c r="A19124" s="4" t="s">
        <v>24062</v>
      </c>
      <c r="B19124" s="4" t="s">
        <v>24064</v>
      </c>
      <c r="C19124" s="5" t="str">
        <f>IFERROR(__xludf.DUMMYFUNCTION("GOOGLETRANSLATE(B19124,""en"",""zh-CN"")"),"一个女人开始打鼓，而另一个女人则弹钢琴，其他人看着。")</f>
        <v>一个女人开始打鼓，而另一个女人则弹钢琴，其他人看着。</v>
      </c>
    </row>
    <row r="19125">
      <c r="A19125" s="4" t="s">
        <v>24062</v>
      </c>
      <c r="B19125" s="4" t="s">
        <v>24065</v>
      </c>
      <c r="C19125" s="5" t="str">
        <f>IFERROR(__xludf.DUMMYFUNCTION("GOOGLETRANSLATE(B19125,""en"",""zh-CN"")"),"两人继续在侧视图上弹奏乐器和其他乐器。")</f>
        <v>两人继续在侧视图上弹奏乐器和其他乐器。</v>
      </c>
    </row>
    <row r="19126">
      <c r="A19126" s="4" t="s">
        <v>24066</v>
      </c>
      <c r="B19126" s="4" t="s">
        <v>24067</v>
      </c>
      <c r="C19126" s="5" t="str">
        <f>IFERROR(__xludf.DUMMYFUNCTION("GOOGLETRANSLATE(B19126,""en"",""zh-CN"")"),"两个人很快拆除了红色烟囱。")</f>
        <v>两个人很快拆除了红色烟囱。</v>
      </c>
    </row>
    <row r="19127">
      <c r="A19127" s="4" t="s">
        <v>24066</v>
      </c>
      <c r="B19127" s="4" t="s">
        <v>24068</v>
      </c>
      <c r="C19127" s="5" t="str">
        <f>IFERROR(__xludf.DUMMYFUNCTION("GOOGLETRANSLATE(B19127,""en"",""zh-CN"")"),"一个人把木头放在毛孔上。")</f>
        <v>一个人把木头放在毛孔上。</v>
      </c>
    </row>
    <row r="19128">
      <c r="A19128" s="4" t="s">
        <v>24066</v>
      </c>
      <c r="B19128" s="4" t="s">
        <v>24069</v>
      </c>
      <c r="C19128" s="5" t="str">
        <f>IFERROR(__xludf.DUMMYFUNCTION("GOOGLETRANSLATE(B19128,""en"",""zh-CN"")"),"然后，男人用带状疱疹覆盖木头。")</f>
        <v>然后，男人用带状疱疹覆盖木头。</v>
      </c>
    </row>
    <row r="19129">
      <c r="A19129" s="4" t="s">
        <v>24070</v>
      </c>
      <c r="B19129" s="4" t="s">
        <v>24071</v>
      </c>
      <c r="C19129" s="5" t="str">
        <f>IFERROR(__xludf.DUMMYFUNCTION("GOOGLETRANSLATE(B19129,""en"",""zh-CN"")"),"我们看到一个人切碎水果。")</f>
        <v>我们看到一个人切碎水果。</v>
      </c>
    </row>
    <row r="19130">
      <c r="A19130" s="4" t="s">
        <v>24070</v>
      </c>
      <c r="B19130" s="4" t="s">
        <v>24072</v>
      </c>
      <c r="C19130" s="5" t="str">
        <f>IFERROR(__xludf.DUMMYFUNCTION("GOOGLETRANSLATE(B19130,""en"",""zh-CN"")"),"然后，该人切断了切碎的部分。")</f>
        <v>然后，该人切断了切碎的部分。</v>
      </c>
    </row>
    <row r="19131">
      <c r="A19131" s="4" t="s">
        <v>24070</v>
      </c>
      <c r="B19131" s="4" t="s">
        <v>24073</v>
      </c>
      <c r="C19131" s="5" t="str">
        <f>IFERROR(__xludf.DUMMYFUNCTION("GOOGLETRANSLATE(B19131,""en"",""zh-CN"")"),"该人再次砍下水果，切断了切碎的位。")</f>
        <v>该人再次砍下水果，切断了切碎的位。</v>
      </c>
    </row>
    <row r="19132">
      <c r="A19132" s="4" t="s">
        <v>24070</v>
      </c>
      <c r="B19132" s="4" t="s">
        <v>24074</v>
      </c>
      <c r="C19132" s="5" t="str">
        <f>IFERROR(__xludf.DUMMYFUNCTION("GOOGLETRANSLATE(B19132,""en"",""zh-CN"")"),"该人从碗中捡起一片并切割。")</f>
        <v>该人从碗中捡起一片并切割。</v>
      </c>
    </row>
    <row r="19133">
      <c r="A19133" s="4" t="s">
        <v>24070</v>
      </c>
      <c r="B19133" s="4" t="s">
        <v>24075</v>
      </c>
      <c r="C19133" s="5" t="str">
        <f>IFERROR(__xludf.DUMMYFUNCTION("GOOGLETRANSLATE(B19133,""en"",""zh-CN"")"),"然后，我们看到该人切碎并切更多。")</f>
        <v>然后，我们看到该人切碎并切更多。</v>
      </c>
    </row>
    <row r="19134">
      <c r="A19134" s="4" t="s">
        <v>24070</v>
      </c>
      <c r="B19134" s="4" t="s">
        <v>24076</v>
      </c>
      <c r="C19134" s="5" t="str">
        <f>IFERROR(__xludf.DUMMYFUNCTION("GOOGLETRANSLATE(B19134,""en"",""zh-CN"")"),"该人从裤子上捡起碎屑。")</f>
        <v>该人从裤子上捡起碎屑。</v>
      </c>
    </row>
    <row r="19135">
      <c r="A19135" s="4" t="s">
        <v>24077</v>
      </c>
      <c r="B19135" s="4" t="s">
        <v>24078</v>
      </c>
      <c r="C19135" s="5" t="str">
        <f>IFERROR(__xludf.DUMMYFUNCTION("GOOGLETRANSLATE(B19135,""en"",""zh-CN"")"),"看到一个男孩握着一根棍子，而其他人则在旁边看着并拍拍。")</f>
        <v>看到一个男孩握着一根棍子，而其他人则在旁边看着并拍拍。</v>
      </c>
    </row>
    <row r="19136">
      <c r="A19136" s="4" t="s">
        <v>24077</v>
      </c>
      <c r="B19136" s="6" t="s">
        <v>24079</v>
      </c>
      <c r="C19136" s="5" t="str">
        <f>IFERROR(__xludf.DUMMYFUNCTION("GOOGLETRANSLATE(B19136,""en"",""zh-CN"")"),"拿着棍子的男孩在人民面前表演武术的例行活动，并以姿势结束时，周围的每个人都拍了拍。")</f>
        <v>拿着棍子的男孩在人民面前表演武术的例行活动，并以姿势结束时，周围的每个人都拍了拍。</v>
      </c>
    </row>
    <row r="19137">
      <c r="A19137" s="4" t="s">
        <v>24080</v>
      </c>
      <c r="B19137" s="4" t="s">
        <v>24081</v>
      </c>
      <c r="C19137" s="5" t="str">
        <f>IFERROR(__xludf.DUMMYFUNCTION("GOOGLETRANSLATE(B19137,""en"",""zh-CN"")"),"看到一个男人给摄像机一个件标志，而周围的其他人说话和围起来。")</f>
        <v>看到一个男人给摄像机一个件标志，而周围的其他人说话和围起来。</v>
      </c>
    </row>
    <row r="19138">
      <c r="A19138" s="4" t="s">
        <v>24080</v>
      </c>
      <c r="B19138" s="4" t="s">
        <v>24082</v>
      </c>
      <c r="C19138" s="5" t="str">
        <f>IFERROR(__xludf.DUMMYFUNCTION("GOOGLETRANSLATE(B19138,""en"",""zh-CN"")"),"然后看到一个男人站在平台上，跳下侧面。")</f>
        <v>然后看到一个男人站在平台上，跳下侧面。</v>
      </c>
    </row>
    <row r="19139">
      <c r="A19139" s="4" t="s">
        <v>24083</v>
      </c>
      <c r="B19139" s="4" t="s">
        <v>24084</v>
      </c>
      <c r="C19139" s="5" t="str">
        <f>IFERROR(__xludf.DUMMYFUNCTION("GOOGLETRANSLATE(B19139,""en"",""zh-CN"")"),"一个男人在河中的独木舟中竞争非常快速地移动桨。")</f>
        <v>一个男人在河中的独木舟中竞争非常快速地移动桨。</v>
      </c>
    </row>
    <row r="19140">
      <c r="A19140" s="4" t="s">
        <v>24083</v>
      </c>
      <c r="B19140" s="4" t="s">
        <v>24085</v>
      </c>
      <c r="C19140" s="5" t="str">
        <f>IFERROR(__xludf.DUMMYFUNCTION("GOOGLETRANSLATE(B19140,""en"",""zh-CN"")"),"然后，男人经过动荡的水。")</f>
        <v>然后，男人经过动荡的水。</v>
      </c>
    </row>
    <row r="19141">
      <c r="A19141" s="4" t="s">
        <v>24086</v>
      </c>
      <c r="B19141" s="4" t="s">
        <v>24087</v>
      </c>
      <c r="C19141" s="5" t="str">
        <f>IFERROR(__xludf.DUMMYFUNCTION("GOOGLETRANSLATE(B19141,""en"",""zh-CN"")"),"eHow一词出现在屏幕上。")</f>
        <v>eHow一词出现在屏幕上。</v>
      </c>
    </row>
    <row r="19142">
      <c r="A19142" s="4" t="s">
        <v>24086</v>
      </c>
      <c r="B19142" s="4" t="s">
        <v>24088</v>
      </c>
      <c r="C19142" s="5" t="str">
        <f>IFERROR(__xludf.DUMMYFUNCTION("GOOGLETRANSLATE(B19142,""en"",""zh-CN"")"),"我们看到一个女人穿着红色站在房子的房间里。")</f>
        <v>我们看到一个女人穿着红色站在房子的房间里。</v>
      </c>
    </row>
    <row r="19143">
      <c r="A19143" s="4" t="s">
        <v>24086</v>
      </c>
      <c r="B19143" s="4" t="s">
        <v>24089</v>
      </c>
      <c r="C19143" s="5" t="str">
        <f>IFERROR(__xludf.DUMMYFUNCTION("GOOGLETRANSLATE(B19143,""en"",""zh-CN"")"),"她正在谈论她面前的一张桌子。")</f>
        <v>她正在谈论她面前的一张桌子。</v>
      </c>
    </row>
    <row r="19144">
      <c r="A19144" s="4" t="s">
        <v>24086</v>
      </c>
      <c r="B19144" s="6" t="s">
        <v>24090</v>
      </c>
      <c r="C19144" s="5" t="str">
        <f>IFERROR(__xludf.DUMMYFUNCTION("GOOGLETRANSLATE(B19144,""en"",""zh-CN"")"),"她拿起一些家具抛光剂，并将其涂在木头上，用她的手放在手上的袜子将其抛光。")</f>
        <v>她拿起一些家具抛光剂，并将其涂在木头上，用她的手放在手上的袜子将其抛光。</v>
      </c>
    </row>
    <row r="19145">
      <c r="A19145" s="4" t="s">
        <v>24091</v>
      </c>
      <c r="B19145" s="6" t="s">
        <v>24092</v>
      </c>
      <c r="C19145" s="5" t="str">
        <f>IFERROR(__xludf.DUMMYFUNCTION("GOOGLETRANSLATE(B19145,""en"",""zh-CN"")"),"看到一个女人用手臂握住锻炼设备时在相机上说话。")</f>
        <v>看到一个女人用手臂握住锻炼设备时在相机上说话。</v>
      </c>
    </row>
    <row r="19146">
      <c r="A19146" s="4" t="s">
        <v>24091</v>
      </c>
      <c r="B19146" s="4" t="s">
        <v>24093</v>
      </c>
      <c r="C19146" s="5" t="str">
        <f>IFERROR(__xludf.DUMMYFUNCTION("GOOGLETRANSLATE(B19146,""en"",""zh-CN"")"),"她将机器向后移动和第四，同时仍在笑着向相机微笑。")</f>
        <v>她将机器向后移动和第四，同时仍在笑着向相机微笑。</v>
      </c>
    </row>
    <row r="19147">
      <c r="A19147" s="4" t="s">
        <v>24094</v>
      </c>
      <c r="B19147" s="4" t="s">
        <v>24095</v>
      </c>
      <c r="C19147" s="5" t="str">
        <f>IFERROR(__xludf.DUMMYFUNCTION("GOOGLETRANSLATE(B19147,""en"",""zh-CN"")"),"在一个黑暗的水晶球中，外星人看的东西正在看着里面的角色。")</f>
        <v>在一个黑暗的水晶球中，外星人看的东西正在看着里面的角色。</v>
      </c>
    </row>
    <row r="19148">
      <c r="A19148" s="4" t="s">
        <v>24094</v>
      </c>
      <c r="B19148" s="6" t="s">
        <v>24096</v>
      </c>
      <c r="C19148" s="5" t="str">
        <f>IFERROR(__xludf.DUMMYFUNCTION("GOOGLETRANSLATE(B19148,""en"",""zh-CN"")"),"三名男子正在播放纸，剪刀，棍棒和石头，而具有不同颜色的生物则震惊地看着它们。")</f>
        <v>三名男子正在播放纸，剪刀，棍棒和石头，而具有不同颜色的生物则震惊地看着它们。</v>
      </c>
    </row>
    <row r="19149">
      <c r="A19149" s="4" t="s">
        <v>24094</v>
      </c>
      <c r="B19149" s="4" t="s">
        <v>24097</v>
      </c>
      <c r="C19149" s="5" t="str">
        <f>IFERROR(__xludf.DUMMYFUNCTION("GOOGLETRANSLATE(B19149,""en"",""zh-CN"")"),"一个角色通过使用剪刀赢了，然后他与周围的人进行了交谈。")</f>
        <v>一个角色通过使用剪刀赢了，然后他与周围的人进行了交谈。</v>
      </c>
    </row>
    <row r="19150">
      <c r="A19150" s="4" t="s">
        <v>24098</v>
      </c>
      <c r="B19150" s="4" t="s">
        <v>24099</v>
      </c>
      <c r="C19150" s="5" t="str">
        <f>IFERROR(__xludf.DUMMYFUNCTION("GOOGLETRANSLATE(B19150,""en"",""zh-CN"")"),"一个女人弯下腰，举起沉重的头顶。")</f>
        <v>一个女人弯下腰，举起沉重的头顶。</v>
      </c>
    </row>
    <row r="19151">
      <c r="A19151" s="4" t="s">
        <v>24098</v>
      </c>
      <c r="B19151" s="4" t="s">
        <v>24100</v>
      </c>
      <c r="C19151" s="5" t="str">
        <f>IFERROR(__xludf.DUMMYFUNCTION("GOOGLETRANSLATE(B19151,""en"",""zh-CN"")"),"人们正坐在他们的长凳上。")</f>
        <v>人们正坐在他们的长凳上。</v>
      </c>
    </row>
    <row r="19152">
      <c r="A19152" s="4" t="s">
        <v>24098</v>
      </c>
      <c r="B19152" s="4" t="s">
        <v>24101</v>
      </c>
      <c r="C19152" s="5" t="str">
        <f>IFERROR(__xludf.DUMMYFUNCTION("GOOGLETRANSLATE(B19152,""en"",""zh-CN"")"),"越来越多的人继续举重。")</f>
        <v>越来越多的人继续举重。</v>
      </c>
    </row>
    <row r="19153">
      <c r="A19153" s="4" t="s">
        <v>24102</v>
      </c>
      <c r="B19153" s="6" t="s">
        <v>24103</v>
      </c>
      <c r="C19153" s="5" t="str">
        <f>IFERROR(__xludf.DUMMYFUNCTION("GOOGLETRANSLATE(B19153,""en"",""zh-CN"")"),"看到一个女人以侵略性的方式向相机说话，并导致她举起呼啦圈。")</f>
        <v>看到一个女人以侵略性的方式向相机说话，并导致她举起呼啦圈。</v>
      </c>
    </row>
    <row r="19154">
      <c r="A19154" s="4" t="s">
        <v>24102</v>
      </c>
      <c r="B19154" s="6" t="s">
        <v>24104</v>
      </c>
      <c r="C19154" s="5" t="str">
        <f>IFERROR(__xludf.DUMMYFUNCTION("GOOGLETRANSLATE(B19154,""en"",""zh-CN"")"),"该名女子试图多次呼啦圈，并通过在脖子上使用并弯曲到镜头后成功。")</f>
        <v>该名女子试图多次呼啦圈，并通过在脖子上使用并弯曲到镜头后成功。</v>
      </c>
    </row>
    <row r="19155">
      <c r="A19155" s="4" t="s">
        <v>24105</v>
      </c>
      <c r="B19155" s="4" t="s">
        <v>24106</v>
      </c>
      <c r="C19155" s="5" t="str">
        <f>IFERROR(__xludf.DUMMYFUNCTION("GOOGLETRANSLATE(B19155,""en"",""zh-CN"")"),"一个穿着粉红色连衣裙的女人正在剪下坐在腿上的白猫的右爪子。")</f>
        <v>一个穿着粉红色连衣裙的女人正在剪下坐在腿上的白猫的右爪子。</v>
      </c>
    </row>
    <row r="19156">
      <c r="A19156" s="4" t="s">
        <v>24105</v>
      </c>
      <c r="B19156" s="6" t="s">
        <v>24107</v>
      </c>
      <c r="C19156" s="5" t="str">
        <f>IFERROR(__xludf.DUMMYFUNCTION("GOOGLETRANSLATE(B19156,""en"",""zh-CN"")"),"她把左爪子剪了，猫抬起头，那个女人低头看着她的头上吻了一下。")</f>
        <v>她把左爪子剪了，猫抬起头，那个女人低头看着她的头上吻了一下。</v>
      </c>
    </row>
    <row r="19157">
      <c r="A19157" s="4" t="s">
        <v>24105</v>
      </c>
      <c r="B19157" s="4" t="s">
        <v>24108</v>
      </c>
      <c r="C19157" s="5" t="str">
        <f>IFERROR(__xludf.DUMMYFUNCTION("GOOGLETRANSLATE(B19157,""en"",""zh-CN"")"),"当女人剪下猫的右后背爪时，猫抬起头。")</f>
        <v>当女人剪下猫的右后背爪时，猫抬起头。</v>
      </c>
    </row>
    <row r="19158">
      <c r="A19158" s="4" t="s">
        <v>24105</v>
      </c>
      <c r="B19158" s="4" t="s">
        <v>24109</v>
      </c>
      <c r="C19158" s="5" t="str">
        <f>IFERROR(__xludf.DUMMYFUNCTION("GOOGLETRANSLATE(B19158,""en"",""zh-CN"")"),"当女人剪下左后爪时，猫眨了眨眼。")</f>
        <v>当女人剪下左后爪时，猫眨了眨眼。</v>
      </c>
    </row>
    <row r="19159">
      <c r="A19159" s="4" t="s">
        <v>24110</v>
      </c>
      <c r="B19159" s="4" t="s">
        <v>24111</v>
      </c>
      <c r="C19159" s="5" t="str">
        <f>IFERROR(__xludf.DUMMYFUNCTION("GOOGLETRANSLATE(B19159,""en"",""zh-CN"")"),"看到两个男人站在一个房间里，在拿着球拍时在相机上说话。")</f>
        <v>看到两个男人站在一个房间里，在拿着球拍时在相机上说话。</v>
      </c>
    </row>
    <row r="19160">
      <c r="A19160" s="4" t="s">
        <v>24110</v>
      </c>
      <c r="B19160" s="6" t="s">
        <v>24112</v>
      </c>
      <c r="C19160" s="5" t="str">
        <f>IFERROR(__xludf.DUMMYFUNCTION("GOOGLETRANSLATE(B19160,""en"",""zh-CN"")"),"然后，两者不断地向后和第四个封闭区域击中球，并用球拍向相机指向相机。")</f>
        <v>然后，两者不断地向后和第四个封闭区域击中球，并用球拍向相机指向相机。</v>
      </c>
    </row>
    <row r="19161">
      <c r="A19161" s="4" t="s">
        <v>24113</v>
      </c>
      <c r="B19161" s="4" t="s">
        <v>24114</v>
      </c>
      <c r="C19161" s="5" t="str">
        <f>IFERROR(__xludf.DUMMYFUNCTION("GOOGLETRANSLATE(B19161,""en"",""zh-CN"")"),"一群众多人在一条公共街上行走。")</f>
        <v>一群众多人在一条公共街上行走。</v>
      </c>
    </row>
    <row r="19162">
      <c r="A19162" s="4" t="s">
        <v>24113</v>
      </c>
      <c r="B19162" s="4" t="s">
        <v>24115</v>
      </c>
      <c r="C19162" s="5" t="str">
        <f>IFERROR(__xludf.DUMMYFUNCTION("GOOGLETRANSLATE(B19162,""en"",""zh-CN"")"),"一对夫妇正在牵引皮带上走一头斗牛。")</f>
        <v>一对夫妇正在牵引皮带上走一头斗牛。</v>
      </c>
    </row>
    <row r="19163">
      <c r="A19163" s="4" t="s">
        <v>24113</v>
      </c>
      <c r="B19163" s="4" t="s">
        <v>24116</v>
      </c>
      <c r="C19163" s="5" t="str">
        <f>IFERROR(__xludf.DUMMYFUNCTION("GOOGLETRANSLATE(B19163,""en"",""zh-CN"")"),"当人们走开时，我们看到烟从建筑物滚滚。")</f>
        <v>当人们走开时，我们看到烟从建筑物滚滚。</v>
      </c>
    </row>
    <row r="19164">
      <c r="A19164" s="4" t="s">
        <v>24117</v>
      </c>
      <c r="B19164" s="4" t="s">
        <v>24118</v>
      </c>
      <c r="C19164" s="5" t="str">
        <f>IFERROR(__xludf.DUMMYFUNCTION("GOOGLETRANSLATE(B19164,""en"",""zh-CN"")"),"两名工人在户外的一家商店中显示。")</f>
        <v>两名工人在户外的一家商店中显示。</v>
      </c>
    </row>
    <row r="19165">
      <c r="A19165" s="4" t="s">
        <v>24117</v>
      </c>
      <c r="B19165" s="4" t="s">
        <v>24119</v>
      </c>
      <c r="C19165" s="5" t="str">
        <f>IFERROR(__xludf.DUMMYFUNCTION("GOOGLETRANSLATE(B19165,""en"",""zh-CN"")"),"他们正在用肥皂洗净汽车，包括玛莎拉蒂的轮胎。")</f>
        <v>他们正在用肥皂洗净汽车，包括玛莎拉蒂的轮胎。</v>
      </c>
    </row>
    <row r="19166">
      <c r="A19166" s="4" t="s">
        <v>24117</v>
      </c>
      <c r="B19166" s="4" t="s">
        <v>24120</v>
      </c>
      <c r="C19166" s="5" t="str">
        <f>IFERROR(__xludf.DUMMYFUNCTION("GOOGLETRANSLATE(B19166,""en"",""zh-CN"")"),"然后，他们冲洗汽车并擦干。")</f>
        <v>然后，他们冲洗汽车并擦干。</v>
      </c>
    </row>
    <row r="19167">
      <c r="A19167" s="4" t="s">
        <v>24117</v>
      </c>
      <c r="B19167" s="4" t="s">
        <v>24121</v>
      </c>
      <c r="C19167" s="5" t="str">
        <f>IFERROR(__xludf.DUMMYFUNCTION("GOOGLETRANSLATE(B19167,""en"",""zh-CN"")"),"最终产品显示为干净，闪亮的意大利汽车。")</f>
        <v>最终产品显示为干净，闪亮的意大利汽车。</v>
      </c>
    </row>
    <row r="19168">
      <c r="A19168" s="4" t="s">
        <v>24122</v>
      </c>
      <c r="B19168" s="4" t="s">
        <v>24123</v>
      </c>
      <c r="C19168" s="5" t="str">
        <f>IFERROR(__xludf.DUMMYFUNCTION("GOOGLETRANSLATE(B19168,""en"",""zh-CN"")"),"一个人拿着冲浪板。")</f>
        <v>一个人拿着冲浪板。</v>
      </c>
    </row>
    <row r="19169">
      <c r="A19169" s="4" t="s">
        <v>24122</v>
      </c>
      <c r="B19169" s="4" t="s">
        <v>24124</v>
      </c>
      <c r="C19169" s="5" t="str">
        <f>IFERROR(__xludf.DUMMYFUNCTION("GOOGLETRANSLATE(B19169,""en"",""zh-CN"")"),"鸟类飞入水上上方的天空。")</f>
        <v>鸟类飞入水上上方的天空。</v>
      </c>
    </row>
    <row r="19170">
      <c r="A19170" s="4" t="s">
        <v>24122</v>
      </c>
      <c r="B19170" s="4" t="s">
        <v>24125</v>
      </c>
      <c r="C19170" s="5" t="str">
        <f>IFERROR(__xludf.DUMMYFUNCTION("GOOGLETRANSLATE(B19170,""en"",""zh-CN"")"),"他在水中冲浪。")</f>
        <v>他在水中冲浪。</v>
      </c>
    </row>
    <row r="19171">
      <c r="A19171" s="4" t="s">
        <v>24122</v>
      </c>
      <c r="B19171" s="4" t="s">
        <v>24126</v>
      </c>
      <c r="C19171" s="5" t="str">
        <f>IFERROR(__xludf.DUMMYFUNCTION("GOOGLETRANSLATE(B19171,""en"",""zh-CN"")"),"他在车里说话。")</f>
        <v>他在车里说话。</v>
      </c>
    </row>
    <row r="19172">
      <c r="A19172" s="4" t="s">
        <v>24122</v>
      </c>
      <c r="B19172" s="4" t="s">
        <v>24127</v>
      </c>
      <c r="C19172" s="5" t="str">
        <f>IFERROR(__xludf.DUMMYFUNCTION("GOOGLETRANSLATE(B19172,""en"",""zh-CN"")"),"他在水中冲浪更多。")</f>
        <v>他在水中冲浪更多。</v>
      </c>
    </row>
    <row r="19173">
      <c r="A19173" s="4" t="s">
        <v>24122</v>
      </c>
      <c r="B19173" s="4" t="s">
        <v>24128</v>
      </c>
      <c r="C19173" s="5" t="str">
        <f>IFERROR(__xludf.DUMMYFUNCTION("GOOGLETRANSLATE(B19173,""en"",""zh-CN"")"),"鸟再次飞过水。")</f>
        <v>鸟再次飞过水。</v>
      </c>
    </row>
    <row r="19174">
      <c r="A19174" s="4" t="s">
        <v>24129</v>
      </c>
      <c r="B19174" s="4" t="s">
        <v>24130</v>
      </c>
      <c r="C19174" s="5" t="str">
        <f>IFERROR(__xludf.DUMMYFUNCTION("GOOGLETRANSLATE(B19174,""en"",""zh-CN"")"),"一个大国旗在风中流动。")</f>
        <v>一个大国旗在风中流动。</v>
      </c>
    </row>
    <row r="19175">
      <c r="A19175" s="4" t="s">
        <v>24129</v>
      </c>
      <c r="B19175" s="4" t="s">
        <v>24131</v>
      </c>
      <c r="C19175" s="5" t="str">
        <f>IFERROR(__xludf.DUMMYFUNCTION("GOOGLETRANSLATE(B19175,""en"",""zh-CN"")"),"一个男人在街上，用另一根棍子撞到一根棍子。")</f>
        <v>一个男人在街上，用另一根棍子撞到一根棍子。</v>
      </c>
    </row>
    <row r="19176">
      <c r="A19176" s="4" t="s">
        <v>24129</v>
      </c>
      <c r="B19176" s="4" t="s">
        <v>24132</v>
      </c>
      <c r="C19176" s="5" t="str">
        <f>IFERROR(__xludf.DUMMYFUNCTION("GOOGLETRANSLATE(B19176,""en"",""zh-CN"")"),"两名男子从事武术拳击拳击，踢，摇摆和翻转。")</f>
        <v>两名男子从事武术拳击拳击，踢，摇摆和翻转。</v>
      </c>
    </row>
    <row r="19177">
      <c r="A19177" s="4" t="s">
        <v>24133</v>
      </c>
      <c r="B19177" s="4" t="s">
        <v>24134</v>
      </c>
      <c r="C19177" s="5" t="str">
        <f>IFERROR(__xludf.DUMMYFUNCTION("GOOGLETRANSLATE(B19177,""en"",""zh-CN"")"),"一个男人在白雪皑皑的院子里切碎木头。")</f>
        <v>一个男人在白雪皑皑的院子里切碎木头。</v>
      </c>
    </row>
    <row r="19178">
      <c r="A19178" s="4" t="s">
        <v>24133</v>
      </c>
      <c r="B19178" s="4" t="s">
        <v>24135</v>
      </c>
      <c r="C19178" s="5" t="str">
        <f>IFERROR(__xludf.DUMMYFUNCTION("GOOGLETRANSLATE(B19178,""en"",""zh-CN"")"),"他身后有一堆积雪。")</f>
        <v>他身后有一堆积雪。</v>
      </c>
    </row>
    <row r="19179">
      <c r="A19179" s="4" t="s">
        <v>24133</v>
      </c>
      <c r="B19179" s="4" t="s">
        <v>24136</v>
      </c>
      <c r="C19179" s="5" t="str">
        <f>IFERROR(__xludf.DUMMYFUNCTION("GOOGLETRANSLATE(B19179,""en"",""zh-CN"")"),"日志用一次罢工分为两分。")</f>
        <v>日志用一次罢工分为两分。</v>
      </c>
    </row>
    <row r="19180">
      <c r="A19180" s="4" t="s">
        <v>24137</v>
      </c>
      <c r="B19180" s="4" t="s">
        <v>24138</v>
      </c>
      <c r="C19180" s="5" t="str">
        <f>IFERROR(__xludf.DUMMYFUNCTION("GOOGLETRANSLATE(B19180,""en"",""zh-CN"")"),"一个人弯腰与镜头交谈。")</f>
        <v>一个人弯腰与镜头交谈。</v>
      </c>
    </row>
    <row r="19181">
      <c r="A19181" s="4" t="s">
        <v>24137</v>
      </c>
      <c r="B19181" s="4" t="s">
        <v>24139</v>
      </c>
      <c r="C19181" s="5" t="str">
        <f>IFERROR(__xludf.DUMMYFUNCTION("GOOGLETRANSLATE(B19181,""en"",""zh-CN"")"),"然后，该男子在坡道上滑板。")</f>
        <v>然后，该男子在坡道上滑板。</v>
      </c>
    </row>
    <row r="19182">
      <c r="A19182" s="4" t="s">
        <v>24137</v>
      </c>
      <c r="B19182" s="4" t="s">
        <v>24140</v>
      </c>
      <c r="C19182" s="5" t="str">
        <f>IFERROR(__xludf.DUMMYFUNCTION("GOOGLETRANSLATE(B19182,""en"",""zh-CN"")"),"他试图在没有滑板的情况下跑上坡道。")</f>
        <v>他试图在没有滑板的情况下跑上坡道。</v>
      </c>
    </row>
    <row r="19183">
      <c r="A19183" s="4" t="s">
        <v>24137</v>
      </c>
      <c r="B19183" s="4" t="s">
        <v>24141</v>
      </c>
      <c r="C19183" s="5" t="str">
        <f>IFERROR(__xludf.DUMMYFUNCTION("GOOGLETRANSLATE(B19183,""en"",""zh-CN"")"),"一个孩子滑下臀部的坡道。")</f>
        <v>一个孩子滑下臀部的坡道。</v>
      </c>
    </row>
    <row r="19184">
      <c r="A19184" s="4" t="s">
        <v>24137</v>
      </c>
      <c r="B19184" s="4" t="s">
        <v>24142</v>
      </c>
      <c r="C19184" s="5" t="str">
        <f>IFERROR(__xludf.DUMMYFUNCTION("GOOGLETRANSLATE(B19184,""en"",""zh-CN"")"),"该男子的滑板远离了他。")</f>
        <v>该男子的滑板远离了他。</v>
      </c>
    </row>
    <row r="19185">
      <c r="A19185" s="4" t="s">
        <v>24137</v>
      </c>
      <c r="B19185" s="4" t="s">
        <v>24143</v>
      </c>
      <c r="C19185" s="5" t="str">
        <f>IFERROR(__xludf.DUMMYFUNCTION("GOOGLETRANSLATE(B19185,""en"",""zh-CN"")"),"该男子追逐他的sk板。")</f>
        <v>该男子追逐他的sk板。</v>
      </c>
    </row>
    <row r="19186">
      <c r="A19186" s="4" t="s">
        <v>24137</v>
      </c>
      <c r="B19186" s="4" t="s">
        <v>24144</v>
      </c>
      <c r="C19186" s="5" t="str">
        <f>IFERROR(__xludf.DUMMYFUNCTION("GOOGLETRANSLATE(B19186,""en"",""zh-CN"")"),"该男子和相机交谈。")</f>
        <v>该男子和相机交谈。</v>
      </c>
    </row>
    <row r="19187">
      <c r="A19187" s="4" t="s">
        <v>24145</v>
      </c>
      <c r="B19187" s="4" t="s">
        <v>24146</v>
      </c>
      <c r="C19187" s="5" t="str">
        <f>IFERROR(__xludf.DUMMYFUNCTION("GOOGLETRANSLATE(B19187,""en"",""zh-CN"")"),"一位蓝色衬衫的年长绅士正在绘画木栅栏。")</f>
        <v>一位蓝色衬衫的年长绅士正在绘画木栅栏。</v>
      </c>
    </row>
    <row r="19188">
      <c r="A19188" s="4" t="s">
        <v>24145</v>
      </c>
      <c r="B19188" s="4" t="s">
        <v>24147</v>
      </c>
      <c r="C19188" s="5" t="str">
        <f>IFERROR(__xludf.DUMMYFUNCTION("GOOGLETRANSLATE(B19188,""en"",""zh-CN"")"),"他拿起油漆桶，走上人行道。")</f>
        <v>他拿起油漆桶，走上人行道。</v>
      </c>
    </row>
    <row r="19189">
      <c r="A19189" s="4" t="s">
        <v>24148</v>
      </c>
      <c r="B19189" s="6" t="s">
        <v>24149</v>
      </c>
      <c r="C19189" s="5" t="str">
        <f>IFERROR(__xludf.DUMMYFUNCTION("GOOGLETRANSLATE(B19189,""en"",""zh-CN"")"),"看到一个男人在公园的滚筒叶片上骑行，并在相机放慢时进行磨碎。")</f>
        <v>看到一个男人在公园的滚筒叶片上骑行，并在相机放慢时进行磨碎。</v>
      </c>
    </row>
    <row r="19190">
      <c r="A19190" s="4" t="s">
        <v>24148</v>
      </c>
      <c r="B19190" s="6" t="s">
        <v>24150</v>
      </c>
      <c r="C19190" s="5" t="str">
        <f>IFERROR(__xludf.DUMMYFUNCTION("GOOGLETRANSLATE(B19190,""en"",""zh-CN"")"),"在各个位置的公园周围展示了更多的滚轮弹药，并显示了更多技巧。")</f>
        <v>在各个位置的公园周围展示了更多的滚轮弹药，并显示了更多技巧。</v>
      </c>
    </row>
    <row r="19191">
      <c r="A19191" s="4" t="s">
        <v>24148</v>
      </c>
      <c r="B19191" s="4" t="s">
        <v>24151</v>
      </c>
      <c r="C19191" s="5" t="str">
        <f>IFERROR(__xludf.DUMMYFUNCTION("GOOGLETRANSLATE(B19191,""en"",""zh-CN"")"),"相机男子将相机靠近他的脸，放大了一个男人坐着吸烟。")</f>
        <v>相机男子将相机靠近他的脸，放大了一个男人坐着吸烟。</v>
      </c>
    </row>
    <row r="19192">
      <c r="A19192" s="4" t="s">
        <v>24152</v>
      </c>
      <c r="B19192" s="4" t="s">
        <v>24153</v>
      </c>
      <c r="C19192" s="5" t="str">
        <f>IFERROR(__xludf.DUMMYFUNCTION("GOOGLETRANSLATE(B19192,""en"",""zh-CN"")"),"一个女孩在房子内部演奏风箱乐器。")</f>
        <v>一个女孩在房子内部演奏风箱乐器。</v>
      </c>
    </row>
    <row r="19193">
      <c r="A19193" s="4" t="s">
        <v>24152</v>
      </c>
      <c r="B19193" s="4" t="s">
        <v>24154</v>
      </c>
      <c r="C19193" s="5" t="str">
        <f>IFERROR(__xludf.DUMMYFUNCTION("GOOGLETRANSLATE(B19193,""en"",""zh-CN"")"),"女人笑了，然后恢复在乐器上播放这首歌。")</f>
        <v>女人笑了，然后恢复在乐器上播放这首歌。</v>
      </c>
    </row>
    <row r="19194">
      <c r="A19194" s="4" t="s">
        <v>24155</v>
      </c>
      <c r="B19194" s="6" t="s">
        <v>24156</v>
      </c>
      <c r="C19194" s="5" t="str">
        <f>IFERROR(__xludf.DUMMYFUNCTION("GOOGLETRANSLATE(B19194,""en"",""zh-CN"")"),"看到一小群人坐在马上，沿着一条泥泞的小路骑着马。")</f>
        <v>看到一小群人坐在马上，沿着一条泥泞的小路骑着马。</v>
      </c>
    </row>
    <row r="19195">
      <c r="A19195" s="4" t="s">
        <v>24155</v>
      </c>
      <c r="B19195" s="4" t="s">
        <v>24157</v>
      </c>
      <c r="C19195" s="5" t="str">
        <f>IFERROR(__xludf.DUMMYFUNCTION("GOOGLETRANSLATE(B19195,""en"",""zh-CN"")"),"相机跟随人们骑着马骑行，并将它们带回马s。")</f>
        <v>相机跟随人们骑着马骑行，并将它们带回马s。</v>
      </c>
    </row>
    <row r="19196">
      <c r="A19196" s="4" t="s">
        <v>24158</v>
      </c>
      <c r="B19196" s="4" t="s">
        <v>24159</v>
      </c>
      <c r="C19196" s="5" t="str">
        <f>IFERROR(__xludf.DUMMYFUNCTION("GOOGLETRANSLATE(B19196,""en"",""zh-CN"")"),"一个拿着猫的人拉直猫的爪子。")</f>
        <v>一个拿着猫的人拉直猫的爪子。</v>
      </c>
    </row>
    <row r="19197">
      <c r="A19197" s="4" t="s">
        <v>24158</v>
      </c>
      <c r="B19197" s="4" t="s">
        <v>24160</v>
      </c>
      <c r="C19197" s="5" t="str">
        <f>IFERROR(__xludf.DUMMYFUNCTION("GOOGLETRANSLATE(B19197,""en"",""zh-CN"")"),"该人用剪刀形剪子剪掉猫的爪子。")</f>
        <v>该人用剪刀形剪子剪掉猫的爪子。</v>
      </c>
    </row>
    <row r="19198">
      <c r="A19198" s="4" t="s">
        <v>24158</v>
      </c>
      <c r="B19198" s="4" t="s">
        <v>24161</v>
      </c>
      <c r="C19198" s="5" t="str">
        <f>IFERROR(__xludf.DUMMYFUNCTION("GOOGLETRANSLATE(B19198,""en"",""zh-CN"")"),"猫攻击切割机。")</f>
        <v>猫攻击切割机。</v>
      </c>
    </row>
    <row r="19199">
      <c r="A19199" s="4" t="s">
        <v>24162</v>
      </c>
      <c r="B19199" s="4" t="s">
        <v>24163</v>
      </c>
      <c r="C19199" s="5" t="str">
        <f>IFERROR(__xludf.DUMMYFUNCTION("GOOGLETRANSLATE(B19199,""en"",""zh-CN"")"),"人们在水中的大波浪上冲浪。")</f>
        <v>人们在水中的大波浪上冲浪。</v>
      </c>
    </row>
    <row r="19200">
      <c r="A19200" s="4" t="s">
        <v>24162</v>
      </c>
      <c r="B19200" s="4" t="s">
        <v>24164</v>
      </c>
      <c r="C19200" s="5" t="str">
        <f>IFERROR(__xludf.DUMMYFUNCTION("GOOGLETRANSLATE(B19200,""en"",""zh-CN"")"),"一条船在水中。")</f>
        <v>一条船在水中。</v>
      </c>
    </row>
    <row r="19201">
      <c r="A19201" s="4" t="s">
        <v>24162</v>
      </c>
      <c r="B19201" s="4" t="s">
        <v>24165</v>
      </c>
      <c r="C19201" s="5" t="str">
        <f>IFERROR(__xludf.DUMMYFUNCTION("GOOGLETRANSLATE(B19201,""en"",""zh-CN"")"),"大波浪在水中坠毁。")</f>
        <v>大波浪在水中坠毁。</v>
      </c>
    </row>
    <row r="19202">
      <c r="A19202" s="4" t="s">
        <v>24166</v>
      </c>
      <c r="B19202" s="4" t="s">
        <v>24167</v>
      </c>
      <c r="C19202" s="5" t="str">
        <f>IFERROR(__xludf.DUMMYFUNCTION("GOOGLETRANSLATE(B19202,""en"",""zh-CN"")"),"显示了两个人，然后宣传了几条船。")</f>
        <v>显示了两个人，然后宣传了几条船。</v>
      </c>
    </row>
    <row r="19203">
      <c r="A19203" s="4" t="s">
        <v>24166</v>
      </c>
      <c r="B19203" s="4" t="s">
        <v>24168</v>
      </c>
      <c r="C19203" s="5" t="str">
        <f>IFERROR(__xludf.DUMMYFUNCTION("GOOGLETRANSLATE(B19203,""en"",""zh-CN"")"),"之后，水中的两个人一起冲浪在大型海浪上。")</f>
        <v>之后，水中的两个人一起冲浪在大型海浪上。</v>
      </c>
    </row>
    <row r="19204">
      <c r="A19204" s="4" t="s">
        <v>24166</v>
      </c>
      <c r="B19204" s="6" t="s">
        <v>24169</v>
      </c>
      <c r="C19204" s="5" t="str">
        <f>IFERROR(__xludf.DUMMYFUNCTION("GOOGLETRANSLATE(B19204,""en"",""zh-CN"")"),"接下来，当一个人站在水上的大悬崖顶上时，船上的人们进入水中以及摩托艇上。")</f>
        <v>接下来，当一个人站在水上的大悬崖顶上时，船上的人们进入水中以及摩托艇上。</v>
      </c>
    </row>
    <row r="19205">
      <c r="A19205" s="4" t="s">
        <v>24170</v>
      </c>
      <c r="B19205" s="6" t="s">
        <v>24171</v>
      </c>
      <c r="C19205" s="5" t="str">
        <f>IFERROR(__xludf.DUMMYFUNCTION("GOOGLETRANSLATE(B19205,""en"",""zh-CN"")"),"一个摄像机在湖泊周围竖起，展示树木和山脉以及坐在他面前的独木舟。")</f>
        <v>一个摄像机在湖泊周围竖起，展示树木和山脉以及坐在他面前的独木舟。</v>
      </c>
    </row>
    <row r="19206">
      <c r="A19206" s="4" t="s">
        <v>24170</v>
      </c>
      <c r="B19206" s="4" t="s">
        <v>24172</v>
      </c>
      <c r="C19206" s="5" t="str">
        <f>IFERROR(__xludf.DUMMYFUNCTION("GOOGLETRANSLATE(B19206,""en"",""zh-CN"")"),"看到另一个男孩沿着独木舟骑着水，还有其他几个男孩在划船。")</f>
        <v>看到另一个男孩沿着独木舟骑着水，还有其他几个男孩在划船。</v>
      </c>
    </row>
    <row r="19207">
      <c r="A19207" s="4" t="s">
        <v>24170</v>
      </c>
      <c r="B19207" s="4" t="s">
        <v>24173</v>
      </c>
      <c r="C19207" s="5" t="str">
        <f>IFERROR(__xludf.DUMMYFUNCTION("GOOGLETRANSLATE(B19207,""en"",""zh-CN"")"),"显示了更多人在独木舟中骑行并捕捉周围风景的更多镜头。")</f>
        <v>显示了更多人在独木舟中骑行并捕捉周围风景的更多镜头。</v>
      </c>
    </row>
    <row r="19208">
      <c r="A19208" s="4" t="s">
        <v>24174</v>
      </c>
      <c r="B19208" s="4" t="s">
        <v>24175</v>
      </c>
      <c r="C19208" s="5" t="str">
        <f>IFERROR(__xludf.DUMMYFUNCTION("GOOGLETRANSLATE(B19208,""en"",""zh-CN"")"),"一个男人开始在舞台上跳跃。")</f>
        <v>一个男人开始在舞台上跳跃。</v>
      </c>
    </row>
    <row r="19209">
      <c r="A19209" s="4" t="s">
        <v>24174</v>
      </c>
      <c r="B19209" s="4" t="s">
        <v>24176</v>
      </c>
      <c r="C19209" s="5" t="str">
        <f>IFERROR(__xludf.DUMMYFUNCTION("GOOGLETRANSLATE(B19209,""en"",""zh-CN"")"),"人们在观众看着他。")</f>
        <v>人们在观众看着他。</v>
      </c>
    </row>
    <row r="19210">
      <c r="A19210" s="4" t="s">
        <v>24174</v>
      </c>
      <c r="B19210" s="4" t="s">
        <v>24177</v>
      </c>
      <c r="C19210" s="5" t="str">
        <f>IFERROR(__xludf.DUMMYFUNCTION("GOOGLETRANSLATE(B19210,""en"",""zh-CN"")"),"两个人站在照相机拍摄他的后面。")</f>
        <v>两个人站在照相机拍摄他的后面。</v>
      </c>
    </row>
    <row r="19211">
      <c r="A19211" s="4" t="s">
        <v>24178</v>
      </c>
      <c r="B19211" s="4" t="s">
        <v>24179</v>
      </c>
      <c r="C19211" s="5" t="str">
        <f>IFERROR(__xludf.DUMMYFUNCTION("GOOGLETRANSLATE(B19211,""en"",""zh-CN"")"),"一支篮球运动员在球场的右侧显示出来。")</f>
        <v>一支篮球运动员在球场的右侧显示出来。</v>
      </c>
    </row>
    <row r="19212">
      <c r="A19212" s="4" t="s">
        <v>24178</v>
      </c>
      <c r="B19212" s="6" t="s">
        <v>24180</v>
      </c>
      <c r="C19212" s="5" t="str">
        <f>IFERROR(__xludf.DUMMYFUNCTION("GOOGLETRANSLATE(B19212,""en"",""zh-CN"")"),"几次转弯后，他们移至球场的左侧，然后再次练习躺椅。")</f>
        <v>几次转弯后，他们移至球场的左侧，然后再次练习躺椅。</v>
      </c>
    </row>
    <row r="19213">
      <c r="A19213" s="4" t="s">
        <v>24178</v>
      </c>
      <c r="B19213" s="6" t="s">
        <v>24181</v>
      </c>
      <c r="C19213" s="5" t="str">
        <f>IFERROR(__xludf.DUMMYFUNCTION("GOOGLETRANSLATE(B19213,""en"",""zh-CN"")"),"当他们前进时，一把椅子坐在他们面前，用作标记，一个男人来回看着他们走了。")</f>
        <v>当他们前进时，一把椅子坐在他们面前，用作标记，一个男人来回看着他们走了。</v>
      </c>
    </row>
    <row r="19214">
      <c r="A19214" s="4" t="s">
        <v>24182</v>
      </c>
      <c r="B19214" s="4" t="s">
        <v>24183</v>
      </c>
      <c r="C19214" s="5" t="str">
        <f>IFERROR(__xludf.DUMMYFUNCTION("GOOGLETRANSLATE(B19214,""en"",""zh-CN"")"),"一个男人站在体育馆里走路。")</f>
        <v>一个男人站在体育馆里走路。</v>
      </c>
    </row>
    <row r="19215">
      <c r="A19215" s="4" t="s">
        <v>24182</v>
      </c>
      <c r="B19215" s="4" t="s">
        <v>24184</v>
      </c>
      <c r="C19215" s="5" t="str">
        <f>IFERROR(__xludf.DUMMYFUNCTION("GOOGLETRANSLATE(B19215,""en"",""zh-CN"")"),"该男子坐在划船机上，将脚放在踏板上。")</f>
        <v>该男子坐在划船机上，将脚放在踏板上。</v>
      </c>
    </row>
    <row r="19216">
      <c r="A19216" s="4" t="s">
        <v>24182</v>
      </c>
      <c r="B19216" s="4" t="s">
        <v>24185</v>
      </c>
      <c r="C19216" s="5" t="str">
        <f>IFERROR(__xludf.DUMMYFUNCTION("GOOGLETRANSLATE(B19216,""en"",""zh-CN"")"),"该男子开始拉腰带。")</f>
        <v>该男子开始拉腰带。</v>
      </c>
    </row>
    <row r="19217">
      <c r="A19217" s="4" t="s">
        <v>24186</v>
      </c>
      <c r="B19217" s="4" t="s">
        <v>24187</v>
      </c>
      <c r="C19217" s="5" t="str">
        <f>IFERROR(__xludf.DUMMYFUNCTION("GOOGLETRANSLATE(B19217,""en"",""zh-CN"")"),"我们看到孩子们骑着泥土上的越野自行车，成年人站在他们身上。")</f>
        <v>我们看到孩子们骑着泥土上的越野自行车，成年人站在他们身上。</v>
      </c>
    </row>
    <row r="19218">
      <c r="A19218" s="4" t="s">
        <v>24186</v>
      </c>
      <c r="B19218" s="4" t="s">
        <v>24188</v>
      </c>
      <c r="C19218" s="5" t="str">
        <f>IFERROR(__xludf.DUMMYFUNCTION("GOOGLETRANSLATE(B19218,""en"",""zh-CN"")"),"孩子们起飞并从德克轨道开始。")</f>
        <v>孩子们起飞并从德克轨道开始。</v>
      </c>
    </row>
    <row r="19219">
      <c r="A19219" s="4" t="s">
        <v>24186</v>
      </c>
      <c r="B19219" s="4" t="s">
        <v>24189</v>
      </c>
      <c r="C19219" s="5" t="str">
        <f>IFERROR(__xludf.DUMMYFUNCTION("GOOGLETRANSLATE(B19219,""en"",""zh-CN"")"),"孩子们很难转过泥土。")</f>
        <v>孩子们很难转过泥土。</v>
      </c>
    </row>
    <row r="19220">
      <c r="A19220" s="4" t="s">
        <v>24186</v>
      </c>
      <c r="B19220" s="4" t="s">
        <v>24190</v>
      </c>
      <c r="C19220" s="5" t="str">
        <f>IFERROR(__xludf.DUMMYFUNCTION("GOOGLETRANSLATE(B19220,""en"",""zh-CN"")"),"其中一个男孩摔倒了，丢下了他的自行车。")</f>
        <v>其中一个男孩摔倒了，丢下了他的自行车。</v>
      </c>
    </row>
    <row r="19221">
      <c r="A19221" s="4" t="s">
        <v>24186</v>
      </c>
      <c r="B19221" s="4" t="s">
        <v>24191</v>
      </c>
      <c r="C19221" s="5" t="str">
        <f>IFERROR(__xludf.DUMMYFUNCTION("GOOGLETRANSLATE(B19221,""en"",""zh-CN"")"),"我们看到孩子们在场外的五个男人和女人。")</f>
        <v>我们看到孩子们在场外的五个男人和女人。</v>
      </c>
    </row>
    <row r="19222">
      <c r="A19222" s="4" t="s">
        <v>24192</v>
      </c>
      <c r="B19222" s="4" t="s">
        <v>24193</v>
      </c>
      <c r="C19222" s="5" t="str">
        <f>IFERROR(__xludf.DUMMYFUNCTION("GOOGLETRANSLATE(B19222,""en"",""zh-CN"")"),"该视频是关于女孩大学水球的。")</f>
        <v>该视频是关于女孩大学水球的。</v>
      </c>
    </row>
    <row r="19223">
      <c r="A19223" s="4" t="s">
        <v>24192</v>
      </c>
      <c r="B19223" s="4" t="s">
        <v>24194</v>
      </c>
      <c r="C19223" s="5" t="str">
        <f>IFERROR(__xludf.DUMMYFUNCTION("GOOGLETRANSLATE(B19223,""en"",""zh-CN"")"),"有几个女孩准备去参加水球运动活动。")</f>
        <v>有几个女孩准备去参加水球运动活动。</v>
      </c>
    </row>
    <row r="19224">
      <c r="A19224" s="4" t="s">
        <v>24192</v>
      </c>
      <c r="B19224" s="4" t="s">
        <v>24195</v>
      </c>
      <c r="C19224" s="5" t="str">
        <f>IFERROR(__xludf.DUMMYFUNCTION("GOOGLETRANSLATE(B19224,""en"",""zh-CN"")"),"他们拿着背包和装备。")</f>
        <v>他们拿着背包和装备。</v>
      </c>
    </row>
    <row r="19225">
      <c r="A19225" s="4" t="s">
        <v>24192</v>
      </c>
      <c r="B19225" s="4" t="s">
        <v>24196</v>
      </c>
      <c r="C19225" s="5" t="str">
        <f>IFERROR(__xludf.DUMMYFUNCTION("GOOGLETRANSLATE(B19225,""en"",""zh-CN"")"),"他们一起参加活动，然后入住酒店。")</f>
        <v>他们一起参加活动，然后入住酒店。</v>
      </c>
    </row>
    <row r="19226">
      <c r="A19226" s="4" t="s">
        <v>24192</v>
      </c>
      <c r="B19226" s="4" t="s">
        <v>24197</v>
      </c>
      <c r="C19226" s="5" t="str">
        <f>IFERROR(__xludf.DUMMYFUNCTION("GOOGLETRANSLATE(B19226,""en"",""zh-CN"")"),"整个团队在活动之前花时间在一起。")</f>
        <v>整个团队在活动之前花时间在一起。</v>
      </c>
    </row>
    <row r="19227">
      <c r="A19227" s="4" t="s">
        <v>24192</v>
      </c>
      <c r="B19227" s="4" t="s">
        <v>24198</v>
      </c>
      <c r="C19227" s="5" t="str">
        <f>IFERROR(__xludf.DUMMYFUNCTION("GOOGLETRANSLATE(B19227,""en"",""zh-CN"")"),"两名团队成员谈论了他们在水球比赛中的经验。")</f>
        <v>两名团队成员谈论了他们在水球比赛中的经验。</v>
      </c>
    </row>
    <row r="19228">
      <c r="A19228" s="4" t="s">
        <v>24192</v>
      </c>
      <c r="B19228" s="4" t="s">
        <v>24199</v>
      </c>
      <c r="C19228" s="5" t="str">
        <f>IFERROR(__xludf.DUMMYFUNCTION("GOOGLETRANSLATE(B19228,""en"",""zh-CN"")"),"团队成员谈论比赛以及他们在这项运动中的表现。")</f>
        <v>团队成员谈论比赛以及他们在这项运动中的表现。</v>
      </c>
    </row>
    <row r="19229">
      <c r="A19229" s="4" t="s">
        <v>24192</v>
      </c>
      <c r="B19229" s="4" t="s">
        <v>24200</v>
      </c>
      <c r="C19229" s="5" t="str">
        <f>IFERROR(__xludf.DUMMYFUNCTION("GOOGLETRANSLATE(B19229,""en"",""zh-CN"")"),"屏幕显示了女子大学水球的所有最终胜利和失败。")</f>
        <v>屏幕显示了女子大学水球的所有最终胜利和失败。</v>
      </c>
    </row>
    <row r="19230">
      <c r="A19230" s="4" t="s">
        <v>24201</v>
      </c>
      <c r="B19230" s="4" t="s">
        <v>24202</v>
      </c>
      <c r="C19230" s="5" t="str">
        <f>IFERROR(__xludf.DUMMYFUNCTION("GOOGLETRANSLATE(B19230,""en"",""zh-CN"")"),"一个光着膀子的男人正在麦克风前弹邦戈鼓。")</f>
        <v>一个光着膀子的男人正在麦克风前弹邦戈鼓。</v>
      </c>
    </row>
    <row r="19231">
      <c r="A19231" s="4" t="s">
        <v>24201</v>
      </c>
      <c r="B19231" s="4" t="s">
        <v>24203</v>
      </c>
      <c r="C19231" s="5" t="str">
        <f>IFERROR(__xludf.DUMMYFUNCTION("GOOGLETRANSLATE(B19231,""en"",""zh-CN"")"),"他的左边还有其他鼓。")</f>
        <v>他的左边还有其他鼓。</v>
      </c>
    </row>
    <row r="19232">
      <c r="A19232" s="4" t="s">
        <v>24201</v>
      </c>
      <c r="B19232" s="4" t="s">
        <v>24204</v>
      </c>
      <c r="C19232" s="5" t="str">
        <f>IFERROR(__xludf.DUMMYFUNCTION("GOOGLETRANSLATE(B19232,""en"",""zh-CN"")"),"在他的右边是一个绿色的袋子和桌子上的帽子。")</f>
        <v>在他的右边是一个绿色的袋子和桌子上的帽子。</v>
      </c>
    </row>
    <row r="19233">
      <c r="A19233" s="4" t="s">
        <v>24205</v>
      </c>
      <c r="B19233" s="4" t="s">
        <v>24206</v>
      </c>
      <c r="C19233" s="5" t="str">
        <f>IFERROR(__xludf.DUMMYFUNCTION("GOOGLETRANSLATE(B19233,""en"",""zh-CN"")"),"清洁用品（以及屏幕上的名称列表）在厨房的一个小岛上。")</f>
        <v>清洁用品（以及屏幕上的名称列表）在厨房的一个小岛上。</v>
      </c>
    </row>
    <row r="19234">
      <c r="A19234" s="4" t="s">
        <v>24205</v>
      </c>
      <c r="B19234" s="6" t="s">
        <v>24207</v>
      </c>
      <c r="C19234" s="5" t="str">
        <f>IFERROR(__xludf.DUMMYFUNCTION("GOOGLETRANSLATE(B19234,""en"",""zh-CN"")"),"一个女人走进去，抓住补给品，开始喷水，开始用海绵擦洗。")</f>
        <v>一个女人走进去，抓住补给品，开始喷水，开始用海绵擦洗。</v>
      </c>
    </row>
    <row r="19235">
      <c r="A19235" s="4" t="s">
        <v>24205</v>
      </c>
      <c r="B19235" s="4" t="s">
        <v>24208</v>
      </c>
      <c r="C19235" s="5" t="str">
        <f>IFERROR(__xludf.DUMMYFUNCTION("GOOGLETRANSLATE(B19235,""en"",""zh-CN"")"),"然后，该名女子开始用手持喷雾器冲洗水槽，直到一切都干净为止。")</f>
        <v>然后，该名女子开始用手持喷雾器冲洗水槽，直到一切都干净为止。</v>
      </c>
    </row>
    <row r="19236">
      <c r="A19236" s="4" t="s">
        <v>24205</v>
      </c>
      <c r="B19236" s="6" t="s">
        <v>24209</v>
      </c>
      <c r="C19236" s="5" t="str">
        <f>IFERROR(__xludf.DUMMYFUNCTION("GOOGLETRANSLATE(B19236,""en"",""zh-CN"")"),"清洁喷雾在柜台的边缘，并在下面的屏幕上进行文字，请阅读“根据需要重复坚硬的污渍。")</f>
        <v>清洁喷雾在柜台的边缘，并在下面的屏幕上进行文字，请阅读“根据需要重复坚硬的污渍。</v>
      </c>
    </row>
    <row r="19237">
      <c r="A19237" s="4" t="s">
        <v>24210</v>
      </c>
      <c r="B19237" s="4" t="s">
        <v>24211</v>
      </c>
      <c r="C19237" s="5" t="str">
        <f>IFERROR(__xludf.DUMMYFUNCTION("GOOGLETRANSLATE(B19237,""en"",""zh-CN"")"),"两个小男孩表演武术舞。")</f>
        <v>两个小男孩表演武术舞。</v>
      </c>
    </row>
    <row r="19238">
      <c r="A19238" s="4" t="s">
        <v>24210</v>
      </c>
      <c r="B19238" s="4" t="s">
        <v>24212</v>
      </c>
      <c r="C19238" s="5" t="str">
        <f>IFERROR(__xludf.DUMMYFUNCTION("GOOGLETRANSLATE(B19238,""en"",""zh-CN"")"),"他们周围的一群男孩看着。")</f>
        <v>他们周围的一群男孩看着。</v>
      </c>
    </row>
    <row r="19239">
      <c r="A19239" s="4" t="s">
        <v>24210</v>
      </c>
      <c r="B19239" s="4" t="s">
        <v>24213</v>
      </c>
      <c r="C19239" s="5" t="str">
        <f>IFERROR(__xludf.DUMMYFUNCTION("GOOGLETRANSLATE(B19239,""en"",""zh-CN"")"),"表演背后是一群男人为表演演奏音乐。")</f>
        <v>表演背后是一群男人为表演演奏音乐。</v>
      </c>
    </row>
    <row r="19240">
      <c r="A19240" s="4" t="s">
        <v>24210</v>
      </c>
      <c r="B19240" s="4" t="s">
        <v>24214</v>
      </c>
      <c r="C19240" s="5" t="str">
        <f>IFERROR(__xludf.DUMMYFUNCTION("GOOGLETRANSLATE(B19240,""en"",""zh-CN"")"),"表演者回到座位上。")</f>
        <v>表演者回到座位上。</v>
      </c>
    </row>
    <row r="19241">
      <c r="A19241" s="4" t="s">
        <v>24215</v>
      </c>
      <c r="B19241" s="4" t="s">
        <v>24216</v>
      </c>
      <c r="C19241" s="5" t="str">
        <f>IFERROR(__xludf.DUMMYFUNCTION("GOOGLETRANSLATE(B19241,""en"",""zh-CN"")"),"一群孩子站在足球场上，一个女孩在说话。")</f>
        <v>一群孩子站在足球场上，一个女孩在说话。</v>
      </c>
    </row>
    <row r="19242">
      <c r="A19242" s="4" t="s">
        <v>24215</v>
      </c>
      <c r="B19242" s="4" t="s">
        <v>24217</v>
      </c>
      <c r="C19242" s="5" t="str">
        <f>IFERROR(__xludf.DUMMYFUNCTION("GOOGLETRANSLATE(B19242,""en"",""zh-CN"")"),"这个女孩准备将红球踢在地面上。")</f>
        <v>这个女孩准备将红球踢在地面上。</v>
      </c>
    </row>
    <row r="19243">
      <c r="A19243" s="4" t="s">
        <v>24215</v>
      </c>
      <c r="B19243" s="4" t="s">
        <v>24218</v>
      </c>
      <c r="C19243" s="5" t="str">
        <f>IFERROR(__xludf.DUMMYFUNCTION("GOOGLETRANSLATE(B19243,""en"",""zh-CN"")"),"这位穿着蓝色短裤和T恤的年轻女子跑步并踢球。")</f>
        <v>这位穿着蓝色短裤和T恤的年轻女子跑步并踢球。</v>
      </c>
    </row>
    <row r="19244">
      <c r="A19244" s="4" t="s">
        <v>24215</v>
      </c>
      <c r="B19244" s="4" t="s">
        <v>24219</v>
      </c>
      <c r="C19244" s="5" t="str">
        <f>IFERROR(__xludf.DUMMYFUNCTION("GOOGLETRANSLATE(B19244,""en"",""zh-CN"")"),"年轻的女孩滑入第一个水滑梯。")</f>
        <v>年轻的女孩滑入第一个水滑梯。</v>
      </c>
    </row>
    <row r="19245">
      <c r="A19245" s="4" t="s">
        <v>24215</v>
      </c>
      <c r="B19245" s="4" t="s">
        <v>24220</v>
      </c>
      <c r="C19245" s="5" t="str">
        <f>IFERROR(__xludf.DUMMYFUNCTION("GOOGLETRANSLATE(B19245,""en"",""zh-CN"")"),"然后，女孩站起来，然后滑入第二个水滑梯。")</f>
        <v>然后，女孩站起来，然后滑入第二个水滑梯。</v>
      </c>
    </row>
    <row r="19246">
      <c r="A19246" s="4" t="s">
        <v>24221</v>
      </c>
      <c r="B19246" s="4" t="s">
        <v>24222</v>
      </c>
      <c r="C19246" s="5" t="str">
        <f>IFERROR(__xludf.DUMMYFUNCTION("GOOGLETRANSLATE(B19246,""en"",""zh-CN"")"),"一个男人从冰上的一个洞里抓一条鱼。")</f>
        <v>一个男人从冰上的一个洞里抓一条鱼。</v>
      </c>
    </row>
    <row r="19247">
      <c r="A19247" s="4" t="s">
        <v>24221</v>
      </c>
      <c r="B19247" s="4" t="s">
        <v>24223</v>
      </c>
      <c r="C19247" s="5" t="str">
        <f>IFERROR(__xludf.DUMMYFUNCTION("GOOGLETRANSLATE(B19247,""en"",""zh-CN"")"),"然后，那个男人拿着在冰上移动的鱼。")</f>
        <v>然后，那个男人拿着在冰上移动的鱼。</v>
      </c>
    </row>
    <row r="19248">
      <c r="A19248" s="4" t="s">
        <v>24221</v>
      </c>
      <c r="B19248" s="4" t="s">
        <v>24224</v>
      </c>
      <c r="C19248" s="5" t="str">
        <f>IFERROR(__xludf.DUMMYFUNCTION("GOOGLETRANSLATE(B19248,""en"",""zh-CN"")"),"之后，男人将金属棒放在鱼的嘴上。")</f>
        <v>之后，男人将金属棒放在鱼的嘴上。</v>
      </c>
    </row>
    <row r="19249">
      <c r="A19249" s="4" t="s">
        <v>24225</v>
      </c>
      <c r="B19249" s="4" t="s">
        <v>24226</v>
      </c>
      <c r="C19249" s="5" t="str">
        <f>IFERROR(__xludf.DUMMYFUNCTION("GOOGLETRANSLATE(B19249,""en"",""zh-CN"")"),"看到一个人将石膏扔到墙上，而相机则跟随该人在后面。")</f>
        <v>看到一个人将石膏扔到墙上，而相机则跟随该人在后面。</v>
      </c>
    </row>
    <row r="19250">
      <c r="A19250" s="4" t="s">
        <v>24225</v>
      </c>
      <c r="B19250" s="6" t="s">
        <v>24227</v>
      </c>
      <c r="C19250" s="5" t="str">
        <f>IFERROR(__xludf.DUMMYFUNCTION("GOOGLETRANSLATE(B19250,""en"",""zh-CN"")"),"该人逐渐将越来越多的人扔到墙上，而相机锅则在成品上。")</f>
        <v>该人逐渐将越来越多的人扔到墙上，而相机锅则在成品上。</v>
      </c>
    </row>
    <row r="19251">
      <c r="A19251" s="4" t="s">
        <v>24228</v>
      </c>
      <c r="B19251" s="4" t="s">
        <v>24229</v>
      </c>
      <c r="C19251" s="5" t="str">
        <f>IFERROR(__xludf.DUMMYFUNCTION("GOOGLETRANSLATE(B19251,""en"",""zh-CN"")"),"在视频开始时，看到很多人走过。")</f>
        <v>在视频开始时，看到很多人走过。</v>
      </c>
    </row>
    <row r="19252">
      <c r="A19252" s="4" t="s">
        <v>24228</v>
      </c>
      <c r="B19252" s="4" t="s">
        <v>24230</v>
      </c>
      <c r="C19252" s="5" t="str">
        <f>IFERROR(__xludf.DUMMYFUNCTION("GOOGLETRANSLATE(B19252,""en"",""zh-CN"")"),"然后，向不同的人展示了滑雪坡道以做一些很酷的技巧。")</f>
        <v>然后，向不同的人展示了滑雪坡道以做一些很酷的技巧。</v>
      </c>
    </row>
    <row r="19253">
      <c r="A19253" s="4" t="s">
        <v>24231</v>
      </c>
      <c r="B19253" s="4" t="s">
        <v>24232</v>
      </c>
      <c r="C19253" s="5" t="str">
        <f>IFERROR(__xludf.DUMMYFUNCTION("GOOGLETRANSLATE(B19253,""en"",""zh-CN"")"),"婴儿在高椅子上吃面包。")</f>
        <v>婴儿在高椅子上吃面包。</v>
      </c>
    </row>
    <row r="19254">
      <c r="A19254" s="4" t="s">
        <v>24231</v>
      </c>
      <c r="B19254" s="4" t="s">
        <v>24233</v>
      </c>
      <c r="C19254" s="5" t="str">
        <f>IFERROR(__xludf.DUMMYFUNCTION("GOOGLETRANSLATE(B19254,""en"",""zh-CN"")"),"一个人把东西放在婴儿的眼中。")</f>
        <v>一个人把东西放在婴儿的眼中。</v>
      </c>
    </row>
    <row r="19255">
      <c r="A19255" s="4" t="s">
        <v>24231</v>
      </c>
      <c r="B19255" s="4" t="s">
        <v>24234</v>
      </c>
      <c r="C19255" s="5" t="str">
        <f>IFERROR(__xludf.DUMMYFUNCTION("GOOGLETRANSLATE(B19255,""en"",""zh-CN"")"),"一个人弄乱婴儿的头发。")</f>
        <v>一个人弄乱婴儿的头发。</v>
      </c>
    </row>
    <row r="19256">
      <c r="A19256" s="4" t="s">
        <v>24235</v>
      </c>
      <c r="B19256" s="4" t="s">
        <v>24236</v>
      </c>
      <c r="C19256" s="5" t="str">
        <f>IFERROR(__xludf.DUMMYFUNCTION("GOOGLETRANSLATE(B19256,""en"",""zh-CN"")"),"一个小男孩用魔方玩耍时，他正坐在台式机前。")</f>
        <v>一个小男孩用魔方玩耍时，他正坐在台式机前。</v>
      </c>
    </row>
    <row r="19257">
      <c r="A19257" s="4" t="s">
        <v>24235</v>
      </c>
      <c r="B19257" s="4" t="s">
        <v>24237</v>
      </c>
      <c r="C19257" s="5" t="str">
        <f>IFERROR(__xludf.DUMMYFUNCTION("GOOGLETRANSLATE(B19257,""en"",""zh-CN"")"),"他完成了多维数据集并将其放在桌子上，并迅速停止了计时器。")</f>
        <v>他完成了多维数据集并将其放在桌子上，并迅速停止了计时器。</v>
      </c>
    </row>
    <row r="19258">
      <c r="A19258" s="4" t="s">
        <v>24235</v>
      </c>
      <c r="B19258" s="4" t="s">
        <v>24238</v>
      </c>
      <c r="C19258" s="5" t="str">
        <f>IFERROR(__xludf.DUMMYFUNCTION("GOOGLETRANSLATE(B19258,""en"",""zh-CN"")"),"他再次抓住了立方体，开始完成它。")</f>
        <v>他再次抓住了立方体，开始完成它。</v>
      </c>
    </row>
    <row r="19259">
      <c r="A19259" s="4" t="s">
        <v>24235</v>
      </c>
      <c r="B19259" s="4" t="s">
        <v>24239</v>
      </c>
      <c r="C19259" s="5" t="str">
        <f>IFERROR(__xludf.DUMMYFUNCTION("GOOGLETRANSLATE(B19259,""en"",""zh-CN"")"),"他再次结束，并开始了另一场Cube的比赛。")</f>
        <v>他再次结束，并开始了另一场Cube的比赛。</v>
      </c>
    </row>
    <row r="19260">
      <c r="A19260" s="4" t="s">
        <v>24240</v>
      </c>
      <c r="B19260" s="4" t="s">
        <v>24241</v>
      </c>
      <c r="C19260" s="5" t="str">
        <f>IFERROR(__xludf.DUMMYFUNCTION("GOOGLETRANSLATE(B19260,""en"",""zh-CN"")"),"屏幕上出现了一个介绍，录制了一个将播放朗姆酒的男人的视频。")</f>
        <v>屏幕上出现了一个介绍，录制了一个将播放朗姆酒的男人的视频。</v>
      </c>
    </row>
    <row r="19261">
      <c r="A19261" s="4" t="s">
        <v>24240</v>
      </c>
      <c r="B19261" s="4" t="s">
        <v>24242</v>
      </c>
      <c r="C19261" s="5" t="str">
        <f>IFERROR(__xludf.DUMMYFUNCTION("GOOGLETRANSLATE(B19261,""en"",""zh-CN"")"),"当相机记录他时，该男子开始演奏鼓。")</f>
        <v>当相机记录他时，该男子开始演奏鼓。</v>
      </c>
    </row>
    <row r="19262">
      <c r="A19262" s="4" t="s">
        <v>24240</v>
      </c>
      <c r="B19262" s="4" t="s">
        <v>24243</v>
      </c>
      <c r="C19262" s="5" t="str">
        <f>IFERROR(__xludf.DUMMYFUNCTION("GOOGLETRANSLATE(B19262,""en"",""zh-CN"")"),"他停下来，人们在笑着欣赏音乐。")</f>
        <v>他停下来，人们在笑着欣赏音乐。</v>
      </c>
    </row>
    <row r="19263">
      <c r="A19263" s="4" t="s">
        <v>24240</v>
      </c>
      <c r="B19263" s="4" t="s">
        <v>24244</v>
      </c>
      <c r="C19263" s="5" t="str">
        <f>IFERROR(__xludf.DUMMYFUNCTION("GOOGLETRANSLATE(B19263,""en"",""zh-CN"")"),"他再次停下来，等待人群的反应。")</f>
        <v>他再次停下来，等待人群的反应。</v>
      </c>
    </row>
    <row r="19264">
      <c r="A19264" s="4" t="s">
        <v>24240</v>
      </c>
      <c r="B19264" s="4" t="s">
        <v>24245</v>
      </c>
      <c r="C19264" s="5" t="str">
        <f>IFERROR(__xludf.DUMMYFUNCTION("GOOGLETRANSLATE(B19264,""en"",""zh-CN"")"),"相机转向展示享受音乐的人。")</f>
        <v>相机转向展示享受音乐的人。</v>
      </c>
    </row>
    <row r="19265">
      <c r="A19265" s="4" t="s">
        <v>24240</v>
      </c>
      <c r="B19265" s="4" t="s">
        <v>4959</v>
      </c>
      <c r="C19265" s="5" t="str">
        <f>IFERROR(__xludf.DUMMYFUNCTION("GOOGLETRANSLATE(B19265,""en"",""zh-CN"")"),"视频以结束信用结束。")</f>
        <v>视频以结束信用结束。</v>
      </c>
    </row>
    <row r="19266">
      <c r="A19266" s="4" t="s">
        <v>24246</v>
      </c>
      <c r="B19266" s="6" t="s">
        <v>24247</v>
      </c>
      <c r="C19266" s="5" t="str">
        <f>IFERROR(__xludf.DUMMYFUNCTION("GOOGLETRANSLATE(B19266,""en"",""zh-CN"")"),"一群妇女穿着排球队的制服，站在室内健身房里，一位在衬衫上排名第10的年轻女子正在弹跳排球并准备上场。")</f>
        <v>一群妇女穿着排球队的制服，站在室内健身房里，一位在衬衫上排名第10的年轻女子正在弹跳排球并准备上场。</v>
      </c>
    </row>
    <row r="19267">
      <c r="A19267" s="4" t="s">
        <v>24246</v>
      </c>
      <c r="B19267" s="6" t="s">
        <v>24248</v>
      </c>
      <c r="C19267" s="5" t="str">
        <f>IFERROR(__xludf.DUMMYFUNCTION("GOOGLETRANSLATE(B19267,""en"",""zh-CN"")"),"该名女子在球上服役，随着所有女性将球保存在该地区，并多次将球击中，试图保持界限。")</f>
        <v>该名女子在球上服役，随着所有女性将球保存在该地区，并多次将球击中，试图保持界限。</v>
      </c>
    </row>
    <row r="19268">
      <c r="A19268" s="4" t="s">
        <v>24246</v>
      </c>
      <c r="B19268" s="6" t="s">
        <v>24249</v>
      </c>
      <c r="C19268" s="5" t="str">
        <f>IFERROR(__xludf.DUMMYFUNCTION("GOOGLETRANSLATE(B19268,""en"",""zh-CN"")"),"在球上服役的那个女人非常努力地刺球，另一支球队错过了球，她的队友欢呼雀跃。")</f>
        <v>在球上服役的那个女人非常努力地刺球，另一支球队错过了球，她的队友欢呼雀跃。</v>
      </c>
    </row>
    <row r="19269">
      <c r="A19269" s="4" t="s">
        <v>24246</v>
      </c>
      <c r="B19269" s="6" t="s">
        <v>24250</v>
      </c>
      <c r="C19269" s="5" t="str">
        <f>IFERROR(__xludf.DUMMYFUNCTION("GOOGLETRANSLATE(B19269,""en"",""zh-CN"")"),"同一位较早服务的女子再次为排球服务，另一支球队迅速飙升了球，这使对方队成员在地面上滚动，试图挽救球击球。")</f>
        <v>同一位较早服务的女子再次为排球服务，另一支球队迅速飙升了球，这使对方队成员在地面上滚动，试图挽救球击球。</v>
      </c>
    </row>
    <row r="19270">
      <c r="A19270" s="4" t="s">
        <v>24251</v>
      </c>
      <c r="B19270" s="4" t="s">
        <v>24252</v>
      </c>
      <c r="C19270" s="5" t="str">
        <f>IFERROR(__xludf.DUMMYFUNCTION("GOOGLETRANSLATE(B19270,""en"",""zh-CN"")"),"看到一个男人在与镜头交谈，并导致他擦了擦窗户。")</f>
        <v>看到一个男人在与镜头交谈，并导致他擦了擦窗户。</v>
      </c>
    </row>
    <row r="19271">
      <c r="A19271" s="4" t="s">
        <v>24251</v>
      </c>
      <c r="B19271" s="4" t="s">
        <v>24253</v>
      </c>
      <c r="C19271" s="5" t="str">
        <f>IFERROR(__xludf.DUMMYFUNCTION("GOOGLETRANSLATE(B19271,""en"",""zh-CN"")"),"他用清洁器将窗户条纹划痕，并显示了如何正确使用雨刮器的几种方法。")</f>
        <v>他用清洁器将窗户条纹划痕，并显示了如何正确使用雨刮器的几种方法。</v>
      </c>
    </row>
    <row r="19272">
      <c r="A19272" s="4" t="s">
        <v>24251</v>
      </c>
      <c r="B19272" s="4" t="s">
        <v>24254</v>
      </c>
      <c r="C19272" s="5" t="str">
        <f>IFERROR(__xludf.DUMMYFUNCTION("GOOGLETRANSLATE(B19272,""en"",""zh-CN"")"),"窗户最终都很干净，仍然看到他在和镜头说话。")</f>
        <v>窗户最终都很干净，仍然看到他在和镜头说话。</v>
      </c>
    </row>
    <row r="19273">
      <c r="A19273" s="4" t="s">
        <v>24255</v>
      </c>
      <c r="B19273" s="4" t="s">
        <v>24256</v>
      </c>
      <c r="C19273" s="5" t="str">
        <f>IFERROR(__xludf.DUMMYFUNCTION("GOOGLETRANSLATE(B19273,""en"",""zh-CN"")"),"几个独木舟被布置，导致骑着独木舟的人的镜头。")</f>
        <v>几个独木舟被布置，导致骑着独木舟的人的镜头。</v>
      </c>
    </row>
    <row r="19274">
      <c r="A19274" s="4" t="s">
        <v>24255</v>
      </c>
      <c r="B19274" s="4" t="s">
        <v>24257</v>
      </c>
      <c r="C19274" s="5" t="str">
        <f>IFERROR(__xludf.DUMMYFUNCTION("GOOGLETRANSLATE(B19274,""en"",""zh-CN"")"),"看到一个男人在相机上说话，并与另一个女人一起骑独木舟。")</f>
        <v>看到一个男人在相机上说话，并与另一个女人一起骑独木舟。</v>
      </c>
    </row>
    <row r="19275">
      <c r="A19275" s="4" t="s">
        <v>24255</v>
      </c>
      <c r="B19275" s="4" t="s">
        <v>24258</v>
      </c>
      <c r="C19275" s="5" t="str">
        <f>IFERROR(__xludf.DUMMYFUNCTION("GOOGLETRANSLATE(B19275,""en"",""zh-CN"")"),"当男人继续讲话时，看到越来越多的人沿着独木舟骑着河。")</f>
        <v>当男人继续讲话时，看到越来越多的人沿着独木舟骑着河。</v>
      </c>
    </row>
    <row r="19276">
      <c r="A19276" s="4" t="s">
        <v>24259</v>
      </c>
      <c r="B19276" s="4" t="s">
        <v>24260</v>
      </c>
      <c r="C19276" s="5" t="str">
        <f>IFERROR(__xludf.DUMMYFUNCTION("GOOGLETRANSLATE(B19276,""en"",""zh-CN"")"),"健身家伙站在漂白剂上。")</f>
        <v>健身家伙站在漂白剂上。</v>
      </c>
    </row>
    <row r="19277">
      <c r="A19277" s="4" t="s">
        <v>24259</v>
      </c>
      <c r="B19277" s="4" t="s">
        <v>24261</v>
      </c>
      <c r="C19277" s="5" t="str">
        <f>IFERROR(__xludf.DUMMYFUNCTION("GOOGLETRANSLATE(B19277,""en"",""zh-CN"")"),"伙计们踢沙滩足球。")</f>
        <v>伙计们踢沙滩足球。</v>
      </c>
    </row>
    <row r="19278">
      <c r="A19278" s="4" t="s">
        <v>24259</v>
      </c>
      <c r="B19278" s="4" t="s">
        <v>24262</v>
      </c>
      <c r="C19278" s="5" t="str">
        <f>IFERROR(__xludf.DUMMYFUNCTION("GOOGLETRANSLATE(B19278,""en"",""zh-CN"")"),"一个男人接受采访。")</f>
        <v>一个男人接受采访。</v>
      </c>
    </row>
    <row r="19279">
      <c r="A19279" s="4" t="s">
        <v>24259</v>
      </c>
      <c r="B19279" s="4" t="s">
        <v>24263</v>
      </c>
      <c r="C19279" s="5" t="str">
        <f>IFERROR(__xludf.DUMMYFUNCTION("GOOGLETRANSLATE(B19279,""en"",""zh-CN"")"),"一名球员杂耍两个足球。")</f>
        <v>一名球员杂耍两个足球。</v>
      </c>
    </row>
    <row r="19280">
      <c r="A19280" s="4" t="s">
        <v>24264</v>
      </c>
      <c r="B19280" s="4" t="s">
        <v>24265</v>
      </c>
      <c r="C19280" s="5" t="str">
        <f>IFERROR(__xludf.DUMMYFUNCTION("GOOGLETRANSLATE(B19280,""en"",""zh-CN"")"),"一件黄色衬衫的女孩正在吃冰淇淋蛋筒。")</f>
        <v>一件黄色衬衫的女孩正在吃冰淇淋蛋筒。</v>
      </c>
    </row>
    <row r="19281">
      <c r="A19281" s="4" t="s">
        <v>24264</v>
      </c>
      <c r="B19281" s="4" t="s">
        <v>24266</v>
      </c>
      <c r="C19281" s="5" t="str">
        <f>IFERROR(__xludf.DUMMYFUNCTION("GOOGLETRANSLATE(B19281,""en"",""zh-CN"")"),"一件穿着条纹衬衫的男孩坐在她的对面吃冰淇淋锥。")</f>
        <v>一件穿着条纹衬衫的男孩坐在她的对面吃冰淇淋锥。</v>
      </c>
    </row>
    <row r="19282">
      <c r="A19282" s="4" t="s">
        <v>24264</v>
      </c>
      <c r="B19282" s="4" t="s">
        <v>24267</v>
      </c>
      <c r="C19282" s="5" t="str">
        <f>IFERROR(__xludf.DUMMYFUNCTION("GOOGLETRANSLATE(B19282,""en"",""zh-CN"")"),"他旁边的一个男人回头看着她。")</f>
        <v>他旁边的一个男人回头看着她。</v>
      </c>
    </row>
    <row r="19283">
      <c r="A19283" s="4" t="s">
        <v>24268</v>
      </c>
      <c r="B19283" s="4" t="s">
        <v>24269</v>
      </c>
      <c r="C19283" s="5" t="str">
        <f>IFERROR(__xludf.DUMMYFUNCTION("GOOGLETRANSLATE(B19283,""en"",""zh-CN"")"),"一个家伙旋转一个固定在绳索上的球。")</f>
        <v>一个家伙旋转一个固定在绳索上的球。</v>
      </c>
    </row>
    <row r="19284">
      <c r="A19284" s="4" t="s">
        <v>24268</v>
      </c>
      <c r="B19284" s="4" t="s">
        <v>24270</v>
      </c>
      <c r="C19284" s="5" t="str">
        <f>IFERROR(__xludf.DUMMYFUNCTION("GOOGLETRANSLATE(B19284,""en"",""zh-CN"")"),"这个家伙释放了球和绳索依附在他身后的区域。")</f>
        <v>这个家伙释放了球和绳索依附在他身后的区域。</v>
      </c>
    </row>
    <row r="19285">
      <c r="A19285" s="4" t="s">
        <v>24268</v>
      </c>
      <c r="B19285" s="4" t="s">
        <v>24271</v>
      </c>
      <c r="C19285" s="5" t="str">
        <f>IFERROR(__xludf.DUMMYFUNCTION("GOOGLETRANSLATE(B19285,""en"",""zh-CN"")"),"那个家伙旋转着固定在绳索上的球，掉到了地上。")</f>
        <v>那个家伙旋转着固定在绳索上的球，掉到了地上。</v>
      </c>
    </row>
    <row r="19286">
      <c r="A19286" s="4" t="s">
        <v>24272</v>
      </c>
      <c r="B19286" s="4" t="s">
        <v>24273</v>
      </c>
      <c r="C19286" s="5" t="str">
        <f>IFERROR(__xludf.DUMMYFUNCTION("GOOGLETRANSLATE(B19286,""en"",""zh-CN"")"),"一个穿着白衬衫和白色生命的男人坐在一个橙色的筏子里。")</f>
        <v>一个穿着白衬衫和白色生命的男人坐在一个橙色的筏子里。</v>
      </c>
    </row>
    <row r="19287">
      <c r="A19287" s="4" t="s">
        <v>24272</v>
      </c>
      <c r="B19287" s="4" t="s">
        <v>24274</v>
      </c>
      <c r="C19287" s="5" t="str">
        <f>IFERROR(__xludf.DUMMYFUNCTION("GOOGLETRANSLATE(B19287,""en"",""zh-CN"")"),"筏子里的那个人靠在水浪上，他桨，筏子绕着圆圈。")</f>
        <v>筏子里的那个人靠在水浪上，他桨，筏子绕着圆圈。</v>
      </c>
    </row>
    <row r="19288">
      <c r="A19288" s="4" t="s">
        <v>24275</v>
      </c>
      <c r="B19288" s="4" t="s">
        <v>24276</v>
      </c>
      <c r="C19288" s="5" t="str">
        <f>IFERROR(__xludf.DUMMYFUNCTION("GOOGLETRANSLATE(B19288,""en"",""zh-CN"")"),"显示一个空房间，带有黄色瓷砖。")</f>
        <v>显示一个空房间，带有黄色瓷砖。</v>
      </c>
    </row>
    <row r="19289">
      <c r="A19289" s="4" t="s">
        <v>24275</v>
      </c>
      <c r="B19289" s="4" t="s">
        <v>24277</v>
      </c>
      <c r="C19289" s="5" t="str">
        <f>IFERROR(__xludf.DUMMYFUNCTION("GOOGLETRANSLATE(B19289,""en"",""zh-CN"")"),"一件白衬衫的男人正在画一堵墙。")</f>
        <v>一件白衬衫的男人正在画一堵墙。</v>
      </c>
    </row>
    <row r="19290">
      <c r="A19290" s="4" t="s">
        <v>24275</v>
      </c>
      <c r="B19290" s="4" t="s">
        <v>24278</v>
      </c>
      <c r="C19290" s="5" t="str">
        <f>IFERROR(__xludf.DUMMYFUNCTION("GOOGLETRANSLATE(B19290,""en"",""zh-CN"")"),"他转身看着相机。")</f>
        <v>他转身看着相机。</v>
      </c>
    </row>
    <row r="19291">
      <c r="A19291" s="4" t="s">
        <v>24279</v>
      </c>
      <c r="B19291" s="4" t="s">
        <v>24280</v>
      </c>
      <c r="C19291" s="5" t="str">
        <f>IFERROR(__xludf.DUMMYFUNCTION("GOOGLETRANSLATE(B19291,""en"",""zh-CN"")"),"我们看到一系列标题屏幕。")</f>
        <v>我们看到一系列标题屏幕。</v>
      </c>
    </row>
    <row r="19292">
      <c r="A19292" s="4" t="s">
        <v>24279</v>
      </c>
      <c r="B19292" s="4" t="s">
        <v>24281</v>
      </c>
      <c r="C19292" s="5" t="str">
        <f>IFERROR(__xludf.DUMMYFUNCTION("GOOGLETRANSLATE(B19292,""en"",""zh-CN"")"),"然后，我们看到一场羽毛球比赛。")</f>
        <v>然后，我们看到一场羽毛球比赛。</v>
      </c>
    </row>
    <row r="19293">
      <c r="A19293" s="4" t="s">
        <v>24279</v>
      </c>
      <c r="B19293" s="4" t="s">
        <v>24282</v>
      </c>
      <c r="C19293" s="5" t="str">
        <f>IFERROR(__xludf.DUMMYFUNCTION("GOOGLETRANSLATE(B19293,""en"",""zh-CN"")"),"我们看到了羽毛球的插图。")</f>
        <v>我们看到了羽毛球的插图。</v>
      </c>
    </row>
    <row r="19294">
      <c r="A19294" s="4" t="s">
        <v>24279</v>
      </c>
      <c r="B19294" s="4" t="s">
        <v>24283</v>
      </c>
      <c r="C19294" s="5" t="str">
        <f>IFERROR(__xludf.DUMMYFUNCTION("GOOGLETRANSLATE(B19294,""en"",""zh-CN"")"),"然后，我们看到一个女士和一个男人在室内玩耍。")</f>
        <v>然后，我们看到一个女士和一个男人在室内玩耍。</v>
      </c>
    </row>
    <row r="19295">
      <c r="A19295" s="4" t="s">
        <v>24279</v>
      </c>
      <c r="B19295" s="4" t="s">
        <v>24284</v>
      </c>
      <c r="C19295" s="5" t="str">
        <f>IFERROR(__xludf.DUMMYFUNCTION("GOOGLETRANSLATE(B19295,""en"",""zh-CN"")"),"当男人击球时，我们将动画视为动画。")</f>
        <v>当男人击球时，我们将动画视为动画。</v>
      </c>
    </row>
    <row r="19296">
      <c r="A19296" s="4" t="s">
        <v>24279</v>
      </c>
      <c r="B19296" s="4" t="s">
        <v>24285</v>
      </c>
      <c r="C19296" s="5" t="str">
        <f>IFERROR(__xludf.DUMMYFUNCTION("GOOGLETRANSLATE(B19296,""en"",""zh-CN"")"),"我们看到了这个人的插图。")</f>
        <v>我们看到了这个人的插图。</v>
      </c>
    </row>
    <row r="19297">
      <c r="A19297" s="4" t="s">
        <v>24279</v>
      </c>
      <c r="B19297" s="4" t="s">
        <v>4452</v>
      </c>
      <c r="C19297" s="5" t="str">
        <f>IFERROR(__xludf.DUMMYFUNCTION("GOOGLETRANSLATE(B19297,""en"",""zh-CN"")"),"然后，我们看到结尾屏幕。")</f>
        <v>然后，我们看到结尾屏幕。</v>
      </c>
    </row>
    <row r="19298">
      <c r="A19298" s="4" t="s">
        <v>24279</v>
      </c>
      <c r="B19298" s="4" t="s">
        <v>24286</v>
      </c>
      <c r="C19298" s="5" t="str">
        <f>IFERROR(__xludf.DUMMYFUNCTION("GOOGLETRANSLATE(B19298,""en"",""zh-CN"")"),"一个男人在绿色的房间里说话。")</f>
        <v>一个男人在绿色的房间里说话。</v>
      </c>
    </row>
    <row r="19299">
      <c r="A19299" s="4" t="s">
        <v>24287</v>
      </c>
      <c r="B19299" s="4" t="s">
        <v>24288</v>
      </c>
      <c r="C19299" s="5" t="str">
        <f>IFERROR(__xludf.DUMMYFUNCTION("GOOGLETRANSLATE(B19299,""en"",""zh-CN"")"),"看到两个人打鹅卵石桌，彼此欢呼。")</f>
        <v>看到两个人打鹅卵石桌，彼此欢呼。</v>
      </c>
    </row>
    <row r="19300">
      <c r="A19300" s="4" t="s">
        <v>24287</v>
      </c>
      <c r="B19300" s="4" t="s">
        <v>24289</v>
      </c>
      <c r="C19300" s="5" t="str">
        <f>IFERROR(__xludf.DUMMYFUNCTION("GOOGLETRANSLATE(B19300,""en"",""zh-CN"")"),"人们继续玩耍，并停下来以握手为结尾。")</f>
        <v>人们继续玩耍，并停下来以握手为结尾。</v>
      </c>
    </row>
    <row r="19301">
      <c r="A19301" s="4" t="s">
        <v>24290</v>
      </c>
      <c r="B19301" s="4" t="s">
        <v>24291</v>
      </c>
      <c r="C19301" s="5" t="str">
        <f>IFERROR(__xludf.DUMMYFUNCTION("GOOGLETRANSLATE(B19301,""en"",""zh-CN"")"),"显示了一个绿色油漆刷架。")</f>
        <v>显示了一个绿色油漆刷架。</v>
      </c>
    </row>
    <row r="19302">
      <c r="A19302" s="4" t="s">
        <v>24290</v>
      </c>
      <c r="B19302" s="4" t="s">
        <v>24292</v>
      </c>
      <c r="C19302" s="5" t="str">
        <f>IFERROR(__xludf.DUMMYFUNCTION("GOOGLETRANSLATE(B19302,""en"",""zh-CN"")"),"油漆刷的刷子在人的手指上显示。")</f>
        <v>油漆刷的刷子在人的手指上显示。</v>
      </c>
    </row>
    <row r="19303">
      <c r="A19303" s="4" t="s">
        <v>24290</v>
      </c>
      <c r="B19303" s="4" t="s">
        <v>24293</v>
      </c>
      <c r="C19303" s="5" t="str">
        <f>IFERROR(__xludf.DUMMYFUNCTION("GOOGLETRANSLATE(B19303,""en"",""zh-CN"")"),"他们正在用刷子绘画。")</f>
        <v>他们正在用刷子绘画。</v>
      </c>
    </row>
    <row r="19304">
      <c r="A19304" s="4" t="s">
        <v>24290</v>
      </c>
      <c r="B19304" s="4" t="s">
        <v>24294</v>
      </c>
      <c r="C19304" s="5" t="str">
        <f>IFERROR(__xludf.DUMMYFUNCTION("GOOGLETRANSLATE(B19304,""en"",""zh-CN"")"),"他们用滴管将更薄的涂料掉入油漆中。")</f>
        <v>他们用滴管将更薄的涂料掉入油漆中。</v>
      </c>
    </row>
    <row r="19305">
      <c r="A19305" s="4" t="s">
        <v>24290</v>
      </c>
      <c r="B19305" s="4" t="s">
        <v>24295</v>
      </c>
      <c r="C19305" s="5" t="str">
        <f>IFERROR(__xludf.DUMMYFUNCTION("GOOGLETRANSLATE(B19305,""en"",""zh-CN"")"),"桌子上有一个模型飞机。")</f>
        <v>桌子上有一个模型飞机。</v>
      </c>
    </row>
    <row r="19306">
      <c r="A19306" s="4" t="s">
        <v>24290</v>
      </c>
      <c r="B19306" s="4" t="s">
        <v>24296</v>
      </c>
      <c r="C19306" s="5" t="str">
        <f>IFERROR(__xludf.DUMMYFUNCTION("GOOGLETRANSLATE(B19306,""en"",""zh-CN"")"),"飞机正在涂上金色。")</f>
        <v>飞机正在涂上金色。</v>
      </c>
    </row>
    <row r="19307">
      <c r="A19307" s="4" t="s">
        <v>24290</v>
      </c>
      <c r="B19307" s="4" t="s">
        <v>24297</v>
      </c>
      <c r="C19307" s="5" t="str">
        <f>IFERROR(__xludf.DUMMYFUNCTION("GOOGLETRANSLATE(B19307,""en"",""zh-CN"")"),"正在显示并转过身。")</f>
        <v>正在显示并转过身。</v>
      </c>
    </row>
    <row r="19308">
      <c r="A19308" s="4" t="s">
        <v>24298</v>
      </c>
      <c r="B19308" s="4" t="s">
        <v>24299</v>
      </c>
      <c r="C19308" s="5" t="str">
        <f>IFERROR(__xludf.DUMMYFUNCTION("GOOGLETRANSLATE(B19308,""en"",""zh-CN"")"),"看到一个人沿着雪走路，在他身后拉了一个雪橇。")</f>
        <v>看到一个人沿着雪走路，在他身后拉了一个雪橇。</v>
      </c>
    </row>
    <row r="19309">
      <c r="A19309" s="4" t="s">
        <v>24298</v>
      </c>
      <c r="B19309" s="4" t="s">
        <v>24300</v>
      </c>
      <c r="C19309" s="5" t="str">
        <f>IFERROR(__xludf.DUMMYFUNCTION("GOOGLETRANSLATE(B19309,""en"",""zh-CN"")"),"该人在冰上切一个洞以及诱饵，最后捕获鱼。")</f>
        <v>该人在冰上切一个洞以及诱饵，最后捕获鱼。</v>
      </c>
    </row>
    <row r="19310">
      <c r="A19310" s="4" t="s">
        <v>24298</v>
      </c>
      <c r="B19310" s="4" t="s">
        <v>24301</v>
      </c>
      <c r="C19310" s="5" t="str">
        <f>IFERROR(__xludf.DUMMYFUNCTION("GOOGLETRANSLATE(B19310,""en"",""zh-CN"")"),"该男子割了鱼，煮了，然后被看到吃东西然后走开。")</f>
        <v>该男子割了鱼，煮了，然后被看到吃东西然后走开。</v>
      </c>
    </row>
    <row r="19311">
      <c r="A19311" s="4" t="s">
        <v>24302</v>
      </c>
      <c r="B19311" s="4" t="s">
        <v>24303</v>
      </c>
      <c r="C19311" s="5" t="str">
        <f>IFERROR(__xludf.DUMMYFUNCTION("GOOGLETRANSLATE(B19311,""en"",""zh-CN"")"),"一位女士正在水槽里洗一只小狗。")</f>
        <v>一位女士正在水槽里洗一只小狗。</v>
      </c>
    </row>
    <row r="19312">
      <c r="A19312" s="4" t="s">
        <v>24302</v>
      </c>
      <c r="B19312" s="4" t="s">
        <v>24304</v>
      </c>
      <c r="C19312" s="5" t="str">
        <f>IFERROR(__xludf.DUMMYFUNCTION("GOOGLETRANSLATE(B19312,""en"",""zh-CN"")"),"这位女士把洗发水放在狗身上。")</f>
        <v>这位女士把洗发水放在狗身上。</v>
      </c>
    </row>
    <row r="19313">
      <c r="A19313" s="4" t="s">
        <v>24302</v>
      </c>
      <c r="B19313" s="4" t="s">
        <v>24305</v>
      </c>
      <c r="C19313" s="5" t="str">
        <f>IFERROR(__xludf.DUMMYFUNCTION("GOOGLETRANSLATE(B19313,""en"",""zh-CN"")"),"那位女士再次捡起狗。")</f>
        <v>那位女士再次捡起狗。</v>
      </c>
    </row>
    <row r="19314">
      <c r="A19314" s="4" t="s">
        <v>24302</v>
      </c>
      <c r="B19314" s="4" t="s">
        <v>24306</v>
      </c>
      <c r="C19314" s="5" t="str">
        <f>IFERROR(__xludf.DUMMYFUNCTION("GOOGLETRANSLATE(B19314,""en"",""zh-CN"")"),"那位女士把狗带到桌子上，站起来。")</f>
        <v>那位女士把狗带到桌子上，站起来。</v>
      </c>
    </row>
    <row r="19315">
      <c r="A19315" s="4" t="s">
        <v>24302</v>
      </c>
      <c r="B19315" s="4" t="s">
        <v>24307</v>
      </c>
      <c r="C19315" s="5" t="str">
        <f>IFERROR(__xludf.DUMMYFUNCTION("GOOGLETRANSLATE(B19315,""en"",""zh-CN"")"),"她把狗披在卷起的毛巾上。")</f>
        <v>她把狗披在卷起的毛巾上。</v>
      </c>
    </row>
    <row r="19316">
      <c r="A19316" s="4" t="s">
        <v>24302</v>
      </c>
      <c r="B19316" s="4" t="s">
        <v>24308</v>
      </c>
      <c r="C19316" s="5" t="str">
        <f>IFERROR(__xludf.DUMMYFUNCTION("GOOGLETRANSLATE(B19316,""en"",""zh-CN"")"),"然后，她捡起狗。")</f>
        <v>然后，她捡起狗。</v>
      </c>
    </row>
    <row r="19317">
      <c r="A19317" s="4" t="s">
        <v>24309</v>
      </c>
      <c r="B19317" s="6" t="s">
        <v>24310</v>
      </c>
      <c r="C19317" s="5" t="str">
        <f>IFERROR(__xludf.DUMMYFUNCTION("GOOGLETRANSLATE(B19317,""en"",""zh-CN"")"),"看到一个男人在拿着各种物体和过渡到他的摄像机上说话，切断了草坪的边缘。")</f>
        <v>看到一个男人在拿着各种物体和过渡到他的摄像机上说话，切断了草坪的边缘。</v>
      </c>
    </row>
    <row r="19318">
      <c r="A19318" s="4" t="s">
        <v>24309</v>
      </c>
      <c r="B19318" s="6" t="s">
        <v>24311</v>
      </c>
      <c r="C19318" s="5" t="str">
        <f>IFERROR(__xludf.DUMMYFUNCTION("GOOGLETRANSLATE(B19318,""en"",""zh-CN"")"),"然后，他向他展示了割草和修剪树篱，同时与镜头说话，并从院子里吹走了树叶。")</f>
        <v>然后，他向他展示了割草和修剪树篱，同时与镜头说话，并从院子里吹走了树叶。</v>
      </c>
    </row>
    <row r="19319">
      <c r="A19319" s="4" t="s">
        <v>24312</v>
      </c>
      <c r="B19319" s="4" t="s">
        <v>24313</v>
      </c>
      <c r="C19319" s="5" t="str">
        <f>IFERROR(__xludf.DUMMYFUNCTION("GOOGLETRANSLATE(B19319,""en"",""zh-CN"")"),"两支球队玩室内曲棍球比赛。")</f>
        <v>两支球队玩室内曲棍球比赛。</v>
      </c>
    </row>
    <row r="19320">
      <c r="A19320" s="4" t="s">
        <v>24312</v>
      </c>
      <c r="B19320" s="4" t="s">
        <v>24314</v>
      </c>
      <c r="C19320" s="5" t="str">
        <f>IFERROR(__xludf.DUMMYFUNCTION("GOOGLETRANSLATE(B19320,""en"",""zh-CN"")"),"团队对被阻塞的目标守门员进行投篮。")</f>
        <v>团队对被阻塞的目标守门员进行投篮。</v>
      </c>
    </row>
    <row r="19321">
      <c r="A19321" s="4" t="s">
        <v>24312</v>
      </c>
      <c r="B19321" s="4" t="s">
        <v>24315</v>
      </c>
      <c r="C19321" s="5" t="str">
        <f>IFERROR(__xludf.DUMMYFUNCTION("GOOGLETRANSLATE(B19321,""en"",""zh-CN"")"),"裁判开始并停止比赛。")</f>
        <v>裁判开始并停止比赛。</v>
      </c>
    </row>
    <row r="19322">
      <c r="A19322" s="4" t="s">
        <v>24316</v>
      </c>
      <c r="B19322" s="4" t="s">
        <v>24317</v>
      </c>
      <c r="C19322" s="5" t="str">
        <f>IFERROR(__xludf.DUMMYFUNCTION("GOOGLETRANSLATE(B19322,""en"",""zh-CN"")"),"显示了白雪皑皑的山脉，人们正在进行单板滑雪。")</f>
        <v>显示了白雪皑皑的山脉，人们正在进行单板滑雪。</v>
      </c>
    </row>
    <row r="19323">
      <c r="A19323" s="4" t="s">
        <v>24316</v>
      </c>
      <c r="B19323" s="4" t="s">
        <v>24318</v>
      </c>
      <c r="C19323" s="5" t="str">
        <f>IFERROR(__xludf.DUMMYFUNCTION("GOOGLETRANSLATE(B19323,""en"",""zh-CN"")"),"直升机在山上的空中降落，将人们留在山顶。")</f>
        <v>直升机在山上的空中降落，将人们留在山顶。</v>
      </c>
    </row>
    <row r="19324">
      <c r="A19324" s="4" t="s">
        <v>24316</v>
      </c>
      <c r="B19324" s="4" t="s">
        <v>24319</v>
      </c>
      <c r="C19324" s="5" t="str">
        <f>IFERROR(__xludf.DUMMYFUNCTION("GOOGLETRANSLATE(B19324,""en"",""zh-CN"")"),"人们在他们之间的直升机里。")</f>
        <v>人们在他们之间的直升机里。</v>
      </c>
    </row>
    <row r="19325">
      <c r="A19325" s="4" t="s">
        <v>24316</v>
      </c>
      <c r="B19325" s="4" t="s">
        <v>24320</v>
      </c>
      <c r="C19325" s="5" t="str">
        <f>IFERROR(__xludf.DUMMYFUNCTION("GOOGLETRANSLATE(B19325,""en"",""zh-CN"")"),"人们开始沿着山上的斜坡滑雪。")</f>
        <v>人们开始沿着山上的斜坡滑雪。</v>
      </c>
    </row>
    <row r="19326">
      <c r="A19326" s="4" t="s">
        <v>24316</v>
      </c>
      <c r="B19326" s="4" t="s">
        <v>24321</v>
      </c>
      <c r="C19326" s="5" t="str">
        <f>IFERROR(__xludf.DUMMYFUNCTION("GOOGLETRANSLATE(B19326,""en"",""zh-CN"")"),"直升机内部的佩尔佩（Peolpe）正在聊天，并把冬季服装与镜头交谈。")</f>
        <v>直升机内部的佩尔佩（Peolpe）正在聊天，并把冬季服装与镜头交谈。</v>
      </c>
    </row>
    <row r="19327">
      <c r="A19327" s="4" t="s">
        <v>24322</v>
      </c>
      <c r="B19327" s="4" t="s">
        <v>24323</v>
      </c>
      <c r="C19327" s="5" t="str">
        <f>IFERROR(__xludf.DUMMYFUNCTION("GOOGLETRANSLATE(B19327,""en"",""zh-CN"")"),"显示了使用各种方法卷曲头发的女性场景。")</f>
        <v>显示了使用各种方法卷曲头发的女性场景。</v>
      </c>
    </row>
    <row r="19328">
      <c r="A19328" s="4" t="s">
        <v>24322</v>
      </c>
      <c r="B19328" s="4" t="s">
        <v>24324</v>
      </c>
      <c r="C19328" s="5" t="str">
        <f>IFERROR(__xludf.DUMMYFUNCTION("GOOGLETRANSLATE(B19328,""en"",""zh-CN"")"),"计算机图形序列显示了一个特定设备的功能。")</f>
        <v>计算机图形序列显示了一个特定设备的功能。</v>
      </c>
    </row>
    <row r="19329">
      <c r="A19329" s="4" t="s">
        <v>24322</v>
      </c>
      <c r="B19329" s="4" t="s">
        <v>24325</v>
      </c>
      <c r="C19329" s="5" t="str">
        <f>IFERROR(__xludf.DUMMYFUNCTION("GOOGLETRANSLATE(B19329,""en"",""zh-CN"")"),"几个女人表现出卷曲的头发。")</f>
        <v>几个女人表现出卷曲的头发。</v>
      </c>
    </row>
    <row r="19330">
      <c r="A19330" s="4" t="s">
        <v>24322</v>
      </c>
      <c r="B19330" s="4" t="s">
        <v>24326</v>
      </c>
      <c r="C19330" s="5" t="str">
        <f>IFERROR(__xludf.DUMMYFUNCTION("GOOGLETRANSLATE(B19330,""en"",""zh-CN"")"),"卷发产品再次被几位女性展示。")</f>
        <v>卷发产品再次被几位女性展示。</v>
      </c>
    </row>
    <row r="19331">
      <c r="A19331" s="4" t="s">
        <v>24322</v>
      </c>
      <c r="B19331" s="4" t="s">
        <v>24327</v>
      </c>
      <c r="C19331" s="5" t="str">
        <f>IFERROR(__xludf.DUMMYFUNCTION("GOOGLETRANSLATE(B19331,""en"",""zh-CN"")"),"显示了一个女人的照片前后。")</f>
        <v>显示了一个女人的照片前后。</v>
      </c>
    </row>
    <row r="19332">
      <c r="A19332" s="4" t="s">
        <v>24328</v>
      </c>
      <c r="B19332" s="4" t="s">
        <v>24329</v>
      </c>
      <c r="C19332" s="5" t="str">
        <f>IFERROR(__xludf.DUMMYFUNCTION("GOOGLETRANSLATE(B19332,""en"",""zh-CN"")"),"穿着绿色衬衫的男人将圆盘扔到田野上。")</f>
        <v>穿着绿色衬衫的男人将圆盘扔到田野上。</v>
      </c>
    </row>
    <row r="19333">
      <c r="A19333" s="4" t="s">
        <v>24328</v>
      </c>
      <c r="B19333" s="4" t="s">
        <v>24330</v>
      </c>
      <c r="C19333" s="5" t="str">
        <f>IFERROR(__xludf.DUMMYFUNCTION("GOOGLETRANSLATE(B19333,""en"",""zh-CN"")"),"穿着蓝色衬衫的男人将圆盘扔到田野上。")</f>
        <v>穿着蓝色衬衫的男人将圆盘扔到田野上。</v>
      </c>
    </row>
    <row r="19334">
      <c r="A19334" s="4" t="s">
        <v>24328</v>
      </c>
      <c r="B19334" s="4" t="s">
        <v>24331</v>
      </c>
      <c r="C19334" s="5" t="str">
        <f>IFERROR(__xludf.DUMMYFUNCTION("GOOGLETRANSLATE(B19334,""en"",""zh-CN"")"),"穿着紫色衬衫的男人将圆盘扔到田野上。")</f>
        <v>穿着紫色衬衫的男人将圆盘扔到田野上。</v>
      </c>
    </row>
    <row r="19335">
      <c r="A19335" s="4" t="s">
        <v>24332</v>
      </c>
      <c r="B19335" s="4" t="s">
        <v>24333</v>
      </c>
      <c r="C19335" s="5" t="str">
        <f>IFERROR(__xludf.DUMMYFUNCTION("GOOGLETRANSLATE(B19335,""en"",""zh-CN"")"),"一个男人在风筝上工作。")</f>
        <v>一个男人在风筝上工作。</v>
      </c>
    </row>
    <row r="19336">
      <c r="A19336" s="4" t="s">
        <v>24332</v>
      </c>
      <c r="B19336" s="4" t="s">
        <v>24334</v>
      </c>
      <c r="C19336" s="5" t="str">
        <f>IFERROR(__xludf.DUMMYFUNCTION("GOOGLETRANSLATE(B19336,""en"",""zh-CN"")"),"另一个抱着婴儿的男人握住风筝线轴。")</f>
        <v>另一个抱着婴儿的男人握住风筝线轴。</v>
      </c>
    </row>
    <row r="19337">
      <c r="A19337" s="4" t="s">
        <v>24332</v>
      </c>
      <c r="B19337" s="4" t="s">
        <v>24335</v>
      </c>
      <c r="C19337" s="5" t="str">
        <f>IFERROR(__xludf.DUMMYFUNCTION("GOOGLETRANSLATE(B19337,""en"",""zh-CN"")"),"第三个人在类似的风筝上工作，而第二人拿着线轴。")</f>
        <v>第三个人在类似的风筝上工作，而第二人拿着线轴。</v>
      </c>
    </row>
    <row r="19338">
      <c r="A19338" s="4" t="s">
        <v>24332</v>
      </c>
      <c r="B19338" s="4" t="s">
        <v>24336</v>
      </c>
      <c r="C19338" s="5" t="str">
        <f>IFERROR(__xludf.DUMMYFUNCTION("GOOGLETRANSLATE(B19338,""en"",""zh-CN"")"),"这些人从屋顶上驾驶风筝。")</f>
        <v>这些人从屋顶上驾驶风筝。</v>
      </c>
    </row>
    <row r="19339">
      <c r="A19339" s="4" t="s">
        <v>24332</v>
      </c>
      <c r="B19339" s="4" t="s">
        <v>24337</v>
      </c>
      <c r="C19339" s="5" t="str">
        <f>IFERROR(__xludf.DUMMYFUNCTION("GOOGLETRANSLATE(B19339,""en"",""zh-CN"")"),"场景用一些身份不明的光线变为天空的夜景。")</f>
        <v>场景用一些身份不明的光线变为天空的夜景。</v>
      </c>
    </row>
    <row r="19340">
      <c r="A19340" s="4" t="s">
        <v>24338</v>
      </c>
      <c r="B19340" s="4" t="s">
        <v>24339</v>
      </c>
      <c r="C19340" s="5" t="str">
        <f>IFERROR(__xludf.DUMMYFUNCTION("GOOGLETRANSLATE(B19340,""en"",""zh-CN"")"),"当视频开始时，广告屏幕暂时出现。")</f>
        <v>当视频开始时，广告屏幕暂时出现。</v>
      </c>
    </row>
    <row r="19341">
      <c r="A19341" s="4" t="s">
        <v>24338</v>
      </c>
      <c r="B19341" s="4" t="s">
        <v>24340</v>
      </c>
      <c r="C19341" s="5" t="str">
        <f>IFERROR(__xludf.DUMMYFUNCTION("GOOGLETRANSLATE(B19341,""en"",""zh-CN"")"),"一群男人在体育场中来回踢球。")</f>
        <v>一群男人在体育场中来回踢球。</v>
      </c>
    </row>
    <row r="19342">
      <c r="A19342" s="4" t="s">
        <v>24338</v>
      </c>
      <c r="B19342" s="4" t="s">
        <v>24341</v>
      </c>
      <c r="C19342" s="5" t="str">
        <f>IFERROR(__xludf.DUMMYFUNCTION("GOOGLETRANSLATE(B19342,""en"",""zh-CN"")"),"这些人追随球，试图从对方球队中夺取球。")</f>
        <v>这些人追随球，试图从对方球队中夺取球。</v>
      </c>
    </row>
    <row r="19343">
      <c r="A19343" s="4" t="s">
        <v>24338</v>
      </c>
      <c r="B19343" s="4" t="s">
        <v>24342</v>
      </c>
      <c r="C19343" s="5" t="str">
        <f>IFERROR(__xludf.DUMMYFUNCTION("GOOGLETRANSLATE(B19343,""en"",""zh-CN"")"),"特定玩家周围显示了一个黄色圆圈。")</f>
        <v>特定玩家周围显示了一个黄色圆圈。</v>
      </c>
    </row>
    <row r="19344">
      <c r="A19344" s="4" t="s">
        <v>24343</v>
      </c>
      <c r="B19344" s="4" t="s">
        <v>24344</v>
      </c>
      <c r="C19344" s="5" t="str">
        <f>IFERROR(__xludf.DUMMYFUNCTION("GOOGLETRANSLATE(B19344,""en"",""zh-CN"")"),"一群孩子站在四处穿着救生衣，当摄像头绕着湖上。")</f>
        <v>一群孩子站在四处穿着救生衣，当摄像头绕着湖上。</v>
      </c>
    </row>
    <row r="19345">
      <c r="A19345" s="4" t="s">
        <v>24343</v>
      </c>
      <c r="B19345" s="4" t="s">
        <v>24345</v>
      </c>
      <c r="C19345" s="5" t="str">
        <f>IFERROR(__xludf.DUMMYFUNCTION("GOOGLETRANSLATE(B19345,""en"",""zh-CN"")"),"看到一个男人坐在船上，相机继续在该地区围绕。")</f>
        <v>看到一个男人坐在船上，相机继续在该地区围绕。</v>
      </c>
    </row>
    <row r="19346">
      <c r="A19346" s="4" t="s">
        <v>24343</v>
      </c>
      <c r="B19346" s="4" t="s">
        <v>24346</v>
      </c>
      <c r="C19346" s="5" t="str">
        <f>IFERROR(__xludf.DUMMYFUNCTION("GOOGLETRANSLATE(B19346,""en"",""zh-CN"")"),"孩子们徘徊在船上，开始划船。")</f>
        <v>孩子们徘徊在船上，开始划船。</v>
      </c>
    </row>
    <row r="19347">
      <c r="A19347" s="4" t="s">
        <v>24343</v>
      </c>
      <c r="B19347" s="4" t="s">
        <v>24347</v>
      </c>
      <c r="C19347" s="5" t="str">
        <f>IFERROR(__xludf.DUMMYFUNCTION("GOOGLETRANSLATE(B19347,""en"",""zh-CN"")"),"水变得更加愤怒，孩子们嬉戏地飞溅了相机的人。")</f>
        <v>水变得更加愤怒，孩子们嬉戏地飞溅了相机的人。</v>
      </c>
    </row>
    <row r="19348">
      <c r="A19348" s="4" t="s">
        <v>24343</v>
      </c>
      <c r="B19348" s="4" t="s">
        <v>24348</v>
      </c>
      <c r="C19348" s="5" t="str">
        <f>IFERROR(__xludf.DUMMYFUNCTION("GOOGLETRANSLATE(B19348,""en"",""zh-CN"")"),"当相机从远处看着它们时，继续沿着危险的海浪骑行。")</f>
        <v>当相机从远处看着它们时，继续沿着危险的海浪骑行。</v>
      </c>
    </row>
    <row r="19349">
      <c r="A19349" s="4" t="s">
        <v>24349</v>
      </c>
      <c r="B19349" s="6" t="s">
        <v>24350</v>
      </c>
      <c r="C19349" s="5" t="str">
        <f>IFERROR(__xludf.DUMMYFUNCTION("GOOGLETRANSLATE(B19349,""en"",""zh-CN"")"),"看到一小群人在游泳池周围游泳，抓住球，将球扔回第四。")</f>
        <v>看到一小群人在游泳池周围游泳，抓住球，将球扔回第四。</v>
      </c>
    </row>
    <row r="19350">
      <c r="A19350" s="4" t="s">
        <v>24349</v>
      </c>
      <c r="B19350" s="4" t="s">
        <v>24351</v>
      </c>
      <c r="C19350" s="5" t="str">
        <f>IFERROR(__xludf.DUMMYFUNCTION("GOOGLETRANSLATE(B19350,""en"",""zh-CN"")"),"人们继续互相打球，扔球。")</f>
        <v>人们继续互相打球，扔球。</v>
      </c>
    </row>
    <row r="19351">
      <c r="A19351" s="4" t="s">
        <v>24352</v>
      </c>
      <c r="B19351" s="4" t="s">
        <v>24353</v>
      </c>
      <c r="C19351" s="5" t="str">
        <f>IFERROR(__xludf.DUMMYFUNCTION("GOOGLETRANSLATE(B19351,""en"",""zh-CN"")"),"一个男人和女人在房间里说话。")</f>
        <v>一个男人和女人在房间里说话。</v>
      </c>
    </row>
    <row r="19352">
      <c r="A19352" s="4" t="s">
        <v>24352</v>
      </c>
      <c r="B19352" s="4" t="s">
        <v>24354</v>
      </c>
      <c r="C19352" s="5" t="str">
        <f>IFERROR(__xludf.DUMMYFUNCTION("GOOGLETRANSLATE(B19352,""en"",""zh-CN"")"),"一个人在街上骑自行车。")</f>
        <v>一个人在街上骑自行车。</v>
      </c>
    </row>
    <row r="19353">
      <c r="A19353" s="4" t="s">
        <v>24352</v>
      </c>
      <c r="B19353" s="4" t="s">
        <v>24355</v>
      </c>
      <c r="C19353" s="5" t="str">
        <f>IFERROR(__xludf.DUMMYFUNCTION("GOOGLETRANSLATE(B19353,""en"",""zh-CN"")"),"骑自行车后，有人跌倒了。")</f>
        <v>骑自行车后，有人跌倒了。</v>
      </c>
    </row>
    <row r="19354">
      <c r="A19354" s="4" t="s">
        <v>24352</v>
      </c>
      <c r="B19354" s="4" t="s">
        <v>24356</v>
      </c>
      <c r="C19354" s="5" t="str">
        <f>IFERROR(__xludf.DUMMYFUNCTION("GOOGLETRANSLATE(B19354,""en"",""zh-CN"")"),"男人和女人在房间里说话。")</f>
        <v>男人和女人在房间里说话。</v>
      </c>
    </row>
    <row r="19355">
      <c r="A19355" s="4" t="s">
        <v>24352</v>
      </c>
      <c r="B19355" s="4" t="s">
        <v>24357</v>
      </c>
      <c r="C19355" s="5" t="str">
        <f>IFERROR(__xludf.DUMMYFUNCTION("GOOGLETRANSLATE(B19355,""en"",""zh-CN"")"),"一辆自行车靠在篱笆上。")</f>
        <v>一辆自行车靠在篱笆上。</v>
      </c>
    </row>
    <row r="19356">
      <c r="A19356" s="4" t="s">
        <v>24352</v>
      </c>
      <c r="B19356" s="4" t="s">
        <v>24358</v>
      </c>
      <c r="C19356" s="5" t="str">
        <f>IFERROR(__xludf.DUMMYFUNCTION("GOOGLETRANSLATE(B19356,""en"",""zh-CN"")"),"一个男人在自行车的轮胎周围锁上一个锁。")</f>
        <v>一个男人在自行车的轮胎周围锁上一个锁。</v>
      </c>
    </row>
    <row r="19357">
      <c r="A19357" s="4" t="s">
        <v>24359</v>
      </c>
      <c r="B19357" s="4" t="s">
        <v>24360</v>
      </c>
      <c r="C19357" s="5" t="str">
        <f>IFERROR(__xludf.DUMMYFUNCTION("GOOGLETRANSLATE(B19357,""en"",""zh-CN"")"),"显示了日落套装的镜头，其后是吸烟和绕油漆球坑中峰值。")</f>
        <v>显示了日落套装的镜头，其后是吸烟和绕油漆球坑中峰值。</v>
      </c>
    </row>
    <row r="19358">
      <c r="A19358" s="4" t="s">
        <v>24359</v>
      </c>
      <c r="B19358" s="4" t="s">
        <v>24361</v>
      </c>
      <c r="C19358" s="5" t="str">
        <f>IFERROR(__xludf.DUMMYFUNCTION("GOOGLETRANSLATE(B19358,""en"",""zh-CN"")"),"这些人互相交谈，并带领跑来跑去打球。")</f>
        <v>这些人互相交谈，并带领跑来跑去打球。</v>
      </c>
    </row>
    <row r="19359">
      <c r="A19359" s="4" t="s">
        <v>24359</v>
      </c>
      <c r="B19359" s="6" t="s">
        <v>24362</v>
      </c>
      <c r="C19359" s="5" t="str">
        <f>IFERROR(__xludf.DUMMYFUNCTION("GOOGLETRANSLATE(B19359,""en"",""zh-CN"")"),"他们停了一会儿，彼此交谈，相机从不同角度捕获了射手。")</f>
        <v>他们停了一会儿，彼此交谈，相机从不同角度捕获了射手。</v>
      </c>
    </row>
    <row r="19360">
      <c r="A19360" s="4" t="s">
        <v>24363</v>
      </c>
      <c r="B19360" s="4" t="s">
        <v>24364</v>
      </c>
      <c r="C19360" s="5" t="str">
        <f>IFERROR(__xludf.DUMMYFUNCTION("GOOGLETRANSLATE(B19360,""en"",""zh-CN"")"),"当相机记录他们时，看到一个小孩躺在地毯上。")</f>
        <v>当相机记录他们时，看到一个小孩躺在地毯上。</v>
      </c>
    </row>
    <row r="19361">
      <c r="A19361" s="4" t="s">
        <v>24363</v>
      </c>
      <c r="B19361" s="4" t="s">
        <v>24365</v>
      </c>
      <c r="C19361" s="5" t="str">
        <f>IFERROR(__xludf.DUMMYFUNCTION("GOOGLETRANSLATE(B19361,""en"",""zh-CN"")"),"然后，孩子用手遮住眼睛，上下移动头部。")</f>
        <v>然后，孩子用手遮住眼睛，上下移动头部。</v>
      </c>
    </row>
    <row r="19362">
      <c r="A19362" s="4" t="s">
        <v>24363</v>
      </c>
      <c r="B19362" s="4" t="s">
        <v>24366</v>
      </c>
      <c r="C19362" s="5" t="str">
        <f>IFERROR(__xludf.DUMMYFUNCTION("GOOGLETRANSLATE(B19362,""en"",""zh-CN"")"),"最后，他们最终向相机微笑。")</f>
        <v>最后，他们最终向相机微笑。</v>
      </c>
    </row>
    <row r="19363">
      <c r="A19363" s="4" t="s">
        <v>24367</v>
      </c>
      <c r="B19363" s="4" t="s">
        <v>24368</v>
      </c>
      <c r="C19363" s="5" t="str">
        <f>IFERROR(__xludf.DUMMYFUNCTION("GOOGLETRANSLATE(B19363,""en"",""zh-CN"")"),"可以看到吉他顶部旁边的和弦和数字滚动的特写镜头。")</f>
        <v>可以看到吉他顶部旁边的和弦和数字滚动的特写镜头。</v>
      </c>
    </row>
    <row r="19364">
      <c r="A19364" s="4" t="s">
        <v>24367</v>
      </c>
      <c r="B19364" s="4" t="s">
        <v>24369</v>
      </c>
      <c r="C19364" s="5" t="str">
        <f>IFERROR(__xludf.DUMMYFUNCTION("GOOGLETRANSLATE(B19364,""en"",""zh-CN"")"),"正在提供弹奏乐器的说明。")</f>
        <v>正在提供弹奏乐器的说明。</v>
      </c>
    </row>
    <row r="19365">
      <c r="A19365" s="4" t="s">
        <v>24367</v>
      </c>
      <c r="B19365" s="4" t="s">
        <v>24370</v>
      </c>
      <c r="C19365" s="5" t="str">
        <f>IFERROR(__xludf.DUMMYFUNCTION("GOOGLETRANSLATE(B19365,""en"",""zh-CN"")"),"当显示时，该人的手指在和弦上上下移动。")</f>
        <v>当显示时，该人的手指在和弦上上下移动。</v>
      </c>
    </row>
    <row r="19366">
      <c r="A19366" s="4" t="s">
        <v>24371</v>
      </c>
      <c r="B19366" s="4" t="s">
        <v>24372</v>
      </c>
      <c r="C19366" s="5" t="str">
        <f>IFERROR(__xludf.DUMMYFUNCTION("GOOGLETRANSLATE(B19366,""en"",""zh-CN"")"),"男子穿着史蒂尔（Stils），在停车场的垃圾桶上方跳高。")</f>
        <v>男子穿着史蒂尔（Stils），在停车场的垃圾桶上方跳高。</v>
      </c>
    </row>
    <row r="19367">
      <c r="A19367" s="4" t="s">
        <v>24371</v>
      </c>
      <c r="B19367" s="6" t="s">
        <v>24373</v>
      </c>
      <c r="C19367" s="5" t="str">
        <f>IFERROR(__xludf.DUMMYFUNCTION("GOOGLETRANSLATE(B19367,""en"",""zh-CN"")"),"男人正在街上的拉斯维加斯标志上的跳高跳跃，在街上的石头墙上。")</f>
        <v>男人正在街上的拉斯维加斯标志上的跳高跳跃，在街上的石头墙上。</v>
      </c>
    </row>
    <row r="19368">
      <c r="A19368" s="4" t="s">
        <v>24374</v>
      </c>
      <c r="B19368" s="6" t="s">
        <v>24375</v>
      </c>
      <c r="C19368" s="5" t="str">
        <f>IFERROR(__xludf.DUMMYFUNCTION("GOOGLETRANSLATE(B19368,""en"",""zh-CN"")"),"两支球队在一个场地上显示，该男子正在跑步曲棍球，直接跑到另一个对手。")</f>
        <v>两支球队在一个场地上显示，该男子正在跑步曲棍球，直接跑到另一个对手。</v>
      </c>
    </row>
    <row r="19369">
      <c r="A19369" s="4" t="s">
        <v>24374</v>
      </c>
      <c r="B19369" s="6" t="s">
        <v>24376</v>
      </c>
      <c r="C19369" s="5" t="str">
        <f>IFERROR(__xludf.DUMMYFUNCTION("GOOGLETRANSLATE(B19369,""en"",""zh-CN"")"),"另一个戏剧开始，这次是另一个人被碰到，除了它更香，地面上躺在地面上造成了相当长的痛苦。")</f>
        <v>另一个戏剧开始，这次是另一个人被碰到，除了它更香，地面上躺在地面上造成了相当长的痛苦。</v>
      </c>
    </row>
    <row r="19370">
      <c r="A19370" s="4" t="s">
        <v>24374</v>
      </c>
      <c r="B19370" s="6" t="s">
        <v>24377</v>
      </c>
      <c r="C19370" s="5" t="str">
        <f>IFERROR(__xludf.DUMMYFUNCTION("GOOGLETRANSLATE(B19370,""en"",""zh-CN"")"),"在与裁判协商并寻求帮助之后，男性终于站起来，比赛的其余部分仍在继续。")</f>
        <v>在与裁判协商并寻求帮助之后，男性终于站起来，比赛的其余部分仍在继续。</v>
      </c>
    </row>
    <row r="19371">
      <c r="A19371" s="4" t="s">
        <v>24378</v>
      </c>
      <c r="B19371" s="4" t="s">
        <v>24379</v>
      </c>
      <c r="C19371" s="5" t="str">
        <f>IFERROR(__xludf.DUMMYFUNCTION("GOOGLETRANSLATE(B19371,""en"",""zh-CN"")"),"两个穿着水肺齿轮的人在水下。")</f>
        <v>两个穿着水肺齿轮的人在水下。</v>
      </c>
    </row>
    <row r="19372">
      <c r="A19372" s="4" t="s">
        <v>24378</v>
      </c>
      <c r="B19372" s="4" t="s">
        <v>24380</v>
      </c>
      <c r="C19372" s="5" t="str">
        <f>IFERROR(__xludf.DUMMYFUNCTION("GOOGLETRANSLATE(B19372,""en"",""zh-CN"")"),"他们互相看，去除嘴，然后亲吻。")</f>
        <v>他们互相看，去除嘴，然后亲吻。</v>
      </c>
    </row>
    <row r="19373">
      <c r="A19373" s="4" t="s">
        <v>24378</v>
      </c>
      <c r="B19373" s="4" t="s">
        <v>24381</v>
      </c>
      <c r="C19373" s="5" t="str">
        <f>IFERROR(__xludf.DUMMYFUNCTION("GOOGLETRANSLATE(B19373,""en"",""zh-CN"")"),"那个男人将嘴巴放回原处。")</f>
        <v>那个男人将嘴巴放回原处。</v>
      </c>
    </row>
    <row r="19374">
      <c r="A19374" s="4" t="s">
        <v>24382</v>
      </c>
      <c r="B19374" s="4" t="s">
        <v>24383</v>
      </c>
      <c r="C19374" s="5" t="str">
        <f>IFERROR(__xludf.DUMMYFUNCTION("GOOGLETRANSLATE(B19374,""en"",""zh-CN"")"),"一个人从船上跳入水中。")</f>
        <v>一个人从船上跳入水中。</v>
      </c>
    </row>
    <row r="19375">
      <c r="A19375" s="4" t="s">
        <v>24382</v>
      </c>
      <c r="B19375" s="4" t="s">
        <v>24384</v>
      </c>
      <c r="C19375" s="5" t="str">
        <f>IFERROR(__xludf.DUMMYFUNCTION("GOOGLETRANSLATE(B19375,""en"",""zh-CN"")"),"一个男孩很长一条街上。")</f>
        <v>一个男孩很长一条街上。</v>
      </c>
    </row>
    <row r="19376">
      <c r="A19376" s="4" t="s">
        <v>24382</v>
      </c>
      <c r="B19376" s="4" t="s">
        <v>24385</v>
      </c>
      <c r="C19376" s="5" t="str">
        <f>IFERROR(__xludf.DUMMYFUNCTION("GOOGLETRANSLATE(B19376,""en"",""zh-CN"")"),"他们停下来坐在公园长凳上。")</f>
        <v>他们停下来坐在公园长凳上。</v>
      </c>
    </row>
    <row r="19377">
      <c r="A19377" s="4" t="s">
        <v>24382</v>
      </c>
      <c r="B19377" s="4" t="s">
        <v>24386</v>
      </c>
      <c r="C19377" s="5" t="str">
        <f>IFERROR(__xludf.DUMMYFUNCTION("GOOGLETRANSLATE(B19377,""en"",""zh-CN"")"),"一个人正在骑自动扶梯。")</f>
        <v>一个人正在骑自动扶梯。</v>
      </c>
    </row>
    <row r="19378">
      <c r="A19378" s="4" t="s">
        <v>24387</v>
      </c>
      <c r="B19378" s="4" t="s">
        <v>9397</v>
      </c>
      <c r="C19378" s="5" t="str">
        <f>IFERROR(__xludf.DUMMYFUNCTION("GOOGLETRANSLATE(B19378,""en"",""zh-CN"")"),"一个女人站在一个房间里说话。")</f>
        <v>一个女人站在一个房间里说话。</v>
      </c>
    </row>
    <row r="19379">
      <c r="A19379" s="4" t="s">
        <v>24387</v>
      </c>
      <c r="B19379" s="4" t="s">
        <v>24388</v>
      </c>
      <c r="C19379" s="5" t="str">
        <f>IFERROR(__xludf.DUMMYFUNCTION("GOOGLETRANSLATE(B19379,""en"",""zh-CN"")"),"她手里拿着一瓶。")</f>
        <v>她手里拿着一瓶。</v>
      </c>
    </row>
    <row r="19380">
      <c r="A19380" s="4" t="s">
        <v>24387</v>
      </c>
      <c r="B19380" s="4" t="s">
        <v>24389</v>
      </c>
      <c r="C19380" s="5" t="str">
        <f>IFERROR(__xludf.DUMMYFUNCTION("GOOGLETRANSLATE(B19380,""en"",""zh-CN"")"),"她将一些乳液倒在手上，然后将其擦在脸上。")</f>
        <v>她将一些乳液倒在手上，然后将其擦在脸上。</v>
      </c>
    </row>
    <row r="19381">
      <c r="A19381" s="4" t="s">
        <v>24387</v>
      </c>
      <c r="B19381" s="4" t="s">
        <v>24390</v>
      </c>
      <c r="C19381" s="5" t="str">
        <f>IFERROR(__xludf.DUMMYFUNCTION("GOOGLETRANSLATE(B19381,""en"",""zh-CN"")"),"她用毛巾干燥脸。")</f>
        <v>她用毛巾干燥脸。</v>
      </c>
    </row>
    <row r="19382">
      <c r="A19382" s="4" t="s">
        <v>24391</v>
      </c>
      <c r="B19382" s="4" t="s">
        <v>24392</v>
      </c>
      <c r="C19382" s="5" t="str">
        <f>IFERROR(__xludf.DUMMYFUNCTION("GOOGLETRANSLATE(B19382,""en"",""zh-CN"")"),"一个小男孩在室外停车场。")</f>
        <v>一个小男孩在室外停车场。</v>
      </c>
    </row>
    <row r="19383">
      <c r="A19383" s="4" t="s">
        <v>24391</v>
      </c>
      <c r="B19383" s="4" t="s">
        <v>24393</v>
      </c>
      <c r="C19383" s="5" t="str">
        <f>IFERROR(__xludf.DUMMYFUNCTION("GOOGLETRANSLATE(B19383,""en"",""zh-CN"")"),"他正试图绕着一条直列溜冰鞋滚来滚去。")</f>
        <v>他正试图绕着一条直列溜冰鞋滚来滚去。</v>
      </c>
    </row>
    <row r="19384">
      <c r="A19384" s="4" t="s">
        <v>24391</v>
      </c>
      <c r="B19384" s="4" t="s">
        <v>24394</v>
      </c>
      <c r="C19384" s="5" t="str">
        <f>IFERROR(__xludf.DUMMYFUNCTION("GOOGLETRANSLATE(B19384,""en"",""zh-CN"")"),"他试图在一小块木头上平衡。")</f>
        <v>他试图在一小块木头上平衡。</v>
      </c>
    </row>
    <row r="19385">
      <c r="A19385" s="4" t="s">
        <v>24395</v>
      </c>
      <c r="B19385" s="6" t="s">
        <v>24396</v>
      </c>
      <c r="C19385" s="5" t="str">
        <f>IFERROR(__xludf.DUMMYFUNCTION("GOOGLETRANSLATE(B19385,""en"",""zh-CN"")"),"看到一个男人在拿着厕纸卷的同时在相机上说话，并开始将烟雾吹入卷中。")</f>
        <v>看到一个男人在拿着厕纸卷的同时在相机上说话，并开始将烟雾吹入卷中。</v>
      </c>
    </row>
    <row r="19386">
      <c r="A19386" s="4" t="s">
        <v>24395</v>
      </c>
      <c r="B19386" s="4" t="s">
        <v>24397</v>
      </c>
      <c r="C19386" s="5" t="str">
        <f>IFERROR(__xludf.DUMMYFUNCTION("GOOGLETRANSLATE(B19386,""en"",""zh-CN"")"),"该名男子继续从管道上拖走几条，然后将其吹入厕纸。")</f>
        <v>该名男子继续从管道上拖走几条，然后将其吹入厕纸。</v>
      </c>
    </row>
    <row r="19387">
      <c r="A19387" s="4" t="s">
        <v>24398</v>
      </c>
      <c r="B19387" s="4" t="s">
        <v>24399</v>
      </c>
      <c r="C19387" s="5" t="str">
        <f>IFERROR(__xludf.DUMMYFUNCTION("GOOGLETRANSLATE(B19387,""en"",""zh-CN"")"),"看到一个人坐在皮划艇里，然后沿着一条粗糙的河流移动。")</f>
        <v>看到一个人坐在皮划艇里，然后沿着一条粗糙的河流移动。</v>
      </c>
    </row>
    <row r="19388">
      <c r="A19388" s="4" t="s">
        <v>24398</v>
      </c>
      <c r="B19388" s="4" t="s">
        <v>24400</v>
      </c>
      <c r="C19388" s="5" t="str">
        <f>IFERROR(__xludf.DUMMYFUNCTION("GOOGLETRANSLATE(B19388,""en"",""zh-CN"")"),"该人继续沿着河上骑行，而另一个人则在侧面看。")</f>
        <v>该人继续沿着河上骑行，而另一个人则在侧面看。</v>
      </c>
    </row>
    <row r="19389">
      <c r="A19389" s="4" t="s">
        <v>24401</v>
      </c>
      <c r="B19389" s="4" t="s">
        <v>24402</v>
      </c>
      <c r="C19389" s="5" t="str">
        <f>IFERROR(__xludf.DUMMYFUNCTION("GOOGLETRANSLATE(B19389,""en"",""zh-CN"")"),"穿着黑色衬衫的男人正在玩口琴。")</f>
        <v>穿着黑色衬衫的男人正在玩口琴。</v>
      </c>
    </row>
    <row r="19390">
      <c r="A19390" s="4" t="s">
        <v>24401</v>
      </c>
      <c r="B19390" s="4" t="s">
        <v>24403</v>
      </c>
      <c r="C19390" s="5" t="str">
        <f>IFERROR(__xludf.DUMMYFUNCTION("GOOGLETRANSLATE(B19390,""en"",""zh-CN"")"),"另一个男人坐在房子的门廊上。")</f>
        <v>另一个男人坐在房子的门廊上。</v>
      </c>
    </row>
    <row r="19391">
      <c r="A19391" s="4" t="s">
        <v>24401</v>
      </c>
      <c r="B19391" s="4" t="s">
        <v>24404</v>
      </c>
      <c r="C19391" s="5" t="str">
        <f>IFERROR(__xludf.DUMMYFUNCTION("GOOGLETRANSLATE(B19391,""en"",""zh-CN"")"),"一条白色围巾的女人关闭了灯笼。")</f>
        <v>一条白色围巾的女人关闭了灯笼。</v>
      </c>
    </row>
    <row r="19392">
      <c r="A19392" s="4" t="s">
        <v>24405</v>
      </c>
      <c r="B19392" s="4" t="s">
        <v>24406</v>
      </c>
      <c r="C19392" s="5" t="str">
        <f>IFERROR(__xludf.DUMMYFUNCTION("GOOGLETRANSLATE(B19392,""en"",""zh-CN"")"),"一个人在平行条上显示一个例行程序。")</f>
        <v>一个人在平行条上显示一个例行程序。</v>
      </c>
    </row>
    <row r="19393">
      <c r="A19393" s="4" t="s">
        <v>24405</v>
      </c>
      <c r="B19393" s="4" t="s">
        <v>24407</v>
      </c>
      <c r="C19393" s="5" t="str">
        <f>IFERROR(__xludf.DUMMYFUNCTION("GOOGLETRANSLATE(B19393,""en"",""zh-CN"")"),"他非常专注，翻转和来回摇摆。")</f>
        <v>他非常专注，翻转和来回摇摆。</v>
      </c>
    </row>
    <row r="19394">
      <c r="A19394" s="4" t="s">
        <v>24405</v>
      </c>
      <c r="B19394" s="4" t="s">
        <v>24408</v>
      </c>
      <c r="C19394" s="5" t="str">
        <f>IFERROR(__xludf.DUMMYFUNCTION("GOOGLETRANSLATE(B19394,""en"",""zh-CN"")"),"然后，运动员卸下了酒吧并降落在他的脚上。")</f>
        <v>然后，运动员卸下了酒吧并降落在他的脚上。</v>
      </c>
    </row>
    <row r="19395">
      <c r="A19395" s="4" t="s">
        <v>24405</v>
      </c>
      <c r="B19395" s="6" t="s">
        <v>24409</v>
      </c>
      <c r="C19395" s="5" t="str">
        <f>IFERROR(__xludf.DUMMYFUNCTION("GOOGLETRANSLATE(B19395,""en"",""zh-CN"")"),"显示了同一例程的各种镜头，并显示了适当技术之间的暂停和注释。")</f>
        <v>显示了同一例程的各种镜头，并显示了适当技术之间的暂停和注释。</v>
      </c>
    </row>
    <row r="19396">
      <c r="A19396" s="4" t="s">
        <v>24410</v>
      </c>
      <c r="B19396" s="4" t="s">
        <v>24411</v>
      </c>
      <c r="C19396" s="5" t="str">
        <f>IFERROR(__xludf.DUMMYFUNCTION("GOOGLETRANSLATE(B19396,""en"",""zh-CN"")"),"看到一个女人走到舞台上，在观众面前表演肚皮舞的常规。")</f>
        <v>看到一个女人走到舞台上，在观众面前表演肚皮舞的常规。</v>
      </c>
    </row>
    <row r="19397">
      <c r="A19397" s="4" t="s">
        <v>24410</v>
      </c>
      <c r="B19397" s="4" t="s">
        <v>24412</v>
      </c>
      <c r="C19397" s="5" t="str">
        <f>IFERROR(__xludf.DUMMYFUNCTION("GOOGLETRANSLATE(B19397,""en"",""zh-CN"")"),"女人继续在舞台上跳舞，并以她的摆姿势结束。")</f>
        <v>女人继续在舞台上跳舞，并以她的摆姿势结束。</v>
      </c>
    </row>
    <row r="19398">
      <c r="A19398" s="4" t="s">
        <v>24413</v>
      </c>
      <c r="B19398" s="4" t="s">
        <v>24414</v>
      </c>
      <c r="C19398" s="5" t="str">
        <f>IFERROR(__xludf.DUMMYFUNCTION("GOOGLETRANSLATE(B19398,""en"",""zh-CN"")"),"女人站在丝网板前。")</f>
        <v>女人站在丝网板前。</v>
      </c>
    </row>
    <row r="19399">
      <c r="A19399" s="4" t="s">
        <v>24413</v>
      </c>
      <c r="B19399" s="6" t="s">
        <v>24415</v>
      </c>
      <c r="C19399" s="5" t="str">
        <f>IFERROR(__xludf.DUMMYFUNCTION("GOOGLETRANSLATE(B19399,""en"",""zh-CN"")"),"男人正在煮菜的胡萝卜，然后将蔬菜炒在fy锅中，然后将其放在碗里放些调味料和奶酪，而身后的pople则看着他在看着他做饭。")</f>
        <v>男人正在煮菜的胡萝卜，然后将蔬菜炒在fy锅中，然后将其放在碗里放些调味料和奶酪，而身后的pople则看着他在看着他做饭。</v>
      </c>
    </row>
    <row r="19400">
      <c r="A19400" s="4" t="s">
        <v>24416</v>
      </c>
      <c r="B19400" s="6" t="s">
        <v>24417</v>
      </c>
      <c r="C19400" s="5" t="str">
        <f>IFERROR(__xludf.DUMMYFUNCTION("GOOGLETRANSLATE(B19400,""en"",""zh-CN"")"),"看到一小群人沿着其他河流沿着其他人骑行，而许多人看着侧面。")</f>
        <v>看到一小群人沿着其他河流沿着其他人骑行，而许多人看着侧面。</v>
      </c>
    </row>
    <row r="19401">
      <c r="A19401" s="4" t="s">
        <v>24416</v>
      </c>
      <c r="B19401" s="4" t="s">
        <v>24418</v>
      </c>
      <c r="C19401" s="5" t="str">
        <f>IFERROR(__xludf.DUMMYFUNCTION("GOOGLETRANSLATE(B19401,""en"",""zh-CN"")"),"该小组继续划桨并与底部的其他小组会面。")</f>
        <v>该小组继续划桨并与底部的其他小组会面。</v>
      </c>
    </row>
    <row r="19402">
      <c r="A19402" s="4" t="s">
        <v>24419</v>
      </c>
      <c r="B19402" s="4" t="s">
        <v>24420</v>
      </c>
      <c r="C19402" s="5" t="str">
        <f>IFERROR(__xludf.DUMMYFUNCTION("GOOGLETRANSLATE(B19402,""en"",""zh-CN"")"),"看到一个年轻的女孩坐在一个沙发上，旁边看着他们的脚。")</f>
        <v>看到一个年轻的女孩坐在一个沙发上，旁边看着他们的脚。</v>
      </c>
    </row>
    <row r="19403">
      <c r="A19403" s="4" t="s">
        <v>24419</v>
      </c>
      <c r="B19403" s="4" t="s">
        <v>24421</v>
      </c>
      <c r="C19403" s="5" t="str">
        <f>IFERROR(__xludf.DUMMYFUNCTION("GOOGLETRANSLATE(B19403,""en"",""zh-CN"")"),"这个女孩用玩具熨斗玩耍，然后穿上衬衫上下移动物品。")</f>
        <v>这个女孩用玩具熨斗玩耍，然后穿上衬衫上下移动物品。</v>
      </c>
    </row>
    <row r="19404">
      <c r="A19404" s="4" t="s">
        <v>24422</v>
      </c>
      <c r="B19404" s="4" t="s">
        <v>24423</v>
      </c>
      <c r="C19404" s="5" t="str">
        <f>IFERROR(__xludf.DUMMYFUNCTION("GOOGLETRANSLATE(B19404,""en"",""zh-CN"")"),"一个德国男子在比赛中投掷铁饼。")</f>
        <v>一个德国男子在比赛中投掷铁饼。</v>
      </c>
    </row>
    <row r="19405">
      <c r="A19405" s="4" t="s">
        <v>24422</v>
      </c>
      <c r="B19405" s="4" t="s">
        <v>24424</v>
      </c>
      <c r="C19405" s="5" t="str">
        <f>IFERROR(__xludf.DUMMYFUNCTION("GOOGLETRANSLATE(B19405,""en"",""zh-CN"")"),"他放下铁饼，然后走开。")</f>
        <v>他放下铁饼，然后走开。</v>
      </c>
    </row>
    <row r="19406">
      <c r="A19406" s="4" t="s">
        <v>24422</v>
      </c>
      <c r="B19406" s="4" t="s">
        <v>24425</v>
      </c>
      <c r="C19406" s="5" t="str">
        <f>IFERROR(__xludf.DUMMYFUNCTION("GOOGLETRANSLATE(B19406,""en"",""zh-CN"")"),"显示了一个重播，他看起来很难过。")</f>
        <v>显示了一个重播，他看起来很难过。</v>
      </c>
    </row>
    <row r="19407">
      <c r="A19407" s="4" t="s">
        <v>24426</v>
      </c>
      <c r="B19407" s="4" t="s">
        <v>24427</v>
      </c>
      <c r="C19407" s="5" t="str">
        <f>IFERROR(__xludf.DUMMYFUNCTION("GOOGLETRANSLATE(B19407,""en"",""zh-CN"")"),"我们看到一个男人在仓库外面与另外两个男人聊天。")</f>
        <v>我们看到一个男人在仓库外面与另外两个男人聊天。</v>
      </c>
    </row>
    <row r="19408">
      <c r="A19408" s="4" t="s">
        <v>24426</v>
      </c>
      <c r="B19408" s="4" t="s">
        <v>24428</v>
      </c>
      <c r="C19408" s="5" t="str">
        <f>IFERROR(__xludf.DUMMYFUNCTION("GOOGLETRANSLATE(B19408,""en"",""zh-CN"")"),"在仓库内，我们看到一个男人骑滑板的盒子。")</f>
        <v>在仓库内，我们看到一个男人骑滑板的盒子。</v>
      </c>
    </row>
    <row r="19409">
      <c r="A19409" s="4" t="s">
        <v>24426</v>
      </c>
      <c r="B19409" s="4" t="s">
        <v>24429</v>
      </c>
      <c r="C19409" s="5" t="str">
        <f>IFERROR(__xludf.DUMMYFUNCTION("GOOGLETRANSLATE(B19409,""en"",""zh-CN"")"),"该男子反复从滑板上摔下来。")</f>
        <v>该男子反复从滑板上摔下来。</v>
      </c>
    </row>
    <row r="19410">
      <c r="A19410" s="4" t="s">
        <v>24426</v>
      </c>
      <c r="B19410" s="4" t="s">
        <v>24430</v>
      </c>
      <c r="C19410" s="5" t="str">
        <f>IFERROR(__xludf.DUMMYFUNCTION("GOOGLETRANSLATE(B19410,""en"",""zh-CN"")"),"他翻转滑板，我们以慢动作看到它。")</f>
        <v>他翻转滑板，我们以慢动作看到它。</v>
      </c>
    </row>
    <row r="19411">
      <c r="A19411" s="4" t="s">
        <v>24426</v>
      </c>
      <c r="B19411" s="4" t="s">
        <v>24431</v>
      </c>
      <c r="C19411" s="5" t="str">
        <f>IFERROR(__xludf.DUMMYFUNCTION("GOOGLETRANSLATE(B19411,""en"",""zh-CN"")"),"这个人戴上帽子，我们看到了终点。")</f>
        <v>这个人戴上帽子，我们看到了终点。</v>
      </c>
    </row>
    <row r="19412">
      <c r="A19412" s="4" t="s">
        <v>24426</v>
      </c>
      <c r="B19412" s="4" t="s">
        <v>24432</v>
      </c>
      <c r="C19412" s="5" t="str">
        <f>IFERROR(__xludf.DUMMYFUNCTION("GOOGLETRANSLATE(B19412,""en"",""zh-CN"")"),"一个男人跳到一堆盒子上，我们再次看到终端屏幕。")</f>
        <v>一个男人跳到一堆盒子上，我们再次看到终端屏幕。</v>
      </c>
    </row>
    <row r="19413">
      <c r="A19413" s="4" t="s">
        <v>24433</v>
      </c>
      <c r="B19413" s="4" t="s">
        <v>24434</v>
      </c>
      <c r="C19413" s="5" t="str">
        <f>IFERROR(__xludf.DUMMYFUNCTION("GOOGLETRANSLATE(B19413,""en"",""zh-CN"")"),"贝蒂·海德勒（Betty Heidler）参加女子锤子类别的奥林匹克运动会。")</f>
        <v>贝蒂·海德勒（Betty Heidler）参加女子锤子类别的奥林匹克运动会。</v>
      </c>
    </row>
    <row r="19414">
      <c r="A19414" s="4" t="s">
        <v>24433</v>
      </c>
      <c r="B19414" s="4" t="s">
        <v>24435</v>
      </c>
      <c r="C19414" s="5" t="str">
        <f>IFERROR(__xludf.DUMMYFUNCTION("GOOGLETRANSLATE(B19414,""en"",""zh-CN"")"),"贝蒂·海德勒（Betty Haidler）似乎真的很专注，并决心赢得奖品。")</f>
        <v>贝蒂·海德勒（Betty Haidler）似乎真的很专注，并决心赢得奖品。</v>
      </c>
    </row>
    <row r="19415">
      <c r="A19415" s="4" t="s">
        <v>24433</v>
      </c>
      <c r="B19415" s="4" t="s">
        <v>24436</v>
      </c>
      <c r="C19415" s="5" t="str">
        <f>IFERROR(__xludf.DUMMYFUNCTION("GOOGLETRANSLATE(B19415,""en"",""zh-CN"")"),"贝蒂·海德勒（Betty Heidler）开始旋转，然后所有的动力把锤子扔得很远。")</f>
        <v>贝蒂·海德勒（Betty Heidler）开始旋转，然后所有的动力把锤子扔得很远。</v>
      </c>
    </row>
    <row r="19416">
      <c r="A19416" s="4" t="s">
        <v>24433</v>
      </c>
      <c r="B19416" s="4" t="s">
        <v>24437</v>
      </c>
      <c r="C19416" s="5" t="str">
        <f>IFERROR(__xludf.DUMMYFUNCTION("GOOGLETRANSLATE(B19416,""en"",""zh-CN"")"),"贝蒂·海德勒（Betty Heidler）成功地将其分类为下一轮。")</f>
        <v>贝蒂·海德勒（Betty Heidler）成功地将其分类为下一轮。</v>
      </c>
    </row>
    <row r="19417">
      <c r="A19417" s="4" t="s">
        <v>24433</v>
      </c>
      <c r="B19417" s="6" t="s">
        <v>24438</v>
      </c>
      <c r="C19417" s="5" t="str">
        <f>IFERROR(__xludf.DUMMYFUNCTION("GOOGLETRANSLATE(B19417,""en"",""zh-CN"")"),"有人采访了贝蒂·海德勒（Betty Heidler），她对进入比赛的下一轮感到非常高兴。")</f>
        <v>有人采访了贝蒂·海德勒（Betty Heidler），她对进入比赛的下一轮感到非常高兴。</v>
      </c>
    </row>
    <row r="19418">
      <c r="A19418" s="4" t="s">
        <v>24439</v>
      </c>
      <c r="B19418" s="4" t="s">
        <v>24440</v>
      </c>
      <c r="C19418" s="5" t="str">
        <f>IFERROR(__xludf.DUMMYFUNCTION("GOOGLETRANSLATE(B19418,""en"",""zh-CN"")"),"人们在健身机上锻炼身体，将琴弦拉到杆上，来回走动。")</f>
        <v>人们在健身机上锻炼身体，将琴弦拉到杆上，来回走动。</v>
      </c>
    </row>
    <row r="19419">
      <c r="A19419" s="4" t="s">
        <v>24439</v>
      </c>
      <c r="B19419" s="4" t="s">
        <v>24441</v>
      </c>
      <c r="C19419" s="5" t="str">
        <f>IFERROR(__xludf.DUMMYFUNCTION("GOOGLETRANSLATE(B19419,""en"",""zh-CN"")"),"一个男人在健身房里折叠健身机。")</f>
        <v>一个男人在健身房里折叠健身机。</v>
      </c>
    </row>
    <row r="19420">
      <c r="A19420" s="4" t="s">
        <v>24439</v>
      </c>
      <c r="B19420" s="4" t="s">
        <v>24442</v>
      </c>
      <c r="C19420" s="5" t="str">
        <f>IFERROR(__xludf.DUMMYFUNCTION("GOOGLETRANSLATE(B19420,""en"",""zh-CN"")"),"然后，一个男人在健身机中进行锻炼。")</f>
        <v>然后，一个男人在健身机中进行锻炼。</v>
      </c>
    </row>
    <row r="19421">
      <c r="A19421" s="4" t="s">
        <v>24443</v>
      </c>
      <c r="B19421" s="6" t="s">
        <v>24444</v>
      </c>
      <c r="C19421" s="5" t="str">
        <f>IFERROR(__xludf.DUMMYFUNCTION("GOOGLETRANSLATE(B19421,""en"",""zh-CN"")"),"一位穿着蓝色衬衫的女人把木头切碎，将木头切成两半，然后将它们放在一边，然后再拿一块木头将其切成两半。")</f>
        <v>一位穿着蓝色衬衫的女人把木头切碎，将木头切成两半，然后将它们放在一边，然后再拿一块木头将其切成两半。</v>
      </c>
    </row>
    <row r="19422">
      <c r="A19422" s="4" t="s">
        <v>24443</v>
      </c>
      <c r="B19422" s="6" t="s">
        <v>24445</v>
      </c>
      <c r="C19422" s="5" t="str">
        <f>IFERROR(__xludf.DUMMYFUNCTION("GOOGLETRANSLATE(B19422,""en"",""zh-CN"")"),"那个女人试图将木头切成两半，但不会被切成两半，然后将其倒在地上，然后将其放回切碎的板上，然后她继续砍伐木头，经过几次尝试，她终于将木头切碎了一半。")</f>
        <v>那个女人试图将木头切成两半，但不会被切成两半，然后将其倒在地上，然后将其放回切碎的板上，然后她继续砍伐木头，经过几次尝试，她终于将木头切碎了一半。</v>
      </c>
    </row>
    <row r="19423">
      <c r="A19423" s="4" t="s">
        <v>24446</v>
      </c>
      <c r="B19423" s="6" t="s">
        <v>24447</v>
      </c>
      <c r="C19423" s="5" t="str">
        <f>IFERROR(__xludf.DUMMYFUNCTION("GOOGLETRANSLATE(B19423,""en"",""zh-CN"")"),"各种野餐桌都在田野上显示，然后一个男人穿着装备，其他人穿过森林。")</f>
        <v>各种野餐桌都在田野上显示，然后一个男人穿着装备，其他人穿过森林。</v>
      </c>
    </row>
    <row r="19424">
      <c r="A19424" s="4" t="s">
        <v>24446</v>
      </c>
      <c r="B19424" s="6" t="s">
        <v>24448</v>
      </c>
      <c r="C19424" s="5" t="str">
        <f>IFERROR(__xludf.DUMMYFUNCTION("GOOGLETRANSLATE(B19424,""en"",""zh-CN"")"),"看到几个人互相打彩弹比赛，并不断地在森林周围移动并举起枪支。")</f>
        <v>看到几个人互相打彩弹比赛，并不断地在森林周围移动并举起枪支。</v>
      </c>
    </row>
    <row r="19425">
      <c r="A19425" s="4" t="s">
        <v>24446</v>
      </c>
      <c r="B19425" s="4" t="s">
        <v>24449</v>
      </c>
      <c r="C19425" s="5" t="str">
        <f>IFERROR(__xludf.DUMMYFUNCTION("GOOGLETRANSLATE(B19425,""en"",""zh-CN"")"),"然后，当一个人到达时，该人穿过一个握住枪支并开枪射击的区域。")</f>
        <v>然后，当一个人到达时，该人穿过一个握住枪支并开枪射击的区域。</v>
      </c>
    </row>
    <row r="19426">
      <c r="A19426" s="4" t="s">
        <v>24450</v>
      </c>
      <c r="B19426" s="6" t="s">
        <v>24451</v>
      </c>
      <c r="C19426" s="5" t="str">
        <f>IFERROR(__xludf.DUMMYFUNCTION("GOOGLETRANSLATE(B19426,""en"",""zh-CN"")"),"该视频导致了几张镜头的镜头，这些人沿着长长的轨道奔跑并跳入沙坑。")</f>
        <v>该视频导致了几张镜头的镜头，这些人沿着长长的轨道奔跑并跳入沙坑。</v>
      </c>
    </row>
    <row r="19427">
      <c r="A19427" s="4" t="s">
        <v>24450</v>
      </c>
      <c r="B19427" s="4" t="s">
        <v>24452</v>
      </c>
      <c r="C19427" s="5" t="str">
        <f>IFERROR(__xludf.DUMMYFUNCTION("GOOGLETRANSLATE(B19427,""en"",""zh-CN"")"),"当其他人看着时，越来越多的女性沿着赛道奔跑，并登陆沙坑。")</f>
        <v>当其他人看着时，越来越多的女性沿着赛道奔跑，并登陆沙坑。</v>
      </c>
    </row>
    <row r="19428">
      <c r="A19428" s="4" t="s">
        <v>24453</v>
      </c>
      <c r="B19428" s="4" t="s">
        <v>24454</v>
      </c>
      <c r="C19428" s="5" t="str">
        <f>IFERROR(__xludf.DUMMYFUNCTION("GOOGLETRANSLATE(B19428,""en"",""zh-CN"")"),"一个男人和两个孩子在河上划船。")</f>
        <v>一个男人和两个孩子在河上划船。</v>
      </c>
    </row>
    <row r="19429">
      <c r="A19429" s="4" t="s">
        <v>24453</v>
      </c>
      <c r="B19429" s="4" t="s">
        <v>24455</v>
      </c>
      <c r="C19429" s="5" t="str">
        <f>IFERROR(__xludf.DUMMYFUNCTION("GOOGLETRANSLATE(B19429,""en"",""zh-CN"")"),"两个独木舟被绑在一起。")</f>
        <v>两个独木舟被绑在一起。</v>
      </c>
    </row>
    <row r="19430">
      <c r="A19430" s="4" t="s">
        <v>24453</v>
      </c>
      <c r="B19430" s="4" t="s">
        <v>24456</v>
      </c>
      <c r="C19430" s="5" t="str">
        <f>IFERROR(__xludf.DUMMYFUNCTION("GOOGLETRANSLATE(B19430,""en"",""zh-CN"")"),"当水继续前进时，水会变得切碎。")</f>
        <v>当水继续前进时，水会变得切碎。</v>
      </c>
    </row>
    <row r="19431">
      <c r="A19431" s="4" t="s">
        <v>24453</v>
      </c>
      <c r="B19431" s="4" t="s">
        <v>24457</v>
      </c>
      <c r="C19431" s="5" t="str">
        <f>IFERROR(__xludf.DUMMYFUNCTION("GOOGLETRANSLATE(B19431,""en"",""zh-CN"")"),"这条河两旁是许多树木。")</f>
        <v>这条河两旁是许多树木。</v>
      </c>
    </row>
    <row r="19432">
      <c r="A19432" s="4" t="s">
        <v>24458</v>
      </c>
      <c r="B19432" s="4" t="s">
        <v>1487</v>
      </c>
      <c r="C19432" s="5" t="str">
        <f>IFERROR(__xludf.DUMMYFUNCTION("GOOGLETRANSLATE(B19432,""en"",""zh-CN"")"),"我们看到一个开放标题屏幕。")</f>
        <v>我们看到一个开放标题屏幕。</v>
      </c>
    </row>
    <row r="19433">
      <c r="A19433" s="4" t="s">
        <v>24458</v>
      </c>
      <c r="B19433" s="4" t="s">
        <v>24459</v>
      </c>
      <c r="C19433" s="5" t="str">
        <f>IFERROR(__xludf.DUMMYFUNCTION("GOOGLETRANSLATE(B19433,""en"",""zh-CN"")"),"一群男人在户外玩桌上足球。")</f>
        <v>一群男人在户外玩桌上足球。</v>
      </c>
    </row>
    <row r="19434">
      <c r="A19434" s="4" t="s">
        <v>24458</v>
      </c>
      <c r="B19434" s="4" t="s">
        <v>24460</v>
      </c>
      <c r="C19434" s="5" t="str">
        <f>IFERROR(__xludf.DUMMYFUNCTION("GOOGLETRANSLATE(B19434,""en"",""zh-CN"")"),"正确的人赢了，握手并吊死。")</f>
        <v>正确的人赢了，握手并吊死。</v>
      </c>
    </row>
    <row r="19435">
      <c r="A19435" s="4" t="s">
        <v>24458</v>
      </c>
      <c r="B19435" s="4" t="s">
        <v>24461</v>
      </c>
      <c r="C19435" s="5" t="str">
        <f>IFERROR(__xludf.DUMMYFUNCTION("GOOGLETRANSLATE(B19435,""en"",""zh-CN"")"),"一个男人高击打一个孩子，被他们身后的一位女士抱住。")</f>
        <v>一个男人高击打一个孩子，被他们身后的一位女士抱住。</v>
      </c>
    </row>
    <row r="19436">
      <c r="A19436" s="4" t="s">
        <v>24458</v>
      </c>
      <c r="B19436" s="4" t="s">
        <v>2940</v>
      </c>
      <c r="C19436" s="5" t="str">
        <f>IFERROR(__xludf.DUMMYFUNCTION("GOOGLETRANSLATE(B19436,""en"",""zh-CN"")"),"我们看到一个关闭屏幕。")</f>
        <v>我们看到一个关闭屏幕。</v>
      </c>
    </row>
    <row r="19437">
      <c r="A19437" s="4" t="s">
        <v>24462</v>
      </c>
      <c r="B19437" s="6" t="s">
        <v>24463</v>
      </c>
      <c r="C19437" s="5" t="str">
        <f>IFERROR(__xludf.DUMMYFUNCTION("GOOGLETRANSLATE(B19437,""en"",""zh-CN"")"),"一个穿着胡须和小胡子的男人穿着白衬衫，正在为排球安全提供教程。")</f>
        <v>一个穿着胡须和小胡子的男人穿着白衬衫，正在为排球安全提供教程。</v>
      </c>
    </row>
    <row r="19438">
      <c r="A19438" s="4" t="s">
        <v>24462</v>
      </c>
      <c r="B19438" s="4" t="s">
        <v>24464</v>
      </c>
      <c r="C19438" s="5" t="str">
        <f>IFERROR(__xludf.DUMMYFUNCTION("GOOGLETRANSLATE(B19438,""en"",""zh-CN"")"),"然后，他穿着黑色运动衫，演示如何进行伸展运动。")</f>
        <v>然后，他穿着黑色运动衫，演示如何进行伸展运动。</v>
      </c>
    </row>
    <row r="19439">
      <c r="A19439" s="4" t="s">
        <v>24462</v>
      </c>
      <c r="B19439" s="4" t="s">
        <v>24465</v>
      </c>
      <c r="C19439" s="5" t="str">
        <f>IFERROR(__xludf.DUMMYFUNCTION("GOOGLETRANSLATE(B19439,""en"",""zh-CN"")"),"他继续解释比赛时要穿什么装备，并为排球加热。")</f>
        <v>他继续解释比赛时要穿什么装备，并为排球加热。</v>
      </c>
    </row>
    <row r="19440">
      <c r="A19440" s="4" t="s">
        <v>24462</v>
      </c>
      <c r="B19440" s="4" t="s">
        <v>24466</v>
      </c>
      <c r="C19440" s="5" t="str">
        <f>IFERROR(__xludf.DUMMYFUNCTION("GOOGLETRANSLATE(B19440,""en"",""zh-CN"")"),"他说话时有一些运动员打排球。")</f>
        <v>他说话时有一些运动员打排球。</v>
      </c>
    </row>
    <row r="19441">
      <c r="A19441" s="4" t="s">
        <v>24462</v>
      </c>
      <c r="B19441" s="4" t="s">
        <v>24467</v>
      </c>
      <c r="C19441" s="5" t="str">
        <f>IFERROR(__xludf.DUMMYFUNCTION("GOOGLETRANSLATE(B19441,""en"",""zh-CN"")"),"有一场排球比赛，玩家在室内健身房。")</f>
        <v>有一场排球比赛，玩家在室内健身房。</v>
      </c>
    </row>
    <row r="19442">
      <c r="A19442" s="4" t="s">
        <v>24468</v>
      </c>
      <c r="B19442" s="4" t="s">
        <v>24469</v>
      </c>
      <c r="C19442" s="5" t="str">
        <f>IFERROR(__xludf.DUMMYFUNCTION("GOOGLETRANSLATE(B19442,""en"",""zh-CN"")"),"我们看到男人在沙滩上踢足球。")</f>
        <v>我们看到男人在沙滩上踢足球。</v>
      </c>
    </row>
    <row r="19443">
      <c r="A19443" s="4" t="s">
        <v>24468</v>
      </c>
      <c r="B19443" s="4" t="s">
        <v>24470</v>
      </c>
      <c r="C19443" s="5" t="str">
        <f>IFERROR(__xludf.DUMMYFUNCTION("GOOGLETRANSLATE(B19443,""en"",""zh-CN"")"),"球进入，每个人都向球跑。")</f>
        <v>球进入，每个人都向球跑。</v>
      </c>
    </row>
    <row r="19444">
      <c r="A19444" s="4" t="s">
        <v>24468</v>
      </c>
      <c r="B19444" s="4" t="s">
        <v>24471</v>
      </c>
      <c r="C19444" s="5" t="str">
        <f>IFERROR(__xludf.DUMMYFUNCTION("GOOGLETRANSLATE(B19444,""en"",""zh-CN"")"),"右侧的一个人将球踢入进球。")</f>
        <v>右侧的一个人将球踢入进球。</v>
      </c>
    </row>
    <row r="19445">
      <c r="A19445" s="4" t="s">
        <v>24468</v>
      </c>
      <c r="B19445" s="4" t="s">
        <v>24472</v>
      </c>
      <c r="C19445" s="5" t="str">
        <f>IFERROR(__xludf.DUMMYFUNCTION("GOOGLETRANSLATE(B19445,""en"",""zh-CN"")"),"红色的男人全高五。")</f>
        <v>红色的男人全高五。</v>
      </c>
    </row>
    <row r="19446">
      <c r="A19446" s="4" t="s">
        <v>24473</v>
      </c>
      <c r="B19446" s="4" t="s">
        <v>24474</v>
      </c>
      <c r="C19446" s="5" t="str">
        <f>IFERROR(__xludf.DUMMYFUNCTION("GOOGLETRANSLATE(B19446,""en"",""zh-CN"")"),"看到一个女人站在马旁边拿着刷子时，在相机上说话。")</f>
        <v>看到一个女人站在马旁边拿着刷子时，在相机上说话。</v>
      </c>
    </row>
    <row r="19447">
      <c r="A19447" s="4" t="s">
        <v>24473</v>
      </c>
      <c r="B19447" s="4" t="s">
        <v>24475</v>
      </c>
      <c r="C19447" s="5" t="str">
        <f>IFERROR(__xludf.DUMMYFUNCTION("GOOGLETRANSLATE(B19447,""en"",""zh-CN"")"),"她仍在与相机说话的同时，她开始沿着马刷。")</f>
        <v>她仍在与相机说话的同时，她开始沿着马刷。</v>
      </c>
    </row>
    <row r="19448">
      <c r="A19448" s="4" t="s">
        <v>24473</v>
      </c>
      <c r="B19448" s="4" t="s">
        <v>24476</v>
      </c>
      <c r="C19448" s="5" t="str">
        <f>IFERROR(__xludf.DUMMYFUNCTION("GOOGLETRANSLATE(B19448,""en"",""zh-CN"")"),"她在与镜头说话时停了一会儿。")</f>
        <v>她在与镜头说话时停了一会儿。</v>
      </c>
    </row>
    <row r="19449">
      <c r="A19449" s="4" t="s">
        <v>24477</v>
      </c>
      <c r="B19449" s="6" t="s">
        <v>24478</v>
      </c>
      <c r="C19449" s="5" t="str">
        <f>IFERROR(__xludf.DUMMYFUNCTION("GOOGLETRANSLATE(B19449,""en"",""zh-CN"")"),"一辆汽车停在红灯处，有一个小镇的景色，地面上有一些雪。")</f>
        <v>一辆汽车停在红灯处，有一个小镇的景色，地面上有一些雪。</v>
      </c>
    </row>
    <row r="19450">
      <c r="A19450" s="4" t="s">
        <v>24477</v>
      </c>
      <c r="B19450" s="6" t="s">
        <v>24479</v>
      </c>
      <c r="C19450" s="5" t="str">
        <f>IFERROR(__xludf.DUMMYFUNCTION("GOOGLETRANSLATE(B19450,""en"",""zh-CN"")"),"灯光变绿色，汽车在街上行驶，没有人在人行道上行走，只有一辆卡车停了下来。")</f>
        <v>灯光变绿色，汽车在街上行驶，没有人在人行道上行走，只有一辆卡车停了下来。</v>
      </c>
    </row>
    <row r="19451">
      <c r="A19451" s="4" t="s">
        <v>24477</v>
      </c>
      <c r="B19451" s="4" t="s">
        <v>24480</v>
      </c>
      <c r="C19451" s="5" t="str">
        <f>IFERROR(__xludf.DUMMYFUNCTION("GOOGLETRANSLATE(B19451,""en"",""zh-CN"")"),"在右侧，有人从道路上铲冰，汽车经过他。")</f>
        <v>在右侧，有人从道路上铲冰，汽车经过他。</v>
      </c>
    </row>
    <row r="19452">
      <c r="A19452" s="4" t="s">
        <v>24481</v>
      </c>
      <c r="B19452" s="4" t="s">
        <v>24482</v>
      </c>
      <c r="C19452" s="5" t="str">
        <f>IFERROR(__xludf.DUMMYFUNCTION("GOOGLETRANSLATE(B19452,""en"",""zh-CN"")"),"一个男人站在户外，站在一个4步工具上，向右滑动他的树篱切割机。")</f>
        <v>一个男人站在户外，站在一个4步工具上，向右滑动他的树篱切割机。</v>
      </c>
    </row>
    <row r="19453">
      <c r="A19453" s="4" t="s">
        <v>24481</v>
      </c>
      <c r="B19453" s="4" t="s">
        <v>24483</v>
      </c>
      <c r="C19453" s="5" t="str">
        <f>IFERROR(__xludf.DUMMYFUNCTION("GOOGLETRANSLATE(B19453,""en"",""zh-CN"")"),"然后，该男子将切割机举起，开始向左侧切更多的切割。")</f>
        <v>然后，该男子将切割机举起，开始向左侧切更多的切割。</v>
      </c>
    </row>
    <row r="19454">
      <c r="A19454" s="4" t="s">
        <v>24481</v>
      </c>
      <c r="B19454" s="4" t="s">
        <v>24484</v>
      </c>
      <c r="C19454" s="5" t="str">
        <f>IFERROR(__xludf.DUMMYFUNCTION("GOOGLETRANSLATE(B19454,""en"",""zh-CN"")"),"该男子停止切割，开始从梯子下来。")</f>
        <v>该男子停止切割，开始从梯子下来。</v>
      </c>
    </row>
    <row r="19455">
      <c r="A19455" s="4" t="s">
        <v>24485</v>
      </c>
      <c r="B19455" s="4" t="s">
        <v>24486</v>
      </c>
      <c r="C19455" s="5" t="str">
        <f>IFERROR(__xludf.DUMMYFUNCTION("GOOGLETRANSLATE(B19455,""en"",""zh-CN"")"),"一个女人开始编织她的头发。")</f>
        <v>一个女人开始编织她的头发。</v>
      </c>
    </row>
    <row r="19456">
      <c r="A19456" s="4" t="s">
        <v>24485</v>
      </c>
      <c r="B19456" s="4" t="s">
        <v>24487</v>
      </c>
      <c r="C19456" s="5" t="str">
        <f>IFERROR(__xludf.DUMMYFUNCTION("GOOGLETRANSLATE(B19456,""en"",""zh-CN"")"),"方向出现在屏幕侧面。")</f>
        <v>方向出现在屏幕侧面。</v>
      </c>
    </row>
    <row r="19457">
      <c r="A19457" s="4" t="s">
        <v>24485</v>
      </c>
      <c r="B19457" s="4" t="s">
        <v>24488</v>
      </c>
      <c r="C19457" s="5" t="str">
        <f>IFERROR(__xludf.DUMMYFUNCTION("GOOGLETRANSLATE(B19457,""en"",""zh-CN"")"),"那个女人转向一侧展示她的辫子。")</f>
        <v>那个女人转向一侧展示她的辫子。</v>
      </c>
    </row>
    <row r="19458">
      <c r="A19458" s="4" t="s">
        <v>24489</v>
      </c>
      <c r="B19458" s="4" t="s">
        <v>24490</v>
      </c>
      <c r="C19458" s="5" t="str">
        <f>IFERROR(__xludf.DUMMYFUNCTION("GOOGLETRANSLATE(B19458,""en"",""zh-CN"")"),"两支球队在一个领域的两边。")</f>
        <v>两支球队在一个领域的两边。</v>
      </c>
    </row>
    <row r="19459">
      <c r="A19459" s="4" t="s">
        <v>24489</v>
      </c>
      <c r="B19459" s="4" t="s">
        <v>24491</v>
      </c>
      <c r="C19459" s="5" t="str">
        <f>IFERROR(__xludf.DUMMYFUNCTION("GOOGLETRANSLATE(B19459,""en"",""zh-CN"")"),"他们拿着绳子，准备拉动。")</f>
        <v>他们拿着绳子，准备拉动。</v>
      </c>
    </row>
    <row r="19460">
      <c r="A19460" s="4" t="s">
        <v>24489</v>
      </c>
      <c r="B19460" s="4" t="s">
        <v>24492</v>
      </c>
      <c r="C19460" s="5" t="str">
        <f>IFERROR(__xludf.DUMMYFUNCTION("GOOGLETRANSLATE(B19460,""en"",""zh-CN"")"),"两支球队开始拉动，试图在人群观看比赛时赢得比赛。")</f>
        <v>两支球队开始拉动，试图在人群观看比赛时赢得比赛。</v>
      </c>
    </row>
    <row r="19461">
      <c r="A19461" s="4" t="s">
        <v>24489</v>
      </c>
      <c r="B19461" s="4" t="s">
        <v>24493</v>
      </c>
      <c r="C19461" s="5" t="str">
        <f>IFERROR(__xludf.DUMMYFUNCTION("GOOGLETRANSLATE(B19461,""en"",""zh-CN"")"),"黄色群体开始违背他们的意愿向前拉。")</f>
        <v>黄色群体开始违背他们的意愿向前拉。</v>
      </c>
    </row>
    <row r="19462">
      <c r="A19462" s="4" t="s">
        <v>24494</v>
      </c>
      <c r="B19462" s="4" t="s">
        <v>24495</v>
      </c>
      <c r="C19462" s="5" t="str">
        <f>IFERROR(__xludf.DUMMYFUNCTION("GOOGLETRANSLATE(B19462,""en"",""zh-CN"")"),"可以看到一座叫巨人的建筑物的前部。")</f>
        <v>可以看到一座叫巨人的建筑物的前部。</v>
      </c>
    </row>
    <row r="19463">
      <c r="A19463" s="4" t="s">
        <v>24494</v>
      </c>
      <c r="B19463" s="4" t="s">
        <v>24496</v>
      </c>
      <c r="C19463" s="5" t="str">
        <f>IFERROR(__xludf.DUMMYFUNCTION("GOOGLETRANSLATE(B19463,""en"",""zh-CN"")"),"技术人员在里面显示，骑自行车。")</f>
        <v>技术人员在里面显示，骑自行车。</v>
      </c>
    </row>
    <row r="19464">
      <c r="A19464" s="4" t="s">
        <v>24494</v>
      </c>
      <c r="B19464" s="4" t="s">
        <v>24497</v>
      </c>
      <c r="C19464" s="5" t="str">
        <f>IFERROR(__xludf.DUMMYFUNCTION("GOOGLETRANSLATE(B19464,""en"",""zh-CN"")"),"他们在团队中工作，试图建造和维修。")</f>
        <v>他们在团队中工作，试图建造和维修。</v>
      </c>
    </row>
    <row r="19465">
      <c r="A19465" s="4" t="s">
        <v>24498</v>
      </c>
      <c r="B19465" s="4" t="s">
        <v>24499</v>
      </c>
      <c r="C19465" s="5" t="str">
        <f>IFERROR(__xludf.DUMMYFUNCTION("GOOGLETRANSLATE(B19465,""en"",""zh-CN"")"),"两名男子在建筑屋顶的侧面显示。")</f>
        <v>两名男子在建筑屋顶的侧面显示。</v>
      </c>
    </row>
    <row r="19466">
      <c r="A19466" s="4" t="s">
        <v>24498</v>
      </c>
      <c r="B19466" s="4" t="s">
        <v>24500</v>
      </c>
      <c r="C19466" s="5" t="str">
        <f>IFERROR(__xludf.DUMMYFUNCTION("GOOGLETRANSLATE(B19466,""en"",""zh-CN"")"),"使用一块设备转向侧面。")</f>
        <v>使用一块设备转向侧面。</v>
      </c>
    </row>
    <row r="19467">
      <c r="A19467" s="4" t="s">
        <v>24498</v>
      </c>
      <c r="B19467" s="4" t="s">
        <v>24501</v>
      </c>
      <c r="C19467" s="5" t="str">
        <f>IFERROR(__xludf.DUMMYFUNCTION("GOOGLETRANSLATE(B19467,""en"",""zh-CN"")"),"他们似乎正在建造屋顶。")</f>
        <v>他们似乎正在建造屋顶。</v>
      </c>
    </row>
    <row r="19468">
      <c r="A19468" s="4" t="s">
        <v>24502</v>
      </c>
      <c r="B19468" s="4" t="s">
        <v>24503</v>
      </c>
      <c r="C19468" s="5" t="str">
        <f>IFERROR(__xludf.DUMMYFUNCTION("GOOGLETRANSLATE(B19468,""en"",""zh-CN"")"),"一个人在植物周围散布覆盖物。")</f>
        <v>一个人在植物周围散布覆盖物。</v>
      </c>
    </row>
    <row r="19469">
      <c r="A19469" s="4" t="s">
        <v>24502</v>
      </c>
      <c r="B19469" s="4" t="s">
        <v>24504</v>
      </c>
      <c r="C19469" s="5" t="str">
        <f>IFERROR(__xludf.DUMMYFUNCTION("GOOGLETRANSLATE(B19469,""en"",""zh-CN"")"),"一个男人坐在桌子旁看报纸。")</f>
        <v>一个男人坐在桌子旁看报纸。</v>
      </c>
    </row>
    <row r="19470">
      <c r="A19470" s="4" t="s">
        <v>24502</v>
      </c>
      <c r="B19470" s="4" t="s">
        <v>24505</v>
      </c>
      <c r="C19470" s="5" t="str">
        <f>IFERROR(__xludf.DUMMYFUNCTION("GOOGLETRANSLATE(B19470,""en"",""zh-CN"")"),"显示了修剪整齐的院子。")</f>
        <v>显示了修剪整齐的院子。</v>
      </c>
    </row>
    <row r="19471">
      <c r="A19471" s="4" t="s">
        <v>24506</v>
      </c>
      <c r="B19471" s="4" t="s">
        <v>24507</v>
      </c>
      <c r="C19471" s="5" t="str">
        <f>IFERROR(__xludf.DUMMYFUNCTION("GOOGLETRANSLATE(B19471,""en"",""zh-CN"")"),"一场足球比赛正在显示，新闻中的一个人正在谈论一场voleyball游戏。")</f>
        <v>一场足球比赛正在显示，新闻中的一个人正在谈论一场voleyball游戏。</v>
      </c>
    </row>
    <row r="19472">
      <c r="A19472" s="4" t="s">
        <v>24506</v>
      </c>
      <c r="B19472" s="6" t="s">
        <v>24508</v>
      </c>
      <c r="C19472" s="5" t="str">
        <f>IFERROR(__xludf.DUMMYFUNCTION("GOOGLETRANSLATE(B19472,""en"",""zh-CN"")"),"该场景通过Voleyball游戏显示，一些比基尼的女性在玩白色，观众在拍手。")</f>
        <v>该场景通过Voleyball游戏显示，一些比基尼的女性在玩白色，观众在拍手。</v>
      </c>
    </row>
    <row r="19473">
      <c r="A19473" s="4" t="s">
        <v>24506</v>
      </c>
      <c r="B19473" s="4" t="s">
        <v>24509</v>
      </c>
      <c r="C19473" s="5" t="str">
        <f>IFERROR(__xludf.DUMMYFUNCTION("GOOGLETRANSLATE(B19473,""en"",""zh-CN"")"),"回到录音室是三位评论员在谈论。")</f>
        <v>回到录音室是三位评论员在谈论。</v>
      </c>
    </row>
    <row r="19474">
      <c r="A19474" s="4" t="s">
        <v>24510</v>
      </c>
      <c r="B19474" s="4" t="s">
        <v>24511</v>
      </c>
      <c r="C19474" s="5" t="str">
        <f>IFERROR(__xludf.DUMMYFUNCTION("GOOGLETRANSLATE(B19474,""en"",""zh-CN"")"),"一个男人和一个女人站在桌子旁边对着相机说话。")</f>
        <v>一个男人和一个女人站在桌子旁边对着相机说话。</v>
      </c>
    </row>
    <row r="19475">
      <c r="A19475" s="4" t="s">
        <v>24510</v>
      </c>
      <c r="B19475" s="4" t="s">
        <v>24512</v>
      </c>
      <c r="C19475" s="5" t="str">
        <f>IFERROR(__xludf.DUMMYFUNCTION("GOOGLETRANSLATE(B19475,""en"",""zh-CN"")"),"桌子上坐着土豆泥的食谱。")</f>
        <v>桌子上坐着土豆泥的食谱。</v>
      </c>
    </row>
    <row r="19476">
      <c r="A19476" s="4" t="s">
        <v>24510</v>
      </c>
      <c r="B19476" s="4" t="s">
        <v>24513</v>
      </c>
      <c r="C19476" s="5" t="str">
        <f>IFERROR(__xludf.DUMMYFUNCTION("GOOGLETRANSLATE(B19476,""en"",""zh-CN"")"),"该男子在将土豆扔进黄锅之前剥皮并切割土豆。")</f>
        <v>该男子在将土豆扔进黄锅之前剥皮并切割土豆。</v>
      </c>
    </row>
    <row r="19477">
      <c r="A19477" s="4" t="s">
        <v>24510</v>
      </c>
      <c r="B19477" s="4" t="s">
        <v>24514</v>
      </c>
      <c r="C19477" s="5" t="str">
        <f>IFERROR(__xludf.DUMMYFUNCTION("GOOGLETRANSLATE(B19477,""en"",""zh-CN"")"),"那个人将三个盐扔进黄锅中。")</f>
        <v>那个人将三个盐扔进黄锅中。</v>
      </c>
    </row>
    <row r="19478">
      <c r="A19478" s="4" t="s">
        <v>24510</v>
      </c>
      <c r="B19478" s="4" t="s">
        <v>24515</v>
      </c>
      <c r="C19478" s="5" t="str">
        <f>IFERROR(__xludf.DUMMYFUNCTION("GOOGLETRANSLATE(B19478,""en"",""zh-CN"")"),"该男子切一些大蒜。")</f>
        <v>该男子切一些大蒜。</v>
      </c>
    </row>
    <row r="19479">
      <c r="A19479" s="4" t="s">
        <v>24510</v>
      </c>
      <c r="B19479" s="4" t="s">
        <v>24516</v>
      </c>
      <c r="C19479" s="5" t="str">
        <f>IFERROR(__xludf.DUMMYFUNCTION("GOOGLETRANSLATE(B19479,""en"",""zh-CN"")"),"进入锅中，男人将大蒜与两叶一起扔。")</f>
        <v>进入锅中，男人将大蒜与两叶一起扔。</v>
      </c>
    </row>
    <row r="19480">
      <c r="A19480" s="4" t="s">
        <v>24510</v>
      </c>
      <c r="B19480" s="4" t="s">
        <v>24517</v>
      </c>
      <c r="C19480" s="5" t="str">
        <f>IFERROR(__xludf.DUMMYFUNCTION("GOOGLETRANSLATE(B19480,""en"",""zh-CN"")"),"女人在桌子上加入男人，然后将黄油切成两半。")</f>
        <v>女人在桌子上加入男人，然后将黄油切成两半。</v>
      </c>
    </row>
    <row r="19481">
      <c r="A19481" s="4" t="s">
        <v>24510</v>
      </c>
      <c r="B19481" s="4" t="s">
        <v>24518</v>
      </c>
      <c r="C19481" s="5" t="str">
        <f>IFERROR(__xludf.DUMMYFUNCTION("GOOGLETRANSLATE(B19481,""en"",""zh-CN"")"),"女人把黄油扔进了锅中。")</f>
        <v>女人把黄油扔进了锅中。</v>
      </c>
    </row>
    <row r="19482">
      <c r="A19482" s="4" t="s">
        <v>24510</v>
      </c>
      <c r="B19482" s="4" t="s">
        <v>24519</v>
      </c>
      <c r="C19482" s="5" t="str">
        <f>IFERROR(__xludf.DUMMYFUNCTION("GOOGLETRANSLATE(B19482,""en"",""zh-CN"")"),"该男子短暂地对她说话，女人继续将牛奶倒入锅中。")</f>
        <v>该男子短暂地对她说话，女人继续将牛奶倒入锅中。</v>
      </c>
    </row>
    <row r="19483">
      <c r="A19483" s="4" t="s">
        <v>24510</v>
      </c>
      <c r="B19483" s="4" t="s">
        <v>24520</v>
      </c>
      <c r="C19483" s="5" t="str">
        <f>IFERROR(__xludf.DUMMYFUNCTION("GOOGLETRANSLATE(B19483,""en"",""zh-CN"")"),"该人将黄锅和锅放在炉子上。")</f>
        <v>该人将黄锅和锅放在炉子上。</v>
      </c>
    </row>
    <row r="19484">
      <c r="A19484" s="4" t="s">
        <v>24510</v>
      </c>
      <c r="B19484" s="4" t="s">
        <v>24521</v>
      </c>
      <c r="C19484" s="5" t="str">
        <f>IFERROR(__xludf.DUMMYFUNCTION("GOOGLETRANSLATE(B19484,""en"",""zh-CN"")"),"该男子抓住锅的盖子并盖住锅。")</f>
        <v>该男子抓住锅的盖子并盖住锅。</v>
      </c>
    </row>
    <row r="19485">
      <c r="A19485" s="4" t="s">
        <v>24510</v>
      </c>
      <c r="B19485" s="4" t="s">
        <v>24522</v>
      </c>
      <c r="C19485" s="5" t="str">
        <f>IFERROR(__xludf.DUMMYFUNCTION("GOOGLETRANSLATE(B19485,""en"",""zh-CN"")"),"回到桌子上，该男子从锅里取下盖子并去除叶子。")</f>
        <v>回到桌子上，该男子从锅里取下盖子并去除叶子。</v>
      </c>
    </row>
    <row r="19486">
      <c r="A19486" s="4" t="s">
        <v>24510</v>
      </c>
      <c r="B19486" s="4" t="s">
        <v>24523</v>
      </c>
      <c r="C19486" s="5" t="str">
        <f>IFERROR(__xludf.DUMMYFUNCTION("GOOGLETRANSLATE(B19486,""en"",""zh-CN"")"),"该男子捣碎土豆。")</f>
        <v>该男子捣碎土豆。</v>
      </c>
    </row>
    <row r="19487">
      <c r="A19487" s="4" t="s">
        <v>24510</v>
      </c>
      <c r="B19487" s="4" t="s">
        <v>24524</v>
      </c>
      <c r="C19487" s="5" t="str">
        <f>IFERROR(__xludf.DUMMYFUNCTION("GOOGLETRANSLATE(B19487,""en"",""zh-CN"")"),"该人将少许盐扔到土豆上。")</f>
        <v>该人将少许盐扔到土豆上。</v>
      </c>
    </row>
    <row r="19488">
      <c r="A19488" s="4" t="s">
        <v>24510</v>
      </c>
      <c r="B19488" s="4" t="s">
        <v>24525</v>
      </c>
      <c r="C19488" s="5" t="str">
        <f>IFERROR(__xludf.DUMMYFUNCTION("GOOGLETRANSLATE(B19488,""en"",""zh-CN"")"),"该男子继续捣碎土豆。")</f>
        <v>该男子继续捣碎土豆。</v>
      </c>
    </row>
    <row r="19489">
      <c r="A19489" s="4" t="s">
        <v>24510</v>
      </c>
      <c r="B19489" s="4" t="s">
        <v>24526</v>
      </c>
      <c r="C19489" s="5" t="str">
        <f>IFERROR(__xludf.DUMMYFUNCTION("GOOGLETRANSLATE(B19489,""en"",""zh-CN"")"),"该男子从锅中倒入牛奶中。")</f>
        <v>该男子从锅中倒入牛奶中。</v>
      </c>
    </row>
    <row r="19490">
      <c r="A19490" s="4" t="s">
        <v>24510</v>
      </c>
      <c r="B19490" s="4" t="s">
        <v>24527</v>
      </c>
      <c r="C19490" s="5" t="str">
        <f>IFERROR(__xludf.DUMMYFUNCTION("GOOGLETRANSLATE(B19490,""en"",""zh-CN"")"),"该男子再捣碎土豆。")</f>
        <v>该男子再捣碎土豆。</v>
      </c>
    </row>
    <row r="19491">
      <c r="A19491" s="4" t="s">
        <v>24510</v>
      </c>
      <c r="B19491" s="4" t="s">
        <v>24528</v>
      </c>
      <c r="C19491" s="5" t="str">
        <f>IFERROR(__xludf.DUMMYFUNCTION("GOOGLETRANSLATE(B19491,""en"",""zh-CN"")"),"该男子抓住一些胡椒粉，将其扔到土豆上。")</f>
        <v>该男子抓住一些胡椒粉，将其扔到土豆上。</v>
      </c>
    </row>
    <row r="19492">
      <c r="A19492" s="4" t="s">
        <v>24510</v>
      </c>
      <c r="B19492" s="4" t="s">
        <v>24529</v>
      </c>
      <c r="C19492" s="5" t="str">
        <f>IFERROR(__xludf.DUMMYFUNCTION("GOOGLETRANSLATE(B19492,""en"",""zh-CN"")"),"该男子添加了更多牛奶。")</f>
        <v>该男子添加了更多牛奶。</v>
      </c>
    </row>
    <row r="19493">
      <c r="A19493" s="4" t="s">
        <v>24510</v>
      </c>
      <c r="B19493" s="4" t="s">
        <v>24530</v>
      </c>
      <c r="C19493" s="5" t="str">
        <f>IFERROR(__xludf.DUMMYFUNCTION("GOOGLETRANSLATE(B19493,""en"",""zh-CN"")"),"该男子返回土豆捣碎，并在彻底变软时搅拌它们。")</f>
        <v>该男子返回土豆捣碎，并在彻底变软时搅拌它们。</v>
      </c>
    </row>
    <row r="19494">
      <c r="A19494" s="4" t="s">
        <v>24510</v>
      </c>
      <c r="B19494" s="4" t="s">
        <v>24531</v>
      </c>
      <c r="C19494" s="5" t="str">
        <f>IFERROR(__xludf.DUMMYFUNCTION("GOOGLETRANSLATE(B19494,""en"",""zh-CN"")"),"该男子停下来扔一些水，然后恢复搅拌土豆。")</f>
        <v>该男子停下来扔一些水，然后恢复搅拌土豆。</v>
      </c>
    </row>
    <row r="19495">
      <c r="A19495" s="4" t="s">
        <v>24510</v>
      </c>
      <c r="B19495" s="4" t="s">
        <v>24532</v>
      </c>
      <c r="C19495" s="5" t="str">
        <f>IFERROR(__xludf.DUMMYFUNCTION("GOOGLETRANSLATE(B19495,""en"",""zh-CN"")"),"成品土豆泥盘留在柜台上。")</f>
        <v>成品土豆泥盘留在柜台上。</v>
      </c>
    </row>
    <row r="19496">
      <c r="A19496" s="4" t="s">
        <v>24533</v>
      </c>
      <c r="B19496" s="4" t="s">
        <v>24534</v>
      </c>
      <c r="C19496" s="5" t="str">
        <f>IFERROR(__xludf.DUMMYFUNCTION("GOOGLETRANSLATE(B19496,""en"",""zh-CN"")"),"木板的特写，显示了几个冰球围绕着侧面。")</f>
        <v>木板的特写，显示了几个冰球围绕着侧面。</v>
      </c>
    </row>
    <row r="19497">
      <c r="A19497" s="4" t="s">
        <v>24533</v>
      </c>
      <c r="B19497" s="4" t="s">
        <v>24535</v>
      </c>
      <c r="C19497" s="5" t="str">
        <f>IFERROR(__xludf.DUMMYFUNCTION("GOOGLETRANSLATE(B19497,""en"",""zh-CN"")"),"突然，当人们观看时，另一个冰球被推下并撞向其他人。")</f>
        <v>突然，当人们观看时，另一个冰球被推下并撞向其他人。</v>
      </c>
    </row>
    <row r="19498">
      <c r="A19498" s="4" t="s">
        <v>24536</v>
      </c>
      <c r="B19498" s="4" t="s">
        <v>24537</v>
      </c>
      <c r="C19498" s="5" t="str">
        <f>IFERROR(__xludf.DUMMYFUNCTION("GOOGLETRANSLATE(B19498,""en"",""zh-CN"")"),"两名男子蹲在汽车旁边，第三个摊位。")</f>
        <v>两名男子蹲在汽车旁边，第三个摊位。</v>
      </c>
    </row>
    <row r="19499">
      <c r="A19499" s="4" t="s">
        <v>24536</v>
      </c>
      <c r="B19499" s="4" t="s">
        <v>24538</v>
      </c>
      <c r="C19499" s="5" t="str">
        <f>IFERROR(__xludf.DUMMYFUNCTION("GOOGLETRANSLATE(B19499,""en"",""zh-CN"")"),"他们卸下轮胎，而另一个男人则拍照。")</f>
        <v>他们卸下轮胎，而另一个男人则拍照。</v>
      </c>
    </row>
    <row r="19500">
      <c r="A19500" s="4" t="s">
        <v>24536</v>
      </c>
      <c r="B19500" s="4" t="s">
        <v>24539</v>
      </c>
      <c r="C19500" s="5" t="str">
        <f>IFERROR(__xludf.DUMMYFUNCTION("GOOGLETRANSLATE(B19500,""en"",""zh-CN"")"),"两人改变了轮胎，放了一个备用。")</f>
        <v>两人改变了轮胎，放了一个备用。</v>
      </c>
    </row>
    <row r="19501">
      <c r="A19501" s="4" t="s">
        <v>24540</v>
      </c>
      <c r="B19501" s="4" t="s">
        <v>24541</v>
      </c>
      <c r="C19501" s="5" t="str">
        <f>IFERROR(__xludf.DUMMYFUNCTION("GOOGLETRANSLATE(B19501,""en"",""zh-CN"")"),"一个女人携带一个沉重的球，站在一个圆圈上。")</f>
        <v>一个女人携带一个沉重的球，站在一个圆圈上。</v>
      </c>
    </row>
    <row r="19502">
      <c r="A19502" s="4" t="s">
        <v>24540</v>
      </c>
      <c r="B19502" s="4" t="s">
        <v>24542</v>
      </c>
      <c r="C19502" s="5" t="str">
        <f>IFERROR(__xludf.DUMMYFUNCTION("GOOGLETRANSLATE(B19502,""en"",""zh-CN"")"),"然后，女人散发着体重。")</f>
        <v>然后，女人散发着体重。</v>
      </c>
    </row>
    <row r="19503">
      <c r="A19503" s="4" t="s">
        <v>24540</v>
      </c>
      <c r="B19503" s="4" t="s">
        <v>24543</v>
      </c>
      <c r="C19503" s="5" t="str">
        <f>IFERROR(__xludf.DUMMYFUNCTION("GOOGLETRANSLATE(B19503,""en"",""zh-CN"")"),"然后，女人扔了体重。")</f>
        <v>然后，女人扔了体重。</v>
      </c>
    </row>
    <row r="19504">
      <c r="A19504" s="4" t="s">
        <v>24544</v>
      </c>
      <c r="B19504" s="4" t="s">
        <v>24545</v>
      </c>
      <c r="C19504" s="5" t="str">
        <f>IFERROR(__xludf.DUMMYFUNCTION("GOOGLETRANSLATE(B19504,""en"",""zh-CN"")"),"孩子们在秋千上，一个孩子站起来，将一只小狗推在秋千上。")</f>
        <v>孩子们在秋千上，一个孩子站起来，将一只小狗推在秋千上。</v>
      </c>
    </row>
    <row r="19505">
      <c r="A19505" s="4" t="s">
        <v>24544</v>
      </c>
      <c r="B19505" s="4" t="s">
        <v>24546</v>
      </c>
      <c r="C19505" s="5" t="str">
        <f>IFERROR(__xludf.DUMMYFUNCTION("GOOGLETRANSLATE(B19505,""en"",""zh-CN"")"),"三名骑自行车的人在停车场骑自行车穿过秋千区域。")</f>
        <v>三名骑自行车的人在停车场骑自行车穿过秋千区域。</v>
      </c>
    </row>
    <row r="19506">
      <c r="A19506" s="4" t="s">
        <v>24544</v>
      </c>
      <c r="B19506" s="4" t="s">
        <v>24547</v>
      </c>
      <c r="C19506" s="5" t="str">
        <f>IFERROR(__xludf.DUMMYFUNCTION("GOOGLETRANSLATE(B19506,""en"",""zh-CN"")"),"然后，一个妇女在人行道上慢跑也经过秋千区。")</f>
        <v>然后，一个妇女在人行道上慢跑也经过秋千区。</v>
      </c>
    </row>
    <row r="19507">
      <c r="A19507" s="4" t="s">
        <v>24548</v>
      </c>
      <c r="B19507" s="4" t="s">
        <v>24549</v>
      </c>
      <c r="C19507" s="5" t="str">
        <f>IFERROR(__xludf.DUMMYFUNCTION("GOOGLETRANSLATE(B19507,""en"",""zh-CN"")"),"两名年轻男性坐在两个麦克风和两台计算机后面的桌子上。")</f>
        <v>两名年轻男性坐在两个麦克风和两台计算机后面的桌子上。</v>
      </c>
    </row>
    <row r="19508">
      <c r="A19508" s="4" t="s">
        <v>24548</v>
      </c>
      <c r="B19508" s="4" t="s">
        <v>24550</v>
      </c>
      <c r="C19508" s="5" t="str">
        <f>IFERROR(__xludf.DUMMYFUNCTION("GOOGLETRANSLATE(B19508,""en"",""zh-CN"")"),"一个男孩离开，另一个男孩留下来收集他的财产。")</f>
        <v>一个男孩离开，另一个男孩留下来收集他的财产。</v>
      </c>
    </row>
    <row r="19509">
      <c r="A19509" s="4" t="s">
        <v>24548</v>
      </c>
      <c r="B19509" s="6" t="s">
        <v>24551</v>
      </c>
      <c r="C19509" s="5" t="str">
        <f>IFERROR(__xludf.DUMMYFUNCTION("GOOGLETRANSLATE(B19509,""en"",""zh-CN"")"),"当他收拾行装时，一个年轻女子走进去，开始关闭设备并在广播电台周围清理。")</f>
        <v>当他收拾行装时，一个年轻女子走进去，开始关闭设备并在广播电台周围清理。</v>
      </c>
    </row>
    <row r="19510">
      <c r="A19510" s="4" t="s">
        <v>24548</v>
      </c>
      <c r="B19510" s="4" t="s">
        <v>24552</v>
      </c>
      <c r="C19510" s="5" t="str">
        <f>IFERROR(__xludf.DUMMYFUNCTION("GOOGLETRANSLATE(B19510,""en"",""zh-CN"")"),"一旦一切都收拾好，男孩就离开并开始向相机吹吻。")</f>
        <v>一旦一切都收拾好，男孩就离开并开始向相机吹吻。</v>
      </c>
    </row>
    <row r="19511">
      <c r="A19511" s="4" t="s">
        <v>24553</v>
      </c>
      <c r="B19511" s="4" t="s">
        <v>24554</v>
      </c>
      <c r="C19511" s="5" t="str">
        <f>IFERROR(__xludf.DUMMYFUNCTION("GOOGLETRANSLATE(B19511,""en"",""zh-CN"")"),"一个穿着黑色行走的男人穿过宫殿的一个长大厅。")</f>
        <v>一个穿着黑色行走的男人穿过宫殿的一个长大厅。</v>
      </c>
    </row>
    <row r="19512">
      <c r="A19512" s="4" t="s">
        <v>24553</v>
      </c>
      <c r="B19512" s="6" t="s">
        <v>24555</v>
      </c>
      <c r="C19512" s="5" t="str">
        <f>IFERROR(__xludf.DUMMYFUNCTION("GOOGLETRANSLATE(B19512,""en"",""zh-CN"")"),"两名穿着白色练习的男子穿着伸展运动，为围栏比赛做准备，而一名穿着黑色的教练在后架上戴着一个男管子。")</f>
        <v>两名穿着白色练习的男子穿着伸展运动，为围栏比赛做准备，而一名穿着黑色的教练在后架上戴着一个男管子。</v>
      </c>
    </row>
    <row r="19513">
      <c r="A19513" s="4" t="s">
        <v>24553</v>
      </c>
      <c r="B19513" s="4" t="s">
        <v>24556</v>
      </c>
      <c r="C19513" s="5" t="str">
        <f>IFERROR(__xludf.DUMMYFUNCTION("GOOGLETRANSLATE(B19513,""en"",""zh-CN"")"),"穿着白色的两个男人戴上击剑面具，开始击剑比赛。")</f>
        <v>穿着白色的两个男人戴上击剑面具，开始击剑比赛。</v>
      </c>
    </row>
    <row r="19514">
      <c r="A19514" s="4" t="s">
        <v>24553</v>
      </c>
      <c r="B19514" s="6" t="s">
        <v>24557</v>
      </c>
      <c r="C19514" s="5" t="str">
        <f>IFERROR(__xludf.DUMMYFUNCTION("GOOGLETRANSLATE(B19514,""en"",""zh-CN"")"),"穿着黑色的教练开始批评两名击剑手，并握着剑的尖端。")</f>
        <v>穿着黑色的教练开始批评两名击剑手，并握着剑的尖端。</v>
      </c>
    </row>
    <row r="19515">
      <c r="A19515" s="4" t="s">
        <v>24553</v>
      </c>
      <c r="B19515" s="4" t="s">
        <v>24558</v>
      </c>
      <c r="C19515" s="5" t="str">
        <f>IFERROR(__xludf.DUMMYFUNCTION("GOOGLETRANSLATE(B19515,""en"",""zh-CN"")"),"教练转身走向管家，开始交谈。")</f>
        <v>教练转身走向管家，开始交谈。</v>
      </c>
    </row>
    <row r="19516">
      <c r="A19516" s="4" t="s">
        <v>24559</v>
      </c>
      <c r="B19516" s="6" t="s">
        <v>24560</v>
      </c>
      <c r="C19516" s="5" t="str">
        <f>IFERROR(__xludf.DUMMYFUNCTION("GOOGLETRANSLATE(B19516,""en"",""zh-CN"")"),"一个举重运动员站在健身房的木制平台上，在他的头顶上方举起大量的吧铃，几次被围观者包围。")</f>
        <v>一个举重运动员站在健身房的木制平台上，在他的头顶上方举起大量的吧铃，几次被围观者包围。</v>
      </c>
    </row>
    <row r="19517">
      <c r="A19517" s="4" t="s">
        <v>24559</v>
      </c>
      <c r="B19517" s="6" t="s">
        <v>24561</v>
      </c>
      <c r="C19517" s="5" t="str">
        <f>IFERROR(__xludf.DUMMYFUNCTION("GOOGLETRANSLATE(B19517,""en"",""zh-CN"")"),"一个举重运动员在举重的人看着头顶上方的重量时，在举重下面蹲下了头顶上方的三个吧铃，然后让铃铛掉到地板上。")</f>
        <v>一个举重运动员在举重的人看着头顶上方的重量时，在举重下面蹲下了头顶上方的三个吧铃，然后让铃铛掉到地板上。</v>
      </c>
    </row>
    <row r="19518">
      <c r="A19518" s="4" t="s">
        <v>24559</v>
      </c>
      <c r="B19518" s="6" t="s">
        <v>24562</v>
      </c>
      <c r="C19518" s="5" t="str">
        <f>IFERROR(__xludf.DUMMYFUNCTION("GOOGLETRANSLATE(B19518,""en"",""zh-CN"")"),"该男子首先要在膝盖上进行几次铃铛弯曲，然后将钟声抬到肩膀上，然后再将重量扔到地板上。")</f>
        <v>该男子首先要在膝盖上进行几次铃铛弯曲，然后将钟声抬到肩膀上，然后再将重量扔到地板上。</v>
      </c>
    </row>
    <row r="19519">
      <c r="A19519" s="4" t="s">
        <v>24559</v>
      </c>
      <c r="B19519" s="4" t="s">
        <v>24563</v>
      </c>
      <c r="C19519" s="5" t="str">
        <f>IFERROR(__xludf.DUMMYFUNCTION("GOOGLETRANSLATE(B19519,""en"",""zh-CN"")"),"当示威游行时，该男子握手并拥抱围观者。")</f>
        <v>当示威游行时，该男子握手并拥抱围观者。</v>
      </c>
    </row>
    <row r="19520">
      <c r="A19520" s="4" t="s">
        <v>24564</v>
      </c>
      <c r="B19520" s="4" t="s">
        <v>24565</v>
      </c>
      <c r="C19520" s="5" t="str">
        <f>IFERROR(__xludf.DUMMYFUNCTION("GOOGLETRANSLATE(B19520,""en"",""zh-CN"")"),"一个女人正坐在椅子上，一个女人站在她身后。")</f>
        <v>一个女人正坐在椅子上，一个女人站在她身后。</v>
      </c>
    </row>
    <row r="19521">
      <c r="A19521" s="4" t="s">
        <v>24564</v>
      </c>
      <c r="B19521" s="4" t="s">
        <v>24566</v>
      </c>
      <c r="C19521" s="5" t="str">
        <f>IFERROR(__xludf.DUMMYFUNCTION("GOOGLETRANSLATE(B19521,""en"",""zh-CN"")"),"女人开始刷女人的头发。")</f>
        <v>女人开始刷女人的头发。</v>
      </c>
    </row>
    <row r="19522">
      <c r="A19522" s="4" t="s">
        <v>24564</v>
      </c>
      <c r="B19522" s="4" t="s">
        <v>24567</v>
      </c>
      <c r="C19522" s="5" t="str">
        <f>IFERROR(__xludf.DUMMYFUNCTION("GOOGLETRANSLATE(B19522,""en"",""zh-CN"")"),"她开始编织头发。")</f>
        <v>她开始编织头发。</v>
      </c>
    </row>
    <row r="19523">
      <c r="A19523" s="4" t="s">
        <v>24568</v>
      </c>
      <c r="B19523" s="4" t="s">
        <v>24569</v>
      </c>
      <c r="C19523" s="5" t="str">
        <f>IFERROR(__xludf.DUMMYFUNCTION("GOOGLETRANSLATE(B19523,""en"",""zh-CN"")"),"在健身房里有一群女士，穿着锻炼上衣和紧身裤。")</f>
        <v>在健身房里有一群女士，穿着锻炼上衣和紧身裤。</v>
      </c>
    </row>
    <row r="19524">
      <c r="A19524" s="4" t="s">
        <v>24568</v>
      </c>
      <c r="B19524" s="4" t="s">
        <v>24570</v>
      </c>
      <c r="C19524" s="5" t="str">
        <f>IFERROR(__xludf.DUMMYFUNCTION("GOOGLETRANSLATE(B19524,""en"",""zh-CN"")"),"他们都参加了结构化的有氧运动课程。")</f>
        <v>他们都参加了结构化的有氧运动课程。</v>
      </c>
    </row>
    <row r="19525">
      <c r="A19525" s="4" t="s">
        <v>24568</v>
      </c>
      <c r="B19525" s="6" t="s">
        <v>24571</v>
      </c>
      <c r="C19525" s="5" t="str">
        <f>IFERROR(__xludf.DUMMYFUNCTION("GOOGLETRANSLATE(B19525,""en"",""zh-CN"")"),"他们正在协调自己的步骤，并在平台上踏上和关闭平台时同步他们的动作。")</f>
        <v>他们正在协调自己的步骤，并在平台上踏上和关闭平台时同步他们的动作。</v>
      </c>
    </row>
    <row r="19526">
      <c r="A19526" s="4" t="s">
        <v>24568</v>
      </c>
      <c r="B19526" s="4" t="s">
        <v>24572</v>
      </c>
      <c r="C19526" s="5" t="str">
        <f>IFERROR(__xludf.DUMMYFUNCTION("GOOGLETRANSLATE(B19526,""en"",""zh-CN"")"),"他们在锻炼音乐时跳舞。")</f>
        <v>他们在锻炼音乐时跳舞。</v>
      </c>
    </row>
    <row r="19527">
      <c r="A19527" s="4" t="s">
        <v>24568</v>
      </c>
      <c r="B19527" s="4" t="s">
        <v>24573</v>
      </c>
      <c r="C19527" s="5" t="str">
        <f>IFERROR(__xludf.DUMMYFUNCTION("GOOGLETRANSLATE(B19527,""en"",""zh-CN"")"),"完成后，他们停止并提高卸下平台。")</f>
        <v>完成后，他们停止并提高卸下平台。</v>
      </c>
    </row>
    <row r="19528">
      <c r="A19528" s="4" t="s">
        <v>24574</v>
      </c>
      <c r="B19528" s="6" t="s">
        <v>24575</v>
      </c>
      <c r="C19528" s="5" t="str">
        <f>IFERROR(__xludf.DUMMYFUNCTION("GOOGLETRANSLATE(B19528,""en"",""zh-CN"")"),"关于点com的D d从白色背景前的摄像机说话开始。")</f>
        <v>关于点com的D d从白色背景前的摄像机说话开始。</v>
      </c>
    </row>
    <row r="19529">
      <c r="A19529" s="4" t="s">
        <v>24574</v>
      </c>
      <c r="B19529" s="6" t="s">
        <v>24576</v>
      </c>
      <c r="C19529" s="5" t="str">
        <f>IFERROR(__xludf.DUMMYFUNCTION("GOOGLETRANSLATE(B19529,""en"",""zh-CN"")"),"然后，该视频显示了一系列专业人士努力工作，然后削减了两名在海滩上跑步的女性。")</f>
        <v>然后，该视频显示了一系列专业人士努力工作，然后削减了两名在海滩上跑步的女性。</v>
      </c>
    </row>
    <row r="19530">
      <c r="A19530" s="4" t="s">
        <v>24574</v>
      </c>
      <c r="B19530" s="4" t="s">
        <v>24577</v>
      </c>
      <c r="C19530" s="5" t="str">
        <f>IFERROR(__xludf.DUMMYFUNCTION("GOOGLETRANSLATE(B19530,""en"",""zh-CN"")"),"显示了骑自行车的人的镜头，然后用白色的说话缩回同一个人。")</f>
        <v>显示了骑自行车的人的镜头，然后用白色的说话缩回同一个人。</v>
      </c>
    </row>
    <row r="19531">
      <c r="A19531" s="4" t="s">
        <v>24574</v>
      </c>
      <c r="B19531" s="4" t="s">
        <v>24578</v>
      </c>
      <c r="C19531" s="5" t="str">
        <f>IFERROR(__xludf.DUMMYFUNCTION("GOOGLETRANSLATE(B19531,""en"",""zh-CN"")"),"显示一个女人在奔跑，男人继续谈论健身技巧。")</f>
        <v>显示一个女人在奔跑，男人继续谈论健身技巧。</v>
      </c>
    </row>
    <row r="19532">
      <c r="A19532" s="4" t="s">
        <v>24579</v>
      </c>
      <c r="B19532" s="4" t="s">
        <v>24580</v>
      </c>
      <c r="C19532" s="5" t="str">
        <f>IFERROR(__xludf.DUMMYFUNCTION("GOOGLETRANSLATE(B19532,""en"",""zh-CN"")"),"一名蓝色衬衫的男人在外面走到楼梯箱进入建筑物。")</f>
        <v>一名蓝色衬衫的男人在外面走到楼梯箱进入建筑物。</v>
      </c>
    </row>
    <row r="19533">
      <c r="A19533" s="4" t="s">
        <v>24579</v>
      </c>
      <c r="B19533" s="4" t="s">
        <v>24581</v>
      </c>
      <c r="C19533" s="5" t="str">
        <f>IFERROR(__xludf.DUMMYFUNCTION("GOOGLETRANSLATE(B19533,""en"",""zh-CN"")"),"当他走进去时，他沿着几艘自行车的行走路并设置了一台相机。")</f>
        <v>当他走进去时，他沿着几艘自行车的行走路并设置了一台相机。</v>
      </c>
    </row>
    <row r="19534">
      <c r="A19534" s="4" t="s">
        <v>24579</v>
      </c>
      <c r="B19534" s="6" t="s">
        <v>24582</v>
      </c>
      <c r="C19534" s="5" t="str">
        <f>IFERROR(__xludf.DUMMYFUNCTION("GOOGLETRANSLATE(B19534,""en"",""zh-CN"")"),"然后，该男子与另外三名男性一起进入另一个房间，他们开始拆开并一起组装几辆自行车。")</f>
        <v>然后，该男子与另外三名男性一起进入另一个房间，他们开始拆开并一起组装几辆自行车。</v>
      </c>
    </row>
    <row r="19535">
      <c r="A19535" s="4" t="s">
        <v>24579</v>
      </c>
      <c r="B19535" s="6" t="s">
        <v>24583</v>
      </c>
      <c r="C19535" s="5" t="str">
        <f>IFERROR(__xludf.DUMMYFUNCTION("GOOGLETRANSLATE(B19535,""en"",""zh-CN"")"),"一旦他们获得了保证，这些人就会掌握他们，对他们进行测试，并对他们进行最后的触感。")</f>
        <v>一旦他们获得了保证，这些人就会掌握他们，对他们进行测试，并对他们进行最后的触感。</v>
      </c>
    </row>
    <row r="19536">
      <c r="A19536" s="4" t="s">
        <v>24579</v>
      </c>
      <c r="B19536" s="6" t="s">
        <v>24584</v>
      </c>
      <c r="C19536" s="5" t="str">
        <f>IFERROR(__xludf.DUMMYFUNCTION("GOOGLETRANSLATE(B19536,""en"",""zh-CN"")"),"自行车终于完成了，该男子将其抬到相机上，并开始沿着人行道骑行。")</f>
        <v>自行车终于完成了，该男子将其抬到相机上，并开始沿着人行道骑行。</v>
      </c>
    </row>
    <row r="19537">
      <c r="A19537" s="4" t="s">
        <v>24585</v>
      </c>
      <c r="B19537" s="4" t="s">
        <v>24586</v>
      </c>
      <c r="C19537" s="5" t="str">
        <f>IFERROR(__xludf.DUMMYFUNCTION("GOOGLETRANSLATE(B19537,""en"",""zh-CN"")"),"看到一个男人骑着一辆骆驼，带有两名乘客的骆驼，背面挂在背面。")</f>
        <v>看到一个男人骑着一辆骆驼，带有两名乘客的骆驼，背面挂在背面。</v>
      </c>
    </row>
    <row r="19538">
      <c r="A19538" s="4" t="s">
        <v>24585</v>
      </c>
      <c r="B19538" s="6" t="s">
        <v>24587</v>
      </c>
      <c r="C19538" s="5" t="str">
        <f>IFERROR(__xludf.DUMMYFUNCTION("GOOGLETRANSLATE(B19538,""en"",""zh-CN"")"),"后面的人们在骑几个人看着场边的人时进行了交谈。")</f>
        <v>后面的人们在骑几个人看着场边的人时进行了交谈。</v>
      </c>
    </row>
    <row r="19539">
      <c r="A19539" s="4" t="s">
        <v>24585</v>
      </c>
      <c r="B19539" s="4" t="s">
        <v>24588</v>
      </c>
      <c r="C19539" s="5" t="str">
        <f>IFERROR(__xludf.DUMMYFUNCTION("GOOGLETRANSLATE(B19539,""en"",""zh-CN"")"),"骑骆驼的那个人微笑着向相机挥手。")</f>
        <v>骑骆驼的那个人微笑着向相机挥手。</v>
      </c>
    </row>
    <row r="19540">
      <c r="A19540" s="4" t="s">
        <v>24589</v>
      </c>
      <c r="B19540" s="4" t="s">
        <v>24590</v>
      </c>
      <c r="C19540" s="5" t="str">
        <f>IFERROR(__xludf.DUMMYFUNCTION("GOOGLETRANSLATE(B19540,""en"",""zh-CN"")"),"一群运动员在外面的赛道上。")</f>
        <v>一群运动员在外面的赛道上。</v>
      </c>
    </row>
    <row r="19541">
      <c r="A19541" s="4" t="s">
        <v>24589</v>
      </c>
      <c r="B19541" s="4" t="s">
        <v>24591</v>
      </c>
      <c r="C19541" s="5" t="str">
        <f>IFERROR(__xludf.DUMMYFUNCTION("GOOGLETRANSLATE(B19541,""en"",""zh-CN"")"),"一个男人走在路上，然后奔跑。")</f>
        <v>一个男人走在路上，然后奔跑。</v>
      </c>
    </row>
    <row r="19542">
      <c r="A19542" s="4" t="s">
        <v>24589</v>
      </c>
      <c r="B19542" s="4" t="s">
        <v>24592</v>
      </c>
      <c r="C19542" s="5" t="str">
        <f>IFERROR(__xludf.DUMMYFUNCTION("GOOGLETRANSLATE(B19542,""en"",""zh-CN"")"),"他巨大的飞跃进入了一个沙坑。")</f>
        <v>他巨大的飞跃进入了一个沙坑。</v>
      </c>
    </row>
    <row r="19543">
      <c r="A19543" s="4" t="s">
        <v>24593</v>
      </c>
      <c r="B19543" s="4" t="s">
        <v>24594</v>
      </c>
      <c r="C19543" s="5" t="str">
        <f>IFERROR(__xludf.DUMMYFUNCTION("GOOGLETRANSLATE(B19543,""en"",""zh-CN"")"),"一群人在阴天的那天在冰上覆盖的湖上冰鱼。")</f>
        <v>一群人在阴天的那天在冰上覆盖的湖上冰鱼。</v>
      </c>
    </row>
    <row r="19544">
      <c r="A19544" s="4" t="s">
        <v>24593</v>
      </c>
      <c r="B19544" s="4" t="s">
        <v>24595</v>
      </c>
      <c r="C19544" s="5" t="str">
        <f>IFERROR(__xludf.DUMMYFUNCTION("GOOGLETRANSLATE(B19544,""en"",""zh-CN"")"),"一个男人在雪覆盖的湖上行走，从钓鱼孔中拉出一条鱼。")</f>
        <v>一个男人在雪覆盖的湖上行走，从钓鱼孔中拉出一条鱼。</v>
      </c>
    </row>
    <row r="19545">
      <c r="A19545" s="4" t="s">
        <v>24593</v>
      </c>
      <c r="B19545" s="4" t="s">
        <v>24596</v>
      </c>
      <c r="C19545" s="5" t="str">
        <f>IFERROR(__xludf.DUMMYFUNCTION("GOOGLETRANSLATE(B19545,""en"",""zh-CN"")"),"然后，一个女人和一个男人在冰上奔跑，将另一条鱼从湖上的另一个洞中拉出。")</f>
        <v>然后，一个女人和一个男人在冰上奔跑，将另一条鱼从湖上的另一个洞中拉出。</v>
      </c>
    </row>
    <row r="19546">
      <c r="A19546" s="4" t="s">
        <v>24593</v>
      </c>
      <c r="B19546" s="4" t="s">
        <v>24597</v>
      </c>
      <c r="C19546" s="5" t="str">
        <f>IFERROR(__xludf.DUMMYFUNCTION("GOOGLETRANSLATE(B19546,""en"",""zh-CN"")"),"将第三条鱼从冰上的另一个洞中拉出，然后扔回到洞中。")</f>
        <v>将第三条鱼从冰上的另一个洞中拉出，然后扔回到洞中。</v>
      </c>
    </row>
    <row r="19547">
      <c r="A19547" s="4" t="s">
        <v>24598</v>
      </c>
      <c r="B19547" s="4" t="s">
        <v>24599</v>
      </c>
      <c r="C19547" s="5" t="str">
        <f>IFERROR(__xludf.DUMMYFUNCTION("GOOGLETRANSLATE(B19547,""en"",""zh-CN"")"),"一个男人坐在街上。")</f>
        <v>一个男人坐在街上。</v>
      </c>
    </row>
    <row r="19548">
      <c r="A19548" s="4" t="s">
        <v>24598</v>
      </c>
      <c r="B19548" s="4" t="s">
        <v>24600</v>
      </c>
      <c r="C19548" s="5" t="str">
        <f>IFERROR(__xludf.DUMMYFUNCTION("GOOGLETRANSLATE(B19548,""en"",""zh-CN"")"),"他正在打开仪器盒旁边弹奏乐器。")</f>
        <v>他正在打开仪器盒旁边弹奏乐器。</v>
      </c>
    </row>
    <row r="19549">
      <c r="A19549" s="4" t="s">
        <v>24598</v>
      </c>
      <c r="B19549" s="4" t="s">
        <v>24601</v>
      </c>
      <c r="C19549" s="5" t="str">
        <f>IFERROR(__xludf.DUMMYFUNCTION("GOOGLETRANSLATE(B19549,""en"",""zh-CN"")"),"人们在他面前的人行道上经过。")</f>
        <v>人们在他面前的人行道上经过。</v>
      </c>
    </row>
    <row r="19550">
      <c r="A19550" s="4" t="s">
        <v>24602</v>
      </c>
      <c r="B19550" s="4" t="s">
        <v>24603</v>
      </c>
      <c r="C19550" s="5" t="str">
        <f>IFERROR(__xludf.DUMMYFUNCTION("GOOGLETRANSLATE(B19550,""en"",""zh-CN"")"),"一个男孩看着半卡车驶过沙漠。")</f>
        <v>一个男孩看着半卡车驶过沙漠。</v>
      </c>
    </row>
    <row r="19551">
      <c r="A19551" s="4" t="s">
        <v>24602</v>
      </c>
      <c r="B19551" s="4" t="s">
        <v>24604</v>
      </c>
      <c r="C19551" s="5" t="str">
        <f>IFERROR(__xludf.DUMMYFUNCTION("GOOGLETRANSLATE(B19551,""en"",""zh-CN"")"),"一个男人戴上头盔，用皮划艇推入河。")</f>
        <v>一个男人戴上头盔，用皮划艇推入河。</v>
      </c>
    </row>
    <row r="19552">
      <c r="A19552" s="4" t="s">
        <v>24602</v>
      </c>
      <c r="B19552" s="4" t="s">
        <v>24605</v>
      </c>
      <c r="C19552" s="5" t="str">
        <f>IFERROR(__xludf.DUMMYFUNCTION("GOOGLETRANSLATE(B19552,""en"",""zh-CN"")"),"一个男人在急流上划着皮划艇上的河流。")</f>
        <v>一个男人在急流上划着皮划艇上的河流。</v>
      </c>
    </row>
    <row r="19553">
      <c r="A19553" s="4" t="s">
        <v>24602</v>
      </c>
      <c r="B19553" s="4" t="s">
        <v>24606</v>
      </c>
      <c r="C19553" s="5" t="str">
        <f>IFERROR(__xludf.DUMMYFUNCTION("GOOGLETRANSLATE(B19553,""en"",""zh-CN"")"),"一个人从河岸的海滩上钓鱼。")</f>
        <v>一个人从河岸的海滩上钓鱼。</v>
      </c>
    </row>
    <row r="19554">
      <c r="A19554" s="4" t="s">
        <v>24602</v>
      </c>
      <c r="B19554" s="4" t="s">
        <v>24607</v>
      </c>
      <c r="C19554" s="5" t="str">
        <f>IFERROR(__xludf.DUMMYFUNCTION("GOOGLETRANSLATE(B19554,""en"",""zh-CN"")"),"一个小组在岸上准备野餐。")</f>
        <v>一个小组在岸上准备野餐。</v>
      </c>
    </row>
    <row r="19555">
      <c r="A19555" s="4" t="s">
        <v>24602</v>
      </c>
      <c r="B19555" s="4" t="s">
        <v>24608</v>
      </c>
      <c r="C19555" s="5" t="str">
        <f>IFERROR(__xludf.DUMMYFUNCTION("GOOGLETRANSLATE(B19555,""en"",""zh-CN"")"),"一个男人把皮划艇翻倒，因为被翻倒在水中。")</f>
        <v>一个男人把皮划艇翻倒，因为被翻倒在水中。</v>
      </c>
    </row>
    <row r="19556">
      <c r="A19556" s="4" t="s">
        <v>24609</v>
      </c>
      <c r="B19556" s="4" t="s">
        <v>24610</v>
      </c>
      <c r="C19556" s="5" t="str">
        <f>IFERROR(__xludf.DUMMYFUNCTION("GOOGLETRANSLATE(B19556,""en"",""zh-CN"")"),"一个人在整个房间里扔飞镖。")</f>
        <v>一个人在整个房间里扔飞镖。</v>
      </c>
    </row>
    <row r="19557">
      <c r="A19557" s="4" t="s">
        <v>24609</v>
      </c>
      <c r="B19557" s="4" t="s">
        <v>24611</v>
      </c>
      <c r="C19557" s="5" t="str">
        <f>IFERROR(__xludf.DUMMYFUNCTION("GOOGLETRANSLATE(B19557,""en"",""zh-CN"")"),"夹子的速度加快了。")</f>
        <v>夹子的速度加快了。</v>
      </c>
    </row>
    <row r="19558">
      <c r="A19558" s="4" t="s">
        <v>24612</v>
      </c>
      <c r="B19558" s="4" t="s">
        <v>24613</v>
      </c>
      <c r="C19558" s="5" t="str">
        <f>IFERROR(__xludf.DUMMYFUNCTION("GOOGLETRANSLATE(B19558,""en"",""zh-CN"")"),"一个男人和女人站在舞蹈位置。")</f>
        <v>一个男人和女人站在舞蹈位置。</v>
      </c>
    </row>
    <row r="19559">
      <c r="A19559" s="4" t="s">
        <v>24612</v>
      </c>
      <c r="B19559" s="4" t="s">
        <v>24614</v>
      </c>
      <c r="C19559" s="5" t="str">
        <f>IFERROR(__xludf.DUMMYFUNCTION("GOOGLETRANSLATE(B19559,""en"",""zh-CN"")"),"然后他们移动，缓慢显示不同的步骤。")</f>
        <v>然后他们移动，缓慢显示不同的步骤。</v>
      </c>
    </row>
    <row r="19560">
      <c r="A19560" s="4" t="s">
        <v>24612</v>
      </c>
      <c r="B19560" s="4" t="s">
        <v>24615</v>
      </c>
      <c r="C19560" s="5" t="str">
        <f>IFERROR(__xludf.DUMMYFUNCTION("GOOGLETRANSLATE(B19560,""en"",""zh-CN"")"),"他们继续跳舞，展示如何执行不同的动作。")</f>
        <v>他们继续跳舞，展示如何执行不同的动作。</v>
      </c>
    </row>
    <row r="19561">
      <c r="A19561" s="4" t="s">
        <v>24616</v>
      </c>
      <c r="B19561" s="4" t="s">
        <v>24617</v>
      </c>
      <c r="C19561" s="5" t="str">
        <f>IFERROR(__xludf.DUMMYFUNCTION("GOOGLETRANSLATE(B19561,""en"",""zh-CN"")"),"沙夫板坐在墙上。")</f>
        <v>沙夫板坐在墙上。</v>
      </c>
    </row>
    <row r="19562">
      <c r="A19562" s="4" t="s">
        <v>24616</v>
      </c>
      <c r="B19562" s="4" t="s">
        <v>24618</v>
      </c>
      <c r="C19562" s="5" t="str">
        <f>IFERROR(__xludf.DUMMYFUNCTION("GOOGLETRANSLATE(B19562,""en"",""zh-CN"")"),"有人把球扔下。")</f>
        <v>有人把球扔下。</v>
      </c>
    </row>
    <row r="19563">
      <c r="A19563" s="4" t="s">
        <v>24616</v>
      </c>
      <c r="B19563" s="4" t="s">
        <v>24619</v>
      </c>
      <c r="C19563" s="5" t="str">
        <f>IFERROR(__xludf.DUMMYFUNCTION("GOOGLETRANSLATE(B19563,""en"",""zh-CN"")"),"一个绿色的球在下来。")</f>
        <v>一个绿色的球在下来。</v>
      </c>
    </row>
    <row r="19564">
      <c r="A19564" s="4" t="s">
        <v>24620</v>
      </c>
      <c r="B19564" s="4" t="s">
        <v>24621</v>
      </c>
      <c r="C19564" s="5" t="str">
        <f>IFERROR(__xludf.DUMMYFUNCTION("GOOGLETRANSLATE(B19564,""en"",""zh-CN"")"),"女孩正在射击箭。")</f>
        <v>女孩正在射击箭。</v>
      </c>
    </row>
    <row r="19565">
      <c r="A19565" s="4" t="s">
        <v>24620</v>
      </c>
      <c r="B19565" s="4" t="s">
        <v>24622</v>
      </c>
      <c r="C19565" s="5" t="str">
        <f>IFERROR(__xludf.DUMMYFUNCTION("GOOGLETRANSLATE(B19565,""en"",""zh-CN"")"),"五个年轻人正在射击箭。")</f>
        <v>五个年轻人正在射击箭。</v>
      </c>
    </row>
    <row r="19566">
      <c r="A19566" s="4" t="s">
        <v>24620</v>
      </c>
      <c r="B19566" s="4" t="s">
        <v>24623</v>
      </c>
      <c r="C19566" s="5" t="str">
        <f>IFERROR(__xludf.DUMMYFUNCTION("GOOGLETRANSLATE(B19566,""en"",""zh-CN"")"),"年轻人从目标委员会中取出箭头。")</f>
        <v>年轻人从目标委员会中取出箭头。</v>
      </c>
    </row>
    <row r="19567">
      <c r="A19567" s="4" t="s">
        <v>24624</v>
      </c>
      <c r="B19567" s="4" t="s">
        <v>24625</v>
      </c>
      <c r="C19567" s="5" t="str">
        <f>IFERROR(__xludf.DUMMYFUNCTION("GOOGLETRANSLATE(B19567,""en"",""zh-CN"")"),"一个小女孩在麦克风上唱歌时轻轻地弹盘拿着两根棍子。")</f>
        <v>一个小女孩在麦克风上唱歌时轻轻地弹盘拿着两根棍子。</v>
      </c>
    </row>
    <row r="19568">
      <c r="A19568" s="4" t="s">
        <v>24624</v>
      </c>
      <c r="B19568" s="4" t="s">
        <v>24626</v>
      </c>
      <c r="C19568" s="5" t="str">
        <f>IFERROR(__xludf.DUMMYFUNCTION("GOOGLETRANSLATE(B19568,""en"",""zh-CN"")"),"女孩演奏更快的鼓。")</f>
        <v>女孩演奏更快的鼓。</v>
      </c>
    </row>
    <row r="19569">
      <c r="A19569" s="4" t="s">
        <v>24627</v>
      </c>
      <c r="B19569" s="4" t="s">
        <v>24628</v>
      </c>
      <c r="C19569" s="5" t="str">
        <f>IFERROR(__xludf.DUMMYFUNCTION("GOOGLETRANSLATE(B19569,""en"",""zh-CN"")"),"一个女人戴着手套的男人躺在椅子上。")</f>
        <v>一个女人戴着手套的男人躺在椅子上。</v>
      </c>
    </row>
    <row r="19570">
      <c r="A19570" s="4" t="s">
        <v>24627</v>
      </c>
      <c r="B19570" s="4" t="s">
        <v>24629</v>
      </c>
      <c r="C19570" s="5" t="str">
        <f>IFERROR(__xludf.DUMMYFUNCTION("GOOGLETRANSLATE(B19570,""en"",""zh-CN"")"),"他将夹具放在她鼻子的各个部位。")</f>
        <v>他将夹具放在她鼻子的各个部位。</v>
      </c>
    </row>
    <row r="19571">
      <c r="A19571" s="4" t="s">
        <v>24627</v>
      </c>
      <c r="B19571" s="4" t="s">
        <v>24630</v>
      </c>
      <c r="C19571" s="5" t="str">
        <f>IFERROR(__xludf.DUMMYFUNCTION("GOOGLETRANSLATE(B19571,""en"",""zh-CN"")"),"然后，他在制作刺穿之前插入了杆。")</f>
        <v>然后，他在制作刺穿之前插入了杆。</v>
      </c>
    </row>
    <row r="19572">
      <c r="A19572" s="4" t="s">
        <v>24631</v>
      </c>
      <c r="B19572" s="4" t="s">
        <v>24632</v>
      </c>
      <c r="C19572" s="5" t="str">
        <f>IFERROR(__xludf.DUMMYFUNCTION("GOOGLETRANSLATE(B19572,""en"",""zh-CN"")"),"一个穿着绿色外套的人在雪地上走来走去。")</f>
        <v>一个穿着绿色外套的人在雪地上走来走去。</v>
      </c>
    </row>
    <row r="19573">
      <c r="A19573" s="4" t="s">
        <v>24631</v>
      </c>
      <c r="B19573" s="4" t="s">
        <v>24633</v>
      </c>
      <c r="C19573" s="5" t="str">
        <f>IFERROR(__xludf.DUMMYFUNCTION("GOOGLETRANSLATE(B19573,""en"",""zh-CN"")"),"一个年轻的女孩躺在雪地上的管子里。")</f>
        <v>一个年轻的女孩躺在雪地上的管子里。</v>
      </c>
    </row>
    <row r="19574">
      <c r="A19574" s="4" t="s">
        <v>24631</v>
      </c>
      <c r="B19574" s="4" t="s">
        <v>24634</v>
      </c>
      <c r="C19574" s="5" t="str">
        <f>IFERROR(__xludf.DUMMYFUNCTION("GOOGLETRANSLATE(B19574,""en"",""zh-CN"")"),"然后，她被推下坡道。")</f>
        <v>然后，她被推下坡道。</v>
      </c>
    </row>
    <row r="19575">
      <c r="A19575" s="4" t="s">
        <v>24631</v>
      </c>
      <c r="B19575" s="4" t="s">
        <v>24635</v>
      </c>
      <c r="C19575" s="5" t="str">
        <f>IFERROR(__xludf.DUMMYFUNCTION("GOOGLETRANSLATE(B19575,""en"",""zh-CN"")"),"最终她停下来。")</f>
        <v>最终她停下来。</v>
      </c>
    </row>
    <row r="19576">
      <c r="A19576" s="4" t="s">
        <v>24636</v>
      </c>
      <c r="B19576" s="6" t="s">
        <v>24637</v>
      </c>
      <c r="C19576" s="5" t="str">
        <f>IFERROR(__xludf.DUMMYFUNCTION("GOOGLETRANSLATE(B19576,""en"",""zh-CN"")"),"看到一个运动员站在大量人群前，然后沿着赛道跑来跳过光束。")</f>
        <v>看到一个运动员站在大量人群前，然后沿着赛道跑来跳过光束。</v>
      </c>
    </row>
    <row r="19577">
      <c r="A19577" s="4" t="s">
        <v>24636</v>
      </c>
      <c r="B19577" s="4" t="s">
        <v>24638</v>
      </c>
      <c r="C19577" s="5" t="str">
        <f>IFERROR(__xludf.DUMMYFUNCTION("GOOGLETRANSLATE(B19577,""en"",""zh-CN"")"),"该男子与其他人一起庆祝，他的同样跳动以慢动作几次。")</f>
        <v>该男子与其他人一起庆祝，他的同样跳动以慢动作几次。</v>
      </c>
    </row>
    <row r="19578">
      <c r="A19578" s="4" t="s">
        <v>24639</v>
      </c>
      <c r="B19578" s="6" t="s">
        <v>24640</v>
      </c>
      <c r="C19578" s="5" t="str">
        <f>IFERROR(__xludf.DUMMYFUNCTION("GOOGLETRANSLATE(B19578,""en"",""zh-CN"")"),"该视频导致屏幕上显示的各种文字，然后是啦啦队执行例程。")</f>
        <v>该视频导致屏幕上显示的各种文字，然后是啦啦队执行例程。</v>
      </c>
    </row>
    <row r="19579">
      <c r="A19579" s="4" t="s">
        <v>24639</v>
      </c>
      <c r="B19579" s="6" t="s">
        <v>24641</v>
      </c>
      <c r="C19579" s="5" t="str">
        <f>IFERROR(__xludf.DUMMYFUNCTION("GOOGLETRANSLATE(B19579,""en"",""zh-CN"")"),"表现出几张欢呼领先的表演者的几张照片，他们完成了令人印象深刻的特技表演并在舞台上移动，而另一些人则观看。")</f>
        <v>表现出几张欢呼领先的表演者的几张照片，他们完成了令人印象深刻的特技表演并在舞台上移动，而另一些人则观看。</v>
      </c>
    </row>
    <row r="19580">
      <c r="A19580" s="4" t="s">
        <v>24642</v>
      </c>
      <c r="B19580" s="6" t="s">
        <v>24643</v>
      </c>
      <c r="C19580" s="5" t="str">
        <f>IFERROR(__xludf.DUMMYFUNCTION("GOOGLETRANSLATE(B19580,""en"",""zh-CN"")"),"女性正在一场体操比赛中，在屋顶的健身房里跳高跳高，周围有很多人看着她们。")</f>
        <v>女性正在一场体操比赛中，在屋顶的健身房里跳高跳高，周围有很多人看着她们。</v>
      </c>
    </row>
    <row r="19581">
      <c r="A19581" s="4" t="s">
        <v>24642</v>
      </c>
      <c r="B19581" s="4" t="s">
        <v>24644</v>
      </c>
      <c r="C19581" s="5" t="str">
        <f>IFERROR(__xludf.DUMMYFUNCTION("GOOGLETRANSLATE(B19581,""en"",""zh-CN"")"),"参与者处于领奖台接收奖章上。")</f>
        <v>参与者处于领奖台接收奖章上。</v>
      </c>
    </row>
    <row r="19582">
      <c r="A19582" s="4" t="s">
        <v>24645</v>
      </c>
      <c r="B19582" s="4" t="s">
        <v>24646</v>
      </c>
      <c r="C19582" s="5" t="str">
        <f>IFERROR(__xludf.DUMMYFUNCTION("GOOGLETRANSLATE(B19582,""en"",""zh-CN"")"),"一个男人在他旁边的那个男人浇水时涂着篱笆。")</f>
        <v>一个男人在他旁边的那个男人浇水时涂着篱笆。</v>
      </c>
    </row>
    <row r="19583">
      <c r="A19583" s="4" t="s">
        <v>24645</v>
      </c>
      <c r="B19583" s="4" t="s">
        <v>24647</v>
      </c>
      <c r="C19583" s="5" t="str">
        <f>IFERROR(__xludf.DUMMYFUNCTION("GOOGLETRANSLATE(B19583,""en"",""zh-CN"")"),"他们俩第二次越过篱笆。")</f>
        <v>他们俩第二次越过篱笆。</v>
      </c>
    </row>
    <row r="19584">
      <c r="A19584" s="4" t="s">
        <v>24645</v>
      </c>
      <c r="B19584" s="4" t="s">
        <v>24648</v>
      </c>
      <c r="C19584" s="5" t="str">
        <f>IFERROR(__xludf.DUMMYFUNCTION("GOOGLETRANSLATE(B19584,""en"",""zh-CN"")"),"他们第三次做。")</f>
        <v>他们第三次做。</v>
      </c>
    </row>
    <row r="19585">
      <c r="A19585" s="4" t="s">
        <v>24645</v>
      </c>
      <c r="B19585" s="4" t="s">
        <v>24649</v>
      </c>
      <c r="C19585" s="5" t="str">
        <f>IFERROR(__xludf.DUMMYFUNCTION("GOOGLETRANSLATE(B19585,""en"",""zh-CN"")"),"他们第四次做。")</f>
        <v>他们第四次做。</v>
      </c>
    </row>
    <row r="19586">
      <c r="A19586" s="4" t="s">
        <v>24645</v>
      </c>
      <c r="B19586" s="4" t="s">
        <v>24650</v>
      </c>
      <c r="C19586" s="5" t="str">
        <f>IFERROR(__xludf.DUMMYFUNCTION("GOOGLETRANSLATE(B19586,""en"",""zh-CN"")"),"他们第五次。")</f>
        <v>他们第五次。</v>
      </c>
    </row>
    <row r="19587">
      <c r="A19587" s="4" t="s">
        <v>24651</v>
      </c>
      <c r="B19587" s="4" t="s">
        <v>24652</v>
      </c>
      <c r="C19587" s="5" t="str">
        <f>IFERROR(__xludf.DUMMYFUNCTION("GOOGLETRANSLATE(B19587,""en"",""zh-CN"")"),"一位名叫戴夫（Dave）的建筑工人开始向您展示如何灌浆。")</f>
        <v>一位名叫戴夫（Dave）的建筑工人开始向您展示如何灌浆。</v>
      </c>
    </row>
    <row r="19588">
      <c r="A19588" s="4" t="s">
        <v>24651</v>
      </c>
      <c r="B19588" s="4" t="s">
        <v>24653</v>
      </c>
      <c r="C19588" s="5" t="str">
        <f>IFERROR(__xludf.DUMMYFUNCTION("GOOGLETRANSLATE(B19588,""en"",""zh-CN"")"),"他从墙上开始，开始解释他在做什么以及他为什么要做的事情。")</f>
        <v>他从墙上开始，开始解释他在做什么以及他为什么要做的事情。</v>
      </c>
    </row>
    <row r="19589">
      <c r="A19589" s="4" t="s">
        <v>24651</v>
      </c>
      <c r="B19589" s="6" t="s">
        <v>24654</v>
      </c>
      <c r="C19589" s="5" t="str">
        <f>IFERROR(__xludf.DUMMYFUNCTION("GOOGLETRANSLATE(B19589,""en"",""zh-CN"")"),"灌浆开始干燥后，他告诉您，您应该在各个时间用海绵擦拭。")</f>
        <v>灌浆开始干燥后，他告诉您，您应该在各个时间用海绵擦拭。</v>
      </c>
    </row>
    <row r="19590">
      <c r="A19590" s="4" t="s">
        <v>24651</v>
      </c>
      <c r="B19590" s="6" t="s">
        <v>24655</v>
      </c>
      <c r="C19590" s="5" t="str">
        <f>IFERROR(__xludf.DUMMYFUNCTION("GOOGLETRANSLATE(B19590,""en"",""zh-CN"")"),"有了更好的海绵，您可以在潮湿的时候再次越过它，然后将其弄湿，这样就不会破坏瓷砖和所做的所有工作。")</f>
        <v>有了更好的海绵，您可以在潮湿的时候再次越过它，然后将其弄湿，这样就不会破坏瓷砖和所做的所有工作。</v>
      </c>
    </row>
    <row r="19591">
      <c r="A19591" s="4" t="s">
        <v>24656</v>
      </c>
      <c r="B19591" s="4" t="s">
        <v>24657</v>
      </c>
      <c r="C19591" s="5" t="str">
        <f>IFERROR(__xludf.DUMMYFUNCTION("GOOGLETRANSLATE(B19591,""en"",""zh-CN"")"),"看到一个男人戴着拳击手套，在一个大房间中间撞了一个袋子。")</f>
        <v>看到一个男人戴着拳击手套，在一个大房间中间撞了一个袋子。</v>
      </c>
    </row>
    <row r="19592">
      <c r="A19592" s="4" t="s">
        <v>24656</v>
      </c>
      <c r="B19592" s="4" t="s">
        <v>24658</v>
      </c>
      <c r="C19592" s="5" t="str">
        <f>IFERROR(__xludf.DUMMYFUNCTION("GOOGLETRANSLATE(B19592,""en"",""zh-CN"")"),"该男子继续打包，而另外几个人则在背景中击中袋子。")</f>
        <v>该男子继续打包，而另外几个人则在背景中击中袋子。</v>
      </c>
    </row>
    <row r="19593">
      <c r="A19593" s="4" t="s">
        <v>24656</v>
      </c>
      <c r="B19593" s="4" t="s">
        <v>24659</v>
      </c>
      <c r="C19593" s="5" t="str">
        <f>IFERROR(__xludf.DUMMYFUNCTION("GOOGLETRANSLATE(B19593,""en"",""zh-CN"")"),"他踢了袋子，然后朝着相机走去。")</f>
        <v>他踢了袋子，然后朝着相机走去。</v>
      </c>
    </row>
    <row r="19594">
      <c r="A19594" s="4" t="s">
        <v>24660</v>
      </c>
      <c r="B19594" s="4" t="s">
        <v>24661</v>
      </c>
      <c r="C19594" s="5" t="str">
        <f>IFERROR(__xludf.DUMMYFUNCTION("GOOGLETRANSLATE(B19594,""en"",""zh-CN"")"),"排球在壁架上旋转。")</f>
        <v>排球在壁架上旋转。</v>
      </c>
    </row>
    <row r="19595">
      <c r="A19595" s="4" t="s">
        <v>24660</v>
      </c>
      <c r="B19595" s="6" t="s">
        <v>24662</v>
      </c>
      <c r="C19595" s="5" t="str">
        <f>IFERROR(__xludf.DUMMYFUNCTION("GOOGLETRANSLATE(B19595,""en"",""zh-CN"")"),"然后，我们看到一场乒乓球比赛，球员在比赛时展示了桨，球和桌子的机制。")</f>
        <v>然后，我们看到一场乒乓球比赛，球员在比赛时展示了桨，球和桌子的机制。</v>
      </c>
    </row>
    <row r="19596">
      <c r="A19596" s="4" t="s">
        <v>24663</v>
      </c>
      <c r="B19596" s="4" t="s">
        <v>24664</v>
      </c>
      <c r="C19596" s="5" t="str">
        <f>IFERROR(__xludf.DUMMYFUNCTION("GOOGLETRANSLATE(B19596,""en"",""zh-CN"")"),"一个男人站在院子里玩风笛。")</f>
        <v>一个男人站在院子里玩风笛。</v>
      </c>
    </row>
    <row r="19597">
      <c r="A19597" s="4" t="s">
        <v>24663</v>
      </c>
      <c r="B19597" s="4" t="s">
        <v>24665</v>
      </c>
      <c r="C19597" s="5" t="str">
        <f>IFERROR(__xludf.DUMMYFUNCTION("GOOGLETRANSLATE(B19597,""en"",""zh-CN"")"),"该男子深吸一口气并移动钥匙。")</f>
        <v>该男子深吸一口气并移动钥匙。</v>
      </c>
    </row>
    <row r="19598">
      <c r="A19598" s="4" t="s">
        <v>24666</v>
      </c>
      <c r="B19598" s="4" t="s">
        <v>24667</v>
      </c>
      <c r="C19598" s="5" t="str">
        <f>IFERROR(__xludf.DUMMYFUNCTION("GOOGLETRANSLATE(B19598,""en"",""zh-CN"")"),"两个人在室内法庭上一起比赛。")</f>
        <v>两个人在室内法庭上一起比赛。</v>
      </c>
    </row>
    <row r="19599">
      <c r="A19599" s="4" t="s">
        <v>24666</v>
      </c>
      <c r="B19599" s="4" t="s">
        <v>24668</v>
      </c>
      <c r="C19599" s="5" t="str">
        <f>IFERROR(__xludf.DUMMYFUNCTION("GOOGLETRANSLATE(B19599,""en"",""zh-CN"")"),"其中一个人恢复了球并服役。")</f>
        <v>其中一个人恢复了球并服役。</v>
      </c>
    </row>
    <row r="19600">
      <c r="A19600" s="4" t="s">
        <v>24666</v>
      </c>
      <c r="B19600" s="4" t="s">
        <v>24669</v>
      </c>
      <c r="C19600" s="5" t="str">
        <f>IFERROR(__xludf.DUMMYFUNCTION("GOOGLETRANSLATE(B19600,""en"",""zh-CN"")"),"同一个人恢复球并再次服役。")</f>
        <v>同一个人恢复球并再次服役。</v>
      </c>
    </row>
    <row r="19601">
      <c r="A19601" s="4" t="s">
        <v>24670</v>
      </c>
      <c r="B19601" s="4" t="s">
        <v>24671</v>
      </c>
      <c r="C19601" s="5" t="str">
        <f>IFERROR(__xludf.DUMMYFUNCTION("GOOGLETRANSLATE(B19601,""en"",""zh-CN"")"),"人们在管道度假胜地的山丘上骑线路。")</f>
        <v>人们在管道度假胜地的山丘上骑线路。</v>
      </c>
    </row>
    <row r="19602">
      <c r="A19602" s="4" t="s">
        <v>24670</v>
      </c>
      <c r="B19602" s="4" t="s">
        <v>24672</v>
      </c>
      <c r="C19602" s="5" t="str">
        <f>IFERROR(__xludf.DUMMYFUNCTION("GOOGLETRANSLATE(B19602,""en"",""zh-CN"")"),"一个人沿着山上骑着管。")</f>
        <v>一个人沿着山上骑着管。</v>
      </c>
    </row>
    <row r="19603">
      <c r="A19603" s="4" t="s">
        <v>24670</v>
      </c>
      <c r="B19603" s="4" t="s">
        <v>24673</v>
      </c>
      <c r="C19603" s="5" t="str">
        <f>IFERROR(__xludf.DUMMYFUNCTION("GOOGLETRANSLATE(B19603,""en"",""zh-CN"")"),"我们看着人们沿着山上走去，看着人们从山上走。")</f>
        <v>我们看着人们沿着山上走去，看着人们从山上走。</v>
      </c>
    </row>
    <row r="19604">
      <c r="A19604" s="4" t="s">
        <v>24670</v>
      </c>
      <c r="B19604" s="4" t="s">
        <v>24674</v>
      </c>
      <c r="C19604" s="5" t="str">
        <f>IFERROR(__xludf.DUMMYFUNCTION("GOOGLETRANSLATE(B19604,""en"",""zh-CN"")"),"我们看着相机的人走下山。")</f>
        <v>我们看着相机的人走下山。</v>
      </c>
    </row>
    <row r="19605">
      <c r="A19605" s="4" t="s">
        <v>24670</v>
      </c>
      <c r="B19605" s="4" t="s">
        <v>3608</v>
      </c>
      <c r="C19605" s="5" t="str">
        <f>IFERROR(__xludf.DUMMYFUNCTION("GOOGLETRANSLATE(B19605,""en"",""zh-CN"")"),"我们看到结尾屏幕。")</f>
        <v>我们看到结尾屏幕。</v>
      </c>
    </row>
    <row r="19606">
      <c r="A19606" s="4" t="s">
        <v>24675</v>
      </c>
      <c r="B19606" s="4" t="s">
        <v>24676</v>
      </c>
      <c r="C19606" s="5" t="str">
        <f>IFERROR(__xludf.DUMMYFUNCTION("GOOGLETRANSLATE(B19606,""en"",""zh-CN"")"),"一个女孩站在柜台旁，柜台上放着各种食物。")</f>
        <v>一个女孩站在柜台旁，柜台上放着各种食物。</v>
      </c>
    </row>
    <row r="19607">
      <c r="A19607" s="4" t="s">
        <v>24675</v>
      </c>
      <c r="B19607" s="4" t="s">
        <v>24677</v>
      </c>
      <c r="C19607" s="5" t="str">
        <f>IFERROR(__xludf.DUMMYFUNCTION("GOOGLETRANSLATE(B19607,""en"",""zh-CN"")"),"她握住成分，并指导您制作三明治所需的东西。")</f>
        <v>她握住成分，并指导您制作三明治所需的东西。</v>
      </c>
    </row>
    <row r="19608">
      <c r="A19608" s="4" t="s">
        <v>24675</v>
      </c>
      <c r="B19608" s="4" t="s">
        <v>24678</v>
      </c>
      <c r="C19608" s="5" t="str">
        <f>IFERROR(__xludf.DUMMYFUNCTION("GOOGLETRANSLATE(B19608,""en"",""zh-CN"")"),"她开始切碎蔬菜，将敷料放在面包上。")</f>
        <v>她开始切碎蔬菜，将敷料放在面包上。</v>
      </c>
    </row>
    <row r="19609">
      <c r="A19609" s="4" t="s">
        <v>24675</v>
      </c>
      <c r="B19609" s="4" t="s">
        <v>24679</v>
      </c>
      <c r="C19609" s="5" t="str">
        <f>IFERROR(__xludf.DUMMYFUNCTION("GOOGLETRANSLATE(B19609,""en"",""zh-CN"")"),"她在调味料上散布，并将其他成分放在三明治上。")</f>
        <v>她在调味料上散布，并将其他成分放在三明治上。</v>
      </c>
    </row>
    <row r="19610">
      <c r="A19610" s="4" t="s">
        <v>24680</v>
      </c>
      <c r="B19610" s="4" t="s">
        <v>24681</v>
      </c>
      <c r="C19610" s="5" t="str">
        <f>IFERROR(__xludf.DUMMYFUNCTION("GOOGLETRANSLATE(B19610,""en"",""zh-CN"")"),"我们看到标题遍布屏幕。")</f>
        <v>我们看到标题遍布屏幕。</v>
      </c>
    </row>
    <row r="19611">
      <c r="A19611" s="4" t="s">
        <v>24680</v>
      </c>
      <c r="B19611" s="4" t="s">
        <v>24682</v>
      </c>
      <c r="C19611" s="5" t="str">
        <f>IFERROR(__xludf.DUMMYFUNCTION("GOOGLETRANSLATE(B19611,""en"",""zh-CN"")"),"我们看到烘焙用品和成分。")</f>
        <v>我们看到烘焙用品和成分。</v>
      </c>
    </row>
    <row r="19612">
      <c r="A19612" s="4" t="s">
        <v>24680</v>
      </c>
      <c r="B19612" s="4" t="s">
        <v>24683</v>
      </c>
      <c r="C19612" s="5" t="str">
        <f>IFERROR(__xludf.DUMMYFUNCTION("GOOGLETRANSLATE(B19612,""en"",""zh-CN"")"),"有人搅拌饼干面团，将饼干放在纸上。")</f>
        <v>有人搅拌饼干面团，将饼干放在纸上。</v>
      </c>
    </row>
    <row r="19613">
      <c r="A19613" s="4" t="s">
        <v>24680</v>
      </c>
      <c r="B19613" s="4" t="s">
        <v>24684</v>
      </c>
      <c r="C19613" s="5" t="str">
        <f>IFERROR(__xludf.DUMMYFUNCTION("GOOGLETRANSLATE(B19613,""en"",""zh-CN"")"),"饼干进入烤箱并烘烤9分钟，然后将新批量放入烤箱中。")</f>
        <v>饼干进入烤箱并烘烤9分钟，然后将新批量放入烤箱中。</v>
      </c>
    </row>
    <row r="19614">
      <c r="A19614" s="4" t="s">
        <v>24680</v>
      </c>
      <c r="B19614" s="4" t="s">
        <v>24685</v>
      </c>
      <c r="C19614" s="5" t="str">
        <f>IFERROR(__xludf.DUMMYFUNCTION("GOOGLETRANSLATE(B19614,""en"",""zh-CN"")"),"温暖的饼干放在冷却架上。")</f>
        <v>温暖的饼干放在冷却架上。</v>
      </c>
    </row>
    <row r="19615">
      <c r="A19615" s="4" t="s">
        <v>24680</v>
      </c>
      <c r="B19615" s="4" t="s">
        <v>24686</v>
      </c>
      <c r="C19615" s="5" t="str">
        <f>IFERROR(__xludf.DUMMYFUNCTION("GOOGLETRANSLATE(B19615,""en"",""zh-CN"")"),"该人洗涤并干燥硅胶烤盘。")</f>
        <v>该人洗涤并干燥硅胶烤盘。</v>
      </c>
    </row>
    <row r="19616">
      <c r="A19616" s="4" t="s">
        <v>24680</v>
      </c>
      <c r="B19616" s="4" t="s">
        <v>24687</v>
      </c>
      <c r="C19616" s="5" t="str">
        <f>IFERROR(__xludf.DUMMYFUNCTION("GOOGLETRANSLATE(B19616,""en"",""zh-CN"")"),"他们将烤盘卷起来，向我们展示完成的冷却饼干。")</f>
        <v>他们将烤盘卷起来，向我们展示完成的冷却饼干。</v>
      </c>
    </row>
    <row r="19617">
      <c r="A19617" s="4" t="s">
        <v>24688</v>
      </c>
      <c r="B19617" s="4" t="s">
        <v>24689</v>
      </c>
      <c r="C19617" s="5" t="str">
        <f>IFERROR(__xludf.DUMMYFUNCTION("GOOGLETRANSLATE(B19617,""en"",""zh-CN"")"),"一个男人站在户外开阔的田野上。")</f>
        <v>一个男人站在户外开阔的田野上。</v>
      </c>
    </row>
    <row r="19618">
      <c r="A19618" s="4" t="s">
        <v>24688</v>
      </c>
      <c r="B19618" s="4" t="s">
        <v>24690</v>
      </c>
      <c r="C19618" s="5" t="str">
        <f>IFERROR(__xludf.DUMMYFUNCTION("GOOGLETRANSLATE(B19618,""en"",""zh-CN"")"),"他使用射箭套装在飞行的碟片上向后拉和箭头。")</f>
        <v>他使用射箭套装在飞行的碟片上向后拉和箭头。</v>
      </c>
    </row>
    <row r="19619">
      <c r="A19619" s="4" t="s">
        <v>24688</v>
      </c>
      <c r="B19619" s="4" t="s">
        <v>24691</v>
      </c>
      <c r="C19619" s="5" t="str">
        <f>IFERROR(__xludf.DUMMYFUNCTION("GOOGLETRANSLATE(B19619,""en"",""zh-CN"")"),"他每次都用箭头击中光盘。")</f>
        <v>他每次都用箭头击中光盘。</v>
      </c>
    </row>
    <row r="19620">
      <c r="A19620" s="4" t="s">
        <v>24692</v>
      </c>
      <c r="B19620" s="4" t="s">
        <v>24693</v>
      </c>
      <c r="C19620" s="5" t="str">
        <f>IFERROR(__xludf.DUMMYFUNCTION("GOOGLETRANSLATE(B19620,""en"",""zh-CN"")"),"坐在游泳池侧面捕获下面的气泡的侧面显示相机。")</f>
        <v>坐在游泳池侧面捕获下面的气泡的侧面显示相机。</v>
      </c>
    </row>
    <row r="19621">
      <c r="A19621" s="4" t="s">
        <v>24692</v>
      </c>
      <c r="B19621" s="4" t="s">
        <v>24694</v>
      </c>
      <c r="C19621" s="5" t="str">
        <f>IFERROR(__xludf.DUMMYFUNCTION("GOOGLETRANSLATE(B19621,""en"",""zh-CN"")"),"显示了更多的气泡，后面是一个男人跳进去。")</f>
        <v>显示了更多的气泡，后面是一个男人跳进去。</v>
      </c>
    </row>
    <row r="19622">
      <c r="A19622" s="4" t="s">
        <v>24692</v>
      </c>
      <c r="B19622" s="4" t="s">
        <v>24695</v>
      </c>
      <c r="C19622" s="5" t="str">
        <f>IFERROR(__xludf.DUMMYFUNCTION("GOOGLETRANSLATE(B19622,""en"",""zh-CN"")"),"该男子一直跳入游泳池，相机捕捉了他的动作。")</f>
        <v>该男子一直跳入游泳池，相机捕捉了他的动作。</v>
      </c>
    </row>
    <row r="19623">
      <c r="A19623" s="4" t="s">
        <v>24696</v>
      </c>
      <c r="B19623" s="4" t="s">
        <v>24697</v>
      </c>
      <c r="C19623" s="5" t="str">
        <f>IFERROR(__xludf.DUMMYFUNCTION("GOOGLETRANSLATE(B19623,""en"",""zh-CN"")"),"穿着橙色衬衫的女人坐在健身机上。")</f>
        <v>穿着橙色衬衫的女人坐在健身机上。</v>
      </c>
    </row>
    <row r="19624">
      <c r="A19624" s="4" t="s">
        <v>24696</v>
      </c>
      <c r="B19624" s="4" t="s">
        <v>6016</v>
      </c>
      <c r="C19624" s="5" t="str">
        <f>IFERROR(__xludf.DUMMYFUNCTION("GOOGLETRANSLATE(B19624,""en"",""zh-CN"")"),"她开始在运动机上锻炼。")</f>
        <v>她开始在运动机上锻炼。</v>
      </c>
    </row>
    <row r="19625">
      <c r="A19625" s="4" t="s">
        <v>24696</v>
      </c>
      <c r="B19625" s="4" t="s">
        <v>24698</v>
      </c>
      <c r="C19625" s="5" t="str">
        <f>IFERROR(__xludf.DUMMYFUNCTION("GOOGLETRANSLATE(B19625,""en"",""zh-CN"")"),"人们正经过她身后的窗户。")</f>
        <v>人们正经过她身后的窗户。</v>
      </c>
    </row>
    <row r="19626">
      <c r="A19626" s="4" t="s">
        <v>24699</v>
      </c>
      <c r="B19626" s="4" t="s">
        <v>24700</v>
      </c>
      <c r="C19626" s="5" t="str">
        <f>IFERROR(__xludf.DUMMYFUNCTION("GOOGLETRANSLATE(B19626,""en"",""zh-CN"")"),"一个男人跪在一个充满肥皂的银碗上的泥土中。")</f>
        <v>一个男人跪在一个充满肥皂的银碗上的泥土中。</v>
      </c>
    </row>
    <row r="19627">
      <c r="A19627" s="4" t="s">
        <v>24699</v>
      </c>
      <c r="B19627" s="4" t="s">
        <v>24701</v>
      </c>
      <c r="C19627" s="5" t="str">
        <f>IFERROR(__xludf.DUMMYFUNCTION("GOOGLETRANSLATE(B19627,""en"",""zh-CN"")"),"在大碗中，他开始像洗衣服一样移动一件白衬衫。")</f>
        <v>在大碗中，他开始像洗衣服一样移动一件白衬衫。</v>
      </c>
    </row>
    <row r="19628">
      <c r="A19628" s="4" t="s">
        <v>24699</v>
      </c>
      <c r="B19628" s="4" t="s">
        <v>24702</v>
      </c>
      <c r="C19628" s="5" t="str">
        <f>IFERROR(__xludf.DUMMYFUNCTION("GOOGLETRANSLATE(B19628,""en"",""zh-CN"")"),"最后，他停下来，拿起软管以冲洗水。")</f>
        <v>最后，他停下来，拿起软管以冲洗水。</v>
      </c>
    </row>
    <row r="19629">
      <c r="A19629" s="4" t="s">
        <v>24703</v>
      </c>
      <c r="B19629" s="6" t="s">
        <v>24704</v>
      </c>
      <c r="C19629" s="5" t="str">
        <f>IFERROR(__xludf.DUMMYFUNCTION("GOOGLETRANSLATE(B19629,""en"",""zh-CN"")"),"看到一个人的手转动旋钮，然后他们的脚踩在纽扣上，一个男人拿着铁。")</f>
        <v>看到一个人的手转动旋钮，然后他们的脚踩在纽扣上，一个男人拿着铁。</v>
      </c>
    </row>
    <row r="19630">
      <c r="A19630" s="4" t="s">
        <v>24703</v>
      </c>
      <c r="B19630" s="4" t="s">
        <v>24705</v>
      </c>
      <c r="C19630" s="5" t="str">
        <f>IFERROR(__xludf.DUMMYFUNCTION("GOOGLETRANSLATE(B19630,""en"",""zh-CN"")"),"他在测试熨斗时调整了更多设置，并开始在桌子上熨烫衬衫。")</f>
        <v>他在测试熨斗时调整了更多设置，并开始在桌子上熨烫衬衫。</v>
      </c>
    </row>
    <row r="19631">
      <c r="A19631" s="4" t="s">
        <v>24703</v>
      </c>
      <c r="B19631" s="6" t="s">
        <v>24706</v>
      </c>
      <c r="C19631" s="5" t="str">
        <f>IFERROR(__xludf.DUMMYFUNCTION("GOOGLETRANSLATE(B19631,""en"",""zh-CN"")"),"这些人通过向相机上炫耀熨烫机来继续围绕衬衫和熨斗和EN翻转。")</f>
        <v>这些人通过向相机上炫耀熨烫机来继续围绕衬衫和熨斗和EN翻转。</v>
      </c>
    </row>
    <row r="19632">
      <c r="A19632" s="4" t="s">
        <v>24707</v>
      </c>
      <c r="B19632" s="4" t="s">
        <v>24708</v>
      </c>
      <c r="C19632" s="5" t="str">
        <f>IFERROR(__xludf.DUMMYFUNCTION("GOOGLETRANSLATE(B19632,""en"",""zh-CN"")"),"一个男人坐在鼓盘后面。")</f>
        <v>一个男人坐在鼓盘后面。</v>
      </c>
    </row>
    <row r="19633">
      <c r="A19633" s="4" t="s">
        <v>24707</v>
      </c>
      <c r="B19633" s="4" t="s">
        <v>24709</v>
      </c>
      <c r="C19633" s="5" t="str">
        <f>IFERROR(__xludf.DUMMYFUNCTION("GOOGLETRANSLATE(B19633,""en"",""zh-CN"")"),"该男子开始演奏鼓组。")</f>
        <v>该男子开始演奏鼓组。</v>
      </c>
    </row>
    <row r="19634">
      <c r="A19634" s="4" t="s">
        <v>24707</v>
      </c>
      <c r="B19634" s="4" t="s">
        <v>24710</v>
      </c>
      <c r="C19634" s="5" t="str">
        <f>IFERROR(__xludf.DUMMYFUNCTION("GOOGLETRANSLATE(B19634,""en"",""zh-CN"")"),"这个男人一直在打鼓。")</f>
        <v>这个男人一直在打鼓。</v>
      </c>
    </row>
    <row r="19635">
      <c r="A19635" s="4" t="s">
        <v>24711</v>
      </c>
      <c r="B19635" s="4" t="s">
        <v>24712</v>
      </c>
      <c r="C19635" s="5" t="str">
        <f>IFERROR(__xludf.DUMMYFUNCTION("GOOGLETRANSLATE(B19635,""en"",""zh-CN"")"),"看到两个女孩站在一大群人面前的体育馆地板上。")</f>
        <v>看到两个女孩站在一大群人面前的体育馆地板上。</v>
      </c>
    </row>
    <row r="19636">
      <c r="A19636" s="4" t="s">
        <v>24711</v>
      </c>
      <c r="B19636" s="4" t="s">
        <v>24713</v>
      </c>
      <c r="C19636" s="5" t="str">
        <f>IFERROR(__xludf.DUMMYFUNCTION("GOOGLETRANSLATE(B19636,""en"",""zh-CN"")"),"然后，女孩们在手中旋转警棍时开始在该地区跳舞。")</f>
        <v>然后，女孩们在手中旋转警棍时开始在该地区跳舞。</v>
      </c>
    </row>
    <row r="19637">
      <c r="A19637" s="4" t="s">
        <v>24711</v>
      </c>
      <c r="B19637" s="4" t="s">
        <v>24714</v>
      </c>
      <c r="C19637" s="5" t="str">
        <f>IFERROR(__xludf.DUMMYFUNCTION("GOOGLETRANSLATE(B19637,""en"",""zh-CN"")"),"他们继续彼此旋转，结束姿势。")</f>
        <v>他们继续彼此旋转，结束姿势。</v>
      </c>
    </row>
    <row r="19638">
      <c r="A19638" s="4" t="s">
        <v>24715</v>
      </c>
      <c r="B19638" s="4" t="s">
        <v>24716</v>
      </c>
      <c r="C19638" s="5" t="str">
        <f>IFERROR(__xludf.DUMMYFUNCTION("GOOGLETRANSLATE(B19638,""en"",""zh-CN"")"),"有一个男人滑下一个非常陡峭的山坡。")</f>
        <v>有一个男人滑下一个非常陡峭的山坡。</v>
      </c>
    </row>
    <row r="19639">
      <c r="A19639" s="4" t="s">
        <v>24715</v>
      </c>
      <c r="B19639" s="4" t="s">
        <v>24717</v>
      </c>
      <c r="C19639" s="5" t="str">
        <f>IFERROR(__xludf.DUMMYFUNCTION("GOOGLETRANSLATE(B19639,""en"",""zh-CN"")"),"当穿着滑雪齿轮和护目镜完全穿着时，该男子的速度非常快，稳定地稳定下来。")</f>
        <v>当穿着滑雪齿轮和护目镜完全穿着时，该男子的速度非常快，稳定地稳定下来。</v>
      </c>
    </row>
    <row r="19640">
      <c r="A19640" s="4" t="s">
        <v>24715</v>
      </c>
      <c r="B19640" s="4" t="s">
        <v>24718</v>
      </c>
      <c r="C19640" s="5" t="str">
        <f>IFERROR(__xludf.DUMMYFUNCTION("GOOGLETRANSLATE(B19640,""en"",""zh-CN"")"),"然后，当他到达斜坡的底部时，他跌倒在地上。")</f>
        <v>然后，当他到达斜坡的底部时，他跌倒在地上。</v>
      </c>
    </row>
    <row r="19641">
      <c r="A19641" s="4" t="s">
        <v>24715</v>
      </c>
      <c r="B19641" s="4" t="s">
        <v>24719</v>
      </c>
      <c r="C19641" s="5" t="str">
        <f>IFERROR(__xludf.DUMMYFUNCTION("GOOGLETRANSLATE(B19641,""en"",""zh-CN"")"),"他马上回来，从衣服上撒下雪地。")</f>
        <v>他马上回来，从衣服上撒下雪地。</v>
      </c>
    </row>
    <row r="19642">
      <c r="A19642" s="4" t="s">
        <v>24715</v>
      </c>
      <c r="B19642" s="6" t="s">
        <v>24720</v>
      </c>
      <c r="C19642" s="5" t="str">
        <f>IFERROR(__xludf.DUMMYFUNCTION("GOOGLETRANSLATE(B19642,""en"",""zh-CN"")"),"他通过贴在外套上的无动用装置与另一个人交谈，让他知道他还好。")</f>
        <v>他通过贴在外套上的无动用装置与另一个人交谈，让他知道他还好。</v>
      </c>
    </row>
    <row r="19643">
      <c r="A19643" s="4" t="s">
        <v>24721</v>
      </c>
      <c r="B19643" s="4" t="s">
        <v>24722</v>
      </c>
      <c r="C19643" s="5" t="str">
        <f>IFERROR(__xludf.DUMMYFUNCTION("GOOGLETRANSLATE(B19643,""en"",""zh-CN"")"),"一个女孩和她的视频博客的图像要求人们订阅。")</f>
        <v>一个女孩和她的视频博客的图像要求人们订阅。</v>
      </c>
    </row>
    <row r="19644">
      <c r="A19644" s="4" t="s">
        <v>24721</v>
      </c>
      <c r="B19644" s="6" t="s">
        <v>24723</v>
      </c>
      <c r="C19644" s="5" t="str">
        <f>IFERROR(__xludf.DUMMYFUNCTION("GOOGLETRANSLATE(B19644,""en"",""zh-CN"")"),"一个戴着红色衫的女孩坐在客厅里，正在阅读推文并谈论它们。")</f>
        <v>一个戴着红色衫的女孩坐在客厅里，正在阅读推文并谈论它们。</v>
      </c>
    </row>
    <row r="19645">
      <c r="A19645" s="4" t="s">
        <v>24721</v>
      </c>
      <c r="B19645" s="4" t="s">
        <v>24724</v>
      </c>
      <c r="C19645" s="5" t="str">
        <f>IFERROR(__xludf.DUMMYFUNCTION("GOOGLETRANSLATE(B19645,""en"",""zh-CN"")"),"女孩拿着一只小南瓜和一把刀，在说话时切南瓜。")</f>
        <v>女孩拿着一只小南瓜和一把刀，在说话时切南瓜。</v>
      </c>
    </row>
    <row r="19646">
      <c r="A19646" s="4" t="s">
        <v>24721</v>
      </c>
      <c r="B19646" s="4" t="s">
        <v>24725</v>
      </c>
      <c r="C19646" s="5" t="str">
        <f>IFERROR(__xludf.DUMMYFUNCTION("GOOGLETRANSLATE(B19646,""en"",""zh-CN"")"),"Pumkkin分为两部分，并在女孩Keps说话和阅读推文时显示内部。")</f>
        <v>Pumkkin分为两部分，并在女孩Keps说话和阅读推文时显示内部。</v>
      </c>
    </row>
    <row r="19647">
      <c r="A19647" s="4" t="s">
        <v>24726</v>
      </c>
      <c r="B19647" s="4" t="s">
        <v>24727</v>
      </c>
      <c r="C19647" s="5" t="str">
        <f>IFERROR(__xludf.DUMMYFUNCTION("GOOGLETRANSLATE(B19647,""en"",""zh-CN"")"),"人们在大舞台上看到一个女人在大舞台上跳舞，而人们在旁边看着她。")</f>
        <v>人们在大舞台上看到一个女人在大舞台上跳舞，而人们在旁边看着她。</v>
      </c>
    </row>
    <row r="19648">
      <c r="A19648" s="4" t="s">
        <v>24726</v>
      </c>
      <c r="B19648" s="4" t="s">
        <v>24728</v>
      </c>
      <c r="C19648" s="5" t="str">
        <f>IFERROR(__xludf.DUMMYFUNCTION("GOOGLETRANSLATE(B19648,""en"",""zh-CN"")"),"当乐队在她身后演奏乐器时，她将臀部移动到周围。")</f>
        <v>当乐队在她身后演奏乐器时，她将臀部移动到周围。</v>
      </c>
    </row>
    <row r="19649">
      <c r="A19649" s="4" t="s">
        <v>24726</v>
      </c>
      <c r="B19649" s="4" t="s">
        <v>24729</v>
      </c>
      <c r="C19649" s="5" t="str">
        <f>IFERROR(__xludf.DUMMYFUNCTION("GOOGLETRANSLATE(B19649,""en"",""zh-CN"")"),"女人继续跳舞并结束，握着姿势和翻转头发。")</f>
        <v>女人继续跳舞并结束，握着姿势和翻转头发。</v>
      </c>
    </row>
    <row r="19650">
      <c r="A19650" s="4" t="s">
        <v>24730</v>
      </c>
      <c r="B19650" s="4" t="s">
        <v>24731</v>
      </c>
      <c r="C19650" s="5" t="str">
        <f>IFERROR(__xludf.DUMMYFUNCTION("GOOGLETRANSLATE(B19650,""en"",""zh-CN"")"),"一场曲棍球游戏被展示，一大群人在田野周围奔跑。")</f>
        <v>一场曲棍球游戏被展示，一大群人在田野周围奔跑。</v>
      </c>
    </row>
    <row r="19651">
      <c r="A19651" s="4" t="s">
        <v>24730</v>
      </c>
      <c r="B19651" s="4" t="s">
        <v>24732</v>
      </c>
      <c r="C19651" s="5" t="str">
        <f>IFERROR(__xludf.DUMMYFUNCTION("GOOGLETRANSLATE(B19651,""en"",""zh-CN"")"),"几个人在比赛中继续观察场外，裁判一步就打来电话。")</f>
        <v>几个人在比赛中继续观察场外，裁判一步就打来电话。</v>
      </c>
    </row>
    <row r="19652">
      <c r="A19652" s="4" t="s">
        <v>24733</v>
      </c>
      <c r="B19652" s="4" t="s">
        <v>24734</v>
      </c>
      <c r="C19652" s="5" t="str">
        <f>IFERROR(__xludf.DUMMYFUNCTION("GOOGLETRANSLATE(B19652,""en"",""zh-CN"")"),"一个人握着并宠爱一只无毛猫。")</f>
        <v>一个人握着并宠爱一只无毛猫。</v>
      </c>
    </row>
    <row r="19653">
      <c r="A19653" s="4" t="s">
        <v>24733</v>
      </c>
      <c r="B19653" s="4" t="s">
        <v>24735</v>
      </c>
      <c r="C19653" s="5" t="str">
        <f>IFERROR(__xludf.DUMMYFUNCTION("GOOGLETRANSLATE(B19653,""en"",""zh-CN"")"),"该人清洁并切割猫的前腿指甲。")</f>
        <v>该人清洁并切割猫的前腿指甲。</v>
      </c>
    </row>
    <row r="19654">
      <c r="A19654" s="4" t="s">
        <v>24736</v>
      </c>
      <c r="B19654" s="4" t="s">
        <v>24737</v>
      </c>
      <c r="C19654" s="5" t="str">
        <f>IFERROR(__xludf.DUMMYFUNCTION("GOOGLETRANSLATE(B19654,""en"",""zh-CN"")"),"一个男人在酒吧后面说话。")</f>
        <v>一个男人在酒吧后面说话。</v>
      </c>
    </row>
    <row r="19655">
      <c r="A19655" s="4" t="s">
        <v>24736</v>
      </c>
      <c r="B19655" s="4" t="s">
        <v>24738</v>
      </c>
      <c r="C19655" s="5" t="str">
        <f>IFERROR(__xludf.DUMMYFUNCTION("GOOGLETRANSLATE(B19655,""en"",""zh-CN"")"),"他展示了几种瓶子和水龙头。")</f>
        <v>他展示了几种瓶子和水龙头。</v>
      </c>
    </row>
    <row r="19656">
      <c r="A19656" s="4" t="s">
        <v>24736</v>
      </c>
      <c r="B19656" s="4" t="s">
        <v>24739</v>
      </c>
      <c r="C19656" s="5" t="str">
        <f>IFERROR(__xludf.DUMMYFUNCTION("GOOGLETRANSLATE(B19656,""en"",""zh-CN"")"),"他展示了如何混合他用来给女人的饮料。")</f>
        <v>他展示了如何混合他用来给女人的饮料。</v>
      </c>
    </row>
    <row r="19657">
      <c r="A19657" s="4" t="s">
        <v>24740</v>
      </c>
      <c r="B19657" s="4" t="s">
        <v>24741</v>
      </c>
      <c r="C19657" s="5" t="str">
        <f>IFERROR(__xludf.DUMMYFUNCTION("GOOGLETRANSLATE(B19657,""en"",""zh-CN"")"),"一个人将土豆剥在水槽里，突然一只猫跳到长凳上看女人。")</f>
        <v>一个人将土豆剥在水槽里，突然一只猫跳到长凳上看女人。</v>
      </c>
    </row>
    <row r="19658">
      <c r="A19658" s="4" t="s">
        <v>24740</v>
      </c>
      <c r="B19658" s="6" t="s">
        <v>24742</v>
      </c>
      <c r="C19658" s="5" t="str">
        <f>IFERROR(__xludf.DUMMYFUNCTION("GOOGLETRANSLATE(B19658,""en"",""zh-CN"")"),"猫用嘴触摸水槽，打算传递到水槽的另一侧，但女人阻止了水槽。")</f>
        <v>猫用嘴触摸水槽，打算传递到水槽的另一侧，但女人阻止了水槽。</v>
      </c>
    </row>
    <row r="19659">
      <c r="A19659" s="4" t="s">
        <v>24740</v>
      </c>
      <c r="B19659" s="4" t="s">
        <v>24743</v>
      </c>
      <c r="C19659" s="5" t="str">
        <f>IFERROR(__xludf.DUMMYFUNCTION("GOOGLETRANSLATE(B19659,""en"",""zh-CN"")"),"然后，猫从水槽里喝水，猫继续看着那个女人。")</f>
        <v>然后，猫从水槽里喝水，猫继续看着那个女人。</v>
      </c>
    </row>
    <row r="19660">
      <c r="A19660" s="4" t="s">
        <v>24740</v>
      </c>
      <c r="B19660" s="4" t="s">
        <v>24744</v>
      </c>
      <c r="C19660" s="5" t="str">
        <f>IFERROR(__xludf.DUMMYFUNCTION("GOOGLETRANSLATE(B19660,""en"",""zh-CN"")"),"之后，猫用腿触摸土豆剥皮器，而该人继续剥土豆。")</f>
        <v>之后，猫用腿触摸土豆剥皮器，而该人继续剥土豆。</v>
      </c>
    </row>
    <row r="19661">
      <c r="A19661" s="4" t="s">
        <v>24745</v>
      </c>
      <c r="B19661" s="4" t="s">
        <v>24746</v>
      </c>
      <c r="C19661" s="5" t="str">
        <f>IFERROR(__xludf.DUMMYFUNCTION("GOOGLETRANSLATE(B19661,""en"",""zh-CN"")"),"一个女人躺在健身房里的设备上。")</f>
        <v>一个女人躺在健身房里的设备上。</v>
      </c>
    </row>
    <row r="19662">
      <c r="A19662" s="4" t="s">
        <v>24745</v>
      </c>
      <c r="B19662" s="4" t="s">
        <v>24747</v>
      </c>
      <c r="C19662" s="5" t="str">
        <f>IFERROR(__xludf.DUMMYFUNCTION("GOOGLETRANSLATE(B19662,""en"",""zh-CN"")"),"她的脚将链条与机器绑在一起。")</f>
        <v>她的脚将链条与机器绑在一起。</v>
      </c>
    </row>
    <row r="19663">
      <c r="A19663" s="4" t="s">
        <v>24745</v>
      </c>
      <c r="B19663" s="4" t="s">
        <v>24748</v>
      </c>
      <c r="C19663" s="5" t="str">
        <f>IFERROR(__xludf.DUMMYFUNCTION("GOOGLETRANSLATE(B19663,""en"",""zh-CN"")"),"当她来回拉脚时，她握住头。")</f>
        <v>当她来回拉脚时，她握住头。</v>
      </c>
    </row>
    <row r="19664">
      <c r="A19664" s="4" t="s">
        <v>24749</v>
      </c>
      <c r="B19664" s="4" t="s">
        <v>24750</v>
      </c>
      <c r="C19664" s="5" t="str">
        <f>IFERROR(__xludf.DUMMYFUNCTION("GOOGLETRANSLATE(B19664,""en"",""zh-CN"")"),"一个人拿着一块小布。")</f>
        <v>一个人拿着一块小布。</v>
      </c>
    </row>
    <row r="19665">
      <c r="A19665" s="4" t="s">
        <v>24749</v>
      </c>
      <c r="B19665" s="4" t="s">
        <v>24751</v>
      </c>
      <c r="C19665" s="5" t="str">
        <f>IFERROR(__xludf.DUMMYFUNCTION("GOOGLETRANSLATE(B19665,""en"",""zh-CN"")"),"一个人从水槽下面得到一个白色的盆地，并在水槽中充满水。")</f>
        <v>一个人从水槽下面得到一个白色的盆地，并在水槽中充满水。</v>
      </c>
    </row>
    <row r="19666">
      <c r="A19666" s="4" t="s">
        <v>24749</v>
      </c>
      <c r="B19666" s="4" t="s">
        <v>24752</v>
      </c>
      <c r="C19666" s="5" t="str">
        <f>IFERROR(__xludf.DUMMYFUNCTION("GOOGLETRANSLATE(B19666,""en"",""zh-CN"")"),"那家伙放下浅布，并在盆地添加洗碗皂。")</f>
        <v>那家伙放下浅布，并在盆地添加洗碗皂。</v>
      </c>
    </row>
    <row r="19667">
      <c r="A19667" s="4" t="s">
        <v>24749</v>
      </c>
      <c r="B19667" s="4" t="s">
        <v>24753</v>
      </c>
      <c r="C19667" s="5" t="str">
        <f>IFERROR(__xludf.DUMMYFUNCTION("GOOGLETRANSLATE(B19667,""en"",""zh-CN"")"),"这个家伙从水槽下方得到一个架子，将其放在柜台上。")</f>
        <v>这个家伙从水槽下方得到一个架子，将其放在柜台上。</v>
      </c>
    </row>
    <row r="19668">
      <c r="A19668" s="4" t="s">
        <v>24749</v>
      </c>
      <c r="B19668" s="4" t="s">
        <v>24754</v>
      </c>
      <c r="C19668" s="5" t="str">
        <f>IFERROR(__xludf.DUMMYFUNCTION("GOOGLETRANSLATE(B19668,""en"",""zh-CN"")"),"这个家伙在白盆地上添加器皿和一道菜，并用红色地毯洗涤它们。")</f>
        <v>这个家伙在白盆地上添加器皿和一道菜，并用红色地毯洗涤它们。</v>
      </c>
    </row>
    <row r="19669">
      <c r="A19669" s="4" t="s">
        <v>24749</v>
      </c>
      <c r="B19669" s="4" t="s">
        <v>24755</v>
      </c>
      <c r="C19669" s="5" t="str">
        <f>IFERROR(__xludf.DUMMYFUNCTION("GOOGLETRANSLATE(B19669,""en"",""zh-CN"")"),"一个男孩从后面看。")</f>
        <v>一个男孩从后面看。</v>
      </c>
    </row>
    <row r="19670">
      <c r="A19670" s="4" t="s">
        <v>24749</v>
      </c>
      <c r="B19670" s="4" t="s">
        <v>24756</v>
      </c>
      <c r="C19670" s="5" t="str">
        <f>IFERROR(__xludf.DUMMYFUNCTION("GOOGLETRANSLATE(B19670,""en"",""zh-CN"")"),"那家伙冲洗菜，把它们放在架子上。")</f>
        <v>那家伙冲洗菜，把它们放在架子上。</v>
      </c>
    </row>
    <row r="19671">
      <c r="A19671" s="4" t="s">
        <v>24749</v>
      </c>
      <c r="B19671" s="4" t="s">
        <v>24757</v>
      </c>
      <c r="C19671" s="5" t="str">
        <f>IFERROR(__xludf.DUMMYFUNCTION("GOOGLETRANSLATE(B19671,""en"",""zh-CN"")"),"那个家伙用轻布干燥盘子。")</f>
        <v>那个家伙用轻布干燥盘子。</v>
      </c>
    </row>
    <row r="19672">
      <c r="A19672" s="4" t="s">
        <v>24758</v>
      </c>
      <c r="B19672" s="6" t="s">
        <v>24759</v>
      </c>
      <c r="C19672" s="5" t="str">
        <f>IFERROR(__xludf.DUMMYFUNCTION("GOOGLETRANSLATE(B19672,""en"",""zh-CN"")"),"一个穿着灰色衬衫和橙色头盔的牛仔裤的男人正在修剪树篱，他站在梯子上，到达树篱的顶部并修剪它，该男子继续修剪树篱。")</f>
        <v>一个穿着灰色衬衫和橙色头盔的牛仔裤的男人正在修剪树篱，他站在梯子上，到达树篱的顶部并修剪它，该男子继续修剪树篱。</v>
      </c>
    </row>
    <row r="19673">
      <c r="A19673" s="4" t="s">
        <v>24758</v>
      </c>
      <c r="B19673" s="4" t="s">
        <v>24760</v>
      </c>
      <c r="C19673" s="5" t="str">
        <f>IFERROR(__xludf.DUMMYFUNCTION("GOOGLETRANSLATE(B19673,""en"",""zh-CN"")"),"一个穿着白衬衫和橙色头盔的男人正在修剪烧树篱。")</f>
        <v>一个穿着白衬衫和橙色头盔的男人正在修剪烧树篱。</v>
      </c>
    </row>
    <row r="19674">
      <c r="A19674" s="4" t="s">
        <v>24761</v>
      </c>
      <c r="B19674" s="6" t="s">
        <v>24762</v>
      </c>
      <c r="C19674" s="5" t="str">
        <f>IFERROR(__xludf.DUMMYFUNCTION("GOOGLETRANSLATE(B19674,""en"",""zh-CN"")"),"一个穿着保护性白色西装和护目镜的人在带有白色墙壁和地板的房间里用喷枪将紫色油漆的表面喷洒。")</f>
        <v>一个穿着保护性白色西装和护目镜的人在带有白色墙壁和地板的房间里用喷枪将紫色油漆的表面喷洒。</v>
      </c>
    </row>
    <row r="19675">
      <c r="A19675" s="4" t="s">
        <v>24761</v>
      </c>
      <c r="B19675" s="4" t="s">
        <v>24763</v>
      </c>
      <c r="C19675" s="5" t="str">
        <f>IFERROR(__xludf.DUMMYFUNCTION("GOOGLETRANSLATE(B19675,""en"",""zh-CN"")"),"然后，该人将表面旋转在旋转桌上，然后绘制侧面。")</f>
        <v>然后，该人将表面旋转在旋转桌上，然后绘制侧面。</v>
      </c>
    </row>
    <row r="19676">
      <c r="A19676" s="4" t="s">
        <v>24761</v>
      </c>
      <c r="B19676" s="4" t="s">
        <v>24764</v>
      </c>
      <c r="C19676" s="5" t="str">
        <f>IFERROR(__xludf.DUMMYFUNCTION("GOOGLETRANSLATE(B19676,""en"",""zh-CN"")"),"在绘画发生的纯白色房间中显示了磨砂产品。")</f>
        <v>在绘画发生的纯白色房间中显示了磨砂产品。</v>
      </c>
    </row>
    <row r="19677">
      <c r="A19677" s="4" t="s">
        <v>24765</v>
      </c>
      <c r="B19677" s="4" t="s">
        <v>24766</v>
      </c>
      <c r="C19677" s="5" t="str">
        <f>IFERROR(__xludf.DUMMYFUNCTION("GOOGLETRANSLATE(B19677,""en"",""zh-CN"")"),"人站在一个房间里混合水泥在水桶上。")</f>
        <v>人站在一个房间里混合水泥在水桶上。</v>
      </c>
    </row>
    <row r="19678">
      <c r="A19678" s="4" t="s">
        <v>24765</v>
      </c>
      <c r="B19678" s="4" t="s">
        <v>24767</v>
      </c>
      <c r="C19678" s="5" t="str">
        <f>IFERROR(__xludf.DUMMYFUNCTION("GOOGLETRANSLATE(B19678,""en"",""zh-CN"")"),"该男子抓住混合物并将其铺在地板上，然后放着白色瓷砖。")</f>
        <v>该男子抓住混合物并将其铺在地板上，然后放着白色瓷砖。</v>
      </c>
    </row>
    <row r="19679">
      <c r="A19679" s="4" t="s">
        <v>24765</v>
      </c>
      <c r="B19679" s="6" t="s">
        <v>24768</v>
      </c>
      <c r="C19679" s="5" t="str">
        <f>IFERROR(__xludf.DUMMYFUNCTION("GOOGLETRANSLATE(B19679,""en"",""zh-CN"")"),"该男子扫地并再次铺开水泥，将瓷砖放在房间的其余部分。")</f>
        <v>该男子扫地并再次铺开水泥，将瓷砖放在房间的其余部分。</v>
      </c>
    </row>
    <row r="19680">
      <c r="A19680" s="4" t="s">
        <v>24769</v>
      </c>
      <c r="B19680" s="4" t="s">
        <v>24770</v>
      </c>
      <c r="C19680" s="5" t="str">
        <f>IFERROR(__xludf.DUMMYFUNCTION("GOOGLETRANSLATE(B19680,""en"",""zh-CN"")"),"该视频始于四张缩小人类腹部的图片。")</f>
        <v>该视频始于四张缩小人类腹部的图片。</v>
      </c>
    </row>
    <row r="19681">
      <c r="A19681" s="4" t="s">
        <v>24769</v>
      </c>
      <c r="B19681" s="6" t="s">
        <v>24771</v>
      </c>
      <c r="C19681" s="5" t="str">
        <f>IFERROR(__xludf.DUMMYFUNCTION("GOOGLETRANSLATE(B19681,""en"",""zh-CN"")"),"有一个穿着蓝色背心的年轻女孩，黑色紧身裤展示了做木板和仰卧起坐的正确方法。")</f>
        <v>有一个穿着蓝色背心的年轻女孩，黑色紧身裤展示了做木板和仰卧起坐的正确方法。</v>
      </c>
    </row>
    <row r="19682">
      <c r="A19682" s="4" t="s">
        <v>24769</v>
      </c>
      <c r="B19682" s="4" t="s">
        <v>24772</v>
      </c>
      <c r="C19682" s="5" t="str">
        <f>IFERROR(__xludf.DUMMYFUNCTION("GOOGLETRANSLATE(B19682,""en"",""zh-CN"")"),"她仰卧起来时，她躺在蓝色的瑜伽垫上。")</f>
        <v>她仰卧起来时，她躺在蓝色的瑜伽垫上。</v>
      </c>
    </row>
    <row r="19683">
      <c r="A19683" s="4" t="s">
        <v>24769</v>
      </c>
      <c r="B19683" s="4" t="s">
        <v>24773</v>
      </c>
      <c r="C19683" s="5" t="str">
        <f>IFERROR(__xludf.DUMMYFUNCTION("GOOGLETRANSLATE(B19683,""en"",""zh-CN"")"),"然后，她通过抬起自己的手肘来展示如何做木板来躺在肚子上。")</f>
        <v>然后，她通过抬起自己的手肘来展示如何做木板来躺在肚子上。</v>
      </c>
    </row>
    <row r="19684">
      <c r="A19684" s="4" t="s">
        <v>24774</v>
      </c>
      <c r="B19684" s="6" t="s">
        <v>24775</v>
      </c>
      <c r="C19684" s="5" t="str">
        <f>IFERROR(__xludf.DUMMYFUNCTION("GOOGLETRANSLATE(B19684,""en"",""zh-CN"")"),"一名穿着黑色衬衫的运动员在站在大型体育领域时进行了练习演习的指示。")</f>
        <v>一名穿着黑色衬衫的运动员在站在大型体育领域时进行了练习演习的指示。</v>
      </c>
    </row>
    <row r="19685">
      <c r="A19685" s="4" t="s">
        <v>24774</v>
      </c>
      <c r="B19685" s="4" t="s">
        <v>24776</v>
      </c>
      <c r="C19685" s="5" t="str">
        <f>IFERROR(__xludf.DUMMYFUNCTION("GOOGLETRANSLATE(B19685,""en"",""zh-CN"")"),"该男子准备进行锻炼，并上下倾斜进行练习。")</f>
        <v>该男子准备进行锻炼，并上下倾斜进行练习。</v>
      </c>
    </row>
    <row r="19686">
      <c r="A19686" s="4" t="s">
        <v>24774</v>
      </c>
      <c r="B19686" s="4" t="s">
        <v>24777</v>
      </c>
      <c r="C19686" s="5" t="str">
        <f>IFERROR(__xludf.DUMMYFUNCTION("GOOGLETRANSLATE(B19686,""en"",""zh-CN"")"),"该男子跳了多次，每次跳。")</f>
        <v>该男子跳了多次，每次跳。</v>
      </c>
    </row>
    <row r="19687">
      <c r="A19687" s="4" t="s">
        <v>24774</v>
      </c>
      <c r="B19687" s="4" t="s">
        <v>24778</v>
      </c>
      <c r="C19687" s="5" t="str">
        <f>IFERROR(__xludf.DUMMYFUNCTION("GOOGLETRANSLATE(B19687,""en"",""zh-CN"")"),"该男子弯曲并在扭曲时接触地面。")</f>
        <v>该男子弯曲并在扭曲时接触地面。</v>
      </c>
    </row>
    <row r="19688">
      <c r="A19688" s="4" t="s">
        <v>24774</v>
      </c>
      <c r="B19688" s="4" t="s">
        <v>24779</v>
      </c>
      <c r="C19688" s="5" t="str">
        <f>IFERROR(__xludf.DUMMYFUNCTION("GOOGLETRANSLATE(B19688,""en"",""zh-CN"")"),"该男子在给手势的同时提供了更多关于练习跑步的说明。")</f>
        <v>该男子在给手势的同时提供了更多关于练习跑步的说明。</v>
      </c>
    </row>
    <row r="19689">
      <c r="A19689" s="4" t="s">
        <v>24774</v>
      </c>
      <c r="B19689" s="4" t="s">
        <v>24780</v>
      </c>
      <c r="C19689" s="5" t="str">
        <f>IFERROR(__xludf.DUMMYFUNCTION("GOOGLETRANSLATE(B19689,""en"",""zh-CN"")"),"该男子在线的边缘设置了，然后用一只脚跳跃，然后重复。")</f>
        <v>该男子在线的边缘设置了，然后用一只脚跳跃，然后重复。</v>
      </c>
    </row>
    <row r="19690">
      <c r="A19690" s="4" t="s">
        <v>24774</v>
      </c>
      <c r="B19690" s="4" t="s">
        <v>24781</v>
      </c>
      <c r="C19690" s="5" t="str">
        <f>IFERROR(__xludf.DUMMYFUNCTION("GOOGLETRANSLATE(B19690,""en"",""zh-CN"")"),"该男子在呼吸沉重的同时给出了最后一套说明。")</f>
        <v>该男子在呼吸沉重的同时给出了最后一套说明。</v>
      </c>
    </row>
    <row r="19691">
      <c r="A19691" s="4" t="s">
        <v>24774</v>
      </c>
      <c r="B19691" s="4" t="s">
        <v>24782</v>
      </c>
      <c r="C19691" s="5" t="str">
        <f>IFERROR(__xludf.DUMMYFUNCTION("GOOGLETRANSLATE(B19691,""en"",""zh-CN"")"),"一组文本可以看到信息。")</f>
        <v>一组文本可以看到信息。</v>
      </c>
    </row>
    <row r="19692">
      <c r="A19692" s="4" t="s">
        <v>24783</v>
      </c>
      <c r="B19692" s="4" t="s">
        <v>24784</v>
      </c>
      <c r="C19692" s="5" t="str">
        <f>IFERROR(__xludf.DUMMYFUNCTION("GOOGLETRANSLATE(B19692,""en"",""zh-CN"")"),"可以看到箭头图形和标题文本。")</f>
        <v>可以看到箭头图形和标题文本。</v>
      </c>
    </row>
    <row r="19693">
      <c r="A19693" s="4" t="s">
        <v>24783</v>
      </c>
      <c r="B19693" s="4" t="s">
        <v>24785</v>
      </c>
      <c r="C19693" s="5" t="str">
        <f>IFERROR(__xludf.DUMMYFUNCTION("GOOGLETRANSLATE(B19693,""en"",""zh-CN"")"),"一个女人站在一个拿着手风琴的黑暗房间里，展示了如何玩。")</f>
        <v>一个女人站在一个拿着手风琴的黑暗房间里，展示了如何玩。</v>
      </c>
    </row>
    <row r="19694">
      <c r="A19694" s="4" t="s">
        <v>24783</v>
      </c>
      <c r="B19694" s="4" t="s">
        <v>24786</v>
      </c>
      <c r="C19694" s="5" t="str">
        <f>IFERROR(__xludf.DUMMYFUNCTION("GOOGLETRANSLATE(B19694,""en"",""zh-CN"")"),"那个女人开始播放一首在钥匙中播放的歌曲。")</f>
        <v>那个女人开始播放一首在钥匙中播放的歌曲。</v>
      </c>
    </row>
    <row r="19695">
      <c r="A19695" s="4" t="s">
        <v>24783</v>
      </c>
      <c r="B19695" s="4" t="s">
        <v>24787</v>
      </c>
      <c r="C19695" s="5" t="str">
        <f>IFERROR(__xludf.DUMMYFUNCTION("GOOGLETRANSLATE(B19695,""en"",""zh-CN"")"),"女人停下来讨论，然后播放更多的歌曲。")</f>
        <v>女人停下来讨论，然后播放更多的歌曲。</v>
      </c>
    </row>
    <row r="19696">
      <c r="A19696" s="4" t="s">
        <v>24783</v>
      </c>
      <c r="B19696" s="4" t="s">
        <v>24788</v>
      </c>
      <c r="C19696" s="5" t="str">
        <f>IFERROR(__xludf.DUMMYFUNCTION("GOOGLETRANSLATE(B19696,""en"",""zh-CN"")"),"女人结束并关闭手风琴。")</f>
        <v>女人结束并关闭手风琴。</v>
      </c>
    </row>
    <row r="19697">
      <c r="A19697" s="4" t="s">
        <v>24789</v>
      </c>
      <c r="B19697" s="4" t="s">
        <v>24790</v>
      </c>
      <c r="C19697" s="5" t="str">
        <f>IFERROR(__xludf.DUMMYFUNCTION("GOOGLETRANSLATE(B19697,""en"",""zh-CN"")"),"一个女孩在分裂板的边缘感到紧张。")</f>
        <v>一个女孩在分裂板的边缘感到紧张。</v>
      </c>
    </row>
    <row r="19698">
      <c r="A19698" s="4" t="s">
        <v>24789</v>
      </c>
      <c r="B19698" s="4" t="s">
        <v>24791</v>
      </c>
      <c r="C19698" s="5" t="str">
        <f>IFERROR(__xludf.DUMMYFUNCTION("GOOGLETRANSLATE(B19698,""en"",""zh-CN"")"),"她站起来后跌倒，然后再次蹲下。")</f>
        <v>她站起来后跌倒，然后再次蹲下。</v>
      </c>
    </row>
    <row r="19699">
      <c r="A19699" s="4" t="s">
        <v>24792</v>
      </c>
      <c r="B19699" s="4" t="s">
        <v>24793</v>
      </c>
      <c r="C19699" s="5" t="str">
        <f>IFERROR(__xludf.DUMMYFUNCTION("GOOGLETRANSLATE(B19699,""en"",""zh-CN"")"),"一支游行乐队在街上行走，弹奏乐器，而前面的一个女人则拿着旗帜。")</f>
        <v>一支游行乐队在街上行走，弹奏乐器，而前面的一个女人则拿着旗帜。</v>
      </c>
    </row>
    <row r="19700">
      <c r="A19700" s="4" t="s">
        <v>24792</v>
      </c>
      <c r="B19700" s="4" t="s">
        <v>24794</v>
      </c>
      <c r="C19700" s="5" t="str">
        <f>IFERROR(__xludf.DUMMYFUNCTION("GOOGLETRANSLATE(B19700,""en"",""zh-CN"")"),"乐队在前面的一个男孩骑着骑行，抬起并旋转。")</f>
        <v>乐队在前面的一个男孩骑着骑行，抬起并旋转。</v>
      </c>
    </row>
    <row r="19701">
      <c r="A19701" s="4" t="s">
        <v>24792</v>
      </c>
      <c r="B19701" s="4" t="s">
        <v>24795</v>
      </c>
      <c r="C19701" s="5" t="str">
        <f>IFERROR(__xludf.DUMMYFUNCTION("GOOGLETRANSLATE(B19701,""en"",""zh-CN"")"),"然后，乐队到达并通过交通信号灯。")</f>
        <v>然后，乐队到达并通过交通信号灯。</v>
      </c>
    </row>
    <row r="19702">
      <c r="A19702" s="4" t="s">
        <v>24796</v>
      </c>
      <c r="B19702" s="4" t="s">
        <v>24797</v>
      </c>
      <c r="C19702" s="5" t="str">
        <f>IFERROR(__xludf.DUMMYFUNCTION("GOOGLETRANSLATE(B19702,""en"",""zh-CN"")"),"显示了两个人在肩膀上走来走去，走进建筑物。")</f>
        <v>显示了两个人在肩膀上走来走去，走进建筑物。</v>
      </c>
    </row>
    <row r="19703">
      <c r="A19703" s="4" t="s">
        <v>24796</v>
      </c>
      <c r="B19703" s="4" t="s">
        <v>24798</v>
      </c>
      <c r="C19703" s="5" t="str">
        <f>IFERROR(__xludf.DUMMYFUNCTION("GOOGLETRANSLATE(B19703,""en"",""zh-CN"")"),"他们打开地毯，然后拉出尺寸胶带，然后将地毯锤击。")</f>
        <v>他们打开地毯，然后拉出尺寸胶带，然后将地毯锤击。</v>
      </c>
    </row>
    <row r="19704">
      <c r="A19704" s="4" t="s">
        <v>24796</v>
      </c>
      <c r="B19704" s="6" t="s">
        <v>24799</v>
      </c>
      <c r="C19704" s="5" t="str">
        <f>IFERROR(__xludf.DUMMYFUNCTION("GOOGLETRANSLATE(B19704,""en"",""zh-CN"")"),"然后，他们将石膏放在整个地板上，并通过与主人握手并微笑着图片来呈现地毯的成品。")</f>
        <v>然后，他们将石膏放在整个地板上，并通过与主人握手并微笑着图片来呈现地毯的成品。</v>
      </c>
    </row>
    <row r="19705">
      <c r="A19705" s="4" t="s">
        <v>24800</v>
      </c>
      <c r="B19705" s="4" t="s">
        <v>24801</v>
      </c>
      <c r="C19705" s="5" t="str">
        <f>IFERROR(__xludf.DUMMYFUNCTION("GOOGLETRANSLATE(B19705,""en"",""zh-CN"")"),"看到一个男人在相机上说话，并带着他在墙上铺上墙纸。")</f>
        <v>看到一个男人在相机上说话，并带着他在墙上铺上墙纸。</v>
      </c>
    </row>
    <row r="19706">
      <c r="A19706" s="4" t="s">
        <v>24800</v>
      </c>
      <c r="B19706" s="4" t="s">
        <v>24802</v>
      </c>
      <c r="C19706" s="5" t="str">
        <f>IFERROR(__xludf.DUMMYFUNCTION("GOOGLETRANSLATE(B19706,""en"",""zh-CN"")"),"他继续在相机上说话，同时仍在墙上散布纸。")</f>
        <v>他继续在相机上说话，同时仍在墙上散布纸。</v>
      </c>
    </row>
    <row r="19707">
      <c r="A19707" s="4" t="s">
        <v>24803</v>
      </c>
      <c r="B19707" s="4" t="s">
        <v>24804</v>
      </c>
      <c r="C19707" s="5" t="str">
        <f>IFERROR(__xludf.DUMMYFUNCTION("GOOGLETRANSLATE(B19707,""en"",""zh-CN"")"),"一个女人在水槽里洗脸。")</f>
        <v>一个女人在水槽里洗脸。</v>
      </c>
    </row>
    <row r="19708">
      <c r="A19708" s="4" t="s">
        <v>24803</v>
      </c>
      <c r="B19708" s="4" t="s">
        <v>24805</v>
      </c>
      <c r="C19708" s="5" t="str">
        <f>IFERROR(__xludf.DUMMYFUNCTION("GOOGLETRANSLATE(B19708,""en"",""zh-CN"")"),"她看着面前的镜子。")</f>
        <v>她看着面前的镜子。</v>
      </c>
    </row>
    <row r="19709">
      <c r="A19709" s="4" t="s">
        <v>24803</v>
      </c>
      <c r="B19709" s="4" t="s">
        <v>24806</v>
      </c>
      <c r="C19709" s="5" t="str">
        <f>IFERROR(__xludf.DUMMYFUNCTION("GOOGLETRANSLATE(B19709,""en"",""zh-CN"")"),"她继续擦脸。")</f>
        <v>她继续擦脸。</v>
      </c>
    </row>
    <row r="19710">
      <c r="A19710" s="4" t="s">
        <v>24807</v>
      </c>
      <c r="B19710" s="4" t="s">
        <v>24808</v>
      </c>
      <c r="C19710" s="5" t="str">
        <f>IFERROR(__xludf.DUMMYFUNCTION("GOOGLETRANSLATE(B19710,""en"",""zh-CN"")"),"一只狗坐在橙色的沙发上。")</f>
        <v>一只狗坐在橙色的沙发上。</v>
      </c>
    </row>
    <row r="19711">
      <c r="A19711" s="4" t="s">
        <v>24807</v>
      </c>
      <c r="B19711" s="4" t="s">
        <v>24809</v>
      </c>
      <c r="C19711" s="5" t="str">
        <f>IFERROR(__xludf.DUMMYFUNCTION("GOOGLETRANSLATE(B19711,""en"",""zh-CN"")"),"一只狗坐在浴缸里洗澡。")</f>
        <v>一只狗坐在浴缸里洗澡。</v>
      </c>
    </row>
    <row r="19712">
      <c r="A19712" s="4" t="s">
        <v>24807</v>
      </c>
      <c r="B19712" s="4" t="s">
        <v>24810</v>
      </c>
      <c r="C19712" s="5" t="str">
        <f>IFERROR(__xludf.DUMMYFUNCTION("GOOGLETRANSLATE(B19712,""en"",""zh-CN"")"),"一个人用毛巾干燥狗。")</f>
        <v>一个人用毛巾干燥狗。</v>
      </c>
    </row>
    <row r="19713">
      <c r="A19713" s="4" t="s">
        <v>24807</v>
      </c>
      <c r="B19713" s="4" t="s">
        <v>24811</v>
      </c>
      <c r="C19713" s="5" t="str">
        <f>IFERROR(__xludf.DUMMYFUNCTION("GOOGLETRANSLATE(B19713,""en"",""zh-CN"")"),"狗正在用吹风机吹干。")</f>
        <v>狗正在用吹风机吹干。</v>
      </c>
    </row>
    <row r="19714">
      <c r="A19714" s="4" t="s">
        <v>24812</v>
      </c>
      <c r="B19714" s="4" t="s">
        <v>24813</v>
      </c>
      <c r="C19714" s="5" t="str">
        <f>IFERROR(__xludf.DUMMYFUNCTION("GOOGLETRANSLATE(B19714,""en"",""zh-CN"")"),"徽标“ Weldy”出现在焊接工具的照片上。")</f>
        <v>徽标“ Weldy”出现在焊接工具的照片上。</v>
      </c>
    </row>
    <row r="19715">
      <c r="A19715" s="4" t="s">
        <v>24812</v>
      </c>
      <c r="B19715" s="4" t="s">
        <v>24814</v>
      </c>
      <c r="C19715" s="5" t="str">
        <f>IFERROR(__xludf.DUMMYFUNCTION("GOOGLETRANSLATE(B19715,""en"",""zh-CN"")"),"出现“能源1600”和Weldy网站地址。")</f>
        <v>出现“能源1600”和Weldy网站地址。</v>
      </c>
    </row>
    <row r="19716">
      <c r="A19716" s="4" t="s">
        <v>24812</v>
      </c>
      <c r="B19716" s="4" t="s">
        <v>24815</v>
      </c>
      <c r="C19716" s="5" t="str">
        <f>IFERROR(__xludf.DUMMYFUNCTION("GOOGLETRANSLATE(B19716,""en"",""zh-CN"")"),"一个男人正在使用其中一种Weldy工具来制作白色屋顶。")</f>
        <v>一个男人正在使用其中一种Weldy工具来制作白色屋顶。</v>
      </c>
    </row>
    <row r="19717">
      <c r="A19717" s="4" t="s">
        <v>24812</v>
      </c>
      <c r="B19717" s="4" t="s">
        <v>24816</v>
      </c>
      <c r="C19717" s="5" t="str">
        <f>IFERROR(__xludf.DUMMYFUNCTION("GOOGLETRANSLATE(B19717,""en"",""zh-CN"")"),"“ Energy 1600”和网站再次出现在屏幕上。")</f>
        <v>“ Energy 1600”和网站再次出现在屏幕上。</v>
      </c>
    </row>
    <row r="19718">
      <c r="A19718" s="4" t="s">
        <v>24817</v>
      </c>
      <c r="B19718" s="4" t="s">
        <v>24818</v>
      </c>
      <c r="C19718" s="5" t="str">
        <f>IFERROR(__xludf.DUMMYFUNCTION("GOOGLETRANSLATE(B19718,""en"",""zh-CN"")"),"看到一个女人在打开水龙头时在相机上说话。")</f>
        <v>看到一个女人在打开水龙头时在相机上说话。</v>
      </c>
    </row>
    <row r="19719">
      <c r="A19719" s="4" t="s">
        <v>24817</v>
      </c>
      <c r="B19719" s="4" t="s">
        <v>24819</v>
      </c>
      <c r="C19719" s="5" t="str">
        <f>IFERROR(__xludf.DUMMYFUNCTION("GOOGLETRANSLATE(B19719,""en"",""zh-CN"")"),"然后，她抽肥皂，擦洗手。")</f>
        <v>然后，她抽肥皂，擦洗手。</v>
      </c>
    </row>
    <row r="19720">
      <c r="A19720" s="4" t="s">
        <v>24817</v>
      </c>
      <c r="B19720" s="6" t="s">
        <v>24820</v>
      </c>
      <c r="C19720" s="5" t="str">
        <f>IFERROR(__xludf.DUMMYFUNCTION("GOOGLETRANSLATE(B19720,""en"",""zh-CN"")"),"她的手在水槽下方伸出手，然后干燥双手并走出来放洗手物。")</f>
        <v>她的手在水槽下方伸出手，然后干燥双手并走出来放洗手物。</v>
      </c>
    </row>
    <row r="19721">
      <c r="A19721" s="4" t="s">
        <v>24821</v>
      </c>
      <c r="B19721" s="4" t="s">
        <v>24822</v>
      </c>
      <c r="C19721" s="5" t="str">
        <f>IFERROR(__xludf.DUMMYFUNCTION("GOOGLETRANSLATE(B19721,""en"",""zh-CN"")"),"一个女人在容器中使用抛光剂来抛光黑色鞋子。")</f>
        <v>一个女人在容器中使用抛光剂来抛光黑色鞋子。</v>
      </c>
    </row>
    <row r="19722">
      <c r="A19722" s="4" t="s">
        <v>24821</v>
      </c>
      <c r="B19722" s="4" t="s">
        <v>24823</v>
      </c>
      <c r="C19722" s="5" t="str">
        <f>IFERROR(__xludf.DUMMYFUNCTION("GOOGLETRANSLATE(B19722,""en"",""zh-CN"")"),"她在工作时与相机说话。")</f>
        <v>她在工作时与相机说话。</v>
      </c>
    </row>
    <row r="19723">
      <c r="A19723" s="4" t="s">
        <v>24821</v>
      </c>
      <c r="B19723" s="4" t="s">
        <v>24824</v>
      </c>
      <c r="C19723" s="5" t="str">
        <f>IFERROR(__xludf.DUMMYFUNCTION("GOOGLETRANSLATE(B19723,""en"",""zh-CN"")"),"黑色抛光液滴在她的腿上。")</f>
        <v>黑色抛光液滴在她的腿上。</v>
      </c>
    </row>
    <row r="19724">
      <c r="A19724" s="4" t="s">
        <v>24825</v>
      </c>
      <c r="B19724" s="4" t="s">
        <v>24826</v>
      </c>
      <c r="C19724" s="5" t="str">
        <f>IFERROR(__xludf.DUMMYFUNCTION("GOOGLETRANSLATE(B19724,""en"",""zh-CN"")"),"有一个穿着蓝色连帽衫的女狗训练师在公园里玩黑白狗。")</f>
        <v>有一个穿着蓝色连帽衫的女狗训练师在公园里玩黑白狗。</v>
      </c>
    </row>
    <row r="19725">
      <c r="A19725" s="4" t="s">
        <v>24825</v>
      </c>
      <c r="B19725" s="4" t="s">
        <v>24827</v>
      </c>
      <c r="C19725" s="5" t="str">
        <f>IFERROR(__xludf.DUMMYFUNCTION("GOOGLETRANSLATE(B19725,""en"",""zh-CN"")"),"她正在向狗扔飞盘，并让狗为她拿来。")</f>
        <v>她正在向狗扔飞盘，并让狗为她拿来。</v>
      </c>
    </row>
    <row r="19726">
      <c r="A19726" s="4" t="s">
        <v>24825</v>
      </c>
      <c r="B19726" s="4" t="s">
        <v>24828</v>
      </c>
      <c r="C19726" s="5" t="str">
        <f>IFERROR(__xludf.DUMMYFUNCTION("GOOGLETRANSLATE(B19726,""en"",""zh-CN"")"),"每次她将飞盘扔在远处并为她拿来时，狗都会奔跑。")</f>
        <v>每次她将飞盘扔在远处并为她拿来时，狗都会奔跑。</v>
      </c>
    </row>
    <row r="19727">
      <c r="A19727" s="4" t="s">
        <v>24825</v>
      </c>
      <c r="B19727" s="4" t="s">
        <v>24829</v>
      </c>
      <c r="C19727" s="5" t="str">
        <f>IFERROR(__xludf.DUMMYFUNCTION("GOOGLETRANSLATE(B19727,""en"",""zh-CN"")"),"DOH高高地跳了起来，从她的手上抓起飞盘。")</f>
        <v>DOH高高地跳了起来，从她的手上抓起飞盘。</v>
      </c>
    </row>
    <row r="19728">
      <c r="A19728" s="4" t="s">
        <v>24825</v>
      </c>
      <c r="B19728" s="4" t="s">
        <v>24830</v>
      </c>
      <c r="C19728" s="5" t="str">
        <f>IFERROR(__xludf.DUMMYFUNCTION("GOOGLETRANSLATE(B19728,""en"",""zh-CN"")"),"当她躺在地上时，他的狗甚至跳过那位女士。")</f>
        <v>当她躺在地上时，他的狗甚至跳过那位女士。</v>
      </c>
    </row>
    <row r="19729">
      <c r="A19729" s="4" t="s">
        <v>24825</v>
      </c>
      <c r="B19729" s="4" t="s">
        <v>24831</v>
      </c>
      <c r="C19729" s="5" t="str">
        <f>IFERROR(__xludf.DUMMYFUNCTION("GOOGLETRANSLATE(B19729,""en"",""zh-CN"")"),"当她投掷多个飞盘时，他继续为这位女士奔跑并取出飞盘。")</f>
        <v>当她投掷多个飞盘时，他继续为这位女士奔跑并取出飞盘。</v>
      </c>
    </row>
    <row r="19730">
      <c r="A19730" s="4" t="s">
        <v>24825</v>
      </c>
      <c r="B19730" s="4" t="s">
        <v>24832</v>
      </c>
      <c r="C19730" s="5" t="str">
        <f>IFERROR(__xludf.DUMMYFUNCTION("GOOGLETRANSLATE(B19730,""en"",""zh-CN"")"),"同一位女士现在穿着橙色衬衫，将飞盘扔给狗。")</f>
        <v>同一位女士现在穿着橙色衬衫，将飞盘扔给狗。</v>
      </c>
    </row>
    <row r="19731">
      <c r="A19731" s="4" t="s">
        <v>24825</v>
      </c>
      <c r="B19731" s="4" t="s">
        <v>24833</v>
      </c>
      <c r="C19731" s="5" t="str">
        <f>IFERROR(__xludf.DUMMYFUNCTION("GOOGLETRANSLATE(B19731,""en"",""zh-CN"")"),"那只狗继续跳跃并在他的嘴里抓住飞盘。")</f>
        <v>那只狗继续跳跃并在他的嘴里抓住飞盘。</v>
      </c>
    </row>
    <row r="19732">
      <c r="A19732" s="4" t="s">
        <v>24834</v>
      </c>
      <c r="B19732" s="4" t="s">
        <v>24835</v>
      </c>
      <c r="C19732" s="5" t="str">
        <f>IFERROR(__xludf.DUMMYFUNCTION("GOOGLETRANSLATE(B19732,""en"",""zh-CN"")"),"一个小男孩站在外面看着另一个人玩袋子管。")</f>
        <v>一个小男孩站在外面看着另一个人玩袋子管。</v>
      </c>
    </row>
    <row r="19733">
      <c r="A19733" s="4" t="s">
        <v>24834</v>
      </c>
      <c r="B19733" s="4" t="s">
        <v>24836</v>
      </c>
      <c r="C19733" s="5" t="str">
        <f>IFERROR(__xludf.DUMMYFUNCTION("GOOGLETRANSLATE(B19733,""en"",""zh-CN"")"),"几个人走过，一位女士停下来，把钱扔给了该人的案子。")</f>
        <v>几个人走过，一位女士停下来，把钱扔给了该人的案子。</v>
      </c>
    </row>
    <row r="19734">
      <c r="A19734" s="4" t="s">
        <v>24837</v>
      </c>
      <c r="B19734" s="4" t="s">
        <v>24838</v>
      </c>
      <c r="C19734" s="5" t="str">
        <f>IFERROR(__xludf.DUMMYFUNCTION("GOOGLETRANSLATE(B19734,""en"",""zh-CN"")"),"看到一个男人向前弯曲并紧紧抓住一组重物。")</f>
        <v>看到一个男人向前弯曲并紧紧抓住一组重物。</v>
      </c>
    </row>
    <row r="19735">
      <c r="A19735" s="4" t="s">
        <v>24837</v>
      </c>
      <c r="B19735" s="4" t="s">
        <v>24839</v>
      </c>
      <c r="C19735" s="5" t="str">
        <f>IFERROR(__xludf.DUMMYFUNCTION("GOOGLETRANSLATE(B19735,""en"",""zh-CN"")"),"然后，该男子将重物抬起，最后将其扔下。")</f>
        <v>然后，该男子将重物抬起，最后将其扔下。</v>
      </c>
    </row>
    <row r="19736">
      <c r="A19736" s="4" t="s">
        <v>24840</v>
      </c>
      <c r="B19736" s="4" t="s">
        <v>24841</v>
      </c>
      <c r="C19736" s="5" t="str">
        <f>IFERROR(__xludf.DUMMYFUNCTION("GOOGLETRANSLATE(B19736,""en"",""zh-CN"")"),"两个年轻的朋友在沙滩上在一起。")</f>
        <v>两个年轻的朋友在沙滩上在一起。</v>
      </c>
    </row>
    <row r="19737">
      <c r="A19737" s="4" t="s">
        <v>24840</v>
      </c>
      <c r="B19737" s="4" t="s">
        <v>24842</v>
      </c>
      <c r="C19737" s="5" t="str">
        <f>IFERROR(__xludf.DUMMYFUNCTION("GOOGLETRANSLATE(B19737,""en"",""zh-CN"")"),"首先，右边的女孩说话，然后她穿着紫色T恤的朋友接下来说话。")</f>
        <v>首先，右边的女孩说话，然后她穿着紫色T恤的朋友接下来说话。</v>
      </c>
    </row>
    <row r="19738">
      <c r="A19738" s="4" t="s">
        <v>24840</v>
      </c>
      <c r="B19738" s="6" t="s">
        <v>24843</v>
      </c>
      <c r="C19738" s="5" t="str">
        <f>IFERROR(__xludf.DUMMYFUNCTION("GOOGLETRANSLATE(B19738,""en"",""zh-CN"")"),"她通过转向她的朋友而结束，他们起身，抓住手，从右边退出现场。")</f>
        <v>她通过转向她的朋友而结束，他们起身，抓住手，从右边退出现场。</v>
      </c>
    </row>
    <row r="19739">
      <c r="A19739" s="4" t="s">
        <v>24840</v>
      </c>
      <c r="B19739" s="6" t="s">
        <v>24844</v>
      </c>
      <c r="C19739" s="5" t="str">
        <f>IFERROR(__xludf.DUMMYFUNCTION("GOOGLETRANSLATE(B19739,""en"",""zh-CN"")"),"接下来，我们再次看到它们坐在沙滩上，因为它们开始在沙滩上建造东西。")</f>
        <v>接下来，我们再次看到它们坐在沙滩上，因为它们开始在沙滩上建造东西。</v>
      </c>
    </row>
    <row r="19740">
      <c r="A19740" s="4" t="s">
        <v>24840</v>
      </c>
      <c r="B19740" s="4" t="s">
        <v>24845</v>
      </c>
      <c r="C19740" s="5" t="str">
        <f>IFERROR(__xludf.DUMMYFUNCTION("GOOGLETRANSLATE(B19740,""en"",""zh-CN"")"),"重点转移到了一个讲话并通过在沙滩上写东西结束的女孩。")</f>
        <v>重点转移到了一个讲话并通过在沙滩上写东西结束的女孩。</v>
      </c>
    </row>
    <row r="19741">
      <c r="A19741" s="4" t="s">
        <v>24846</v>
      </c>
      <c r="B19741" s="4" t="s">
        <v>24847</v>
      </c>
      <c r="C19741" s="5" t="str">
        <f>IFERROR(__xludf.DUMMYFUNCTION("GOOGLETRANSLATE(B19741,""en"",""zh-CN"")"),"显示了各种剪辑，这些剪辑显示了骑自行车以及坐在骑自行车的自行车上的剪辑。")</f>
        <v>显示了各种剪辑，这些剪辑显示了骑自行车以及坐在骑自行车的自行车上的剪辑。</v>
      </c>
    </row>
    <row r="19742">
      <c r="A19742" s="4" t="s">
        <v>24846</v>
      </c>
      <c r="B19742" s="4" t="s">
        <v>24848</v>
      </c>
      <c r="C19742" s="5" t="str">
        <f>IFERROR(__xludf.DUMMYFUNCTION("GOOGLETRANSLATE(B19742,""en"",""zh-CN"")"),"几个剪辑显示了人们靠近的人，以及他们骑自行车骑行。")</f>
        <v>几个剪辑显示了人们靠近的人，以及他们骑自行车骑行。</v>
      </c>
    </row>
    <row r="19743">
      <c r="A19743" s="4" t="s">
        <v>24849</v>
      </c>
      <c r="B19743" s="4" t="s">
        <v>24850</v>
      </c>
      <c r="C19743" s="5" t="str">
        <f>IFERROR(__xludf.DUMMYFUNCTION("GOOGLETRANSLATE(B19743,""en"",""zh-CN"")"),"一个男人将木头直立在树桩上。")</f>
        <v>一个男人将木头直立在树桩上。</v>
      </c>
    </row>
    <row r="19744">
      <c r="A19744" s="4" t="s">
        <v>24849</v>
      </c>
      <c r="B19744" s="4" t="s">
        <v>24851</v>
      </c>
      <c r="C19744" s="5" t="str">
        <f>IFERROR(__xludf.DUMMYFUNCTION("GOOGLETRANSLATE(B19744,""en"",""zh-CN"")"),"一个人将木头分成一半。")</f>
        <v>一个人将木头分成一半。</v>
      </c>
    </row>
    <row r="19745">
      <c r="A19745" s="4" t="s">
        <v>24849</v>
      </c>
      <c r="B19745" s="4" t="s">
        <v>24852</v>
      </c>
      <c r="C19745" s="5" t="str">
        <f>IFERROR(__xludf.DUMMYFUNCTION("GOOGLETRANSLATE(B19745,""en"",""zh-CN"")"),"一个人反复试图砍木。")</f>
        <v>一个人反复试图砍木。</v>
      </c>
    </row>
    <row r="19746">
      <c r="A19746" s="4" t="s">
        <v>24849</v>
      </c>
      <c r="B19746" s="4" t="s">
        <v>573</v>
      </c>
      <c r="C19746" s="5" t="str">
        <f>IFERROR(__xludf.DUMMYFUNCTION("GOOGLETRANSLATE(B19746,""en"",""zh-CN"")"),"显示了视频的积分。")</f>
        <v>显示了视频的积分。</v>
      </c>
    </row>
    <row r="19747">
      <c r="A19747" s="4" t="s">
        <v>24853</v>
      </c>
      <c r="B19747" s="4" t="s">
        <v>24854</v>
      </c>
      <c r="C19747" s="5" t="str">
        <f>IFERROR(__xludf.DUMMYFUNCTION("GOOGLETRANSLATE(B19747,""en"",""zh-CN"")"),"一个球在棒球场上飞过他的空气。")</f>
        <v>一个球在棒球场上飞过他的空气。</v>
      </c>
    </row>
    <row r="19748">
      <c r="A19748" s="4" t="s">
        <v>24853</v>
      </c>
      <c r="B19748" s="4" t="s">
        <v>24855</v>
      </c>
      <c r="C19748" s="5" t="str">
        <f>IFERROR(__xludf.DUMMYFUNCTION("GOOGLETRANSLATE(B19748,""en"",""zh-CN"")"),"带有相机的人起飞。")</f>
        <v>带有相机的人起飞。</v>
      </c>
    </row>
    <row r="19749">
      <c r="A19749" s="4" t="s">
        <v>24853</v>
      </c>
      <c r="B19749" s="4" t="s">
        <v>24856</v>
      </c>
      <c r="C19749" s="5" t="str">
        <f>IFERROR(__xludf.DUMMYFUNCTION("GOOGLETRANSLATE(B19749,""en"",""zh-CN"")"),"跑步者在国内基地停下来并转身。")</f>
        <v>跑步者在国内基地停下来并转身。</v>
      </c>
    </row>
    <row r="19750">
      <c r="A19750" s="4" t="s">
        <v>24853</v>
      </c>
      <c r="B19750" s="4" t="s">
        <v>24857</v>
      </c>
      <c r="C19750" s="5" t="str">
        <f>IFERROR(__xludf.DUMMYFUNCTION("GOOGLETRANSLATE(B19750,""en"",""zh-CN"")"),"我们看到田野后面的人。")</f>
        <v>我们看到田野后面的人。</v>
      </c>
    </row>
    <row r="19751">
      <c r="A19751" s="4" t="s">
        <v>24858</v>
      </c>
      <c r="B19751" s="6" t="s">
        <v>24859</v>
      </c>
      <c r="C19751" s="5" t="str">
        <f>IFERROR(__xludf.DUMMYFUNCTION("GOOGLETRANSLATE(B19751,""en"",""zh-CN"")"),"看到一大批人站在游泳池周围，以及在纸上写作并互相交谈的人。")</f>
        <v>看到一大批人站在游泳池周围，以及在纸上写作并互相交谈的人。</v>
      </c>
    </row>
    <row r="19752">
      <c r="A19752" s="4" t="s">
        <v>24858</v>
      </c>
      <c r="B19752" s="4" t="s">
        <v>24860</v>
      </c>
      <c r="C19752" s="5" t="str">
        <f>IFERROR(__xludf.DUMMYFUNCTION("GOOGLETRANSLATE(B19752,""en"",""zh-CN"")"),"看到越来越多的人跳到板上，跳到侧面。")</f>
        <v>看到越来越多的人跳到板上，跳到侧面。</v>
      </c>
    </row>
    <row r="19753">
      <c r="A19753" s="4" t="s">
        <v>24858</v>
      </c>
      <c r="B19753" s="4" t="s">
        <v>24861</v>
      </c>
      <c r="C19753" s="5" t="str">
        <f>IFERROR(__xludf.DUMMYFUNCTION("GOOGLETRANSLATE(B19753,""en"",""zh-CN"")"),"当孩子们继续潜水时，看到几个人在一边看。")</f>
        <v>当孩子们继续潜水时，看到几个人在一边看。</v>
      </c>
    </row>
    <row r="19754">
      <c r="A19754" s="4" t="s">
        <v>24862</v>
      </c>
      <c r="B19754" s="4" t="s">
        <v>24863</v>
      </c>
      <c r="C19754" s="5" t="str">
        <f>IFERROR(__xludf.DUMMYFUNCTION("GOOGLETRANSLATE(B19754,""en"",""zh-CN"")"),"正在使用飞机和机械的图纸，然后是男人和女人的照片。")</f>
        <v>正在使用飞机和机械的图纸，然后是男人和女人的照片。</v>
      </c>
    </row>
    <row r="19755">
      <c r="A19755" s="4" t="s">
        <v>24862</v>
      </c>
      <c r="B19755" s="6" t="s">
        <v>24864</v>
      </c>
      <c r="C19755" s="5" t="str">
        <f>IFERROR(__xludf.DUMMYFUNCTION("GOOGLETRANSLATE(B19755,""en"",""zh-CN"")"),"一位穿着蓝色衬衫的男人正在将油漆刷到飞机型号上，然后他涂了另一种颜色，使飞机看起来像伪装。")</f>
        <v>一位穿着蓝色衬衫的男人正在将油漆刷到飞机型号上，然后他涂了另一种颜色，使飞机看起来像伪装。</v>
      </c>
    </row>
    <row r="19756">
      <c r="A19756" s="4" t="s">
        <v>24865</v>
      </c>
      <c r="B19756" s="4" t="s">
        <v>24866</v>
      </c>
      <c r="C19756" s="5" t="str">
        <f>IFERROR(__xludf.DUMMYFUNCTION("GOOGLETRANSLATE(B19756,""en"",""zh-CN"")"),"一个男人坐在几棵树旁边。")</f>
        <v>一个男人坐在几棵树旁边。</v>
      </c>
    </row>
    <row r="19757">
      <c r="A19757" s="4" t="s">
        <v>24865</v>
      </c>
      <c r="B19757" s="4" t="s">
        <v>24867</v>
      </c>
      <c r="C19757" s="5" t="str">
        <f>IFERROR(__xludf.DUMMYFUNCTION("GOOGLETRANSLATE(B19757,""en"",""zh-CN"")"),"他从树上拉了一些叶子。")</f>
        <v>他从树上拉了一些叶子。</v>
      </c>
    </row>
    <row r="19758">
      <c r="A19758" s="4" t="s">
        <v>24865</v>
      </c>
      <c r="B19758" s="4" t="s">
        <v>24868</v>
      </c>
      <c r="C19758" s="5" t="str">
        <f>IFERROR(__xludf.DUMMYFUNCTION("GOOGLETRANSLATE(B19758,""en"",""zh-CN"")"),"他剪了剪子，从树上剪了一些叶子。")</f>
        <v>他剪了剪子，从树上剪了一些叶子。</v>
      </c>
    </row>
    <row r="19759">
      <c r="A19759" s="4" t="s">
        <v>24869</v>
      </c>
      <c r="B19759" s="4" t="s">
        <v>24870</v>
      </c>
      <c r="C19759" s="5" t="str">
        <f>IFERROR(__xludf.DUMMYFUNCTION("GOOGLETRANSLATE(B19759,""en"",""zh-CN"")"),"一个人在河上滑水。")</f>
        <v>一个人在河上滑水。</v>
      </c>
    </row>
    <row r="19760">
      <c r="A19760" s="4" t="s">
        <v>24869</v>
      </c>
      <c r="B19760" s="4" t="s">
        <v>24871</v>
      </c>
      <c r="C19760" s="5" t="str">
        <f>IFERROR(__xludf.DUMMYFUNCTION("GOOGLETRANSLATE(B19760,""en"",""zh-CN"")"),"一名长头发的男人经营一条船，船拖着一个人滑过水面的水。")</f>
        <v>一名长头发的男人经营一条船，船拖着一个人滑过水面的水。</v>
      </c>
    </row>
    <row r="19761">
      <c r="A19761" s="4" t="s">
        <v>24869</v>
      </c>
      <c r="B19761" s="4" t="s">
        <v>14857</v>
      </c>
      <c r="C19761" s="5" t="str">
        <f>IFERROR(__xludf.DUMMYFUNCTION("GOOGLETRANSLATE(B19761,""en"",""zh-CN"")"),"一个戴着眼镜的男人在相机上说话。")</f>
        <v>一个戴着眼镜的男人在相机上说话。</v>
      </c>
    </row>
    <row r="19762">
      <c r="A19762" s="4" t="s">
        <v>24869</v>
      </c>
      <c r="B19762" s="4" t="s">
        <v>24872</v>
      </c>
      <c r="C19762" s="5" t="str">
        <f>IFERROR(__xludf.DUMMYFUNCTION("GOOGLETRANSLATE(B19762,""en"",""zh-CN"")"),"一个握着绳索上的绳子的家伙。")</f>
        <v>一个握着绳索上的绳子的家伙。</v>
      </c>
    </row>
    <row r="19763">
      <c r="A19763" s="4" t="s">
        <v>24869</v>
      </c>
      <c r="B19763" s="6" t="s">
        <v>24873</v>
      </c>
      <c r="C19763" s="5" t="str">
        <f>IFERROR(__xludf.DUMMYFUNCTION("GOOGLETRANSLATE(B19763,""en"",""zh-CN"")"),"眼镜中的那个人再次出现，在相机上说话，指着一个人在河上滑雪。")</f>
        <v>眼镜中的那个人再次出现，在相机上说话，指着一个人在河上滑雪。</v>
      </c>
    </row>
    <row r="19764">
      <c r="A19764" s="4" t="s">
        <v>24869</v>
      </c>
      <c r="B19764" s="4" t="s">
        <v>24874</v>
      </c>
      <c r="C19764" s="5" t="str">
        <f>IFERROR(__xludf.DUMMYFUNCTION("GOOGLETRANSLATE(B19764,""en"",""zh-CN"")"),"水滑雪者在河水的水上来回滑动。")</f>
        <v>水滑雪者在河水的水上来回滑动。</v>
      </c>
    </row>
    <row r="19765">
      <c r="A19765" s="4" t="s">
        <v>24869</v>
      </c>
      <c r="B19765" s="4" t="s">
        <v>24875</v>
      </c>
      <c r="C19765" s="5" t="str">
        <f>IFERROR(__xludf.DUMMYFUNCTION("GOOGLETRANSLATE(B19765,""en"",""zh-CN"")"),"戴眼镜的人谈论水滑雪。")</f>
        <v>戴眼镜的人谈论水滑雪。</v>
      </c>
    </row>
    <row r="19766">
      <c r="A19766" s="4" t="s">
        <v>24876</v>
      </c>
      <c r="B19766" s="4" t="s">
        <v>24877</v>
      </c>
      <c r="C19766" s="5" t="str">
        <f>IFERROR(__xludf.DUMMYFUNCTION("GOOGLETRANSLATE(B19766,""en"",""zh-CN"")"),"看到一个小孩站在蹦床上，将球扔到远处。")</f>
        <v>看到一个小孩站在蹦床上，将球扔到远处。</v>
      </c>
    </row>
    <row r="19767">
      <c r="A19767" s="4" t="s">
        <v>24876</v>
      </c>
      <c r="B19767" s="4" t="s">
        <v>24878</v>
      </c>
      <c r="C19767" s="5" t="str">
        <f>IFERROR(__xludf.DUMMYFUNCTION("GOOGLETRANSLATE(B19767,""en"",""zh-CN"")"),"看到更多的孩子捡起球，将它们扔到另一侧。")</f>
        <v>看到更多的孩子捡起球，将它们扔到另一侧。</v>
      </c>
    </row>
    <row r="19768">
      <c r="A19768" s="4" t="s">
        <v>24876</v>
      </c>
      <c r="B19768" s="4" t="s">
        <v>24879</v>
      </c>
      <c r="C19768" s="5" t="str">
        <f>IFERROR(__xludf.DUMMYFUNCTION("GOOGLETRANSLATE(B19768,""en"",""zh-CN"")"),"看到更多的孩子扔球，彼此打躲闪。")</f>
        <v>看到更多的孩子扔球，彼此打躲闪。</v>
      </c>
    </row>
    <row r="19769">
      <c r="A19769" s="4" t="s">
        <v>24880</v>
      </c>
      <c r="B19769" s="6" t="s">
        <v>24881</v>
      </c>
      <c r="C19769" s="5" t="str">
        <f>IFERROR(__xludf.DUMMYFUNCTION("GOOGLETRANSLATE(B19769,""en"",""zh-CN"")"),"出现了各种镜头的水肺潜水员以及骑船和骑船的人。")</f>
        <v>出现了各种镜头的水肺潜水员以及骑船和骑船的人。</v>
      </c>
    </row>
    <row r="19770">
      <c r="A19770" s="4" t="s">
        <v>24880</v>
      </c>
      <c r="B19770" s="4" t="s">
        <v>24882</v>
      </c>
      <c r="C19770" s="5" t="str">
        <f>IFERROR(__xludf.DUMMYFUNCTION("GOOGLETRANSLATE(B19770,""en"",""zh-CN"")"),"显示了更多的剪辑，即人们准备在陆地上准备并在海洋周围游泳。")</f>
        <v>显示了更多的剪辑，即人们准备在陆地上准备并在海洋周围游泳。</v>
      </c>
    </row>
    <row r="19771">
      <c r="A19771" s="4" t="s">
        <v>24883</v>
      </c>
      <c r="B19771" s="4" t="s">
        <v>24884</v>
      </c>
      <c r="C19771" s="5" t="str">
        <f>IFERROR(__xludf.DUMMYFUNCTION("GOOGLETRANSLATE(B19771,""en"",""zh-CN"")"),"看到一只小狗站在雪地里，一个人用铲子推雪。")</f>
        <v>看到一只小狗站在雪地里，一个人用铲子推雪。</v>
      </c>
    </row>
    <row r="19772">
      <c r="A19772" s="4" t="s">
        <v>24883</v>
      </c>
      <c r="B19772" s="4" t="s">
        <v>24885</v>
      </c>
      <c r="C19772" s="5" t="str">
        <f>IFERROR(__xludf.DUMMYFUNCTION("GOOGLETRANSLATE(B19772,""en"",""zh-CN"")"),"狗跟着那个人铲着铲子，在铲子上咬着镜头，对摄影师吠叫。")</f>
        <v>狗跟着那个人铲着铲子，在铲子上咬着镜头，对摄影师吠叫。</v>
      </c>
    </row>
    <row r="19773">
      <c r="A19773" s="4" t="s">
        <v>24886</v>
      </c>
      <c r="B19773" s="4" t="s">
        <v>24887</v>
      </c>
      <c r="C19773" s="5" t="str">
        <f>IFERROR(__xludf.DUMMYFUNCTION("GOOGLETRANSLATE(B19773,""en"",""zh-CN"")"),"字母rpm出现在屏幕上。")</f>
        <v>字母rpm出现在屏幕上。</v>
      </c>
    </row>
    <row r="19774">
      <c r="A19774" s="4" t="s">
        <v>24886</v>
      </c>
      <c r="B19774" s="4" t="s">
        <v>24888</v>
      </c>
      <c r="C19774" s="5" t="str">
        <f>IFERROR(__xludf.DUMMYFUNCTION("GOOGLETRANSLATE(B19774,""en"",""zh-CN"")"),"一个房间里到处都是骑自行车的人。")</f>
        <v>一个房间里到处都是骑自行车的人。</v>
      </c>
    </row>
    <row r="19775">
      <c r="A19775" s="4" t="s">
        <v>24886</v>
      </c>
      <c r="B19775" s="4" t="s">
        <v>24889</v>
      </c>
      <c r="C19775" s="5" t="str">
        <f>IFERROR(__xludf.DUMMYFUNCTION("GOOGLETRANSLATE(B19775,""en"",""zh-CN"")"),"他们尽可能快地宣传健身体育馆。")</f>
        <v>他们尽可能快地宣传健身体育馆。</v>
      </c>
    </row>
    <row r="19776">
      <c r="A19776" s="4" t="s">
        <v>24890</v>
      </c>
      <c r="B19776" s="4" t="s">
        <v>24891</v>
      </c>
      <c r="C19776" s="5" t="str">
        <f>IFERROR(__xludf.DUMMYFUNCTION("GOOGLETRANSLATE(B19776,""en"",""zh-CN"")"),"人们开始在地面外面战斗。")</f>
        <v>人们开始在地面外面战斗。</v>
      </c>
    </row>
    <row r="19777">
      <c r="A19777" s="4" t="s">
        <v>24890</v>
      </c>
      <c r="B19777" s="4" t="s">
        <v>24892</v>
      </c>
      <c r="C19777" s="5" t="str">
        <f>IFERROR(__xludf.DUMMYFUNCTION("GOOGLETRANSLATE(B19777,""en"",""zh-CN"")"),"他们把一个男人撞到地上。")</f>
        <v>他们把一个男人撞到地上。</v>
      </c>
    </row>
    <row r="19778">
      <c r="A19778" s="4" t="s">
        <v>24890</v>
      </c>
      <c r="B19778" s="4" t="s">
        <v>24893</v>
      </c>
      <c r="C19778" s="5" t="str">
        <f>IFERROR(__xludf.DUMMYFUNCTION("GOOGLETRANSLATE(B19778,""en"",""zh-CN"")"),"他们将他抬起空中，然后将他猛烈抨击。")</f>
        <v>他们将他抬起空中，然后将他猛烈抨击。</v>
      </c>
    </row>
    <row r="19779">
      <c r="A19779" s="4" t="s">
        <v>24894</v>
      </c>
      <c r="B19779" s="4" t="s">
        <v>24895</v>
      </c>
      <c r="C19779" s="5" t="str">
        <f>IFERROR(__xludf.DUMMYFUNCTION("GOOGLETRANSLATE(B19779,""en"",""zh-CN"")"),"一个男人戴着焊接头盔并握着杆。")</f>
        <v>一个男人戴着焊接头盔并握着杆。</v>
      </c>
    </row>
    <row r="19780">
      <c r="A19780" s="4" t="s">
        <v>24894</v>
      </c>
      <c r="B19780" s="4" t="s">
        <v>24896</v>
      </c>
      <c r="C19780" s="5" t="str">
        <f>IFERROR(__xludf.DUMMYFUNCTION("GOOGLETRANSLATE(B19780,""en"",""zh-CN"")"),"然后，该男子用道路将一块金属固定在地板上。")</f>
        <v>然后，该男子用道路将一块金属固定在地板上。</v>
      </c>
    </row>
    <row r="19781">
      <c r="A19781" s="4" t="s">
        <v>24897</v>
      </c>
      <c r="B19781" s="4" t="s">
        <v>24898</v>
      </c>
      <c r="C19781" s="5" t="str">
        <f>IFERROR(__xludf.DUMMYFUNCTION("GOOGLETRANSLATE(B19781,""en"",""zh-CN"")"),"室内球场上有一场羽毛球女士双重比赛。")</f>
        <v>室内球场上有一场羽毛球女士双重比赛。</v>
      </c>
    </row>
    <row r="19782">
      <c r="A19782" s="4" t="s">
        <v>24897</v>
      </c>
      <c r="B19782" s="6" t="s">
        <v>24899</v>
      </c>
      <c r="C19782" s="5" t="str">
        <f>IFERROR(__xludf.DUMMYFUNCTION("GOOGLETRANSLATE(B19782,""en"",""zh-CN"")"),"有几个观众在观看比赛时，双打合作伙伴带着球拍击中了Shuttlecock。")</f>
        <v>有几个观众在观看比赛时，双打合作伙伴带着球拍击中了Shuttlecock。</v>
      </c>
    </row>
    <row r="19783">
      <c r="A19783" s="4" t="s">
        <v>24897</v>
      </c>
      <c r="B19783" s="4" t="s">
        <v>24900</v>
      </c>
      <c r="C19783" s="5" t="str">
        <f>IFERROR(__xludf.DUMMYFUNCTION("GOOGLETRANSLATE(B19783,""en"",""zh-CN"")"),"比赛开始时，人群欢呼雀跃，球员们来回击中。")</f>
        <v>比赛开始时，人群欢呼雀跃，球员们来回击中。</v>
      </c>
    </row>
    <row r="19784">
      <c r="A19784" s="4" t="s">
        <v>24901</v>
      </c>
      <c r="B19784" s="4" t="s">
        <v>24902</v>
      </c>
      <c r="C19784" s="5" t="str">
        <f>IFERROR(__xludf.DUMMYFUNCTION("GOOGLETRANSLATE(B19784,""en"",""zh-CN"")"),"一个人站着，抬起杠铃时大声尖叫。")</f>
        <v>一个人站着，抬起杠铃时大声尖叫。</v>
      </c>
    </row>
    <row r="19785">
      <c r="A19785" s="4" t="s">
        <v>24901</v>
      </c>
      <c r="B19785" s="4" t="s">
        <v>24903</v>
      </c>
      <c r="C19785" s="5" t="str">
        <f>IFERROR(__xludf.DUMMYFUNCTION("GOOGLETRANSLATE(B19785,""en"",""zh-CN"")"),"他举起一头重量。")</f>
        <v>他举起一头重量。</v>
      </c>
    </row>
    <row r="19786">
      <c r="A19786" s="4" t="s">
        <v>24901</v>
      </c>
      <c r="B19786" s="4" t="s">
        <v>24904</v>
      </c>
      <c r="C19786" s="5" t="str">
        <f>IFERROR(__xludf.DUMMYFUNCTION("GOOGLETRANSLATE(B19786,""en"",""zh-CN"")"),"当人群观看时，另一个男人的举重被展示起来。")</f>
        <v>当人群观看时，另一个男人的举重被展示起来。</v>
      </c>
    </row>
    <row r="19787">
      <c r="A19787" s="4" t="s">
        <v>24901</v>
      </c>
      <c r="B19787" s="4" t="s">
        <v>24905</v>
      </c>
      <c r="C19787" s="5" t="str">
        <f>IFERROR(__xludf.DUMMYFUNCTION("GOOGLETRANSLATE(B19787,""en"",""zh-CN"")"),"几个举重运动员继续举起杠铃。")</f>
        <v>几个举重运动员继续举起杠铃。</v>
      </c>
    </row>
    <row r="19788">
      <c r="A19788" s="4" t="s">
        <v>24901</v>
      </c>
      <c r="B19788" s="4" t="s">
        <v>24906</v>
      </c>
      <c r="C19788" s="5" t="str">
        <f>IFERROR(__xludf.DUMMYFUNCTION("GOOGLETRANSLATE(B19788,""en"",""zh-CN"")"),"一个男人在受伤时被躺下。")</f>
        <v>一个男人在受伤时被躺下。</v>
      </c>
    </row>
    <row r="19789">
      <c r="A19789" s="4" t="s">
        <v>24907</v>
      </c>
      <c r="B19789" s="4" t="s">
        <v>24908</v>
      </c>
      <c r="C19789" s="5" t="str">
        <f>IFERROR(__xludf.DUMMYFUNCTION("GOOGLETRANSLATE(B19789,""en"",""zh-CN"")"),"看到两个男人站在一个房间周围，开始击球，而另一些人看着。")</f>
        <v>看到两个男人站在一个房间周围，开始击球，而另一些人看着。</v>
      </c>
    </row>
    <row r="19790">
      <c r="A19790" s="4" t="s">
        <v>24907</v>
      </c>
      <c r="B19790" s="4" t="s">
        <v>24909</v>
      </c>
      <c r="C19790" s="5" t="str">
        <f>IFERROR(__xludf.DUMMYFUNCTION("GOOGLETRANSLATE(B19790,""en"",""zh-CN"")"),"更多的人出现在房间里，看到在网球上追逐并击中它。")</f>
        <v>更多的人出现在房间里，看到在网球上追逐并击中它。</v>
      </c>
    </row>
    <row r="19791">
      <c r="A19791" s="4" t="s">
        <v>24910</v>
      </c>
      <c r="B19791" s="4" t="s">
        <v>24911</v>
      </c>
      <c r="C19791" s="5" t="str">
        <f>IFERROR(__xludf.DUMMYFUNCTION("GOOGLETRANSLATE(B19791,""en"",""zh-CN"")"),"水泥是在水泥混合器中制成的。")</f>
        <v>水泥是在水泥混合器中制成的。</v>
      </c>
    </row>
    <row r="19792">
      <c r="A19792" s="4" t="s">
        <v>24910</v>
      </c>
      <c r="B19792" s="4" t="s">
        <v>24912</v>
      </c>
      <c r="C19792" s="5" t="str">
        <f>IFERROR(__xludf.DUMMYFUNCTION("GOOGLETRANSLATE(B19792,""en"",""zh-CN"")"),"三名西班牙裔男子用水泥枪为游泳池的基础奠定了基础。")</f>
        <v>三名西班牙裔男子用水泥枪为游泳池的基础奠定了基础。</v>
      </c>
    </row>
    <row r="19793">
      <c r="A19793" s="4" t="s">
        <v>24910</v>
      </c>
      <c r="B19793" s="6" t="s">
        <v>24913</v>
      </c>
      <c r="C19793" s="5" t="str">
        <f>IFERROR(__xludf.DUMMYFUNCTION("GOOGLETRANSLATE(B19793,""en"",""zh-CN"")"),"一个穿着白色的男人正在做水泥完成，因为其他男人用枪躺着水泥。")</f>
        <v>一个穿着白色的男人正在做水泥完成，因为其他男人用枪躺着水泥。</v>
      </c>
    </row>
    <row r="19794">
      <c r="A19794" s="4" t="s">
        <v>24910</v>
      </c>
      <c r="B19794" s="4" t="s">
        <v>24914</v>
      </c>
      <c r="C19794" s="5" t="str">
        <f>IFERROR(__xludf.DUMMYFUNCTION("GOOGLETRANSLATE(B19794,""en"",""zh-CN"")"),"水泥完成后，所有的人都开始完成。")</f>
        <v>水泥完成后，所有的人都开始完成。</v>
      </c>
    </row>
    <row r="19795">
      <c r="A19795" s="4" t="s">
        <v>24915</v>
      </c>
      <c r="B19795" s="4" t="s">
        <v>24916</v>
      </c>
      <c r="C19795" s="5" t="str">
        <f>IFERROR(__xludf.DUMMYFUNCTION("GOOGLETRANSLATE(B19795,""en"",""zh-CN"")"),"滑雪者在滑雪胜地的山坡底部走路，站在滑雪板上。")</f>
        <v>滑雪者在滑雪胜地的山坡底部走路，站在滑雪板上。</v>
      </c>
    </row>
    <row r="19796">
      <c r="A19796" s="4" t="s">
        <v>24915</v>
      </c>
      <c r="B19796" s="4" t="s">
        <v>24917</v>
      </c>
      <c r="C19796" s="5" t="str">
        <f>IFERROR(__xludf.DUMMYFUNCTION("GOOGLETRANSLATE(B19796,""en"",""zh-CN"")"),"孩子们骑着滑雪坡上的通道沿着通道骑行。")</f>
        <v>孩子们骑着滑雪坡上的通道沿着通道骑行。</v>
      </c>
    </row>
    <row r="19797">
      <c r="A19797" s="4" t="s">
        <v>24915</v>
      </c>
      <c r="B19797" s="4" t="s">
        <v>24918</v>
      </c>
      <c r="C19797" s="5" t="str">
        <f>IFERROR(__xludf.DUMMYFUNCTION("GOOGLETRANSLATE(B19797,""en"",""zh-CN"")"),"滑雪者和滑雪者沿滑雪板驶下，而其他团体则坐在滑雪缆车上。")</f>
        <v>滑雪者和滑雪者沿滑雪板驶下，而其他团体则坐在滑雪缆车上。</v>
      </c>
    </row>
    <row r="19798">
      <c r="A19798" s="4" t="s">
        <v>24915</v>
      </c>
      <c r="B19798" s="4" t="s">
        <v>24919</v>
      </c>
      <c r="C19798" s="5" t="str">
        <f>IFERROR(__xludf.DUMMYFUNCTION("GOOGLETRANSLATE(B19798,""en"",""zh-CN"")"),"一群人挂在管间上的拖绳上，扔雪球。")</f>
        <v>一群人挂在管间上的拖绳上，扔雪球。</v>
      </c>
    </row>
    <row r="19799">
      <c r="A19799" s="4" t="s">
        <v>24920</v>
      </c>
      <c r="B19799" s="4" t="s">
        <v>24921</v>
      </c>
      <c r="C19799" s="5" t="str">
        <f>IFERROR(__xludf.DUMMYFUNCTION("GOOGLETRANSLATE(B19799,""en"",""zh-CN"")"),"一个男人在工作室的原声吉他上播放一首歌。")</f>
        <v>一个男人在工作室的原声吉他上播放一首歌。</v>
      </c>
    </row>
    <row r="19800">
      <c r="A19800" s="4" t="s">
        <v>24920</v>
      </c>
      <c r="B19800" s="4" t="s">
        <v>24922</v>
      </c>
      <c r="C19800" s="5" t="str">
        <f>IFERROR(__xludf.DUMMYFUNCTION("GOOGLETRANSLATE(B19800,""en"",""zh-CN"")"),"该男子重置他的手并完成歌曲。")</f>
        <v>该男子重置他的手并完成歌曲。</v>
      </c>
    </row>
    <row r="19801">
      <c r="A19801" s="4" t="s">
        <v>24923</v>
      </c>
      <c r="B19801" s="4" t="s">
        <v>24924</v>
      </c>
      <c r="C19801" s="5" t="str">
        <f>IFERROR(__xludf.DUMMYFUNCTION("GOOGLETRANSLATE(B19801,""en"",""zh-CN"")"),"一个女人走过一个白雪皑皑的停车场，寻找她的汽车。")</f>
        <v>一个女人走过一个白雪皑皑的停车场，寻找她的汽车。</v>
      </c>
    </row>
    <row r="19802">
      <c r="A19802" s="4" t="s">
        <v>24923</v>
      </c>
      <c r="B19802" s="4" t="s">
        <v>24925</v>
      </c>
      <c r="C19802" s="5" t="str">
        <f>IFERROR(__xludf.DUMMYFUNCTION("GOOGLETRANSLATE(B19802,""en"",""zh-CN"")"),"看到她使用拖把试图擦掉车上的雪。")</f>
        <v>看到她使用拖把试图擦掉车上的雪。</v>
      </c>
    </row>
    <row r="19803">
      <c r="A19803" s="4" t="s">
        <v>24923</v>
      </c>
      <c r="B19803" s="4" t="s">
        <v>24926</v>
      </c>
      <c r="C19803" s="5" t="str">
        <f>IFERROR(__xludf.DUMMYFUNCTION("GOOGLETRANSLATE(B19803,""en"",""zh-CN"")"),"当她继续清洁时，雪开始下降。")</f>
        <v>当她继续清洁时，雪开始下降。</v>
      </c>
    </row>
    <row r="19804">
      <c r="A19804" s="4" t="s">
        <v>24927</v>
      </c>
      <c r="B19804" s="4" t="s">
        <v>24928</v>
      </c>
      <c r="C19804" s="5" t="str">
        <f>IFERROR(__xludf.DUMMYFUNCTION("GOOGLETRANSLATE(B19804,""en"",""zh-CN"")"),"观众观看时，一群啦啦队在篮球场中表演。")</f>
        <v>观众观看时，一群啦啦队在篮球场中表演。</v>
      </c>
    </row>
    <row r="19805">
      <c r="A19805" s="4" t="s">
        <v>24927</v>
      </c>
      <c r="B19805" s="4" t="s">
        <v>24929</v>
      </c>
      <c r="C19805" s="5" t="str">
        <f>IFERROR(__xludf.DUMMYFUNCTION("GOOGLETRANSLATE(B19805,""en"",""zh-CN"")"),"一个人走过框架的底部。")</f>
        <v>一个人走过框架的底部。</v>
      </c>
    </row>
    <row r="19806">
      <c r="A19806" s="4" t="s">
        <v>24927</v>
      </c>
      <c r="B19806" s="4" t="s">
        <v>24930</v>
      </c>
      <c r="C19806" s="5" t="str">
        <f>IFERROR(__xludf.DUMMYFUNCTION("GOOGLETRANSLATE(B19806,""en"",""zh-CN"")"),"啦啦队长并取代了一群年轻的啦啦队。")</f>
        <v>啦啦队长并取代了一群年轻的啦啦队。</v>
      </c>
    </row>
    <row r="19807">
      <c r="A19807" s="4" t="s">
        <v>24931</v>
      </c>
      <c r="B19807" s="6" t="s">
        <v>24932</v>
      </c>
      <c r="C19807" s="5" t="str">
        <f>IFERROR(__xludf.DUMMYFUNCTION("GOOGLETRANSLATE(B19807,""en"",""zh-CN"")"),"一个男人正在聊天，站在厨房里，穿着白色长袍和许多五颜六色的蔬菜在他面前。")</f>
        <v>一个男人正在聊天，站在厨房里，穿着白色长袍和许多五颜六色的蔬菜在他面前。</v>
      </c>
    </row>
    <row r="19808">
      <c r="A19808" s="4" t="s">
        <v>24931</v>
      </c>
      <c r="B19808" s="6" t="s">
        <v>24933</v>
      </c>
      <c r="C19808" s="5" t="str">
        <f>IFERROR(__xludf.DUMMYFUNCTION("GOOGLETRANSLATE(B19808,""en"",""zh-CN"")"),"现在，蔬菜不见了，这个人现在正在将一些小碗从坐在木制切菜板上的白色盘子上sc起东西。")</f>
        <v>现在，蔬菜不见了，这个人现在正在将一些小碗从坐在木制切菜板上的白色盘子上sc起东西。</v>
      </c>
    </row>
    <row r="19809">
      <c r="A19809" s="4" t="s">
        <v>24931</v>
      </c>
      <c r="B19809" s="6" t="s">
        <v>24934</v>
      </c>
      <c r="C19809" s="5" t="str">
        <f>IFERROR(__xludf.DUMMYFUNCTION("GOOGLETRANSLATE(B19809,""en"",""zh-CN"")"),"然后，该男子开始用餐具，然后他的手将内容分解为分开的碎片。")</f>
        <v>然后，该男子开始用餐具，然后他的手将内容分解为分开的碎片。</v>
      </c>
    </row>
    <row r="19810">
      <c r="A19810" s="4" t="s">
        <v>24935</v>
      </c>
      <c r="B19810" s="4" t="s">
        <v>24936</v>
      </c>
      <c r="C19810" s="5" t="str">
        <f>IFERROR(__xludf.DUMMYFUNCTION("GOOGLETRANSLATE(B19810,""en"",""zh-CN"")"),"一位穿着黑色衬衫的年轻人撞到墙上的一个小球。")</f>
        <v>一位穿着黑色衬衫的年轻人撞到墙上的一个小球。</v>
      </c>
    </row>
    <row r="19811">
      <c r="A19811" s="4" t="s">
        <v>24935</v>
      </c>
      <c r="B19811" s="4" t="s">
        <v>24937</v>
      </c>
      <c r="C19811" s="5" t="str">
        <f>IFERROR(__xludf.DUMMYFUNCTION("GOOGLETRANSLATE(B19811,""en"",""zh-CN"")"),"一个穿着红色衬衫的男人用球拍将球交给他。")</f>
        <v>一个穿着红色衬衫的男人用球拍将球交给他。</v>
      </c>
    </row>
    <row r="19812">
      <c r="A19812" s="4" t="s">
        <v>24935</v>
      </c>
      <c r="B19812" s="4" t="s">
        <v>24938</v>
      </c>
      <c r="C19812" s="5" t="str">
        <f>IFERROR(__xludf.DUMMYFUNCTION("GOOGLETRANSLATE(B19812,""en"",""zh-CN"")"),"年轻人再次撞到墙上。")</f>
        <v>年轻人再次撞到墙上。</v>
      </c>
    </row>
    <row r="19813">
      <c r="A19813" s="4" t="s">
        <v>24935</v>
      </c>
      <c r="B19813" s="4" t="s">
        <v>24939</v>
      </c>
      <c r="C19813" s="5" t="str">
        <f>IFERROR(__xludf.DUMMYFUNCTION("GOOGLETRANSLATE(B19813,""en"",""zh-CN"")"),"一群人四处走动试图击球。")</f>
        <v>一群人四处走动试图击球。</v>
      </c>
    </row>
    <row r="19814">
      <c r="A19814" s="4" t="s">
        <v>24935</v>
      </c>
      <c r="B19814" s="4" t="s">
        <v>24940</v>
      </c>
      <c r="C19814" s="5" t="str">
        <f>IFERROR(__xludf.DUMMYFUNCTION("GOOGLETRANSLATE(B19814,""en"",""zh-CN"")"),"穿着黑色衬衫的年轻人将球交给了红色衬衫的男人。")</f>
        <v>穿着黑色衬衫的年轻人将球交给了红色衬衫的男人。</v>
      </c>
    </row>
    <row r="19815">
      <c r="A19815" s="4" t="s">
        <v>24935</v>
      </c>
      <c r="B19815" s="4" t="s">
        <v>24941</v>
      </c>
      <c r="C19815" s="5" t="str">
        <f>IFERROR(__xludf.DUMMYFUNCTION("GOOGLETRANSLATE(B19815,""en"",""zh-CN"")"),"红色衬衫的那个人将球撞在墙上。")</f>
        <v>红色衬衫的那个人将球撞在墙上。</v>
      </c>
    </row>
    <row r="19816">
      <c r="A19816" s="4" t="s">
        <v>24935</v>
      </c>
      <c r="B19816" s="4" t="s">
        <v>24942</v>
      </c>
      <c r="C19816" s="5" t="str">
        <f>IFERROR(__xludf.DUMMYFUNCTION("GOOGLETRANSLATE(B19816,""en"",""zh-CN"")"),"一群人在球场上跑来跑去，挥舞着球拍，试图接球。")</f>
        <v>一群人在球场上跑来跑去，挥舞着球拍，试图接球。</v>
      </c>
    </row>
    <row r="19817">
      <c r="A19817" s="4" t="s">
        <v>24943</v>
      </c>
      <c r="B19817" s="4" t="s">
        <v>24944</v>
      </c>
      <c r="C19817" s="5" t="str">
        <f>IFERROR(__xludf.DUMMYFUNCTION("GOOGLETRANSLATE(B19817,""en"",""zh-CN"")"),"穿着黄色制服的团队在田野里跑步。")</f>
        <v>穿着黄色制服的团队在田野里跑步。</v>
      </c>
    </row>
    <row r="19818">
      <c r="A19818" s="4" t="s">
        <v>24943</v>
      </c>
      <c r="B19818" s="4" t="s">
        <v>24945</v>
      </c>
      <c r="C19818" s="5" t="str">
        <f>IFERROR(__xludf.DUMMYFUNCTION("GOOGLETRANSLATE(B19818,""en"",""zh-CN"")"),"摄影师站在他身上拍摄了黄色和蓝色团队的照片。")</f>
        <v>摄影师站在他身上拍摄了黄色和蓝色团队的照片。</v>
      </c>
    </row>
    <row r="19819">
      <c r="A19819" s="4" t="s">
        <v>24943</v>
      </c>
      <c r="B19819" s="4" t="s">
        <v>24946</v>
      </c>
      <c r="C19819" s="5" t="str">
        <f>IFERROR(__xludf.DUMMYFUNCTION("GOOGLETRANSLATE(B19819,""en"",""zh-CN"")"),"团队开始在一个大格林草地上pla曲棍球。")</f>
        <v>团队开始在一个大格林草地上pla曲棍球。</v>
      </c>
    </row>
    <row r="19820">
      <c r="A19820" s="4" t="s">
        <v>24947</v>
      </c>
      <c r="B19820" s="4" t="s">
        <v>24948</v>
      </c>
      <c r="C19820" s="5" t="str">
        <f>IFERROR(__xludf.DUMMYFUNCTION("GOOGLETRANSLATE(B19820,""en"",""zh-CN"")"),"那位女士拿起刷子和剪刀。")</f>
        <v>那位女士拿起刷子和剪刀。</v>
      </c>
    </row>
    <row r="19821">
      <c r="A19821" s="4" t="s">
        <v>24947</v>
      </c>
      <c r="B19821" s="4" t="s">
        <v>24949</v>
      </c>
      <c r="C19821" s="5" t="str">
        <f>IFERROR(__xludf.DUMMYFUNCTION("GOOGLETRANSLATE(B19821,""en"",""zh-CN"")"),"她扫了看台的底部。")</f>
        <v>她扫了看台的底部。</v>
      </c>
    </row>
    <row r="19822">
      <c r="A19822" s="4" t="s">
        <v>24947</v>
      </c>
      <c r="B19822" s="4" t="s">
        <v>24950</v>
      </c>
      <c r="C19822" s="5" t="str">
        <f>IFERROR(__xludf.DUMMYFUNCTION("GOOGLETRANSLATE(B19822,""en"",""zh-CN"")"),"她刷狗右腿。")</f>
        <v>她刷狗右腿。</v>
      </c>
    </row>
    <row r="19823">
      <c r="A19823" s="4" t="s">
        <v>24947</v>
      </c>
      <c r="B19823" s="4" t="s">
        <v>24951</v>
      </c>
      <c r="C19823" s="5" t="str">
        <f>IFERROR(__xludf.DUMMYFUNCTION("GOOGLETRANSLATE(B19823,""en"",""zh-CN"")"),"然后，她将头发夹在这个爪子上。")</f>
        <v>然后，她将头发夹在这个爪子上。</v>
      </c>
    </row>
    <row r="19824">
      <c r="A19824" s="4" t="s">
        <v>24947</v>
      </c>
      <c r="B19824" s="4" t="s">
        <v>24952</v>
      </c>
      <c r="C19824" s="5" t="str">
        <f>IFERROR(__xludf.DUMMYFUNCTION("GOOGLETRANSLATE(B19824,""en"",""zh-CN"")"),"她向上刷毛。")</f>
        <v>她向上刷毛。</v>
      </c>
    </row>
    <row r="19825">
      <c r="A19825" s="4" t="s">
        <v>24947</v>
      </c>
      <c r="B19825" s="4" t="s">
        <v>24953</v>
      </c>
      <c r="C19825" s="5" t="str">
        <f>IFERROR(__xludf.DUMMYFUNCTION("GOOGLETRANSLATE(B19825,""en"",""zh-CN"")"),"然后，她再次将皮毛夹在爪子上。")</f>
        <v>然后，她再次将皮毛夹在爪子上。</v>
      </c>
    </row>
    <row r="19826">
      <c r="A19826" s="4" t="s">
        <v>24947</v>
      </c>
      <c r="B19826" s="4" t="s">
        <v>24954</v>
      </c>
      <c r="C19826" s="5" t="str">
        <f>IFERROR(__xludf.DUMMYFUNCTION("GOOGLETRANSLATE(B19826,""en"",""zh-CN"")"),"她再次刷他的爪子。")</f>
        <v>她再次刷他的爪子。</v>
      </c>
    </row>
    <row r="19827">
      <c r="A19827" s="4" t="s">
        <v>24947</v>
      </c>
      <c r="B19827" s="4" t="s">
        <v>24955</v>
      </c>
      <c r="C19827" s="5" t="str">
        <f>IFERROR(__xludf.DUMMYFUNCTION("GOOGLETRANSLATE(B19827,""en"",""zh-CN"")"),"然后，她再将皮毛夹在爪子上。")</f>
        <v>然后，她再将皮毛夹在爪子上。</v>
      </c>
    </row>
    <row r="19828">
      <c r="A19828" s="4" t="s">
        <v>24947</v>
      </c>
      <c r="B19828" s="4" t="s">
        <v>24956</v>
      </c>
      <c r="C19828" s="5" t="str">
        <f>IFERROR(__xludf.DUMMYFUNCTION("GOOGLETRANSLATE(B19828,""en"",""zh-CN"")"),"然后，她将剪裁的头发束缚在爪子上。")</f>
        <v>然后，她将剪裁的头发束缚在爪子上。</v>
      </c>
    </row>
    <row r="19829">
      <c r="A19829" s="4" t="s">
        <v>24947</v>
      </c>
      <c r="B19829" s="4" t="s">
        <v>24957</v>
      </c>
      <c r="C19829" s="5" t="str">
        <f>IFERROR(__xludf.DUMMYFUNCTION("GOOGLETRANSLATE(B19829,""en"",""zh-CN"")"),"她将头发从爪子的背面夹住。")</f>
        <v>她将头发从爪子的背面夹住。</v>
      </c>
    </row>
    <row r="19830">
      <c r="A19830" s="4" t="s">
        <v>24947</v>
      </c>
      <c r="B19830" s="4" t="s">
        <v>24958</v>
      </c>
      <c r="C19830" s="5" t="str">
        <f>IFERROR(__xludf.DUMMYFUNCTION("GOOGLETRANSLATE(B19830,""en"",""zh-CN"")"),"淡入黑色，积分发生。")</f>
        <v>淡入黑色，积分发生。</v>
      </c>
    </row>
    <row r="19831">
      <c r="A19831" s="4" t="s">
        <v>24959</v>
      </c>
      <c r="B19831" s="4" t="s">
        <v>24960</v>
      </c>
      <c r="C19831" s="5" t="str">
        <f>IFERROR(__xludf.DUMMYFUNCTION("GOOGLETRANSLATE(B19831,""en"",""zh-CN"")"),"一位女士高兴地看着她。")</f>
        <v>一位女士高兴地看着她。</v>
      </c>
    </row>
    <row r="19832">
      <c r="A19832" s="4" t="s">
        <v>24959</v>
      </c>
      <c r="B19832" s="4" t="s">
        <v>24961</v>
      </c>
      <c r="C19832" s="5" t="str">
        <f>IFERROR(__xludf.DUMMYFUNCTION("GOOGLETRANSLATE(B19832,""en"",""zh-CN"")"),"这位女士弹钢琴。")</f>
        <v>这位女士弹钢琴。</v>
      </c>
    </row>
    <row r="19833">
      <c r="A19833" s="4" t="s">
        <v>24959</v>
      </c>
      <c r="B19833" s="4" t="s">
        <v>24962</v>
      </c>
      <c r="C19833" s="5" t="str">
        <f>IFERROR(__xludf.DUMMYFUNCTION("GOOGLETRANSLATE(B19833,""en"",""zh-CN"")"),"那位女士看着她的身边。")</f>
        <v>那位女士看着她的身边。</v>
      </c>
    </row>
    <row r="19834">
      <c r="A19834" s="4" t="s">
        <v>24963</v>
      </c>
      <c r="B19834" s="6" t="s">
        <v>24964</v>
      </c>
      <c r="C19834" s="5" t="str">
        <f>IFERROR(__xludf.DUMMYFUNCTION("GOOGLETRANSLATE(B19834,""en"",""zh-CN"")"),"显示了五颜六色的斑马指甲，并带有五颜六色的屏幕，上面写着彩色文字，上面写着“ Professionddq的酸斑马指甲艺术”，然后随后还有许多其他单词，其中包括所需的供应列表。")</f>
        <v>显示了五颜六色的斑马指甲，并带有五颜六色的屏幕，上面写着彩色文字，上面写着“ Professionddq的酸斑马指甲艺术”，然后随后还有许多其他单词，其中包括所需的供应列表。</v>
      </c>
    </row>
    <row r="19835">
      <c r="A19835" s="4" t="s">
        <v>24963</v>
      </c>
      <c r="B19835" s="6" t="s">
        <v>24965</v>
      </c>
      <c r="C19835" s="5" t="str">
        <f>IFERROR(__xludf.DUMMYFUNCTION("GOOGLETRANSLATE(B19835,""en"",""zh-CN"")"),"显示了六种不同的指甲油的六种不同纯色的镜头，有些是圆形的瓶子，有些是方形瓶。")</f>
        <v>显示了六种不同的指甲油的六种不同纯色的镜头，有些是圆形的瓶子，有些是方形瓶。</v>
      </c>
    </row>
    <row r="19836">
      <c r="A19836" s="4" t="s">
        <v>24963</v>
      </c>
      <c r="B19836" s="6" t="s">
        <v>24966</v>
      </c>
      <c r="C19836" s="5" t="str">
        <f>IFERROR(__xludf.DUMMYFUNCTION("GOOGLETRANSLATE(B19836,""en"",""zh-CN"")"),"演示开始了，它表明有人在海绵上涂上各种颜色，将各种颜色涂在长长的白色绘画指甲上。")</f>
        <v>演示开始了，它表明有人在海绵上涂上各种颜色，将各种颜色涂在长长的白色绘画指甲上。</v>
      </c>
    </row>
    <row r="19837">
      <c r="A19837" s="4" t="s">
        <v>24963</v>
      </c>
      <c r="B19837" s="6" t="s">
        <v>24967</v>
      </c>
      <c r="C19837" s="5" t="str">
        <f>IFERROR(__xludf.DUMMYFUNCTION("GOOGLETRANSLATE(B19837,""en"",""zh-CN"")"),"彩色文字短暂地出现了一个彩色的屏幕，它说“然后添加了一层闪光片真棒”，显示了一瓶火花指甲油，然后在彩色屏幕上出现了更多文本。")</f>
        <v>彩色文字短暂地出现了一个彩色的屏幕，它说“然后添加了一层闪光片真棒”，显示了一瓶火花指甲油，然后在彩色屏幕上出现了更多文本。</v>
      </c>
    </row>
    <row r="19838">
      <c r="A19838" s="4" t="s">
        <v>24963</v>
      </c>
      <c r="B19838" s="6" t="s">
        <v>24968</v>
      </c>
      <c r="C19838" s="5" t="str">
        <f>IFERROR(__xludf.DUMMYFUNCTION("GOOGLETRANSLATE(B19838,""en"",""zh-CN"")"),"显示了一个黑色油漆瓶，然后该人将一条薄薄的黑线涂成闪闪发光和多色的指甲，并以斑马条纹的图案将其涂成。")</f>
        <v>显示了一个黑色油漆瓶，然后该人将一条薄薄的黑线涂成闪闪发光和多色的指甲，并以斑马条纹的图案将其涂成。</v>
      </c>
    </row>
    <row r="19839">
      <c r="A19839" s="4" t="s">
        <v>24963</v>
      </c>
      <c r="B19839" s="6" t="s">
        <v>24969</v>
      </c>
      <c r="C19839" s="5" t="str">
        <f>IFERROR(__xludf.DUMMYFUNCTION("GOOGLETRANSLATE(B19839,""en"",""zh-CN"")"),"出现了五颜六色的屏幕以及色彩鲜艳的文字，并有说明“与Topcoat结束，现在您是无敌的Nyan Zebra !!”。")</f>
        <v>出现了五颜六色的屏幕以及色彩鲜艳的文字，并有说明“与Topcoat结束，现在您是无敌的Nyan Zebra !!”。</v>
      </c>
    </row>
    <row r="19840">
      <c r="A19840" s="4" t="s">
        <v>24963</v>
      </c>
      <c r="B19840" s="6" t="s">
        <v>24970</v>
      </c>
      <c r="C19840" s="5" t="str">
        <f>IFERROR(__xludf.DUMMYFUNCTION("GOOGLETRANSLATE(B19840,""en"",""zh-CN"")"),"完成的指甲是建模和以不同角度显示的，并显示出彩色字母的彩色屏幕，它说“别忘了你的尾巴！”然后它显示了拿着毛茸茸的粉红色和黑色长尾的人。")</f>
        <v>完成的指甲是建模和以不同角度显示的，并显示出彩色字母的彩色屏幕，它说“别忘了你的尾巴！”然后它显示了拿着毛茸茸的粉红色和黑色长尾的人。</v>
      </c>
    </row>
    <row r="19841">
      <c r="A19841" s="4" t="s">
        <v>24963</v>
      </c>
      <c r="B19841" s="6" t="s">
        <v>24971</v>
      </c>
      <c r="C19841" s="5" t="str">
        <f>IFERROR(__xludf.DUMMYFUNCTION("GOOGLETRANSLATE(B19841,""en"",""zh-CN"")"),"出现了一个带有丰富多彩的文字的彩色屏幕，它说“感谢您的观看Swoosh！”成品彩色斑马指甲的更多静止镜头以不同的位置和角度显示。")</f>
        <v>出现了一个带有丰富多彩的文字的彩色屏幕，它说“感谢您的观看Swoosh！”成品彩色斑马指甲的更多静止镜头以不同的位置和角度显示。</v>
      </c>
    </row>
    <row r="19842">
      <c r="A19842" s="4" t="s">
        <v>24972</v>
      </c>
      <c r="B19842" s="6" t="s">
        <v>24973</v>
      </c>
      <c r="C19842" s="5" t="str">
        <f>IFERROR(__xludf.DUMMYFUNCTION("GOOGLETRANSLATE(B19842,""en"",""zh-CN"")"),"骆驼坐在地上，但后来那个男人坐在骆驼上时戴在眼镜上，因为它抬起，使男人向前稍微向前。")</f>
        <v>骆驼坐在地上，但后来那个男人坐在骆驼上时戴在眼镜上，因为它抬起，使男人向前稍微向前。</v>
      </c>
    </row>
    <row r="19843">
      <c r="A19843" s="4" t="s">
        <v>24972</v>
      </c>
      <c r="B19843" s="4" t="s">
        <v>24974</v>
      </c>
      <c r="C19843" s="5" t="str">
        <f>IFERROR(__xludf.DUMMYFUNCTION("GOOGLETRANSLATE(B19843,""en"",""zh-CN"")"),"然后，有人抓住骆驼上的绳索，将骆驼引导到正确的位置。")</f>
        <v>然后，有人抓住骆驼上的绳索，将骆驼引导到正确的位置。</v>
      </c>
    </row>
    <row r="19844">
      <c r="A19844" s="4" t="s">
        <v>24972</v>
      </c>
      <c r="B19844" s="6" t="s">
        <v>24975</v>
      </c>
      <c r="C19844" s="5" t="str">
        <f>IFERROR(__xludf.DUMMYFUNCTION("GOOGLETRANSLATE(B19844,""en"",""zh-CN"")"),"最终，男人拉着骆驼坐在骆驼上，而另外2个骆驼在前面的骆驼后面行走。")</f>
        <v>最终，男人拉着骆驼坐在骆驼上，而另外2个骆驼在前面的骆驼后面行走。</v>
      </c>
    </row>
    <row r="19845">
      <c r="A19845" s="4" t="s">
        <v>24976</v>
      </c>
      <c r="B19845" s="4" t="s">
        <v>24977</v>
      </c>
      <c r="C19845" s="5" t="str">
        <f>IFERROR(__xludf.DUMMYFUNCTION("GOOGLETRANSLATE(B19845,""en"",""zh-CN"")"),"人们在独木舟上沿着波涛汹涌的河流划船。")</f>
        <v>人们在独木舟上沿着波涛汹涌的河流划船。</v>
      </c>
    </row>
    <row r="19846">
      <c r="A19846" s="4" t="s">
        <v>24976</v>
      </c>
      <c r="B19846" s="4" t="s">
        <v>24978</v>
      </c>
      <c r="C19846" s="5" t="str">
        <f>IFERROR(__xludf.DUMMYFUNCTION("GOOGLETRANSLATE(B19846,""en"",""zh-CN"")"),"两名男子在河岸附近的独木舟航行中，但随后在河里航行。")</f>
        <v>两名男子在河岸附近的独木舟航行中，但随后在河里航行。</v>
      </c>
    </row>
    <row r="19847">
      <c r="A19847" s="4" t="s">
        <v>24976</v>
      </c>
      <c r="B19847" s="4" t="s">
        <v>24979</v>
      </c>
      <c r="C19847" s="5" t="str">
        <f>IFERROR(__xludf.DUMMYFUNCTION("GOOGLETRANSLATE(B19847,""en"",""zh-CN"")"),"这些人将独木舟旋转在独木舟路线的拱门附近。")</f>
        <v>这些人将独木舟旋转在独木舟路线的拱门附近。</v>
      </c>
    </row>
    <row r="19848">
      <c r="A19848" s="4" t="s">
        <v>24976</v>
      </c>
      <c r="B19848" s="4" t="s">
        <v>24980</v>
      </c>
      <c r="C19848" s="5" t="str">
        <f>IFERROR(__xludf.DUMMYFUNCTION("GOOGLETRANSLATE(B19848,""en"",""zh-CN"")"),"两个人一个人在独木舟中独自越过一个人。")</f>
        <v>两个人一个人在独木舟中独自越过一个人。</v>
      </c>
    </row>
    <row r="19849">
      <c r="A19849" s="4" t="s">
        <v>24976</v>
      </c>
      <c r="B19849" s="4" t="s">
        <v>24981</v>
      </c>
      <c r="C19849" s="5" t="str">
        <f>IFERROR(__xludf.DUMMYFUNCTION("GOOGLETRANSLATE(B19849,""en"",""zh-CN"")"),"这些人继续沿着河流之间的河流航行。")</f>
        <v>这些人继续沿着河流之间的河流航行。</v>
      </c>
    </row>
    <row r="19850">
      <c r="A19850" s="4" t="s">
        <v>24976</v>
      </c>
      <c r="B19850" s="4" t="s">
        <v>24982</v>
      </c>
      <c r="C19850" s="5" t="str">
        <f>IFERROR(__xludf.DUMMYFUNCTION("GOOGLETRANSLATE(B19850,""en"",""zh-CN"")"),"独木舟中的男人在河的边界上。")</f>
        <v>独木舟中的男人在河的边界上。</v>
      </c>
    </row>
    <row r="19851">
      <c r="A19851" s="4" t="s">
        <v>24976</v>
      </c>
      <c r="B19851" s="4" t="s">
        <v>24983</v>
      </c>
      <c r="C19851" s="5" t="str">
        <f>IFERROR(__xludf.DUMMYFUNCTION("GOOGLETRANSLATE(B19851,""en"",""zh-CN"")"),"之后，继续在河中直航。")</f>
        <v>之后，继续在河中直航。</v>
      </c>
    </row>
    <row r="19852">
      <c r="A19852" s="4" t="s">
        <v>24984</v>
      </c>
      <c r="B19852" s="4" t="s">
        <v>24985</v>
      </c>
      <c r="C19852" s="5" t="str">
        <f>IFERROR(__xludf.DUMMYFUNCTION("GOOGLETRANSLATE(B19852,""en"",""zh-CN"")"),"一个人在冰钓孔上拿着钓鱼竿。")</f>
        <v>一个人在冰钓孔上拿着钓鱼竿。</v>
      </c>
    </row>
    <row r="19853">
      <c r="A19853" s="4" t="s">
        <v>24984</v>
      </c>
      <c r="B19853" s="4" t="s">
        <v>24986</v>
      </c>
      <c r="C19853" s="5" t="str">
        <f>IFERROR(__xludf.DUMMYFUNCTION("GOOGLETRANSLATE(B19853,""en"",""zh-CN"")"),"他轻轻地试图拉起，然后将钓鱼线从孔中卷起。")</f>
        <v>他轻轻地试图拉起，然后将钓鱼线从孔中卷起。</v>
      </c>
    </row>
    <row r="19854">
      <c r="A19854" s="4" t="s">
        <v>24984</v>
      </c>
      <c r="B19854" s="4" t="s">
        <v>24987</v>
      </c>
      <c r="C19854" s="5" t="str">
        <f>IFERROR(__xludf.DUMMYFUNCTION("GOOGLETRANSLATE(B19854,""en"",""zh-CN"")"),"休息时，他倾斜和降低。")</f>
        <v>休息时，他倾斜和降低。</v>
      </c>
    </row>
    <row r="19855">
      <c r="A19855" s="4" t="s">
        <v>24984</v>
      </c>
      <c r="B19855" s="4" t="s">
        <v>24988</v>
      </c>
      <c r="C19855" s="5" t="str">
        <f>IFERROR(__xludf.DUMMYFUNCTION("GOOGLETRANSLATE(B19855,""en"",""zh-CN"")"),"他试图再次划定线。")</f>
        <v>他试图再次划定线。</v>
      </c>
    </row>
    <row r="19856">
      <c r="A19856" s="4" t="s">
        <v>24984</v>
      </c>
      <c r="B19856" s="6" t="s">
        <v>24989</v>
      </c>
      <c r="C19856" s="5" t="str">
        <f>IFERROR(__xludf.DUMMYFUNCTION("GOOGLETRANSLATE(B19856,""en"",""zh-CN"")"),"当他试图反复从洞中拉出线时，他脱下手套，跪下并抬起。")</f>
        <v>当他试图反复从洞中拉出线时，他脱下手套，跪下并抬起。</v>
      </c>
    </row>
    <row r="19857">
      <c r="A19857" s="4" t="s">
        <v>24984</v>
      </c>
      <c r="B19857" s="6" t="s">
        <v>24990</v>
      </c>
      <c r="C19857" s="5" t="str">
        <f>IFERROR(__xludf.DUMMYFUNCTION("GOOGLETRANSLATE(B19857,""en"",""zh-CN"")"),"当另一个男人从水中拉出时，他绕着洞走去，并不断从水中拉出线。")</f>
        <v>当另一个男人从水中拉出时，他绕着洞走去，并不断从水中拉出线。</v>
      </c>
    </row>
    <row r="19858">
      <c r="A19858" s="4" t="s">
        <v>24991</v>
      </c>
      <c r="B19858" s="4" t="s">
        <v>24992</v>
      </c>
      <c r="C19858" s="5" t="str">
        <f>IFERROR(__xludf.DUMMYFUNCTION("GOOGLETRANSLATE(B19858,""en"",""zh-CN"")"),"一个人用电动剃须刀剃须胡须。")</f>
        <v>一个人用电动剃须刀剃须胡须。</v>
      </c>
    </row>
    <row r="19859">
      <c r="A19859" s="4" t="s">
        <v>24991</v>
      </c>
      <c r="B19859" s="4" t="s">
        <v>24993</v>
      </c>
      <c r="C19859" s="5" t="str">
        <f>IFERROR(__xludf.DUMMYFUNCTION("GOOGLETRANSLATE(B19859,""en"",""zh-CN"")"),"他们正在慢慢将剃须刀移到下巴。")</f>
        <v>他们正在慢慢将剃须刀移到下巴。</v>
      </c>
    </row>
    <row r="19860">
      <c r="A19860" s="4" t="s">
        <v>24991</v>
      </c>
      <c r="B19860" s="4" t="s">
        <v>1599</v>
      </c>
      <c r="C19860" s="5" t="str">
        <f>IFERROR(__xludf.DUMMYFUNCTION("GOOGLETRANSLATE(B19860,""en"",""zh-CN"")"),"单词显示在屏幕上。")</f>
        <v>单词显示在屏幕上。</v>
      </c>
    </row>
    <row r="19861">
      <c r="A19861" s="4" t="s">
        <v>24994</v>
      </c>
      <c r="B19861" s="4" t="s">
        <v>24995</v>
      </c>
      <c r="C19861" s="5" t="str">
        <f>IFERROR(__xludf.DUMMYFUNCTION("GOOGLETRANSLATE(B19861,""en"",""zh-CN"")"),"一个年轻的女孩坐在地板上与镜头说话，假装熨烫。")</f>
        <v>一个年轻的女孩坐在地板上与镜头说话，假装熨烫。</v>
      </c>
    </row>
    <row r="19862">
      <c r="A19862" s="4" t="s">
        <v>24994</v>
      </c>
      <c r="B19862" s="4" t="s">
        <v>24996</v>
      </c>
      <c r="C19862" s="5" t="str">
        <f>IFERROR(__xludf.DUMMYFUNCTION("GOOGLETRANSLATE(B19862,""en"",""zh-CN"")"),"她把一瓶水祈祷到衣服上，熨斗做了几次。")</f>
        <v>她把一瓶水祈祷到衣服上，熨斗做了几次。</v>
      </c>
    </row>
    <row r="19863">
      <c r="A19863" s="4" t="s">
        <v>24994</v>
      </c>
      <c r="B19863" s="4" t="s">
        <v>24997</v>
      </c>
      <c r="C19863" s="5" t="str">
        <f>IFERROR(__xludf.DUMMYFUNCTION("GOOGLETRANSLATE(B19863,""en"",""zh-CN"")"),"她翻转过衬衫，继续熨烫，然后望向远处。")</f>
        <v>她翻转过衬衫，继续熨烫，然后望向远处。</v>
      </c>
    </row>
    <row r="19864">
      <c r="A19864" s="4" t="s">
        <v>24998</v>
      </c>
      <c r="B19864" s="6" t="s">
        <v>24999</v>
      </c>
      <c r="C19864" s="5" t="str">
        <f>IFERROR(__xludf.DUMMYFUNCTION("GOOGLETRANSLATE(B19864,""en"",""zh-CN"")"),"看到两个孩子坐在一个浴缸里，一个拿着水桶，抱着微笑着笑着。")</f>
        <v>看到两个孩子坐在一个浴缸里，一个拿着水桶，抱着微笑着笑着。</v>
      </c>
    </row>
    <row r="19865">
      <c r="A19865" s="4" t="s">
        <v>24998</v>
      </c>
      <c r="B19865" s="6" t="s">
        <v>25000</v>
      </c>
      <c r="C19865" s="5" t="str">
        <f>IFERROR(__xludf.DUMMYFUNCTION("GOOGLETRANSLATE(B19865,""en"",""zh-CN"")"),"男孩将水桶倒在他的脸上，一只手给他一条毛巾，而女孩也溅出了脸。")</f>
        <v>男孩将水桶倒在他的脸上，一只手给他一条毛巾，而女孩也溅出了脸。</v>
      </c>
    </row>
    <row r="19866">
      <c r="A19866" s="4" t="s">
        <v>24998</v>
      </c>
      <c r="B19866" s="4" t="s">
        <v>25001</v>
      </c>
      <c r="C19866" s="5" t="str">
        <f>IFERROR(__xludf.DUMMYFUNCTION("GOOGLETRANSLATE(B19866,""en"",""zh-CN"")"),"再次用水桶喷洒水，揉他的眼睛。")</f>
        <v>再次用水桶喷洒水，揉他的眼睛。</v>
      </c>
    </row>
    <row r="19867">
      <c r="A19867" s="4" t="s">
        <v>25002</v>
      </c>
      <c r="B19867" s="4" t="s">
        <v>25003</v>
      </c>
      <c r="C19867" s="5" t="str">
        <f>IFERROR(__xludf.DUMMYFUNCTION("GOOGLETRANSLATE(B19867,""en"",""zh-CN"")"),"从圣诞树上悬挂的金装饰品。")</f>
        <v>从圣诞树上悬挂的金装饰品。</v>
      </c>
    </row>
    <row r="19868">
      <c r="A19868" s="4" t="s">
        <v>25002</v>
      </c>
      <c r="B19868" s="4" t="s">
        <v>25004</v>
      </c>
      <c r="C19868" s="5" t="str">
        <f>IFERROR(__xludf.DUMMYFUNCTION("GOOGLETRANSLATE(B19868,""en"",""zh-CN"")"),"两个女人在地板上，包裹礼物。")</f>
        <v>两个女人在地板上，包裹礼物。</v>
      </c>
    </row>
    <row r="19869">
      <c r="A19869" s="4" t="s">
        <v>25002</v>
      </c>
      <c r="B19869" s="4" t="s">
        <v>25005</v>
      </c>
      <c r="C19869" s="5" t="str">
        <f>IFERROR(__xludf.DUMMYFUNCTION("GOOGLETRANSLATE(B19869,""en"",""zh-CN"")"),"他们在添加蝴蝶结之前将纸切成纸，然后将其胶带在盒子上。")</f>
        <v>他们在添加蝴蝶结之前将纸切成纸，然后将其胶带在盒子上。</v>
      </c>
    </row>
    <row r="19870">
      <c r="A19870" s="4" t="s">
        <v>25002</v>
      </c>
      <c r="B19870" s="4" t="s">
        <v>25006</v>
      </c>
      <c r="C19870" s="5" t="str">
        <f>IFERROR(__xludf.DUMMYFUNCTION("GOOGLETRANSLATE(B19870,""en"",""zh-CN"")"),"然后，我们看到完整的树，在底座上装饰着包裹的礼物环。")</f>
        <v>然后，我们看到完整的树，在底座上装饰着包裹的礼物环。</v>
      </c>
    </row>
    <row r="19871">
      <c r="A19871" s="4" t="s">
        <v>25007</v>
      </c>
      <c r="B19871" s="4" t="s">
        <v>25008</v>
      </c>
      <c r="C19871" s="5" t="str">
        <f>IFERROR(__xludf.DUMMYFUNCTION("GOOGLETRANSLATE(B19871,""en"",""zh-CN"")"),"显示了一个戴着太阳镜的小男孩，在草坪上推了一条割草机。")</f>
        <v>显示了一个戴着太阳镜的小男孩，在草坪上推了一条割草机。</v>
      </c>
    </row>
    <row r="19872">
      <c r="A19872" s="4" t="s">
        <v>25007</v>
      </c>
      <c r="B19872" s="4" t="s">
        <v>25009</v>
      </c>
      <c r="C19872" s="5" t="str">
        <f>IFERROR(__xludf.DUMMYFUNCTION("GOOGLETRANSLATE(B19872,""en"",""zh-CN"")"),"当他向后移动时，摄像机不断跟随他，在草坪上割草机。")</f>
        <v>当他向后移动时，摄像机不断跟随他，在草坪上割草机。</v>
      </c>
    </row>
    <row r="19873">
      <c r="A19873" s="4" t="s">
        <v>25007</v>
      </c>
      <c r="B19873" s="4" t="s">
        <v>25010</v>
      </c>
      <c r="C19873" s="5" t="str">
        <f>IFERROR(__xludf.DUMMYFUNCTION("GOOGLETRANSLATE(B19873,""en"",""zh-CN"")"),"最后显示了他在沙发上睡觉的照片。")</f>
        <v>最后显示了他在沙发上睡觉的照片。</v>
      </c>
    </row>
    <row r="19874">
      <c r="A19874" s="4" t="s">
        <v>25011</v>
      </c>
      <c r="B19874" s="4" t="s">
        <v>25012</v>
      </c>
      <c r="C19874" s="5" t="str">
        <f>IFERROR(__xludf.DUMMYFUNCTION("GOOGLETRANSLATE(B19874,""en"",""zh-CN"")"),"看到一名妇女在向后和第四次移动时将割草机沿着一些高的草推开。")</f>
        <v>看到一名妇女在向后和第四次移动时将割草机沿着一些高的草推开。</v>
      </c>
    </row>
    <row r="19875">
      <c r="A19875" s="4" t="s">
        <v>25011</v>
      </c>
      <c r="B19875" s="6" t="s">
        <v>25013</v>
      </c>
      <c r="C19875" s="5" t="str">
        <f>IFERROR(__xludf.DUMMYFUNCTION("GOOGLETRANSLATE(B19875,""en"",""zh-CN"")"),"该名女子继续将机器推到院子周围，然后将她转向相机以割后。")</f>
        <v>该名女子继续将机器推到院子周围，然后将她转向相机以割后。</v>
      </c>
    </row>
    <row r="19876">
      <c r="A19876" s="4" t="s">
        <v>25014</v>
      </c>
      <c r="B19876" s="4" t="s">
        <v>25015</v>
      </c>
      <c r="C19876" s="5" t="str">
        <f>IFERROR(__xludf.DUMMYFUNCTION("GOOGLETRANSLATE(B19876,""en"",""zh-CN"")"),"那个女人一开始说几句话，而舞者则默默站立。")</f>
        <v>那个女人一开始说几句话，而舞者则默默站立。</v>
      </c>
    </row>
    <row r="19877">
      <c r="A19877" s="4" t="s">
        <v>25014</v>
      </c>
      <c r="B19877" s="4" t="s">
        <v>25016</v>
      </c>
      <c r="C19877" s="5" t="str">
        <f>IFERROR(__xludf.DUMMYFUNCTION("GOOGLETRANSLATE(B19877,""en"",""zh-CN"")"),"首先，舞者确保她的腿正确位置。")</f>
        <v>首先，舞者确保她的腿正确位置。</v>
      </c>
    </row>
    <row r="19878">
      <c r="A19878" s="4" t="s">
        <v>25014</v>
      </c>
      <c r="B19878" s="4" t="s">
        <v>25017</v>
      </c>
      <c r="C19878" s="5" t="str">
        <f>IFERROR(__xludf.DUMMYFUNCTION("GOOGLETRANSLATE(B19878,""en"",""zh-CN"")"),"然后，芭蕾舞演员将一只脚带入双门轿跑车。")</f>
        <v>然后，芭蕾舞演员将一只脚带入双门轿跑车。</v>
      </c>
    </row>
    <row r="19879">
      <c r="A19879" s="4" t="s">
        <v>25014</v>
      </c>
      <c r="B19879" s="4" t="s">
        <v>25018</v>
      </c>
      <c r="C19879" s="5" t="str">
        <f>IFERROR(__xludf.DUMMYFUNCTION("GOOGLETRANSLATE(B19879,""en"",""zh-CN"")"),"接下来，她伸直双腿，将一条腿放在前面，然后将其向下。")</f>
        <v>接下来，她伸直双腿，将一条腿放在前面，然后将其向下。</v>
      </c>
    </row>
    <row r="19880">
      <c r="A19880" s="4" t="s">
        <v>25014</v>
      </c>
      <c r="B19880" s="4" t="s">
        <v>25019</v>
      </c>
      <c r="C19880" s="5" t="str">
        <f>IFERROR(__xludf.DUMMYFUNCTION("GOOGLETRANSLATE(B19880,""en"",""zh-CN"")"),"然后，她再次重复这3个步骤。")</f>
        <v>然后，她再次重复这3个步骤。</v>
      </c>
    </row>
    <row r="19881">
      <c r="A19881" s="4" t="s">
        <v>25020</v>
      </c>
      <c r="B19881" s="4" t="s">
        <v>25021</v>
      </c>
      <c r="C19881" s="5" t="str">
        <f>IFERROR(__xludf.DUMMYFUNCTION("GOOGLETRANSLATE(B19881,""en"",""zh-CN"")"),"一位老太太用红针和红色羊毛编织。")</f>
        <v>一位老太太用红针和红色羊毛编织。</v>
      </c>
    </row>
    <row r="19882">
      <c r="A19882" s="4" t="s">
        <v>25020</v>
      </c>
      <c r="B19882" s="4" t="s">
        <v>25022</v>
      </c>
      <c r="C19882" s="5" t="str">
        <f>IFERROR(__xludf.DUMMYFUNCTION("GOOGLETRANSLATE(B19882,""en"",""zh-CN"")"),"一位老太太停止编织并不断讲话。")</f>
        <v>一位老太太停止编织并不断讲话。</v>
      </c>
    </row>
    <row r="19883">
      <c r="A19883" s="4" t="s">
        <v>25020</v>
      </c>
      <c r="B19883" s="4" t="s">
        <v>25023</v>
      </c>
      <c r="C19883" s="5" t="str">
        <f>IFERROR(__xludf.DUMMYFUNCTION("GOOGLETRANSLATE(B19883,""en"",""zh-CN"")"),"老太太再次编织并检查了她的创作。")</f>
        <v>老太太再次编织并检查了她的创作。</v>
      </c>
    </row>
    <row r="19884">
      <c r="A19884" s="4" t="s">
        <v>25024</v>
      </c>
      <c r="B19884" s="4" t="s">
        <v>25025</v>
      </c>
      <c r="C19884" s="5" t="str">
        <f>IFERROR(__xludf.DUMMYFUNCTION("GOOGLETRANSLATE(B19884,""en"",""zh-CN"")"),"一个小女孩在充气船上拖着一条男人的绳子，突然她跌入了一个空心。")</f>
        <v>一个小女孩在充气船上拖着一条男人的绳子，突然她跌入了一个空心。</v>
      </c>
    </row>
    <row r="19885">
      <c r="A19885" s="4" t="s">
        <v>25024</v>
      </c>
      <c r="B19885" s="4" t="s">
        <v>25026</v>
      </c>
      <c r="C19885" s="5" t="str">
        <f>IFERROR(__xludf.DUMMYFUNCTION("GOOGLETRANSLATE(B19885,""en"",""zh-CN"")"),"人们携带雪橇船，小女孩在雪橇船上。")</f>
        <v>人们携带雪橇船，小女孩在雪橇船上。</v>
      </c>
    </row>
    <row r="19886">
      <c r="A19886" s="4" t="s">
        <v>25024</v>
      </c>
      <c r="B19886" s="4" t="s">
        <v>25027</v>
      </c>
      <c r="C19886" s="5" t="str">
        <f>IFERROR(__xludf.DUMMYFUNCTION("GOOGLETRANSLATE(B19886,""en"",""zh-CN"")"),"一群人在山上拖着山坡，直到遇到其他人。")</f>
        <v>一群人在山上拖着山坡，直到遇到其他人。</v>
      </c>
    </row>
    <row r="19887">
      <c r="A19887" s="4" t="s">
        <v>25028</v>
      </c>
      <c r="B19887" s="4" t="s">
        <v>25029</v>
      </c>
      <c r="C19887" s="5" t="str">
        <f>IFERROR(__xludf.DUMMYFUNCTION("GOOGLETRANSLATE(B19887,""en"",""zh-CN"")"),"一个年轻的女孩正在她的脸上涂防晒霜。")</f>
        <v>一个年轻的女孩正在她的脸上涂防晒霜。</v>
      </c>
    </row>
    <row r="19888">
      <c r="A19888" s="4" t="s">
        <v>25028</v>
      </c>
      <c r="B19888" s="4" t="s">
        <v>25030</v>
      </c>
      <c r="C19888" s="5" t="str">
        <f>IFERROR(__xludf.DUMMYFUNCTION("GOOGLETRANSLATE(B19888,""en"",""zh-CN"")"),"海滩拥挤着人，而摩托车则越过水。")</f>
        <v>海滩拥挤着人，而摩托车则越过水。</v>
      </c>
    </row>
    <row r="19889">
      <c r="A19889" s="4" t="s">
        <v>25028</v>
      </c>
      <c r="B19889" s="4" t="s">
        <v>25031</v>
      </c>
      <c r="C19889" s="5" t="str">
        <f>IFERROR(__xludf.DUMMYFUNCTION("GOOGLETRANSLATE(B19889,""en"",""zh-CN"")"),"克利夫兰诊所的一名医生詹妮弗·卢卡斯（Jennifer Lucas）讲话。")</f>
        <v>克利夫兰诊所的一名医生詹妮弗·卢卡斯（Jennifer Lucas）讲话。</v>
      </c>
    </row>
    <row r="19890">
      <c r="A19890" s="4" t="s">
        <v>25028</v>
      </c>
      <c r="B19890" s="4" t="s">
        <v>25032</v>
      </c>
      <c r="C19890" s="5" t="str">
        <f>IFERROR(__xludf.DUMMYFUNCTION("GOOGLETRANSLATE(B19890,""en"",""zh-CN"")"),"人们在户外互相涂抹防晒霜。")</f>
        <v>人们在户外互相涂抹防晒霜。</v>
      </c>
    </row>
    <row r="19891">
      <c r="A19891" s="4" t="s">
        <v>25033</v>
      </c>
      <c r="B19891" s="6" t="s">
        <v>25034</v>
      </c>
      <c r="C19891" s="5" t="str">
        <f>IFERROR(__xludf.DUMMYFUNCTION("GOOGLETRANSLATE(B19891,""en"",""zh-CN"")"),"一个女孩的名字阿什利（Ashley）穿着所有紫色的人，慢慢地行走，然后变成了泥土和鲜花的自然景色。")</f>
        <v>一个女孩的名字阿什利（Ashley）穿着所有紫色的人，慢慢地行走，然后变成了泥土和鲜花的自然景色。</v>
      </c>
    </row>
    <row r="19892">
      <c r="A19892" s="4" t="s">
        <v>25033</v>
      </c>
      <c r="B19892" s="4" t="s">
        <v>25035</v>
      </c>
      <c r="C19892" s="5" t="str">
        <f>IFERROR(__xludf.DUMMYFUNCTION("GOOGLETRANSLATE(B19892,""en"",""zh-CN"")"),"阿什利（Ashley）穿着她的运动十字架，慢慢走出自行车。")</f>
        <v>阿什利（Ashley）穿着她的运动十字架，慢慢走出自行车。</v>
      </c>
    </row>
    <row r="19893">
      <c r="A19893" s="4" t="s">
        <v>25033</v>
      </c>
      <c r="B19893" s="6" t="s">
        <v>25036</v>
      </c>
      <c r="C19893" s="5" t="str">
        <f>IFERROR(__xludf.DUMMYFUNCTION("GOOGLETRANSLATE(B19893,""en"",""zh-CN"")"),"她出去，开始骑着泥土，撞到小山山后，抓住了一些空气。")</f>
        <v>她出去，开始骑着泥土，撞到小山山后，抓住了一些空气。</v>
      </c>
    </row>
    <row r="19894">
      <c r="A19894" s="4" t="s">
        <v>25033</v>
      </c>
      <c r="B19894" s="6" t="s">
        <v>25037</v>
      </c>
      <c r="C19894" s="5" t="str">
        <f>IFERROR(__xludf.DUMMYFUNCTION("GOOGLETRANSLATE(B19894,""en"",""zh-CN"")"),"她用另一个骑手说手语，但在返回脚趾之前骑了更多东西。")</f>
        <v>她用另一个骑手说手语，但在返回脚趾之前骑了更多东西。</v>
      </c>
    </row>
    <row r="19895">
      <c r="A19895" s="4" t="s">
        <v>25038</v>
      </c>
      <c r="B19895" s="6" t="s">
        <v>25039</v>
      </c>
      <c r="C19895" s="5" t="str">
        <f>IFERROR(__xludf.DUMMYFUNCTION("GOOGLETRANSLATE(B19895,""en"",""zh-CN"")"),"女人站在厨房里与镜头说话，展示柜台顶部的成分。")</f>
        <v>女人站在厨房里与镜头说话，展示柜台顶部的成分。</v>
      </c>
    </row>
    <row r="19896">
      <c r="A19896" s="4" t="s">
        <v>25038</v>
      </c>
      <c r="B19896" s="4" t="s">
        <v>25040</v>
      </c>
      <c r="C19896" s="5" t="str">
        <f>IFERROR(__xludf.DUMMYFUNCTION("GOOGLETRANSLATE(B19896,""en"",""zh-CN"")"),"女人拿着柠檬并将其挤在塑料水罐中，然后将其与糖混合。")</f>
        <v>女人拿着柠檬并将其挤在塑料水罐中，然后将其与糖混合。</v>
      </c>
    </row>
    <row r="19897">
      <c r="A19897" s="4" t="s">
        <v>25038</v>
      </c>
      <c r="B19897" s="6" t="s">
        <v>25041</v>
      </c>
      <c r="C19897" s="5" t="str">
        <f>IFERROR(__xludf.DUMMYFUNCTION("GOOGLETRANSLATE(B19897,""en"",""zh-CN"")"),"女人拿着刀，用小块将柠檬切碎，然后在罐子里加苏汁，切碎的柠檬和草莓。")</f>
        <v>女人拿着刀，用小块将柠檬切碎，然后在罐子里加苏汁，切碎的柠檬和草莓。</v>
      </c>
    </row>
    <row r="19898">
      <c r="A19898" s="4" t="s">
        <v>25042</v>
      </c>
      <c r="B19898" s="4" t="s">
        <v>25043</v>
      </c>
      <c r="C19898" s="5" t="str">
        <f>IFERROR(__xludf.DUMMYFUNCTION("GOOGLETRANSLATE(B19898,""en"",""zh-CN"")"),"女人在画布上使用一块粉笔。")</f>
        <v>女人在画布上使用一块粉笔。</v>
      </c>
    </row>
    <row r="19899">
      <c r="A19899" s="4" t="s">
        <v>25042</v>
      </c>
      <c r="B19899" s="4" t="s">
        <v>25044</v>
      </c>
      <c r="C19899" s="5" t="str">
        <f>IFERROR(__xludf.DUMMYFUNCTION("GOOGLETRANSLATE(B19899,""en"",""zh-CN"")"),"然后，她使用几种颜色的油漆来创建图像。")</f>
        <v>然后，她使用几种颜色的油漆来创建图像。</v>
      </c>
    </row>
    <row r="19900">
      <c r="A19900" s="4" t="s">
        <v>25042</v>
      </c>
      <c r="B19900" s="4" t="s">
        <v>25045</v>
      </c>
      <c r="C19900" s="5" t="str">
        <f>IFERROR(__xludf.DUMMYFUNCTION("GOOGLETRANSLATE(B19900,""en"",""zh-CN"")"),"完成后，我们在柜台上看到橙色的静物图像。")</f>
        <v>完成后，我们在柜台上看到橙色的静物图像。</v>
      </c>
    </row>
    <row r="19901">
      <c r="A19901" s="4" t="s">
        <v>25046</v>
      </c>
      <c r="B19901" s="6" t="s">
        <v>25047</v>
      </c>
      <c r="C19901" s="5" t="str">
        <f>IFERROR(__xludf.DUMMYFUNCTION("GOOGLETRANSLATE(B19901,""en"",""zh-CN"")"),"看到一小群女孩走到拿着试管的湖上，驶向其他骑着管的人。")</f>
        <v>看到一小群女孩走到拿着试管的湖上，驶向其他骑着管的人。</v>
      </c>
    </row>
    <row r="19902">
      <c r="A19902" s="4" t="s">
        <v>25046</v>
      </c>
      <c r="B19902" s="6" t="s">
        <v>25048</v>
      </c>
      <c r="C19902" s="5" t="str">
        <f>IFERROR(__xludf.DUMMYFUNCTION("GOOGLETRANSLATE(B19902,""en"",""zh-CN"")"),"人们继续在管子上沿着河上骑行，并在大型群体周围骑着镜头。")</f>
        <v>人们继续在管子上沿着河上骑行，并在大型群体周围骑着镜头。</v>
      </c>
    </row>
    <row r="19903">
      <c r="A19903" s="4" t="s">
        <v>25046</v>
      </c>
      <c r="B19903" s="4" t="s">
        <v>25049</v>
      </c>
      <c r="C19903" s="5" t="str">
        <f>IFERROR(__xludf.DUMMYFUNCTION("GOOGLETRANSLATE(B19903,""en"",""zh-CN"")"),"走下岸边，互相交谈，然后管挂了，公共汽车停了下来。")</f>
        <v>走下岸边，互相交谈，然后管挂了，公共汽车停了下来。</v>
      </c>
    </row>
    <row r="19904">
      <c r="A19904" s="4" t="s">
        <v>25050</v>
      </c>
      <c r="B19904" s="6" t="s">
        <v>25051</v>
      </c>
      <c r="C19904" s="5" t="str">
        <f>IFERROR(__xludf.DUMMYFUNCTION("GOOGLETRANSLATE(B19904,""en"",""zh-CN"")"),"看到一个女人走在一组楼梯上，开始在大型观众面前进行例行活动。")</f>
        <v>看到一个女人走在一组楼梯上，开始在大型观众面前进行例行活动。</v>
      </c>
    </row>
    <row r="19905">
      <c r="A19905" s="4" t="s">
        <v>25050</v>
      </c>
      <c r="B19905" s="6" t="s">
        <v>25052</v>
      </c>
      <c r="C19905" s="5" t="str">
        <f>IFERROR(__xludf.DUMMYFUNCTION("GOOGLETRANSLATE(B19905,""en"",""zh-CN"")"),"该名女子继续在舞台上跳舞，而一群人在她身后演奏乐器。")</f>
        <v>该名女子继续在舞台上跳舞，而一群人在她身后演奏乐器。</v>
      </c>
    </row>
    <row r="19906">
      <c r="A19906" s="4" t="s">
        <v>25053</v>
      </c>
      <c r="B19906" s="6" t="s">
        <v>25054</v>
      </c>
      <c r="C19906" s="5" t="str">
        <f>IFERROR(__xludf.DUMMYFUNCTION("GOOGLETRANSLATE(B19906,""en"",""zh-CN"")"),"清洁材料坐在双水槽旁边，然后一个人在清洁材料旁边放一个带有蓝色液体的瓶子。")</f>
        <v>清洁材料坐在双水槽旁边，然后一个人在清洁材料旁边放一个带有蓝色液体的瓶子。</v>
      </c>
    </row>
    <row r="19907">
      <c r="A19907" s="4" t="s">
        <v>25053</v>
      </c>
      <c r="B19907" s="4" t="s">
        <v>25055</v>
      </c>
      <c r="C19907" s="5" t="str">
        <f>IFERROR(__xludf.DUMMYFUNCTION("GOOGLETRANSLATE(B19907,""en"",""zh-CN"")"),"之后，该人在水槽中倒了一点蓝色液体，并用海绵擦洗水槽。")</f>
        <v>之后，该人在水槽中倒了一点蓝色液体，并用海绵擦洗水槽。</v>
      </c>
    </row>
    <row r="19908">
      <c r="A19908" s="4" t="s">
        <v>25053</v>
      </c>
      <c r="B19908" s="4" t="s">
        <v>25056</v>
      </c>
      <c r="C19908" s="5" t="str">
        <f>IFERROR(__xludf.DUMMYFUNCTION("GOOGLETRANSLATE(B19908,""en"",""zh-CN"")"),"之后，该人用水冲洗水槽，并用布干燥。")</f>
        <v>之后，该人用水冲洗水槽，并用布干燥。</v>
      </c>
    </row>
    <row r="19909">
      <c r="A19909" s="4" t="s">
        <v>25057</v>
      </c>
      <c r="B19909" s="4" t="s">
        <v>25058</v>
      </c>
      <c r="C19909" s="5" t="str">
        <f>IFERROR(__xludf.DUMMYFUNCTION("GOOGLETRANSLATE(B19909,""en"",""zh-CN"")"),"当人们观看时，一个男人正在室内溜冰场滑冰。")</f>
        <v>当人们观看时，一个男人正在室内溜冰场滑冰。</v>
      </c>
    </row>
    <row r="19910">
      <c r="A19910" s="4" t="s">
        <v>25057</v>
      </c>
      <c r="B19910" s="4" t="s">
        <v>25059</v>
      </c>
      <c r="C19910" s="5" t="str">
        <f>IFERROR(__xludf.DUMMYFUNCTION("GOOGLETRANSLATE(B19910,""en"",""zh-CN"")"),"当人们试图与他交谈时，他清洁地板。")</f>
        <v>当人们试图与他交谈时，他清洁地板。</v>
      </c>
    </row>
    <row r="19911">
      <c r="A19911" s="4" t="s">
        <v>25057</v>
      </c>
      <c r="B19911" s="4" t="s">
        <v>25060</v>
      </c>
      <c r="C19911" s="5" t="str">
        <f>IFERROR(__xludf.DUMMYFUNCTION("GOOGLETRANSLATE(B19911,""en"",""zh-CN"")"),"一个人跌倒并滑梯，另一个人在战斗中抓住他。")</f>
        <v>一个人跌倒并滑梯，另一个人在战斗中抓住他。</v>
      </c>
    </row>
    <row r="19912">
      <c r="A19912" s="4" t="s">
        <v>25061</v>
      </c>
      <c r="B19912" s="4" t="s">
        <v>25062</v>
      </c>
      <c r="C19912" s="5" t="str">
        <f>IFERROR(__xludf.DUMMYFUNCTION("GOOGLETRANSLATE(B19912,""en"",""zh-CN"")"),"几个人站在一个泥土舞台上。")</f>
        <v>几个人站在一个泥土舞台上。</v>
      </c>
    </row>
    <row r="19913">
      <c r="A19913" s="4" t="s">
        <v>25061</v>
      </c>
      <c r="B19913" s="4" t="s">
        <v>25063</v>
      </c>
      <c r="C19913" s="5" t="str">
        <f>IFERROR(__xludf.DUMMYFUNCTION("GOOGLETRANSLATE(B19913,""en"",""zh-CN"")"),"其他几名男子坐在马上。")</f>
        <v>其他几名男子坐在马上。</v>
      </c>
    </row>
    <row r="19914">
      <c r="A19914" s="4" t="s">
        <v>25061</v>
      </c>
      <c r="B19914" s="4" t="s">
        <v>25064</v>
      </c>
      <c r="C19914" s="5" t="str">
        <f>IFERROR(__xludf.DUMMYFUNCTION("GOOGLETRANSLATE(B19914,""en"",""zh-CN"")"),"一扇门打开，小腿耗尽了一匹马的男人。")</f>
        <v>一扇门打开，小腿耗尽了一匹马的男人。</v>
      </c>
    </row>
    <row r="19915">
      <c r="A19915" s="4" t="s">
        <v>25061</v>
      </c>
      <c r="B19915" s="6" t="s">
        <v>25065</v>
      </c>
      <c r="C19915" s="5" t="str">
        <f>IFERROR(__xludf.DUMMYFUNCTION("GOOGLETRANSLATE(B19915,""en"",""zh-CN"")"),"马上的那个男人在小牛的脖子上扔了一个小腿，将小牛抬回落在它的背上。")</f>
        <v>马上的那个男人在小牛的脖子上扔了一个小腿，将小牛抬回落在它的背上。</v>
      </c>
    </row>
    <row r="19916">
      <c r="A19916" s="4" t="s">
        <v>25061</v>
      </c>
      <c r="B19916" s="4" t="s">
        <v>25066</v>
      </c>
      <c r="C19916" s="5" t="str">
        <f>IFERROR(__xludf.DUMMYFUNCTION("GOOGLETRANSLATE(B19916,""en"",""zh-CN"")"),"该男子从他的马上跳下来，跑过去并绑住小牛。")</f>
        <v>该男子从他的马上跳下来，跑过去并绑住小牛。</v>
      </c>
    </row>
    <row r="19917">
      <c r="A19917" s="4" t="s">
        <v>25061</v>
      </c>
      <c r="B19917" s="4" t="s">
        <v>25067</v>
      </c>
      <c r="C19917" s="5" t="str">
        <f>IFERROR(__xludf.DUMMYFUNCTION("GOOGLETRANSLATE(B19917,""en"",""zh-CN"")"),"该男子站起来，回去骑马。")</f>
        <v>该男子站起来，回去骑马。</v>
      </c>
    </row>
    <row r="19918">
      <c r="A19918" s="4" t="s">
        <v>25061</v>
      </c>
      <c r="B19918" s="4" t="s">
        <v>25068</v>
      </c>
      <c r="C19918" s="5" t="str">
        <f>IFERROR(__xludf.DUMMYFUNCTION("GOOGLETRANSLATE(B19918,""en"",""zh-CN"")"),"几名男子跑过去以释放小牛起床并逃跑。")</f>
        <v>几名男子跑过去以释放小牛起床并逃跑。</v>
      </c>
    </row>
    <row r="19919">
      <c r="A19919" s="4" t="s">
        <v>25069</v>
      </c>
      <c r="B19919" s="6" t="s">
        <v>25070</v>
      </c>
      <c r="C19919" s="5" t="str">
        <f>IFERROR(__xludf.DUMMYFUNCTION("GOOGLETRANSLATE(B19919,""en"",""zh-CN"")"),"一群人在室内游泳池里游泳，其他游泳者站在游泳池旁观看。")</f>
        <v>一群人在室内游泳池里游泳，其他游泳者站在游泳池旁观看。</v>
      </c>
    </row>
    <row r="19920">
      <c r="A19920" s="4" t="s">
        <v>25069</v>
      </c>
      <c r="B19920" s="6" t="s">
        <v>25071</v>
      </c>
      <c r="C19920" s="5" t="str">
        <f>IFERROR(__xludf.DUMMYFUNCTION("GOOGLETRANSLATE(B19920,""en"",""zh-CN"")"),"场边的孩子们在观看已经在游泳池游泳的人们时，在游泳帽和泳衣上跳来跳去。")</f>
        <v>场边的孩子们在观看已经在游泳池游泳的人们时，在游泳帽和泳衣上跳来跳去。</v>
      </c>
    </row>
    <row r="19921">
      <c r="A19921" s="4" t="s">
        <v>25069</v>
      </c>
      <c r="B19921" s="6" t="s">
        <v>25072</v>
      </c>
      <c r="C19921" s="5" t="str">
        <f>IFERROR(__xludf.DUMMYFUNCTION("GOOGLETRANSLATE(B19921,""en"",""zh-CN"")"),"当摇摇欲坠的摄像机专注于已经在游泳池游泳中的人们时，一个人沿着相机走路。")</f>
        <v>当摇摇欲坠的摄像机专注于已经在游泳池游泳中的人们时，一个人沿着相机走路。</v>
      </c>
    </row>
    <row r="19922">
      <c r="A19922" s="4" t="s">
        <v>25073</v>
      </c>
      <c r="B19922" s="6" t="s">
        <v>25074</v>
      </c>
      <c r="C19922" s="5" t="str">
        <f>IFERROR(__xludf.DUMMYFUNCTION("GOOGLETRANSLATE(B19922,""en"",""zh-CN"")"),"看到两个人互相表演各种踢脚和技巧，而一大批人则在侧面观看。")</f>
        <v>看到两个人互相表演各种踢脚和技巧，而一大批人则在侧面观看。</v>
      </c>
    </row>
    <row r="19923">
      <c r="A19923" s="4" t="s">
        <v>25073</v>
      </c>
      <c r="B19923" s="6" t="s">
        <v>25075</v>
      </c>
      <c r="C19923" s="5" t="str">
        <f>IFERROR(__xludf.DUMMYFUNCTION("GOOGLETRANSLATE(B19923,""en"",""zh-CN"")"),"更多的人继续在圆圈中间互相踢，而其他人则在侧面观看并做出反应。")</f>
        <v>更多的人继续在圆圈中间互相踢，而其他人则在侧面观看并做出反应。</v>
      </c>
    </row>
    <row r="19924">
      <c r="A19924" s="4" t="s">
        <v>25076</v>
      </c>
      <c r="B19924" s="6" t="s">
        <v>25077</v>
      </c>
      <c r="C19924" s="5" t="str">
        <f>IFERROR(__xludf.DUMMYFUNCTION("GOOGLETRANSLATE(B19924,""en"",""zh-CN"")"),"一个穿着蓝色牛仔裤和蓝色和白色格子长袖纽扣衬衫的年轻人坐在地上，双腿宽开在木板上，上面有三角形的数字。")</f>
        <v>一个穿着蓝色牛仔裤和蓝色和白色格子长袖纽扣衬衫的年轻人坐在地上，双腿宽开在木板上，上面有三角形的数字。</v>
      </c>
    </row>
    <row r="19925">
      <c r="A19925" s="4" t="s">
        <v>25076</v>
      </c>
      <c r="B19925" s="6" t="s">
        <v>25078</v>
      </c>
      <c r="C19925" s="5" t="str">
        <f>IFERROR(__xludf.DUMMYFUNCTION("GOOGLETRANSLATE(B19925,""en"",""zh-CN"")"),"有两名老年妇女拿着棍子，她们准备好将磁盘全面撞到男人的crot脚，而5名男子则站在董事会旁边看着和畏缩。")</f>
        <v>有两名老年妇女拿着棍子，她们准备好将磁盘全面撞到男人的crot脚，而5名男子则站在董事会旁边看着和畏缩。</v>
      </c>
    </row>
    <row r="19926">
      <c r="A19926" s="4" t="s">
        <v>25076</v>
      </c>
      <c r="B19926" s="6" t="s">
        <v>25079</v>
      </c>
      <c r="C19926" s="5" t="str">
        <f>IFERROR(__xludf.DUMMYFUNCTION("GOOGLETRANSLATE(B19926,""en"",""zh-CN"")"),"该名女子将磁盘推到整个盘子上，并撞上了男人，第二个女人将碟片推到了台面上，它非常用力地击中了男人，而男人都笑着笑着，然后帮助那个男人。")</f>
        <v>该名女子将磁盘推到整个盘子上，并撞上了男人，第二个女人将碟片推到了台面上，它非常用力地击中了男人，而男人都笑着笑着，然后帮助那个男人。</v>
      </c>
    </row>
    <row r="19927">
      <c r="A19927" s="4" t="s">
        <v>25080</v>
      </c>
      <c r="B19927" s="6" t="s">
        <v>25081</v>
      </c>
      <c r="C19927" s="5" t="str">
        <f>IFERROR(__xludf.DUMMYFUNCTION("GOOGLETRANSLATE(B19927,""en"",""zh-CN"")"),"看到一名体操运动员一起摩擦他的手，走到一组不均匀的条形条上，举起双手。")</f>
        <v>看到一名体操运动员一起摩擦他的手，走到一组不均匀的条形条上，举起双手。</v>
      </c>
    </row>
    <row r="19928">
      <c r="A19928" s="4" t="s">
        <v>25080</v>
      </c>
      <c r="B19928" s="4" t="s">
        <v>25082</v>
      </c>
      <c r="C19928" s="5" t="str">
        <f>IFERROR(__xludf.DUMMYFUNCTION("GOOGLETRANSLATE(B19928,""en"",""zh-CN"")"),"该男子在酒吧上表演了例行程序，而数百人在场边看。")</f>
        <v>该男子在酒吧上表演了例行程序，而数百人在场边看。</v>
      </c>
    </row>
    <row r="19929">
      <c r="A19929" s="4" t="s">
        <v>25080</v>
      </c>
      <c r="B19929" s="4" t="s">
        <v>25083</v>
      </c>
      <c r="C19929" s="5" t="str">
        <f>IFERROR(__xludf.DUMMYFUNCTION("GOOGLETRANSLATE(B19929,""en"",""zh-CN"")"),"他跳下来，挥舞着胳膊，然后走到高五个教练的高位。")</f>
        <v>他跳下来，挥舞着胳膊，然后走到高五个教练的高位。</v>
      </c>
    </row>
    <row r="19930">
      <c r="A19930" s="4" t="s">
        <v>25084</v>
      </c>
      <c r="B19930" s="6" t="s">
        <v>25085</v>
      </c>
      <c r="C19930" s="5" t="str">
        <f>IFERROR(__xludf.DUMMYFUNCTION("GOOGLETRANSLATE(B19930,""en"",""zh-CN"")"),"一个男人用双臂在空中高高的两个山脉之间悬挂在绳索上，以保持平衡。")</f>
        <v>一个男人用双臂在空中高高的两个山脉之间悬挂在绳索上，以保持平衡。</v>
      </c>
    </row>
    <row r="19931">
      <c r="A19931" s="4" t="s">
        <v>25084</v>
      </c>
      <c r="B19931" s="6" t="s">
        <v>25086</v>
      </c>
      <c r="C19931" s="5" t="str">
        <f>IFERROR(__xludf.DUMMYFUNCTION("GOOGLETRANSLATE(B19931,""en"",""zh-CN"")"),"一个男人在空中高高的悬挂绳走过，一点点失去平衡，并用手脚缠绕在绳索上。")</f>
        <v>一个男人在空中高高的悬挂绳走过，一点点失去平衡，并用手脚缠绕在绳索上。</v>
      </c>
    </row>
    <row r="19932">
      <c r="A19932" s="4" t="s">
        <v>25084</v>
      </c>
      <c r="B19932" s="6" t="s">
        <v>25087</v>
      </c>
      <c r="C19932" s="5" t="str">
        <f>IFERROR(__xludf.DUMMYFUNCTION("GOOGLETRANSLATE(B19932,""en"",""zh-CN"")"),"然后，这个男人能够将自己的绳子带回去，将绳子坐在绳索上。")</f>
        <v>然后，这个男人能够将自己的绳子带回去，将绳子坐在绳索上。</v>
      </c>
    </row>
    <row r="19933">
      <c r="A19933" s="4" t="s">
        <v>25088</v>
      </c>
      <c r="B19933" s="6" t="s">
        <v>25089</v>
      </c>
      <c r="C19933" s="5" t="str">
        <f>IFERROR(__xludf.DUMMYFUNCTION("GOOGLETRANSLATE(B19933,""en"",""zh-CN"")"),"看到一个人在滑雪板上执行技巧，然后更多的女人在对镜头讲话。")</f>
        <v>看到一个人在滑雪板上执行技巧，然后更多的女人在对镜头讲话。</v>
      </c>
    </row>
    <row r="19934">
      <c r="A19934" s="4" t="s">
        <v>25088</v>
      </c>
      <c r="B19934" s="4" t="s">
        <v>25090</v>
      </c>
      <c r="C19934" s="5" t="str">
        <f>IFERROR(__xludf.DUMMYFUNCTION("GOOGLETRANSLATE(B19934,""en"",""zh-CN"")"),"还显示了骑滑雪板和在板上表演技巧的人的更多剪辑。")</f>
        <v>还显示了骑滑雪板和在板上表演技巧的人的更多剪辑。</v>
      </c>
    </row>
    <row r="19935">
      <c r="A19935" s="4" t="s">
        <v>25088</v>
      </c>
      <c r="B19935" s="4" t="s">
        <v>25091</v>
      </c>
      <c r="C19935" s="5" t="str">
        <f>IFERROR(__xludf.DUMMYFUNCTION("GOOGLETRANSLATE(B19935,""en"",""zh-CN"")"),"看到更多的人骑在板上并与镜头说话。")</f>
        <v>看到更多的人骑在板上并与镜头说话。</v>
      </c>
    </row>
    <row r="19936">
      <c r="A19936" s="4" t="s">
        <v>25092</v>
      </c>
      <c r="B19936" s="4" t="s">
        <v>25093</v>
      </c>
      <c r="C19936" s="5" t="str">
        <f>IFERROR(__xludf.DUMMYFUNCTION("GOOGLETRANSLATE(B19936,""en"",""zh-CN"")"),"一个人滑过滑雪轨，在空中旋转，然后降落在雪地上。")</f>
        <v>一个人滑过滑雪轨，在空中旋转，然后降落在雪地上。</v>
      </c>
    </row>
    <row r="19937">
      <c r="A19937" s="4" t="s">
        <v>25092</v>
      </c>
      <c r="B19937" s="4" t="s">
        <v>25094</v>
      </c>
      <c r="C19937" s="5" t="str">
        <f>IFERROR(__xludf.DUMMYFUNCTION("GOOGLETRANSLATE(B19937,""en"",""zh-CN"")"),"该人滑过坡道，在空中飞行。")</f>
        <v>该人滑过坡道，在空中飞行。</v>
      </c>
    </row>
    <row r="19938">
      <c r="A19938" s="4" t="s">
        <v>25092</v>
      </c>
      <c r="B19938" s="4" t="s">
        <v>25095</v>
      </c>
      <c r="C19938" s="5" t="str">
        <f>IFERROR(__xludf.DUMMYFUNCTION("GOOGLETRANSLATE(B19938,""en"",""zh-CN"")"),"然后，在房屋的轨道上滑雪，转向旋转，然后降落在街上。")</f>
        <v>然后，在房屋的轨道上滑雪，转向旋转，然后降落在街上。</v>
      </c>
    </row>
    <row r="19939">
      <c r="A19939" s="4" t="s">
        <v>25092</v>
      </c>
      <c r="B19939" s="4" t="s">
        <v>25096</v>
      </c>
      <c r="C19939" s="5" t="str">
        <f>IFERROR(__xludf.DUMMYFUNCTION("GOOGLETRANSLATE(B19939,""en"",""zh-CN"")"),"然后，一个人滑过步行桥的篱笆，也在楼梯上滑雪。")</f>
        <v>然后，一个人滑过步行桥的篱笆，也在楼梯上滑雪。</v>
      </c>
    </row>
    <row r="19940">
      <c r="A19940" s="4" t="s">
        <v>25097</v>
      </c>
      <c r="B19940" s="4" t="s">
        <v>25098</v>
      </c>
      <c r="C19940" s="5" t="str">
        <f>IFERROR(__xludf.DUMMYFUNCTION("GOOGLETRANSLATE(B19940,""en"",""zh-CN"")"),"看到一个男人在回望镜头时打蜡的滑雪板。")</f>
        <v>看到一个男人在回望镜头时打蜡的滑雪板。</v>
      </c>
    </row>
    <row r="19941">
      <c r="A19941" s="4" t="s">
        <v>25097</v>
      </c>
      <c r="B19941" s="6" t="s">
        <v>25099</v>
      </c>
      <c r="C19941" s="5" t="str">
        <f>IFERROR(__xludf.DUMMYFUNCTION("GOOGLETRANSLATE(B19941,""en"",""zh-CN"")"),"该男子不时地抬头看着镜头说话，继续上下滑雪。")</f>
        <v>该男子不时地抬头看着镜头说话，继续上下滑雪。</v>
      </c>
    </row>
    <row r="19942">
      <c r="A19942" s="4" t="s">
        <v>25100</v>
      </c>
      <c r="B19942" s="4" t="s">
        <v>25101</v>
      </c>
      <c r="C19942" s="5" t="str">
        <f>IFERROR(__xludf.DUMMYFUNCTION("GOOGLETRANSLATE(B19942,""en"",""zh-CN"")"),"可以看到雕刻的胡椒杰克 - 绿色。")</f>
        <v>可以看到雕刻的胡椒杰克 - 绿色。</v>
      </c>
    </row>
    <row r="19943">
      <c r="A19943" s="4" t="s">
        <v>25100</v>
      </c>
      <c r="B19943" s="6" t="s">
        <v>25102</v>
      </c>
      <c r="C19943" s="5" t="str">
        <f>IFERROR(__xludf.DUMMYFUNCTION("GOOGLETRANSLATE(B19943,""en"",""zh-CN"")"),"一个女人用刀雕刻出中心，并将铃铛的面部特征放在菜中。")</f>
        <v>一个女人用刀雕刻出中心，并将铃铛的面部特征放在菜中。</v>
      </c>
    </row>
    <row r="19944">
      <c r="A19944" s="4" t="s">
        <v>25100</v>
      </c>
      <c r="B19944" s="4" t="s">
        <v>25103</v>
      </c>
      <c r="C19944" s="5" t="str">
        <f>IFERROR(__xludf.DUMMYFUNCTION("GOOGLETRANSLATE(B19944,""en"",""zh-CN"")"),"女人在一个大碗中加入切碎的蔬菜，莎莎酱和鸡蛋。")</f>
        <v>女人在一个大碗中加入切碎的蔬菜，莎莎酱和鸡蛋。</v>
      </c>
    </row>
    <row r="19945">
      <c r="A19945" s="4" t="s">
        <v>25100</v>
      </c>
      <c r="B19945" s="4" t="s">
        <v>25104</v>
      </c>
      <c r="C19945" s="5" t="str">
        <f>IFERROR(__xludf.DUMMYFUNCTION("GOOGLETRANSLATE(B19945,""en"",""zh-CN"")"),"女人用铲子将所有东西混合在一起。")</f>
        <v>女人用铲子将所有东西混合在一起。</v>
      </c>
    </row>
    <row r="19946">
      <c r="A19946" s="4" t="s">
        <v>25100</v>
      </c>
      <c r="B19946" s="4" t="s">
        <v>25105</v>
      </c>
      <c r="C19946" s="5" t="str">
        <f>IFERROR(__xludf.DUMMYFUNCTION("GOOGLETRANSLATE(B19946,""en"",""zh-CN"")"),"汤匙用于将食材添加到空心的辣椒中。")</f>
        <v>汤匙用于将食材添加到空心的辣椒中。</v>
      </c>
    </row>
    <row r="19947">
      <c r="A19947" s="4" t="s">
        <v>25100</v>
      </c>
      <c r="B19947" s="4" t="s">
        <v>25106</v>
      </c>
      <c r="C19947" s="5" t="str">
        <f>IFERROR(__xludf.DUMMYFUNCTION("GOOGLETRANSLATE(B19947,""en"",""zh-CN"")"),"将奶酪添加到贝尔辣椒的顶部，顶部放回上面。")</f>
        <v>将奶酪添加到贝尔辣椒的顶部，顶部放回上面。</v>
      </c>
    </row>
    <row r="19948">
      <c r="A19948" s="4" t="s">
        <v>25100</v>
      </c>
      <c r="B19948" s="4" t="s">
        <v>25107</v>
      </c>
      <c r="C19948" s="5" t="str">
        <f>IFERROR(__xludf.DUMMYFUNCTION("GOOGLETRANSLATE(B19948,""en"",""zh-CN"")"),"将辣椒从盘子上取出，然后放在盘子上。")</f>
        <v>将辣椒从盘子上取出，然后放在盘子上。</v>
      </c>
    </row>
    <row r="19949">
      <c r="A19949" s="4" t="s">
        <v>25100</v>
      </c>
      <c r="B19949" s="4" t="s">
        <v>25108</v>
      </c>
      <c r="C19949" s="5" t="str">
        <f>IFERROR(__xludf.DUMMYFUNCTION("GOOGLETRANSLATE(B19949,""en"",""zh-CN"")"),"在切菜板上看到了成品的辣椒。")</f>
        <v>在切菜板上看到了成品的辣椒。</v>
      </c>
    </row>
    <row r="19950">
      <c r="A19950" s="4" t="s">
        <v>25100</v>
      </c>
      <c r="B19950" s="4" t="s">
        <v>25109</v>
      </c>
      <c r="C19950" s="5" t="str">
        <f>IFERROR(__xludf.DUMMYFUNCTION("GOOGLETRANSLATE(B19950,""en"",""zh-CN"")"),"女人在砂锅菜中添加成分。")</f>
        <v>女人在砂锅菜中添加成分。</v>
      </c>
    </row>
    <row r="19951">
      <c r="A19951" s="4" t="s">
        <v>25110</v>
      </c>
      <c r="B19951" s="4" t="s">
        <v>25111</v>
      </c>
      <c r="C19951" s="5" t="str">
        <f>IFERROR(__xludf.DUMMYFUNCTION("GOOGLETRANSLATE(B19951,""en"",""zh-CN"")"),"船在水中显示。")</f>
        <v>船在水中显示。</v>
      </c>
    </row>
    <row r="19952">
      <c r="A19952" s="4" t="s">
        <v>25110</v>
      </c>
      <c r="B19952" s="4" t="s">
        <v>25112</v>
      </c>
      <c r="C19952" s="5" t="str">
        <f>IFERROR(__xludf.DUMMYFUNCTION("GOOGLETRANSLATE(B19952,""en"",""zh-CN"")"),"男人在街上行走。")</f>
        <v>男人在街上行走。</v>
      </c>
    </row>
    <row r="19953">
      <c r="A19953" s="4" t="s">
        <v>25110</v>
      </c>
      <c r="B19953" s="4" t="s">
        <v>25113</v>
      </c>
      <c r="C19953" s="5" t="str">
        <f>IFERROR(__xludf.DUMMYFUNCTION("GOOGLETRANSLATE(B19953,""en"",""zh-CN"")"),"穿着黄色衬衫的男人骑着船。")</f>
        <v>穿着黄色衬衫的男人骑着船。</v>
      </c>
    </row>
    <row r="19954">
      <c r="A19954" s="4" t="s">
        <v>25110</v>
      </c>
      <c r="B19954" s="4" t="s">
        <v>25114</v>
      </c>
      <c r="C19954" s="5" t="str">
        <f>IFERROR(__xludf.DUMMYFUNCTION("GOOGLETRANSLATE(B19954,""en"",""zh-CN"")"),"看着船上的男人的人鼓掌。")</f>
        <v>看着船上的男人的人鼓掌。</v>
      </c>
    </row>
    <row r="19955">
      <c r="A19955" s="4" t="s">
        <v>25115</v>
      </c>
      <c r="B19955" s="4" t="s">
        <v>25116</v>
      </c>
      <c r="C19955" s="5" t="str">
        <f>IFERROR(__xludf.DUMMYFUNCTION("GOOGLETRANSLATE(B19955,""en"",""zh-CN"")"),"一个女人坐着，一个男人站着，一个小女孩正在游乐场设备上攀登。")</f>
        <v>一个女人坐着，一个男人站着，一个小女孩正在游乐场设备上攀登。</v>
      </c>
    </row>
    <row r="19956">
      <c r="A19956" s="4" t="s">
        <v>25115</v>
      </c>
      <c r="B19956" s="4" t="s">
        <v>25117</v>
      </c>
      <c r="C19956" s="5" t="str">
        <f>IFERROR(__xludf.DUMMYFUNCTION("GOOGLETRANSLATE(B19956,""en"",""zh-CN"")"),"她假装踢那个男人时，她跌倒了，从猴子酒吧挂了。")</f>
        <v>她假装踢那个男人时，她跌倒了，从猴子酒吧挂了。</v>
      </c>
    </row>
    <row r="19957">
      <c r="A19957" s="4" t="s">
        <v>25115</v>
      </c>
      <c r="B19957" s="4" t="s">
        <v>25118</v>
      </c>
      <c r="C19957" s="5" t="str">
        <f>IFERROR(__xludf.DUMMYFUNCTION("GOOGLETRANSLATE(B19957,""en"",""zh-CN"")"),"她摇摆到最后，降落在另一个男人的怀里。")</f>
        <v>她摇摆到最后，降落在另一个男人的怀里。</v>
      </c>
    </row>
    <row r="19958">
      <c r="A19958" s="4" t="s">
        <v>25119</v>
      </c>
      <c r="B19958" s="6" t="s">
        <v>25120</v>
      </c>
      <c r="C19958" s="5" t="str">
        <f>IFERROR(__xludf.DUMMYFUNCTION("GOOGLETRANSLATE(B19958,""en"",""zh-CN"")"),"三个人站在一个非常大的混凝土凉亭下，短暂地，白色词“ Maranhao”在屏幕的右侧。")</f>
        <v>三个人站在一个非常大的混凝土凉亭下，短暂地，白色词“ Maranhao”在屏幕的右侧。</v>
      </c>
    </row>
    <row r="19959">
      <c r="A19959" s="4" t="s">
        <v>25119</v>
      </c>
      <c r="B19959" s="6" t="s">
        <v>25121</v>
      </c>
      <c r="C19959" s="5" t="str">
        <f>IFERROR(__xludf.DUMMYFUNCTION("GOOGLETRANSLATE(B19959,""en"",""zh-CN"")"),"一个带有乐器的人开始向三个人走去，他开始调整乐器。")</f>
        <v>一个带有乐器的人开始向三个人走去，他开始调整乐器。</v>
      </c>
    </row>
    <row r="19960">
      <c r="A19960" s="4" t="s">
        <v>25119</v>
      </c>
      <c r="B19960" s="6" t="s">
        <v>25122</v>
      </c>
      <c r="C19960" s="5" t="str">
        <f>IFERROR(__xludf.DUMMYFUNCTION("GOOGLETRANSLATE(B19960,""en"",""zh-CN"")"),"两个人开始跳舞，女人开始唱歌，然后所有人现在都在拿着乐器，并在他们开始演奏乐器，跳舞和一起唱歌时都在微笑。")</f>
        <v>两个人开始跳舞，女人开始唱歌，然后所有人现在都在拿着乐器，并在他们开始演奏乐器，跳舞和一起唱歌时都在微笑。</v>
      </c>
    </row>
    <row r="19961">
      <c r="A19961" s="4" t="s">
        <v>25123</v>
      </c>
      <c r="B19961" s="4" t="s">
        <v>25124</v>
      </c>
      <c r="C19961" s="5" t="str">
        <f>IFERROR(__xludf.DUMMYFUNCTION("GOOGLETRANSLATE(B19961,""en"",""zh-CN"")"),"显示了这个人在视频开始时举起很重的重量。")</f>
        <v>显示了这个人在视频开始时举起很重的重量。</v>
      </c>
    </row>
    <row r="19962">
      <c r="A19962" s="4" t="s">
        <v>25123</v>
      </c>
      <c r="B19962" s="4" t="s">
        <v>25125</v>
      </c>
      <c r="C19962" s="5" t="str">
        <f>IFERROR(__xludf.DUMMYFUNCTION("GOOGLETRANSLATE(B19962,""en"",""zh-CN"")"),"然后另一个男人做同样的事情，他成功地举起了它。")</f>
        <v>然后另一个男人做同样的事情，他成功地举起了它。</v>
      </c>
    </row>
    <row r="19963">
      <c r="A19963" s="4" t="s">
        <v>25123</v>
      </c>
      <c r="B19963" s="4" t="s">
        <v>25126</v>
      </c>
      <c r="C19963" s="5" t="str">
        <f>IFERROR(__xludf.DUMMYFUNCTION("GOOGLETRANSLATE(B19963,""en"",""zh-CN"")"),"完成后，有人来舞台并给了他一个拥抱。")</f>
        <v>完成后，有人来舞台并给了他一个拥抱。</v>
      </c>
    </row>
    <row r="19964">
      <c r="A19964" s="4" t="s">
        <v>25123</v>
      </c>
      <c r="B19964" s="4" t="s">
        <v>25127</v>
      </c>
      <c r="C19964" s="5" t="str">
        <f>IFERROR(__xludf.DUMMYFUNCTION("GOOGLETRANSLATE(B19964,""en"",""zh-CN"")"),"然后，他获得了奖牌。")</f>
        <v>然后，他获得了奖牌。</v>
      </c>
    </row>
    <row r="19965">
      <c r="A19965" s="4" t="s">
        <v>25128</v>
      </c>
      <c r="B19965" s="4" t="s">
        <v>25129</v>
      </c>
      <c r="C19965" s="5" t="str">
        <f>IFERROR(__xludf.DUMMYFUNCTION("GOOGLETRANSLATE(B19965,""en"",""zh-CN"")"),"我们看到一个体育馆里充满了当人们跳绳时看着的人。")</f>
        <v>我们看到一个体育馆里充满了当人们跳绳时看着的人。</v>
      </c>
    </row>
    <row r="19966">
      <c r="A19966" s="4" t="s">
        <v>25128</v>
      </c>
      <c r="B19966" s="4" t="s">
        <v>25130</v>
      </c>
      <c r="C19966" s="5" t="str">
        <f>IFERROR(__xludf.DUMMYFUNCTION("GOOGLETRANSLATE(B19966,""en"",""zh-CN"")"),"我们看到建筑物的外部，一个人接受了内部切割的镜头采访。")</f>
        <v>我们看到建筑物的外部，一个人接受了内部切割的镜头采访。</v>
      </c>
    </row>
    <row r="19967">
      <c r="A19967" s="4" t="s">
        <v>25128</v>
      </c>
      <c r="B19967" s="4" t="s">
        <v>25131</v>
      </c>
      <c r="C19967" s="5" t="str">
        <f>IFERROR(__xludf.DUMMYFUNCTION("GOOGLETRANSLATE(B19967,""en"",""zh-CN"")"),"我们看着女孩表演，看女士们为小吃服务，看另一个人表演。")</f>
        <v>我们看着女孩表演，看女士们为小吃服务，看另一个人表演。</v>
      </c>
    </row>
    <row r="19968">
      <c r="A19968" s="4" t="s">
        <v>25128</v>
      </c>
      <c r="B19968" s="4" t="s">
        <v>25132</v>
      </c>
      <c r="C19968" s="5" t="str">
        <f>IFERROR(__xludf.DUMMYFUNCTION("GOOGLETRANSLATE(B19968,""en"",""zh-CN"")"),"我们看到女孩在主房间外面接受采访，并从健身房内部的场景进行了采访。")</f>
        <v>我们看到女孩在主房间外面接受采访，并从健身房内部的场景进行了采访。</v>
      </c>
    </row>
    <row r="19969">
      <c r="A19969" s="4" t="s">
        <v>25128</v>
      </c>
      <c r="B19969" s="4" t="s">
        <v>25133</v>
      </c>
      <c r="C19969" s="5" t="str">
        <f>IFERROR(__xludf.DUMMYFUNCTION("GOOGLETRANSLATE(B19969,""en"",""zh-CN"")"),"我们看到人们在看台和孩子们跳跃的人。")</f>
        <v>我们看到人们在看台和孩子们跳跃的人。</v>
      </c>
    </row>
    <row r="19970">
      <c r="A19970" s="4" t="s">
        <v>25128</v>
      </c>
      <c r="B19970" s="4" t="s">
        <v>25134</v>
      </c>
      <c r="C19970" s="5" t="str">
        <f>IFERROR(__xludf.DUMMYFUNCTION("GOOGLETRANSLATE(B19970,""en"",""zh-CN"")"),"然后，我们看到蓝色结尾屏幕。")</f>
        <v>然后，我们看到蓝色结尾屏幕。</v>
      </c>
    </row>
    <row r="19971">
      <c r="A19971" s="4" t="s">
        <v>25135</v>
      </c>
      <c r="B19971" s="6" t="s">
        <v>25136</v>
      </c>
      <c r="C19971" s="5" t="str">
        <f>IFERROR(__xludf.DUMMYFUNCTION("GOOGLETRANSLATE(B19971,""en"",""zh-CN"")"),"该女士在视频开头介绍自己，然后显示不同的图片。")</f>
        <v>该女士在视频开头介绍自己，然后显示不同的图片。</v>
      </c>
    </row>
    <row r="19972">
      <c r="A19972" s="4" t="s">
        <v>25135</v>
      </c>
      <c r="B19972" s="6" t="s">
        <v>25137</v>
      </c>
      <c r="C19972" s="5" t="str">
        <f>IFERROR(__xludf.DUMMYFUNCTION("GOOGLETRANSLATE(B19972,""en"",""zh-CN"")"),"她还谈到了您在芝加哥的乐趣以及她成为黑寡妇的大作品。")</f>
        <v>她还谈到了您在芝加哥的乐趣以及她成为黑寡妇的大作品。</v>
      </c>
    </row>
    <row r="19973">
      <c r="A19973" s="4" t="s">
        <v>25138</v>
      </c>
      <c r="B19973" s="4" t="s">
        <v>25139</v>
      </c>
      <c r="C19973" s="5" t="str">
        <f>IFERROR(__xludf.DUMMYFUNCTION("GOOGLETRANSLATE(B19973,""en"",""zh-CN"")"),"穿着深蓝色衬衫的男人跪着膝盖。")</f>
        <v>穿着深蓝色衬衫的男人跪着膝盖。</v>
      </c>
    </row>
    <row r="19974">
      <c r="A19974" s="4" t="s">
        <v>25138</v>
      </c>
      <c r="B19974" s="4" t="s">
        <v>25140</v>
      </c>
      <c r="C19974" s="5" t="str">
        <f>IFERROR(__xludf.DUMMYFUNCTION("GOOGLETRANSLATE(B19974,""en"",""zh-CN"")"),"这个男人正在盘蓝色的球。")</f>
        <v>这个男人正在盘蓝色的球。</v>
      </c>
    </row>
    <row r="19975">
      <c r="A19975" s="4" t="s">
        <v>25138</v>
      </c>
      <c r="B19975" s="4" t="s">
        <v>25141</v>
      </c>
      <c r="C19975" s="5" t="str">
        <f>IFERROR(__xludf.DUMMYFUNCTION("GOOGLETRANSLATE(B19975,""en"",""zh-CN"")"),"这个男人在他身边运球。")</f>
        <v>这个男人在他身边运球。</v>
      </c>
    </row>
    <row r="19976">
      <c r="A19976" s="4" t="s">
        <v>25142</v>
      </c>
      <c r="B19976" s="6" t="s">
        <v>25143</v>
      </c>
      <c r="C19976" s="5" t="str">
        <f>IFERROR(__xludf.DUMMYFUNCTION("GOOGLETRANSLATE(B19976,""en"",""zh-CN"")"),"在旧屋顶以及新屋顶的开头以及在这些屋顶上工作的人们都显示了几张图片。")</f>
        <v>在旧屋顶以及新屋顶的开头以及在这些屋顶上工作的人们都显示了几张图片。</v>
      </c>
    </row>
    <row r="19977">
      <c r="A19977" s="4" t="s">
        <v>25142</v>
      </c>
      <c r="B19977" s="4" t="s">
        <v>25144</v>
      </c>
      <c r="C19977" s="5" t="str">
        <f>IFERROR(__xludf.DUMMYFUNCTION("GOOGLETRANSLATE(B19977,""en"",""zh-CN"")"),"显示了更多的镜头，人们向屋顶上喷洒并远离相机。")</f>
        <v>显示了更多的镜头，人们向屋顶上喷洒并远离相机。</v>
      </c>
    </row>
    <row r="19978">
      <c r="A19978" s="4" t="s">
        <v>25145</v>
      </c>
      <c r="B19978" s="4" t="s">
        <v>25146</v>
      </c>
      <c r="C19978" s="5" t="str">
        <f>IFERROR(__xludf.DUMMYFUNCTION("GOOGLETRANSLATE(B19978,""en"",""zh-CN"")"),"人群观看时，一名体操运动员在酒吧上表演。")</f>
        <v>人群观看时，一名体操运动员在酒吧上表演。</v>
      </c>
    </row>
    <row r="19979">
      <c r="A19979" s="4" t="s">
        <v>25145</v>
      </c>
      <c r="B19979" s="4" t="s">
        <v>25147</v>
      </c>
      <c r="C19979" s="5" t="str">
        <f>IFERROR(__xludf.DUMMYFUNCTION("GOOGLETRANSLATE(B19979,""en"",""zh-CN"")"),"最后，体操运动员在酒吧周围翻转，跳上床垫。")</f>
        <v>最后，体操运动员在酒吧周围翻转，跳上床垫。</v>
      </c>
    </row>
    <row r="19980">
      <c r="A19980" s="4" t="s">
        <v>25148</v>
      </c>
      <c r="B19980" s="6" t="s">
        <v>25149</v>
      </c>
      <c r="C19980" s="5" t="str">
        <f>IFERROR(__xludf.DUMMYFUNCTION("GOOGLETRANSLATE(B19980,""en"",""zh-CN"")"),"看到一个女人坐在舞台上，一边唱歌，然后坐在麦克风中，坐在她演奏乐器后面的人们。")</f>
        <v>看到一个女人坐在舞台上，一边唱歌，然后坐在麦克风中，坐在她演奏乐器后面的人们。</v>
      </c>
    </row>
    <row r="19981">
      <c r="A19981" s="4" t="s">
        <v>25148</v>
      </c>
      <c r="B19981" s="4" t="s">
        <v>25150</v>
      </c>
      <c r="C19981" s="5" t="str">
        <f>IFERROR(__xludf.DUMMYFUNCTION("GOOGLETRANSLATE(B19981,""en"",""zh-CN"")"),"女孩继续与乐队唱歌，并与观众交谈结束。")</f>
        <v>女孩继续与乐队唱歌，并与观众交谈结束。</v>
      </c>
    </row>
    <row r="19982">
      <c r="A19982" s="4" t="s">
        <v>25151</v>
      </c>
      <c r="B19982" s="4" t="s">
        <v>25152</v>
      </c>
      <c r="C19982" s="5" t="str">
        <f>IFERROR(__xludf.DUMMYFUNCTION("GOOGLETRANSLATE(B19982,""en"",""zh-CN"")"),"一个女人站在田野里的一匹马旁边。")</f>
        <v>一个女人站在田野里的一匹马旁边。</v>
      </c>
    </row>
    <row r="19983">
      <c r="A19983" s="4" t="s">
        <v>25151</v>
      </c>
      <c r="B19983" s="4" t="s">
        <v>25153</v>
      </c>
      <c r="C19983" s="5" t="str">
        <f>IFERROR(__xludf.DUMMYFUNCTION("GOOGLETRANSLATE(B19983,""en"",""zh-CN"")"),"“ HJCTV礼物：修饰您的马101”是覆盖的。")</f>
        <v>“ HJCTV礼物：修饰您的马101”是覆盖的。</v>
      </c>
    </row>
    <row r="19984">
      <c r="A19984" s="4" t="s">
        <v>25151</v>
      </c>
      <c r="B19984" s="4" t="s">
        <v>25154</v>
      </c>
      <c r="C19984" s="5" t="str">
        <f>IFERROR(__xludf.DUMMYFUNCTION("GOOGLETRANSLATE(B19984,""en"",""zh-CN"")"),"一个女人站在一个带有修饰刷的马的摊位中，她开始刷牙。")</f>
        <v>一个女人站在一个带有修饰刷的马的摊位中，她开始刷牙。</v>
      </c>
    </row>
    <row r="19985">
      <c r="A19985" s="4" t="s">
        <v>25151</v>
      </c>
      <c r="B19985" s="4" t="s">
        <v>25155</v>
      </c>
      <c r="C19985" s="5" t="str">
        <f>IFERROR(__xludf.DUMMYFUNCTION("GOOGLETRANSLATE(B19985,""en"",""zh-CN"")"),"两个女孩用另一匹马在户外站立并刷它。")</f>
        <v>两个女孩用另一匹马在户外站立并刷它。</v>
      </c>
    </row>
    <row r="19986">
      <c r="A19986" s="4" t="s">
        <v>25151</v>
      </c>
      <c r="B19986" s="4" t="s">
        <v>25156</v>
      </c>
      <c r="C19986" s="5" t="str">
        <f>IFERROR(__xludf.DUMMYFUNCTION("GOOGLETRANSLATE(B19986,""en"",""zh-CN"")"),"第一位妇女带着新的刷子返回，允许孩子们帮助刷马。")</f>
        <v>第一位妇女带着新的刷子返回，允许孩子们帮助刷马。</v>
      </c>
    </row>
    <row r="19987">
      <c r="A19987" s="4" t="s">
        <v>25157</v>
      </c>
      <c r="B19987" s="4" t="s">
        <v>25158</v>
      </c>
      <c r="C19987" s="5" t="str">
        <f>IFERROR(__xludf.DUMMYFUNCTION("GOOGLETRANSLATE(B19987,""en"",""zh-CN"")"),"一个人在一个小盒子里拿着戒指。")</f>
        <v>一个人在一个小盒子里拿着戒指。</v>
      </c>
    </row>
    <row r="19988">
      <c r="A19988" s="4" t="s">
        <v>25157</v>
      </c>
      <c r="B19988" s="4" t="s">
        <v>25159</v>
      </c>
      <c r="C19988" s="5" t="str">
        <f>IFERROR(__xludf.DUMMYFUNCTION("GOOGLETRANSLATE(B19988,""en"",""zh-CN"")"),"然后，男人用礼品纸包裹盒子。")</f>
        <v>然后，男人用礼品纸包裹盒子。</v>
      </c>
    </row>
    <row r="19989">
      <c r="A19989" s="4" t="s">
        <v>25157</v>
      </c>
      <c r="B19989" s="4" t="s">
        <v>25160</v>
      </c>
      <c r="C19989" s="5" t="str">
        <f>IFERROR(__xludf.DUMMYFUNCTION("GOOGLETRANSLATE(B19989,""en"",""zh-CN"")"),"之后，该男子试图找到苏格兰胶带卷的末端，但他找不到。")</f>
        <v>之后，该男子试图找到苏格兰胶带卷的末端，但他找不到。</v>
      </c>
    </row>
    <row r="19990">
      <c r="A19990" s="4" t="s">
        <v>25157</v>
      </c>
      <c r="B19990" s="4" t="s">
        <v>25161</v>
      </c>
      <c r="C19990" s="5" t="str">
        <f>IFERROR(__xludf.DUMMYFUNCTION("GOOGLETRANSLATE(B19990,""en"",""zh-CN"")"),"该男子剪掉了过多的纸，并拿起礼物。")</f>
        <v>该男子剪掉了过多的纸，并拿起礼物。</v>
      </c>
    </row>
    <row r="19991">
      <c r="A19991" s="4" t="s">
        <v>25162</v>
      </c>
      <c r="B19991" s="6" t="s">
        <v>25163</v>
      </c>
      <c r="C19991" s="5" t="str">
        <f>IFERROR(__xludf.DUMMYFUNCTION("GOOGLETRANSLATE(B19991,""en"",""zh-CN"")"),"四名男子站在坐在坐着的观众面前的高架，点燃的舞台上时，穿着服装表演摔跤特技。")</f>
        <v>四名男子站在坐在坐着的观众面前的高架，点燃的舞台上时，穿着服装表演摔跤特技。</v>
      </c>
    </row>
    <row r="19992">
      <c r="A19992" s="4" t="s">
        <v>25162</v>
      </c>
      <c r="B19992" s="4" t="s">
        <v>25164</v>
      </c>
      <c r="C19992" s="5" t="str">
        <f>IFERROR(__xludf.DUMMYFUNCTION("GOOGLETRANSLATE(B19992,""en"",""zh-CN"")"),"两个穿着黑色的男人举起一个穿着蓝色闪亮的衣服的男人，他们的肩膀上。")</f>
        <v>两个穿着黑色的男人举起一个穿着蓝色闪亮的衣服的男人，他们的肩膀上。</v>
      </c>
    </row>
    <row r="19993">
      <c r="A19993" s="4" t="s">
        <v>25162</v>
      </c>
      <c r="B19993" s="6" t="s">
        <v>25165</v>
      </c>
      <c r="C19993" s="5" t="str">
        <f>IFERROR(__xludf.DUMMYFUNCTION("GOOGLETRANSLATE(B19993,""en"",""zh-CN"")"),"黑色的两个男人在另一个男人的脖子上，蓝色的腿，是舞台上最大的男人，他也穿着黑色。")</f>
        <v>黑色的两个男人在另一个男人的脖子上，蓝色的腿，是舞台上最大的男人，他也穿着黑色。</v>
      </c>
    </row>
    <row r="19994">
      <c r="A19994" s="4" t="s">
        <v>25162</v>
      </c>
      <c r="B19994" s="6" t="s">
        <v>25166</v>
      </c>
      <c r="C19994" s="5" t="str">
        <f>IFERROR(__xludf.DUMMYFUNCTION("GOOGLETRANSLATE(B19994,""en"",""zh-CN"")"),"黑色的大个子然后将那个男人带入蓝色，将他猛击，从舞台上猛撞到舞台旁边的一张桌子上，这时男人用一支折断桌子摔倒的力量降落，使男人跌倒在桌子底下。")</f>
        <v>黑色的大个子然后将那个男人带入蓝色，将他猛击，从舞台上猛撞到舞台旁边的一张桌子上，这时男人用一支折断桌子摔倒的力量降落，使男人跌倒在桌子底下。</v>
      </c>
    </row>
    <row r="19995">
      <c r="A19995" s="4" t="s">
        <v>25167</v>
      </c>
      <c r="B19995" s="6" t="s">
        <v>25168</v>
      </c>
      <c r="C19995" s="5" t="str">
        <f>IFERROR(__xludf.DUMMYFUNCTION("GOOGLETRANSLATE(B19995,""en"",""zh-CN"")"),"在大量观众面前，有两支球队在室内体育场里打球球。")</f>
        <v>在大量观众面前，有两支球队在室内体育场里打球球。</v>
      </c>
    </row>
    <row r="19996">
      <c r="A19996" s="4" t="s">
        <v>25167</v>
      </c>
      <c r="B19996" s="4" t="s">
        <v>25169</v>
      </c>
      <c r="C19996" s="5" t="str">
        <f>IFERROR(__xludf.DUMMYFUNCTION("GOOGLETRANSLATE(B19996,""en"",""zh-CN"")"),"绿色和黄色的团队正在与红队对抗。")</f>
        <v>绿色和黄色的团队正在与红队对抗。</v>
      </c>
    </row>
    <row r="19997">
      <c r="A19997" s="4" t="s">
        <v>25167</v>
      </c>
      <c r="B19997" s="4" t="s">
        <v>25170</v>
      </c>
      <c r="C19997" s="5" t="str">
        <f>IFERROR(__xludf.DUMMYFUNCTION("GOOGLETRANSLATE(B19997,""en"",""zh-CN"")"),"球员们高高地跳入将球扔到他们的对方球队。")</f>
        <v>球员们高高地跳入将球扔到他们的对方球队。</v>
      </c>
    </row>
    <row r="19998">
      <c r="A19998" s="4" t="s">
        <v>25167</v>
      </c>
      <c r="B19998" s="4" t="s">
        <v>25171</v>
      </c>
      <c r="C19998" s="5" t="str">
        <f>IFERROR(__xludf.DUMMYFUNCTION("GOOGLETRANSLATE(B19998,""en"",""zh-CN"")"),"然后，绿色和黄色的团队与蓝色团队比赛。")</f>
        <v>然后，绿色和黄色的团队与蓝色团队比赛。</v>
      </c>
    </row>
    <row r="19999">
      <c r="A19999" s="4" t="s">
        <v>25167</v>
      </c>
      <c r="B19999" s="4" t="s">
        <v>25172</v>
      </c>
      <c r="C19999" s="5" t="str">
        <f>IFERROR(__xludf.DUMMYFUNCTION("GOOGLETRANSLATE(B19999,""en"",""zh-CN"")"),"红队又回到了绿色和黄色的团队。")</f>
        <v>红队又回到了绿色和黄色的团队。</v>
      </c>
    </row>
    <row r="20000">
      <c r="A20000" s="4" t="s">
        <v>25167</v>
      </c>
      <c r="B20000" s="4" t="s">
        <v>25173</v>
      </c>
      <c r="C20000" s="5" t="str">
        <f>IFERROR(__xludf.DUMMYFUNCTION("GOOGLETRANSLATE(B20000,""en"",""zh-CN"")"),"然后，蓝队返回与绿色和黄色的团队比赛。")</f>
        <v>然后，蓝队返回与绿色和黄色的团队比赛。</v>
      </c>
    </row>
    <row r="20001">
      <c r="A20001" s="4" t="s">
        <v>25167</v>
      </c>
      <c r="B20001" s="6" t="s">
        <v>25174</v>
      </c>
      <c r="C20001" s="5" t="str">
        <f>IFERROR(__xludf.DUMMYFUNCTION("GOOGLETRANSLATE(B20001,""en"",""zh-CN"")"),"随着红队和蓝队交替与对手一起比赛，射手球比赛继续进行。")</f>
        <v>随着红队和蓝队交替与对手一起比赛，射手球比赛继续进行。</v>
      </c>
    </row>
    <row r="20002">
      <c r="A20002" s="4" t="s">
        <v>25175</v>
      </c>
      <c r="B20002" s="4" t="s">
        <v>25176</v>
      </c>
      <c r="C20002" s="5" t="str">
        <f>IFERROR(__xludf.DUMMYFUNCTION("GOOGLETRANSLATE(B20002,""en"",""zh-CN"")"),"一个摄像机在一块运动器材周围竖起，然后是一个女人骑着锻炼设备。")</f>
        <v>一个摄像机在一块运动器材周围竖起，然后是一个女人骑着锻炼设备。</v>
      </c>
    </row>
    <row r="20003">
      <c r="A20003" s="4" t="s">
        <v>25175</v>
      </c>
      <c r="B20003" s="4" t="s">
        <v>25177</v>
      </c>
      <c r="C20003" s="5" t="str">
        <f>IFERROR(__xludf.DUMMYFUNCTION("GOOGLETRANSLATE(B20003,""en"",""zh-CN"")"),"看到一个人可以调整自行车的设置以及骑行和饮用水。")</f>
        <v>看到一个人可以调整自行车的设置以及骑行和饮用水。</v>
      </c>
    </row>
    <row r="20004">
      <c r="A20004" s="4" t="s">
        <v>25175</v>
      </c>
      <c r="B20004" s="6" t="s">
        <v>25178</v>
      </c>
      <c r="C20004" s="5" t="str">
        <f>IFERROR(__xludf.DUMMYFUNCTION("GOOGLETRANSLATE(B20004,""en"",""zh-CN"")"),"显示了对机器调整机器并将其滚动并继续骑行的女人的更多镜头。")</f>
        <v>显示了对机器调整机器并将其滚动并继续骑行的女人的更多镜头。</v>
      </c>
    </row>
    <row r="20005">
      <c r="A20005" s="4" t="s">
        <v>25179</v>
      </c>
      <c r="B20005" s="6" t="s">
        <v>25180</v>
      </c>
      <c r="C20005" s="5" t="str">
        <f>IFERROR(__xludf.DUMMYFUNCTION("GOOGLETRANSLATE(B20005,""en"",""zh-CN"")"),"看到一小群人在游泳池周围游泳，并陷入了几个剪辑比赛和庆祝活动的片段。")</f>
        <v>看到一小群人在游泳池周围游泳，并陷入了几个剪辑比赛和庆祝活动的片段。</v>
      </c>
    </row>
    <row r="20006">
      <c r="A20006" s="4" t="s">
        <v>25179</v>
      </c>
      <c r="B20006" s="6" t="s">
        <v>25181</v>
      </c>
      <c r="C20006" s="5" t="str">
        <f>IFERROR(__xludf.DUMMYFUNCTION("GOOGLETRANSLATE(B20006,""en"",""zh-CN"")"),"然后看到各种各样的人在相机上讲话，然后看到更多的游戏片段和人们在庆祝。")</f>
        <v>然后看到各种各样的人在相机上讲话，然后看到更多的游戏片段和人们在庆祝。</v>
      </c>
    </row>
    <row r="20007">
      <c r="A20007" s="4" t="s">
        <v>25182</v>
      </c>
      <c r="B20007" s="4" t="s">
        <v>25183</v>
      </c>
      <c r="C20007" s="5" t="str">
        <f>IFERROR(__xludf.DUMMYFUNCTION("GOOGLETRANSLATE(B20007,""en"",""zh-CN"")"),"一名非洲裔美国男运动员正在步行准备跑步。")</f>
        <v>一名非洲裔美国男运动员正在步行准备跑步。</v>
      </c>
    </row>
    <row r="20008">
      <c r="A20008" s="4" t="s">
        <v>25182</v>
      </c>
      <c r="B20008" s="6" t="s">
        <v>25184</v>
      </c>
      <c r="C20008" s="5" t="str">
        <f>IFERROR(__xludf.DUMMYFUNCTION("GOOGLETRANSLATE(B20008,""en"",""zh-CN"")"),"然后，雄性开始从垫子的角度奔跑，并跳高跳跃清理棒。")</f>
        <v>然后，雄性开始从垫子的角度奔跑，并跳高跳跃清理棒。</v>
      </c>
    </row>
    <row r="20009">
      <c r="A20009" s="4" t="s">
        <v>25182</v>
      </c>
      <c r="B20009" s="4" t="s">
        <v>25185</v>
      </c>
      <c r="C20009" s="5" t="str">
        <f>IFERROR(__xludf.DUMMYFUNCTION("GOOGLETRANSLATE(B20009,""en"",""zh-CN"")"),"显示了一个重播，人群开始为他加油。")</f>
        <v>显示了一个重播，人群开始为他加油。</v>
      </c>
    </row>
    <row r="20010">
      <c r="A20010" s="4" t="s">
        <v>25186</v>
      </c>
      <c r="B20010" s="6" t="s">
        <v>25187</v>
      </c>
      <c r="C20010" s="5" t="str">
        <f>IFERROR(__xludf.DUMMYFUNCTION("GOOGLETRANSLATE(B20010,""en"",""zh-CN"")"),"两个男人，一个女人和一个蹒跚学步的人都在路上行走，但所有成年人都穿着袋鼠鞋。")</f>
        <v>两个男人，一个女人和一个蹒跚学步的人都在路上行走，但所有成年人都穿着袋鼠鞋。</v>
      </c>
    </row>
    <row r="20011">
      <c r="A20011" s="4" t="s">
        <v>25186</v>
      </c>
      <c r="B20011" s="6" t="s">
        <v>25188</v>
      </c>
      <c r="C20011" s="5" t="str">
        <f>IFERROR(__xludf.DUMMYFUNCTION("GOOGLETRANSLATE(B20011,""en"",""zh-CN"")"),"人们继续走过他们，当女士和孩子一起走开时，两名雄性开始极高。")</f>
        <v>人们继续走过他们，当女士和孩子一起走开时，两名雄性开始极高。</v>
      </c>
    </row>
    <row r="20012">
      <c r="A20012" s="4" t="s">
        <v>25186</v>
      </c>
      <c r="B20012" s="6" t="s">
        <v>25189</v>
      </c>
      <c r="C20012" s="5" t="str">
        <f>IFERROR(__xludf.DUMMYFUNCTION("GOOGLETRANSLATE(B20012,""en"",""zh-CN"")"),"然后，这四个人在建筑物前移动，并开始希望最终走到一套看来是法院院子的步骤。")</f>
        <v>然后，这四个人在建筑物前移动，并开始希望最终走到一套看来是法院院子的步骤。</v>
      </c>
    </row>
    <row r="20013">
      <c r="A20013" s="4" t="s">
        <v>25190</v>
      </c>
      <c r="B20013" s="4" t="s">
        <v>25191</v>
      </c>
      <c r="C20013" s="5" t="str">
        <f>IFERROR(__xludf.DUMMYFUNCTION("GOOGLETRANSLATE(B20013,""en"",""zh-CN"")"),"看到一个人站在车库里，然后继续玩一套风笛。")</f>
        <v>看到一个人站在车库里，然后继续玩一套风笛。</v>
      </c>
    </row>
    <row r="20014">
      <c r="A20014" s="4" t="s">
        <v>25190</v>
      </c>
      <c r="B20014" s="6" t="s">
        <v>25192</v>
      </c>
      <c r="C20014" s="5" t="str">
        <f>IFERROR(__xludf.DUMMYFUNCTION("GOOGLETRANSLATE(B20014,""en"",""zh-CN"")"),"该名男子继续演奏乐器，同时移动双手并最终停下来关闭相机。")</f>
        <v>该名男子继续演奏乐器，同时移动双手并最终停下来关闭相机。</v>
      </c>
    </row>
    <row r="20015">
      <c r="A20015" s="4" t="s">
        <v>25193</v>
      </c>
      <c r="B20015" s="4" t="s">
        <v>25194</v>
      </c>
      <c r="C20015" s="5" t="str">
        <f>IFERROR(__xludf.DUMMYFUNCTION("GOOGLETRANSLATE(B20015,""en"",""zh-CN"")"),"在沙漠中有几对人在沙漠中拿着自拍棍，他们在骆驼上旅行。")</f>
        <v>在沙漠中有几对人在沙漠中拿着自拍棍，他们在骆驼上旅行。</v>
      </c>
    </row>
    <row r="20016">
      <c r="A20016" s="4" t="s">
        <v>25193</v>
      </c>
      <c r="B20016" s="4" t="s">
        <v>25195</v>
      </c>
      <c r="C20016" s="5" t="str">
        <f>IFERROR(__xludf.DUMMYFUNCTION("GOOGLETRANSLATE(B20016,""en"",""zh-CN"")"),"随着他们的继续，有些人来四周开始用自己的相机拍摄人们。")</f>
        <v>随着他们的继续，有些人来四周开始用自己的相机拍摄人们。</v>
      </c>
    </row>
    <row r="20017">
      <c r="A20017" s="4" t="s">
        <v>25193</v>
      </c>
      <c r="B20017" s="6" t="s">
        <v>25196</v>
      </c>
      <c r="C20017" s="5" t="str">
        <f>IFERROR(__xludf.DUMMYFUNCTION("GOOGLETRANSLATE(B20017,""en"",""zh-CN"")"),"现在，当骆驼上的人们开始与他们交谈时，一群人在沙滩上站着看着他们。")</f>
        <v>现在，当骆驼上的人们开始与他们交谈时，一群人在沙滩上站着看着他们。</v>
      </c>
    </row>
    <row r="20018">
      <c r="A20018" s="4" t="s">
        <v>25197</v>
      </c>
      <c r="B20018" s="6" t="s">
        <v>25198</v>
      </c>
      <c r="C20018" s="5" t="str">
        <f>IFERROR(__xludf.DUMMYFUNCTION("GOOGLETRANSLATE(B20018,""en"",""zh-CN"")"),"出现白色屏幕，绿色字母出现在屏幕的中间，并阅读“ ehow”，并更改为蓝屏，该屏幕上有一个大的白色单词，在一个包含绿色ehow的小白色正方形下读着“健康”。")</f>
        <v>出现白色屏幕，绿色字母出现在屏幕的中间，并阅读“ ehow”，并更改为蓝屏，该屏幕上有一个大的白色单词，在一个包含绿色ehow的小白色正方形下读着“健康”。</v>
      </c>
    </row>
    <row r="20019">
      <c r="A20019" s="4" t="s">
        <v>25197</v>
      </c>
      <c r="B20019" s="6" t="s">
        <v>25199</v>
      </c>
      <c r="C20019" s="5" t="str">
        <f>IFERROR(__xludf.DUMMYFUNCTION("GOOGLETRANSLATE(B20019,""en"",""zh-CN"")"),"一个穿运动服的男人正站在室内健身房里进行一些战斗练习，当他停下来聊天时，左下角的横幅说他的名字叫史蒂夫·赫斯（Steve Hess），他是私人教练。")</f>
        <v>一个穿运动服的男人正站在室内健身房里进行一些战斗练习，当他停下来聊天时，左下角的横幅说他的名字叫史蒂夫·赫斯（Steve Hess），他是私人教练。</v>
      </c>
    </row>
    <row r="20020">
      <c r="A20020" s="4" t="s">
        <v>25197</v>
      </c>
      <c r="B20020" s="6" t="s">
        <v>25200</v>
      </c>
      <c r="C20020" s="5" t="str">
        <f>IFERROR(__xludf.DUMMYFUNCTION("GOOGLETRANSLATE(B20020,""en"",""zh-CN"")"),"说话时，男人也在做手臂和腿部运动，相机被放大以显示他的整个身体。")</f>
        <v>说话时，男人也在做手臂和腿部运动，相机被放大以显示他的整个身体。</v>
      </c>
    </row>
    <row r="20021">
      <c r="A20021" s="4" t="s">
        <v>25197</v>
      </c>
      <c r="B20021" s="6" t="s">
        <v>25201</v>
      </c>
      <c r="C20021" s="5" t="str">
        <f>IFERROR(__xludf.DUMMYFUNCTION("GOOGLETRANSLATE(B20021,""en"",""zh-CN"")"),"当男人完成时，从开头出现相同的蓝色屏幕，并以相同的白色屏幕结束，中间写着绿色的ehow。")</f>
        <v>当男人完成时，从开头出现相同的蓝色屏幕，并以相同的白色屏幕结束，中间写着绿色的ehow。</v>
      </c>
    </row>
    <row r="20022">
      <c r="A20022" s="4" t="s">
        <v>25202</v>
      </c>
      <c r="B20022" s="4" t="s">
        <v>25203</v>
      </c>
      <c r="C20022" s="5" t="str">
        <f>IFERROR(__xludf.DUMMYFUNCTION("GOOGLETRANSLATE(B20022,""en"",""zh-CN"")"),"看到一个人站在一对滑雪板上，而其他人则在一个地区移动。")</f>
        <v>看到一个人站在一对滑雪板上，而其他人则在一个地区移动。</v>
      </c>
    </row>
    <row r="20023">
      <c r="A20023" s="4" t="s">
        <v>25202</v>
      </c>
      <c r="B20023" s="4" t="s">
        <v>25204</v>
      </c>
      <c r="C20023" s="5" t="str">
        <f>IFERROR(__xludf.DUMMYFUNCTION("GOOGLETRANSLATE(B20023,""en"",""zh-CN"")"),"一个人坐在管子上，而其他人则从后面走。")</f>
        <v>一个人坐在管子上，而其他人则从后面走。</v>
      </c>
    </row>
    <row r="20024">
      <c r="A20024" s="4" t="s">
        <v>25202</v>
      </c>
      <c r="B20024" s="4" t="s">
        <v>25205</v>
      </c>
      <c r="C20024" s="5" t="str">
        <f>IFERROR(__xludf.DUMMYFUNCTION("GOOGLETRANSLATE(B20024,""en"",""zh-CN"")"),"然后，一个人将管子踢到山上。")</f>
        <v>然后，一个人将管子踢到山上。</v>
      </c>
    </row>
    <row r="20025">
      <c r="A20025" s="4" t="s">
        <v>25206</v>
      </c>
      <c r="B20025" s="6" t="s">
        <v>25207</v>
      </c>
      <c r="C20025" s="5" t="str">
        <f>IFERROR(__xludf.DUMMYFUNCTION("GOOGLETRANSLATE(B20025,""en"",""zh-CN"")"),"一个人走上一组不平坦的酒吧，而一个人确实在他身后翻转并开始进行体操例行。")</f>
        <v>一个人走上一组不平坦的酒吧，而一个人确实在他身后翻转并开始进行体操例行。</v>
      </c>
    </row>
    <row r="20026">
      <c r="A20026" s="4" t="s">
        <v>25206</v>
      </c>
      <c r="B20026" s="6" t="s">
        <v>25208</v>
      </c>
      <c r="C20026" s="5" t="str">
        <f>IFERROR(__xludf.DUMMYFUNCTION("GOOGLETRANSLATE(B20026,""en"",""zh-CN"")"),"该男子通过跳下并挥舞着双手来翻转并在酒吧和结尾处旋转。")</f>
        <v>该男子通过跳下并挥舞着双手来翻转并在酒吧和结尾处旋转。</v>
      </c>
    </row>
    <row r="20027">
      <c r="A20027" s="4" t="s">
        <v>25209</v>
      </c>
      <c r="B20027" s="4" t="s">
        <v>25210</v>
      </c>
      <c r="C20027" s="5" t="str">
        <f>IFERROR(__xludf.DUMMYFUNCTION("GOOGLETRANSLATE(B20027,""en"",""zh-CN"")"),"看到一个男人在水槽前戴着围裙，上面堆满了许多菜肴。")</f>
        <v>看到一个男人在水槽前戴着围裙，上面堆满了许多菜肴。</v>
      </c>
    </row>
    <row r="20028">
      <c r="A20028" s="4" t="s">
        <v>25209</v>
      </c>
      <c r="B20028" s="4" t="s">
        <v>25211</v>
      </c>
      <c r="C20028" s="5" t="str">
        <f>IFERROR(__xludf.DUMMYFUNCTION("GOOGLETRANSLATE(B20028,""en"",""zh-CN"")"),"该男子开始快速移动洗碗，然后将它们扔进一堆。")</f>
        <v>该男子开始快速移动洗碗，然后将它们扔进一堆。</v>
      </c>
    </row>
    <row r="20029">
      <c r="A20029" s="4" t="s">
        <v>25209</v>
      </c>
      <c r="B20029" s="4" t="s">
        <v>25212</v>
      </c>
      <c r="C20029" s="5" t="str">
        <f>IFERROR(__xludf.DUMMYFUNCTION("GOOGLETRANSLATE(B20029,""en"",""zh-CN"")"),"该男子在回望相机时继续洗碗。")</f>
        <v>该男子在回望相机时继续洗碗。</v>
      </c>
    </row>
    <row r="20030">
      <c r="A20030" s="4" t="s">
        <v>25213</v>
      </c>
      <c r="B20030" s="4" t="s">
        <v>25214</v>
      </c>
      <c r="C20030" s="5" t="str">
        <f>IFERROR(__xludf.DUMMYFUNCTION("GOOGLETRANSLATE(B20030,""en"",""zh-CN"")"),"看到一个男人在大量重量前弯曲，同时远视远处。")</f>
        <v>看到一个男人在大量重量前弯曲，同时远视远处。</v>
      </c>
    </row>
    <row r="20031">
      <c r="A20031" s="4" t="s">
        <v>25213</v>
      </c>
      <c r="B20031" s="4" t="s">
        <v>25215</v>
      </c>
      <c r="C20031" s="5" t="str">
        <f>IFERROR(__xludf.DUMMYFUNCTION("GOOGLETRANSLATE(B20031,""en"",""zh-CN"")"),"然后，他将重量抬起头上。")</f>
        <v>然后，他将重量抬起头上。</v>
      </c>
    </row>
    <row r="20032">
      <c r="A20032" s="4" t="s">
        <v>25213</v>
      </c>
      <c r="B20032" s="4" t="s">
        <v>25216</v>
      </c>
      <c r="C20032" s="5" t="str">
        <f>IFERROR(__xludf.DUMMYFUNCTION("GOOGLETRANSLATE(B20032,""en"",""zh-CN"")"),"最后，他把重量放到地板上。")</f>
        <v>最后，他把重量放到地板上。</v>
      </c>
    </row>
    <row r="20033">
      <c r="A20033" s="4" t="s">
        <v>25217</v>
      </c>
      <c r="B20033" s="4" t="s">
        <v>25218</v>
      </c>
      <c r="C20033" s="5" t="str">
        <f>IFERROR(__xludf.DUMMYFUNCTION("GOOGLETRANSLATE(B20033,""en"",""zh-CN"")"),"一个婴儿坐在秋千上，轻轻摇摆。")</f>
        <v>一个婴儿坐在秋千上，轻轻摇摆。</v>
      </c>
    </row>
    <row r="20034">
      <c r="A20034" s="4" t="s">
        <v>25217</v>
      </c>
      <c r="B20034" s="4" t="s">
        <v>25219</v>
      </c>
      <c r="C20034" s="5" t="str">
        <f>IFERROR(__xludf.DUMMYFUNCTION("GOOGLETRANSLATE(B20034,""en"",""zh-CN"")"),"看到一个小女孩来回摆动。")</f>
        <v>看到一个小女孩来回摆动。</v>
      </c>
    </row>
    <row r="20035">
      <c r="A20035" s="4" t="s">
        <v>25217</v>
      </c>
      <c r="B20035" s="4" t="s">
        <v>25220</v>
      </c>
      <c r="C20035" s="5" t="str">
        <f>IFERROR(__xludf.DUMMYFUNCTION("GOOGLETRANSLATE(B20035,""en"",""zh-CN"")"),"然后，一个蹒跚学步的孩子和婴儿在继续轻轻摆动时互相看着对方。")</f>
        <v>然后，一个蹒跚学步的孩子和婴儿在继续轻轻摆动时互相看着对方。</v>
      </c>
    </row>
    <row r="20036">
      <c r="A20036" s="4" t="s">
        <v>25221</v>
      </c>
      <c r="B20036" s="4" t="s">
        <v>25222</v>
      </c>
      <c r="C20036" s="5" t="str">
        <f>IFERROR(__xludf.DUMMYFUNCTION("GOOGLETRANSLATE(B20036,""en"",""zh-CN"")"),"一个女人站在一个房间里，周围是瑜伽装备。")</f>
        <v>一个女人站在一个房间里，周围是瑜伽装备。</v>
      </c>
    </row>
    <row r="20037">
      <c r="A20037" s="4" t="s">
        <v>25221</v>
      </c>
      <c r="B20037" s="4" t="s">
        <v>25223</v>
      </c>
      <c r="C20037" s="5" t="str">
        <f>IFERROR(__xludf.DUMMYFUNCTION("GOOGLETRANSLATE(B20037,""en"",""zh-CN"")"),"然后，她展示了如何使用步进器锻炼，踩到一边，一边踩到。")</f>
        <v>然后，她展示了如何使用步进器锻炼，踩到一边，一边踩到。</v>
      </c>
    </row>
    <row r="20038">
      <c r="A20038" s="4" t="s">
        <v>25221</v>
      </c>
      <c r="B20038" s="4" t="s">
        <v>25224</v>
      </c>
      <c r="C20038" s="5" t="str">
        <f>IFERROR(__xludf.DUMMYFUNCTION("GOOGLETRANSLATE(B20038,""en"",""zh-CN"")"),"她谈论练习的时间更长。")</f>
        <v>她谈论练习的时间更长。</v>
      </c>
    </row>
    <row r="20039">
      <c r="A20039" s="4" t="s">
        <v>25225</v>
      </c>
      <c r="B20039" s="4" t="s">
        <v>25226</v>
      </c>
      <c r="C20039" s="5" t="str">
        <f>IFERROR(__xludf.DUMMYFUNCTION("GOOGLETRANSLATE(B20039,""en"",""zh-CN"")"),"男人在一个房间里打墙球。")</f>
        <v>男人在一个房间里打墙球。</v>
      </c>
    </row>
    <row r="20040">
      <c r="A20040" s="4" t="s">
        <v>25225</v>
      </c>
      <c r="B20040" s="4" t="s">
        <v>25227</v>
      </c>
      <c r="C20040" s="5" t="str">
        <f>IFERROR(__xludf.DUMMYFUNCTION("GOOGLETRANSLATE(B20040,""en"",""zh-CN"")"),"一个穿着红色衬衫和眼镜的男人在说话。")</f>
        <v>一个穿着红色衬衫和眼镜的男人在说话。</v>
      </c>
    </row>
    <row r="20041">
      <c r="A20041" s="4" t="s">
        <v>25225</v>
      </c>
      <c r="B20041" s="4" t="s">
        <v>25228</v>
      </c>
      <c r="C20041" s="5" t="str">
        <f>IFERROR(__xludf.DUMMYFUNCTION("GOOGLETRANSLATE(B20041,""en"",""zh-CN"")"),"穿着黑色衬衫的男人与一个穿着红色衬衫的男人说话。")</f>
        <v>穿着黑色衬衫的男人与一个穿着红色衬衫的男人说话。</v>
      </c>
    </row>
    <row r="20042">
      <c r="A20042" s="4" t="s">
        <v>25225</v>
      </c>
      <c r="B20042" s="4" t="s">
        <v>25229</v>
      </c>
      <c r="C20042" s="5" t="str">
        <f>IFERROR(__xludf.DUMMYFUNCTION("GOOGLETRANSLATE(B20042,""en"",""zh-CN"")"),"论文正在屏幕上显示。")</f>
        <v>论文正在屏幕上显示。</v>
      </c>
    </row>
    <row r="20043">
      <c r="A20043" s="4" t="s">
        <v>25225</v>
      </c>
      <c r="B20043" s="4" t="s">
        <v>25230</v>
      </c>
      <c r="C20043" s="5" t="str">
        <f>IFERROR(__xludf.DUMMYFUNCTION("GOOGLETRANSLATE(B20043,""en"",""zh-CN"")"),"该男子继续与麦克风交谈。")</f>
        <v>该男子继续与麦克风交谈。</v>
      </c>
    </row>
    <row r="20044">
      <c r="A20044" s="4" t="s">
        <v>25225</v>
      </c>
      <c r="B20044" s="4" t="s">
        <v>25231</v>
      </c>
      <c r="C20044" s="5" t="str">
        <f>IFERROR(__xludf.DUMMYFUNCTION("GOOGLETRANSLATE(B20044,""en"",""zh-CN"")"),"一个穿着黑色衬衫的男人在说话。")</f>
        <v>一个穿着黑色衬衫的男人在说话。</v>
      </c>
    </row>
    <row r="20045">
      <c r="A20045" s="4" t="s">
        <v>25225</v>
      </c>
      <c r="B20045" s="4" t="s">
        <v>25232</v>
      </c>
      <c r="C20045" s="5" t="str">
        <f>IFERROR(__xludf.DUMMYFUNCTION("GOOGLETRANSLATE(B20045,""en"",""zh-CN"")"),"这些人在打更多的壁球。")</f>
        <v>这些人在打更多的壁球。</v>
      </c>
    </row>
    <row r="20046">
      <c r="A20046" s="4" t="s">
        <v>25233</v>
      </c>
      <c r="B20046" s="4" t="s">
        <v>25234</v>
      </c>
      <c r="C20046" s="5" t="str">
        <f>IFERROR(__xludf.DUMMYFUNCTION("GOOGLETRANSLATE(B20046,""en"",""zh-CN"")"),"人们正在舞台演奏乐器。")</f>
        <v>人们正在舞台演奏乐器。</v>
      </c>
    </row>
    <row r="20047">
      <c r="A20047" s="4" t="s">
        <v>25233</v>
      </c>
      <c r="B20047" s="4" t="s">
        <v>25235</v>
      </c>
      <c r="C20047" s="5" t="str">
        <f>IFERROR(__xludf.DUMMYFUNCTION("GOOGLETRANSLATE(B20047,""en"",""zh-CN"")"),"穿着黑色衬衫的男人正在演奏鼓组。")</f>
        <v>穿着黑色衬衫的男人正在演奏鼓组。</v>
      </c>
    </row>
    <row r="20048">
      <c r="A20048" s="4" t="s">
        <v>25233</v>
      </c>
      <c r="B20048" s="4" t="s">
        <v>25236</v>
      </c>
      <c r="C20048" s="5" t="str">
        <f>IFERROR(__xludf.DUMMYFUNCTION("GOOGLETRANSLATE(B20048,""en"",""zh-CN"")"),"穿着绿色衬衫的男人在舞台的前面弹吉他。")</f>
        <v>穿着绿色衬衫的男人在舞台的前面弹吉他。</v>
      </c>
    </row>
    <row r="20049">
      <c r="A20049" s="4" t="s">
        <v>25237</v>
      </c>
      <c r="B20049" s="4" t="s">
        <v>25238</v>
      </c>
      <c r="C20049" s="5" t="str">
        <f>IFERROR(__xludf.DUMMYFUNCTION("GOOGLETRANSLATE(B20049,""en"",""zh-CN"")"),"两名科学家在说话时在水中扔石头。")</f>
        <v>两名科学家在说话时在水中扔石头。</v>
      </c>
    </row>
    <row r="20050">
      <c r="A20050" s="4" t="s">
        <v>25237</v>
      </c>
      <c r="B20050" s="4" t="s">
        <v>25239</v>
      </c>
      <c r="C20050" s="5" t="str">
        <f>IFERROR(__xludf.DUMMYFUNCTION("GOOGLETRANSLATE(B20050,""en"",""zh-CN"")"),"科学家在董事会上写了一个公式，然后科学家跑步并跳入水中。")</f>
        <v>科学家在董事会上写了一个公式，然后科学家跑步并跳入水中。</v>
      </c>
    </row>
    <row r="20051">
      <c r="A20051" s="4" t="s">
        <v>25237</v>
      </c>
      <c r="B20051" s="4" t="s">
        <v>25240</v>
      </c>
      <c r="C20051" s="5" t="str">
        <f>IFERROR(__xludf.DUMMYFUNCTION("GOOGLETRANSLATE(B20051,""en"",""zh-CN"")"),"然后，人们在船上滑水的水滑雪。")</f>
        <v>然后，人们在船上滑水的水滑雪。</v>
      </c>
    </row>
    <row r="20052">
      <c r="A20052" s="4" t="s">
        <v>25237</v>
      </c>
      <c r="B20052" s="4" t="s">
        <v>25241</v>
      </c>
      <c r="C20052" s="5" t="str">
        <f>IFERROR(__xludf.DUMMYFUNCTION("GOOGLETRANSLATE(B20052,""en"",""zh-CN"")"),"一个女人滑雪，而两个男人则解释了女孩的动作。")</f>
        <v>一个女人滑雪，而两个男人则解释了女孩的动作。</v>
      </c>
    </row>
    <row r="20053">
      <c r="A20053" s="4" t="s">
        <v>25237</v>
      </c>
      <c r="B20053" s="6" t="s">
        <v>25242</v>
      </c>
      <c r="C20053" s="5" t="str">
        <f>IFERROR(__xludf.DUMMYFUNCTION("GOOGLETRANSLATE(B20053,""en"",""zh-CN"")"),"之后，一个人滑水拿着水绳扎着杆子，一个人看着，然后他掉进了水中。")</f>
        <v>之后，一个人滑水拿着水绳扎着杆子，一个人看着，然后他掉进了水中。</v>
      </c>
    </row>
    <row r="20054">
      <c r="A20054" s="4" t="s">
        <v>25237</v>
      </c>
      <c r="B20054" s="4" t="s">
        <v>25243</v>
      </c>
      <c r="C20054" s="5" t="str">
        <f>IFERROR(__xludf.DUMMYFUNCTION("GOOGLETRANSLATE(B20054,""en"",""zh-CN"")"),"之后，一个人滑水，然后掉入水中。")</f>
        <v>之后，一个人滑水，然后掉入水中。</v>
      </c>
    </row>
    <row r="20055">
      <c r="A20055" s="4" t="s">
        <v>25244</v>
      </c>
      <c r="B20055" s="6" t="s">
        <v>25245</v>
      </c>
      <c r="C20055" s="5" t="str">
        <f>IFERROR(__xludf.DUMMYFUNCTION("GOOGLETRANSLATE(B20055,""en"",""zh-CN"")"),"展示了一名游泳者戴在他的护目镜上，并在他跳入游泳池之前伸开双手。")</f>
        <v>展示了一名游泳者戴在他的护目镜上，并在他跳入游泳池之前伸开双手。</v>
      </c>
    </row>
    <row r="20056">
      <c r="A20056" s="4" t="s">
        <v>25244</v>
      </c>
      <c r="B20056" s="4" t="s">
        <v>25246</v>
      </c>
      <c r="C20056" s="5" t="str">
        <f>IFERROR(__xludf.DUMMYFUNCTION("GOOGLETRANSLATE(B20056,""en"",""zh-CN"")"),"当他在水下的侧向行程时，显示了该男子的侧视图。")</f>
        <v>当他在水下的侧向行程时，显示了该男子的侧视图。</v>
      </c>
    </row>
    <row r="20057">
      <c r="A20057" s="4" t="s">
        <v>25244</v>
      </c>
      <c r="B20057" s="6" t="s">
        <v>25247</v>
      </c>
      <c r="C20057" s="5" t="str">
        <f>IFERROR(__xludf.DUMMYFUNCTION("GOOGLETRANSLATE(B20057,""en"",""zh-CN"")"),"雄性继续游泳，并突出了他的几种技术，例如他的手的袖口和腿部位置。")</f>
        <v>雄性继续游泳，并突出了他的几种技术，例如他的手的袖口和腿部位置。</v>
      </c>
    </row>
    <row r="20058">
      <c r="A20058" s="4" t="s">
        <v>25248</v>
      </c>
      <c r="B20058" s="4" t="s">
        <v>25249</v>
      </c>
      <c r="C20058" s="5" t="str">
        <f>IFERROR(__xludf.DUMMYFUNCTION("GOOGLETRANSLATE(B20058,""en"",""zh-CN"")"),"显示了剪辑的信用。")</f>
        <v>显示了剪辑的信用。</v>
      </c>
    </row>
    <row r="20059">
      <c r="A20059" s="4" t="s">
        <v>25248</v>
      </c>
      <c r="B20059" s="4" t="s">
        <v>25250</v>
      </c>
      <c r="C20059" s="5" t="str">
        <f>IFERROR(__xludf.DUMMYFUNCTION("GOOGLETRANSLATE(B20059,""en"",""zh-CN"")"),"黑色游戏的人在球场上。")</f>
        <v>黑色游戏的人在球场上。</v>
      </c>
    </row>
    <row r="20060">
      <c r="A20060" s="4" t="s">
        <v>25248</v>
      </c>
      <c r="B20060" s="4" t="s">
        <v>25251</v>
      </c>
      <c r="C20060" s="5" t="str">
        <f>IFERROR(__xludf.DUMMYFUNCTION("GOOGLETRANSLATE(B20060,""en"",""zh-CN"")"),"一个人潜入地面，以防止球击中他。")</f>
        <v>一个人潜入地面，以防止球击中他。</v>
      </c>
    </row>
    <row r="20061">
      <c r="A20061" s="4" t="s">
        <v>25252</v>
      </c>
      <c r="B20061" s="4" t="s">
        <v>25253</v>
      </c>
      <c r="C20061" s="5" t="str">
        <f>IFERROR(__xludf.DUMMYFUNCTION("GOOGLETRANSLATE(B20061,""en"",""zh-CN"")"),"一个男人躺在床上看他的电话。")</f>
        <v>一个男人躺在床上看他的电话。</v>
      </c>
    </row>
    <row r="20062">
      <c r="A20062" s="4" t="s">
        <v>25252</v>
      </c>
      <c r="B20062" s="4" t="s">
        <v>25254</v>
      </c>
      <c r="C20062" s="5" t="str">
        <f>IFERROR(__xludf.DUMMYFUNCTION("GOOGLETRANSLATE(B20062,""en"",""zh-CN"")"),"他碰到一个房间，穿好衣服。")</f>
        <v>他碰到一个房间，穿好衣服。</v>
      </c>
    </row>
    <row r="20063">
      <c r="A20063" s="4" t="s">
        <v>25252</v>
      </c>
      <c r="B20063" s="4" t="s">
        <v>25255</v>
      </c>
      <c r="C20063" s="5" t="str">
        <f>IFERROR(__xludf.DUMMYFUNCTION("GOOGLETRANSLATE(B20063,""en"",""zh-CN"")"),"他坐在床上，穿鞋。")</f>
        <v>他坐在床上，穿鞋。</v>
      </c>
    </row>
    <row r="20064">
      <c r="A20064" s="4" t="s">
        <v>25252</v>
      </c>
      <c r="B20064" s="4" t="s">
        <v>25256</v>
      </c>
      <c r="C20064" s="5" t="str">
        <f>IFERROR(__xludf.DUMMYFUNCTION("GOOGLETRANSLATE(B20064,""en"",""zh-CN"")"),"他站起来，跑了大门。")</f>
        <v>他站起来，跑了大门。</v>
      </c>
    </row>
    <row r="20065">
      <c r="A20065" s="4" t="s">
        <v>25257</v>
      </c>
      <c r="B20065" s="4" t="s">
        <v>25258</v>
      </c>
      <c r="C20065" s="5" t="str">
        <f>IFERROR(__xludf.DUMMYFUNCTION("GOOGLETRANSLATE(B20065,""en"",""zh-CN"")"),"黑屏上出现了白色单词，上面写着“如何绘制镶板门”。")</f>
        <v>黑屏上出现了白色单词，上面写着“如何绘制镶板门”。</v>
      </c>
    </row>
    <row r="20066">
      <c r="A20066" s="4" t="s">
        <v>25257</v>
      </c>
      <c r="B20066" s="6" t="s">
        <v>25259</v>
      </c>
      <c r="C20066" s="5" t="str">
        <f>IFERROR(__xludf.DUMMYFUNCTION("GOOGLETRANSLATE(B20066,""en"",""zh-CN"")"),"然后，一个男人出现在一扇红色的门前，靠在上面有塑料的墙上，他在说话并触摸门。")</f>
        <v>然后，一个男人出现在一扇红色的门前，靠在上面有塑料的墙上，他在说话并触摸门。</v>
      </c>
    </row>
    <row r="20067">
      <c r="A20067" s="4" t="s">
        <v>25257</v>
      </c>
      <c r="B20067" s="6" t="s">
        <v>25260</v>
      </c>
      <c r="C20067" s="5" t="str">
        <f>IFERROR(__xludf.DUMMYFUNCTION("GOOGLETRANSLATE(B20067,""en"",""zh-CN"")"),"然后，该名男子抓起油漆刷，并在继续说话的同时，开始在门的各个部分上绘画。")</f>
        <v>然后，该名男子抓起油漆刷，并在继续说话的同时，开始在门的各个部分上绘画。</v>
      </c>
    </row>
    <row r="20068">
      <c r="A20068" s="4" t="s">
        <v>25257</v>
      </c>
      <c r="B20068" s="4" t="s">
        <v>25261</v>
      </c>
      <c r="C20068" s="5" t="str">
        <f>IFERROR(__xludf.DUMMYFUNCTION("GOOGLETRANSLATE(B20068,""en"",""zh-CN"")"),"该男子停止绘画，并开始谈论门上的几件事。")</f>
        <v>该男子停止绘画，并开始谈论门上的几件事。</v>
      </c>
    </row>
    <row r="20069">
      <c r="A20069" s="4" t="s">
        <v>25257</v>
      </c>
      <c r="B20069" s="6" t="s">
        <v>25262</v>
      </c>
      <c r="C20069" s="5" t="str">
        <f>IFERROR(__xludf.DUMMYFUNCTION("GOOGLETRANSLATE(B20069,""en"",""zh-CN"")"),"如果有人想要更多信息，则会出现一个黑屏，其中包含网站，其中包含网站。")</f>
        <v>如果有人想要更多信息，则会出现一个黑屏，其中包含网站，其中包含网站。</v>
      </c>
    </row>
    <row r="20070">
      <c r="A20070" s="4" t="s">
        <v>25263</v>
      </c>
      <c r="B20070" s="4" t="s">
        <v>25264</v>
      </c>
      <c r="C20070" s="5" t="str">
        <f>IFERROR(__xludf.DUMMYFUNCTION("GOOGLETRANSLATE(B20070,""en"",""zh-CN"")"),"看到一个女人从脚上擦干，走进一个圆坑。")</f>
        <v>看到一个女人从脚上擦干，走进一个圆坑。</v>
      </c>
    </row>
    <row r="20071">
      <c r="A20071" s="4" t="s">
        <v>25263</v>
      </c>
      <c r="B20071" s="4" t="s">
        <v>25265</v>
      </c>
      <c r="C20071" s="5" t="str">
        <f>IFERROR(__xludf.DUMMYFUNCTION("GOOGLETRANSLATE(B20071,""en"",""zh-CN"")"),"然后，那个女人在相机跟随她的同时，四处旋转，然后将讨论播放到空中。")</f>
        <v>然后，那个女人在相机跟随她的同时，四处旋转，然后将讨论播放到空中。</v>
      </c>
    </row>
    <row r="20072">
      <c r="A20072" s="4" t="s">
        <v>25266</v>
      </c>
      <c r="B20072" s="4" t="s">
        <v>25267</v>
      </c>
      <c r="C20072" s="5" t="str">
        <f>IFERROR(__xludf.DUMMYFUNCTION("GOOGLETRANSLATE(B20072,""en"",""zh-CN"")"),"一位名叫Pandelela Rinong的专业潜水员正准备在比赛中潜水。")</f>
        <v>一位名叫Pandelela Rinong的专业潜水员正准备在比赛中潜水。</v>
      </c>
    </row>
    <row r="20073">
      <c r="A20073" s="4" t="s">
        <v>25266</v>
      </c>
      <c r="B20073" s="4" t="s">
        <v>25268</v>
      </c>
      <c r="C20073" s="5" t="str">
        <f>IFERROR(__xludf.DUMMYFUNCTION("GOOGLETRANSLATE(B20073,""en"",""zh-CN"")"),"她在潜水板上前进，从几英尺处向后潜水。")</f>
        <v>她在潜水板上前进，从几英尺处向后潜水。</v>
      </c>
    </row>
    <row r="20074">
      <c r="A20074" s="4" t="s">
        <v>25266</v>
      </c>
      <c r="B20074" s="4" t="s">
        <v>25269</v>
      </c>
      <c r="C20074" s="5" t="str">
        <f>IFERROR(__xludf.DUMMYFUNCTION("GOOGLETRANSLATE(B20074,""en"",""zh-CN"")"),"当她跳入游泳池时，她扭动了自己的身体。")</f>
        <v>当她跳入游泳池时，她扭动了自己的身体。</v>
      </c>
    </row>
    <row r="20075">
      <c r="A20075" s="4" t="s">
        <v>25266</v>
      </c>
      <c r="B20075" s="4" t="s">
        <v>25270</v>
      </c>
      <c r="C20075" s="5" t="str">
        <f>IFERROR(__xludf.DUMMYFUNCTION("GOOGLETRANSLATE(B20075,""en"",""zh-CN"")"),"完成后，她微笑着走出游泳池。")</f>
        <v>完成后，她微笑着走出游泳池。</v>
      </c>
    </row>
    <row r="20076">
      <c r="A20076" s="4" t="s">
        <v>25271</v>
      </c>
      <c r="B20076" s="4" t="s">
        <v>25272</v>
      </c>
      <c r="C20076" s="5" t="str">
        <f>IFERROR(__xludf.DUMMYFUNCTION("GOOGLETRANSLATE(B20076,""en"",""zh-CN"")"),"骑马的几名球员在赛场上打板球。")</f>
        <v>骑马的几名球员在赛场上打板球。</v>
      </c>
    </row>
    <row r="20077">
      <c r="A20077" s="4" t="s">
        <v>25271</v>
      </c>
      <c r="B20077" s="4" t="s">
        <v>25273</v>
      </c>
      <c r="C20077" s="5" t="str">
        <f>IFERROR(__xludf.DUMMYFUNCTION("GOOGLETRANSLATE(B20077,""en"",""zh-CN"")"),"所有球员都骑马到场的一侧。")</f>
        <v>所有球员都骑马到场的一侧。</v>
      </c>
    </row>
    <row r="20078">
      <c r="A20078" s="4" t="s">
        <v>25271</v>
      </c>
      <c r="B20078" s="4" t="s">
        <v>25274</v>
      </c>
      <c r="C20078" s="5" t="str">
        <f>IFERROR(__xludf.DUMMYFUNCTION("GOOGLETRANSLATE(B20078,""en"",""zh-CN"")"),"当试图击中板球时，骑行四处走动。")</f>
        <v>当试图击中板球时，骑行四处走动。</v>
      </c>
    </row>
    <row r="20079">
      <c r="A20079" s="4" t="s">
        <v>25271</v>
      </c>
      <c r="B20079" s="4" t="s">
        <v>25275</v>
      </c>
      <c r="C20079" s="5" t="str">
        <f>IFERROR(__xludf.DUMMYFUNCTION("GOOGLETRANSLATE(B20079,""en"",""zh-CN"")"),"球被击中赛场的中间，远离所有球员。")</f>
        <v>球被击中赛场的中间，远离所有球员。</v>
      </c>
    </row>
    <row r="20080">
      <c r="A20080" s="4" t="s">
        <v>25276</v>
      </c>
      <c r="B20080" s="4" t="s">
        <v>25277</v>
      </c>
      <c r="C20080" s="5" t="str">
        <f>IFERROR(__xludf.DUMMYFUNCTION("GOOGLETRANSLATE(B20080,""en"",""zh-CN"")"),"我们看到一个男人在车道上清理他的车上的雪。")</f>
        <v>我们看到一个男人在车道上清理他的车上的雪。</v>
      </c>
    </row>
    <row r="20081">
      <c r="A20081" s="4" t="s">
        <v>25276</v>
      </c>
      <c r="B20081" s="4" t="s">
        <v>25278</v>
      </c>
      <c r="C20081" s="5" t="str">
        <f>IFERROR(__xludf.DUMMYFUNCTION("GOOGLETRANSLATE(B20081,""en"",""zh-CN"")"),"该名男子在挡风玻璃刮水器下清洗雪。")</f>
        <v>该名男子在挡风玻璃刮水器下清洗雪。</v>
      </c>
    </row>
    <row r="20082">
      <c r="A20082" s="4" t="s">
        <v>25276</v>
      </c>
      <c r="B20082" s="4" t="s">
        <v>25279</v>
      </c>
      <c r="C20082" s="5" t="str">
        <f>IFERROR(__xludf.DUMMYFUNCTION("GOOGLETRANSLATE(B20082,""en"",""zh-CN"")"),"我们看到汽车后面的建筑物。")</f>
        <v>我们看到汽车后面的建筑物。</v>
      </c>
    </row>
    <row r="20083">
      <c r="A20083" s="4" t="s">
        <v>25276</v>
      </c>
      <c r="B20083" s="4" t="s">
        <v>25280</v>
      </c>
      <c r="C20083" s="5" t="str">
        <f>IFERROR(__xludf.DUMMYFUNCTION("GOOGLETRANSLATE(B20083,""en"",""zh-CN"")"),"我们进行360旋转以查看停车场。")</f>
        <v>我们进行360旋转以查看停车场。</v>
      </c>
    </row>
    <row r="20084">
      <c r="A20084" s="4" t="s">
        <v>25276</v>
      </c>
      <c r="B20084" s="4" t="s">
        <v>25281</v>
      </c>
      <c r="C20084" s="5" t="str">
        <f>IFERROR(__xludf.DUMMYFUNCTION("GOOGLETRANSLATE(B20084,""en"",""zh-CN"")"),"该男子打开车门，进去。")</f>
        <v>该男子打开车门，进去。</v>
      </c>
    </row>
    <row r="20085">
      <c r="A20085" s="4" t="s">
        <v>25276</v>
      </c>
      <c r="B20085" s="4" t="s">
        <v>25282</v>
      </c>
      <c r="C20085" s="5" t="str">
        <f>IFERROR(__xludf.DUMMYFUNCTION("GOOGLETRANSLATE(B20085,""en"",""zh-CN"")"),"该男子退出并下车。")</f>
        <v>该男子退出并下车。</v>
      </c>
    </row>
    <row r="20086">
      <c r="A20086" s="4" t="s">
        <v>25283</v>
      </c>
      <c r="B20086" s="6" t="s">
        <v>25284</v>
      </c>
      <c r="C20086" s="5" t="str">
        <f>IFERROR(__xludf.DUMMYFUNCTION("GOOGLETRANSLATE(B20086,""en"",""zh-CN"")"),"一群人看到在一场沙质田地跑来跑去，在大批人群面前踢足球比赛。")</f>
        <v>一群人看到在一场沙质田地跑来跑去，在大批人群面前踢足球比赛。</v>
      </c>
    </row>
    <row r="20087">
      <c r="A20087" s="4" t="s">
        <v>25283</v>
      </c>
      <c r="B20087" s="4" t="s">
        <v>25285</v>
      </c>
      <c r="C20087" s="5" t="str">
        <f>IFERROR(__xludf.DUMMYFUNCTION("GOOGLETRANSLATE(B20087,""en"",""zh-CN"")"),"人们继续踢几个球，继续踢球。")</f>
        <v>人们继续踢几个球，继续踢球。</v>
      </c>
    </row>
    <row r="20088">
      <c r="A20088" s="4" t="s">
        <v>25286</v>
      </c>
      <c r="B20088" s="6" t="s">
        <v>25287</v>
      </c>
      <c r="C20088" s="5" t="str">
        <f>IFERROR(__xludf.DUMMYFUNCTION("GOOGLETRANSLATE(B20088,""en"",""zh-CN"")"),"看到有两个人坐在滑雪板上，穿上齿轮，引导人们将冰球推到冰球溜冰场上。")</f>
        <v>看到有两个人坐在滑雪板上，穿上齿轮，引导人们将冰球推到冰球溜冰场上。</v>
      </c>
    </row>
    <row r="20089">
      <c r="A20089" s="4" t="s">
        <v>25286</v>
      </c>
      <c r="B20089" s="4" t="s">
        <v>25288</v>
      </c>
      <c r="C20089" s="5" t="str">
        <f>IFERROR(__xludf.DUMMYFUNCTION("GOOGLETRANSLATE(B20089,""en"",""zh-CN"")"),"显示了几张球员在冰上滑冰并弹奏曲棍球运动的球员。")</f>
        <v>显示了几张球员在冰上滑冰并弹奏曲棍球运动的球员。</v>
      </c>
    </row>
    <row r="20090">
      <c r="A20090" s="4" t="s">
        <v>25286</v>
      </c>
      <c r="B20090" s="4" t="s">
        <v>25289</v>
      </c>
      <c r="C20090" s="5" t="str">
        <f>IFERROR(__xludf.DUMMYFUNCTION("GOOGLETRANSLATE(B20090,""en"",""zh-CN"")"),"最后，他们彼此跪下，滑了下来。")</f>
        <v>最后，他们彼此跪下，滑了下来。</v>
      </c>
    </row>
    <row r="20091">
      <c r="A20091" s="4" t="s">
        <v>25290</v>
      </c>
      <c r="B20091" s="4" t="s">
        <v>25291</v>
      </c>
      <c r="C20091" s="5" t="str">
        <f>IFERROR(__xludf.DUMMYFUNCTION("GOOGLETRANSLATE(B20091,""en"",""zh-CN"")"),"一个男人在教堂内显示。")</f>
        <v>一个男人在教堂内显示。</v>
      </c>
    </row>
    <row r="20092">
      <c r="A20092" s="4" t="s">
        <v>25290</v>
      </c>
      <c r="B20092" s="4" t="s">
        <v>25292</v>
      </c>
      <c r="C20092" s="5" t="str">
        <f>IFERROR(__xludf.DUMMYFUNCTION("GOOGLETRANSLATE(B20092,""en"",""zh-CN"")"),"他穿着苏格兰短裙时正在玩一套风笛。")</f>
        <v>他穿着苏格兰短裙时正在玩一套风笛。</v>
      </c>
    </row>
    <row r="20093">
      <c r="A20093" s="4" t="s">
        <v>25290</v>
      </c>
      <c r="B20093" s="4" t="s">
        <v>25293</v>
      </c>
      <c r="C20093" s="5" t="str">
        <f>IFERROR(__xludf.DUMMYFUNCTION("GOOGLETRANSLATE(B20093,""en"",""zh-CN"")"),"他继续比赛，不动。")</f>
        <v>他继续比赛，不动。</v>
      </c>
    </row>
    <row r="20094">
      <c r="A20094" s="4" t="s">
        <v>25294</v>
      </c>
      <c r="B20094" s="4" t="s">
        <v>25295</v>
      </c>
      <c r="C20094" s="5" t="str">
        <f>IFERROR(__xludf.DUMMYFUNCTION("GOOGLETRANSLATE(B20094,""en"",""zh-CN"")"),"一个黑色上衣和短裤的女人戴着拳击手套。")</f>
        <v>一个黑色上衣和短裤的女人戴着拳击手套。</v>
      </c>
    </row>
    <row r="20095">
      <c r="A20095" s="4" t="s">
        <v>25294</v>
      </c>
      <c r="B20095" s="4" t="s">
        <v>25296</v>
      </c>
      <c r="C20095" s="5" t="str">
        <f>IFERROR(__xludf.DUMMYFUNCTION("GOOGLETRANSLATE(B20095,""en"",""zh-CN"")"),"她与一个黑色的男人相处。")</f>
        <v>她与一个黑色的男人相处。</v>
      </c>
    </row>
    <row r="20096">
      <c r="A20096" s="4" t="s">
        <v>25294</v>
      </c>
      <c r="B20096" s="4" t="s">
        <v>25297</v>
      </c>
      <c r="C20096" s="5" t="str">
        <f>IFERROR(__xludf.DUMMYFUNCTION("GOOGLETRANSLATE(B20096,""en"",""zh-CN"")"),"她踢着他。")</f>
        <v>她踢着他。</v>
      </c>
    </row>
    <row r="20097">
      <c r="A20097" s="4" t="s">
        <v>25294</v>
      </c>
      <c r="B20097" s="4" t="s">
        <v>25298</v>
      </c>
      <c r="C20097" s="5" t="str">
        <f>IFERROR(__xludf.DUMMYFUNCTION("GOOGLETRANSLATE(B20097,""en"",""zh-CN"")"),"她做了几个不同的练习。")</f>
        <v>她做了几个不同的练习。</v>
      </c>
    </row>
    <row r="20098">
      <c r="A20098" s="4" t="s">
        <v>25299</v>
      </c>
      <c r="B20098" s="4" t="s">
        <v>1251</v>
      </c>
      <c r="C20098" s="5" t="str">
        <f>IFERROR(__xludf.DUMMYFUNCTION("GOOGLETRANSLATE(B20098,""en"",""zh-CN"")"),"显示了剪辑的信用。")</f>
        <v>显示了剪辑的信用。</v>
      </c>
    </row>
    <row r="20099">
      <c r="A20099" s="4" t="s">
        <v>25299</v>
      </c>
      <c r="B20099" s="4" t="s">
        <v>25300</v>
      </c>
      <c r="C20099" s="5" t="str">
        <f>IFERROR(__xludf.DUMMYFUNCTION("GOOGLETRANSLATE(B20099,""en"",""zh-CN"")"),"玩家在草坪上玩槌球。")</f>
        <v>玩家在草坪上玩槌球。</v>
      </c>
    </row>
    <row r="20100">
      <c r="A20100" s="4" t="s">
        <v>25299</v>
      </c>
      <c r="B20100" s="4" t="s">
        <v>25301</v>
      </c>
      <c r="C20100" s="5" t="str">
        <f>IFERROR(__xludf.DUMMYFUNCTION("GOOGLETRANSLATE(B20100,""en"",""zh-CN"")"),"一个家伙在槌球田上弹袋管。")</f>
        <v>一个家伙在槌球田上弹袋管。</v>
      </c>
    </row>
    <row r="20101">
      <c r="A20101" s="4" t="s">
        <v>25299</v>
      </c>
      <c r="B20101" s="4" t="s">
        <v>25302</v>
      </c>
      <c r="C20101" s="5" t="str">
        <f>IFERROR(__xludf.DUMMYFUNCTION("GOOGLETRANSLATE(B20101,""en"",""zh-CN"")"),"玩家握手以展示体育精神。")</f>
        <v>玩家握手以展示体育精神。</v>
      </c>
    </row>
    <row r="20102">
      <c r="A20102" s="4" t="s">
        <v>25299</v>
      </c>
      <c r="B20102" s="4" t="s">
        <v>25303</v>
      </c>
      <c r="C20102" s="5" t="str">
        <f>IFERROR(__xludf.DUMMYFUNCTION("GOOGLETRANSLATE(B20102,""en"",""zh-CN"")"),"玩家进行巨大的支票。")</f>
        <v>玩家进行巨大的支票。</v>
      </c>
    </row>
    <row r="20103">
      <c r="A20103" s="4" t="s">
        <v>25299</v>
      </c>
      <c r="B20103" s="4" t="s">
        <v>25304</v>
      </c>
      <c r="C20103" s="5" t="str">
        <f>IFERROR(__xludf.DUMMYFUNCTION("GOOGLETRANSLATE(B20103,""en"",""zh-CN"")"),"一个人走出线，向相机收费。")</f>
        <v>一个人走出线，向相机收费。</v>
      </c>
    </row>
    <row r="20104">
      <c r="A20104" s="4" t="s">
        <v>25305</v>
      </c>
      <c r="B20104" s="4" t="s">
        <v>25306</v>
      </c>
      <c r="C20104" s="5" t="str">
        <f>IFERROR(__xludf.DUMMYFUNCTION("GOOGLETRANSLATE(B20104,""en"",""zh-CN"")"),"一个男人拿着萨克斯管，然后他拿出脖子，说话时吹嘴。")</f>
        <v>一个男人拿着萨克斯管，然后他拿出脖子，说话时吹嘴。</v>
      </c>
    </row>
    <row r="20105">
      <c r="A20105" s="4" t="s">
        <v>25305</v>
      </c>
      <c r="B20105" s="4" t="s">
        <v>25307</v>
      </c>
      <c r="C20105" s="5" t="str">
        <f>IFERROR(__xludf.DUMMYFUNCTION("GOOGLETRANSLATE(B20105,""en"",""zh-CN"")"),"然后，该男子将萨克斯管上的脖子放在脖子上，并在说话时展示钥匙。")</f>
        <v>然后，该男子将萨克斯管上的脖子放在脖子上，并在说话时展示钥匙。</v>
      </c>
    </row>
    <row r="20106">
      <c r="A20106" s="4" t="s">
        <v>25305</v>
      </c>
      <c r="B20106" s="4" t="s">
        <v>25308</v>
      </c>
      <c r="C20106" s="5" t="str">
        <f>IFERROR(__xludf.DUMMYFUNCTION("GOOGLETRANSLATE(B20106,""en"",""zh-CN"")"),"然后，该男子在解释时演奏萨克斯管。")</f>
        <v>然后，该男子在解释时演奏萨克斯管。</v>
      </c>
    </row>
    <row r="20107">
      <c r="A20107" s="4" t="s">
        <v>25309</v>
      </c>
      <c r="B20107" s="4" t="s">
        <v>25310</v>
      </c>
      <c r="C20107" s="5" t="str">
        <f>IFERROR(__xludf.DUMMYFUNCTION("GOOGLETRANSLATE(B20107,""en"",""zh-CN"")"),"人们在一个大黄筏上掉下水。")</f>
        <v>人们在一个大黄筏上掉下水。</v>
      </c>
    </row>
    <row r="20108">
      <c r="A20108" s="4" t="s">
        <v>25309</v>
      </c>
      <c r="B20108" s="4" t="s">
        <v>25311</v>
      </c>
      <c r="C20108" s="5" t="str">
        <f>IFERROR(__xludf.DUMMYFUNCTION("GOOGLETRANSLATE(B20108,""en"",""zh-CN"")"),"一个乘船的男人正沿着河走。")</f>
        <v>一个乘船的男人正沿着河走。</v>
      </c>
    </row>
    <row r="20109">
      <c r="A20109" s="4" t="s">
        <v>25309</v>
      </c>
      <c r="B20109" s="4" t="s">
        <v>25312</v>
      </c>
      <c r="C20109" s="5" t="str">
        <f>IFERROR(__xludf.DUMMYFUNCTION("GOOGLETRANSLATE(B20109,""en"",""zh-CN"")"),"屏幕上显示了几张after的图片。")</f>
        <v>屏幕上显示了几张after的图片。</v>
      </c>
    </row>
    <row r="20110">
      <c r="A20110" s="4" t="s">
        <v>25309</v>
      </c>
      <c r="B20110" s="4" t="s">
        <v>25313</v>
      </c>
      <c r="C20110" s="5" t="str">
        <f>IFERROR(__xludf.DUMMYFUNCTION("GOOGLETRANSLATE(B20110,""en"",""zh-CN"")"),"r子沿着一座粗糙的山丘撞到岩石。")</f>
        <v>r子沿着一座粗糙的山丘撞到岩石。</v>
      </c>
    </row>
    <row r="20111">
      <c r="A20111" s="4" t="s">
        <v>25314</v>
      </c>
      <c r="B20111" s="4" t="s">
        <v>25315</v>
      </c>
      <c r="C20111" s="5" t="str">
        <f>IFERROR(__xludf.DUMMYFUNCTION("GOOGLETRANSLATE(B20111,""en"",""zh-CN"")"),"用水槽用牙刷清洁鞋子。")</f>
        <v>用水槽用牙刷清洁鞋子。</v>
      </c>
    </row>
    <row r="20112">
      <c r="A20112" s="4" t="s">
        <v>25314</v>
      </c>
      <c r="B20112" s="4" t="s">
        <v>25316</v>
      </c>
      <c r="C20112" s="5" t="str">
        <f>IFERROR(__xludf.DUMMYFUNCTION("GOOGLETRANSLATE(B20112,""en"",""zh-CN"")"),"柜台用毛巾擦拭。")</f>
        <v>柜台用毛巾擦拭。</v>
      </c>
    </row>
    <row r="20113">
      <c r="A20113" s="4" t="s">
        <v>25314</v>
      </c>
      <c r="B20113" s="4" t="s">
        <v>25317</v>
      </c>
      <c r="C20113" s="5" t="str">
        <f>IFERROR(__xludf.DUMMYFUNCTION("GOOGLETRANSLATE(B20113,""en"",""zh-CN"")"),"用牙刷和毛巾更清洁鞋子。")</f>
        <v>用牙刷和毛巾更清洁鞋子。</v>
      </c>
    </row>
    <row r="20114">
      <c r="A20114" s="4" t="s">
        <v>25318</v>
      </c>
      <c r="B20114" s="4" t="s">
        <v>25319</v>
      </c>
      <c r="C20114" s="5" t="str">
        <f>IFERROR(__xludf.DUMMYFUNCTION("GOOGLETRANSLATE(B20114,""en"",""zh-CN"")"),"我们看到一个男人和一个小男孩在田野里抱着弓箭。")</f>
        <v>我们看到一个男人和一个小男孩在田野里抱着弓箭。</v>
      </c>
    </row>
    <row r="20115">
      <c r="A20115" s="4" t="s">
        <v>25318</v>
      </c>
      <c r="B20115" s="4" t="s">
        <v>25320</v>
      </c>
      <c r="C20115" s="5" t="str">
        <f>IFERROR(__xludf.DUMMYFUNCTION("GOOGLETRANSLATE(B20115,""en"",""zh-CN"")"),"男孩射击箭头伸展并射击更多的箭。")</f>
        <v>男孩射击箭头伸展并射击更多的箭。</v>
      </c>
    </row>
    <row r="20116">
      <c r="A20116" s="4" t="s">
        <v>25318</v>
      </c>
      <c r="B20116" s="4" t="s">
        <v>25321</v>
      </c>
      <c r="C20116" s="5" t="str">
        <f>IFERROR(__xludf.DUMMYFUNCTION("GOOGLETRANSLATE(B20116,""en"",""zh-CN"")"),"我们看到该男子射击了三个箭，看到了目标。")</f>
        <v>我们看到该男子射击了三个箭，看到了目标。</v>
      </c>
    </row>
    <row r="20117">
      <c r="A20117" s="4" t="s">
        <v>25318</v>
      </c>
      <c r="B20117" s="4" t="s">
        <v>25322</v>
      </c>
      <c r="C20117" s="5" t="str">
        <f>IFERROR(__xludf.DUMMYFUNCTION("GOOGLETRANSLATE(B20117,""en"",""zh-CN"")"),"当他试图在目标上射击气球并错过了所有人时，我们看到了这个男孩。")</f>
        <v>当他试图在目标上射击气球并错过了所有人时，我们看到了这个男孩。</v>
      </c>
    </row>
    <row r="20118">
      <c r="A20118" s="4" t="s">
        <v>25318</v>
      </c>
      <c r="B20118" s="4" t="s">
        <v>25323</v>
      </c>
      <c r="C20118" s="5" t="str">
        <f>IFERROR(__xludf.DUMMYFUNCTION("GOOGLETRANSLATE(B20118,""en"",""zh-CN"")"),"男孩走开了，我们看到女士射击了两个箭，转身亲吻她的手。")</f>
        <v>男孩走开了，我们看到女士射击了两个箭，转身亲吻她的手。</v>
      </c>
    </row>
    <row r="20119">
      <c r="A20119" s="4" t="s">
        <v>25324</v>
      </c>
      <c r="B20119" s="4" t="s">
        <v>25325</v>
      </c>
      <c r="C20119" s="5" t="str">
        <f>IFERROR(__xludf.DUMMYFUNCTION("GOOGLETRANSLATE(B20119,""en"",""zh-CN"")"),"蓝色文字谈论了视频的描述。")</f>
        <v>蓝色文字谈论了视频的描述。</v>
      </c>
    </row>
    <row r="20120">
      <c r="A20120" s="4" t="s">
        <v>25324</v>
      </c>
      <c r="B20120" s="4" t="s">
        <v>25326</v>
      </c>
      <c r="C20120" s="5" t="str">
        <f>IFERROR(__xludf.DUMMYFUNCTION("GOOGLETRANSLATE(B20120,""en"",""zh-CN"")"),"一些男孩表现出反反性上篮，一个接一个。")</f>
        <v>一些男孩表现出反反性上篮，一个接一个。</v>
      </c>
    </row>
    <row r="20121">
      <c r="A20121" s="4" t="s">
        <v>25324</v>
      </c>
      <c r="B20121" s="4" t="s">
        <v>25327</v>
      </c>
      <c r="C20121" s="5" t="str">
        <f>IFERROR(__xludf.DUMMYFUNCTION("GOOGLETRANSLATE(B20121,""en"",""zh-CN"")"),"一个男孩不断上篮直到最后。")</f>
        <v>一个男孩不断上篮直到最后。</v>
      </c>
    </row>
    <row r="20122">
      <c r="A20122" s="4" t="s">
        <v>25328</v>
      </c>
      <c r="B20122" s="4" t="s">
        <v>25329</v>
      </c>
      <c r="C20122" s="5" t="str">
        <f>IFERROR(__xludf.DUMMYFUNCTION("GOOGLETRANSLATE(B20122,""en"",""zh-CN"")"),"一个人捡起斧头。")</f>
        <v>一个人捡起斧头。</v>
      </c>
    </row>
    <row r="20123">
      <c r="A20123" s="4" t="s">
        <v>25328</v>
      </c>
      <c r="B20123" s="4" t="s">
        <v>25330</v>
      </c>
      <c r="C20123" s="5" t="str">
        <f>IFERROR(__xludf.DUMMYFUNCTION("GOOGLETRANSLATE(B20123,""en"",""zh-CN"")"),"他在树桩上的一块木头上摇摆。")</f>
        <v>他在树桩上的一块木头上摇摆。</v>
      </c>
    </row>
    <row r="20124">
      <c r="A20124" s="4" t="s">
        <v>25328</v>
      </c>
      <c r="B20124" s="4" t="s">
        <v>25331</v>
      </c>
      <c r="C20124" s="5" t="str">
        <f>IFERROR(__xludf.DUMMYFUNCTION("GOOGLETRANSLATE(B20124,""en"",""zh-CN"")"),"他捡起另一个并砍它。")</f>
        <v>他捡起另一个并砍它。</v>
      </c>
    </row>
    <row r="20125">
      <c r="A20125" s="4" t="s">
        <v>25332</v>
      </c>
      <c r="B20125" s="4" t="s">
        <v>25333</v>
      </c>
      <c r="C20125" s="5" t="str">
        <f>IFERROR(__xludf.DUMMYFUNCTION("GOOGLETRANSLATE(B20125,""en"",""zh-CN"")"),"一个人将柠檬片放在两杯柠檬水上，上面放着冰。")</f>
        <v>一个人将柠檬片放在两杯柠檬水上，上面放着冰。</v>
      </c>
    </row>
    <row r="20126">
      <c r="A20126" s="4" t="s">
        <v>25332</v>
      </c>
      <c r="B20126" s="4" t="s">
        <v>25334</v>
      </c>
      <c r="C20126" s="5" t="str">
        <f>IFERROR(__xludf.DUMMYFUNCTION("GOOGLETRANSLATE(B20126,""en"",""zh-CN"")"),"然后，该人倒水并在锅中添加糖制成糖浆。")</f>
        <v>然后，该人倒水并在锅中添加糖制成糖浆。</v>
      </c>
    </row>
    <row r="20127">
      <c r="A20127" s="4" t="s">
        <v>25332</v>
      </c>
      <c r="B20127" s="6" t="s">
        <v>25335</v>
      </c>
      <c r="C20127" s="5" t="str">
        <f>IFERROR(__xludf.DUMMYFUNCTION("GOOGLETRANSLATE(B20127,""en"",""zh-CN"")"),"该人用力按柠檬，然后用电柑橘榨汁机切割柠檬片并挤压它们。")</f>
        <v>该人用力按柠檬，然后用电柑橘榨汁机切割柠檬片并挤压它们。</v>
      </c>
    </row>
    <row r="20128">
      <c r="A20128" s="4" t="s">
        <v>25332</v>
      </c>
      <c r="B20128" s="6" t="s">
        <v>25336</v>
      </c>
      <c r="C20128" s="5" t="str">
        <f>IFERROR(__xludf.DUMMYFUNCTION("GOOGLETRANSLATE(B20128,""en"",""zh-CN"")"),"接下来，该人在罐子里倒一杯水，然后加入糖浆，柠檬汁，柠檬和冰片。")</f>
        <v>接下来，该人在罐子里倒一杯水，然后加入糖浆，柠檬汁，柠檬和冰片。</v>
      </c>
    </row>
    <row r="20129">
      <c r="A20129" s="4" t="s">
        <v>25332</v>
      </c>
      <c r="B20129" s="4" t="s">
        <v>25337</v>
      </c>
      <c r="C20129" s="5" t="str">
        <f>IFERROR(__xludf.DUMMYFUNCTION("GOOGLETRANSLATE(B20129,""en"",""zh-CN"")"),"然后该人为柠檬水服务。")</f>
        <v>然后该人为柠檬水服务。</v>
      </c>
    </row>
    <row r="20130">
      <c r="A20130" s="4" t="s">
        <v>25338</v>
      </c>
      <c r="B20130" s="4" t="s">
        <v>25339</v>
      </c>
      <c r="C20130" s="5" t="str">
        <f>IFERROR(__xludf.DUMMYFUNCTION("GOOGLETRANSLATE(B20130,""en"",""zh-CN"")"),"一名体操运动员站在舞台上的一大群人面前，举起手。")</f>
        <v>一名体操运动员站在舞台上的一大群人面前，举起手。</v>
      </c>
    </row>
    <row r="20131">
      <c r="A20131" s="4" t="s">
        <v>25338</v>
      </c>
      <c r="B20131" s="4" t="s">
        <v>25340</v>
      </c>
      <c r="C20131" s="5" t="str">
        <f>IFERROR(__xludf.DUMMYFUNCTION("GOOGLETRANSLATE(B20131,""en"",""zh-CN"")"),"他开始涉及许多翻转和轮换的例程。")</f>
        <v>他开始涉及许多翻转和轮换的例程。</v>
      </c>
    </row>
    <row r="20132">
      <c r="A20132" s="4" t="s">
        <v>25338</v>
      </c>
      <c r="B20132" s="4" t="s">
        <v>25341</v>
      </c>
      <c r="C20132" s="5" t="str">
        <f>IFERROR(__xludf.DUMMYFUNCTION("GOOGLETRANSLATE(B20132,""en"",""zh-CN"")"),"他这样做的时候人群静静地坐着。")</f>
        <v>他这样做的时候人群静静地坐着。</v>
      </c>
    </row>
    <row r="20133">
      <c r="A20133" s="4" t="s">
        <v>25338</v>
      </c>
      <c r="B20133" s="4" t="s">
        <v>25342</v>
      </c>
      <c r="C20133" s="5" t="str">
        <f>IFERROR(__xludf.DUMMYFUNCTION("GOOGLETRANSLATE(B20133,""en"",""zh-CN"")"),"在卸下之前，他进行了倒立和一系列的旋转和翻转。")</f>
        <v>在卸下之前，他进行了倒立和一系列的旋转和翻转。</v>
      </c>
    </row>
    <row r="20134">
      <c r="A20134" s="4" t="s">
        <v>25338</v>
      </c>
      <c r="B20134" s="4" t="s">
        <v>25343</v>
      </c>
      <c r="C20134" s="5" t="str">
        <f>IFERROR(__xludf.DUMMYFUNCTION("GOOGLETRANSLATE(B20134,""en"",""zh-CN"")"),"他的日常工作结束后，人群为他加油打气时，他拍了拍。")</f>
        <v>他的日常工作结束后，人群为他加油打气时，他拍了拍。</v>
      </c>
    </row>
    <row r="20135">
      <c r="A20135" s="4" t="s">
        <v>25344</v>
      </c>
      <c r="B20135" s="4" t="s">
        <v>25345</v>
      </c>
      <c r="C20135" s="5" t="str">
        <f>IFERROR(__xludf.DUMMYFUNCTION("GOOGLETRANSLATE(B20135,""en"",""zh-CN"")"),"一个人从木板上跳入游泳池。")</f>
        <v>一个人从木板上跳入游泳池。</v>
      </c>
    </row>
    <row r="20136">
      <c r="A20136" s="4" t="s">
        <v>25344</v>
      </c>
      <c r="B20136" s="4" t="s">
        <v>25346</v>
      </c>
      <c r="C20136" s="5" t="str">
        <f>IFERROR(__xludf.DUMMYFUNCTION("GOOGLETRANSLATE(B20136,""en"",""zh-CN"")"),"他们从水下升起。")</f>
        <v>他们从水下升起。</v>
      </c>
    </row>
    <row r="20137">
      <c r="A20137" s="4" t="s">
        <v>25347</v>
      </c>
      <c r="B20137" s="4" t="s">
        <v>25348</v>
      </c>
      <c r="C20137" s="5" t="str">
        <f>IFERROR(__xludf.DUMMYFUNCTION("GOOGLETRANSLATE(B20137,""en"",""zh-CN"")"),"男人正站在街上，拿着木板和滑板在街上。")</f>
        <v>男人正站在街上，拿着木板和滑板在街上。</v>
      </c>
    </row>
    <row r="20138">
      <c r="A20138" s="4" t="s">
        <v>25347</v>
      </c>
      <c r="B20138" s="4" t="s">
        <v>25349</v>
      </c>
      <c r="C20138" s="5" t="str">
        <f>IFERROR(__xludf.DUMMYFUNCTION("GOOGLETRANSLATE(B20138,""en"",""zh-CN"")"),"男人在院子里走路，跳跃并与麦克风交谈。")</f>
        <v>男人在院子里走路，跳跃并与麦克风交谈。</v>
      </c>
    </row>
    <row r="20139">
      <c r="A20139" s="4" t="s">
        <v>25350</v>
      </c>
      <c r="B20139" s="4" t="s">
        <v>25351</v>
      </c>
      <c r="C20139" s="5" t="str">
        <f>IFERROR(__xludf.DUMMYFUNCTION("GOOGLETRANSLATE(B20139,""en"",""zh-CN"")"),"一个男人穿着超人衬衫在外面。")</f>
        <v>一个男人穿着超人衬衫在外面。</v>
      </c>
    </row>
    <row r="20140">
      <c r="A20140" s="4" t="s">
        <v>25350</v>
      </c>
      <c r="B20140" s="4" t="s">
        <v>25352</v>
      </c>
      <c r="C20140" s="5" t="str">
        <f>IFERROR(__xludf.DUMMYFUNCTION("GOOGLETRANSLATE(B20140,""en"",""zh-CN"")"),"他盘旋着旋转，环顾四周。")</f>
        <v>他盘旋着旋转，环顾四周。</v>
      </c>
    </row>
    <row r="20141">
      <c r="A20141" s="4" t="s">
        <v>25350</v>
      </c>
      <c r="B20141" s="4" t="s">
        <v>25353</v>
      </c>
      <c r="C20141" s="5" t="str">
        <f>IFERROR(__xludf.DUMMYFUNCTION("GOOGLETRANSLATE(B20141,""en"",""zh-CN"")"),"他发现一辆折断的自行车，并在一个生气的男人对他大喊时进行修理。")</f>
        <v>他发现一辆折断的自行车，并在一个生气的男人对他大喊时进行修理。</v>
      </c>
    </row>
    <row r="20142">
      <c r="A20142" s="4" t="s">
        <v>25354</v>
      </c>
      <c r="B20142" s="4" t="s">
        <v>25355</v>
      </c>
      <c r="C20142" s="5" t="str">
        <f>IFERROR(__xludf.DUMMYFUNCTION("GOOGLETRANSLATE(B20142,""en"",""zh-CN"")"),"一个人被显示在打磨墙壁，并在墙上铺设一大张水纸。")</f>
        <v>一个人被显示在打磨墙壁，并在墙上铺设一大张水纸。</v>
      </c>
    </row>
    <row r="20143">
      <c r="A20143" s="4" t="s">
        <v>25354</v>
      </c>
      <c r="B20143" s="4" t="s">
        <v>25356</v>
      </c>
      <c r="C20143" s="5" t="str">
        <f>IFERROR(__xludf.DUMMYFUNCTION("GOOGLETRANSLATE(B20143,""en"",""zh-CN"")"),"他继续将纸推入墙壁并从后面进行打磨。")</f>
        <v>他继续将纸推入墙壁并从后面进行打磨。</v>
      </c>
    </row>
    <row r="20144">
      <c r="A20144" s="4" t="s">
        <v>25357</v>
      </c>
      <c r="B20144" s="4" t="s">
        <v>25358</v>
      </c>
      <c r="C20144" s="5" t="str">
        <f>IFERROR(__xludf.DUMMYFUNCTION("GOOGLETRANSLATE(B20144,""en"",""zh-CN"")"),"一个人将桌子推入沙子。")</f>
        <v>一个人将桌子推入沙子。</v>
      </c>
    </row>
    <row r="20145">
      <c r="A20145" s="4" t="s">
        <v>25357</v>
      </c>
      <c r="B20145" s="4" t="s">
        <v>25359</v>
      </c>
      <c r="C20145" s="5" t="str">
        <f>IFERROR(__xludf.DUMMYFUNCTION("GOOGLETRANSLATE(B20145,""en"",""zh-CN"")"),"然后，他在海洋桌子底部的桌子底部显示出他的冲浪，在波浪上滑动。")</f>
        <v>然后，他在海洋桌子底部的桌子底部显示出他的冲浪，在波浪上滑动。</v>
      </c>
    </row>
    <row r="20146">
      <c r="A20146" s="4" t="s">
        <v>25357</v>
      </c>
      <c r="B20146" s="4" t="s">
        <v>25360</v>
      </c>
      <c r="C20146" s="5" t="str">
        <f>IFERROR(__xludf.DUMMYFUNCTION("GOOGLETRANSLATE(B20146,""en"",""zh-CN"")"),"在桌子上毫不费力地骑波浪，显示了另一个角度。")</f>
        <v>在桌子上毫不费力地骑波浪，显示了另一个角度。</v>
      </c>
    </row>
    <row r="20147">
      <c r="A20147" s="4" t="s">
        <v>25357</v>
      </c>
      <c r="B20147" s="4" t="s">
        <v>25361</v>
      </c>
      <c r="C20147" s="5" t="str">
        <f>IFERROR(__xludf.DUMMYFUNCTION("GOOGLETRANSLATE(B20147,""en"",""zh-CN"")"),"他和波浪一起坠毁。")</f>
        <v>他和波浪一起坠毁。</v>
      </c>
    </row>
    <row r="20148">
      <c r="A20148" s="4" t="s">
        <v>25362</v>
      </c>
      <c r="B20148" s="4" t="s">
        <v>25363</v>
      </c>
      <c r="C20148" s="5" t="str">
        <f>IFERROR(__xludf.DUMMYFUNCTION("GOOGLETRANSLATE(B20148,""en"",""zh-CN"")"),"一个戴着耳机的男人在工作室里说话，讲麦克风。")</f>
        <v>一个戴着耳机的男人在工作室里说话，讲麦克风。</v>
      </c>
    </row>
    <row r="20149">
      <c r="A20149" s="4" t="s">
        <v>25362</v>
      </c>
      <c r="B20149" s="4" t="s">
        <v>25364</v>
      </c>
      <c r="C20149" s="5" t="str">
        <f>IFERROR(__xludf.DUMMYFUNCTION("GOOGLETRANSLATE(B20149,""en"",""zh-CN"")"),"显示了其他男人，其中之一开始扮演口琴。")</f>
        <v>显示了其他男人，其中之一开始扮演口琴。</v>
      </c>
    </row>
    <row r="20150">
      <c r="A20150" s="4" t="s">
        <v>25362</v>
      </c>
      <c r="B20150" s="4" t="s">
        <v>25365</v>
      </c>
      <c r="C20150" s="5" t="str">
        <f>IFERROR(__xludf.DUMMYFUNCTION("GOOGLETRANSLATE(B20150,""en"",""zh-CN"")"),"他停止演奏并说出让DJ笑的话。")</f>
        <v>他停止演奏并说出让DJ笑的话。</v>
      </c>
    </row>
    <row r="20151">
      <c r="A20151" s="4" t="s">
        <v>25366</v>
      </c>
      <c r="B20151" s="4" t="s">
        <v>25367</v>
      </c>
      <c r="C20151" s="5" t="str">
        <f>IFERROR(__xludf.DUMMYFUNCTION("GOOGLETRANSLATE(B20151,""en"",""zh-CN"")"),"一台机器在南瓜上画一张脸。")</f>
        <v>一台机器在南瓜上画一张脸。</v>
      </c>
    </row>
    <row r="20152">
      <c r="A20152" s="4" t="s">
        <v>25366</v>
      </c>
      <c r="B20152" s="4" t="s">
        <v>25368</v>
      </c>
      <c r="C20152" s="5" t="str">
        <f>IFERROR(__xludf.DUMMYFUNCTION("GOOGLETRANSLATE(B20152,""en"",""zh-CN"")"),"灯关闭，显示出雕刻的南瓜打开。")</f>
        <v>灯关闭，显示出雕刻的南瓜打开。</v>
      </c>
    </row>
    <row r="20153">
      <c r="A20153" s="4" t="s">
        <v>25366</v>
      </c>
      <c r="B20153" s="4" t="s">
        <v>25369</v>
      </c>
      <c r="C20153" s="5" t="str">
        <f>IFERROR(__xludf.DUMMYFUNCTION("GOOGLETRANSLATE(B20153,""en"",""zh-CN"")"),"它在光线下显示了南瓜。")</f>
        <v>它在光线下显示了南瓜。</v>
      </c>
    </row>
    <row r="20154">
      <c r="A20154" s="4" t="s">
        <v>25370</v>
      </c>
      <c r="B20154" s="4" t="s">
        <v>25371</v>
      </c>
      <c r="C20154" s="5" t="str">
        <f>IFERROR(__xludf.DUMMYFUNCTION("GOOGLETRANSLATE(B20154,""en"",""zh-CN"")"),"一辆大型半卡车在雨中开车。")</f>
        <v>一辆大型半卡车在雨中开车。</v>
      </c>
    </row>
    <row r="20155">
      <c r="A20155" s="4" t="s">
        <v>25370</v>
      </c>
      <c r="B20155" s="4" t="s">
        <v>25372</v>
      </c>
      <c r="C20155" s="5" t="str">
        <f>IFERROR(__xludf.DUMMYFUNCTION("GOOGLETRANSLATE(B20155,""en"",""zh-CN"")"),"然后我们看到男孩在房子外面骑滑板。")</f>
        <v>然后我们看到男孩在房子外面骑滑板。</v>
      </c>
    </row>
    <row r="20156">
      <c r="A20156" s="4" t="s">
        <v>25370</v>
      </c>
      <c r="B20156" s="4" t="s">
        <v>25373</v>
      </c>
      <c r="C20156" s="5" t="str">
        <f>IFERROR(__xludf.DUMMYFUNCTION("GOOGLETRANSLATE(B20156,""en"",""zh-CN"")"),"他们在车道的板子上执行多个特技表演。")</f>
        <v>他们在车道的板子上执行多个特技表演。</v>
      </c>
    </row>
    <row r="20157">
      <c r="A20157" s="4" t="s">
        <v>25374</v>
      </c>
      <c r="B20157" s="4" t="s">
        <v>25375</v>
      </c>
      <c r="C20157" s="5" t="str">
        <f>IFERROR(__xludf.DUMMYFUNCTION("GOOGLETRANSLATE(B20157,""en"",""zh-CN"")"),"一根钢管弹奏者奔跑并在酒吧上发射自己。")</f>
        <v>一根钢管弹奏者奔跑并在酒吧上发射自己。</v>
      </c>
    </row>
    <row r="20158">
      <c r="A20158" s="4" t="s">
        <v>25374</v>
      </c>
      <c r="B20158" s="6" t="s">
        <v>25376</v>
      </c>
      <c r="C20158" s="5" t="str">
        <f>IFERROR(__xludf.DUMMYFUNCTION("GOOGLETRANSLATE(B20158,""en"",""zh-CN"")"),"Vaulter向相机介绍了他的挑战，这将在20分钟内连续十次。")</f>
        <v>Vaulter向相机介绍了他的挑战，这将在20分钟内连续十次。</v>
      </c>
    </row>
    <row r="20159">
      <c r="A20159" s="4" t="s">
        <v>25374</v>
      </c>
      <c r="B20159" s="4" t="s">
        <v>25377</v>
      </c>
      <c r="C20159" s="5" t="str">
        <f>IFERROR(__xludf.DUMMYFUNCTION("GOOGLETRANSLATE(B20159,""en"",""zh-CN"")"),"他成功地发射了10次以上，轻松地在20分钟的限制范围内。")</f>
        <v>他成功地发射了10次以上，轻松地在20分钟的限制范围内。</v>
      </c>
    </row>
    <row r="20160">
      <c r="A20160" s="4" t="s">
        <v>25378</v>
      </c>
      <c r="B20160" s="4" t="s">
        <v>25379</v>
      </c>
      <c r="C20160" s="5" t="str">
        <f>IFERROR(__xludf.DUMMYFUNCTION("GOOGLETRANSLATE(B20160,""en"",""zh-CN"")"),"我们看到一个男人和一个女人玩有竞争力的岩石剪刀，上面剪着人群的场景。")</f>
        <v>我们看到一个男人和一个女人玩有竞争力的岩石剪刀，上面剪着人群的场景。</v>
      </c>
    </row>
    <row r="20161">
      <c r="A20161" s="4" t="s">
        <v>25378</v>
      </c>
      <c r="B20161" s="4" t="s">
        <v>25380</v>
      </c>
      <c r="C20161" s="5" t="str">
        <f>IFERROR(__xludf.DUMMYFUNCTION("GOOGLETRANSLATE(B20161,""en"",""zh-CN"")"),"我们看到一个有胡须拍手的男人。")</f>
        <v>我们看到一个有胡须拍手的男人。</v>
      </c>
    </row>
    <row r="20162">
      <c r="A20162" s="4" t="s">
        <v>25378</v>
      </c>
      <c r="B20162" s="4" t="s">
        <v>25381</v>
      </c>
      <c r="C20162" s="5" t="str">
        <f>IFERROR(__xludf.DUMMYFUNCTION("GOOGLETRANSLATE(B20162,""en"",""zh-CN"")"),"这位女士获胜，衣服上的男人举手。")</f>
        <v>这位女士获胜，衣服上的男人举手。</v>
      </c>
    </row>
    <row r="20163">
      <c r="A20163" s="4" t="s">
        <v>25378</v>
      </c>
      <c r="B20163" s="4" t="s">
        <v>25382</v>
      </c>
      <c r="C20163" s="5" t="str">
        <f>IFERROR(__xludf.DUMMYFUNCTION("GOOGLETRANSLATE(B20163,""en"",""zh-CN"")"),"男人和女人互相握手。")</f>
        <v>男人和女人互相握手。</v>
      </c>
    </row>
    <row r="20164">
      <c r="A20164" s="4" t="s">
        <v>25378</v>
      </c>
      <c r="B20164" s="4" t="s">
        <v>25383</v>
      </c>
      <c r="C20164" s="5" t="str">
        <f>IFERROR(__xludf.DUMMYFUNCTION("GOOGLETRANSLATE(B20164,""en"",""zh-CN"")"),"游戏中的那个人转身摇了摇头。")</f>
        <v>游戏中的那个人转身摇了摇头。</v>
      </c>
    </row>
    <row r="20165">
      <c r="A20165" s="4" t="s">
        <v>25384</v>
      </c>
      <c r="B20165" s="4" t="s">
        <v>25385</v>
      </c>
      <c r="C20165" s="5" t="str">
        <f>IFERROR(__xludf.DUMMYFUNCTION("GOOGLETRANSLATE(B20165,""en"",""zh-CN"")"),"一个女人走进后院，向前翻转头发。")</f>
        <v>一个女人走进后院，向前翻转头发。</v>
      </c>
    </row>
    <row r="20166">
      <c r="A20166" s="4" t="s">
        <v>25384</v>
      </c>
      <c r="B20166" s="4" t="s">
        <v>25386</v>
      </c>
      <c r="C20166" s="5" t="str">
        <f>IFERROR(__xludf.DUMMYFUNCTION("GOOGLETRANSLATE(B20166,""en"",""zh-CN"")"),"她长时间刷头发，抚平并扔掉头发。")</f>
        <v>她长时间刷头发，抚平并扔掉头发。</v>
      </c>
    </row>
    <row r="20167">
      <c r="A20167" s="4" t="s">
        <v>25384</v>
      </c>
      <c r="B20167" s="4" t="s">
        <v>25387</v>
      </c>
      <c r="C20167" s="5" t="str">
        <f>IFERROR(__xludf.DUMMYFUNCTION("GOOGLETRANSLATE(B20167,""en"",""zh-CN"")"),"然后，她离开相机，继续刷。")</f>
        <v>然后，她离开相机，继续刷。</v>
      </c>
    </row>
    <row r="20168">
      <c r="A20168" s="4" t="s">
        <v>25384</v>
      </c>
      <c r="B20168" s="4" t="s">
        <v>25388</v>
      </c>
      <c r="C20168" s="5" t="str">
        <f>IFERROR(__xludf.DUMMYFUNCTION("GOOGLETRANSLATE(B20168,""en"",""zh-CN"")"),"她站立，然后弯腰刷一些。")</f>
        <v>她站立，然后弯腰刷一些。</v>
      </c>
    </row>
    <row r="20169">
      <c r="A20169" s="4" t="s">
        <v>25389</v>
      </c>
      <c r="B20169" s="4" t="s">
        <v>25390</v>
      </c>
      <c r="C20169" s="5" t="str">
        <f>IFERROR(__xludf.DUMMYFUNCTION("GOOGLETRANSLATE(B20169,""en"",""zh-CN"")"),"一个带有女孩玩曲棍球的女孩的黄色框架打开了视频。")</f>
        <v>一个带有女孩玩曲棍球的女孩的黄色框架打开了视频。</v>
      </c>
    </row>
    <row r="20170">
      <c r="A20170" s="4" t="s">
        <v>25389</v>
      </c>
      <c r="B20170" s="4" t="s">
        <v>25391</v>
      </c>
      <c r="C20170" s="5" t="str">
        <f>IFERROR(__xludf.DUMMYFUNCTION("GOOGLETRANSLATE(B20170,""en"",""zh-CN"")"),"展示了不同的幻灯片，一场女孩长曲棍球的游戏正在进行中。")</f>
        <v>展示了不同的幻灯片，一场女孩长曲棍球的游戏正在进行中。</v>
      </c>
    </row>
    <row r="20171">
      <c r="A20171" s="4" t="s">
        <v>25389</v>
      </c>
      <c r="B20171" s="4" t="s">
        <v>25392</v>
      </c>
      <c r="C20171" s="5" t="str">
        <f>IFERROR(__xludf.DUMMYFUNCTION("GOOGLETRANSLATE(B20171,""en"",""zh-CN"")"),"游戏以罚球结束。")</f>
        <v>游戏以罚球结束。</v>
      </c>
    </row>
    <row r="20172">
      <c r="A20172" s="4" t="s">
        <v>25393</v>
      </c>
      <c r="B20172" s="4" t="s">
        <v>25394</v>
      </c>
      <c r="C20172" s="5" t="str">
        <f>IFERROR(__xludf.DUMMYFUNCTION("GOOGLETRANSLATE(B20172,""en"",""zh-CN"")"),"穿着黑色外套的人是从车道上铲展出的表演。")</f>
        <v>穿着黑色外套的人是从车道上铲展出的表演。</v>
      </c>
    </row>
    <row r="20173">
      <c r="A20173" s="4" t="s">
        <v>25393</v>
      </c>
      <c r="B20173" s="4" t="s">
        <v>25395</v>
      </c>
      <c r="C20173" s="5" t="str">
        <f>IFERROR(__xludf.DUMMYFUNCTION("GOOGLETRANSLATE(B20173,""en"",""zh-CN"")"),"一个男人正站在车库里。")</f>
        <v>一个男人正站在车库里。</v>
      </c>
    </row>
    <row r="20174">
      <c r="A20174" s="4" t="s">
        <v>25396</v>
      </c>
      <c r="B20174" s="4" t="s">
        <v>25397</v>
      </c>
      <c r="C20174" s="5" t="str">
        <f>IFERROR(__xludf.DUMMYFUNCTION("GOOGLETRANSLATE(B20174,""en"",""zh-CN"")"),"我们看到一个人和人们进入体育场。")</f>
        <v>我们看到一个人和人们进入体育场。</v>
      </c>
    </row>
    <row r="20175">
      <c r="A20175" s="4" t="s">
        <v>25396</v>
      </c>
      <c r="B20175" s="4" t="s">
        <v>25398</v>
      </c>
      <c r="C20175" s="5" t="str">
        <f>IFERROR(__xludf.DUMMYFUNCTION("GOOGLETRANSLATE(B20175,""en"",""zh-CN"")"),"我们转向团队的人，军队在院子里游行。")</f>
        <v>我们转向团队的人，军队在院子里游行。</v>
      </c>
    </row>
    <row r="20176">
      <c r="A20176" s="4" t="s">
        <v>25396</v>
      </c>
      <c r="B20176" s="4" t="s">
        <v>25399</v>
      </c>
      <c r="C20176" s="5" t="str">
        <f>IFERROR(__xludf.DUMMYFUNCTION("GOOGLETRANSLATE(B20176,""en"",""zh-CN"")"),"人们正在玩棍子的游戏。")</f>
        <v>人们正在玩棍子的游戏。</v>
      </c>
    </row>
    <row r="20177">
      <c r="A20177" s="4" t="s">
        <v>25396</v>
      </c>
      <c r="B20177" s="4" t="s">
        <v>25400</v>
      </c>
      <c r="C20177" s="5" t="str">
        <f>IFERROR(__xludf.DUMMYFUNCTION("GOOGLETRANSLATE(B20177,""en"",""zh-CN"")"),"我们看到一群人站在一个圈子里。")</f>
        <v>我们看到一群人站在一个圈子里。</v>
      </c>
    </row>
    <row r="20178">
      <c r="A20178" s="4" t="s">
        <v>25396</v>
      </c>
      <c r="B20178" s="4" t="s">
        <v>25401</v>
      </c>
      <c r="C20178" s="5" t="str">
        <f>IFERROR(__xludf.DUMMYFUNCTION("GOOGLETRANSLATE(B20178,""en"",""zh-CN"")"),"我们看到一个男人走在街上，然后一个人坐在人行道上。")</f>
        <v>我们看到一个男人走在街上，然后一个人坐在人行道上。</v>
      </c>
    </row>
    <row r="20179">
      <c r="A20179" s="4" t="s">
        <v>25402</v>
      </c>
      <c r="B20179" s="4" t="s">
        <v>25403</v>
      </c>
      <c r="C20179" s="5" t="str">
        <f>IFERROR(__xludf.DUMMYFUNCTION("GOOGLETRANSLATE(B20179,""en"",""zh-CN"")"),"一个人站在镜子前的房间里说话。")</f>
        <v>一个人站在镜子前的房间里说话。</v>
      </c>
    </row>
    <row r="20180">
      <c r="A20180" s="4" t="s">
        <v>25402</v>
      </c>
      <c r="B20180" s="4" t="s">
        <v>25404</v>
      </c>
      <c r="C20180" s="5" t="str">
        <f>IFERROR(__xludf.DUMMYFUNCTION("GOOGLETRANSLATE(B20180,""en"",""zh-CN"")"),"他跪下来，站在头上。")</f>
        <v>他跪下来，站在头上。</v>
      </c>
    </row>
    <row r="20181">
      <c r="A20181" s="4" t="s">
        <v>25402</v>
      </c>
      <c r="B20181" s="4" t="s">
        <v>25405</v>
      </c>
      <c r="C20181" s="5" t="str">
        <f>IFERROR(__xludf.DUMMYFUNCTION("GOOGLETRANSLATE(B20181,""en"",""zh-CN"")"),"他在头上绕着一个圆圈移动。")</f>
        <v>他在头上绕着一个圆圈移动。</v>
      </c>
    </row>
    <row r="20182">
      <c r="A20182" s="4" t="s">
        <v>25406</v>
      </c>
      <c r="B20182" s="4" t="s">
        <v>25407</v>
      </c>
      <c r="C20182" s="5" t="str">
        <f>IFERROR(__xludf.DUMMYFUNCTION("GOOGLETRANSLATE(B20182,""en"",""zh-CN"")"),"有一些球员，一个是黄色的，另一个是红色的露天体育场。")</f>
        <v>有一些球员，一个是黄色的，另一个是红色的露天体育场。</v>
      </c>
    </row>
    <row r="20183">
      <c r="A20183" s="4" t="s">
        <v>25406</v>
      </c>
      <c r="B20183" s="4" t="s">
        <v>25408</v>
      </c>
      <c r="C20183" s="5" t="str">
        <f>IFERROR(__xludf.DUMMYFUNCTION("GOOGLETRANSLATE(B20183,""en"",""zh-CN"")"),"他们是一个与几个观众一起在大型体育场比赛的团队的一部分。")</f>
        <v>他们是一个与几个观众一起在大型体育场比赛的团队的一部分。</v>
      </c>
    </row>
    <row r="20184">
      <c r="A20184" s="4" t="s">
        <v>25406</v>
      </c>
      <c r="B20184" s="4" t="s">
        <v>25409</v>
      </c>
      <c r="C20184" s="5" t="str">
        <f>IFERROR(__xludf.DUMMYFUNCTION("GOOGLETRANSLATE(B20184,""en"",""zh-CN"")"),"该视频正在演示如何接球并用棍子将球铲起。")</f>
        <v>该视频正在演示如何接球并用棍子将球铲起。</v>
      </c>
    </row>
    <row r="20185">
      <c r="A20185" s="4" t="s">
        <v>25406</v>
      </c>
      <c r="B20185" s="4" t="s">
        <v>25410</v>
      </c>
      <c r="C20185" s="5" t="str">
        <f>IFERROR(__xludf.DUMMYFUNCTION("GOOGLETRANSLATE(B20185,""en"",""zh-CN"")"),"它还演示了如何在玩家运行时平衡球上的球。")</f>
        <v>它还演示了如何在玩家运行时平衡球上的球。</v>
      </c>
    </row>
    <row r="20186">
      <c r="A20186" s="4" t="s">
        <v>25406</v>
      </c>
      <c r="B20186" s="6" t="s">
        <v>25411</v>
      </c>
      <c r="C20186" s="5" t="str">
        <f>IFERROR(__xludf.DUMMYFUNCTION("GOOGLETRANSLATE(B20186,""en"",""zh-CN"")"),"玩家在教程中展示了所有步骤，其中一名球员勇敢地射击了球。")</f>
        <v>玩家在教程中展示了所有步骤，其中一名球员勇敢地射击了球。</v>
      </c>
    </row>
    <row r="20187">
      <c r="A20187" s="4" t="s">
        <v>25406</v>
      </c>
      <c r="B20187" s="4" t="s">
        <v>25412</v>
      </c>
      <c r="C20187" s="5" t="str">
        <f>IFERROR(__xludf.DUMMYFUNCTION("GOOGLETRANSLATE(B20187,""en"",""zh-CN"")"),"有一个穿着蓝色和白色制服的球员将球射门并打进进球。")</f>
        <v>有一个穿着蓝色和白色制服的球员将球射门并打进进球。</v>
      </c>
    </row>
    <row r="20188">
      <c r="A20188" s="4" t="s">
        <v>25413</v>
      </c>
      <c r="B20188" s="4" t="s">
        <v>25414</v>
      </c>
      <c r="C20188" s="5" t="str">
        <f>IFERROR(__xludf.DUMMYFUNCTION("GOOGLETRANSLATE(B20188,""en"",""zh-CN"")"),"一个人越过比赛的终点线。")</f>
        <v>一个人越过比赛的终点线。</v>
      </c>
    </row>
    <row r="20189">
      <c r="A20189" s="4" t="s">
        <v>25413</v>
      </c>
      <c r="B20189" s="4" t="s">
        <v>25415</v>
      </c>
      <c r="C20189" s="5" t="str">
        <f>IFERROR(__xludf.DUMMYFUNCTION("GOOGLETRANSLATE(B20189,""en"",""zh-CN"")"),"很多人都在比赛中奔跑。")</f>
        <v>很多人都在比赛中奔跑。</v>
      </c>
    </row>
    <row r="20190">
      <c r="A20190" s="4" t="s">
        <v>25413</v>
      </c>
      <c r="B20190" s="4" t="s">
        <v>25416</v>
      </c>
      <c r="C20190" s="5" t="str">
        <f>IFERROR(__xludf.DUMMYFUNCTION("GOOGLETRANSLATE(B20190,""en"",""zh-CN"")"),"人们沿着一条土路奔跑。")</f>
        <v>人们沿着一条土路奔跑。</v>
      </c>
    </row>
    <row r="20191">
      <c r="A20191" s="4" t="s">
        <v>25417</v>
      </c>
      <c r="B20191" s="6" t="s">
        <v>25418</v>
      </c>
      <c r="C20191" s="5" t="str">
        <f>IFERROR(__xludf.DUMMYFUNCTION("GOOGLETRANSLATE(B20191,""en"",""zh-CN"")"),"一群四个年轻女孩在浴室彼此站在旁边，他们把东西弄碎了。")</f>
        <v>一群四个年轻女孩在浴室彼此站在旁边，他们把东西弄碎了。</v>
      </c>
    </row>
    <row r="20192">
      <c r="A20192" s="4" t="s">
        <v>25417</v>
      </c>
      <c r="B20192" s="4" t="s">
        <v>25419</v>
      </c>
      <c r="C20192" s="5" t="str">
        <f>IFERROR(__xludf.DUMMYFUNCTION("GOOGLETRANSLATE(B20192,""en"",""zh-CN"")"),"他们在嘴里摇动它，几乎所有人都将手放在嘴上。")</f>
        <v>他们在嘴里摇动它，几乎所有人都将手放在嘴上。</v>
      </c>
    </row>
    <row r="20193">
      <c r="A20193" s="4" t="s">
        <v>25417</v>
      </c>
      <c r="B20193" s="4" t="s">
        <v>25420</v>
      </c>
      <c r="C20193" s="5" t="str">
        <f>IFERROR(__xludf.DUMMYFUNCTION("GOOGLETRANSLATE(B20193,""en"",""zh-CN"")"),"其中一个吐出在水槽中，另外三个试图继续进行。")</f>
        <v>其中一个吐出在水槽中，另外三个试图继续进行。</v>
      </c>
    </row>
    <row r="20194">
      <c r="A20194" s="4" t="s">
        <v>25417</v>
      </c>
      <c r="B20194" s="4" t="s">
        <v>25421</v>
      </c>
      <c r="C20194" s="5" t="str">
        <f>IFERROR(__xludf.DUMMYFUNCTION("GOOGLETRANSLATE(B20194,""en"",""zh-CN"")"),"他们非常艰难，最终他们都吐出来，一个女孩获胜。")</f>
        <v>他们非常艰难，最终他们都吐出来，一个女孩获胜。</v>
      </c>
    </row>
    <row r="20195">
      <c r="A20195" s="4" t="s">
        <v>25422</v>
      </c>
      <c r="B20195" s="4" t="s">
        <v>25423</v>
      </c>
      <c r="C20195" s="5" t="str">
        <f>IFERROR(__xludf.DUMMYFUNCTION("GOOGLETRANSLATE(B20195,""en"",""zh-CN"")"),"一个女人的眼睛缠绕着头巾。")</f>
        <v>一个女人的眼睛缠绕着头巾。</v>
      </c>
    </row>
    <row r="20196">
      <c r="A20196" s="4" t="s">
        <v>25422</v>
      </c>
      <c r="B20196" s="4" t="s">
        <v>25424</v>
      </c>
      <c r="C20196" s="5" t="str">
        <f>IFERROR(__xludf.DUMMYFUNCTION("GOOGLETRANSLATE(B20196,""en"",""zh-CN"")"),"她用一根棍子在皮纳塔（Pinata）摆动。")</f>
        <v>她用一根棍子在皮纳塔（Pinata）摆动。</v>
      </c>
    </row>
    <row r="20197">
      <c r="A20197" s="4" t="s">
        <v>25422</v>
      </c>
      <c r="B20197" s="4" t="s">
        <v>25425</v>
      </c>
      <c r="C20197" s="5" t="str">
        <f>IFERROR(__xludf.DUMMYFUNCTION("GOOGLETRANSLATE(B20197,""en"",""zh-CN"")"),"她多次击中皮纳塔。")</f>
        <v>她多次击中皮纳塔。</v>
      </c>
    </row>
    <row r="20198">
      <c r="A20198" s="4" t="s">
        <v>25426</v>
      </c>
      <c r="B20198" s="4" t="s">
        <v>25427</v>
      </c>
      <c r="C20198" s="5" t="str">
        <f>IFERROR(__xludf.DUMMYFUNCTION("GOOGLETRANSLATE(B20198,""en"",""zh-CN"")"),"一个男人站在纹身和穿刺室外。")</f>
        <v>一个男人站在纹身和穿刺室外。</v>
      </c>
    </row>
    <row r="20199">
      <c r="A20199" s="4" t="s">
        <v>25426</v>
      </c>
      <c r="B20199" s="4" t="s">
        <v>25428</v>
      </c>
      <c r="C20199" s="5" t="str">
        <f>IFERROR(__xludf.DUMMYFUNCTION("GOOGLETRANSLATE(B20199,""en"",""zh-CN"")"),"当纹身艺术家背上纹身时，他躺在长凳上。")</f>
        <v>当纹身艺术家背上纹身时，他躺在长凳上。</v>
      </c>
    </row>
    <row r="20200">
      <c r="A20200" s="4" t="s">
        <v>25426</v>
      </c>
      <c r="B20200" s="4" t="s">
        <v>25429</v>
      </c>
      <c r="C20200" s="5" t="str">
        <f>IFERROR(__xludf.DUMMYFUNCTION("GOOGLETRANSLATE(B20200,""en"",""zh-CN"")"),"他展示了他的作品的特写，说Thuglife。")</f>
        <v>他展示了他的作品的特写，说Thuglife。</v>
      </c>
    </row>
    <row r="20201">
      <c r="A20201" s="4" t="s">
        <v>25426</v>
      </c>
      <c r="B20201" s="4" t="s">
        <v>25430</v>
      </c>
      <c r="C20201" s="5" t="str">
        <f>IFERROR(__xludf.DUMMYFUNCTION("GOOGLETRANSLATE(B20201,""en"",""zh-CN"")"),"这个人看着镜子里的作品。")</f>
        <v>这个人看着镜子里的作品。</v>
      </c>
    </row>
    <row r="20202">
      <c r="A20202" s="4" t="s">
        <v>25431</v>
      </c>
      <c r="B20202" s="4" t="s">
        <v>25432</v>
      </c>
      <c r="C20202" s="5" t="str">
        <f>IFERROR(__xludf.DUMMYFUNCTION("GOOGLETRANSLATE(B20202,""en"",""zh-CN"")"),"武术艺术家同时双臂和腿部表现缓慢。")</f>
        <v>武术艺术家同时双臂和腿部表现缓慢。</v>
      </c>
    </row>
    <row r="20203">
      <c r="A20203" s="4" t="s">
        <v>25431</v>
      </c>
      <c r="B20203" s="4" t="s">
        <v>25433</v>
      </c>
      <c r="C20203" s="5" t="str">
        <f>IFERROR(__xludf.DUMMYFUNCTION("GOOGLETRANSLATE(B20203,""en"",""zh-CN"")"),"该名女子完成武术的例行活动后，一个男人对镜头说话。")</f>
        <v>该名女子完成武术的例行活动后，一个男人对镜头说话。</v>
      </c>
    </row>
    <row r="20204">
      <c r="A20204" s="4" t="s">
        <v>25434</v>
      </c>
      <c r="B20204" s="4" t="s">
        <v>25435</v>
      </c>
      <c r="C20204" s="5" t="str">
        <f>IFERROR(__xludf.DUMMYFUNCTION("GOOGLETRANSLATE(B20204,""en"",""zh-CN"")"),"一个人站在门口说话。")</f>
        <v>一个人站在门口说话。</v>
      </c>
    </row>
    <row r="20205">
      <c r="A20205" s="4" t="s">
        <v>25434</v>
      </c>
      <c r="B20205" s="4" t="s">
        <v>25436</v>
      </c>
      <c r="C20205" s="5" t="str">
        <f>IFERROR(__xludf.DUMMYFUNCTION("GOOGLETRANSLATE(B20205,""en"",""zh-CN"")"),"该男子爬上一个梯子，并在墙壁上添加了一块墙纸。")</f>
        <v>该男子爬上一个梯子，并在墙壁上添加了一块墙纸。</v>
      </c>
    </row>
    <row r="20206">
      <c r="A20206" s="4" t="s">
        <v>25434</v>
      </c>
      <c r="B20206" s="4" t="s">
        <v>25437</v>
      </c>
      <c r="C20206" s="5" t="str">
        <f>IFERROR(__xludf.DUMMYFUNCTION("GOOGLETRANSLATE(B20206,""en"",""zh-CN"")"),"该男子在转动之前使用工具，然后将其平滑。")</f>
        <v>该男子在转动之前使用工具，然后将其平滑。</v>
      </c>
    </row>
    <row r="20207">
      <c r="A20207" s="4" t="s">
        <v>25434</v>
      </c>
      <c r="B20207" s="4" t="s">
        <v>25438</v>
      </c>
      <c r="C20207" s="5" t="str">
        <f>IFERROR(__xludf.DUMMYFUNCTION("GOOGLETRANSLATE(B20207,""en"",""zh-CN"")"),"该男子说话并使用另一种工具切掉一块，然后擦拭天花板。")</f>
        <v>该男子说话并使用另一种工具切掉一块，然后擦拭天花板。</v>
      </c>
    </row>
    <row r="20208">
      <c r="A20208" s="4" t="s">
        <v>25439</v>
      </c>
      <c r="B20208" s="4" t="s">
        <v>25440</v>
      </c>
      <c r="C20208" s="5" t="str">
        <f>IFERROR(__xludf.DUMMYFUNCTION("GOOGLETRANSLATE(B20208,""en"",""zh-CN"")"),"一个女人站着举着小提琴对自己。")</f>
        <v>一个女人站着举着小提琴对自己。</v>
      </c>
    </row>
    <row r="20209">
      <c r="A20209" s="4" t="s">
        <v>25439</v>
      </c>
      <c r="B20209" s="4" t="s">
        <v>25441</v>
      </c>
      <c r="C20209" s="5" t="str">
        <f>IFERROR(__xludf.DUMMYFUNCTION("GOOGLETRANSLATE(B20209,""en"",""zh-CN"")"),"女人扮演小提琴。")</f>
        <v>女人扮演小提琴。</v>
      </c>
    </row>
    <row r="20210">
      <c r="A20210" s="4" t="s">
        <v>25439</v>
      </c>
      <c r="B20210" s="4" t="s">
        <v>25442</v>
      </c>
      <c r="C20210" s="5" t="str">
        <f>IFERROR(__xludf.DUMMYFUNCTION("GOOGLETRANSLATE(B20210,""en"",""zh-CN"")"),"女人停止打小提琴。")</f>
        <v>女人停止打小提琴。</v>
      </c>
    </row>
    <row r="20211">
      <c r="A20211" s="4" t="s">
        <v>25443</v>
      </c>
      <c r="B20211" s="4" t="s">
        <v>25444</v>
      </c>
      <c r="C20211" s="5" t="str">
        <f>IFERROR(__xludf.DUMMYFUNCTION("GOOGLETRANSLATE(B20211,""en"",""zh-CN"")"),"有一个穿着红色衬衫的男人和一件托运衬衫，站在公园里。")</f>
        <v>有一个穿着红色衬衫的男人和一件托运衬衫，站在公园里。</v>
      </c>
    </row>
    <row r="20212">
      <c r="A20212" s="4" t="s">
        <v>25443</v>
      </c>
      <c r="B20212" s="4" t="s">
        <v>25445</v>
      </c>
      <c r="C20212" s="5" t="str">
        <f>IFERROR(__xludf.DUMMYFUNCTION("GOOGLETRANSLATE(B20212,""en"",""zh-CN"")"),"他在地面上扔了一个橡胶轮胎。")</f>
        <v>他在地面上扔了一个橡胶轮胎。</v>
      </c>
    </row>
    <row r="20213">
      <c r="A20213" s="4" t="s">
        <v>25443</v>
      </c>
      <c r="B20213" s="4" t="s">
        <v>25446</v>
      </c>
      <c r="C20213" s="5" t="str">
        <f>IFERROR(__xludf.DUMMYFUNCTION("GOOGLETRANSLATE(B20213,""en"",""zh-CN"")"),"他站在公园长凳附近，手里拿着滑板。")</f>
        <v>他站在公园长凳附近，手里拿着滑板。</v>
      </c>
    </row>
    <row r="20214">
      <c r="A20214" s="4" t="s">
        <v>25443</v>
      </c>
      <c r="B20214" s="4" t="s">
        <v>25447</v>
      </c>
      <c r="C20214" s="5" t="str">
        <f>IFERROR(__xludf.DUMMYFUNCTION("GOOGLETRANSLATE(B20214,""en"",""zh-CN"")"),"他正在通过在公园长凳上跳起来在滑板上演示特技表演。")</f>
        <v>他正在通过在公园长凳上跳起来在滑板上演示特技表演。</v>
      </c>
    </row>
    <row r="20215">
      <c r="A20215" s="4" t="s">
        <v>25443</v>
      </c>
      <c r="B20215" s="4" t="s">
        <v>25448</v>
      </c>
      <c r="C20215" s="5" t="str">
        <f>IFERROR(__xludf.DUMMYFUNCTION("GOOGLETRANSLATE(B20215,""en"",""zh-CN"")"),"他一遍又一遍地重复同样的特技。")</f>
        <v>他一遍又一遍地重复同样的特技。</v>
      </c>
    </row>
    <row r="20216">
      <c r="A20216" s="4" t="s">
        <v>25443</v>
      </c>
      <c r="B20216" s="4" t="s">
        <v>25449</v>
      </c>
      <c r="C20216" s="5" t="str">
        <f>IFERROR(__xludf.DUMMYFUNCTION("GOOGLETRANSLATE(B20216,""en"",""zh-CN"")"),"他几次从滑板上摔下来，但在大多数情况下都取得了成功。")</f>
        <v>他几次从滑板上摔下来，但在大多数情况下都取得了成功。</v>
      </c>
    </row>
    <row r="20217">
      <c r="A20217" s="4" t="s">
        <v>25443</v>
      </c>
      <c r="B20217" s="4" t="s">
        <v>25450</v>
      </c>
      <c r="C20217" s="5" t="str">
        <f>IFERROR(__xludf.DUMMYFUNCTION("GOOGLETRANSLATE(B20217,""en"",""zh-CN"")"),"然后，他指着替补席时说话时，他手里握着滑板。")</f>
        <v>然后，他指着替补席时说话时，他手里握着滑板。</v>
      </c>
    </row>
    <row r="20218">
      <c r="A20218" s="4" t="s">
        <v>25451</v>
      </c>
      <c r="B20218" s="4" t="s">
        <v>25452</v>
      </c>
      <c r="C20218" s="5" t="str">
        <f>IFERROR(__xludf.DUMMYFUNCTION("GOOGLETRANSLATE(B20218,""en"",""zh-CN"")"),"屏幕上显示了“ EESA”徽标。")</f>
        <v>屏幕上显示了“ EESA”徽标。</v>
      </c>
    </row>
    <row r="20219">
      <c r="A20219" s="4" t="s">
        <v>25451</v>
      </c>
      <c r="B20219" s="4" t="s">
        <v>25453</v>
      </c>
      <c r="C20219" s="5" t="str">
        <f>IFERROR(__xludf.DUMMYFUNCTION("GOOGLETRANSLATE(B20219,""en"",""zh-CN"")"),"两名男子在室内游泳池里穿着水肺潜水装备与相机交谈。")</f>
        <v>两名男子在室内游泳池里穿着水肺潜水装备与相机交谈。</v>
      </c>
    </row>
    <row r="20220">
      <c r="A20220" s="4" t="s">
        <v>25451</v>
      </c>
      <c r="B20220" s="6" t="s">
        <v>25454</v>
      </c>
      <c r="C20220" s="5" t="str">
        <f>IFERROR(__xludf.DUMMYFUNCTION("GOOGLETRANSLATE(B20220,""en"",""zh-CN"")"),"摄像机跟随其中一名男子在水下，那里存在许多人造障碍。")</f>
        <v>摄像机跟随其中一名男子在水下，那里存在许多人造障碍。</v>
      </c>
    </row>
    <row r="20221">
      <c r="A20221" s="4" t="s">
        <v>25451</v>
      </c>
      <c r="B20221" s="4" t="s">
        <v>25455</v>
      </c>
      <c r="C20221" s="5" t="str">
        <f>IFERROR(__xludf.DUMMYFUNCTION("GOOGLETRANSLATE(B20221,""en"",""zh-CN"")"),"像宇航员一样穿着的其他男人在水下。")</f>
        <v>像宇航员一样穿着的其他男人在水下。</v>
      </c>
    </row>
    <row r="20222">
      <c r="A20222" s="4" t="s">
        <v>25451</v>
      </c>
      <c r="B20222" s="4" t="s">
        <v>25456</v>
      </c>
      <c r="C20222" s="5" t="str">
        <f>IFERROR(__xludf.DUMMYFUNCTION("GOOGLETRANSLATE(B20222,""en"",""zh-CN"")"),"水肺潜水员挥手告别和信用滚动。")</f>
        <v>水肺潜水员挥手告别和信用滚动。</v>
      </c>
    </row>
    <row r="20223">
      <c r="A20223" s="4" t="s">
        <v>25457</v>
      </c>
      <c r="B20223" s="4" t="s">
        <v>1487</v>
      </c>
      <c r="C20223" s="5" t="str">
        <f>IFERROR(__xludf.DUMMYFUNCTION("GOOGLETRANSLATE(B20223,""en"",""zh-CN"")"),"我们看到一个开放标题屏幕。")</f>
        <v>我们看到一个开放标题屏幕。</v>
      </c>
    </row>
    <row r="20224">
      <c r="A20224" s="4" t="s">
        <v>25457</v>
      </c>
      <c r="B20224" s="4" t="s">
        <v>25458</v>
      </c>
      <c r="C20224" s="5" t="str">
        <f>IFERROR(__xludf.DUMMYFUNCTION("GOOGLETRANSLATE(B20224,""en"",""zh-CN"")"),"我们看到球，桨和一张蓝色桌子，然后一个男人说话，两个人打乒乓球。")</f>
        <v>我们看到球，桨和一张蓝色桌子，然后一个男人说话，两个人打乒乓球。</v>
      </c>
    </row>
    <row r="20225">
      <c r="A20225" s="4" t="s">
        <v>25457</v>
      </c>
      <c r="B20225" s="4" t="s">
        <v>25459</v>
      </c>
      <c r="C20225" s="5" t="str">
        <f>IFERROR(__xludf.DUMMYFUNCTION("GOOGLETRANSLATE(B20225,""en"",""zh-CN"")"),"我们看到一个教学标题屏幕。")</f>
        <v>我们看到一个教学标题屏幕。</v>
      </c>
    </row>
    <row r="20226">
      <c r="A20226" s="4" t="s">
        <v>25457</v>
      </c>
      <c r="B20226" s="4" t="s">
        <v>25460</v>
      </c>
      <c r="C20226" s="5" t="str">
        <f>IFERROR(__xludf.DUMMYFUNCTION("GOOGLETRANSLATE(B20226,""en"",""zh-CN"")"),"该男子表现出击球，我们看到他在比赛中击球。")</f>
        <v>该男子表现出击球，我们看到他在比赛中击球。</v>
      </c>
    </row>
    <row r="20227">
      <c r="A20227" s="4" t="s">
        <v>25457</v>
      </c>
      <c r="B20227" s="4" t="s">
        <v>777</v>
      </c>
      <c r="C20227" s="5" t="str">
        <f>IFERROR(__xludf.DUMMYFUNCTION("GOOGLETRANSLATE(B20227,""en"",""zh-CN"")"),"我们看到结尾标题屏幕。")</f>
        <v>我们看到结尾标题屏幕。</v>
      </c>
    </row>
    <row r="20228">
      <c r="A20228" s="4" t="s">
        <v>25461</v>
      </c>
      <c r="B20228" s="4" t="s">
        <v>25462</v>
      </c>
      <c r="C20228" s="5" t="str">
        <f>IFERROR(__xludf.DUMMYFUNCTION("GOOGLETRANSLATE(B20228,""en"",""zh-CN"")"),"几个人在房屋前吹叶。")</f>
        <v>几个人在房屋前吹叶。</v>
      </c>
    </row>
    <row r="20229">
      <c r="A20229" s="4" t="s">
        <v>25461</v>
      </c>
      <c r="B20229" s="4" t="s">
        <v>25463</v>
      </c>
      <c r="C20229" s="5" t="str">
        <f>IFERROR(__xludf.DUMMYFUNCTION("GOOGLETRANSLATE(B20229,""en"",""zh-CN"")"),"一个人在整个院子里都吹叶。")</f>
        <v>一个人在整个院子里都吹叶。</v>
      </c>
    </row>
    <row r="20230">
      <c r="A20230" s="4" t="s">
        <v>25461</v>
      </c>
      <c r="B20230" s="4" t="s">
        <v>25464</v>
      </c>
      <c r="C20230" s="5" t="str">
        <f>IFERROR(__xludf.DUMMYFUNCTION("GOOGLETRANSLATE(B20230,""en"",""zh-CN"")"),"他在房屋前清理了。")</f>
        <v>他在房屋前清理了。</v>
      </c>
    </row>
    <row r="20231">
      <c r="A20231" s="4" t="s">
        <v>25461</v>
      </c>
      <c r="B20231" s="4" t="s">
        <v>25465</v>
      </c>
      <c r="C20231" s="5" t="str">
        <f>IFERROR(__xludf.DUMMYFUNCTION("GOOGLETRANSLATE(B20231,""en"",""zh-CN"")"),"他还在棚子里清理了。")</f>
        <v>他还在棚子里清理了。</v>
      </c>
    </row>
    <row r="20232">
      <c r="A20232" s="4" t="s">
        <v>25461</v>
      </c>
      <c r="B20232" s="4" t="s">
        <v>25466</v>
      </c>
      <c r="C20232" s="5" t="str">
        <f>IFERROR(__xludf.DUMMYFUNCTION("GOOGLETRANSLATE(B20232,""en"",""zh-CN"")"),"另一个男人在院子里徘徊。")</f>
        <v>另一个男人在院子里徘徊。</v>
      </c>
    </row>
    <row r="20233">
      <c r="A20233" s="4" t="s">
        <v>25467</v>
      </c>
      <c r="B20233" s="4" t="s">
        <v>25468</v>
      </c>
      <c r="C20233" s="5" t="str">
        <f>IFERROR(__xludf.DUMMYFUNCTION("GOOGLETRANSLATE(B20233,""en"",""zh-CN"")"),"我们看到曲棍球场上的男人在玩游戏。")</f>
        <v>我们看到曲棍球场上的男人在玩游戏。</v>
      </c>
    </row>
    <row r="20234">
      <c r="A20234" s="4" t="s">
        <v>25467</v>
      </c>
      <c r="B20234" s="4" t="s">
        <v>25469</v>
      </c>
      <c r="C20234" s="5" t="str">
        <f>IFERROR(__xludf.DUMMYFUNCTION("GOOGLETRANSLATE(B20234,""en"",""zh-CN"")"),"一个男人击球，男人在场上奔跑。")</f>
        <v>一个男人击球，男人在场上奔跑。</v>
      </c>
    </row>
    <row r="20235">
      <c r="A20235" s="4" t="s">
        <v>25467</v>
      </c>
      <c r="B20235" s="4" t="s">
        <v>25470</v>
      </c>
      <c r="C20235" s="5" t="str">
        <f>IFERROR(__xludf.DUMMYFUNCTION("GOOGLETRANSLATE(B20235,""en"",""zh-CN"")"),"我们看到一个在屏幕上奔跑的男人，然后向后走。")</f>
        <v>我们看到一个在屏幕上奔跑的男人，然后向后走。</v>
      </c>
    </row>
    <row r="20236">
      <c r="A20236" s="4" t="s">
        <v>25471</v>
      </c>
      <c r="B20236" s="4" t="s">
        <v>25472</v>
      </c>
      <c r="C20236" s="5" t="str">
        <f>IFERROR(__xludf.DUMMYFUNCTION("GOOGLETRANSLATE(B20236,""en"",""zh-CN"")"),"女人在健身房做腿运动和腹肌。")</f>
        <v>女人在健身房做腿运动和腹肌。</v>
      </c>
    </row>
    <row r="20237">
      <c r="A20237" s="4" t="s">
        <v>25471</v>
      </c>
      <c r="B20237" s="4" t="s">
        <v>25473</v>
      </c>
      <c r="C20237" s="5" t="str">
        <f>IFERROR(__xludf.DUMMYFUNCTION("GOOGLETRANSLATE(B20237,""en"",""zh-CN"")"),"女人正坐在露台上与镜头说话。")</f>
        <v>女人正坐在露台上与镜头说话。</v>
      </c>
    </row>
    <row r="20238">
      <c r="A20238" s="4" t="s">
        <v>25471</v>
      </c>
      <c r="B20238" s="4" t="s">
        <v>25474</v>
      </c>
      <c r="C20238" s="5" t="str">
        <f>IFERROR(__xludf.DUMMYFUNCTION("GOOGLETRANSLATE(B20238,""en"",""zh-CN"")"),"女人正与一只白色的小狗一起在人行道上行走，然后进入房屋。")</f>
        <v>女人正与一只白色的小狗一起在人行道上行走，然后进入房屋。</v>
      </c>
    </row>
    <row r="20239">
      <c r="A20239" s="4" t="s">
        <v>25471</v>
      </c>
      <c r="B20239" s="4" t="s">
        <v>25475</v>
      </c>
      <c r="C20239" s="5" t="str">
        <f>IFERROR(__xludf.DUMMYFUNCTION("GOOGLETRANSLATE(B20239,""en"",""zh-CN"")"),"这个女人再次在露台上与镜头交谈。")</f>
        <v>这个女人再次在露台上与镜头交谈。</v>
      </c>
    </row>
    <row r="20240">
      <c r="A20240" s="4" t="s">
        <v>25476</v>
      </c>
      <c r="B20240" s="6" t="s">
        <v>25477</v>
      </c>
      <c r="C20240" s="5" t="str">
        <f>IFERROR(__xludf.DUMMYFUNCTION("GOOGLETRANSLATE(B20240,""en"",""zh-CN"")"),"一个老妇人和一个年轻的女孩坐在沙发上，向她展示如何将院子伸到编织钩上。")</f>
        <v>一个老妇人和一个年轻的女孩坐在沙发上，向她展示如何将院子伸到编织钩上。</v>
      </c>
    </row>
    <row r="20241">
      <c r="A20241" s="4" t="s">
        <v>25476</v>
      </c>
      <c r="B20241" s="4" t="s">
        <v>25478</v>
      </c>
      <c r="C20241" s="5" t="str">
        <f>IFERROR(__xludf.DUMMYFUNCTION("GOOGLETRANSLATE(B20241,""en"",""zh-CN"")"),"当她弄清楚如何处理时，女孩笑着笑着。")</f>
        <v>当她弄清楚如何处理时，女孩笑着笑着。</v>
      </c>
    </row>
    <row r="20242">
      <c r="A20242" s="4" t="s">
        <v>25479</v>
      </c>
      <c r="B20242" s="4" t="s">
        <v>25480</v>
      </c>
      <c r="C20242" s="5" t="str">
        <f>IFERROR(__xludf.DUMMYFUNCTION("GOOGLETRANSLATE(B20242,""en"",""zh-CN"")"),"一个男人坐在理发椅上。")</f>
        <v>一个男人坐在理发椅上。</v>
      </c>
    </row>
    <row r="20243">
      <c r="A20243" s="4" t="s">
        <v>25479</v>
      </c>
      <c r="B20243" s="4" t="s">
        <v>25481</v>
      </c>
      <c r="C20243" s="5" t="str">
        <f>IFERROR(__xludf.DUMMYFUNCTION("GOOGLETRANSLATE(B20243,""en"",""zh-CN"")"),"理发师开始剃光头。")</f>
        <v>理发师开始剃光头。</v>
      </c>
    </row>
    <row r="20244">
      <c r="A20244" s="4" t="s">
        <v>25479</v>
      </c>
      <c r="B20244" s="4" t="s">
        <v>25482</v>
      </c>
      <c r="C20244" s="5" t="str">
        <f>IFERROR(__xludf.DUMMYFUNCTION("GOOGLETRANSLATE(B20244,""en"",""zh-CN"")"),"他把星星剃到头。")</f>
        <v>他把星星剃到头。</v>
      </c>
    </row>
    <row r="20245">
      <c r="A20245" s="4" t="s">
        <v>25479</v>
      </c>
      <c r="B20245" s="4" t="s">
        <v>25483</v>
      </c>
      <c r="C20245" s="5" t="str">
        <f>IFERROR(__xludf.DUMMYFUNCTION("GOOGLETRANSLATE(B20245,""en"",""zh-CN"")"),"该设计复杂地完成了。")</f>
        <v>该设计复杂地完成了。</v>
      </c>
    </row>
    <row r="20246">
      <c r="A20246" s="4" t="s">
        <v>25484</v>
      </c>
      <c r="B20246" s="4" t="s">
        <v>25485</v>
      </c>
      <c r="C20246" s="5" t="str">
        <f>IFERROR(__xludf.DUMMYFUNCTION("GOOGLETRANSLATE(B20246,""en"",""zh-CN"")"),"人们在波涛汹涌的海水中冲浪，而一只猫坐在岩石上。")</f>
        <v>人们在波涛汹涌的海水中冲浪，而一只猫坐在岩石上。</v>
      </c>
    </row>
    <row r="20247">
      <c r="A20247" s="4" t="s">
        <v>25484</v>
      </c>
      <c r="B20247" s="6" t="s">
        <v>25486</v>
      </c>
      <c r="C20247" s="5" t="str">
        <f>IFERROR(__xludf.DUMMYFUNCTION("GOOGLETRANSLATE(B20247,""en"",""zh-CN"")"),"一个人冲浪向右冲浪，而另一个冲浪者则冲浪冲浪和跌落，但再次进入冲浪板。")</f>
        <v>一个人冲浪向右冲浪，而另一个冲浪者则冲浪冲浪和跌落，但再次进入冲浪板。</v>
      </c>
    </row>
    <row r="20248">
      <c r="A20248" s="4" t="s">
        <v>25484</v>
      </c>
      <c r="B20248" s="4" t="s">
        <v>25487</v>
      </c>
      <c r="C20248" s="5" t="str">
        <f>IFERROR(__xludf.DUMMYFUNCTION("GOOGLETRANSLATE(B20248,""en"",""zh-CN"")"),"当其他人在海洋中冲浪时，一个人冲浪向左冲浪。")</f>
        <v>当其他人在海洋中冲浪时，一个人冲浪向左冲浪。</v>
      </c>
    </row>
    <row r="20249">
      <c r="A20249" s="4" t="s">
        <v>25484</v>
      </c>
      <c r="B20249" s="4" t="s">
        <v>25488</v>
      </c>
      <c r="C20249" s="5" t="str">
        <f>IFERROR(__xludf.DUMMYFUNCTION("GOOGLETRANSLATE(B20249,""en"",""zh-CN"")"),"突然，一个男人出现划独木舟。")</f>
        <v>突然，一个男人出现划独木舟。</v>
      </c>
    </row>
    <row r="20250">
      <c r="A20250" s="4" t="s">
        <v>25489</v>
      </c>
      <c r="B20250" s="4" t="s">
        <v>25490</v>
      </c>
      <c r="C20250" s="5" t="str">
        <f>IFERROR(__xludf.DUMMYFUNCTION("GOOGLETRANSLATE(B20250,""en"",""zh-CN"")"),"一群人连续站在。")</f>
        <v>一群人连续站在。</v>
      </c>
    </row>
    <row r="20251">
      <c r="A20251" s="4" t="s">
        <v>25489</v>
      </c>
      <c r="B20251" s="4" t="s">
        <v>25491</v>
      </c>
      <c r="C20251" s="5" t="str">
        <f>IFERROR(__xludf.DUMMYFUNCTION("GOOGLETRANSLATE(B20251,""en"",""zh-CN"")"),"他们正在向目标投掷飞镖。")</f>
        <v>他们正在向目标投掷飞镖。</v>
      </c>
    </row>
    <row r="20252">
      <c r="A20252" s="4" t="s">
        <v>25489</v>
      </c>
      <c r="B20252" s="4" t="s">
        <v>25492</v>
      </c>
      <c r="C20252" s="5" t="str">
        <f>IFERROR(__xludf.DUMMYFUNCTION("GOOGLETRANSLATE(B20252,""en"",""zh-CN"")"),"人们试图达到目标时交谈。")</f>
        <v>人们试图达到目标时交谈。</v>
      </c>
    </row>
    <row r="20253">
      <c r="A20253" s="4" t="s">
        <v>25493</v>
      </c>
      <c r="B20253" s="6" t="s">
        <v>25494</v>
      </c>
      <c r="C20253" s="5" t="str">
        <f>IFERROR(__xludf.DUMMYFUNCTION("GOOGLETRANSLATE(B20253,""en"",""zh-CN"")"),"看到一个幼儿戴着手套并在水下跑步时，在水槽里洗了各种菜肴。")</f>
        <v>看到一个幼儿戴着手套并在水下跑步时，在水槽里洗了各种菜肴。</v>
      </c>
    </row>
    <row r="20254">
      <c r="A20254" s="4" t="s">
        <v>25493</v>
      </c>
      <c r="B20254" s="4" t="s">
        <v>25495</v>
      </c>
      <c r="C20254" s="5" t="str">
        <f>IFERROR(__xludf.DUMMYFUNCTION("GOOGLETRANSLATE(B20254,""en"",""zh-CN"")"),"当相机在动作周围时，男孩继续将碗贴在水下。")</f>
        <v>当相机在动作周围时，男孩继续将碗贴在水下。</v>
      </c>
    </row>
    <row r="20255">
      <c r="A20255" s="4" t="s">
        <v>25496</v>
      </c>
      <c r="B20255" s="4" t="s">
        <v>25497</v>
      </c>
      <c r="C20255" s="5" t="str">
        <f>IFERROR(__xludf.DUMMYFUNCTION("GOOGLETRANSLATE(B20255,""en"",""zh-CN"")"),"看到一名体操运动员在空中举起手臂，并在体操束上爬上。")</f>
        <v>看到一名体操运动员在空中举起手臂，并在体操束上爬上。</v>
      </c>
    </row>
    <row r="20256">
      <c r="A20256" s="4" t="s">
        <v>25496</v>
      </c>
      <c r="B20256" s="6" t="s">
        <v>25498</v>
      </c>
      <c r="C20256" s="5" t="str">
        <f>IFERROR(__xludf.DUMMYFUNCTION("GOOGLETRANSLATE(B20256,""en"",""zh-CN"")"),"他围绕着束缚自己的束缚，并通过向鼓掌的观众微笑而在光束上进行各种技巧。")</f>
        <v>他围绕着束缚自己的束缚，并通过向鼓掌的观众微笑而在光束上进行各种技巧。</v>
      </c>
    </row>
    <row r="20257">
      <c r="A20257" s="4" t="s">
        <v>25499</v>
      </c>
      <c r="B20257" s="4" t="s">
        <v>25500</v>
      </c>
      <c r="C20257" s="5" t="str">
        <f>IFERROR(__xludf.DUMMYFUNCTION("GOOGLETRANSLATE(B20257,""en"",""zh-CN"")"),"一个穿着蝴蝶翅膀的女人在玩啤酒蓬。")</f>
        <v>一个穿着蝴蝶翅膀的女人在玩啤酒蓬。</v>
      </c>
    </row>
    <row r="20258">
      <c r="A20258" s="4" t="s">
        <v>25499</v>
      </c>
      <c r="B20258" s="4" t="s">
        <v>25501</v>
      </c>
      <c r="C20258" s="5" t="str">
        <f>IFERROR(__xludf.DUMMYFUNCTION("GOOGLETRANSLATE(B20258,""en"",""zh-CN"")"),"一个女人穿着猫的服装站在桌子后面。")</f>
        <v>一个女人穿着猫的服装站在桌子后面。</v>
      </c>
    </row>
    <row r="20259">
      <c r="A20259" s="4" t="s">
        <v>25499</v>
      </c>
      <c r="B20259" s="4" t="s">
        <v>25502</v>
      </c>
      <c r="C20259" s="5" t="str">
        <f>IFERROR(__xludf.DUMMYFUNCTION("GOOGLETRANSLATE(B20259,""en"",""zh-CN"")"),"当女人失败时，女人正坐在桌子前跳舞。")</f>
        <v>当女人失败时，女人正坐在桌子前跳舞。</v>
      </c>
    </row>
    <row r="20260">
      <c r="A20260" s="4" t="s">
        <v>25503</v>
      </c>
      <c r="B20260" s="4" t="s">
        <v>25504</v>
      </c>
      <c r="C20260" s="5" t="str">
        <f>IFERROR(__xludf.DUMMYFUNCTION("GOOGLETRANSLATE(B20260,""en"",""zh-CN"")"),"一个男人和一个女人站在街上在窗前说话。")</f>
        <v>一个男人和一个女人站在街上在窗前说话。</v>
      </c>
    </row>
    <row r="20261">
      <c r="A20261" s="4" t="s">
        <v>25503</v>
      </c>
      <c r="B20261" s="4" t="s">
        <v>25505</v>
      </c>
      <c r="C20261" s="5" t="str">
        <f>IFERROR(__xludf.DUMMYFUNCTION("GOOGLETRANSLATE(B20261,""en"",""zh-CN"")"),"一个人在男人和女人的前面经过。")</f>
        <v>一个人在男人和女人的前面经过。</v>
      </c>
    </row>
    <row r="20262">
      <c r="A20262" s="4" t="s">
        <v>25503</v>
      </c>
      <c r="B20262" s="4" t="s">
        <v>25506</v>
      </c>
      <c r="C20262" s="5" t="str">
        <f>IFERROR(__xludf.DUMMYFUNCTION("GOOGLETRANSLATE(B20262,""en"",""zh-CN"")"),"人们在女人和男人的面前经过。")</f>
        <v>人们在女人和男人的面前经过。</v>
      </c>
    </row>
    <row r="20263">
      <c r="A20263" s="4" t="s">
        <v>25507</v>
      </c>
      <c r="B20263" s="4" t="s">
        <v>25508</v>
      </c>
      <c r="C20263" s="5" t="str">
        <f>IFERROR(__xludf.DUMMYFUNCTION("GOOGLETRANSLATE(B20263,""en"",""zh-CN"")"),"我们在肩膀上的体育馆里看到体操运动员。")</f>
        <v>我们在肩膀上的体育馆里看到体操运动员。</v>
      </c>
    </row>
    <row r="20264">
      <c r="A20264" s="4" t="s">
        <v>25507</v>
      </c>
      <c r="B20264" s="4" t="s">
        <v>25509</v>
      </c>
      <c r="C20264" s="5" t="str">
        <f>IFERROR(__xludf.DUMMYFUNCTION("GOOGLETRANSLATE(B20264,""en"",""zh-CN"")"),"然后，他们开始有氧舞。")</f>
        <v>然后，他们开始有氧舞。</v>
      </c>
    </row>
    <row r="20265">
      <c r="A20265" s="4" t="s">
        <v>25507</v>
      </c>
      <c r="B20265" s="4" t="s">
        <v>25510</v>
      </c>
      <c r="C20265" s="5" t="str">
        <f>IFERROR(__xludf.DUMMYFUNCTION("GOOGLETRANSLATE(B20265,""en"",""zh-CN"")"),"人们走到他们的台阶上，踩到他们身边。")</f>
        <v>人们走到他们的台阶上，踩到他们身边。</v>
      </c>
    </row>
    <row r="20266">
      <c r="A20266" s="4" t="s">
        <v>25507</v>
      </c>
      <c r="B20266" s="4" t="s">
        <v>25511</v>
      </c>
      <c r="C20266" s="5" t="str">
        <f>IFERROR(__xludf.DUMMYFUNCTION("GOOGLETRANSLATE(B20266,""en"",""zh-CN"")"),"人们将台阶移到房间的中心。")</f>
        <v>人们将台阶移到房间的中心。</v>
      </c>
    </row>
    <row r="20267">
      <c r="A20267" s="4" t="s">
        <v>25507</v>
      </c>
      <c r="B20267" s="4" t="s">
        <v>25512</v>
      </c>
      <c r="C20267" s="5" t="str">
        <f>IFERROR(__xludf.DUMMYFUNCTION("GOOGLETRANSLATE(B20267,""en"",""zh-CN"")"),"一位女士在地板上分裂了，他们完成了。")</f>
        <v>一位女士在地板上分裂了，他们完成了。</v>
      </c>
    </row>
    <row r="20268">
      <c r="A20268" s="4" t="s">
        <v>25507</v>
      </c>
      <c r="B20268" s="4" t="s">
        <v>25513</v>
      </c>
      <c r="C20268" s="5" t="str">
        <f>IFERROR(__xludf.DUMMYFUNCTION("GOOGLETRANSLATE(B20268,""en"",""zh-CN"")"),"结尾标题出现在屏幕上。")</f>
        <v>结尾标题出现在屏幕上。</v>
      </c>
    </row>
    <row r="20269">
      <c r="A20269" s="4" t="s">
        <v>25514</v>
      </c>
      <c r="B20269" s="4" t="s">
        <v>25515</v>
      </c>
      <c r="C20269" s="5" t="str">
        <f>IFERROR(__xludf.DUMMYFUNCTION("GOOGLETRANSLATE(B20269,""en"",""zh-CN"")"),"有一堵绘画墙，然后场景逐渐消失。")</f>
        <v>有一堵绘画墙，然后场景逐渐消失。</v>
      </c>
    </row>
    <row r="20270">
      <c r="A20270" s="4" t="s">
        <v>25514</v>
      </c>
      <c r="B20270" s="6" t="s">
        <v>25516</v>
      </c>
      <c r="C20270" s="5" t="str">
        <f>IFERROR(__xludf.DUMMYFUNCTION("GOOGLETRANSLATE(B20270,""en"",""zh-CN"")"),"人们正站在阳台上，看上去很像足球比赛，屏幕上说武兹勒杯结局。")</f>
        <v>人们正站在阳台上，看上去很像足球比赛，屏幕上说武兹勒杯结局。</v>
      </c>
    </row>
    <row r="20271">
      <c r="A20271" s="4" t="s">
        <v>25514</v>
      </c>
      <c r="B20271" s="4" t="s">
        <v>25517</v>
      </c>
      <c r="C20271" s="5" t="str">
        <f>IFERROR(__xludf.DUMMYFUNCTION("GOOGLETRANSLATE(B20271,""en"",""zh-CN"")"),"两排人踢足球。")</f>
        <v>两排人踢足球。</v>
      </c>
    </row>
    <row r="20272">
      <c r="A20272" s="4" t="s">
        <v>25514</v>
      </c>
      <c r="B20272" s="4" t="s">
        <v>25518</v>
      </c>
      <c r="C20272" s="5" t="str">
        <f>IFERROR(__xludf.DUMMYFUNCTION("GOOGLETRANSLATE(B20272,""en"",""zh-CN"")"),"球从桌子上跳下来，一个女人将其重新发挥作用，并做出了进球。")</f>
        <v>球从桌子上跳下来，一个女人将其重新发挥作用，并做出了进球。</v>
      </c>
    </row>
    <row r="20273">
      <c r="A20273" s="4" t="s">
        <v>25514</v>
      </c>
      <c r="B20273" s="4" t="s">
        <v>25519</v>
      </c>
      <c r="C20273" s="5" t="str">
        <f>IFERROR(__xludf.DUMMYFUNCTION("GOOGLETRANSLATE(B20273,""en"",""zh-CN"")"),"这次活动有啦啦队。")</f>
        <v>这次活动有啦啦队。</v>
      </c>
    </row>
    <row r="20274">
      <c r="A20274" s="4" t="s">
        <v>25514</v>
      </c>
      <c r="B20274" s="4" t="s">
        <v>25520</v>
      </c>
      <c r="C20274" s="5" t="str">
        <f>IFERROR(__xludf.DUMMYFUNCTION("GOOGLETRANSLATE(B20274,""en"",""zh-CN"")"),"红队获胜并炫耀他们的T恤。")</f>
        <v>红队获胜并炫耀他们的T恤。</v>
      </c>
    </row>
    <row r="20275">
      <c r="A20275" s="4" t="s">
        <v>25514</v>
      </c>
      <c r="B20275" s="4" t="s">
        <v>25521</v>
      </c>
      <c r="C20275" s="5" t="str">
        <f>IFERROR(__xludf.DUMMYFUNCTION("GOOGLETRANSLATE(B20275,""en"",""zh-CN"")"),"场景变成了桌子后面的报告。")</f>
        <v>场景变成了桌子后面的报告。</v>
      </c>
    </row>
    <row r="20276">
      <c r="A20276" s="4" t="s">
        <v>25522</v>
      </c>
      <c r="B20276" s="6" t="s">
        <v>25523</v>
      </c>
      <c r="C20276" s="5" t="str">
        <f>IFERROR(__xludf.DUMMYFUNCTION("GOOGLETRANSLATE(B20276,""en"",""zh-CN"")"),"一群穿着蓝色连衣裙的妇女在同步的舞台上跳舞，她们掉到了地上，屏幕逐渐消失为黑色。")</f>
        <v>一群穿着蓝色连衣裙的妇女在同步的舞台上跳舞，她们掉到了地上，屏幕逐渐消失为黑色。</v>
      </c>
    </row>
    <row r="20277">
      <c r="A20277" s="4" t="s">
        <v>25522</v>
      </c>
      <c r="B20277" s="6" t="s">
        <v>25524</v>
      </c>
      <c r="C20277" s="5" t="str">
        <f>IFERROR(__xludf.DUMMYFUNCTION("GOOGLETRANSLATE(B20277,""en"",""zh-CN"")"),"然后，一个女人一个人出现在舞台上，左下角有白色的单词，上面写着“芭蕾舞d'Orient”，并具有特殊的效果背景，她开始肚皮舞，然后其他女人也加入了她的行列。")</f>
        <v>然后，一个女人一个人出现在舞台上，左下角有白色的单词，上面写着“芭蕾舞d'Orient”，并具有特殊的效果背景，她开始肚皮舞，然后其他女人也加入了她的行列。</v>
      </c>
    </row>
    <row r="20278">
      <c r="A20278" s="4" t="s">
        <v>25522</v>
      </c>
      <c r="B20278" s="4" t="s">
        <v>25525</v>
      </c>
      <c r="C20278" s="5" t="str">
        <f>IFERROR(__xludf.DUMMYFUNCTION("GOOGLETRANSLATE(B20278,""en"",""zh-CN"")"),"当例程结束时，聚光灯逐渐消失，屏幕逐渐消失为黑色。")</f>
        <v>当例程结束时，聚光灯逐渐消失，屏幕逐渐消失为黑色。</v>
      </c>
    </row>
    <row r="20279">
      <c r="A20279" s="4" t="s">
        <v>25526</v>
      </c>
      <c r="B20279" s="4" t="s">
        <v>25527</v>
      </c>
      <c r="C20279" s="5" t="str">
        <f>IFERROR(__xludf.DUMMYFUNCTION("GOOGLETRANSLATE(B20279,""en"",""zh-CN"")"),"一个男人和女人坐在桌子后面说话。")</f>
        <v>一个男人和女人坐在桌子后面说话。</v>
      </c>
    </row>
    <row r="20280">
      <c r="A20280" s="4" t="s">
        <v>25526</v>
      </c>
      <c r="B20280" s="4" t="s">
        <v>25528</v>
      </c>
      <c r="C20280" s="5" t="str">
        <f>IFERROR(__xludf.DUMMYFUNCTION("GOOGLETRANSLATE(B20280,""en"",""zh-CN"")"),"医生正在房间里进行手术。")</f>
        <v>医生正在房间里进行手术。</v>
      </c>
    </row>
    <row r="20281">
      <c r="A20281" s="4" t="s">
        <v>25526</v>
      </c>
      <c r="B20281" s="4" t="s">
        <v>25529</v>
      </c>
      <c r="C20281" s="5" t="str">
        <f>IFERROR(__xludf.DUMMYFUNCTION("GOOGLETRANSLATE(B20281,""en"",""zh-CN"")"),"一个穿着红色衬衫的女人站在柜台上说话。")</f>
        <v>一个穿着红色衬衫的女人站在柜台上说话。</v>
      </c>
    </row>
    <row r="20282">
      <c r="A20282" s="4" t="s">
        <v>25526</v>
      </c>
      <c r="B20282" s="4" t="s">
        <v>25530</v>
      </c>
      <c r="C20282" s="5" t="str">
        <f>IFERROR(__xludf.DUMMYFUNCTION("GOOGLETRANSLATE(B20282,""en"",""zh-CN"")"),"一个女人用餐巾擦嘴。")</f>
        <v>一个女人用餐巾擦嘴。</v>
      </c>
    </row>
    <row r="20283">
      <c r="A20283" s="4" t="s">
        <v>25531</v>
      </c>
      <c r="B20283" s="4" t="s">
        <v>25532</v>
      </c>
      <c r="C20283" s="5" t="str">
        <f>IFERROR(__xludf.DUMMYFUNCTION("GOOGLETRANSLATE(B20283,""en"",""zh-CN"")"),"介绍导致一个人从各个角度骑着大波浪板的男子射击。")</f>
        <v>介绍导致一个人从各个角度骑着大波浪板的男子射击。</v>
      </c>
    </row>
    <row r="20284">
      <c r="A20284" s="4" t="s">
        <v>25531</v>
      </c>
      <c r="B20284" s="6" t="s">
        <v>25533</v>
      </c>
      <c r="C20284" s="5" t="str">
        <f>IFERROR(__xludf.DUMMYFUNCTION("GOOGLETRANSLATE(B20284,""en"",""zh-CN"")"),"然后，摄影师对一个人进行了采访，并再次显示出海洋中的大浪。")</f>
        <v>然后，摄影师对一个人进行了采访，并再次显示出海洋中的大浪。</v>
      </c>
    </row>
    <row r="20285">
      <c r="A20285" s="4" t="s">
        <v>25531</v>
      </c>
      <c r="B20285" s="4" t="s">
        <v>25534</v>
      </c>
      <c r="C20285" s="5" t="str">
        <f>IFERROR(__xludf.DUMMYFUNCTION("GOOGLETRANSLATE(B20285,""en"",""zh-CN"")"),"另一个男人接受了镜头采访，并在董事会上展示了他的冲浪技巧。")</f>
        <v>另一个男人接受了镜头采访，并在董事会上展示了他的冲浪技巧。</v>
      </c>
    </row>
    <row r="20286">
      <c r="A20286" s="4" t="s">
        <v>25535</v>
      </c>
      <c r="B20286" s="4" t="s">
        <v>25536</v>
      </c>
      <c r="C20286" s="5" t="str">
        <f>IFERROR(__xludf.DUMMYFUNCTION("GOOGLETRANSLATE(B20286,""en"",""zh-CN"")"),"一个男人在拿网球拍时在网球场上讲话。")</f>
        <v>一个男人在拿网球拍时在网球场上讲话。</v>
      </c>
    </row>
    <row r="20287">
      <c r="A20287" s="4" t="s">
        <v>25535</v>
      </c>
      <c r="B20287" s="4" t="s">
        <v>25537</v>
      </c>
      <c r="C20287" s="5" t="str">
        <f>IFERROR(__xludf.DUMMYFUNCTION("GOOGLETRANSLATE(B20287,""en"",""zh-CN"")"),"他在球场上，带着球拍和一个球从口袋里击中。")</f>
        <v>他在球场上，带着球拍和一个球从口袋里击中。</v>
      </c>
    </row>
    <row r="20288">
      <c r="A20288" s="4" t="s">
        <v>25535</v>
      </c>
      <c r="B20288" s="6" t="s">
        <v>25538</v>
      </c>
      <c r="C20288" s="5" t="str">
        <f>IFERROR(__xludf.DUMMYFUNCTION("GOOGLETRANSLATE(B20288,""en"",""zh-CN"")"),"他提供了一段时间非常详细的信息，网球似乎是他非常了解的。")</f>
        <v>他提供了一段时间非常详细的信息，网球似乎是他非常了解的。</v>
      </c>
    </row>
    <row r="20289">
      <c r="A20289" s="4" t="s">
        <v>25535</v>
      </c>
      <c r="B20289" s="4" t="s">
        <v>25539</v>
      </c>
      <c r="C20289" s="5" t="str">
        <f>IFERROR(__xludf.DUMMYFUNCTION("GOOGLETRANSLATE(B20289,""en"",""zh-CN"")"),"他展示了您应该如何正确击球并继续谈论更多。")</f>
        <v>他展示了您应该如何正确击球并继续谈论更多。</v>
      </c>
    </row>
    <row r="20290">
      <c r="A20290" s="4" t="s">
        <v>25540</v>
      </c>
      <c r="B20290" s="4" t="s">
        <v>25541</v>
      </c>
      <c r="C20290" s="5" t="str">
        <f>IFERROR(__xludf.DUMMYFUNCTION("GOOGLETRANSLATE(B20290,""en"",""zh-CN"")"),"女人正在与装饰圣诞树的男人说话。")</f>
        <v>女人正在与装饰圣诞树的男人说话。</v>
      </c>
    </row>
    <row r="20291">
      <c r="A20291" s="4" t="s">
        <v>25540</v>
      </c>
      <c r="B20291" s="4" t="s">
        <v>25542</v>
      </c>
      <c r="C20291" s="5" t="str">
        <f>IFERROR(__xludf.DUMMYFUNCTION("GOOGLETRANSLATE(B20291,""en"",""zh-CN"")"),"人与站在树旁的人交谈并给他一个芭比娃娃。")</f>
        <v>人与站在树旁的人交谈并给他一个芭比娃娃。</v>
      </c>
    </row>
    <row r="20292">
      <c r="A20292" s="4" t="s">
        <v>25540</v>
      </c>
      <c r="B20292" s="4" t="s">
        <v>25543</v>
      </c>
      <c r="C20292" s="5" t="str">
        <f>IFERROR(__xludf.DUMMYFUNCTION("GOOGLETRANSLATE(B20292,""en"",""zh-CN"")"),"男人走到一个女人，开始在房间的Te角落里说话。")</f>
        <v>男人走到一个女人，开始在房间的Te角落里说话。</v>
      </c>
    </row>
    <row r="20293">
      <c r="A20293" s="4" t="s">
        <v>25540</v>
      </c>
      <c r="B20293" s="4" t="s">
        <v>25544</v>
      </c>
      <c r="C20293" s="5" t="str">
        <f>IFERROR(__xludf.DUMMYFUNCTION("GOOGLETRANSLATE(B20293,""en"",""zh-CN"")"),"男人在圣诞树旁边拿着一个球，把球放在球旁。")</f>
        <v>男人在圣诞树旁边拿着一个球，把球放在球旁。</v>
      </c>
    </row>
    <row r="20294">
      <c r="A20294" s="4" t="s">
        <v>25545</v>
      </c>
      <c r="B20294" s="6" t="s">
        <v>25546</v>
      </c>
      <c r="C20294" s="5" t="str">
        <f>IFERROR(__xludf.DUMMYFUNCTION("GOOGLETRANSLATE(B20294,""en"",""zh-CN"")"),"显示一名男子在几种不同的运动设备上工作以及调整设置。")</f>
        <v>显示一名男子在几种不同的运动设备上工作以及调整设置。</v>
      </c>
    </row>
    <row r="20295">
      <c r="A20295" s="4" t="s">
        <v>25545</v>
      </c>
      <c r="B20295" s="4" t="s">
        <v>25547</v>
      </c>
      <c r="C20295" s="5" t="str">
        <f>IFERROR(__xludf.DUMMYFUNCTION("GOOGLETRANSLATE(B20295,""en"",""zh-CN"")"),"该男子放入USB，继续在机器上骑行。")</f>
        <v>该男子放入USB，继续在机器上骑行。</v>
      </c>
    </row>
    <row r="20296">
      <c r="A20296" s="4" t="s">
        <v>25545</v>
      </c>
      <c r="B20296" s="6" t="s">
        <v>25548</v>
      </c>
      <c r="C20296" s="5" t="str">
        <f>IFERROR(__xludf.DUMMYFUNCTION("GOOGLETRANSLATE(B20296,""en"",""zh-CN"")"),"当他锻炼并闭合脚和身体时，他会调整更多设置，并观看电视。")</f>
        <v>当他锻炼并闭合脚和身体时，他会调整更多设置，并观看电视。</v>
      </c>
    </row>
    <row r="20297">
      <c r="A20297" s="4" t="s">
        <v>25549</v>
      </c>
      <c r="B20297" s="4" t="s">
        <v>25550</v>
      </c>
      <c r="C20297" s="5" t="str">
        <f>IFERROR(__xludf.DUMMYFUNCTION("GOOGLETRANSLATE(B20297,""en"",""zh-CN"")"),"看到一个男人看着拿着剃刀的镜头。")</f>
        <v>看到一个男人看着拿着剃刀的镜头。</v>
      </c>
    </row>
    <row r="20298">
      <c r="A20298" s="4" t="s">
        <v>25549</v>
      </c>
      <c r="B20298" s="4" t="s">
        <v>25551</v>
      </c>
      <c r="C20298" s="5" t="str">
        <f>IFERROR(__xludf.DUMMYFUNCTION("GOOGLETRANSLATE(B20298,""en"",""zh-CN"")"),"他看着镜子时开始剃光脸。")</f>
        <v>他看着镜子时开始剃光脸。</v>
      </c>
    </row>
    <row r="20299">
      <c r="A20299" s="4" t="s">
        <v>25549</v>
      </c>
      <c r="B20299" s="4" t="s">
        <v>25552</v>
      </c>
      <c r="C20299" s="5" t="str">
        <f>IFERROR(__xludf.DUMMYFUNCTION("GOOGLETRANSLATE(B20299,""en"",""zh-CN"")"),"他指着剃刀，继续剃光脸，看着相机。")</f>
        <v>他指着剃刀，继续剃光脸，看着相机。</v>
      </c>
    </row>
    <row r="20300">
      <c r="A20300" s="4" t="s">
        <v>25553</v>
      </c>
      <c r="B20300" s="4" t="s">
        <v>25554</v>
      </c>
      <c r="C20300" s="5" t="str">
        <f>IFERROR(__xludf.DUMMYFUNCTION("GOOGLETRANSLATE(B20300,""en"",""zh-CN"")"),"1一个人展示了夹猫指甲的工具。")</f>
        <v>1一个人展示了夹猫指甲的工具。</v>
      </c>
    </row>
    <row r="20301">
      <c r="A20301" s="4" t="s">
        <v>25553</v>
      </c>
      <c r="B20301" s="4" t="s">
        <v>25555</v>
      </c>
      <c r="C20301" s="5" t="str">
        <f>IFERROR(__xludf.DUMMYFUNCTION("GOOGLETRANSLATE(B20301,""en"",""zh-CN"")"),"2那个家伙包裹了猫。")</f>
        <v>2那个家伙包裹了猫。</v>
      </c>
    </row>
    <row r="20302">
      <c r="A20302" s="4" t="s">
        <v>25553</v>
      </c>
      <c r="B20302" s="4" t="s">
        <v>25556</v>
      </c>
      <c r="C20302" s="5" t="str">
        <f>IFERROR(__xludf.DUMMYFUNCTION("GOOGLETRANSLATE(B20302,""en"",""zh-CN"")"),"3那个家伙剪了猫，猫试图咬几次。")</f>
        <v>3那个家伙剪了猫，猫试图咬几次。</v>
      </c>
    </row>
    <row r="20303">
      <c r="A20303" s="4" t="s">
        <v>25553</v>
      </c>
      <c r="B20303" s="4" t="s">
        <v>25557</v>
      </c>
      <c r="C20303" s="5" t="str">
        <f>IFERROR(__xludf.DUMMYFUNCTION("GOOGLETRANSLATE(B20303,""en"",""zh-CN"")"),"4那个家伙放开猫。")</f>
        <v>4那个家伙放开猫。</v>
      </c>
    </row>
    <row r="20304">
      <c r="A20304" s="4" t="s">
        <v>25558</v>
      </c>
      <c r="B20304" s="4" t="s">
        <v>25559</v>
      </c>
      <c r="C20304" s="5" t="str">
        <f>IFERROR(__xludf.DUMMYFUNCTION("GOOGLETRANSLATE(B20304,""en"",""zh-CN"")"),"一个年轻人喝了六瓶啤酒，而一个人站在他的前面，他拿着一个计时台。")</f>
        <v>一个年轻人喝了六瓶啤酒，而一个人站在他的前面，他拿着一个计时台。</v>
      </c>
    </row>
    <row r="20305">
      <c r="A20305" s="4" t="s">
        <v>25558</v>
      </c>
      <c r="B20305" s="4" t="s">
        <v>25560</v>
      </c>
      <c r="C20305" s="5" t="str">
        <f>IFERROR(__xludf.DUMMYFUNCTION("GOOGLETRANSLATE(B20305,""en"",""zh-CN"")"),"然后，年轻人吐在落在地面上的人身上。")</f>
        <v>然后，年轻人吐在落在地面上的人身上。</v>
      </c>
    </row>
    <row r="20306">
      <c r="A20306" s="4" t="s">
        <v>25558</v>
      </c>
      <c r="B20306" s="4" t="s">
        <v>25561</v>
      </c>
      <c r="C20306" s="5" t="str">
        <f>IFERROR(__xludf.DUMMYFUNCTION("GOOGLETRANSLATE(B20306,""en"",""zh-CN"")"),"之后，该人站着沙子脱下裤子和T恤，然后他在草地上crow绕。")</f>
        <v>之后，该人站着沙子脱下裤子和T恤，然后他在草地上crow绕。</v>
      </c>
    </row>
    <row r="20307">
      <c r="A20307" s="4" t="s">
        <v>25562</v>
      </c>
      <c r="B20307" s="4" t="s">
        <v>25563</v>
      </c>
      <c r="C20307" s="5" t="str">
        <f>IFERROR(__xludf.DUMMYFUNCTION("GOOGLETRANSLATE(B20307,""en"",""zh-CN"")"),"看到一个男人躺在地板上，一边大声说出来，双臂交叉他的胸部。")</f>
        <v>看到一个男人躺在地板上，一边大声说出来，双臂交叉他的胸部。</v>
      </c>
    </row>
    <row r="20308">
      <c r="A20308" s="4" t="s">
        <v>25562</v>
      </c>
      <c r="B20308" s="4" t="s">
        <v>25564</v>
      </c>
      <c r="C20308" s="5" t="str">
        <f>IFERROR(__xludf.DUMMYFUNCTION("GOOGLETRANSLATE(B20308,""en"",""zh-CN"")"),"然后，该男子以各种方式进行了几次仰卧起能，并通过与摄像机说话结束。")</f>
        <v>然后，该男子以各种方式进行了几次仰卧起能，并通过与摄像机说话结束。</v>
      </c>
    </row>
    <row r="20309">
      <c r="A20309" s="4" t="s">
        <v>25565</v>
      </c>
      <c r="B20309" s="4" t="s">
        <v>25566</v>
      </c>
      <c r="C20309" s="5" t="str">
        <f>IFERROR(__xludf.DUMMYFUNCTION("GOOGLETRANSLATE(B20309,""en"",""zh-CN"")"),"PVC修复了屋顶。")</f>
        <v>PVC修复了屋顶。</v>
      </c>
    </row>
    <row r="20310">
      <c r="A20310" s="4" t="s">
        <v>25565</v>
      </c>
      <c r="B20310" s="4" t="s">
        <v>25567</v>
      </c>
      <c r="C20310" s="5" t="str">
        <f>IFERROR(__xludf.DUMMYFUNCTION("GOOGLETRANSLATE(B20310,""en"",""zh-CN"")"),"清洁屋顶，然后再次制作密封。")</f>
        <v>清洁屋顶，然后再次制作密封。</v>
      </c>
    </row>
    <row r="20311">
      <c r="A20311" s="4" t="s">
        <v>25568</v>
      </c>
      <c r="B20311" s="4" t="s">
        <v>25569</v>
      </c>
      <c r="C20311" s="5" t="str">
        <f>IFERROR(__xludf.DUMMYFUNCTION("GOOGLETRANSLATE(B20311,""en"",""zh-CN"")"),"这个男孩张开眼睑和隐形眼镜。")</f>
        <v>这个男孩张开眼睑和隐形眼镜。</v>
      </c>
    </row>
    <row r="20312">
      <c r="A20312" s="4" t="s">
        <v>25568</v>
      </c>
      <c r="B20312" s="4" t="s">
        <v>25570</v>
      </c>
      <c r="C20312" s="5" t="str">
        <f>IFERROR(__xludf.DUMMYFUNCTION("GOOGLETRANSLATE(B20312,""en"",""zh-CN"")"),"该男子向后倾斜头，闭上眼睛调整隐形眼镜。")</f>
        <v>该男子向后倾斜头，闭上眼睛调整隐形眼镜。</v>
      </c>
    </row>
    <row r="20313">
      <c r="A20313" s="4" t="s">
        <v>25568</v>
      </c>
      <c r="B20313" s="4" t="s">
        <v>25571</v>
      </c>
      <c r="C20313" s="5" t="str">
        <f>IFERROR(__xludf.DUMMYFUNCTION("GOOGLETRANSLATE(B20313,""en"",""zh-CN"")"),"该男子揉眼睛，然后睁大眼睛以展示触点。")</f>
        <v>该男子揉眼睛，然后睁大眼睛以展示触点。</v>
      </c>
    </row>
    <row r="20314">
      <c r="A20314" s="4" t="s">
        <v>25572</v>
      </c>
      <c r="B20314" s="4" t="s">
        <v>25573</v>
      </c>
      <c r="C20314" s="5" t="str">
        <f>IFERROR(__xludf.DUMMYFUNCTION("GOOGLETRANSLATE(B20314,""en"",""zh-CN"")"),"人们在健身房里做一些俯卧撑和伸展运动。")</f>
        <v>人们在健身房里做一些俯卧撑和伸展运动。</v>
      </c>
    </row>
    <row r="20315">
      <c r="A20315" s="4" t="s">
        <v>25572</v>
      </c>
      <c r="B20315" s="4" t="s">
        <v>25574</v>
      </c>
      <c r="C20315" s="5" t="str">
        <f>IFERROR(__xludf.DUMMYFUNCTION("GOOGLETRANSLATE(B20315,""en"",""zh-CN"")"),"人们开始定居健身房，并带一些垫子和弦到GE健身房。")</f>
        <v>人们开始定居健身房，并带一些垫子和弦到GE健身房。</v>
      </c>
    </row>
    <row r="20316">
      <c r="A20316" s="4" t="s">
        <v>25572</v>
      </c>
      <c r="B20316" s="4" t="s">
        <v>25575</v>
      </c>
      <c r="C20316" s="5" t="str">
        <f>IFERROR(__xludf.DUMMYFUNCTION("GOOGLETRANSLATE(B20316,""en"",""zh-CN"")"),"人们在健身房的sring林上平衡，并在健身房的弹性床上跳跃。")</f>
        <v>人们在健身房的sring林上平衡，并在健身房的弹性床上跳跃。</v>
      </c>
    </row>
    <row r="20317">
      <c r="A20317" s="4" t="s">
        <v>25572</v>
      </c>
      <c r="B20317" s="4" t="s">
        <v>25576</v>
      </c>
      <c r="C20317" s="5" t="str">
        <f>IFERROR(__xludf.DUMMYFUNCTION("GOOGLETRANSLATE(B20317,""en"",""zh-CN"")"),"男人和女人正在平衡绳子，并做窍门跳跃。")</f>
        <v>男人和女人正在平衡绳子，并做窍门跳跃。</v>
      </c>
    </row>
    <row r="20318">
      <c r="A20318" s="4" t="s">
        <v>25577</v>
      </c>
      <c r="B20318" s="4" t="s">
        <v>25578</v>
      </c>
      <c r="C20318" s="5" t="str">
        <f>IFERROR(__xludf.DUMMYFUNCTION("GOOGLETRANSLATE(B20318,""en"",""zh-CN"")"),"在弹吉他及其阅读音乐表的同时，男人正拿着口琴。")</f>
        <v>在弹吉他及其阅读音乐表的同时，男人正拿着口琴。</v>
      </c>
    </row>
    <row r="20319">
      <c r="A20319" s="4" t="s">
        <v>25577</v>
      </c>
      <c r="B20319" s="4" t="s">
        <v>25579</v>
      </c>
      <c r="C20319" s="5" t="str">
        <f>IFERROR(__xludf.DUMMYFUNCTION("GOOGLETRANSLATE(B20319,""en"",""zh-CN"")"),"人正在教授如何在A钥匙和它的说话和弹吉他的钥匙中演奏口琴。")</f>
        <v>人正在教授如何在A钥匙和它的说话和弹吉他的钥匙中演奏口琴。</v>
      </c>
    </row>
    <row r="20320">
      <c r="A20320" s="4" t="s">
        <v>25580</v>
      </c>
      <c r="B20320" s="4" t="s">
        <v>25581</v>
      </c>
      <c r="C20320" s="5" t="str">
        <f>IFERROR(__xludf.DUMMYFUNCTION("GOOGLETRANSLATE(B20320,""en"",""zh-CN"")"),"显示了一些人在皮划艇上骑水中的人。")</f>
        <v>显示了一些人在皮划艇上骑水中的人。</v>
      </c>
    </row>
    <row r="20321">
      <c r="A20321" s="4" t="s">
        <v>25580</v>
      </c>
      <c r="B20321" s="4" t="s">
        <v>25582</v>
      </c>
      <c r="C20321" s="5" t="str">
        <f>IFERROR(__xludf.DUMMYFUNCTION("GOOGLETRANSLATE(B20321,""en"",""zh-CN"")"),"在显示文字时，人们在水中进行翻转。")</f>
        <v>在显示文字时，人们在水中进行翻转。</v>
      </c>
    </row>
    <row r="20322">
      <c r="A20322" s="4" t="s">
        <v>25580</v>
      </c>
      <c r="B20322" s="4" t="s">
        <v>25583</v>
      </c>
      <c r="C20322" s="5" t="str">
        <f>IFERROR(__xludf.DUMMYFUNCTION("GOOGLETRANSLATE(B20322,""en"",""zh-CN"")"),"显示了更多的剪辑，这些人骑在水中并在皮划艇上进行翻转。")</f>
        <v>显示了更多的剪辑，这些人骑在水中并在皮划艇上进行翻转。</v>
      </c>
    </row>
    <row r="20323">
      <c r="A20323" s="4" t="s">
        <v>25584</v>
      </c>
      <c r="B20323" s="4" t="s">
        <v>25585</v>
      </c>
      <c r="C20323" s="5" t="str">
        <f>IFERROR(__xludf.DUMMYFUNCTION("GOOGLETRANSLATE(B20323,""en"",""zh-CN"")"),"一名消防员非常缓慢地在他的齿轮上紧紧的绳子上行走。")</f>
        <v>一名消防员非常缓慢地在他的齿轮上紧紧的绳子上行走。</v>
      </c>
    </row>
    <row r="20324">
      <c r="A20324" s="4" t="s">
        <v>25584</v>
      </c>
      <c r="B20324" s="4" t="s">
        <v>25586</v>
      </c>
      <c r="C20324" s="5" t="str">
        <f>IFERROR(__xludf.DUMMYFUNCTION("GOOGLETRANSLATE(B20324,""en"",""zh-CN"")"),"他沿着绳索向末端移动，然后回到起点，直到失败。")</f>
        <v>他沿着绳索向末端移动，然后回到起点，直到失败。</v>
      </c>
    </row>
    <row r="20325">
      <c r="A20325" s="4" t="s">
        <v>25587</v>
      </c>
      <c r="B20325" s="4" t="s">
        <v>21512</v>
      </c>
      <c r="C20325" s="5" t="str">
        <f>IFERROR(__xludf.DUMMYFUNCTION("GOOGLETRANSLATE(B20325,""en"",""zh-CN"")"),"一个男人跪在蓝色垫子上。")</f>
        <v>一个男人跪在蓝色垫子上。</v>
      </c>
    </row>
    <row r="20326">
      <c r="A20326" s="4" t="s">
        <v>25587</v>
      </c>
      <c r="B20326" s="4" t="s">
        <v>25588</v>
      </c>
      <c r="C20326" s="5" t="str">
        <f>IFERROR(__xludf.DUMMYFUNCTION("GOOGLETRANSLATE(B20326,""en"",""zh-CN"")"),"一个男人站在他身后说话。")</f>
        <v>一个男人站在他身后说话。</v>
      </c>
    </row>
    <row r="20327">
      <c r="A20327" s="4" t="s">
        <v>25587</v>
      </c>
      <c r="B20327" s="4" t="s">
        <v>25589</v>
      </c>
      <c r="C20327" s="5" t="str">
        <f>IFERROR(__xludf.DUMMYFUNCTION("GOOGLETRANSLATE(B20327,""en"",""zh-CN"")"),"垫子上的那个男人的腰间有一条棕色皮带。")</f>
        <v>垫子上的那个男人的腰间有一条棕色皮带。</v>
      </c>
    </row>
    <row r="20328">
      <c r="A20328" s="4" t="s">
        <v>25590</v>
      </c>
      <c r="B20328" s="6" t="s">
        <v>25591</v>
      </c>
      <c r="C20328" s="5" t="str">
        <f>IFERROR(__xludf.DUMMYFUNCTION("GOOGLETRANSLATE(B20328,""en"",""zh-CN"")"),"看到两个人走出建筑物，并互相互相钩针。")</f>
        <v>看到两个人走出建筑物，并互相互相钩针。</v>
      </c>
    </row>
    <row r="20329">
      <c r="A20329" s="4" t="s">
        <v>25590</v>
      </c>
      <c r="B20329" s="6" t="s">
        <v>25592</v>
      </c>
      <c r="C20329" s="5" t="str">
        <f>IFERROR(__xludf.DUMMYFUNCTION("GOOGLETRANSLATE(B20329,""en"",""zh-CN"")"),"这些人在互相说话并测量球的同时，继续将球击中院子。")</f>
        <v>这些人在互相说话并测量球的同时，继续将球击中院子。</v>
      </c>
    </row>
    <row r="20330">
      <c r="A20330" s="4" t="s">
        <v>25590</v>
      </c>
      <c r="B20330" s="4" t="s">
        <v>25593</v>
      </c>
      <c r="C20330" s="5" t="str">
        <f>IFERROR(__xludf.DUMMYFUNCTION("GOOGLETRANSLATE(B20330,""en"",""zh-CN"")"),"这些人继续玩耍，一个人伸出手臂，走开结束。")</f>
        <v>这些人继续玩耍，一个人伸出手臂，走开结束。</v>
      </c>
    </row>
    <row r="20331">
      <c r="A20331" s="4" t="s">
        <v>25594</v>
      </c>
      <c r="B20331" s="4" t="s">
        <v>25595</v>
      </c>
      <c r="C20331" s="5" t="str">
        <f>IFERROR(__xludf.DUMMYFUNCTION("GOOGLETRANSLATE(B20331,""en"",""zh-CN"")"),"一个男人在一个充满人的房间前吹窃窃私语。")</f>
        <v>一个男人在一个充满人的房间前吹窃窃私语。</v>
      </c>
    </row>
    <row r="20332">
      <c r="A20332" s="4" t="s">
        <v>25594</v>
      </c>
      <c r="B20332" s="4" t="s">
        <v>25596</v>
      </c>
      <c r="C20332" s="5" t="str">
        <f>IFERROR(__xludf.DUMMYFUNCTION("GOOGLETRANSLATE(B20332,""en"",""zh-CN"")"),"他们正在玩一些红色独奏杯，在比赛之间喝酒。")</f>
        <v>他们正在玩一些红色独奏杯，在比赛之间喝酒。</v>
      </c>
    </row>
    <row r="20333">
      <c r="A20333" s="4" t="s">
        <v>25594</v>
      </c>
      <c r="B20333" s="4" t="s">
        <v>25597</v>
      </c>
      <c r="C20333" s="5" t="str">
        <f>IFERROR(__xludf.DUMMYFUNCTION("GOOGLETRANSLATE(B20333,""en"",""zh-CN"")"),"一个金发女郎看着男人赢得比赛，拥抱他旁边的女人。")</f>
        <v>一个金发女郎看着男人赢得比赛，拥抱他旁边的女人。</v>
      </c>
    </row>
    <row r="20334">
      <c r="A20334" s="4" t="s">
        <v>25598</v>
      </c>
      <c r="B20334" s="4" t="s">
        <v>25599</v>
      </c>
      <c r="C20334" s="5" t="str">
        <f>IFERROR(__xludf.DUMMYFUNCTION("GOOGLETRANSLATE(B20334,""en"",""zh-CN"")"),"显示了水球比赛，并且一个人得分。")</f>
        <v>显示了水球比赛，并且一个人得分。</v>
      </c>
    </row>
    <row r="20335">
      <c r="A20335" s="4" t="s">
        <v>25598</v>
      </c>
      <c r="B20335" s="4" t="s">
        <v>25600</v>
      </c>
      <c r="C20335" s="5" t="str">
        <f>IFERROR(__xludf.DUMMYFUNCTION("GOOGLETRANSLATE(B20335,""en"",""zh-CN"")"),"这是一个招聘视频。")</f>
        <v>这是一个招聘视频。</v>
      </c>
    </row>
    <row r="20336">
      <c r="A20336" s="4" t="s">
        <v>25601</v>
      </c>
      <c r="B20336" s="4" t="s">
        <v>25602</v>
      </c>
      <c r="C20336" s="5" t="str">
        <f>IFERROR(__xludf.DUMMYFUNCTION("GOOGLETRANSLATE(B20336,""en"",""zh-CN"")"),"穿着黑色T恤的人将指甲夹在棕色和棕褐色斑点猫的前爪上。")</f>
        <v>穿着黑色T恤的人将指甲夹在棕色和棕褐色斑点猫的前爪上。</v>
      </c>
    </row>
    <row r="20337">
      <c r="A20337" s="4" t="s">
        <v>25601</v>
      </c>
      <c r="B20337" s="6" t="s">
        <v>25603</v>
      </c>
      <c r="C20337" s="5" t="str">
        <f>IFERROR(__xludf.DUMMYFUNCTION("GOOGLETRANSLATE(B20337,""en"",""zh-CN"")"),"当一个人拿着一对红色处理的指甲剪子时，一只棕色的棕褐色斑点猫躺在白色的靠垫上。")</f>
        <v>当一个人拿着一对红色处理的指甲剪子时，一只棕色的棕褐色斑点猫躺在白色的靠垫上。</v>
      </c>
    </row>
    <row r="20338">
      <c r="A20338" s="4" t="s">
        <v>25601</v>
      </c>
      <c r="B20338" s="4" t="s">
        <v>25604</v>
      </c>
      <c r="C20338" s="5" t="str">
        <f>IFERROR(__xludf.DUMMYFUNCTION("GOOGLETRANSLATE(B20338,""en"",""zh-CN"")"),"当猫看着猫时，该人切断了猫的前身。")</f>
        <v>当猫看着猫时，该人切断了猫的前身。</v>
      </c>
    </row>
    <row r="20339">
      <c r="A20339" s="4" t="s">
        <v>25601</v>
      </c>
      <c r="B20339" s="6" t="s">
        <v>25605</v>
      </c>
      <c r="C20339" s="5" t="str">
        <f>IFERROR(__xludf.DUMMYFUNCTION("GOOGLETRANSLATE(B20339,""en"",""zh-CN"")"),"该人完成了切割猫的指甲和宠物猫头的宠物，并在走开前向剪子展示靠近相机。")</f>
        <v>该人完成了切割猫的指甲和宠物猫头的宠物，并在走开前向剪子展示靠近相机。</v>
      </c>
    </row>
    <row r="20340">
      <c r="A20340" s="4" t="s">
        <v>25606</v>
      </c>
      <c r="B20340" s="4" t="s">
        <v>25607</v>
      </c>
      <c r="C20340" s="5" t="str">
        <f>IFERROR(__xludf.DUMMYFUNCTION("GOOGLETRANSLATE(B20340,""en"",""zh-CN"")"),"两个男孩在卧室里摔跤。")</f>
        <v>两个男孩在卧室里摔跤。</v>
      </c>
    </row>
    <row r="20341">
      <c r="A20341" s="4" t="s">
        <v>25606</v>
      </c>
      <c r="B20341" s="4" t="s">
        <v>25608</v>
      </c>
      <c r="C20341" s="5" t="str">
        <f>IFERROR(__xludf.DUMMYFUNCTION("GOOGLETRANSLATE(B20341,""en"",""zh-CN"")"),"一个男孩被捡起并扔在床上。")</f>
        <v>一个男孩被捡起并扔在床上。</v>
      </c>
    </row>
    <row r="20342">
      <c r="A20342" s="4" t="s">
        <v>25606</v>
      </c>
      <c r="B20342" s="4" t="s">
        <v>25609</v>
      </c>
      <c r="C20342" s="5" t="str">
        <f>IFERROR(__xludf.DUMMYFUNCTION("GOOGLETRANSLATE(B20342,""en"",""zh-CN"")"),"男孩关闭相机。")</f>
        <v>男孩关闭相机。</v>
      </c>
    </row>
    <row r="20343">
      <c r="A20343" s="4" t="s">
        <v>25610</v>
      </c>
      <c r="B20343" s="4" t="s">
        <v>25611</v>
      </c>
      <c r="C20343" s="5" t="str">
        <f>IFERROR(__xludf.DUMMYFUNCTION("GOOGLETRANSLATE(B20343,""en"",""zh-CN"")"),"一个穿刺的艺术家将酒吧插入女人的乳头。")</f>
        <v>一个穿刺的艺术家将酒吧插入女人的乳头。</v>
      </c>
    </row>
    <row r="20344">
      <c r="A20344" s="4" t="s">
        <v>25610</v>
      </c>
      <c r="B20344" s="4" t="s">
        <v>25612</v>
      </c>
      <c r="C20344" s="5" t="str">
        <f>IFERROR(__xludf.DUMMYFUNCTION("GOOGLETRANSLATE(B20344,""en"",""zh-CN"")"),"该男子将硬件拧到刺穿的尽头。")</f>
        <v>该男子将硬件拧到刺穿的尽头。</v>
      </c>
    </row>
    <row r="20345">
      <c r="A20345" s="4" t="s">
        <v>25610</v>
      </c>
      <c r="B20345" s="4" t="s">
        <v>25613</v>
      </c>
      <c r="C20345" s="5" t="str">
        <f>IFERROR(__xludf.DUMMYFUNCTION("GOOGLETRANSLATE(B20345,""en"",""zh-CN"")"),"那个穿着服装的女人坐起来，展示了她的新穿孔。")</f>
        <v>那个穿着服装的女人坐起来，展示了她的新穿孔。</v>
      </c>
    </row>
    <row r="20346">
      <c r="A20346" s="4" t="s">
        <v>25614</v>
      </c>
      <c r="B20346" s="4" t="s">
        <v>25615</v>
      </c>
      <c r="C20346" s="5" t="str">
        <f>IFERROR(__xludf.DUMMYFUNCTION("GOOGLETRANSLATE(B20346,""en"",""zh-CN"")"),"一个吸烟的妇女讲述了他们需要吸烟多少。")</f>
        <v>一个吸烟的妇女讲述了他们需要吸烟多少。</v>
      </c>
    </row>
    <row r="20347">
      <c r="A20347" s="4" t="s">
        <v>25614</v>
      </c>
      <c r="B20347" s="6" t="s">
        <v>25616</v>
      </c>
      <c r="C20347" s="5" t="str">
        <f>IFERROR(__xludf.DUMMYFUNCTION("GOOGLETRANSLATE(B20347,""en"",""zh-CN"")"),"他们继续谈论他们的吸烟习惯以及如果愿意的话，他们可以继续吸烟。")</f>
        <v>他们继续谈论他们的吸烟习惯以及如果愿意的话，他们可以继续吸烟。</v>
      </c>
    </row>
    <row r="20348">
      <c r="A20348" s="4" t="s">
        <v>25617</v>
      </c>
      <c r="B20348" s="4" t="s">
        <v>25618</v>
      </c>
      <c r="C20348" s="5" t="str">
        <f>IFERROR(__xludf.DUMMYFUNCTION("GOOGLETRANSLATE(B20348,""en"",""zh-CN"")"),"一个男人来到屏幕上，介绍了一段有关他修剪树木的视频。")</f>
        <v>一个男人来到屏幕上，介绍了一段有关他修剪树木的视频。</v>
      </c>
    </row>
    <row r="20349">
      <c r="A20349" s="4" t="s">
        <v>25617</v>
      </c>
      <c r="B20349" s="4" t="s">
        <v>25619</v>
      </c>
      <c r="C20349" s="5" t="str">
        <f>IFERROR(__xludf.DUMMYFUNCTION("GOOGLETRANSLATE(B20349,""en"",""zh-CN"")"),"他拿起修剪锯并启动引擎。")</f>
        <v>他拿起修剪锯并启动引擎。</v>
      </c>
    </row>
    <row r="20350">
      <c r="A20350" s="4" t="s">
        <v>25617</v>
      </c>
      <c r="B20350" s="4" t="s">
        <v>25620</v>
      </c>
      <c r="C20350" s="5" t="str">
        <f>IFERROR(__xludf.DUMMYFUNCTION("GOOGLETRANSLATE(B20350,""en"",""zh-CN"")"),"他爬上梯子，开始修剪树。")</f>
        <v>他爬上梯子，开始修剪树。</v>
      </c>
    </row>
    <row r="20351">
      <c r="A20351" s="4" t="s">
        <v>25617</v>
      </c>
      <c r="B20351" s="4" t="s">
        <v>25621</v>
      </c>
      <c r="C20351" s="5" t="str">
        <f>IFERROR(__xludf.DUMMYFUNCTION("GOOGLETRANSLATE(B20351,""en"",""zh-CN"")"),"他回头看着相机，微笑。")</f>
        <v>他回头看着相机，微笑。</v>
      </c>
    </row>
    <row r="20352">
      <c r="A20352" s="4" t="s">
        <v>25622</v>
      </c>
      <c r="B20352" s="4" t="s">
        <v>25623</v>
      </c>
      <c r="C20352" s="5" t="str">
        <f>IFERROR(__xludf.DUMMYFUNCTION("GOOGLETRANSLATE(B20352,""en"",""zh-CN"")"),"一个穿着连衣裙的金发妇女有两次，并排玩小提琴。")</f>
        <v>一个穿着连衣裙的金发妇女有两次，并排玩小提琴。</v>
      </c>
    </row>
    <row r="20353">
      <c r="A20353" s="4" t="s">
        <v>25622</v>
      </c>
      <c r="B20353" s="6" t="s">
        <v>25624</v>
      </c>
      <c r="C20353" s="5" t="str">
        <f>IFERROR(__xludf.DUMMYFUNCTION("GOOGLETRANSLATE(B20353,""en"",""zh-CN"")"),"她在小提琴上演奏了两种不同的旋律，并同时完成了相机的微笑。")</f>
        <v>她在小提琴上演奏了两种不同的旋律，并同时完成了相机的微笑。</v>
      </c>
    </row>
    <row r="20354">
      <c r="A20354" s="4" t="s">
        <v>25625</v>
      </c>
      <c r="B20354" s="4" t="s">
        <v>25626</v>
      </c>
      <c r="C20354" s="5" t="str">
        <f>IFERROR(__xludf.DUMMYFUNCTION("GOOGLETRANSLATE(B20354,""en"",""zh-CN"")"),"一个男人站在黑暗中，在绿色车库前的一支香烟。")</f>
        <v>一个男人站在黑暗中，在绿色车库前的一支香烟。</v>
      </c>
    </row>
    <row r="20355">
      <c r="A20355" s="4" t="s">
        <v>25625</v>
      </c>
      <c r="B20355" s="4" t="s">
        <v>25627</v>
      </c>
      <c r="C20355" s="5" t="str">
        <f>IFERROR(__xludf.DUMMYFUNCTION("GOOGLETRANSLATE(B20355,""en"",""zh-CN"")"),"之后，显示了肺的图像，并显示了香烟如何影响您的器官。")</f>
        <v>之后，显示了肺的图像，并显示了香烟如何影响您的器官。</v>
      </c>
    </row>
    <row r="20356">
      <c r="A20356" s="4" t="s">
        <v>25628</v>
      </c>
      <c r="B20356" s="4" t="s">
        <v>25629</v>
      </c>
      <c r="C20356" s="5" t="str">
        <f>IFERROR(__xludf.DUMMYFUNCTION("GOOGLETRANSLATE(B20356,""en"",""zh-CN"")"),"一个女人演示了如何在草地上在外面做太极拳。")</f>
        <v>一个女人演示了如何在草地上在外面做太极拳。</v>
      </c>
    </row>
    <row r="20357">
      <c r="A20357" s="4" t="s">
        <v>25628</v>
      </c>
      <c r="B20357" s="4" t="s">
        <v>25630</v>
      </c>
      <c r="C20357" s="5" t="str">
        <f>IFERROR(__xludf.DUMMYFUNCTION("GOOGLETRANSLATE(B20357,""en"",""zh-CN"")"),"同一位女人在舞台上展示了​​台湾。")</f>
        <v>同一位女人在舞台上展示了​​台湾。</v>
      </c>
    </row>
    <row r="20358">
      <c r="A20358" s="4" t="s">
        <v>25628</v>
      </c>
      <c r="B20358" s="4" t="s">
        <v>25631</v>
      </c>
      <c r="C20358" s="5" t="str">
        <f>IFERROR(__xludf.DUMMYFUNCTION("GOOGLETRANSLATE(B20358,""en"",""zh-CN"")"),"第二个女人加入了第一个女人来帮助演示。")</f>
        <v>第二个女人加入了第一个女人来帮助演示。</v>
      </c>
    </row>
    <row r="20359">
      <c r="A20359" s="4" t="s">
        <v>25632</v>
      </c>
      <c r="B20359" s="4" t="s">
        <v>25633</v>
      </c>
      <c r="C20359" s="5" t="str">
        <f>IFERROR(__xludf.DUMMYFUNCTION("GOOGLETRANSLATE(B20359,""en"",""zh-CN"")"),"商店中显示了几种海鸥品牌原声吉他。")</f>
        <v>商店中显示了几种海鸥品牌原声吉他。</v>
      </c>
    </row>
    <row r="20360">
      <c r="A20360" s="4" t="s">
        <v>25632</v>
      </c>
      <c r="B20360" s="6" t="s">
        <v>25634</v>
      </c>
      <c r="C20360" s="5" t="str">
        <f>IFERROR(__xludf.DUMMYFUNCTION("GOOGLETRANSLATE(B20360,""en"",""zh-CN"")"),"一个穿着黑色的男人坐在凳子上，正在吉他的商店里弹声吉他。")</f>
        <v>一个穿着黑色的男人坐在凳子上，正在吉他的商店里弹声吉他。</v>
      </c>
    </row>
    <row r="20361">
      <c r="A20361" s="4" t="s">
        <v>25632</v>
      </c>
      <c r="B20361" s="4" t="s">
        <v>25635</v>
      </c>
      <c r="C20361" s="5" t="str">
        <f>IFERROR(__xludf.DUMMYFUNCTION("GOOGLETRANSLATE(B20361,""en"",""zh-CN"")"),"该男子继续弹吉他。")</f>
        <v>该男子继续弹吉他。</v>
      </c>
    </row>
    <row r="20362">
      <c r="A20362" s="4" t="s">
        <v>25636</v>
      </c>
      <c r="B20362" s="4" t="s">
        <v>25637</v>
      </c>
      <c r="C20362" s="5" t="str">
        <f>IFERROR(__xludf.DUMMYFUNCTION("GOOGLETRANSLATE(B20362,""en"",""zh-CN"")"),"几个男人站在皮纳塔（Pinata）周围。")</f>
        <v>几个男人站在皮纳塔（Pinata）周围。</v>
      </c>
    </row>
    <row r="20363">
      <c r="A20363" s="4" t="s">
        <v>25636</v>
      </c>
      <c r="B20363" s="4" t="s">
        <v>25638</v>
      </c>
      <c r="C20363" s="5" t="str">
        <f>IFERROR(__xludf.DUMMYFUNCTION("GOOGLETRANSLATE(B20363,""en"",""zh-CN"")"),"一个男人旋转一个蒙住眼睛的男人。")</f>
        <v>一个男人旋转一个蒙住眼睛的男人。</v>
      </c>
    </row>
    <row r="20364">
      <c r="A20364" s="4" t="s">
        <v>25636</v>
      </c>
      <c r="B20364" s="4" t="s">
        <v>25639</v>
      </c>
      <c r="C20364" s="5" t="str">
        <f>IFERROR(__xludf.DUMMYFUNCTION("GOOGLETRANSLATE(B20364,""en"",""zh-CN"")"),"蒙住眼睛的男人在皮纳塔（Pinata）挥舞着几个。")</f>
        <v>蒙住眼睛的男人在皮纳塔（Pinata）挥舞着几个。</v>
      </c>
    </row>
    <row r="20365">
      <c r="A20365" s="4" t="s">
        <v>25636</v>
      </c>
      <c r="B20365" s="4" t="s">
        <v>25640</v>
      </c>
      <c r="C20365" s="5" t="str">
        <f>IFERROR(__xludf.DUMMYFUNCTION("GOOGLETRANSLATE(B20365,""en"",""zh-CN"")"),"一个穿着红色衬衫的女人笑了。")</f>
        <v>一个穿着红色衬衫的女人笑了。</v>
      </c>
    </row>
    <row r="20366">
      <c r="A20366" s="4" t="s">
        <v>25641</v>
      </c>
      <c r="B20366" s="4" t="s">
        <v>25642</v>
      </c>
      <c r="C20366" s="5" t="str">
        <f>IFERROR(__xludf.DUMMYFUNCTION("GOOGLETRANSLATE(B20366,""en"",""zh-CN"")"),"看到一个女人躺在沙发上，另一个坐在她上方的女孩。")</f>
        <v>看到一个女人躺在沙发上，另一个坐在她上方的女孩。</v>
      </c>
    </row>
    <row r="20367">
      <c r="A20367" s="4" t="s">
        <v>25641</v>
      </c>
      <c r="B20367" s="4" t="s">
        <v>25643</v>
      </c>
      <c r="C20367" s="5" t="str">
        <f>IFERROR(__xludf.DUMMYFUNCTION("GOOGLETRANSLATE(B20367,""en"",""zh-CN"")"),"然后显示女孩刺穿了躺下的女孩的乳头。")</f>
        <v>然后显示女孩刺穿了躺下的女孩的乳头。</v>
      </c>
    </row>
    <row r="20368">
      <c r="A20368" s="4" t="s">
        <v>25641</v>
      </c>
      <c r="B20368" s="4" t="s">
        <v>25644</v>
      </c>
      <c r="C20368" s="5" t="str">
        <f>IFERROR(__xludf.DUMMYFUNCTION("GOOGLETRANSLATE(B20368,""en"",""zh-CN"")"),"她完成了刺穿的结束，并用微笑着相机。")</f>
        <v>她完成了刺穿的结束，并用微笑着相机。</v>
      </c>
    </row>
    <row r="20369">
      <c r="A20369" s="4" t="s">
        <v>25645</v>
      </c>
      <c r="B20369" s="4" t="s">
        <v>25646</v>
      </c>
      <c r="C20369" s="5" t="str">
        <f>IFERROR(__xludf.DUMMYFUNCTION("GOOGLETRANSLATE(B20369,""en"",""zh-CN"")"),"一只牛仔在大型竞技场上骑马，摇着绳子。")</f>
        <v>一只牛仔在大型竞技场上骑马，摇着绳子。</v>
      </c>
    </row>
    <row r="20370">
      <c r="A20370" s="4" t="s">
        <v>25645</v>
      </c>
      <c r="B20370" s="6" t="s">
        <v>25647</v>
      </c>
      <c r="C20370" s="5" t="str">
        <f>IFERROR(__xludf.DUMMYFUNCTION("GOOGLETRANSLATE(B20370,""en"",""zh-CN"")"),"观点改变了，向一群男人展示了他们的马匹，他们每个人都握住绳索，并与他们一起做各种事情，例如绑架和摇摆。")</f>
        <v>观点改变了，向一群男人展示了他们的马匹，他们每个人都握住绳索，并与他们一起做各种事情，例如绑架和摇摆。</v>
      </c>
    </row>
    <row r="20371">
      <c r="A20371" s="4" t="s">
        <v>25645</v>
      </c>
      <c r="B20371" s="6" t="s">
        <v>25648</v>
      </c>
      <c r="C20371" s="5" t="str">
        <f>IFERROR(__xludf.DUMMYFUNCTION("GOOGLETRANSLATE(B20371,""en"",""zh-CN"")"),"焦点转向了一个人说话的人，他的名字叫Trevor Brazile，它从他说话中闪烁，然后转到他在不同舞台上骑马的剪辑，因为他还在吵架。")</f>
        <v>焦点转向了一个人说话的人，他的名字叫Trevor Brazile，它从他说话中闪烁，然后转到他在不同舞台上骑马的剪辑，因为他还在吵架。</v>
      </c>
    </row>
    <row r="20372">
      <c r="A20372" s="4" t="s">
        <v>25645</v>
      </c>
      <c r="B20372" s="6" t="s">
        <v>25649</v>
      </c>
      <c r="C20372" s="5" t="str">
        <f>IFERROR(__xludf.DUMMYFUNCTION("GOOGLETRANSLATE(B20372,""en"",""zh-CN"")"),"另一个叫斯特兰·史密斯（Stran Smith）的人现在正在谈论，他在小腿上玩耍时在不同的舞台上骑马的剪辑。")</f>
        <v>另一个叫斯特兰·史密斯（Stran Smith）的人现在正在谈论，他在小腿上玩耍时在不同的舞台上骑马的剪辑。</v>
      </c>
    </row>
    <row r="20373">
      <c r="A20373" s="4" t="s">
        <v>25645</v>
      </c>
      <c r="B20373" s="6" t="s">
        <v>25650</v>
      </c>
      <c r="C20373" s="5" t="str">
        <f>IFERROR(__xludf.DUMMYFUNCTION("GOOGLETRANSLATE(B20373,""en"",""zh-CN"")"),"两个人说话的剪辑和他们骑马的剪辑和吵架的小腿在他们两个之间玩耍和旋转。")</f>
        <v>两个人说话的剪辑和他们骑马的剪辑和吵架的小腿在他们两个之间玩耍和旋转。</v>
      </c>
    </row>
    <row r="20374">
      <c r="A20374" s="4" t="s">
        <v>25645</v>
      </c>
      <c r="B20374" s="6" t="s">
        <v>25651</v>
      </c>
      <c r="C20374" s="5" t="str">
        <f>IFERROR(__xludf.DUMMYFUNCTION("GOOGLETRANSLATE(B20374,""en"",""zh-CN"")"),"Outro视频开始了，它显示了竞技场上的悬挂横幅，上面写着“卡尔加里牛仔”，一个骑马的女人拿着一匹危险的旗帜，上面写着“ 1912-2012卡尔加里踩踏”，一只小牛在泥土上奔跑。")</f>
        <v>Outro视频开始了，它显示了竞技场上的悬挂横幅，上面写着“卡尔加里牛仔”，一个骑马的女人拿着一匹危险的旗帜，上面写着“ 1912-2012卡尔加里踩踏”，一只小牛在泥土上奔跑。</v>
      </c>
    </row>
    <row r="20375">
      <c r="A20375" s="4" t="s">
        <v>25652</v>
      </c>
      <c r="B20375" s="4" t="s">
        <v>25653</v>
      </c>
      <c r="C20375" s="5" t="str">
        <f>IFERROR(__xludf.DUMMYFUNCTION("GOOGLETRANSLATE(B20375,""en"",""zh-CN"")"),"一个人在前面唱歌的人群穿着嘻哈衣服。")</f>
        <v>一个人在前面唱歌的人群穿着嘻哈衣服。</v>
      </c>
    </row>
    <row r="20376">
      <c r="A20376" s="4" t="s">
        <v>25652</v>
      </c>
      <c r="B20376" s="6" t="s">
        <v>25654</v>
      </c>
      <c r="C20376" s="5" t="str">
        <f>IFERROR(__xludf.DUMMYFUNCTION("GOOGLETRANSLATE(B20376,""en"",""zh-CN"")"),"一个男人跳舞的嘻哈音乐在杂技表演上移动，他的手和腿在人群的前面在地板上移动。")</f>
        <v>一个男人跳舞的嘻哈音乐在杂技表演上移动，他的手和腿在人群的前面在地板上移动。</v>
      </c>
    </row>
    <row r="20377">
      <c r="A20377" s="4" t="s">
        <v>25652</v>
      </c>
      <c r="B20377" s="4" t="s">
        <v>25655</v>
      </c>
      <c r="C20377" s="5" t="str">
        <f>IFERROR(__xludf.DUMMYFUNCTION("GOOGLETRANSLATE(B20377,""en"",""zh-CN"")"),"人们拍照并拍摄那个男人后面的人。")</f>
        <v>人们拍照并拍摄那个男人后面的人。</v>
      </c>
    </row>
    <row r="20378">
      <c r="A20378" s="4" t="s">
        <v>25656</v>
      </c>
      <c r="B20378" s="4" t="s">
        <v>25657</v>
      </c>
      <c r="C20378" s="5" t="str">
        <f>IFERROR(__xludf.DUMMYFUNCTION("GOOGLETRANSLATE(B20378,""en"",""zh-CN"")"),"女人在一个绿色的绿色田地里，拿着黄色的飞盘，和狗一起玩。")</f>
        <v>女人在一个绿色的绿色田地里，拿着黄色的飞盘，和狗一起玩。</v>
      </c>
    </row>
    <row r="20379">
      <c r="A20379" s="4" t="s">
        <v>25656</v>
      </c>
      <c r="B20379" s="4" t="s">
        <v>25658</v>
      </c>
      <c r="C20379" s="5" t="str">
        <f>IFERROR(__xludf.DUMMYFUNCTION("GOOGLETRANSLATE(B20379,""en"",""zh-CN"")"),"许多ACR停在Alrge Field后面的街道上。")</f>
        <v>许多ACR停在Alrge Field后面的街道上。</v>
      </c>
    </row>
    <row r="20380">
      <c r="A20380" s="4" t="s">
        <v>25656</v>
      </c>
      <c r="B20380" s="4" t="s">
        <v>25659</v>
      </c>
      <c r="C20380" s="5" t="str">
        <f>IFERROR(__xludf.DUMMYFUNCTION("GOOGLETRANSLATE(B20380,""en"",""zh-CN"")"),"女人把飞盘扔给狗。")</f>
        <v>女人把飞盘扔给狗。</v>
      </c>
    </row>
    <row r="20381">
      <c r="A20381" s="4" t="s">
        <v>25660</v>
      </c>
      <c r="B20381" s="6" t="s">
        <v>25661</v>
      </c>
      <c r="C20381" s="5" t="str">
        <f>IFERROR(__xludf.DUMMYFUNCTION("GOOGLETRANSLATE(B20381,""en"",""zh-CN"")"),"看到一个女人在大型运动栏前与相机说话，并在说话和用手时开始站在设备上。")</f>
        <v>看到一个女人在大型运动栏前与相机说话，并在说话和用手时开始站在设备上。</v>
      </c>
    </row>
    <row r="20382">
      <c r="A20382" s="4" t="s">
        <v>25660</v>
      </c>
      <c r="B20382" s="6" t="s">
        <v>25662</v>
      </c>
      <c r="C20382" s="5" t="str">
        <f>IFERROR(__xludf.DUMMYFUNCTION("GOOGLETRANSLATE(B20382,""en"",""zh-CN"")"),"该名女子继续演示如何在向后移动胳膊和腿时正确执行练习。")</f>
        <v>该名女子继续演示如何在向后移动胳膊和腿时正确执行练习。</v>
      </c>
    </row>
    <row r="20383">
      <c r="A20383" s="4" t="s">
        <v>25663</v>
      </c>
      <c r="B20383" s="6" t="s">
        <v>25664</v>
      </c>
      <c r="C20383" s="5" t="str">
        <f>IFERROR(__xludf.DUMMYFUNCTION("GOOGLETRANSLATE(B20383,""en"",""zh-CN"")"),"有三个健美运动员在一个带有举重设备的小健身房中锻炼和锻炼。")</f>
        <v>有三个健美运动员在一个带有举重设备的小健身房中锻炼和锻炼。</v>
      </c>
    </row>
    <row r="20384">
      <c r="A20384" s="4" t="s">
        <v>25663</v>
      </c>
      <c r="B20384" s="6" t="s">
        <v>25665</v>
      </c>
      <c r="C20384" s="5" t="str">
        <f>IFERROR(__xludf.DUMMYFUNCTION("GOOGLETRANSLATE(B20384,""en"",""zh-CN"")"),"一个健美者将重量杆抬高几次，然后将其放下，而其他两个健美者则看着他。")</f>
        <v>一个健美者将重量杆抬高几次，然后将其放下，而其他两个健美者则看着他。</v>
      </c>
    </row>
    <row r="20385">
      <c r="A20385" s="4" t="s">
        <v>25663</v>
      </c>
      <c r="B20385" s="4" t="s">
        <v>25666</v>
      </c>
      <c r="C20385" s="5" t="str">
        <f>IFERROR(__xludf.DUMMYFUNCTION("GOOGLETRANSLATE(B20385,""en"",""zh-CN"")"),"然后他走了，用毛巾擦去汗水，然后再次举起重量棒并掉下来。")</f>
        <v>然后他走了，用毛巾擦去汗水，然后再次举起重量棒并掉下来。</v>
      </c>
    </row>
    <row r="20386">
      <c r="A20386" s="4" t="s">
        <v>25663</v>
      </c>
      <c r="B20386" s="4" t="s">
        <v>25667</v>
      </c>
      <c r="C20386" s="5" t="str">
        <f>IFERROR(__xludf.DUMMYFUNCTION("GOOGLETRANSLATE(B20386,""en"",""zh-CN"")"),"然后，他戴着腹部皮带，再次举起重量棒并将其放下。")</f>
        <v>然后，他戴着腹部皮带，再次举起重量棒并将其放下。</v>
      </c>
    </row>
    <row r="20387">
      <c r="A20387" s="4" t="s">
        <v>25663</v>
      </c>
      <c r="B20387" s="4" t="s">
        <v>25668</v>
      </c>
      <c r="C20387" s="5" t="str">
        <f>IFERROR(__xludf.DUMMYFUNCTION("GOOGLETRANSLATE(B20387,""en"",""zh-CN"")"),"他努力举起重量棒，将其稍微提起，然后将其放下。")</f>
        <v>他努力举起重量棒，将其稍微提起，然后将其放下。</v>
      </c>
    </row>
    <row r="20388">
      <c r="A20388" s="4" t="s">
        <v>25669</v>
      </c>
      <c r="B20388" s="4" t="s">
        <v>25670</v>
      </c>
      <c r="C20388" s="5" t="str">
        <f>IFERROR(__xludf.DUMMYFUNCTION("GOOGLETRANSLATE(B20388,""en"",""zh-CN"")"),"一个戴着耳机的男人站在一对大鼓后面。")</f>
        <v>一个戴着耳机的男人站在一对大鼓后面。</v>
      </c>
    </row>
    <row r="20389">
      <c r="A20389" s="4" t="s">
        <v>25669</v>
      </c>
      <c r="B20389" s="4" t="s">
        <v>25671</v>
      </c>
      <c r="C20389" s="5" t="str">
        <f>IFERROR(__xludf.DUMMYFUNCTION("GOOGLETRANSLATE(B20389,""en"",""zh-CN"")"),"该男子用手掌打鼓。")</f>
        <v>该男子用手掌打鼓。</v>
      </c>
    </row>
    <row r="20390">
      <c r="A20390" s="4" t="s">
        <v>25669</v>
      </c>
      <c r="B20390" s="4" t="s">
        <v>25672</v>
      </c>
      <c r="C20390" s="5" t="str">
        <f>IFERROR(__xludf.DUMMYFUNCTION("GOOGLETRANSLATE(B20390,""en"",""zh-CN"")"),"该男子停止打鼓，转身离开。")</f>
        <v>该男子停止打鼓，转身离开。</v>
      </c>
    </row>
    <row r="20391">
      <c r="A20391" s="4" t="s">
        <v>25673</v>
      </c>
      <c r="B20391" s="4" t="s">
        <v>25674</v>
      </c>
      <c r="C20391" s="5" t="str">
        <f>IFERROR(__xludf.DUMMYFUNCTION("GOOGLETRANSLATE(B20391,""en"",""zh-CN"")"),"一个人放置围巾，并在其中中间放一些配件。")</f>
        <v>一个人放置围巾，并在其中中间放一些配件。</v>
      </c>
    </row>
    <row r="20392">
      <c r="A20392" s="4" t="s">
        <v>25673</v>
      </c>
      <c r="B20392" s="4" t="s">
        <v>25675</v>
      </c>
      <c r="C20392" s="5" t="str">
        <f>IFERROR(__xludf.DUMMYFUNCTION("GOOGLETRANSLATE(B20392,""en"",""zh-CN"")"),"他将末端绑起来，并将其折叠成双结。")</f>
        <v>他将末端绑起来，并将其折叠成双结。</v>
      </c>
    </row>
    <row r="20393">
      <c r="A20393" s="4" t="s">
        <v>25673</v>
      </c>
      <c r="B20393" s="4" t="s">
        <v>25676</v>
      </c>
      <c r="C20393" s="5" t="str">
        <f>IFERROR(__xludf.DUMMYFUNCTION("GOOGLETRANSLATE(B20393,""en"",""zh-CN"")"),"他再次打开它，并将其他东西放在中间。")</f>
        <v>他再次打开它，并将其他东西放在中间。</v>
      </c>
    </row>
    <row r="20394">
      <c r="A20394" s="4" t="s">
        <v>25673</v>
      </c>
      <c r="B20394" s="4" t="s">
        <v>25677</v>
      </c>
      <c r="C20394" s="5" t="str">
        <f>IFERROR(__xludf.DUMMYFUNCTION("GOOGLETRANSLATE(B20394,""en"",""zh-CN"")"),"然后将其拉在一起，然后将其关闭，他用围巾制作了一个小袋。")</f>
        <v>然后将其拉在一起，然后将其关闭，他用围巾制作了一个小袋。</v>
      </c>
    </row>
    <row r="20395">
      <c r="A20395" s="4" t="s">
        <v>25678</v>
      </c>
      <c r="B20395" s="4" t="s">
        <v>25679</v>
      </c>
      <c r="C20395" s="5" t="str">
        <f>IFERROR(__xludf.DUMMYFUNCTION("GOOGLETRANSLATE(B20395,""en"",""zh-CN"")"),"介绍出现在屏幕上，以获取有关如何玩南瓜的视频。")</f>
        <v>介绍出现在屏幕上，以获取有关如何玩南瓜的视频。</v>
      </c>
    </row>
    <row r="20396">
      <c r="A20396" s="4" t="s">
        <v>25678</v>
      </c>
      <c r="B20396" s="4" t="s">
        <v>25680</v>
      </c>
      <c r="C20396" s="5" t="str">
        <f>IFERROR(__xludf.DUMMYFUNCTION("GOOGLETRANSLATE(B20396,""en"",""zh-CN"")"),"两名男子在壁球场上扮演壁球比赛。")</f>
        <v>两名男子在壁球场上扮演壁球比赛。</v>
      </c>
    </row>
    <row r="20397">
      <c r="A20397" s="4" t="s">
        <v>25678</v>
      </c>
      <c r="B20397" s="4" t="s">
        <v>25681</v>
      </c>
      <c r="C20397" s="5" t="str">
        <f>IFERROR(__xludf.DUMMYFUNCTION("GOOGLETRANSLATE(B20397,""en"",""zh-CN"")"),"屏幕上显示文字显示您需要的游戏所需的内容。")</f>
        <v>屏幕上显示文字显示您需要的游戏所需的内容。</v>
      </c>
    </row>
    <row r="20398">
      <c r="A20398" s="4" t="s">
        <v>25678</v>
      </c>
      <c r="B20398" s="4" t="s">
        <v>25682</v>
      </c>
      <c r="C20398" s="5" t="str">
        <f>IFERROR(__xludf.DUMMYFUNCTION("GOOGLETRANSLATE(B20398,""en"",""zh-CN"")"),"屏幕上的指示显示，让您知道不同的行。")</f>
        <v>屏幕上的指示显示，让您知道不同的行。</v>
      </c>
    </row>
    <row r="20399">
      <c r="A20399" s="4" t="s">
        <v>25678</v>
      </c>
      <c r="B20399" s="4" t="s">
        <v>25683</v>
      </c>
      <c r="C20399" s="5" t="str">
        <f>IFERROR(__xludf.DUMMYFUNCTION("GOOGLETRANSLATE(B20399,""en"",""zh-CN"")"),"游戏的提示也出现在屏幕上。")</f>
        <v>游戏的提示也出现在屏幕上。</v>
      </c>
    </row>
    <row r="20400">
      <c r="A20400" s="4" t="s">
        <v>25678</v>
      </c>
      <c r="B20400" s="4" t="s">
        <v>25684</v>
      </c>
      <c r="C20400" s="5" t="str">
        <f>IFERROR(__xludf.DUMMYFUNCTION("GOOGLETRANSLATE(B20400,""en"",""zh-CN"")"),"在视频的末尾，文本框以关于南瓜的有趣事实显示。")</f>
        <v>在视频的末尾，文本框以关于南瓜的有趣事实显示。</v>
      </c>
    </row>
    <row r="20401">
      <c r="A20401" s="4" t="s">
        <v>25685</v>
      </c>
      <c r="B20401" s="4" t="s">
        <v>25686</v>
      </c>
      <c r="C20401" s="5" t="str">
        <f>IFERROR(__xludf.DUMMYFUNCTION("GOOGLETRANSLATE(B20401,""en"",""zh-CN"")"),"一个男人穿越停车场，弹跳鞋。")</f>
        <v>一个男人穿越停车场，弹跳鞋。</v>
      </c>
    </row>
    <row r="20402">
      <c r="A20402" s="4" t="s">
        <v>25685</v>
      </c>
      <c r="B20402" s="4" t="s">
        <v>25687</v>
      </c>
      <c r="C20402" s="5" t="str">
        <f>IFERROR(__xludf.DUMMYFUNCTION("GOOGLETRANSLATE(B20402,""en"",""zh-CN"")"),"削皮地块中有汽车。")</f>
        <v>削皮地块中有汽车。</v>
      </c>
    </row>
    <row r="20403">
      <c r="A20403" s="4" t="s">
        <v>25688</v>
      </c>
      <c r="B20403" s="4" t="s">
        <v>25689</v>
      </c>
      <c r="C20403" s="5" t="str">
        <f>IFERROR(__xludf.DUMMYFUNCTION("GOOGLETRANSLATE(B20403,""en"",""zh-CN"")"),"几个人在户外享受海滩。")</f>
        <v>几个人在户外享受海滩。</v>
      </c>
    </row>
    <row r="20404">
      <c r="A20404" s="4" t="s">
        <v>25688</v>
      </c>
      <c r="B20404" s="4" t="s">
        <v>25690</v>
      </c>
      <c r="C20404" s="5" t="str">
        <f>IFERROR(__xludf.DUMMYFUNCTION("GOOGLETRANSLATE(B20404,""en"",""zh-CN"")"),"然而，在沙子中间，有一群男人在玩海滩射手的比赛。")</f>
        <v>然而，在沙子中间，有一群男人在玩海滩射手的比赛。</v>
      </c>
    </row>
    <row r="20405">
      <c r="A20405" s="4" t="s">
        <v>25688</v>
      </c>
      <c r="B20405" s="6" t="s">
        <v>25691</v>
      </c>
      <c r="C20405" s="5" t="str">
        <f>IFERROR(__xludf.DUMMYFUNCTION("GOOGLETRANSLATE(B20405,""en"",""zh-CN"")"),"经过几次命中后，一个人决定将球踢在网上，另一个男人从另一侧逃跑，将他抓在泥土中。")</f>
        <v>经过几次命中后，一个人决定将球踢在网上，另一个男人从另一侧逃跑，将他抓在泥土中。</v>
      </c>
    </row>
    <row r="20406">
      <c r="A20406" s="4" t="s">
        <v>25692</v>
      </c>
      <c r="B20406" s="4" t="s">
        <v>25693</v>
      </c>
      <c r="C20406" s="5" t="str">
        <f>IFERROR(__xludf.DUMMYFUNCTION("GOOGLETRANSLATE(B20406,""en"",""zh-CN"")"),"教练在篮球场上向男孩们提供指示。")</f>
        <v>教练在篮球场上向男孩们提供指示。</v>
      </c>
    </row>
    <row r="20407">
      <c r="A20407" s="4" t="s">
        <v>25692</v>
      </c>
      <c r="B20407" s="4" t="s">
        <v>25694</v>
      </c>
      <c r="C20407" s="5" t="str">
        <f>IFERROR(__xludf.DUMMYFUNCTION("GOOGLETRANSLATE(B20407,""en"",""zh-CN"")"),"然后，两个年轻人展示了男孩如何在篮子里传球。")</f>
        <v>然后，两个年轻人展示了男孩如何在篮子里传球。</v>
      </c>
    </row>
    <row r="20408">
      <c r="A20408" s="4" t="s">
        <v>25692</v>
      </c>
      <c r="B20408" s="6" t="s">
        <v>25695</v>
      </c>
      <c r="C20408" s="5" t="str">
        <f>IFERROR(__xludf.DUMMYFUNCTION("GOOGLETRANSLATE(B20408,""en"",""zh-CN"")"),"之后，年轻人帮助男孩们将球扔进篮子里，而两次跑步将球传球射门。")</f>
        <v>之后，年轻人帮助男孩们将球扔进篮子里，而两次跑步将球传球射门。</v>
      </c>
    </row>
    <row r="20409">
      <c r="A20409" s="4" t="s">
        <v>25692</v>
      </c>
      <c r="B20409" s="6" t="s">
        <v>25696</v>
      </c>
      <c r="C20409" s="5" t="str">
        <f>IFERROR(__xludf.DUMMYFUNCTION("GOOGLETRANSLATE(B20409,""en"",""zh-CN"")"),"然后，男孩们练习篮球防守，在跑到球场的另一侧时轮流。")</f>
        <v>然后，男孩们练习篮球防守，在跑到球场的另一侧时轮流。</v>
      </c>
    </row>
    <row r="20410">
      <c r="A20410" s="4" t="s">
        <v>25697</v>
      </c>
      <c r="B20410" s="4" t="s">
        <v>25698</v>
      </c>
      <c r="C20410" s="5" t="str">
        <f>IFERROR(__xludf.DUMMYFUNCTION("GOOGLETRANSLATE(B20410,""en"",""zh-CN"")"),"旧剪辑显示了一个男人画一张照片和两个孩子看着的剪辑。")</f>
        <v>旧剪辑显示了一个男人画一张照片和两个孩子看着的剪辑。</v>
      </c>
    </row>
    <row r="20411">
      <c r="A20411" s="4" t="s">
        <v>25697</v>
      </c>
      <c r="B20411" s="6" t="s">
        <v>25699</v>
      </c>
      <c r="C20411" s="5" t="str">
        <f>IFERROR(__xludf.DUMMYFUNCTION("GOOGLETRANSLATE(B20411,""en"",""zh-CN"")"),"然后，将孩子们放在几个剪辑中，表演了一个木板上的潜水，然后沿着侧面爬回顶部。")</f>
        <v>然后，将孩子们放在几个剪辑中，表演了一个木板上的潜水，然后沿着侧面爬回顶部。</v>
      </c>
    </row>
    <row r="20412">
      <c r="A20412" s="4" t="s">
        <v>25700</v>
      </c>
      <c r="B20412" s="6" t="s">
        <v>25701</v>
      </c>
      <c r="C20412" s="5" t="str">
        <f>IFERROR(__xludf.DUMMYFUNCTION("GOOGLETRANSLATE(B20412,""en"",""zh-CN"")"),"看到一个人在法庭周围将篮球传给其他人，并以射击篮子结束。")</f>
        <v>看到一个人在法庭周围将篮球传给其他人，并以射击篮子结束。</v>
      </c>
    </row>
    <row r="20413">
      <c r="A20413" s="4" t="s">
        <v>25700</v>
      </c>
      <c r="B20413" s="6" t="s">
        <v>25702</v>
      </c>
      <c r="C20413" s="5" t="str">
        <f>IFERROR(__xludf.DUMMYFUNCTION("GOOGLETRANSLATE(B20413,""en"",""zh-CN"")"),"在教练指导的同时，该小组继续将球互相表演。")</f>
        <v>在教练指导的同时，该小组继续将球互相表演。</v>
      </c>
    </row>
    <row r="20414">
      <c r="A20414" s="4" t="s">
        <v>25703</v>
      </c>
      <c r="B20414" s="6" t="s">
        <v>25704</v>
      </c>
      <c r="C20414" s="5" t="str">
        <f>IFERROR(__xludf.DUMMYFUNCTION("GOOGLETRANSLATE(B20414,""en"",""zh-CN"")"),"看到一个男人在镜头上说话，并在管子上骑着雪山的人剪下了一群人。")</f>
        <v>看到一个男人在镜头上说话，并在管子上骑着雪山的人剪下了一群人。</v>
      </c>
    </row>
    <row r="20415">
      <c r="A20415" s="4" t="s">
        <v>25703</v>
      </c>
      <c r="B20415" s="4" t="s">
        <v>25705</v>
      </c>
      <c r="C20415" s="5" t="str">
        <f>IFERROR(__xludf.DUMMYFUNCTION("GOOGLETRANSLATE(B20415,""en"",""zh-CN"")"),"看到越来越多的人沿着山上骑着山。")</f>
        <v>看到越来越多的人沿着山上骑着山。</v>
      </c>
    </row>
    <row r="20416">
      <c r="A20416" s="4" t="s">
        <v>25703</v>
      </c>
      <c r="B20416" s="4" t="s">
        <v>25706</v>
      </c>
      <c r="C20416" s="5" t="str">
        <f>IFERROR(__xludf.DUMMYFUNCTION("GOOGLETRANSLATE(B20416,""en"",""zh-CN"")"),"该小组继续沿着山上骑行，同时也停下来与镜头交谈。")</f>
        <v>该小组继续沿着山上骑行，同时也停下来与镜头交谈。</v>
      </c>
    </row>
    <row r="20417">
      <c r="A20417" s="4" t="s">
        <v>25707</v>
      </c>
      <c r="B20417" s="4" t="s">
        <v>25708</v>
      </c>
      <c r="C20417" s="5" t="str">
        <f>IFERROR(__xludf.DUMMYFUNCTION("GOOGLETRANSLATE(B20417,""en"",""zh-CN"")"),"播放鼓的人正在显示几张黑白照片。")</f>
        <v>播放鼓的人正在显示几张黑白照片。</v>
      </c>
    </row>
    <row r="20418">
      <c r="A20418" s="4" t="s">
        <v>25707</v>
      </c>
      <c r="B20418" s="4" t="s">
        <v>25709</v>
      </c>
      <c r="C20418" s="5" t="str">
        <f>IFERROR(__xludf.DUMMYFUNCTION("GOOGLETRANSLATE(B20418,""en"",""zh-CN"")"),"一群鼓手聚集在一起，在房间里玩。")</f>
        <v>一群鼓手聚集在一起，在房间里玩。</v>
      </c>
    </row>
    <row r="20419">
      <c r="A20419" s="4" t="s">
        <v>25707</v>
      </c>
      <c r="B20419" s="4" t="s">
        <v>25710</v>
      </c>
      <c r="C20419" s="5" t="str">
        <f>IFERROR(__xludf.DUMMYFUNCTION("GOOGLETRANSLATE(B20419,""en"",""zh-CN"")"),"他们的演奏散布着乐谱的图像，然后返回他们的表演。")</f>
        <v>他们的演奏散布着乐谱的图像，然后返回他们的表演。</v>
      </c>
    </row>
    <row r="20420">
      <c r="A20420" s="4" t="s">
        <v>25711</v>
      </c>
      <c r="B20420" s="4" t="s">
        <v>25712</v>
      </c>
      <c r="C20420" s="5" t="str">
        <f>IFERROR(__xludf.DUMMYFUNCTION("GOOGLETRANSLATE(B20420,""en"",""zh-CN"")"),"体操运动员跑到，然后在他穿过垫子的尽头时进行了卡特轮和刺痛。")</f>
        <v>体操运动员跑到，然后在他穿过垫子的尽头时进行了卡特轮和刺痛。</v>
      </c>
    </row>
    <row r="20421">
      <c r="A20421" s="4" t="s">
        <v>25711</v>
      </c>
      <c r="B20421" s="4" t="s">
        <v>25713</v>
      </c>
      <c r="C20421" s="5" t="str">
        <f>IFERROR(__xludf.DUMMYFUNCTION("GOOGLETRANSLATE(B20421,""en"",""zh-CN"")"),"玩家跳了起来。")</f>
        <v>玩家跳了起来。</v>
      </c>
    </row>
    <row r="20422">
      <c r="A20422" s="4" t="s">
        <v>25711</v>
      </c>
      <c r="B20422" s="4" t="s">
        <v>25714</v>
      </c>
      <c r="C20422" s="5" t="str">
        <f>IFERROR(__xludf.DUMMYFUNCTION("GOOGLETRANSLATE(B20422,""en"",""zh-CN"")"),"男性体操运动员在空中旋转，然后他降落在垫子的末端。")</f>
        <v>男性体操运动员在空中旋转，然后他降落在垫子的末端。</v>
      </c>
    </row>
    <row r="20423">
      <c r="A20423" s="4" t="s">
        <v>25715</v>
      </c>
      <c r="B20423" s="4" t="s">
        <v>25716</v>
      </c>
      <c r="C20423" s="5" t="str">
        <f>IFERROR(__xludf.DUMMYFUNCTION("GOOGLETRANSLATE(B20423,""en"",""zh-CN"")"),"显示了几张森林的镜头，这些森林导致一个人在皮划艇上骑行并骑行。")</f>
        <v>显示了几张森林的镜头，这些森林导致一个人在皮划艇上骑行并骑行。</v>
      </c>
    </row>
    <row r="20424">
      <c r="A20424" s="4" t="s">
        <v>25715</v>
      </c>
      <c r="B20424" s="6" t="s">
        <v>25717</v>
      </c>
      <c r="C20424" s="5" t="str">
        <f>IFERROR(__xludf.DUMMYFUNCTION("GOOGLETRANSLATE(B20424,""en"",""zh-CN"")"),"该人沿着粗糙的河流划船，并向其他人展示骑行。")</f>
        <v>该人沿着粗糙的河流划船，并向其他人展示骑行。</v>
      </c>
    </row>
    <row r="20425">
      <c r="A20425" s="4" t="s">
        <v>25715</v>
      </c>
      <c r="B20425" s="4" t="s">
        <v>25718</v>
      </c>
      <c r="C20425" s="5" t="str">
        <f>IFERROR(__xludf.DUMMYFUNCTION("GOOGLETRANSLATE(B20425,""en"",""zh-CN"")"),"他们沿着河流过来，沿着河流靠近河水。")</f>
        <v>他们沿着河流过来，沿着河流靠近河水。</v>
      </c>
    </row>
    <row r="20426">
      <c r="A20426" s="4" t="s">
        <v>25719</v>
      </c>
      <c r="B20426" s="4" t="s">
        <v>25720</v>
      </c>
      <c r="C20426" s="5" t="str">
        <f>IFERROR(__xludf.DUMMYFUNCTION("GOOGLETRANSLATE(B20426,""en"",""zh-CN"")"),"在浴室里看到一个女人。")</f>
        <v>在浴室里看到一个女人。</v>
      </c>
    </row>
    <row r="20427">
      <c r="A20427" s="4" t="s">
        <v>25719</v>
      </c>
      <c r="B20427" s="4" t="s">
        <v>25721</v>
      </c>
      <c r="C20427" s="5" t="str">
        <f>IFERROR(__xludf.DUMMYFUNCTION("GOOGLETRANSLATE(B20427,""en"",""zh-CN"")"),"她正在使用干衣机吹干头发。")</f>
        <v>她正在使用干衣机吹干头发。</v>
      </c>
    </row>
    <row r="20428">
      <c r="A20428" s="4" t="s">
        <v>25719</v>
      </c>
      <c r="B20428" s="4" t="s">
        <v>25722</v>
      </c>
      <c r="C20428" s="5" t="str">
        <f>IFERROR(__xludf.DUMMYFUNCTION("GOOGLETRANSLATE(B20428,""en"",""zh-CN"")"),"她偶尔使用刷子来帮助加快过程。")</f>
        <v>她偶尔使用刷子来帮助加快过程。</v>
      </c>
    </row>
    <row r="20429">
      <c r="A20429" s="4" t="s">
        <v>25723</v>
      </c>
      <c r="B20429" s="6" t="s">
        <v>25724</v>
      </c>
      <c r="C20429" s="5" t="str">
        <f>IFERROR(__xludf.DUMMYFUNCTION("GOOGLETRANSLATE(B20429,""en"",""zh-CN"")"),"当人们沿着场外观看时，看到一小群人在打排球的比赛。")</f>
        <v>当人们沿着场外观看时，看到一小群人在打排球的比赛。</v>
      </c>
    </row>
    <row r="20430">
      <c r="A20430" s="4" t="s">
        <v>25723</v>
      </c>
      <c r="B20430" s="4" t="s">
        <v>25725</v>
      </c>
      <c r="C20430" s="5" t="str">
        <f>IFERROR(__xludf.DUMMYFUNCTION("GOOGLETRANSLATE(B20430,""en"",""zh-CN"")"),"球员在网上几次击球，并追逐球。")</f>
        <v>球员在网上几次击球，并追逐球。</v>
      </c>
    </row>
    <row r="20431">
      <c r="A20431" s="4" t="s">
        <v>25723</v>
      </c>
      <c r="B20431" s="4" t="s">
        <v>25726</v>
      </c>
      <c r="C20431" s="5" t="str">
        <f>IFERROR(__xludf.DUMMYFUNCTION("GOOGLETRANSLATE(B20431,""en"",""zh-CN"")"),"继续玩游戏，而其他人则在互相欢呼，彼此之间互相欢呼。")</f>
        <v>继续玩游戏，而其他人则在互相欢呼，彼此之间互相欢呼。</v>
      </c>
    </row>
    <row r="20432">
      <c r="A20432" s="4" t="s">
        <v>25727</v>
      </c>
      <c r="B20432" s="4" t="s">
        <v>25728</v>
      </c>
      <c r="C20432" s="5" t="str">
        <f>IFERROR(__xludf.DUMMYFUNCTION("GOOGLETRANSLATE(B20432,""en"",""zh-CN"")"),"一个戴着帽子的男人越过院子走到金属结构。")</f>
        <v>一个戴着帽子的男人越过院子走到金属结构。</v>
      </c>
    </row>
    <row r="20433">
      <c r="A20433" s="4" t="s">
        <v>25727</v>
      </c>
      <c r="B20433" s="6" t="s">
        <v>25729</v>
      </c>
      <c r="C20433" s="5" t="str">
        <f>IFERROR(__xludf.DUMMYFUNCTION("GOOGLETRANSLATE(B20433,""en"",""zh-CN"")"),"他调整了梯子，将其靠在结构上，向后走去看，然后再调整几次。")</f>
        <v>他调整了梯子，将其靠在结构上，向后走去看，然后再调整几次。</v>
      </c>
    </row>
    <row r="20434">
      <c r="A20434" s="4" t="s">
        <v>25727</v>
      </c>
      <c r="B20434" s="4" t="s">
        <v>25730</v>
      </c>
      <c r="C20434" s="5" t="str">
        <f>IFERROR(__xludf.DUMMYFUNCTION("GOOGLETRANSLATE(B20434,""en"",""zh-CN"")"),"满意时，他会收紧皮带，抓住第二个梯子。")</f>
        <v>满意时，他会收紧皮带，抓住第二个梯子。</v>
      </c>
    </row>
    <row r="20435">
      <c r="A20435" s="4" t="s">
        <v>25727</v>
      </c>
      <c r="B20435" s="4" t="s">
        <v>25731</v>
      </c>
      <c r="C20435" s="5" t="str">
        <f>IFERROR(__xludf.DUMMYFUNCTION("GOOGLETRANSLATE(B20435,""en"",""zh-CN"")"),"他爬上去，随身携带。")</f>
        <v>他爬上去，随身携带。</v>
      </c>
    </row>
    <row r="20436">
      <c r="A20436" s="4" t="s">
        <v>25732</v>
      </c>
      <c r="B20436" s="4" t="s">
        <v>25733</v>
      </c>
      <c r="C20436" s="5" t="str">
        <f>IFERROR(__xludf.DUMMYFUNCTION("GOOGLETRANSLATE(B20436,""en"",""zh-CN"")"),"BMX在门口等待大门下来，比赛开始。")</f>
        <v>BMX在门口等待大门下来，比赛开始。</v>
      </c>
    </row>
    <row r="20437">
      <c r="A20437" s="4" t="s">
        <v>25732</v>
      </c>
      <c r="B20437" s="4" t="s">
        <v>25734</v>
      </c>
      <c r="C20437" s="5" t="str">
        <f>IFERROR(__xludf.DUMMYFUNCTION("GOOGLETRANSLATE(B20437,""en"",""zh-CN"")"),"他们在赛道上起飞非常快，非常快速。")</f>
        <v>他们在赛道上起飞非常快，非常快速。</v>
      </c>
    </row>
    <row r="20438">
      <c r="A20438" s="4" t="s">
        <v>25732</v>
      </c>
      <c r="B20438" s="6" t="s">
        <v>25735</v>
      </c>
      <c r="C20438" s="5" t="str">
        <f>IFERROR(__xludf.DUMMYFUNCTION("GOOGLETRANSLATE(B20438,""en"",""zh-CN"")"),"佛罗里达州有几个位置可以用于BMXing，如果您喜欢这样做并且不知道该去哪里，他们有1500名许可的车手和30个赞助团队。")</f>
        <v>佛罗里达州有几个位置可以用于BMXing，如果您喜欢这样做并且不知道该去哪里，他们有1500名许可的车手和30个赞助团队。</v>
      </c>
    </row>
    <row r="20439">
      <c r="A20439" s="4" t="s">
        <v>25732</v>
      </c>
      <c r="B20439" s="4" t="s">
        <v>25736</v>
      </c>
      <c r="C20439" s="5" t="str">
        <f>IFERROR(__xludf.DUMMYFUNCTION("GOOGLETRANSLATE(B20439,""en"",""zh-CN"")"),"他们甚至为想像他们的爸爸的迷你车手有一些自行车。")</f>
        <v>他们甚至为想像他们的爸爸的迷你车手有一些自行车。</v>
      </c>
    </row>
    <row r="20440">
      <c r="A20440" s="4" t="s">
        <v>25737</v>
      </c>
      <c r="B20440" s="4" t="s">
        <v>25738</v>
      </c>
      <c r="C20440" s="5" t="str">
        <f>IFERROR(__xludf.DUMMYFUNCTION("GOOGLETRANSLATE(B20440,""en"",""zh-CN"")"),"看到不同的指甲油瓶。")</f>
        <v>看到不同的指甲油瓶。</v>
      </c>
    </row>
    <row r="20441">
      <c r="A20441" s="4" t="s">
        <v>25737</v>
      </c>
      <c r="B20441" s="4" t="s">
        <v>25739</v>
      </c>
      <c r="C20441" s="5" t="str">
        <f>IFERROR(__xludf.DUMMYFUNCTION("GOOGLETRANSLATE(B20441,""en"",""zh-CN"")"),"锥度缠绕在指甲周围的手指尖端上。")</f>
        <v>锥度缠绕在指甲周围的手指尖端上。</v>
      </c>
    </row>
    <row r="20442">
      <c r="A20442" s="4" t="s">
        <v>25737</v>
      </c>
      <c r="B20442" s="4" t="s">
        <v>25740</v>
      </c>
      <c r="C20442" s="5" t="str">
        <f>IFERROR(__xludf.DUMMYFUNCTION("GOOGLETRANSLATE(B20442,""en"",""zh-CN"")"),"将指甲油的不同阴影应用于泡沫垫上，然后在指甲上擦拭。")</f>
        <v>将指甲油的不同阴影应用于泡沫垫上，然后在指甲上擦拭。</v>
      </c>
    </row>
    <row r="20443">
      <c r="A20443" s="4" t="s">
        <v>25737</v>
      </c>
      <c r="B20443" s="4" t="s">
        <v>25741</v>
      </c>
      <c r="C20443" s="5" t="str">
        <f>IFERROR(__xludf.DUMMYFUNCTION("GOOGLETRANSLATE(B20443,""en"",""zh-CN"")"),"将涂层涂在指甲上。")</f>
        <v>将涂层涂在指甲上。</v>
      </c>
    </row>
    <row r="20444">
      <c r="A20444" s="4" t="s">
        <v>25737</v>
      </c>
      <c r="B20444" s="4" t="s">
        <v>25742</v>
      </c>
      <c r="C20444" s="5" t="str">
        <f>IFERROR(__xludf.DUMMYFUNCTION("GOOGLETRANSLATE(B20444,""en"",""zh-CN"")"),"将胶带拆除，并使用指甲油拆卸溶液清理边缘。")</f>
        <v>将胶带拆除，并使用指甲油拆卸溶液清理边缘。</v>
      </c>
    </row>
    <row r="20445">
      <c r="A20445" s="4" t="s">
        <v>25743</v>
      </c>
      <c r="B20445" s="4" t="s">
        <v>25744</v>
      </c>
      <c r="C20445" s="5" t="str">
        <f>IFERROR(__xludf.DUMMYFUNCTION("GOOGLETRANSLATE(B20445,""en"",""zh-CN"")"),"一个女人赤脚坐在汽车上，试图开车。")</f>
        <v>一个女人赤脚坐在汽车上，试图开车。</v>
      </c>
    </row>
    <row r="20446">
      <c r="A20446" s="4" t="s">
        <v>25743</v>
      </c>
      <c r="B20446" s="4" t="s">
        <v>25745</v>
      </c>
      <c r="C20446" s="5" t="str">
        <f>IFERROR(__xludf.DUMMYFUNCTION("GOOGLETRANSLATE(B20446,""en"",""zh-CN"")"),"她开车时点烟。")</f>
        <v>她开车时点烟。</v>
      </c>
    </row>
    <row r="20447">
      <c r="A20447" s="4" t="s">
        <v>25746</v>
      </c>
      <c r="B20447" s="6" t="s">
        <v>25747</v>
      </c>
      <c r="C20447" s="5" t="str">
        <f>IFERROR(__xludf.DUMMYFUNCTION("GOOGLETRANSLATE(B20447,""en"",""zh-CN"")"),"一个穿着黄色衬衫和黑色紧身裤的男人朝自行车走去，弯腰拧下螺丝。")</f>
        <v>一个穿着黄色衬衫和黑色紧身裤的男人朝自行车走去，弯腰拧下螺丝。</v>
      </c>
    </row>
    <row r="20448">
      <c r="A20448" s="4" t="s">
        <v>25746</v>
      </c>
      <c r="B20448" s="6" t="s">
        <v>25748</v>
      </c>
      <c r="C20448" s="5" t="str">
        <f>IFERROR(__xludf.DUMMYFUNCTION("GOOGLETRANSLATE(B20448,""en"",""zh-CN"")"),"穿着黄色衬衫的那个人从口袋里拿出工具，从自行车上摘下自行车轮，拔出黄色工具，将其插入橡胶和金属之间，将橡胶在轮胎中移开，试图找到孔，取了一块方布，擦拭轮胎，然后放贴纸，他抽了橡胶，然后将其放回轮胎中。")</f>
        <v>穿着黄色衬衫的那个人从口袋里拿出工具，从自行车上摘下自行车轮，拔出黄色工具，将其插入橡胶和金属之间，将橡胶在轮胎中移开，试图找到孔，取了一块方布，擦拭轮胎，然后放贴纸，他抽了橡胶，然后将其放回轮胎中。</v>
      </c>
    </row>
    <row r="20449">
      <c r="A20449" s="4" t="s">
        <v>25746</v>
      </c>
      <c r="B20449" s="4" t="s">
        <v>25749</v>
      </c>
      <c r="C20449" s="5" t="str">
        <f>IFERROR(__xludf.DUMMYFUNCTION("GOOGLETRANSLATE(B20449,""en"",""zh-CN"")"),"该人将车轮拧回自行车。")</f>
        <v>该人将车轮拧回自行车。</v>
      </c>
    </row>
    <row r="20450">
      <c r="A20450" s="4" t="s">
        <v>25750</v>
      </c>
      <c r="B20450" s="4" t="s">
        <v>25751</v>
      </c>
      <c r="C20450" s="5" t="str">
        <f>IFERROR(__xludf.DUMMYFUNCTION("GOOGLETRANSLATE(B20450,""en"",""zh-CN"")"),"一个人睁大眼睛。")</f>
        <v>一个人睁大眼睛。</v>
      </c>
    </row>
    <row r="20451">
      <c r="A20451" s="4" t="s">
        <v>25750</v>
      </c>
      <c r="B20451" s="4" t="s">
        <v>25752</v>
      </c>
      <c r="C20451" s="5" t="str">
        <f>IFERROR(__xludf.DUMMYFUNCTION("GOOGLETRANSLATE(B20451,""en"",""zh-CN"")"),"他们将隐形眼镜放在眼中。")</f>
        <v>他们将隐形眼镜放在眼中。</v>
      </c>
    </row>
    <row r="20452">
      <c r="A20452" s="4" t="s">
        <v>25750</v>
      </c>
      <c r="B20452" s="4" t="s">
        <v>25753</v>
      </c>
      <c r="C20452" s="5" t="str">
        <f>IFERROR(__xludf.DUMMYFUNCTION("GOOGLETRANSLATE(B20452,""en"",""zh-CN"")"),"然后，他们将隐形眼镜从眼睛中取出。")</f>
        <v>然后，他们将隐形眼镜从眼睛中取出。</v>
      </c>
    </row>
    <row r="20453">
      <c r="A20453" s="4" t="s">
        <v>25754</v>
      </c>
      <c r="B20453" s="4" t="s">
        <v>25755</v>
      </c>
      <c r="C20453" s="5" t="str">
        <f>IFERROR(__xludf.DUMMYFUNCTION("GOOGLETRANSLATE(B20453,""en"",""zh-CN"")"),"看到一个小孩坐在教练开设礼物上。")</f>
        <v>看到一个小孩坐在教练开设礼物上。</v>
      </c>
    </row>
    <row r="20454">
      <c r="A20454" s="4" t="s">
        <v>25754</v>
      </c>
      <c r="B20454" s="4" t="s">
        <v>25756</v>
      </c>
      <c r="C20454" s="5" t="str">
        <f>IFERROR(__xludf.DUMMYFUNCTION("GOOGLETRANSLATE(B20454,""en"",""zh-CN"")"),"当她打开现在时，摄像机在她周围晃动，并向相机微笑。")</f>
        <v>当她打开现在时，摄像机在她周围晃动，并向相机微笑。</v>
      </c>
    </row>
    <row r="20455">
      <c r="A20455" s="4" t="s">
        <v>25754</v>
      </c>
      <c r="B20455" s="4" t="s">
        <v>25757</v>
      </c>
      <c r="C20455" s="5" t="str">
        <f>IFERROR(__xludf.DUMMYFUNCTION("GOOGLETRANSLATE(B20455,""en"",""zh-CN"")"),"她继续试图在看着和微笑时打开盒子。")</f>
        <v>她继续试图在看着和微笑时打开盒子。</v>
      </c>
    </row>
    <row r="20456">
      <c r="A20456" s="4" t="s">
        <v>25758</v>
      </c>
      <c r="B20456" s="4" t="s">
        <v>25759</v>
      </c>
      <c r="C20456" s="5" t="str">
        <f>IFERROR(__xludf.DUMMYFUNCTION("GOOGLETRANSLATE(B20456,""en"",""zh-CN"")"),"表演期间，一个女人和男人在舞台上戴着匹配的绿色舞蹈。")</f>
        <v>表演期间，一个女人和男人在舞台上戴着匹配的绿色舞蹈。</v>
      </c>
    </row>
    <row r="20457">
      <c r="A20457" s="4" t="s">
        <v>25758</v>
      </c>
      <c r="B20457" s="4" t="s">
        <v>25760</v>
      </c>
      <c r="C20457" s="5" t="str">
        <f>IFERROR(__xludf.DUMMYFUNCTION("GOOGLETRANSLATE(B20457,""en"",""zh-CN"")"),"该男子在舞蹈中旋转他的伴侣。")</f>
        <v>该男子在舞蹈中旋转他的伴侣。</v>
      </c>
    </row>
    <row r="20458">
      <c r="A20458" s="4" t="s">
        <v>25758</v>
      </c>
      <c r="B20458" s="4" t="s">
        <v>25761</v>
      </c>
      <c r="C20458" s="5" t="str">
        <f>IFERROR(__xludf.DUMMYFUNCTION("GOOGLETRANSLATE(B20458,""en"",""zh-CN"")"),"舞者跳舞时踢在那儿。")</f>
        <v>舞者跳舞时踢在那儿。</v>
      </c>
    </row>
    <row r="20459">
      <c r="A20459" s="4" t="s">
        <v>25762</v>
      </c>
      <c r="B20459" s="4" t="s">
        <v>25763</v>
      </c>
      <c r="C20459" s="5" t="str">
        <f>IFERROR(__xludf.DUMMYFUNCTION("GOOGLETRANSLATE(B20459,""en"",""zh-CN"")"),"一个男孩和相机说话。")</f>
        <v>一个男孩和相机说话。</v>
      </c>
    </row>
    <row r="20460">
      <c r="A20460" s="4" t="s">
        <v>25762</v>
      </c>
      <c r="B20460" s="4" t="s">
        <v>25764</v>
      </c>
      <c r="C20460" s="5" t="str">
        <f>IFERROR(__xludf.DUMMYFUNCTION("GOOGLETRANSLATE(B20460,""en"",""zh-CN"")"),"男孩用刷子擦洗金属水槽。")</f>
        <v>男孩用刷子擦洗金属水槽。</v>
      </c>
    </row>
    <row r="20461">
      <c r="A20461" s="4" t="s">
        <v>25762</v>
      </c>
      <c r="B20461" s="4" t="s">
        <v>25765</v>
      </c>
      <c r="C20461" s="5" t="str">
        <f>IFERROR(__xludf.DUMMYFUNCTION("GOOGLETRANSLATE(B20461,""en"",""zh-CN"")"),"男孩将握在刷子上。")</f>
        <v>男孩将握在刷子上。</v>
      </c>
    </row>
    <row r="20462">
      <c r="A20462" s="4" t="s">
        <v>25766</v>
      </c>
      <c r="B20462" s="4" t="s">
        <v>25767</v>
      </c>
      <c r="C20462" s="5" t="str">
        <f>IFERROR(__xludf.DUMMYFUNCTION("GOOGLETRANSLATE(B20462,""en"",""zh-CN"")"),"三人坐在海边。")</f>
        <v>三人坐在海边。</v>
      </c>
    </row>
    <row r="20463">
      <c r="A20463" s="4" t="s">
        <v>25766</v>
      </c>
      <c r="B20463" s="4" t="s">
        <v>25768</v>
      </c>
      <c r="C20463" s="5" t="str">
        <f>IFERROR(__xludf.DUMMYFUNCTION("GOOGLETRANSLATE(B20463,""en"",""zh-CN"")"),"一个人冲浪在一波浪潮上，然后在空中飞行并降落在岸上。")</f>
        <v>一个人冲浪在一波浪潮上，然后在空中飞行并降落在岸上。</v>
      </c>
    </row>
    <row r="20464">
      <c r="A20464" s="4" t="s">
        <v>25766</v>
      </c>
      <c r="B20464" s="4" t="s">
        <v>25769</v>
      </c>
      <c r="C20464" s="5" t="str">
        <f>IFERROR(__xludf.DUMMYFUNCTION("GOOGLETRANSLATE(B20464,""en"",""zh-CN"")"),"一个人拍照去冲浪者。")</f>
        <v>一个人拍照去冲浪者。</v>
      </c>
    </row>
    <row r="20465">
      <c r="A20465" s="4" t="s">
        <v>25766</v>
      </c>
      <c r="B20465" s="6" t="s">
        <v>25770</v>
      </c>
      <c r="C20465" s="5" t="str">
        <f>IFERROR(__xludf.DUMMYFUNCTION("GOOGLETRANSLATE(B20465,""en"",""zh-CN"")"),"该男子乘冲浪板在海滩上散步后，他继续冲浪，旋转和跳跃。")</f>
        <v>该男子乘冲浪板在海滩上散步后，他继续冲浪，旋转和跳跃。</v>
      </c>
    </row>
    <row r="20466">
      <c r="A20466" s="4" t="s">
        <v>25766</v>
      </c>
      <c r="B20466" s="4" t="s">
        <v>25771</v>
      </c>
      <c r="C20466" s="5" t="str">
        <f>IFERROR(__xludf.DUMMYFUNCTION("GOOGLETRANSLATE(B20466,""en"",""zh-CN"")"),"冲浪者在波浪中翻身。")</f>
        <v>冲浪者在波浪中翻身。</v>
      </c>
    </row>
    <row r="20467">
      <c r="A20467" s="4" t="s">
        <v>25772</v>
      </c>
      <c r="B20467" s="4" t="s">
        <v>25773</v>
      </c>
      <c r="C20467" s="5" t="str">
        <f>IFERROR(__xludf.DUMMYFUNCTION("GOOGLETRANSLATE(B20467,""en"",""zh-CN"")"),"冲浪者站在海流中。")</f>
        <v>冲浪者站在海流中。</v>
      </c>
    </row>
    <row r="20468">
      <c r="A20468" s="4" t="s">
        <v>25772</v>
      </c>
      <c r="B20468" s="4" t="s">
        <v>25774</v>
      </c>
      <c r="C20468" s="5" t="str">
        <f>IFERROR(__xludf.DUMMYFUNCTION("GOOGLETRANSLATE(B20468,""en"",""zh-CN"")"),"当他们冲进海浪时，其他几个冲浪者也加入了他的行列。")</f>
        <v>当他们冲进海浪时，其他几个冲浪者也加入了他的行列。</v>
      </c>
    </row>
    <row r="20469">
      <c r="A20469" s="4" t="s">
        <v>25772</v>
      </c>
      <c r="B20469" s="4" t="s">
        <v>25775</v>
      </c>
      <c r="C20469" s="5" t="str">
        <f>IFERROR(__xludf.DUMMYFUNCTION("GOOGLETRANSLATE(B20469,""en"",""zh-CN"")"),"他们一起将海浪骑到岸上。")</f>
        <v>他们一起将海浪骑到岸上。</v>
      </c>
    </row>
    <row r="20470">
      <c r="A20470" s="4" t="s">
        <v>25776</v>
      </c>
      <c r="B20470" s="4" t="s">
        <v>25777</v>
      </c>
      <c r="C20470" s="5" t="str">
        <f>IFERROR(__xludf.DUMMYFUNCTION("GOOGLETRANSLATE(B20470,""en"",""zh-CN"")"),"看到一个男人坐在地板上，跳到站立的位置。")</f>
        <v>看到一个男人坐在地板上，跳到站立的位置。</v>
      </c>
    </row>
    <row r="20471">
      <c r="A20471" s="4" t="s">
        <v>25776</v>
      </c>
      <c r="B20471" s="4" t="s">
        <v>25778</v>
      </c>
      <c r="C20471" s="5" t="str">
        <f>IFERROR(__xludf.DUMMYFUNCTION("GOOGLETRANSLATE(B20471,""en"",""zh-CN"")"),"然后，他回到跪下的位置，再次跳到脚下。")</f>
        <v>然后，他回到跪下的位置，再次跳到脚下。</v>
      </c>
    </row>
    <row r="20472">
      <c r="A20472" s="4" t="s">
        <v>25776</v>
      </c>
      <c r="B20472" s="4" t="s">
        <v>25779</v>
      </c>
      <c r="C20472" s="5" t="str">
        <f>IFERROR(__xludf.DUMMYFUNCTION("GOOGLETRANSLATE(B20472,""en"",""zh-CN"")"),"同一个人又做了两次。")</f>
        <v>同一个人又做了两次。</v>
      </c>
    </row>
    <row r="20473">
      <c r="A20473" s="4" t="s">
        <v>25780</v>
      </c>
      <c r="B20473" s="4" t="s">
        <v>25781</v>
      </c>
      <c r="C20473" s="5" t="str">
        <f>IFERROR(__xludf.DUMMYFUNCTION("GOOGLETRANSLATE(B20473,""en"",""zh-CN"")"),"出现了一个黑色的介绍屏幕，中间带有超级清洗单词。")</f>
        <v>出现了一个黑色的介绍屏幕，中间带有超级清洗单词。</v>
      </c>
    </row>
    <row r="20474">
      <c r="A20474" s="4" t="s">
        <v>25780</v>
      </c>
      <c r="B20474" s="6" t="s">
        <v>25782</v>
      </c>
      <c r="C20474" s="5" t="str">
        <f>IFERROR(__xludf.DUMMYFUNCTION("GOOGLETRANSLATE(B20474,""en"",""zh-CN"")"),"在洗车上，一辆红色的汽车和一辆汽车都在洗车上，每辆车都有两组人在处理。")</f>
        <v>在洗车上，一辆红色的汽车和一辆汽车都在洗车上，每辆车都有两组人在处理。</v>
      </c>
    </row>
    <row r="20475">
      <c r="A20475" s="4" t="s">
        <v>25780</v>
      </c>
      <c r="B20475" s="6" t="s">
        <v>25783</v>
      </c>
      <c r="C20475" s="5" t="str">
        <f>IFERROR(__xludf.DUMMYFUNCTION("GOOGLETRANSLATE(B20475,""en"",""zh-CN"")"),"现在有3辆汽车可见，同一个人正在努力洗净红色汽车，而另一名男子开始在第三辆车上工作，该车驶向红色汽车的一侧，所有汽车都继续被洗净。")</f>
        <v>现在有3辆汽车可见，同一个人正在努力洗净红色汽车，而另一名男子开始在第三辆车上工作，该车驶向红色汽车的一侧，所有汽车都继续被洗净。</v>
      </c>
    </row>
    <row r="20476">
      <c r="A20476" s="4" t="s">
        <v>25780</v>
      </c>
      <c r="B20476" s="4" t="s">
        <v>25784</v>
      </c>
      <c r="C20476" s="5" t="str">
        <f>IFERROR(__xludf.DUMMYFUNCTION("GOOGLETRANSLATE(B20476,""en"",""zh-CN"")"),"红色的汽车停在建筑物外面，干净，干燥，非常有光泽。")</f>
        <v>红色的汽车停在建筑物外面，干净，干燥，非常有光泽。</v>
      </c>
    </row>
    <row r="20477">
      <c r="A20477" s="4" t="s">
        <v>25785</v>
      </c>
      <c r="B20477" s="4" t="s">
        <v>25786</v>
      </c>
      <c r="C20477" s="5" t="str">
        <f>IFERROR(__xludf.DUMMYFUNCTION("GOOGLETRANSLATE(B20477,""en"",""zh-CN"")"),"人们在街上开车。")</f>
        <v>人们在街上开车。</v>
      </c>
    </row>
    <row r="20478">
      <c r="A20478" s="4" t="s">
        <v>25785</v>
      </c>
      <c r="B20478" s="4" t="s">
        <v>25787</v>
      </c>
      <c r="C20478" s="5" t="str">
        <f>IFERROR(__xludf.DUMMYFUNCTION("GOOGLETRANSLATE(B20478,""en"",""zh-CN"")"),"他们在河上划船。")</f>
        <v>他们在河上划船。</v>
      </c>
    </row>
    <row r="20479">
      <c r="A20479" s="4" t="s">
        <v>25785</v>
      </c>
      <c r="B20479" s="4" t="s">
        <v>25788</v>
      </c>
      <c r="C20479" s="5" t="str">
        <f>IFERROR(__xludf.DUMMYFUNCTION("GOOGLETRANSLATE(B20479,""en"",""zh-CN"")"),"一个男人站在握着桨的水中。")</f>
        <v>一个男人站在握着桨的水中。</v>
      </c>
    </row>
    <row r="20480">
      <c r="A20480" s="4" t="s">
        <v>25789</v>
      </c>
      <c r="B20480" s="6" t="s">
        <v>25790</v>
      </c>
      <c r="C20480" s="5" t="str">
        <f>IFERROR(__xludf.DUMMYFUNCTION("GOOGLETRANSLATE(B20480,""en"",""zh-CN"")"),"一个白人厨师制服的厨师站在一个空的商业厨房里，展示了如何制作煎蛋。")</f>
        <v>一个白人厨师制服的厨师站在一个空的商业厨房里，展示了如何制作煎蛋。</v>
      </c>
    </row>
    <row r="20481">
      <c r="A20481" s="4" t="s">
        <v>25789</v>
      </c>
      <c r="B20481" s="6" t="s">
        <v>25791</v>
      </c>
      <c r="C20481" s="5" t="str">
        <f>IFERROR(__xludf.DUMMYFUNCTION("GOOGLETRANSLATE(B20481,""en"",""zh-CN"")"),"一位厨师站在厨房里，在取鸡蛋并将其倒入迷你黑煎锅中之前，请与摄像头交谈。")</f>
        <v>一位厨师站在厨房里，在取鸡蛋并将其倒入迷你黑煎锅中之前，请与摄像头交谈。</v>
      </c>
    </row>
    <row r="20482">
      <c r="A20482" s="4" t="s">
        <v>25789</v>
      </c>
      <c r="B20482" s="4" t="s">
        <v>25792</v>
      </c>
      <c r="C20482" s="5" t="str">
        <f>IFERROR(__xludf.DUMMYFUNCTION("GOOGLETRANSLATE(B20482,""en"",""zh-CN"")"),"厨师用叉子轻轻地将鸡蛋在炉子上操纵鸡蛋。")</f>
        <v>厨师用叉子轻轻地将鸡蛋在炉子上操纵鸡蛋。</v>
      </c>
    </row>
    <row r="20483">
      <c r="A20483" s="4" t="s">
        <v>25789</v>
      </c>
      <c r="B20483" s="6" t="s">
        <v>25793</v>
      </c>
      <c r="C20483" s="5" t="str">
        <f>IFERROR(__xludf.DUMMYFUNCTION("GOOGLETRANSLATE(B20483,""en"",""zh-CN"")"),"然后，厨师在煎锅中将鸡蛋折成两半，然后将其盘盘在白板上，然后转到相机并再次交谈。")</f>
        <v>然后，厨师在煎锅中将鸡蛋折成两半，然后将其盘盘在白板上，然后转到相机并再次交谈。</v>
      </c>
    </row>
    <row r="20484">
      <c r="A20484" s="4" t="s">
        <v>25794</v>
      </c>
      <c r="B20484" s="4" t="s">
        <v>25795</v>
      </c>
      <c r="C20484" s="5" t="str">
        <f>IFERROR(__xludf.DUMMYFUNCTION("GOOGLETRANSLATE(B20484,""en"",""zh-CN"")"),"两个女孩在健身房的地板上跳舞和旋转警棍。")</f>
        <v>两个女孩在健身房的地板上跳舞和旋转警棍。</v>
      </c>
    </row>
    <row r="20485">
      <c r="A20485" s="4" t="s">
        <v>25794</v>
      </c>
      <c r="B20485" s="4" t="s">
        <v>25796</v>
      </c>
      <c r="C20485" s="5" t="str">
        <f>IFERROR(__xludf.DUMMYFUNCTION("GOOGLETRANSLATE(B20485,""en"",""zh-CN"")"),"其中一个女孩离开了，另一个女孩继续独自跳舞。")</f>
        <v>其中一个女孩离开了，另一个女孩继续独自跳舞。</v>
      </c>
    </row>
    <row r="20486">
      <c r="A20486" s="4" t="s">
        <v>25794</v>
      </c>
      <c r="B20486" s="4" t="s">
        <v>25797</v>
      </c>
      <c r="C20486" s="5" t="str">
        <f>IFERROR(__xludf.DUMMYFUNCTION("GOOGLETRANSLATE(B20486,""en"",""zh-CN"")"),"她开始将警棍扔向空中。")</f>
        <v>她开始将警棍扔向空中。</v>
      </c>
    </row>
    <row r="20487">
      <c r="A20487" s="4" t="s">
        <v>25794</v>
      </c>
      <c r="B20487" s="4" t="s">
        <v>25798</v>
      </c>
      <c r="C20487" s="5" t="str">
        <f>IFERROR(__xludf.DUMMYFUNCTION("GOOGLETRANSLATE(B20487,""en"",""zh-CN"")"),"第二个女孩再次加入她，他们结束了跳舞。")</f>
        <v>第二个女孩再次加入她，他们结束了跳舞。</v>
      </c>
    </row>
    <row r="20488">
      <c r="A20488" s="4" t="s">
        <v>25799</v>
      </c>
      <c r="B20488" s="4" t="s">
        <v>25800</v>
      </c>
      <c r="C20488" s="5" t="str">
        <f>IFERROR(__xludf.DUMMYFUNCTION("GOOGLETRANSLATE(B20488,""en"",""zh-CN"")"),"我们看到一个婴儿和孩子在玩。")</f>
        <v>我们看到一个婴儿和孩子在玩。</v>
      </c>
    </row>
    <row r="20489">
      <c r="A20489" s="4" t="s">
        <v>25799</v>
      </c>
      <c r="B20489" s="4" t="s">
        <v>25801</v>
      </c>
      <c r="C20489" s="5" t="str">
        <f>IFERROR(__xludf.DUMMYFUNCTION("GOOGLETRANSLATE(B20489,""en"",""zh-CN"")"),"孩子们在盘旋上走路。")</f>
        <v>孩子们在盘旋上走路。</v>
      </c>
    </row>
    <row r="20490">
      <c r="A20490" s="4" t="s">
        <v>25799</v>
      </c>
      <c r="B20490" s="4" t="s">
        <v>25802</v>
      </c>
      <c r="C20490" s="5" t="str">
        <f>IFERROR(__xludf.DUMMYFUNCTION("GOOGLETRANSLATE(B20490,""en"",""zh-CN"")"),"孩子们在高跷上行走。")</f>
        <v>孩子们在高跷上行走。</v>
      </c>
    </row>
    <row r="20491">
      <c r="A20491" s="4" t="s">
        <v>25799</v>
      </c>
      <c r="B20491" s="4" t="s">
        <v>25803</v>
      </c>
      <c r="C20491" s="5" t="str">
        <f>IFERROR(__xludf.DUMMYFUNCTION("GOOGLETRANSLATE(B20491,""en"",""zh-CN"")"),"男人帮助一个女孩走路。")</f>
        <v>男人帮助一个女孩走路。</v>
      </c>
    </row>
    <row r="20492">
      <c r="A20492" s="4" t="s">
        <v>25799</v>
      </c>
      <c r="B20492" s="4" t="s">
        <v>25804</v>
      </c>
      <c r="C20492" s="5" t="str">
        <f>IFERROR(__xludf.DUMMYFUNCTION("GOOGLETRANSLATE(B20492,""en"",""zh-CN"")"),"一个高跷的孩子跪下。")</f>
        <v>一个高跷的孩子跪下。</v>
      </c>
    </row>
    <row r="20493">
      <c r="A20493" s="4" t="s">
        <v>25799</v>
      </c>
      <c r="B20493" s="4" t="s">
        <v>25805</v>
      </c>
      <c r="C20493" s="5" t="str">
        <f>IFERROR(__xludf.DUMMYFUNCTION("GOOGLETRANSLATE(B20493,""en"",""zh-CN"")"),"孩子们的高跷走进一个圆圈。")</f>
        <v>孩子们的高跷走进一个圆圈。</v>
      </c>
    </row>
    <row r="20494">
      <c r="A20494" s="4" t="s">
        <v>25799</v>
      </c>
      <c r="B20494" s="4" t="s">
        <v>25806</v>
      </c>
      <c r="C20494" s="5" t="str">
        <f>IFERROR(__xludf.DUMMYFUNCTION("GOOGLETRANSLATE(B20494,""en"",""zh-CN"")"),"我看到一个关闭的屏幕，它淡入黑色。")</f>
        <v>我看到一个关闭的屏幕，它淡入黑色。</v>
      </c>
    </row>
    <row r="20495">
      <c r="A20495" s="4" t="s">
        <v>25807</v>
      </c>
      <c r="B20495" s="4" t="s">
        <v>25808</v>
      </c>
      <c r="C20495" s="5" t="str">
        <f>IFERROR(__xludf.DUMMYFUNCTION("GOOGLETRANSLATE(B20495,""en"",""zh-CN"")"),"我们看到了室内曲棍球比赛。")</f>
        <v>我们看到了室内曲棍球比赛。</v>
      </c>
    </row>
    <row r="20496">
      <c r="A20496" s="4" t="s">
        <v>25807</v>
      </c>
      <c r="B20496" s="4" t="s">
        <v>25809</v>
      </c>
      <c r="C20496" s="5" t="str">
        <f>IFERROR(__xludf.DUMMYFUNCTION("GOOGLETRANSLATE(B20496,""en"",""zh-CN"")"),"守门员挡住了一枪，少数球员在冰球上战斗。")</f>
        <v>守门员挡住了一枪，少数球员在冰球上战斗。</v>
      </c>
    </row>
    <row r="20497">
      <c r="A20497" s="4" t="s">
        <v>25807</v>
      </c>
      <c r="B20497" s="4" t="s">
        <v>25810</v>
      </c>
      <c r="C20497" s="5" t="str">
        <f>IFERROR(__xludf.DUMMYFUNCTION("GOOGLETRANSLATE(B20497,""en"",""zh-CN"")"),"冰球击中了裁判，将他撞倒了。")</f>
        <v>冰球击中了裁判，将他撞倒了。</v>
      </c>
    </row>
    <row r="20498">
      <c r="A20498" s="4" t="s">
        <v>25807</v>
      </c>
      <c r="B20498" s="4" t="s">
        <v>25811</v>
      </c>
      <c r="C20498" s="5" t="str">
        <f>IFERROR(__xludf.DUMMYFUNCTION("GOOGLETRANSLATE(B20498,""en"",""zh-CN"")"),"守门员阻挡了一枪。")</f>
        <v>守门员阻挡了一枪。</v>
      </c>
    </row>
    <row r="20499">
      <c r="A20499" s="4" t="s">
        <v>25812</v>
      </c>
      <c r="B20499" s="4" t="s">
        <v>25813</v>
      </c>
      <c r="C20499" s="5" t="str">
        <f>IFERROR(__xludf.DUMMYFUNCTION("GOOGLETRANSLATE(B20499,""en"",""zh-CN"")"),"几个孩子坐在游泳池旁。")</f>
        <v>几个孩子坐在游泳池旁。</v>
      </c>
    </row>
    <row r="20500">
      <c r="A20500" s="4" t="s">
        <v>25812</v>
      </c>
      <c r="B20500" s="4" t="s">
        <v>25814</v>
      </c>
      <c r="C20500" s="5" t="str">
        <f>IFERROR(__xludf.DUMMYFUNCTION("GOOGLETRANSLATE(B20500,""en"",""zh-CN"")"),"他们都穿着拖鞋。")</f>
        <v>他们都穿着拖鞋。</v>
      </c>
    </row>
    <row r="20501">
      <c r="A20501" s="4" t="s">
        <v>25812</v>
      </c>
      <c r="B20501" s="4" t="s">
        <v>25815</v>
      </c>
      <c r="C20501" s="5" t="str">
        <f>IFERROR(__xludf.DUMMYFUNCTION("GOOGLETRANSLATE(B20501,""en"",""zh-CN"")"),"一个女孩穿着水肺齿轮在水下。")</f>
        <v>一个女孩穿着水肺齿轮在水下。</v>
      </c>
    </row>
    <row r="20502">
      <c r="A20502" s="4" t="s">
        <v>25812</v>
      </c>
      <c r="B20502" s="4" t="s">
        <v>25816</v>
      </c>
      <c r="C20502" s="5" t="str">
        <f>IFERROR(__xludf.DUMMYFUNCTION("GOOGLETRANSLATE(B20502,""en"",""zh-CN"")"),"几个孩子练习穿着水肺齿轮。")</f>
        <v>几个孩子练习穿着水肺齿轮。</v>
      </c>
    </row>
    <row r="20503">
      <c r="A20503" s="4" t="s">
        <v>25817</v>
      </c>
      <c r="B20503" s="6" t="s">
        <v>25818</v>
      </c>
      <c r="C20503" s="5" t="str">
        <f>IFERROR(__xludf.DUMMYFUNCTION("GOOGLETRANSLATE(B20503,""en"",""zh-CN"")"),"一个在办公室里的女人站在一只黑狗旁边，站在她旁边的桌子上时，拿着一对修饰剪手，同时绑在桌子上的金属杆上。")</f>
        <v>一个在办公室里的女人站在一只黑狗旁边，站在她旁边的桌子上时，拿着一对修饰剪手，同时绑在桌子上的金属杆上。</v>
      </c>
    </row>
    <row r="20504">
      <c r="A20504" s="4" t="s">
        <v>25817</v>
      </c>
      <c r="B20504" s="4" t="s">
        <v>25819</v>
      </c>
      <c r="C20504" s="5" t="str">
        <f>IFERROR(__xludf.DUMMYFUNCTION("GOOGLETRANSLATE(B20504,""en"",""zh-CN"")"),"女人开始用快船来修饰狗的面孔。")</f>
        <v>女人开始用快船来修饰狗的面孔。</v>
      </c>
    </row>
    <row r="20505">
      <c r="A20505" s="4" t="s">
        <v>25817</v>
      </c>
      <c r="B20505" s="4" t="s">
        <v>25820</v>
      </c>
      <c r="C20505" s="5" t="str">
        <f>IFERROR(__xludf.DUMMYFUNCTION("GOOGLETRANSLATE(B20505,""en"",""zh-CN"")"),"然后，女人开始在狗前腿下修饰。")</f>
        <v>然后，女人开始在狗前腿下修饰。</v>
      </c>
    </row>
    <row r="20506">
      <c r="A20506" s="4" t="s">
        <v>25817</v>
      </c>
      <c r="B20506" s="6" t="s">
        <v>25821</v>
      </c>
      <c r="C20506" s="5" t="str">
        <f>IFERROR(__xludf.DUMMYFUNCTION("GOOGLETRANSLATE(B20506,""en"",""zh-CN"")"),"最后，女人在蓝色和白色广告标志填充之前将狗的后腿和尾巴修饰。")</f>
        <v>最后，女人在蓝色和白色广告标志填充之前将狗的后腿和尾巴修饰。</v>
      </c>
    </row>
    <row r="20507">
      <c r="A20507" s="4" t="s">
        <v>25822</v>
      </c>
      <c r="B20507" s="6" t="s">
        <v>25823</v>
      </c>
      <c r="C20507" s="5" t="str">
        <f>IFERROR(__xludf.DUMMYFUNCTION("GOOGLETRANSLATE(B20507,""en"",""zh-CN"")"),"一个女孩在另一个孩子周围绑着一个盲目的折叠，而几个孩子看上去和一个成人将女孩固定在适当的位置。")</f>
        <v>一个女孩在另一个孩子周围绑着一个盲目的折叠，而几个孩子看上去和一个成人将女孩固定在适当的位置。</v>
      </c>
    </row>
    <row r="20508">
      <c r="A20508" s="4" t="s">
        <v>25822</v>
      </c>
      <c r="B20508" s="4" t="s">
        <v>25824</v>
      </c>
      <c r="C20508" s="5" t="str">
        <f>IFERROR(__xludf.DUMMYFUNCTION("GOOGLETRANSLATE(B20508,""en"",""zh-CN"")"),"然后，女孩将蝙蝠交给蝙蝠，并试图打开Pinata。")</f>
        <v>然后，女孩将蝙蝠交给蝙蝠，并试图打开Pinata。</v>
      </c>
    </row>
    <row r="20509">
      <c r="A20509" s="4" t="s">
        <v>25822</v>
      </c>
      <c r="B20509" s="4" t="s">
        <v>25825</v>
      </c>
      <c r="C20509" s="5" t="str">
        <f>IFERROR(__xludf.DUMMYFUNCTION("GOOGLETRANSLATE(B20509,""en"",""zh-CN"")"),"女孩成功打破了皮纳塔，孩子们感到非常兴奋。")</f>
        <v>女孩成功打破了皮纳塔，孩子们感到非常兴奋。</v>
      </c>
    </row>
    <row r="20510">
      <c r="A20510" s="4" t="s">
        <v>25826</v>
      </c>
      <c r="B20510" s="4" t="s">
        <v>25827</v>
      </c>
      <c r="C20510" s="5" t="str">
        <f>IFERROR(__xludf.DUMMYFUNCTION("GOOGLETRANSLATE(B20510,""en"",""zh-CN"")"),"一台相机在天空周围晃动，并展示了风筝的近距离。")</f>
        <v>一台相机在天空周围晃动，并展示了风筝的近距离。</v>
      </c>
    </row>
    <row r="20511">
      <c r="A20511" s="4" t="s">
        <v>25826</v>
      </c>
      <c r="B20511" s="4" t="s">
        <v>25828</v>
      </c>
      <c r="C20511" s="5" t="str">
        <f>IFERROR(__xludf.DUMMYFUNCTION("GOOGLETRANSLATE(B20511,""en"",""zh-CN"")"),"有人看到一个人站在地上，然后将其放回风筝。")</f>
        <v>有人看到一个人站在地上，然后将其放回风筝。</v>
      </c>
    </row>
    <row r="20512">
      <c r="A20512" s="4" t="s">
        <v>25826</v>
      </c>
      <c r="B20512" s="4" t="s">
        <v>25829</v>
      </c>
      <c r="C20512" s="5" t="str">
        <f>IFERROR(__xludf.DUMMYFUNCTION("GOOGLETRANSLATE(B20512,""en"",""zh-CN"")"),"当一个人继续飞行时，风筝继续在空中移动。")</f>
        <v>当一个人继续飞行时，风筝继续在空中移动。</v>
      </c>
    </row>
    <row r="20513">
      <c r="A20513" s="4" t="s">
        <v>25830</v>
      </c>
      <c r="B20513" s="4" t="s">
        <v>25831</v>
      </c>
      <c r="C20513" s="5" t="str">
        <f>IFERROR(__xludf.DUMMYFUNCTION("GOOGLETRANSLATE(B20513,""en"",""zh-CN"")"),"我们看到一个自行车轮胎，一个人采访了BMX自行车骑手。")</f>
        <v>我们看到一个自行车轮胎，一个人采访了BMX自行车骑手。</v>
      </c>
    </row>
    <row r="20514">
      <c r="A20514" s="4" t="s">
        <v>25830</v>
      </c>
      <c r="B20514" s="4" t="s">
        <v>25832</v>
      </c>
      <c r="C20514" s="5" t="str">
        <f>IFERROR(__xludf.DUMMYFUNCTION("GOOGLETRANSLATE(B20514,""en"",""zh-CN"")"),"我们看到了车手的名字和国家。")</f>
        <v>我们看到了车手的名字和国家。</v>
      </c>
    </row>
    <row r="20515">
      <c r="A20515" s="4" t="s">
        <v>25830</v>
      </c>
      <c r="B20515" s="4" t="s">
        <v>25833</v>
      </c>
      <c r="C20515" s="5" t="str">
        <f>IFERROR(__xludf.DUMMYFUNCTION("GOOGLETRANSLATE(B20515,""en"",""zh-CN"")"),"这些人等待，然后乘坐赛道。")</f>
        <v>这些人等待，然后乘坐赛道。</v>
      </c>
    </row>
    <row r="20516">
      <c r="A20516" s="4" t="s">
        <v>25830</v>
      </c>
      <c r="B20516" s="4" t="s">
        <v>25834</v>
      </c>
      <c r="C20516" s="5" t="str">
        <f>IFERROR(__xludf.DUMMYFUNCTION("GOOGLETRANSLATE(B20516,""en"",""zh-CN"")"),"一个男人从自行车和自行车滑梯上摔下来。")</f>
        <v>一个男人从自行车和自行车滑梯上摔下来。</v>
      </c>
    </row>
    <row r="20517">
      <c r="A20517" s="4" t="s">
        <v>25830</v>
      </c>
      <c r="B20517" s="4" t="s">
        <v>25835</v>
      </c>
      <c r="C20517" s="5" t="str">
        <f>IFERROR(__xludf.DUMMYFUNCTION("GOOGLETRANSLATE(B20517,""en"",""zh-CN"")"),"另一个男人从他的自行车上摔下来，几乎被撞倒了。")</f>
        <v>另一个男人从他的自行车上摔下来，几乎被撞倒了。</v>
      </c>
    </row>
    <row r="20518">
      <c r="A20518" s="4" t="s">
        <v>25830</v>
      </c>
      <c r="B20518" s="4" t="s">
        <v>25836</v>
      </c>
      <c r="C20518" s="5" t="str">
        <f>IFERROR(__xludf.DUMMYFUNCTION("GOOGLETRANSLATE(B20518,""en"",""zh-CN"")"),"比赛结束后，该男子采访了两个男人，屏幕变绿。")</f>
        <v>比赛结束后，该男子采访了两个男人，屏幕变绿。</v>
      </c>
    </row>
    <row r="20519">
      <c r="A20519" s="4" t="s">
        <v>25837</v>
      </c>
      <c r="B20519" s="4" t="s">
        <v>25838</v>
      </c>
      <c r="C20519" s="5" t="str">
        <f>IFERROR(__xludf.DUMMYFUNCTION("GOOGLETRANSLATE(B20519,""en"",""zh-CN"")"),"人们正在健身房里锻炼自行车。")</f>
        <v>人们正在健身房里锻炼自行车。</v>
      </c>
    </row>
    <row r="20520">
      <c r="A20520" s="4" t="s">
        <v>25837</v>
      </c>
      <c r="B20520" s="4" t="s">
        <v>25839</v>
      </c>
      <c r="C20520" s="5" t="str">
        <f>IFERROR(__xludf.DUMMYFUNCTION("GOOGLETRANSLATE(B20520,""en"",""zh-CN"")"),"前面的一个女人站起来，踩着自行车。")</f>
        <v>前面的一个女人站起来，踩着自行车。</v>
      </c>
    </row>
    <row r="20521">
      <c r="A20521" s="4" t="s">
        <v>25837</v>
      </c>
      <c r="B20521" s="4" t="s">
        <v>25840</v>
      </c>
      <c r="C20521" s="5" t="str">
        <f>IFERROR(__xludf.DUMMYFUNCTION("GOOGLETRANSLATE(B20521,""en"",""zh-CN"")"),"显示了悬挂在墙上的横幅。")</f>
        <v>显示了悬挂在墙上的横幅。</v>
      </c>
    </row>
    <row r="20522">
      <c r="A20522" s="4" t="s">
        <v>25841</v>
      </c>
      <c r="B20522" s="4" t="s">
        <v>25842</v>
      </c>
      <c r="C20522" s="5" t="str">
        <f>IFERROR(__xludf.DUMMYFUNCTION("GOOGLETRANSLATE(B20522,""en"",""zh-CN"")"),"一个黑色的男人坐在钢琴上弹奏，而一个红色的男人站在鼓附近。")</f>
        <v>一个黑色的男人坐在钢琴上弹奏，而一个红色的男人站在鼓附近。</v>
      </c>
    </row>
    <row r="20523">
      <c r="A20523" s="4" t="s">
        <v>25841</v>
      </c>
      <c r="B20523" s="4" t="s">
        <v>25843</v>
      </c>
      <c r="C20523" s="5" t="str">
        <f>IFERROR(__xludf.DUMMYFUNCTION("GOOGLETRANSLATE(B20523,""en"",""zh-CN"")"),"正如黑色扮演的那个人一样，红色的男人正在滚动一条电线。")</f>
        <v>正如黑色扮演的那个人一样，红色的男人正在滚动一条电线。</v>
      </c>
    </row>
    <row r="20524">
      <c r="A20524" s="4" t="s">
        <v>25841</v>
      </c>
      <c r="B20524" s="4" t="s">
        <v>25844</v>
      </c>
      <c r="C20524" s="5" t="str">
        <f>IFERROR(__xludf.DUMMYFUNCTION("GOOGLETRANSLATE(B20524,""en"",""zh-CN"")"),"红色的男人开始摇摇头，钢琴音乐的节奏。")</f>
        <v>红色的男人开始摇摇头，钢琴音乐的节奏。</v>
      </c>
    </row>
    <row r="20525">
      <c r="A20525" s="4" t="s">
        <v>25841</v>
      </c>
      <c r="B20525" s="4" t="s">
        <v>25845</v>
      </c>
      <c r="C20525" s="5" t="str">
        <f>IFERROR(__xludf.DUMMYFUNCTION("GOOGLETRANSLATE(B20525,""en"",""zh-CN"")"),"然后，男人将电线放下。")</f>
        <v>然后，男人将电线放下。</v>
      </c>
    </row>
    <row r="20526">
      <c r="A20526" s="4" t="s">
        <v>25846</v>
      </c>
      <c r="B20526" s="4" t="s">
        <v>25847</v>
      </c>
      <c r="C20526" s="5" t="str">
        <f>IFERROR(__xludf.DUMMYFUNCTION("GOOGLETRANSLATE(B20526,""en"",""zh-CN"")"),"看到一条船沿着水骑行，人们坐在侧面看着。")</f>
        <v>看到一条船沿着水骑行，人们坐在侧面看着。</v>
      </c>
    </row>
    <row r="20527">
      <c r="A20527" s="4" t="s">
        <v>25846</v>
      </c>
      <c r="B20527" s="6" t="s">
        <v>25848</v>
      </c>
      <c r="C20527" s="5" t="str">
        <f>IFERROR(__xludf.DUMMYFUNCTION("GOOGLETRANSLATE(B20527,""en"",""zh-CN"")"),"然后看到一个小男孩在水下游泳，导致人们骑船并在城市周围行驶。")</f>
        <v>然后看到一个小男孩在水下游泳，导致人们骑船并在城市周围行驶。</v>
      </c>
    </row>
    <row r="20528">
      <c r="A20528" s="4" t="s">
        <v>25846</v>
      </c>
      <c r="B20528" s="4" t="s">
        <v>25849</v>
      </c>
      <c r="C20528" s="5" t="str">
        <f>IFERROR(__xludf.DUMMYFUNCTION("GOOGLETRANSLATE(B20528,""en"",""zh-CN"")"),"摄像机继续在城市和夜生活中泛滥。")</f>
        <v>摄像机继续在城市和夜生活中泛滥。</v>
      </c>
    </row>
    <row r="20529">
      <c r="A20529" s="4" t="s">
        <v>25850</v>
      </c>
      <c r="B20529" s="4" t="s">
        <v>25851</v>
      </c>
      <c r="C20529" s="5" t="str">
        <f>IFERROR(__xludf.DUMMYFUNCTION("GOOGLETRANSLATE(B20529,""en"",""zh-CN"")"),"女人正在啦啦队中练习跳跃。")</f>
        <v>女人正在啦啦队中练习跳跃。</v>
      </c>
    </row>
    <row r="20530">
      <c r="A20530" s="4" t="s">
        <v>25850</v>
      </c>
      <c r="B20530" s="4" t="s">
        <v>25852</v>
      </c>
      <c r="C20530" s="5" t="str">
        <f>IFERROR(__xludf.DUMMYFUNCTION("GOOGLETRANSLATE(B20530,""en"",""zh-CN"")"),"女人躺在床上，一个男人在协助她。")</f>
        <v>女人躺在床上，一个男人在协助她。</v>
      </c>
    </row>
    <row r="20531">
      <c r="A20531" s="4" t="s">
        <v>25853</v>
      </c>
      <c r="B20531" s="6" t="s">
        <v>25854</v>
      </c>
      <c r="C20531" s="5" t="str">
        <f>IFERROR(__xludf.DUMMYFUNCTION("GOOGLETRANSLATE(B20531,""en"",""zh-CN"")"),"有两个穿着红色衬衫和蓝色短裤在大型体育场里演奏乒乓球的人，有很多观众看着它们。")</f>
        <v>有两个穿着红色衬衫和蓝色短裤在大型体育场里演奏乒乓球的人，有很多观众看着它们。</v>
      </c>
    </row>
    <row r="20532">
      <c r="A20532" s="4" t="s">
        <v>25853</v>
      </c>
      <c r="B20532" s="4" t="s">
        <v>25855</v>
      </c>
      <c r="C20532" s="5" t="str">
        <f>IFERROR(__xludf.DUMMYFUNCTION("GOOGLETRANSLATE(B20532,""en"",""zh-CN"")"),"球员们在继续保持大力集会的过程中表现出长长的乒乓球。")</f>
        <v>球员们在继续保持大力集会的过程中表现出长长的乒乓球。</v>
      </c>
    </row>
    <row r="20533">
      <c r="A20533" s="4" t="s">
        <v>25853</v>
      </c>
      <c r="B20533" s="6" t="s">
        <v>25856</v>
      </c>
      <c r="C20533" s="5" t="str">
        <f>IFERROR(__xludf.DUMMYFUNCTION("GOOGLETRANSLATE(B20533,""en"",""zh-CN"")"),"右边的球员将球返回对手时将球切成乒乓球桌。")</f>
        <v>右边的球员将球返回对手时将球切成乒乓球桌。</v>
      </c>
    </row>
    <row r="20534">
      <c r="A20534" s="4" t="s">
        <v>25853</v>
      </c>
      <c r="B20534" s="4" t="s">
        <v>25857</v>
      </c>
      <c r="C20534" s="5" t="str">
        <f>IFERROR(__xludf.DUMMYFUNCTION("GOOGLETRANSLATE(B20534,""en"",""zh-CN"")"),"对手设法将球退回而没有错过。")</f>
        <v>对手设法将球退回而没有错过。</v>
      </c>
    </row>
    <row r="20535">
      <c r="A20535" s="4" t="s">
        <v>25853</v>
      </c>
      <c r="B20535" s="6" t="s">
        <v>25858</v>
      </c>
      <c r="C20535" s="5" t="str">
        <f>IFERROR(__xludf.DUMMYFUNCTION("GOOGLETRANSLATE(B20535,""en"",""zh-CN"")"),"当其中一位球员从字面上跳上乒乓球桌以返回球时，他们继续进行大力集会。")</f>
        <v>当其中一位球员从字面上跳上乒乓球桌以返回球时，他们继续进行大力集会。</v>
      </c>
    </row>
    <row r="20536">
      <c r="A20536" s="4" t="s">
        <v>25853</v>
      </c>
      <c r="B20536" s="4" t="s">
        <v>25859</v>
      </c>
      <c r="C20536" s="5" t="str">
        <f>IFERROR(__xludf.DUMMYFUNCTION("GOOGLETRANSLATE(B20536,""en"",""zh-CN"")"),"另一个球员跌倒在地面上，试图将球击回他的对手。")</f>
        <v>另一个球员跌倒在地面上，试图将球击回他的对手。</v>
      </c>
    </row>
    <row r="20537">
      <c r="A20537" s="4" t="s">
        <v>25860</v>
      </c>
      <c r="B20537" s="4" t="s">
        <v>25861</v>
      </c>
      <c r="C20537" s="5" t="str">
        <f>IFERROR(__xludf.DUMMYFUNCTION("GOOGLETRANSLATE(B20537,""en"",""zh-CN"")"),"一个男人在雪森林的一只a夫上。")</f>
        <v>一个男人在雪森林的一只a夫上。</v>
      </c>
    </row>
    <row r="20538">
      <c r="A20538" s="4" t="s">
        <v>25860</v>
      </c>
      <c r="B20538" s="4" t="s">
        <v>25862</v>
      </c>
      <c r="C20538" s="5" t="str">
        <f>IFERROR(__xludf.DUMMYFUNCTION("GOOGLETRANSLATE(B20538,""en"",""zh-CN"")"),"他高高地向空中弹跳，从绳索上弹出，然后重新弹跳。")</f>
        <v>他高高地向空中弹跳，从绳索上弹出，然后重新弹跳。</v>
      </c>
    </row>
    <row r="20539">
      <c r="A20539" s="4" t="s">
        <v>25860</v>
      </c>
      <c r="B20539" s="4" t="s">
        <v>25863</v>
      </c>
      <c r="C20539" s="5" t="str">
        <f>IFERROR(__xludf.DUMMYFUNCTION("GOOGLETRANSLATE(B20539,""en"",""zh-CN"")"),"他在整个视频中继续进行此操作。")</f>
        <v>他在整个视频中继续进行此操作。</v>
      </c>
    </row>
    <row r="20540">
      <c r="A20540" s="4" t="s">
        <v>25864</v>
      </c>
      <c r="B20540" s="4" t="s">
        <v>25865</v>
      </c>
      <c r="C20540" s="5" t="str">
        <f>IFERROR(__xludf.DUMMYFUNCTION("GOOGLETRANSLATE(B20540,""en"",""zh-CN"")"),"一个十几岁的男孩在海滩上奔跑。")</f>
        <v>一个十几岁的男孩在海滩上奔跑。</v>
      </c>
    </row>
    <row r="20541">
      <c r="A20541" s="4" t="s">
        <v>25864</v>
      </c>
      <c r="B20541" s="4" t="s">
        <v>25866</v>
      </c>
      <c r="C20541" s="5" t="str">
        <f>IFERROR(__xludf.DUMMYFUNCTION("GOOGLETRANSLATE(B20541,""en"",""zh-CN"")"),"一条狗正在追逐他，试图抓住他的飞盘。")</f>
        <v>一条狗正在追逐他，试图抓住他的飞盘。</v>
      </c>
    </row>
    <row r="20542">
      <c r="A20542" s="4" t="s">
        <v>25864</v>
      </c>
      <c r="B20542" s="4" t="s">
        <v>25867</v>
      </c>
      <c r="C20542" s="5" t="str">
        <f>IFERROR(__xludf.DUMMYFUNCTION("GOOGLETRANSLATE(B20542,""en"",""zh-CN"")"),"他扔了飞盘，狗跳到空中捕捉它。")</f>
        <v>他扔了飞盘，狗跳到空中捕捉它。</v>
      </c>
    </row>
    <row r="20543">
      <c r="A20543" s="4" t="s">
        <v>25868</v>
      </c>
      <c r="B20543" s="4" t="s">
        <v>25869</v>
      </c>
      <c r="C20543" s="5" t="str">
        <f>IFERROR(__xludf.DUMMYFUNCTION("GOOGLETRANSLATE(B20543,""en"",""zh-CN"")"),"我们看到一个男人在指挥乐团。")</f>
        <v>我们看到一个男人在指挥乐团。</v>
      </c>
    </row>
    <row r="20544">
      <c r="A20544" s="4" t="s">
        <v>25868</v>
      </c>
      <c r="B20544" s="4" t="s">
        <v>25870</v>
      </c>
      <c r="C20544" s="5" t="str">
        <f>IFERROR(__xludf.DUMMYFUNCTION("GOOGLETRANSLATE(B20544,""en"",""zh-CN"")"),"我们看到一位穿着蓝色连衣裙的女士在其他玩家面前玩。")</f>
        <v>我们看到一位穿着蓝色连衣裙的女士在其他玩家面前玩。</v>
      </c>
    </row>
    <row r="20545">
      <c r="A20545" s="4" t="s">
        <v>25868</v>
      </c>
      <c r="B20545" s="4" t="s">
        <v>25871</v>
      </c>
      <c r="C20545" s="5" t="str">
        <f>IFERROR(__xludf.DUMMYFUNCTION("GOOGLETRANSLATE(B20545,""en"",""zh-CN"")"),"我们从后面看到女士，我们看到了其他球员。")</f>
        <v>我们从后面看到女士，我们看到了其他球员。</v>
      </c>
    </row>
    <row r="20546">
      <c r="A20546" s="4" t="s">
        <v>25868</v>
      </c>
      <c r="B20546" s="4" t="s">
        <v>25872</v>
      </c>
      <c r="C20546" s="5" t="str">
        <f>IFERROR(__xludf.DUMMYFUNCTION("GOOGLETRANSLATE(B20546,""en"",""zh-CN"")"),"我们看到了整个乐团的镜头。")</f>
        <v>我们看到了整个乐团的镜头。</v>
      </c>
    </row>
    <row r="20547">
      <c r="A20547" s="4" t="s">
        <v>25868</v>
      </c>
      <c r="B20547" s="4" t="s">
        <v>25873</v>
      </c>
      <c r="C20547" s="5" t="str">
        <f>IFERROR(__xludf.DUMMYFUNCTION("GOOGLETRANSLATE(B20547,""en"",""zh-CN"")"),"我们看到Basoon球员在玩。")</f>
        <v>我们看到Basoon球员在玩。</v>
      </c>
    </row>
    <row r="20548">
      <c r="A20548" s="4" t="s">
        <v>25868</v>
      </c>
      <c r="B20548" s="4" t="s">
        <v>25874</v>
      </c>
      <c r="C20548" s="5" t="str">
        <f>IFERROR(__xludf.DUMMYFUNCTION("GOOGLETRANSLATE(B20548,""en"",""zh-CN"")"),"我们淡入黑色，视频结束。")</f>
        <v>我们淡入黑色，视频结束。</v>
      </c>
    </row>
    <row r="20549">
      <c r="A20549" s="4" t="s">
        <v>25875</v>
      </c>
      <c r="B20549" s="6" t="s">
        <v>25876</v>
      </c>
      <c r="C20549" s="5" t="str">
        <f>IFERROR(__xludf.DUMMYFUNCTION("GOOGLETRANSLATE(B20549,""en"",""zh-CN"")"),"浴缸中显示的狗的图片，通向手拿着工具和一只狗在浴缸上徘徊的狗。")</f>
        <v>浴缸中显示的狗的图片，通向手拿着工具和一只狗在浴缸上徘徊的狗。</v>
      </c>
    </row>
    <row r="20550">
      <c r="A20550" s="4" t="s">
        <v>25875</v>
      </c>
      <c r="B20550" s="4" t="s">
        <v>25877</v>
      </c>
      <c r="C20550" s="5" t="str">
        <f>IFERROR(__xludf.DUMMYFUNCTION("GOOGLETRANSLATE(B20550,""en"",""zh-CN"")"),"该人将牙膏放在刷子上，并将狗的牙齿向后和第四刷刷。")</f>
        <v>该人将牙膏放在刷子上，并将狗的牙齿向后和第四刷刷。</v>
      </c>
    </row>
    <row r="20551">
      <c r="A20551" s="4" t="s">
        <v>25875</v>
      </c>
      <c r="B20551" s="4" t="s">
        <v>25878</v>
      </c>
      <c r="C20551" s="5" t="str">
        <f>IFERROR(__xludf.DUMMYFUNCTION("GOOGLETRANSLATE(B20551,""en"",""zh-CN"")"),"最后，她把凝胶放在狗的嘴里，看到狗坐在床上挥舞着相机上。")</f>
        <v>最后，她把凝胶放在狗的嘴里，看到狗坐在床上挥舞着相机上。</v>
      </c>
    </row>
    <row r="20552">
      <c r="A20552" s="4" t="s">
        <v>25879</v>
      </c>
      <c r="B20552" s="6" t="s">
        <v>25880</v>
      </c>
      <c r="C20552" s="5" t="str">
        <f>IFERROR(__xludf.DUMMYFUNCTION("GOOGLETRANSLATE(B20552,""en"",""zh-CN"")"),"看到两个女人在舞台上表演，一个弹奏长笛，另一个弹钢琴。")</f>
        <v>看到两个女人在舞台上表演，一个弹奏长笛，另一个弹钢琴。</v>
      </c>
    </row>
    <row r="20553">
      <c r="A20553" s="4" t="s">
        <v>25879</v>
      </c>
      <c r="B20553" s="6" t="s">
        <v>25881</v>
      </c>
      <c r="C20553" s="5" t="str">
        <f>IFERROR(__xludf.DUMMYFUNCTION("GOOGLETRANSLATE(B20553,""en"",""zh-CN"")"),"当摄像机放大长笛播放器时，女人们播放了一首歌，最终她们鞠躬并离开。")</f>
        <v>当摄像机放大长笛播放器时，女人们播放了一首歌，最终她们鞠躬并离开。</v>
      </c>
    </row>
    <row r="20554">
      <c r="A20554" s="4" t="s">
        <v>25882</v>
      </c>
      <c r="B20554" s="6" t="s">
        <v>25883</v>
      </c>
      <c r="C20554" s="5" t="str">
        <f>IFERROR(__xludf.DUMMYFUNCTION("GOOGLETRANSLATE(B20554,""en"",""zh-CN"")"),"一个男人在解释时使用柔软的挤压式挤压器清洁窗户，然后该男子带钢刮水器清洁窗户上的洗涤剂。")</f>
        <v>一个男人在解释时使用柔软的挤压式挤压器清洁窗户，然后该男子带钢刮水器清洁窗户上的洗涤剂。</v>
      </c>
    </row>
    <row r="20555">
      <c r="A20555" s="4" t="s">
        <v>25882</v>
      </c>
      <c r="B20555" s="4" t="s">
        <v>25884</v>
      </c>
      <c r="C20555" s="5" t="str">
        <f>IFERROR(__xludf.DUMMYFUNCTION("GOOGLETRANSLATE(B20555,""en"",""zh-CN"")"),"然后，该男子用软挤压涂抹更多的洗涤剂，然后用陡峭的雨刮器清洁。")</f>
        <v>然后，该男子用软挤压涂抹更多的洗涤剂，然后用陡峭的雨刮器清洁。</v>
      </c>
    </row>
    <row r="20556">
      <c r="A20556" s="4" t="s">
        <v>25882</v>
      </c>
      <c r="B20556" s="6" t="s">
        <v>25885</v>
      </c>
      <c r="C20556" s="5" t="str">
        <f>IFERROR(__xludf.DUMMYFUNCTION("GOOGLETRANSLATE(B20556,""en"",""zh-CN"")"),"之后，该男子在解释程序时，再次使用软挤压和钢擦拭窗口再次洗窗户。")</f>
        <v>之后，该男子在解释程序时，再次使用软挤压和钢擦拭窗口再次洗窗户。</v>
      </c>
    </row>
    <row r="20557">
      <c r="A20557" s="4" t="s">
        <v>25886</v>
      </c>
      <c r="B20557" s="4" t="s">
        <v>25887</v>
      </c>
      <c r="C20557" s="5" t="str">
        <f>IFERROR(__xludf.DUMMYFUNCTION("GOOGLETRANSLATE(B20557,""en"",""zh-CN"")"),"骑自行车的人在坡道上骑自行车，而在起跑线上，骑自行车的骑自行车的人则位于定位。")</f>
        <v>骑自行车的人在坡道上骑自行车，而在起跑线上，骑自行车的骑自行车的人则位于定位。</v>
      </c>
    </row>
    <row r="20558">
      <c r="A20558" s="4" t="s">
        <v>25886</v>
      </c>
      <c r="B20558" s="4" t="s">
        <v>25888</v>
      </c>
      <c r="C20558" s="5" t="str">
        <f>IFERROR(__xludf.DUMMYFUNCTION("GOOGLETRANSLATE(B20558,""en"",""zh-CN"")"),"小篱笆放下了骑自行车的人在大坡道上骑自行车。")</f>
        <v>小篱笆放下了骑自行车的人在大坡道上骑自行车。</v>
      </c>
    </row>
    <row r="20559">
      <c r="A20559" s="4" t="s">
        <v>25886</v>
      </c>
      <c r="B20559" s="4" t="s">
        <v>25889</v>
      </c>
      <c r="C20559" s="5" t="str">
        <f>IFERROR(__xludf.DUMMYFUNCTION("GOOGLETRANSLATE(B20559,""en"",""zh-CN"")"),"观众在轨道的侧面。")</f>
        <v>观众在轨道的侧面。</v>
      </c>
    </row>
    <row r="20560">
      <c r="A20560" s="4" t="s">
        <v>25890</v>
      </c>
      <c r="B20560" s="4" t="s">
        <v>25891</v>
      </c>
      <c r="C20560" s="5" t="str">
        <f>IFERROR(__xludf.DUMMYFUNCTION("GOOGLETRANSLATE(B20560,""en"",""zh-CN"")"),"一个男人拿着一块铁，可以在上面绘画。")</f>
        <v>一个男人拿着一块铁，可以在上面绘画。</v>
      </c>
    </row>
    <row r="20561">
      <c r="A20561" s="4" t="s">
        <v>25890</v>
      </c>
      <c r="B20561" s="4" t="s">
        <v>25892</v>
      </c>
      <c r="C20561" s="5" t="str">
        <f>IFERROR(__xludf.DUMMYFUNCTION("GOOGLETRANSLATE(B20561,""en"",""zh-CN"")"),"一个男人滑下山丘，拿着棍子。")</f>
        <v>一个男人滑下山丘，拿着棍子。</v>
      </c>
    </row>
    <row r="20562">
      <c r="A20562" s="4" t="s">
        <v>25890</v>
      </c>
      <c r="B20562" s="4" t="s">
        <v>25893</v>
      </c>
      <c r="C20562" s="5" t="str">
        <f>IFERROR(__xludf.DUMMYFUNCTION("GOOGLETRANSLATE(B20562,""en"",""zh-CN"")"),"在男人的脸上降雪在空气中降落，然后男人继续滑雪。")</f>
        <v>在男人的脸上降雪在空气中降落，然后男人继续滑雪。</v>
      </c>
    </row>
    <row r="20563">
      <c r="A20563" s="4" t="s">
        <v>25890</v>
      </c>
      <c r="B20563" s="4" t="s">
        <v>25894</v>
      </c>
      <c r="C20563" s="5" t="str">
        <f>IFERROR(__xludf.DUMMYFUNCTION("GOOGLETRANSLATE(B20563,""en"",""zh-CN"")"),"之后，该男子到达滑雪站。")</f>
        <v>之后，该男子到达滑雪站。</v>
      </c>
    </row>
    <row r="20564">
      <c r="A20564" s="4" t="s">
        <v>25895</v>
      </c>
      <c r="B20564" s="4" t="s">
        <v>25896</v>
      </c>
      <c r="C20564" s="5" t="str">
        <f>IFERROR(__xludf.DUMMYFUNCTION("GOOGLETRANSLATE(B20564,""en"",""zh-CN"")"),"看到一个男人在沉重的体重之前弯曲。")</f>
        <v>看到一个男人在沉重的体重之前弯曲。</v>
      </c>
    </row>
    <row r="20565">
      <c r="A20565" s="4" t="s">
        <v>25895</v>
      </c>
      <c r="B20565" s="4" t="s">
        <v>25897</v>
      </c>
      <c r="C20565" s="5" t="str">
        <f>IFERROR(__xludf.DUMMYFUNCTION("GOOGLETRANSLATE(B20565,""en"",""zh-CN"")"),"然后，该男子弯下腰，将重物抬起头顶。")</f>
        <v>然后，该男子弯下腰，将重物抬起头顶。</v>
      </c>
    </row>
    <row r="20566">
      <c r="A20566" s="4" t="s">
        <v>25895</v>
      </c>
      <c r="B20566" s="4" t="s">
        <v>25898</v>
      </c>
      <c r="C20566" s="5" t="str">
        <f>IFERROR(__xludf.DUMMYFUNCTION("GOOGLETRANSLATE(B20566,""en"",""zh-CN"")"),"他继续举起体重，并在走开时最终将它们扔下。")</f>
        <v>他继续举起体重，并在走开时最终将它们扔下。</v>
      </c>
    </row>
    <row r="20567">
      <c r="A20567" s="4" t="s">
        <v>25899</v>
      </c>
      <c r="B20567" s="4" t="s">
        <v>25900</v>
      </c>
      <c r="C20567" s="5" t="str">
        <f>IFERROR(__xludf.DUMMYFUNCTION("GOOGLETRANSLATE(B20567,""en"",""zh-CN"")"),"一个女人准备射击，扔在体育场上的手臂。")</f>
        <v>一个女人准备射击，扔在体育场上的手臂。</v>
      </c>
    </row>
    <row r="20568">
      <c r="A20568" s="4" t="s">
        <v>25899</v>
      </c>
      <c r="B20568" s="4" t="s">
        <v>25901</v>
      </c>
      <c r="C20568" s="5" t="str">
        <f>IFERROR(__xludf.DUMMYFUNCTION("GOOGLETRANSLATE(B20568,""en"",""zh-CN"")"),"运动员绕着她的肩膀，而不是旋转她的身体扔出射门。")</f>
        <v>运动员绕着她的肩膀，而不是旋转她的身体扔出射门。</v>
      </c>
    </row>
    <row r="20569">
      <c r="A20569" s="4" t="s">
        <v>25902</v>
      </c>
      <c r="B20569" s="4" t="s">
        <v>25903</v>
      </c>
      <c r="C20569" s="5" t="str">
        <f>IFERROR(__xludf.DUMMYFUNCTION("GOOGLETRANSLATE(B20569,""en"",""zh-CN"")"),"几名年轻人在非常晴朗的一天登上一条小型船。")</f>
        <v>几名年轻人在非常晴朗的一天登上一条小型船。</v>
      </c>
    </row>
    <row r="20570">
      <c r="A20570" s="4" t="s">
        <v>25902</v>
      </c>
      <c r="B20570" s="4" t="s">
        <v>25904</v>
      </c>
      <c r="C20570" s="5" t="str">
        <f>IFERROR(__xludf.DUMMYFUNCTION("GOOGLETRANSLATE(B20570,""en"",""zh-CN"")"),"慢慢地向船退去滑水。")</f>
        <v>慢慢地向船退去滑水。</v>
      </c>
    </row>
    <row r="20571">
      <c r="A20571" s="4" t="s">
        <v>25902</v>
      </c>
      <c r="B20571" s="4" t="s">
        <v>25905</v>
      </c>
      <c r="C20571" s="5" t="str">
        <f>IFERROR(__xludf.DUMMYFUNCTION("GOOGLETRANSLATE(B20571,""en"",""zh-CN"")"),"船离开码头，他们离开了。")</f>
        <v>船离开码头，他们离开了。</v>
      </c>
    </row>
    <row r="20572">
      <c r="A20572" s="4" t="s">
        <v>25902</v>
      </c>
      <c r="B20572" s="4" t="s">
        <v>25906</v>
      </c>
      <c r="C20572" s="5" t="str">
        <f>IFERROR(__xludf.DUMMYFUNCTION("GOOGLETRANSLATE(B20572,""en"",""zh-CN"")"),"在驾驶船上的速度之后，他们的朋友跳下来，度过了愉快的时光。")</f>
        <v>在驾驶船上的速度之后，他们的朋友跳下来，度过了愉快的时光。</v>
      </c>
    </row>
    <row r="20573">
      <c r="A20573" s="4" t="s">
        <v>25902</v>
      </c>
      <c r="B20573" s="4" t="s">
        <v>25907</v>
      </c>
      <c r="C20573" s="5" t="str">
        <f>IFERROR(__xludf.DUMMYFUNCTION("GOOGLETRANSLATE(B20573,""en"",""zh-CN"")"),"一条绳索被扔掉，供他们抓取，然后开始。")</f>
        <v>一条绳索被扔掉，供他们抓取，然后开始。</v>
      </c>
    </row>
    <row r="20574">
      <c r="A20574" s="4" t="s">
        <v>25902</v>
      </c>
      <c r="B20574" s="4" t="s">
        <v>25908</v>
      </c>
      <c r="C20574" s="5" t="str">
        <f>IFERROR(__xludf.DUMMYFUNCTION("GOOGLETRANSLATE(B20574,""en"",""zh-CN"")"),"他们提高了速度，一个年轻的女人以非常快的速度在水面上滑雪。")</f>
        <v>他们提高了速度，一个年轻的女人以非常快的速度在水面上滑雪。</v>
      </c>
    </row>
    <row r="20575">
      <c r="A20575" s="4" t="s">
        <v>25902</v>
      </c>
      <c r="B20575" s="4" t="s">
        <v>25909</v>
      </c>
      <c r="C20575" s="5" t="str">
        <f>IFERROR(__xludf.DUMMYFUNCTION("GOOGLETRANSLATE(B20575,""en"",""zh-CN"")"),"她以慢动作来回走动。")</f>
        <v>她以慢动作来回走动。</v>
      </c>
    </row>
    <row r="20576">
      <c r="A20576" s="4" t="s">
        <v>25902</v>
      </c>
      <c r="B20576" s="4" t="s">
        <v>25910</v>
      </c>
      <c r="C20576" s="5" t="str">
        <f>IFERROR(__xludf.DUMMYFUNCTION("GOOGLETRANSLATE(B20576,""en"",""zh-CN"")"),"朋友们回头看看她的状况。")</f>
        <v>朋友们回头看看她的状况。</v>
      </c>
    </row>
    <row r="20577">
      <c r="A20577" s="4" t="s">
        <v>25902</v>
      </c>
      <c r="B20577" s="4" t="s">
        <v>25911</v>
      </c>
      <c r="C20577" s="5" t="str">
        <f>IFERROR(__xludf.DUMMYFUNCTION("GOOGLETRANSLATE(B20577,""en"",""zh-CN"")"),"一个年轻人在水面上滑雪，做得很好。")</f>
        <v>一个年轻人在水面上滑雪，做得很好。</v>
      </c>
    </row>
    <row r="20578">
      <c r="A20578" s="4" t="s">
        <v>25902</v>
      </c>
      <c r="B20578" s="4" t="s">
        <v>25912</v>
      </c>
      <c r="C20578" s="5" t="str">
        <f>IFERROR(__xludf.DUMMYFUNCTION("GOOGLETRANSLATE(B20578,""en"",""zh-CN"")"),"完成后，他放开了线，继续在水面上滑雪，只是向后掉下来。")</f>
        <v>完成后，他放开了线，继续在水面上滑雪，只是向后掉下来。</v>
      </c>
    </row>
    <row r="20579">
      <c r="A20579" s="4" t="s">
        <v>25913</v>
      </c>
      <c r="B20579" s="4" t="s">
        <v>25914</v>
      </c>
      <c r="C20579" s="5" t="str">
        <f>IFERROR(__xludf.DUMMYFUNCTION("GOOGLETRANSLATE(B20579,""en"",""zh-CN"")"),"在健身房内显示了几个女人。")</f>
        <v>在健身房内显示了几个女人。</v>
      </c>
    </row>
    <row r="20580">
      <c r="A20580" s="4" t="s">
        <v>25913</v>
      </c>
      <c r="B20580" s="4" t="s">
        <v>25915</v>
      </c>
      <c r="C20580" s="5" t="str">
        <f>IFERROR(__xludf.DUMMYFUNCTION("GOOGLETRANSLATE(B20580,""en"",""zh-CN"")"),"一个女人与镜头说话，而另一个女人则炫耀舞蹈动作。")</f>
        <v>一个女人与镜头说话，而另一个女人则炫耀舞蹈动作。</v>
      </c>
    </row>
    <row r="20581">
      <c r="A20581" s="4" t="s">
        <v>25913</v>
      </c>
      <c r="B20581" s="4" t="s">
        <v>25916</v>
      </c>
      <c r="C20581" s="5" t="str">
        <f>IFERROR(__xludf.DUMMYFUNCTION("GOOGLETRANSLATE(B20581,""en"",""zh-CN"")"),"她展示了不同的芭蕾舞动作和位置。")</f>
        <v>她展示了不同的芭蕾舞动作和位置。</v>
      </c>
    </row>
    <row r="20582">
      <c r="A20582" s="4" t="s">
        <v>25917</v>
      </c>
      <c r="B20582" s="4" t="s">
        <v>25918</v>
      </c>
      <c r="C20582" s="5" t="str">
        <f>IFERROR(__xludf.DUMMYFUNCTION("GOOGLETRANSLATE(B20582,""en"",""zh-CN"")"),"人们正在漂流一条波涛汹涌的河流。")</f>
        <v>人们正在漂流一条波涛汹涌的河流。</v>
      </c>
    </row>
    <row r="20583">
      <c r="A20583" s="4" t="s">
        <v>25917</v>
      </c>
      <c r="B20583" s="4" t="s">
        <v>25919</v>
      </c>
      <c r="C20583" s="5" t="str">
        <f>IFERROR(__xludf.DUMMYFUNCTION("GOOGLETRANSLATE(B20583,""en"",""zh-CN"")"),"一条蓝筏向下瀑布。")</f>
        <v>一条蓝筏向下瀑布。</v>
      </c>
    </row>
    <row r="20584">
      <c r="A20584" s="4" t="s">
        <v>25917</v>
      </c>
      <c r="B20584" s="4" t="s">
        <v>1599</v>
      </c>
      <c r="C20584" s="5" t="str">
        <f>IFERROR(__xludf.DUMMYFUNCTION("GOOGLETRANSLATE(B20584,""en"",""zh-CN"")"),"单词显示在屏幕上。")</f>
        <v>单词显示在屏幕上。</v>
      </c>
    </row>
    <row r="20585">
      <c r="A20585" s="4" t="s">
        <v>25920</v>
      </c>
      <c r="B20585" s="4" t="s">
        <v>25921</v>
      </c>
      <c r="C20585" s="5" t="str">
        <f>IFERROR(__xludf.DUMMYFUNCTION("GOOGLETRANSLATE(B20585,""en"",""zh-CN"")"),"两个男人握着长笛，而另一个人则移动他的手。")</f>
        <v>两个男人握着长笛，而另一个人则移动他的手。</v>
      </c>
    </row>
    <row r="20586">
      <c r="A20586" s="4" t="s">
        <v>25920</v>
      </c>
      <c r="B20586" s="4" t="s">
        <v>25922</v>
      </c>
      <c r="C20586" s="5" t="str">
        <f>IFERROR(__xludf.DUMMYFUNCTION("GOOGLETRANSLATE(B20586,""en"",""zh-CN"")"),"一支乐团在他们继续在同一乐器上演奏时在他们后面展示。")</f>
        <v>一支乐团在他们继续在同一乐器上演奏时在他们后面展示。</v>
      </c>
    </row>
    <row r="20587">
      <c r="A20587" s="4" t="s">
        <v>25920</v>
      </c>
      <c r="B20587" s="4" t="s">
        <v>25923</v>
      </c>
      <c r="C20587" s="5" t="str">
        <f>IFERROR(__xludf.DUMMYFUNCTION("GOOGLETRANSLATE(B20587,""en"",""zh-CN"")"),"这些人继续演奏，直到歌曲结束，并在乐队拍手时鞠躬。")</f>
        <v>这些人继续演奏，直到歌曲结束，并在乐队拍手时鞠躬。</v>
      </c>
    </row>
    <row r="20588">
      <c r="A20588" s="4" t="s">
        <v>25924</v>
      </c>
      <c r="B20588" s="4" t="s">
        <v>25925</v>
      </c>
      <c r="C20588" s="5" t="str">
        <f>IFERROR(__xludf.DUMMYFUNCTION("GOOGLETRANSLATE(B20588,""en"",""zh-CN"")"),"我们在红色背景上看到标题屏幕。")</f>
        <v>我们在红色背景上看到标题屏幕。</v>
      </c>
    </row>
    <row r="20589">
      <c r="A20589" s="4" t="s">
        <v>25924</v>
      </c>
      <c r="B20589" s="4" t="s">
        <v>25926</v>
      </c>
      <c r="C20589" s="5" t="str">
        <f>IFERROR(__xludf.DUMMYFUNCTION("GOOGLETRANSLATE(B20589,""en"",""zh-CN"")"),"我们看到女性在玩曲棍球。")</f>
        <v>我们看到女性在玩曲棍球。</v>
      </c>
    </row>
    <row r="20590">
      <c r="A20590" s="4" t="s">
        <v>25924</v>
      </c>
      <c r="B20590" s="4" t="s">
        <v>25927</v>
      </c>
      <c r="C20590" s="5" t="str">
        <f>IFERROR(__xludf.DUMMYFUNCTION("GOOGLETRANSLATE(B20590,""en"",""zh-CN"")"),"我们看到球员通过目标的网。")</f>
        <v>我们看到球员通过目标的网。</v>
      </c>
    </row>
    <row r="20591">
      <c r="A20591" s="4" t="s">
        <v>25924</v>
      </c>
      <c r="B20591" s="4" t="s">
        <v>25928</v>
      </c>
      <c r="C20591" s="5" t="str">
        <f>IFERROR(__xludf.DUMMYFUNCTION("GOOGLETRANSLATE(B20591,""en"",""zh-CN"")"),"我们看到一位穿着粉红色的女士在和镜头说话。")</f>
        <v>我们看到一位穿着粉红色的女士在和镜头说话。</v>
      </c>
    </row>
    <row r="20592">
      <c r="A20592" s="4" t="s">
        <v>25924</v>
      </c>
      <c r="B20592" s="4" t="s">
        <v>25929</v>
      </c>
      <c r="C20592" s="5" t="str">
        <f>IFERROR(__xludf.DUMMYFUNCTION("GOOGLETRANSLATE(B20592,""en"",""zh-CN"")"),"然后，我们看到一位穿着蓝色衬衫的女士说话。")</f>
        <v>然后，我们看到一位穿着蓝色衬衫的女士说话。</v>
      </c>
    </row>
    <row r="20593">
      <c r="A20593" s="4" t="s">
        <v>25924</v>
      </c>
      <c r="B20593" s="4" t="s">
        <v>25930</v>
      </c>
      <c r="C20593" s="5" t="str">
        <f>IFERROR(__xludf.DUMMYFUNCTION("GOOGLETRANSLATE(B20593,""en"",""zh-CN"")"),"一个背包里的一位女士与镜头交谈。")</f>
        <v>一个背包里的一位女士与镜头交谈。</v>
      </c>
    </row>
    <row r="20594">
      <c r="A20594" s="4" t="s">
        <v>25924</v>
      </c>
      <c r="B20594" s="4" t="s">
        <v>25931</v>
      </c>
      <c r="C20594" s="5" t="str">
        <f>IFERROR(__xludf.DUMMYFUNCTION("GOOGLETRANSLATE(B20594,""en"",""zh-CN"")"),"然后，我们看到结尾屏幕和黑色。")</f>
        <v>然后，我们看到结尾屏幕和黑色。</v>
      </c>
    </row>
    <row r="20595">
      <c r="A20595" s="4" t="s">
        <v>25932</v>
      </c>
      <c r="B20595" s="4" t="s">
        <v>25933</v>
      </c>
      <c r="C20595" s="5" t="str">
        <f>IFERROR(__xludf.DUMMYFUNCTION("GOOGLETRANSLATE(B20595,""en"",""zh-CN"")"),"屏幕上出现了一个“ Monkeysee com”徽标。")</f>
        <v>屏幕上出现了一个“ Monkeysee com”徽标。</v>
      </c>
    </row>
    <row r="20596">
      <c r="A20596" s="4" t="s">
        <v>25932</v>
      </c>
      <c r="B20596" s="6" t="s">
        <v>25934</v>
      </c>
      <c r="C20596" s="5" t="str">
        <f>IFERROR(__xludf.DUMMYFUNCTION("GOOGLETRANSLATE(B20596,""en"",""zh-CN"")"),"“一个年轻人站在前景中，而一名女啦啦队则站在他身后表演惯例。")</f>
        <v>“一个年轻人站在前景中，而一名女啦啦队则站在他身后表演惯例。</v>
      </c>
    </row>
    <row r="20597">
      <c r="A20597" s="4" t="s">
        <v>25932</v>
      </c>
      <c r="B20597" s="4" t="s">
        <v>25935</v>
      </c>
      <c r="C20597" s="5" t="str">
        <f>IFERROR(__xludf.DUMMYFUNCTION("GOOGLETRANSLATE(B20597,""en"",""zh-CN"")"),"版权和徽标屏幕出现在黑屏上。")</f>
        <v>版权和徽标屏幕出现在黑屏上。</v>
      </c>
    </row>
    <row r="20598">
      <c r="A20598" s="4" t="s">
        <v>25936</v>
      </c>
      <c r="B20598" s="4" t="s">
        <v>25937</v>
      </c>
      <c r="C20598" s="5" t="str">
        <f>IFERROR(__xludf.DUMMYFUNCTION("GOOGLETRANSLATE(B20598,""en"",""zh-CN"")"),"一名商店服务员举起呼啦圈，并展示了如何抓住它。")</f>
        <v>一名商店服务员举起呼啦圈，并展示了如何抓住它。</v>
      </c>
    </row>
    <row r="20599">
      <c r="A20599" s="4" t="s">
        <v>25936</v>
      </c>
      <c r="B20599" s="4" t="s">
        <v>25938</v>
      </c>
      <c r="C20599" s="5" t="str">
        <f>IFERROR(__xludf.DUMMYFUNCTION("GOOGLETRANSLATE(B20599,""en"",""zh-CN"")"),"那个女人放下箍，让它在她的身体上旋转到地面。")</f>
        <v>那个女人放下箍，让它在她的身体上旋转到地面。</v>
      </c>
    </row>
    <row r="20600">
      <c r="A20600" s="4" t="s">
        <v>25936</v>
      </c>
      <c r="B20600" s="4" t="s">
        <v>25939</v>
      </c>
      <c r="C20600" s="5" t="str">
        <f>IFERROR(__xludf.DUMMYFUNCTION("GOOGLETRANSLATE(B20600,""en"",""zh-CN"")"),"那个女人放下呼啦圈，让它在她的身体周围旋转，然后抓住它。")</f>
        <v>那个女人放下呼啦圈，让它在她的身体周围旋转，然后抓住它。</v>
      </c>
    </row>
    <row r="20601">
      <c r="A20601" s="4" t="s">
        <v>25936</v>
      </c>
      <c r="B20601" s="4" t="s">
        <v>25940</v>
      </c>
      <c r="C20601" s="5" t="str">
        <f>IFERROR(__xludf.DUMMYFUNCTION("GOOGLETRANSLATE(B20601,""en"",""zh-CN"")"),"女人练习在两条腿之间摆动箍。")</f>
        <v>女人练习在两条腿之间摆动箍。</v>
      </c>
    </row>
    <row r="20602">
      <c r="A20602" s="4" t="s">
        <v>25936</v>
      </c>
      <c r="B20602" s="4" t="s">
        <v>25941</v>
      </c>
      <c r="C20602" s="5" t="str">
        <f>IFERROR(__xludf.DUMMYFUNCTION("GOOGLETRANSLATE(B20602,""en"",""zh-CN"")"),"那个女人掉在双腿之间时抓住了旋转的呼啦圈。")</f>
        <v>那个女人掉在双腿之间时抓住了旋转的呼啦圈。</v>
      </c>
    </row>
    <row r="20603">
      <c r="A20603" s="4" t="s">
        <v>25936</v>
      </c>
      <c r="B20603" s="4" t="s">
        <v>25942</v>
      </c>
      <c r="C20603" s="5" t="str">
        <f>IFERROR(__xludf.DUMMYFUNCTION("GOOGLETRANSLATE(B20603,""en"",""zh-CN"")"),"女人在她的身体周围向上旋转箍。")</f>
        <v>女人在她的身体周围向上旋转箍。</v>
      </c>
    </row>
    <row r="20604">
      <c r="A20604" s="4" t="s">
        <v>25943</v>
      </c>
      <c r="B20604" s="4" t="s">
        <v>25944</v>
      </c>
      <c r="C20604" s="5" t="str">
        <f>IFERROR(__xludf.DUMMYFUNCTION("GOOGLETRANSLATE(B20604,""en"",""zh-CN"")"),"一个人正在擦车轮胎。")</f>
        <v>一个人正在擦车轮胎。</v>
      </c>
    </row>
    <row r="20605">
      <c r="A20605" s="4" t="s">
        <v>25943</v>
      </c>
      <c r="B20605" s="4" t="s">
        <v>25945</v>
      </c>
      <c r="C20605" s="5" t="str">
        <f>IFERROR(__xludf.DUMMYFUNCTION("GOOGLETRANSLATE(B20605,""en"",""zh-CN"")"),"一名女性从驾驶员侧行走，轻轻地摩擦着那个家伙的黑布。")</f>
        <v>一名女性从驾驶员侧行走，轻轻地摩擦着那个家伙的黑布。</v>
      </c>
    </row>
    <row r="20606">
      <c r="A20606" s="4" t="s">
        <v>25943</v>
      </c>
      <c r="B20606" s="4" t="s">
        <v>25946</v>
      </c>
      <c r="C20606" s="5" t="str">
        <f>IFERROR(__xludf.DUMMYFUNCTION("GOOGLETRANSLATE(B20606,""en"",""zh-CN"")"),"雌性将黑布扔在男子清洁的轮胎上方的汽车上。")</f>
        <v>雌性将黑布扔在男子清洁的轮胎上方的汽车上。</v>
      </c>
    </row>
    <row r="20607">
      <c r="A20607" s="4" t="s">
        <v>25943</v>
      </c>
      <c r="B20607" s="4" t="s">
        <v>25947</v>
      </c>
      <c r="C20607" s="5" t="str">
        <f>IFERROR(__xludf.DUMMYFUNCTION("GOOGLETRANSLATE(B20607,""en"",""zh-CN"")"),"该男子捡起黑布，将地毯放在人行道上，并用它擦拭轮胎。")</f>
        <v>该男子捡起黑布，将地毯放在人行道上，并用它擦拭轮胎。</v>
      </c>
    </row>
    <row r="20608">
      <c r="A20608" s="4" t="s">
        <v>25948</v>
      </c>
      <c r="B20608" s="4" t="s">
        <v>25949</v>
      </c>
      <c r="C20608" s="5" t="str">
        <f>IFERROR(__xludf.DUMMYFUNCTION("GOOGLETRANSLATE(B20608,""en"",""zh-CN"")"),"一个人用缎带鞠躬。")</f>
        <v>一个人用缎带鞠躬。</v>
      </c>
    </row>
    <row r="20609">
      <c r="A20609" s="4" t="s">
        <v>25948</v>
      </c>
      <c r="B20609" s="4" t="s">
        <v>25950</v>
      </c>
      <c r="C20609" s="5" t="str">
        <f>IFERROR(__xludf.DUMMYFUNCTION("GOOGLETRANSLATE(B20609,""en"",""zh-CN"")"),"他们将缎带绑在包裹的包装上。")</f>
        <v>他们将缎带绑在包裹的包装上。</v>
      </c>
    </row>
    <row r="20610">
      <c r="A20610" s="4" t="s">
        <v>25948</v>
      </c>
      <c r="B20610" s="4" t="s">
        <v>25951</v>
      </c>
      <c r="C20610" s="5" t="str">
        <f>IFERROR(__xludf.DUMMYFUNCTION("GOOGLETRANSLATE(B20610,""en"",""zh-CN"")"),"他们将弓箭录制到包装上。")</f>
        <v>他们将弓箭录制到包装上。</v>
      </c>
    </row>
    <row r="20611">
      <c r="A20611" s="4" t="s">
        <v>25952</v>
      </c>
      <c r="B20611" s="4" t="s">
        <v>25953</v>
      </c>
      <c r="C20611" s="5" t="str">
        <f>IFERROR(__xludf.DUMMYFUNCTION("GOOGLETRANSLATE(B20611,""en"",""zh-CN"")"),"出现了一个黑屏，白色单词上写着“ Nevena＆Goran Rodry-Go！El Mambo del Tra”。")</f>
        <v>出现了一个黑屏，白色单词上写着“ Nevena＆Goran Rodry-Go！El Mambo del Tra”。</v>
      </c>
    </row>
    <row r="20612">
      <c r="A20612" s="4" t="s">
        <v>25952</v>
      </c>
      <c r="B20612" s="6" t="s">
        <v>25954</v>
      </c>
      <c r="C20612" s="5" t="str">
        <f>IFERROR(__xludf.DUMMYFUNCTION("GOOGLETRANSLATE(B20612,""en"",""zh-CN"")"),"一个男人和女人出现在混凝土砖甲板上，他们开始一致跳舞，其中包括手臂运动，台阶，旋转和其他各种舞蹈动作。")</f>
        <v>一个男人和女人出现在混凝土砖甲板上，他们开始一致跳舞，其中包括手臂运动，台阶，旋转和其他各种舞蹈动作。</v>
      </c>
    </row>
    <row r="20613">
      <c r="A20613" s="4" t="s">
        <v>25952</v>
      </c>
      <c r="B20613" s="6" t="s">
        <v>25955</v>
      </c>
      <c r="C20613" s="5" t="str">
        <f>IFERROR(__xludf.DUMMYFUNCTION("GOOGLETRANSLATE(B20613,""en"",""zh-CN"")"),"他们停止跳舞，女人走近相机，然后唱歌，而她的舞蹈后面的男人。")</f>
        <v>他们停止跳舞，女人走近相机，然后唱歌，而她的舞蹈后面的男人。</v>
      </c>
    </row>
    <row r="20614">
      <c r="A20614" s="4" t="s">
        <v>25952</v>
      </c>
      <c r="B20614" s="4" t="s">
        <v>25956</v>
      </c>
      <c r="C20614" s="5" t="str">
        <f>IFERROR(__xludf.DUMMYFUNCTION("GOOGLETRANSLATE(B20614,""en"",""zh-CN"")"),"她停止唱歌，他们俩都笑着走开。")</f>
        <v>她停止唱歌，他们俩都笑着走开。</v>
      </c>
    </row>
    <row r="20615">
      <c r="A20615" s="4" t="s">
        <v>25957</v>
      </c>
      <c r="B20615" s="6" t="s">
        <v>25958</v>
      </c>
      <c r="C20615" s="5" t="str">
        <f>IFERROR(__xludf.DUMMYFUNCTION("GOOGLETRANSLATE(B20615,""en"",""zh-CN"")"),"一台相机记录了一家商店，有两个人站在里面，最终导致一群站在码头上的人。")</f>
        <v>一台相机记录了一家商店，有两个人站在里面，最终导致一群站在码头上的人。</v>
      </c>
    </row>
    <row r="20616">
      <c r="A20616" s="4" t="s">
        <v>25957</v>
      </c>
      <c r="B20616" s="6" t="s">
        <v>25959</v>
      </c>
      <c r="C20616" s="5" t="str">
        <f>IFERROR(__xludf.DUMMYFUNCTION("GOOGLETRANSLATE(B20616,""en"",""zh-CN"")"),"一个男人走下码头，另一个男人拿着一个水桶，摄影机锅盘给一个女人说话。")</f>
        <v>一个男人走下码头，另一个男人拿着一个水桶，摄影机锅盘给一个女人说话。</v>
      </c>
    </row>
    <row r="20617">
      <c r="A20617" s="4" t="s">
        <v>25957</v>
      </c>
      <c r="B20617" s="4" t="s">
        <v>25960</v>
      </c>
      <c r="C20617" s="5" t="str">
        <f>IFERROR(__xludf.DUMMYFUNCTION("GOOGLETRANSLATE(B20617,""en"",""zh-CN"")"),"那个女人穿着背心和护目镜，走进船。")</f>
        <v>那个女人穿着背心和护目镜，走进船。</v>
      </c>
    </row>
    <row r="20618">
      <c r="A20618" s="4" t="s">
        <v>25957</v>
      </c>
      <c r="B20618" s="4" t="s">
        <v>25961</v>
      </c>
      <c r="C20618" s="5" t="str">
        <f>IFERROR(__xludf.DUMMYFUNCTION("GOOGLETRANSLATE(B20618,""en"",""zh-CN"")"),"她在调整护目镜的同时与相机说话，并戴着坦克被带到水中。")</f>
        <v>她在调整护目镜的同时与相机说话，并戴着坦克被带到水中。</v>
      </c>
    </row>
    <row r="20619">
      <c r="A20619" s="4" t="s">
        <v>25957</v>
      </c>
      <c r="B20619" s="4" t="s">
        <v>25962</v>
      </c>
      <c r="C20619" s="5" t="str">
        <f>IFERROR(__xludf.DUMMYFUNCTION("GOOGLETRANSLATE(B20619,""en"",""zh-CN"")"),"她和男人一起在水中跳进水中，然后爬回到船上与镜头说话。")</f>
        <v>她和男人一起在水中跳进水中，然后爬回到船上与镜头说话。</v>
      </c>
    </row>
    <row r="20620">
      <c r="A20620" s="4" t="s">
        <v>25963</v>
      </c>
      <c r="B20620" s="4" t="s">
        <v>25964</v>
      </c>
      <c r="C20620" s="5" t="str">
        <f>IFERROR(__xludf.DUMMYFUNCTION("GOOGLETRANSLATE(B20620,""en"",""zh-CN"")"),"一个女人在厨房里谈论如何制作勒蒙德。")</f>
        <v>一个女人在厨房里谈论如何制作勒蒙德。</v>
      </c>
    </row>
    <row r="20621">
      <c r="A20621" s="4" t="s">
        <v>25963</v>
      </c>
      <c r="B20621" s="4" t="s">
        <v>25965</v>
      </c>
      <c r="C20621" s="5" t="str">
        <f>IFERROR(__xludf.DUMMYFUNCTION("GOOGLETRANSLATE(B20621,""en"",""zh-CN"")"),"她提出了您需要拥有的各种成分。")</f>
        <v>她提出了您需要拥有的各种成分。</v>
      </c>
    </row>
    <row r="20622">
      <c r="A20622" s="4" t="s">
        <v>25963</v>
      </c>
      <c r="B20622" s="4" t="s">
        <v>25966</v>
      </c>
      <c r="C20622" s="5" t="str">
        <f>IFERROR(__xludf.DUMMYFUNCTION("GOOGLETRANSLATE(B20622,""en"",""zh-CN"")"),"她将所有果汁混合在一起制成混合物。")</f>
        <v>她将所有果汁混合在一起制成混合物。</v>
      </c>
    </row>
    <row r="20623">
      <c r="A20623" s="4" t="s">
        <v>25963</v>
      </c>
      <c r="B20623" s="4" t="s">
        <v>25967</v>
      </c>
      <c r="C20623" s="5" t="str">
        <f>IFERROR(__xludf.DUMMYFUNCTION("GOOGLETRANSLATE(B20623,""en"",""zh-CN"")"),"然后，她将混合物倒入玻璃杯中，然后喝果汁。")</f>
        <v>然后，她将混合物倒入玻璃杯中，然后喝果汁。</v>
      </c>
    </row>
    <row r="20624">
      <c r="A20624" s="4" t="s">
        <v>25968</v>
      </c>
      <c r="B20624" s="6" t="s">
        <v>25969</v>
      </c>
      <c r="C20624" s="5" t="str">
        <f>IFERROR(__xludf.DUMMYFUNCTION("GOOGLETRANSLATE(B20624,""en"",""zh-CN"")"),"显示了几次观众欢呼的镜头以及许多令人印象深刻的体育赛事的片段。")</f>
        <v>显示了几次观众欢呼的镜头以及许多令人印象深刻的体育赛事的片段。</v>
      </c>
    </row>
    <row r="20625">
      <c r="A20625" s="4" t="s">
        <v>25968</v>
      </c>
      <c r="B20625" s="6" t="s">
        <v>25970</v>
      </c>
      <c r="C20625" s="5" t="str">
        <f>IFERROR(__xludf.DUMMYFUNCTION("GOOGLETRANSLATE(B20625,""en"",""zh-CN"")"),"人们击中排球，彼此击中第四，同时还显示了与队友庆祝的人们的剪辑。")</f>
        <v>人们击中排球，彼此击中第四，同时还显示了与队友庆祝的人们的剪辑。</v>
      </c>
    </row>
    <row r="20626">
      <c r="A20626" s="4" t="s">
        <v>25971</v>
      </c>
      <c r="B20626" s="4" t="s">
        <v>25972</v>
      </c>
      <c r="C20626" s="5" t="str">
        <f>IFERROR(__xludf.DUMMYFUNCTION("GOOGLETRANSLATE(B20626,""en"",""zh-CN"")"),"一个人在湖上冲浪。")</f>
        <v>一个人在湖上冲浪。</v>
      </c>
    </row>
    <row r="20627">
      <c r="A20627" s="4" t="s">
        <v>25971</v>
      </c>
      <c r="B20627" s="4" t="s">
        <v>25973</v>
      </c>
      <c r="C20627" s="5" t="str">
        <f>IFERROR(__xludf.DUMMYFUNCTION("GOOGLETRANSLATE(B20627,""en"",""zh-CN"")"),"其他风冲浪者在他身后传递。")</f>
        <v>其他风冲浪者在他身后传递。</v>
      </c>
    </row>
    <row r="20628">
      <c r="A20628" s="4" t="s">
        <v>25974</v>
      </c>
      <c r="B20628" s="4" t="s">
        <v>25975</v>
      </c>
      <c r="C20628" s="5" t="str">
        <f>IFERROR(__xludf.DUMMYFUNCTION("GOOGLETRANSLATE(B20628,""en"",""zh-CN"")"),"一个女孩对如何打包袋子进行教程。")</f>
        <v>一个女孩对如何打包袋子进行教程。</v>
      </c>
    </row>
    <row r="20629">
      <c r="A20629" s="4" t="s">
        <v>25974</v>
      </c>
      <c r="B20629" s="4" t="s">
        <v>25976</v>
      </c>
      <c r="C20629" s="5" t="str">
        <f>IFERROR(__xludf.DUMMYFUNCTION("GOOGLETRANSLATE(B20629,""en"",""zh-CN"")"),"然后，她给了芭蕾舞演员的技巧，尤其是关于如何正确对待脚的方面。")</f>
        <v>然后，她给了芭蕾舞演员的技巧，尤其是关于如何正确对待脚的方面。</v>
      </c>
    </row>
    <row r="20630">
      <c r="A20630" s="4" t="s">
        <v>25977</v>
      </c>
      <c r="B20630" s="4" t="s">
        <v>25978</v>
      </c>
      <c r="C20630" s="5" t="str">
        <f>IFERROR(__xludf.DUMMYFUNCTION("GOOGLETRANSLATE(B20630,""en"",""zh-CN"")"),"一名老人在摩托艇上站在水上。")</f>
        <v>一名老人在摩托艇上站在水上。</v>
      </c>
    </row>
    <row r="20631">
      <c r="A20631" s="4" t="s">
        <v>25977</v>
      </c>
      <c r="B20631" s="4" t="s">
        <v>25979</v>
      </c>
      <c r="C20631" s="5" t="str">
        <f>IFERROR(__xludf.DUMMYFUNCTION("GOOGLETRANSLATE(B20631,""en"",""zh-CN"")"),"这个人开始滑雪。")</f>
        <v>这个人开始滑雪。</v>
      </c>
    </row>
    <row r="20632">
      <c r="A20632" s="4" t="s">
        <v>25977</v>
      </c>
      <c r="B20632" s="4" t="s">
        <v>25980</v>
      </c>
      <c r="C20632" s="5" t="str">
        <f>IFERROR(__xludf.DUMMYFUNCTION("GOOGLETRANSLATE(B20632,""en"",""zh-CN"")"),"该男子手从手柄上拿下来。")</f>
        <v>该男子手从手柄上拿下来。</v>
      </c>
    </row>
    <row r="20633">
      <c r="A20633" s="4" t="s">
        <v>25977</v>
      </c>
      <c r="B20633" s="4" t="s">
        <v>25981</v>
      </c>
      <c r="C20633" s="5" t="str">
        <f>IFERROR(__xludf.DUMMYFUNCTION("GOOGLETRANSLATE(B20633,""en"",""zh-CN"")"),"该男子双手放回手柄和摩托艇上。")</f>
        <v>该男子双手放回手柄和摩托艇上。</v>
      </c>
    </row>
    <row r="20634">
      <c r="A20634" s="4" t="s">
        <v>25982</v>
      </c>
      <c r="B20634" s="4" t="s">
        <v>25983</v>
      </c>
      <c r="C20634" s="5" t="str">
        <f>IFERROR(__xludf.DUMMYFUNCTION("GOOGLETRANSLATE(B20634,""en"",""zh-CN"")"),"一个男人慢慢地向他走去时，一个男人走向一个女人。")</f>
        <v>一个男人慢慢地向他走去时，一个男人走向一个女人。</v>
      </c>
    </row>
    <row r="20635">
      <c r="A20635" s="4" t="s">
        <v>25982</v>
      </c>
      <c r="B20635" s="6" t="s">
        <v>25984</v>
      </c>
      <c r="C20635" s="5" t="str">
        <f>IFERROR(__xludf.DUMMYFUNCTION("GOOGLETRANSLATE(B20635,""en"",""zh-CN"")"),"他们见面并开始舞蹈，这是非常激烈的，做得很好，他们一起工作得很好，当他们完成时，他们互相鞠躬和高五个，而观众为他们加油。")</f>
        <v>他们见面并开始舞蹈，这是非常激烈的，做得很好，他们一起工作得很好，当他们完成时，他们互相鞠躬和高五个，而观众为他们加油。</v>
      </c>
    </row>
    <row r="20636">
      <c r="A20636" s="4" t="s">
        <v>25982</v>
      </c>
      <c r="B20636" s="6" t="s">
        <v>25985</v>
      </c>
      <c r="C20636" s="5" t="str">
        <f>IFERROR(__xludf.DUMMYFUNCTION("GOOGLETRANSLATE(B20636,""en"",""zh-CN"")"),"然后，其中一位法官站起来与他们交谈，使他们微笑并更加欣喜若狂。")</f>
        <v>然后，其中一位法官站起来与他们交谈，使他们微笑并更加欣喜若狂。</v>
      </c>
    </row>
    <row r="20637">
      <c r="A20637" s="4" t="s">
        <v>25982</v>
      </c>
      <c r="B20637" s="6" t="s">
        <v>25986</v>
      </c>
      <c r="C20637" s="5" t="str">
        <f>IFERROR(__xludf.DUMMYFUNCTION("GOOGLETRANSLATE(B20637,""en"",""zh-CN"")"),"另一位女法官批评他们，女人舞者奔跑并拥抱他们，然后最终的法官告诉他们他对自己的表现的看法。")</f>
        <v>另一位女法官批评他们，女人舞者奔跑并拥抱他们，然后最终的法官告诉他们他对自己的表现的看法。</v>
      </c>
    </row>
    <row r="20638">
      <c r="A20638" s="4" t="s">
        <v>25987</v>
      </c>
      <c r="B20638" s="4" t="s">
        <v>25988</v>
      </c>
      <c r="C20638" s="5" t="str">
        <f>IFERROR(__xludf.DUMMYFUNCTION("GOOGLETRANSLATE(B20638,""en"",""zh-CN"")"),"一件绿色衬衫的女人站在厨房里。")</f>
        <v>一件绿色衬衫的女人站在厨房里。</v>
      </c>
    </row>
    <row r="20639">
      <c r="A20639" s="4" t="s">
        <v>25987</v>
      </c>
      <c r="B20639" s="4" t="s">
        <v>25989</v>
      </c>
      <c r="C20639" s="5" t="str">
        <f>IFERROR(__xludf.DUMMYFUNCTION("GOOGLETRANSLATE(B20639,""en"",""zh-CN"")"),"她站在几种成分的面前。")</f>
        <v>她站在几种成分的面前。</v>
      </c>
    </row>
    <row r="20640">
      <c r="A20640" s="4" t="s">
        <v>25987</v>
      </c>
      <c r="B20640" s="4" t="s">
        <v>25990</v>
      </c>
      <c r="C20640" s="5" t="str">
        <f>IFERROR(__xludf.DUMMYFUNCTION("GOOGLETRANSLATE(B20640,""en"",""zh-CN"")"),"她将柠檬切成两半。")</f>
        <v>她将柠檬切成两半。</v>
      </c>
    </row>
    <row r="20641">
      <c r="A20641" s="4" t="s">
        <v>25987</v>
      </c>
      <c r="B20641" s="4" t="s">
        <v>25991</v>
      </c>
      <c r="C20641" s="5" t="str">
        <f>IFERROR(__xludf.DUMMYFUNCTION("GOOGLETRANSLATE(B20641,""en"",""zh-CN"")"),"在整个视频中，她笑了很多。")</f>
        <v>在整个视频中，她笑了很多。</v>
      </c>
    </row>
    <row r="20642">
      <c r="A20642" s="4" t="s">
        <v>25992</v>
      </c>
      <c r="B20642" s="6" t="s">
        <v>25993</v>
      </c>
      <c r="C20642" s="5" t="str">
        <f>IFERROR(__xludf.DUMMYFUNCTION("GOOGLETRANSLATE(B20642,""en"",""zh-CN"")"),"一群穿着游泳帽的人在一个室外游泳池里打排球，周围有一群围观者和直立的数字记分牌。")</f>
        <v>一群穿着游泳帽的人在一个室外游泳池里打排球，周围有一群围观者和直立的数字记分牌。</v>
      </c>
    </row>
    <row r="20643">
      <c r="A20643" s="4" t="s">
        <v>25992</v>
      </c>
      <c r="B20643" s="6" t="s">
        <v>25994</v>
      </c>
      <c r="C20643" s="5" t="str">
        <f>IFERROR(__xludf.DUMMYFUNCTION("GOOGLETRANSLATE(B20643,""en"",""zh-CN"")"),"一个黄色的球飞入游泳池的右侧，游泳池中的人们将其移到游泳池的左侧，而所有白色的男人则从凸起的水泥边框上从游泳池的侧面轨道轨迹。")</f>
        <v>一个黄色的球飞入游泳池的右侧，游泳池中的人们将其移到游泳池的左侧，而所有白色的男人则从凸起的水泥边框上从游泳池的侧面轨道轨迹。</v>
      </c>
    </row>
    <row r="20644">
      <c r="A20644" s="4" t="s">
        <v>25992</v>
      </c>
      <c r="B20644" s="4" t="s">
        <v>25995</v>
      </c>
      <c r="C20644" s="5" t="str">
        <f>IFERROR(__xludf.DUMMYFUNCTION("GOOGLETRANSLATE(B20644,""en"",""zh-CN"")"),"前面的一个人将黄球刺入蓝色的球门，并经过泳池中的一个球门封锁。")</f>
        <v>前面的一个人将黄球刺入蓝色的球门，并经过泳池中的一个球门封锁。</v>
      </c>
    </row>
    <row r="20645">
      <c r="A20645" s="4" t="s">
        <v>25992</v>
      </c>
      <c r="B20645" s="6" t="s">
        <v>25996</v>
      </c>
      <c r="C20645" s="5" t="str">
        <f>IFERROR(__xludf.DUMMYFUNCTION("GOOGLETRANSLATE(B20645,""en"",""zh-CN"")"),"游泳池左侧的一个人将球扔进了游泳池的右侧，所有球员都会游泳。")</f>
        <v>游泳池左侧的一个人将球扔进了游泳池的右侧，所有球员都会游泳。</v>
      </c>
    </row>
    <row r="20646">
      <c r="A20646" s="4" t="s">
        <v>25997</v>
      </c>
      <c r="B20646" s="4" t="s">
        <v>25998</v>
      </c>
      <c r="C20646" s="5" t="str">
        <f>IFERROR(__xludf.DUMMYFUNCTION("GOOGLETRANSLATE(B20646,""en"",""zh-CN"")"),"看到一个小男孩和一个女孩看着远处。")</f>
        <v>看到一个小男孩和一个女孩看着远处。</v>
      </c>
    </row>
    <row r="20647">
      <c r="A20647" s="4" t="s">
        <v>25997</v>
      </c>
      <c r="B20647" s="4" t="s">
        <v>25999</v>
      </c>
      <c r="C20647" s="5" t="str">
        <f>IFERROR(__xludf.DUMMYFUNCTION("GOOGLETRANSLATE(B20647,""en"",""zh-CN"")"),"看到人们在里面走，然后是围栏的剪辑。")</f>
        <v>看到人们在里面走，然后是围栏的剪辑。</v>
      </c>
    </row>
    <row r="20648">
      <c r="A20648" s="4" t="s">
        <v>25997</v>
      </c>
      <c r="B20648" s="4" t="s">
        <v>26000</v>
      </c>
      <c r="C20648" s="5" t="str">
        <f>IFERROR(__xludf.DUMMYFUNCTION("GOOGLETRANSLATE(B20648,""en"",""zh-CN"")"),"向人们展示了更多的镜头，一个练习和一个女孩撞到一个年长的男人。")</f>
        <v>向人们展示了更多的镜头，一个练习和一个女孩撞到一个年长的男人。</v>
      </c>
    </row>
    <row r="20649">
      <c r="A20649" s="4" t="s">
        <v>26001</v>
      </c>
      <c r="B20649" s="4" t="s">
        <v>26002</v>
      </c>
      <c r="C20649" s="5" t="str">
        <f>IFERROR(__xludf.DUMMYFUNCTION("GOOGLETRANSLATE(B20649,""en"",""zh-CN"")"),"一群孩子在野餐桌上闲逛。")</f>
        <v>一群孩子在野餐桌上闲逛。</v>
      </c>
    </row>
    <row r="20650">
      <c r="A20650" s="4" t="s">
        <v>26001</v>
      </c>
      <c r="B20650" s="4" t="s">
        <v>26003</v>
      </c>
      <c r="C20650" s="5" t="str">
        <f>IFERROR(__xludf.DUMMYFUNCTION("GOOGLETRANSLATE(B20650,""en"",""zh-CN"")"),"一个年轻的女孩剥土豆。")</f>
        <v>一个年轻的女孩剥土豆。</v>
      </c>
    </row>
    <row r="20651">
      <c r="A20651" s="4" t="s">
        <v>26001</v>
      </c>
      <c r="B20651" s="4" t="s">
        <v>26004</v>
      </c>
      <c r="C20651" s="5" t="str">
        <f>IFERROR(__xludf.DUMMYFUNCTION("GOOGLETRANSLATE(B20651,""en"",""zh-CN"")"),"一个小男孩切土豆。")</f>
        <v>一个小男孩切土豆。</v>
      </c>
    </row>
    <row r="20652">
      <c r="A20652" s="4" t="s">
        <v>26005</v>
      </c>
      <c r="B20652" s="4" t="s">
        <v>26006</v>
      </c>
      <c r="C20652" s="5" t="str">
        <f>IFERROR(__xludf.DUMMYFUNCTION("GOOGLETRANSLATE(B20652,""en"",""zh-CN"")"),"一名男性体操运动员在一个充满人的竞技场中，抓住了两个酒吧开始例行工作。")</f>
        <v>一名男性体操运动员在一个充满人的竞技场中，抓住了两个酒吧开始例行工作。</v>
      </c>
    </row>
    <row r="20653">
      <c r="A20653" s="4" t="s">
        <v>26005</v>
      </c>
      <c r="B20653" s="6" t="s">
        <v>26007</v>
      </c>
      <c r="C20653" s="5" t="str">
        <f>IFERROR(__xludf.DUMMYFUNCTION("GOOGLETRANSLATE(B20653,""en"",""zh-CN"")"),"在他在酒吧上后，他进行了几次翻转和转弯，然后才降落表演并离开垫子。")</f>
        <v>在他在酒吧上后，他进行了几次翻转和转弯，然后才降落表演并离开垫子。</v>
      </c>
    </row>
    <row r="20654">
      <c r="A20654" s="4" t="s">
        <v>26008</v>
      </c>
      <c r="B20654" s="4" t="s">
        <v>26009</v>
      </c>
      <c r="C20654" s="5" t="str">
        <f>IFERROR(__xludf.DUMMYFUNCTION("GOOGLETRANSLATE(B20654,""en"",""zh-CN"")"),"看到狗的近距离，有一个拿着剃须刀的人。")</f>
        <v>看到狗的近距离，有一个拿着剃须刀的人。</v>
      </c>
    </row>
    <row r="20655">
      <c r="A20655" s="4" t="s">
        <v>26008</v>
      </c>
      <c r="B20655" s="4" t="s">
        <v>26010</v>
      </c>
      <c r="C20655" s="5" t="str">
        <f>IFERROR(__xludf.DUMMYFUNCTION("GOOGLETRANSLATE(B20655,""en"",""zh-CN"")"),"然后，该人抬起狗的脸，开始修剪眼睛。")</f>
        <v>然后，该人抬起狗的脸，开始修剪眼睛。</v>
      </c>
    </row>
    <row r="20656">
      <c r="A20656" s="4" t="s">
        <v>26008</v>
      </c>
      <c r="B20656" s="4" t="s">
        <v>26011</v>
      </c>
      <c r="C20656" s="5" t="str">
        <f>IFERROR(__xludf.DUMMYFUNCTION("GOOGLETRANSLATE(B20656,""en"",""zh-CN"")"),"该人继续剃须并通过梳理脸而结束。")</f>
        <v>该人继续剃须并通过梳理脸而结束。</v>
      </c>
    </row>
    <row r="20657">
      <c r="A20657" s="4" t="s">
        <v>26012</v>
      </c>
      <c r="B20657" s="6" t="s">
        <v>26013</v>
      </c>
      <c r="C20657" s="5" t="str">
        <f>IFERROR(__xludf.DUMMYFUNCTION("GOOGLETRANSLATE(B20657,""en"",""zh-CN"")"),"看到一个女人在镜头讲话，并导致一个跑步的女人和采访其他跑步者。")</f>
        <v>看到一个女人在镜头讲话，并导致一个跑步的女人和采访其他跑步者。</v>
      </c>
    </row>
    <row r="20658">
      <c r="A20658" s="4" t="s">
        <v>26012</v>
      </c>
      <c r="B20658" s="4" t="s">
        <v>26014</v>
      </c>
      <c r="C20658" s="5" t="str">
        <f>IFERROR(__xludf.DUMMYFUNCTION("GOOGLETRANSLATE(B20658,""en"",""zh-CN"")"),"她在跑步时采访了两个双胞胎，新闻展示了该地区的其他跑步者。")</f>
        <v>她在跑步时采访了两个双胞胎，新闻展示了该地区的其他跑步者。</v>
      </c>
    </row>
    <row r="20659">
      <c r="A20659" s="4" t="s">
        <v>26015</v>
      </c>
      <c r="B20659" s="6" t="s">
        <v>26016</v>
      </c>
      <c r="C20659" s="5" t="str">
        <f>IFERROR(__xludf.DUMMYFUNCTION("GOOGLETRANSLATE(B20659,""en"",""zh-CN"")"),"看到一个大个子弯腰弯腰移动胳膊，向远处望去。")</f>
        <v>看到一个大个子弯腰弯腰移动胳膊，向远处望去。</v>
      </c>
    </row>
    <row r="20660">
      <c r="A20660" s="4" t="s">
        <v>26015</v>
      </c>
      <c r="B20660" s="6" t="s">
        <v>26017</v>
      </c>
      <c r="C20660" s="5" t="str">
        <f>IFERROR(__xludf.DUMMYFUNCTION("GOOGLETRANSLATE(B20660,""en"",""zh-CN"")"),"该男子继续在表演各种武术动作的垫子上四处移动，然后向后移动第四。")</f>
        <v>该男子继续在表演各种武术动作的垫子上四处移动，然后向后移动第四。</v>
      </c>
    </row>
    <row r="20661">
      <c r="A20661" s="4" t="s">
        <v>26018</v>
      </c>
      <c r="B20661" s="4" t="s">
        <v>26019</v>
      </c>
      <c r="C20661" s="5" t="str">
        <f>IFERROR(__xludf.DUMMYFUNCTION("GOOGLETRANSLATE(B20661,""en"",""zh-CN"")"),"人们正在滑下一条白雪皑皑的轮胎。")</f>
        <v>人们正在滑下一条白雪皑皑的轮胎。</v>
      </c>
    </row>
    <row r="20662">
      <c r="A20662" s="4" t="s">
        <v>26018</v>
      </c>
      <c r="B20662" s="4" t="s">
        <v>26020</v>
      </c>
      <c r="C20662" s="5" t="str">
        <f>IFERROR(__xludf.DUMMYFUNCTION("GOOGLETRANSLATE(B20662,""en"",""zh-CN"")"),"一个孩子站在轮胎上，为喜悦而跳跃。")</f>
        <v>一个孩子站在轮胎上，为喜悦而跳跃。</v>
      </c>
    </row>
    <row r="20663">
      <c r="A20663" s="4" t="s">
        <v>26018</v>
      </c>
      <c r="B20663" s="4" t="s">
        <v>26021</v>
      </c>
      <c r="C20663" s="5" t="str">
        <f>IFERROR(__xludf.DUMMYFUNCTION("GOOGLETRANSLATE(B20663,""en"",""zh-CN"")"),"成年人起床并拉两个轮胎。")</f>
        <v>成年人起床并拉两个轮胎。</v>
      </c>
    </row>
    <row r="20664">
      <c r="A20664" s="4" t="s">
        <v>26022</v>
      </c>
      <c r="B20664" s="6" t="s">
        <v>26023</v>
      </c>
      <c r="C20664" s="5" t="str">
        <f>IFERROR(__xludf.DUMMYFUNCTION("GOOGLETRANSLATE(B20664,""en"",""zh-CN"")"),"一个穿着伪装西装的男人与其他人一起站在一个大草田里，他正在拉我们几乎看不见的绳子。")</f>
        <v>一个穿着伪装西装的男人与其他人一起站在一个大草田里，他正在拉我们几乎看不见的绳子。</v>
      </c>
    </row>
    <row r="20665">
      <c r="A20665" s="4" t="s">
        <v>26022</v>
      </c>
      <c r="B20665" s="4" t="s">
        <v>26024</v>
      </c>
      <c r="C20665" s="5" t="str">
        <f>IFERROR(__xludf.DUMMYFUNCTION("GOOGLETRANSLATE(B20665,""en"",""zh-CN"")"),"还有很多其他人在场上四处走动。")</f>
        <v>还有很多其他人在场上四处走动。</v>
      </c>
    </row>
    <row r="20666">
      <c r="A20666" s="4" t="s">
        <v>26022</v>
      </c>
      <c r="B20666" s="6" t="s">
        <v>26025</v>
      </c>
      <c r="C20666" s="5" t="str">
        <f>IFERROR(__xludf.DUMMYFUNCTION("GOOGLETRANSLATE(B20666,""en"",""zh-CN"")"),"摄像头的角度正在变化，当我们接近那个男人时，我们终于看到了他要拔的弦。")</f>
        <v>摄像头的角度正在变化，当我们接近那个男人时，我们终于看到了他要拔的弦。</v>
      </c>
    </row>
    <row r="20667">
      <c r="A20667" s="4" t="s">
        <v>26026</v>
      </c>
      <c r="B20667" s="4" t="s">
        <v>26027</v>
      </c>
      <c r="C20667" s="5" t="str">
        <f>IFERROR(__xludf.DUMMYFUNCTION("GOOGLETRANSLATE(B20667,""en"",""zh-CN"")"),"一个女人在一个装满水的橙色浴缸里洗澡两只白色的小狗。")</f>
        <v>一个女人在一个装满水的橙色浴缸里洗澡两只白色的小狗。</v>
      </c>
    </row>
    <row r="20668">
      <c r="A20668" s="4" t="s">
        <v>26026</v>
      </c>
      <c r="B20668" s="4" t="s">
        <v>26028</v>
      </c>
      <c r="C20668" s="5" t="str">
        <f>IFERROR(__xludf.DUMMYFUNCTION("GOOGLETRANSLATE(B20668,""en"",""zh-CN"")"),"她和一个戴着腕部手表的男人一起加入了她的行列，该男子帮助女人洗澡两只小狗。")</f>
        <v>她和一个戴着腕部手表的男人一起加入了她的行列，该男子帮助女人洗澡两只小狗。</v>
      </c>
    </row>
    <row r="20669">
      <c r="A20669" s="4" t="s">
        <v>26026</v>
      </c>
      <c r="B20669" s="4" t="s">
        <v>26029</v>
      </c>
      <c r="C20669" s="5" t="str">
        <f>IFERROR(__xludf.DUMMYFUNCTION("GOOGLETRANSLATE(B20669,""en"",""zh-CN"")"),"其中一只幼犬试图走出浴缸，该男子抱着他并将他放回进去。")</f>
        <v>其中一只幼犬试图走出浴缸，该男子抱着他并将他放回进去。</v>
      </c>
    </row>
    <row r="20670">
      <c r="A20670" s="4" t="s">
        <v>26026</v>
      </c>
      <c r="B20670" s="4" t="s">
        <v>26030</v>
      </c>
      <c r="C20670" s="5" t="str">
        <f>IFERROR(__xludf.DUMMYFUNCTION("GOOGLETRANSLATE(B20670,""en"",""zh-CN"")"),"女人继续洗幼犬。")</f>
        <v>女人继续洗幼犬。</v>
      </c>
    </row>
    <row r="20671">
      <c r="A20671" s="4" t="s">
        <v>26031</v>
      </c>
      <c r="B20671" s="4" t="s">
        <v>26032</v>
      </c>
      <c r="C20671" s="5" t="str">
        <f>IFERROR(__xludf.DUMMYFUNCTION("GOOGLETRANSLATE(B20671,""en"",""zh-CN"")"),"一个穿着黑色衬衫的男人用白布擦拭桌子。")</f>
        <v>一个穿着黑色衬衫的男人用白布擦拭桌子。</v>
      </c>
    </row>
    <row r="20672">
      <c r="A20672" s="4" t="s">
        <v>26031</v>
      </c>
      <c r="B20672" s="4" t="s">
        <v>26033</v>
      </c>
      <c r="C20672" s="5" t="str">
        <f>IFERROR(__xludf.DUMMYFUNCTION("GOOGLETRANSLATE(B20672,""en"",""zh-CN"")"),"白灯反映在桌子上。")</f>
        <v>白灯反映在桌子上。</v>
      </c>
    </row>
    <row r="20673">
      <c r="A20673" s="4" t="s">
        <v>26031</v>
      </c>
      <c r="B20673" s="4" t="s">
        <v>26034</v>
      </c>
      <c r="C20673" s="5" t="str">
        <f>IFERROR(__xludf.DUMMYFUNCTION("GOOGLETRANSLATE(B20673,""en"",""zh-CN"")"),"该男子用白色抹布擦拭桌子的边缘。")</f>
        <v>该男子用白色抹布擦拭桌子的边缘。</v>
      </c>
    </row>
    <row r="20674">
      <c r="A20674" s="4" t="s">
        <v>26035</v>
      </c>
      <c r="B20674" s="6" t="s">
        <v>26036</v>
      </c>
      <c r="C20674" s="5" t="str">
        <f>IFERROR(__xludf.DUMMYFUNCTION("GOOGLETRANSLATE(B20674,""en"",""zh-CN"")"),"一个女人正在做一个教程，以了解如何用小苏打，牙刷和布抹布清洁厨房水槽。")</f>
        <v>一个女人正在做一个教程，以了解如何用小苏打，牙刷和布抹布清洁厨房水槽。</v>
      </c>
    </row>
    <row r="20675">
      <c r="A20675" s="4" t="s">
        <v>26035</v>
      </c>
      <c r="B20675" s="4" t="s">
        <v>26037</v>
      </c>
      <c r="C20675" s="5" t="str">
        <f>IFERROR(__xludf.DUMMYFUNCTION("GOOGLETRANSLATE(B20675,""en"",""zh-CN"")"),"她首先在抹布上取一些小苏打并在水槽上擦洗。")</f>
        <v>她首先在抹布上取一些小苏打并在水槽上擦洗。</v>
      </c>
    </row>
    <row r="20676">
      <c r="A20676" s="4" t="s">
        <v>26035</v>
      </c>
      <c r="B20676" s="4" t="s">
        <v>26038</v>
      </c>
      <c r="C20676" s="5" t="str">
        <f>IFERROR(__xludf.DUMMYFUNCTION("GOOGLETRANSLATE(B20676,""en"",""zh-CN"")"),"然后她拿起牙刷，将其浸入小苏打中。")</f>
        <v>然后她拿起牙刷，将其浸入小苏打中。</v>
      </c>
    </row>
    <row r="20677">
      <c r="A20677" s="4" t="s">
        <v>26035</v>
      </c>
      <c r="B20677" s="4" t="s">
        <v>26039</v>
      </c>
      <c r="C20677" s="5" t="str">
        <f>IFERROR(__xludf.DUMMYFUNCTION("GOOGLETRANSLATE(B20677,""en"",""zh-CN"")"),"她刷水槽边缘上的牙刷进行清洁。")</f>
        <v>她刷水槽边缘上的牙刷进行清洁。</v>
      </c>
    </row>
    <row r="20678">
      <c r="A20678" s="4" t="s">
        <v>26035</v>
      </c>
      <c r="B20678" s="4" t="s">
        <v>26040</v>
      </c>
      <c r="C20678" s="5" t="str">
        <f>IFERROR(__xludf.DUMMYFUNCTION("GOOGLETRANSLATE(B20678,""en"",""zh-CN"")"),"她打开水龙头，将小苏打从水槽上洗净。")</f>
        <v>她打开水龙头，将小苏打从水槽上洗净。</v>
      </c>
    </row>
    <row r="20679">
      <c r="A20679" s="4" t="s">
        <v>26035</v>
      </c>
      <c r="B20679" s="4" t="s">
        <v>26041</v>
      </c>
      <c r="C20679" s="5" t="str">
        <f>IFERROR(__xludf.DUMMYFUNCTION("GOOGLETRANSLATE(B20679,""en"",""zh-CN"")"),"然后，她将醋放在洗涤布上，然后用它擦拭水槽。")</f>
        <v>然后，她将醋放在洗涤布上，然后用它擦拭水槽。</v>
      </c>
    </row>
    <row r="20680">
      <c r="A20680" s="4" t="s">
        <v>26042</v>
      </c>
      <c r="B20680" s="4" t="s">
        <v>26043</v>
      </c>
      <c r="C20680" s="5" t="str">
        <f>IFERROR(__xludf.DUMMYFUNCTION("GOOGLETRANSLATE(B20680,""en"",""zh-CN"")"),"紫色的紫色身体正处于平衡杆中，然后跳到顶部。")</f>
        <v>紫色的紫色身体正处于平衡杆中，然后跳到顶部。</v>
      </c>
    </row>
    <row r="20681">
      <c r="A20681" s="4" t="s">
        <v>26042</v>
      </c>
      <c r="B20681" s="4" t="s">
        <v>26044</v>
      </c>
      <c r="C20681" s="5" t="str">
        <f>IFERROR(__xludf.DUMMYFUNCTION("GOOGLETRANSLATE(B20681,""en"",""zh-CN"")"),"这个女孩在平衡梁上进行体操。")</f>
        <v>这个女孩在平衡梁上进行体操。</v>
      </c>
    </row>
    <row r="20682">
      <c r="A20682" s="4" t="s">
        <v>26042</v>
      </c>
      <c r="B20682" s="4" t="s">
        <v>26045</v>
      </c>
      <c r="C20682" s="5" t="str">
        <f>IFERROR(__xludf.DUMMYFUNCTION("GOOGLETRANSLATE(B20682,""en"",""zh-CN"")"),"球场上看来的人看着孩子在做体操。")</f>
        <v>球场上看来的人看着孩子在做体操。</v>
      </c>
    </row>
    <row r="20683">
      <c r="A20683" s="4" t="s">
        <v>26042</v>
      </c>
      <c r="B20683" s="4" t="s">
        <v>26046</v>
      </c>
      <c r="C20683" s="5" t="str">
        <f>IFERROR(__xludf.DUMMYFUNCTION("GOOGLETRANSLATE(B20683,""en"",""zh-CN"")"),"这个女孩做了一大笔钱，降落在地板上。")</f>
        <v>这个女孩做了一大笔钱，降落在地板上。</v>
      </c>
    </row>
    <row r="20684">
      <c r="A20684" s="4" t="s">
        <v>26047</v>
      </c>
      <c r="B20684" s="4" t="s">
        <v>26048</v>
      </c>
      <c r="C20684" s="5" t="str">
        <f>IFERROR(__xludf.DUMMYFUNCTION("GOOGLETRANSLATE(B20684,""en"",""zh-CN"")"),"一个用纹身的男人拭子，用耳朵拭子的年轻女士的耳朵。")</f>
        <v>一个用纹身的男人拭子，用耳朵拭子的年轻女士的耳朵。</v>
      </c>
    </row>
    <row r="20685">
      <c r="A20685" s="4" t="s">
        <v>26047</v>
      </c>
      <c r="B20685" s="4" t="s">
        <v>26049</v>
      </c>
      <c r="C20685" s="5" t="str">
        <f>IFERROR(__xludf.DUMMYFUNCTION("GOOGLETRANSLATE(B20685,""en"",""zh-CN"")"),"那位女士站起来，看着镜子。")</f>
        <v>那位女士站起来，看着镜子。</v>
      </c>
    </row>
    <row r="20686">
      <c r="A20686" s="4" t="s">
        <v>26047</v>
      </c>
      <c r="B20686" s="4" t="s">
        <v>26050</v>
      </c>
      <c r="C20686" s="5" t="str">
        <f>IFERROR(__xludf.DUMMYFUNCTION("GOOGLETRANSLATE(B20686,""en"",""zh-CN"")"),"她躺在黑色的医疗椅上，该男子用医疗工具刺穿了耳朵的tragus。")</f>
        <v>她躺在黑色的医疗椅上，该男子用医疗工具刺穿了耳朵的tragus。</v>
      </c>
    </row>
    <row r="20687">
      <c r="A20687" s="4" t="s">
        <v>26047</v>
      </c>
      <c r="B20687" s="4" t="s">
        <v>26051</v>
      </c>
      <c r="C20687" s="5" t="str">
        <f>IFERROR(__xludf.DUMMYFUNCTION("GOOGLETRANSLATE(B20687,""en"",""zh-CN"")"),"这位女士看着自己和镜子里的新刺穿，微笑着，给两个大拇指。")</f>
        <v>这位女士看着自己和镜子里的新刺穿，微笑着，给两个大拇指。</v>
      </c>
    </row>
    <row r="20688">
      <c r="A20688" s="4" t="s">
        <v>26047</v>
      </c>
      <c r="B20688" s="6" t="s">
        <v>26052</v>
      </c>
      <c r="C20688" s="5" t="str">
        <f>IFERROR(__xludf.DUMMYFUNCTION("GOOGLETRANSLATE(B20688,""en"",""zh-CN"")"),"“如果您想知道其他任何有关刺穿或给我发消息的信息：）新的美容视频以及化妆品集将很快出现在屏幕上。")</f>
        <v>“如果您想知道其他任何有关刺穿或给我发消息的信息：）新的美容视频以及化妆品集将很快出现在屏幕上。</v>
      </c>
    </row>
    <row r="20689">
      <c r="A20689" s="4" t="s">
        <v>26053</v>
      </c>
      <c r="B20689" s="4" t="s">
        <v>26054</v>
      </c>
      <c r="C20689" s="5" t="str">
        <f>IFERROR(__xludf.DUMMYFUNCTION("GOOGLETRANSLATE(B20689,""en"",""zh-CN"")"),"一名体操运动员走到光束上，准备自己。")</f>
        <v>一名体操运动员走到光束上，准备自己。</v>
      </c>
    </row>
    <row r="20690">
      <c r="A20690" s="4" t="s">
        <v>26053</v>
      </c>
      <c r="B20690" s="4" t="s">
        <v>26055</v>
      </c>
      <c r="C20690" s="5" t="str">
        <f>IFERROR(__xludf.DUMMYFUNCTION("GOOGLETRANSLATE(B20690,""en"",""zh-CN"")"),"他安装横梁，然后在横梁周围进行几种表演，包括旋转和翻转。")</f>
        <v>他安装横梁，然后在横梁周围进行几种表演，包括旋转和翻转。</v>
      </c>
    </row>
    <row r="20691">
      <c r="A20691" s="4" t="s">
        <v>26053</v>
      </c>
      <c r="B20691" s="4" t="s">
        <v>26056</v>
      </c>
      <c r="C20691" s="5" t="str">
        <f>IFERROR(__xludf.DUMMYFUNCTION("GOOGLETRANSLATE(B20691,""en"",""zh-CN"")"),"他卸下并走开。")</f>
        <v>他卸下并走开。</v>
      </c>
    </row>
    <row r="20692">
      <c r="A20692" s="4" t="s">
        <v>26057</v>
      </c>
      <c r="B20692" s="6" t="s">
        <v>26058</v>
      </c>
      <c r="C20692" s="5" t="str">
        <f>IFERROR(__xludf.DUMMYFUNCTION("GOOGLETRANSLATE(B20692,""en"",""zh-CN"")"),"一个摄像机捕获了天空前的网，并显示了两个人准备蹦极跳的绳索。")</f>
        <v>一个摄像机捕获了天空前的网，并显示了两个人准备蹦极跳的绳索。</v>
      </c>
    </row>
    <row r="20693">
      <c r="A20693" s="4" t="s">
        <v>26057</v>
      </c>
      <c r="B20693" s="4" t="s">
        <v>26059</v>
      </c>
      <c r="C20693" s="5" t="str">
        <f>IFERROR(__xludf.DUMMYFUNCTION("GOOGLETRANSLATE(B20693,""en"",""zh-CN"")"),"摄影师跳下壁架，在旋转时伸出脚。")</f>
        <v>摄影师跳下壁架，在旋转时伸出脚。</v>
      </c>
    </row>
    <row r="20694">
      <c r="A20694" s="4" t="s">
        <v>26057</v>
      </c>
      <c r="B20694" s="6" t="s">
        <v>26060</v>
      </c>
      <c r="C20694" s="5" t="str">
        <f>IFERROR(__xludf.DUMMYFUNCTION("GOOGLETRANSLATE(B20694,""en"",""zh-CN"")"),"另一台摄像机从底部捕获了他的跳跃，并导致几个人在底部等待并开车离开。")</f>
        <v>另一台摄像机从底部捕获了他的跳跃，并导致几个人在底部等待并开车离开。</v>
      </c>
    </row>
    <row r="20695">
      <c r="A20695" s="4" t="s">
        <v>26061</v>
      </c>
      <c r="B20695" s="4" t="s">
        <v>26062</v>
      </c>
      <c r="C20695" s="5" t="str">
        <f>IFERROR(__xludf.DUMMYFUNCTION("GOOGLETRANSLATE(B20695,""en"",""zh-CN"")"),"一个穿着蓝色外套的小男孩拉到甜甜圈雪管上。")</f>
        <v>一个穿着蓝色外套的小男孩拉到甜甜圈雪管上。</v>
      </c>
    </row>
    <row r="20696">
      <c r="A20696" s="4" t="s">
        <v>26061</v>
      </c>
      <c r="B20696" s="4" t="s">
        <v>26063</v>
      </c>
      <c r="C20696" s="5" t="str">
        <f>IFERROR(__xludf.DUMMYFUNCTION("GOOGLETRANSLATE(B20696,""en"",""zh-CN"")"),"两个小孩看着他。")</f>
        <v>两个小孩看着他。</v>
      </c>
    </row>
    <row r="20697">
      <c r="A20697" s="4" t="s">
        <v>26061</v>
      </c>
      <c r="B20697" s="4" t="s">
        <v>26064</v>
      </c>
      <c r="C20697" s="5" t="str">
        <f>IFERROR(__xludf.DUMMYFUNCTION("GOOGLETRANSLATE(B20697,""en"",""zh-CN"")"),"整个小组都下雪了。")</f>
        <v>整个小组都下雪了。</v>
      </c>
    </row>
    <row r="20698">
      <c r="A20698" s="4" t="s">
        <v>26065</v>
      </c>
      <c r="B20698" s="4" t="s">
        <v>26066</v>
      </c>
      <c r="C20698" s="5" t="str">
        <f>IFERROR(__xludf.DUMMYFUNCTION("GOOGLETRANSLATE(B20698,""en"",""zh-CN"")"),"男人穿着一件在湖上挥舞着帆冲浪的背潜水裤。")</f>
        <v>男人穿着一件在湖上挥舞着帆冲浪的背潜水裤。</v>
      </c>
    </row>
    <row r="20699">
      <c r="A20699" s="4" t="s">
        <v>26065</v>
      </c>
      <c r="B20699" s="4" t="s">
        <v>26067</v>
      </c>
      <c r="C20699" s="5" t="str">
        <f>IFERROR(__xludf.DUMMYFUNCTION("GOOGLETRANSLATE(B20699,""en"",""zh-CN"")"),"男人在湖中蜿蜒曲折，在做技巧。")</f>
        <v>男人在湖中蜿蜒曲折，在做技巧。</v>
      </c>
    </row>
    <row r="20700">
      <c r="A20700" s="4" t="s">
        <v>26065</v>
      </c>
      <c r="B20700" s="4" t="s">
        <v>26068</v>
      </c>
      <c r="C20700" s="5" t="str">
        <f>IFERROR(__xludf.DUMMYFUNCTION("GOOGLETRANSLATE(B20700,""en"",""zh-CN"")"),"他的蜿蜒曲折向相机打招呼。")</f>
        <v>他的蜿蜒曲折向相机打招呼。</v>
      </c>
    </row>
    <row r="20701">
      <c r="A20701" s="4" t="s">
        <v>26069</v>
      </c>
      <c r="B20701" s="4" t="s">
        <v>26070</v>
      </c>
      <c r="C20701" s="5" t="str">
        <f>IFERROR(__xludf.DUMMYFUNCTION("GOOGLETRANSLATE(B20701,""en"",""zh-CN"")"),"看到一对夫妇在一个小房间里互相表演探戈例程。")</f>
        <v>看到一对夫妇在一个小房间里互相表演探戈例程。</v>
      </c>
    </row>
    <row r="20702">
      <c r="A20702" s="4" t="s">
        <v>26069</v>
      </c>
      <c r="B20702" s="6" t="s">
        <v>26071</v>
      </c>
      <c r="C20702" s="5" t="str">
        <f>IFERROR(__xludf.DUMMYFUNCTION("GOOGLETRANSLATE(B20702,""en"",""zh-CN"")"),"人们继续在整个房间里旋转和跳舞，最后他们停下来面对相机。")</f>
        <v>人们继续在整个房间里旋转和跳舞，最后他们停下来面对相机。</v>
      </c>
    </row>
    <row r="20703">
      <c r="A20703" s="4" t="s">
        <v>26072</v>
      </c>
      <c r="B20703" s="4" t="s">
        <v>26073</v>
      </c>
      <c r="C20703" s="5" t="str">
        <f>IFERROR(__xludf.DUMMYFUNCTION("GOOGLETRANSLATE(B20703,""en"",""zh-CN"")"),"一个小组坐在咖啡馆的桌子旁，享受咖啡馆和糕点。")</f>
        <v>一个小组坐在咖啡馆的桌子旁，享受咖啡馆和糕点。</v>
      </c>
    </row>
    <row r="20704">
      <c r="A20704" s="4" t="s">
        <v>26072</v>
      </c>
      <c r="B20704" s="4" t="s">
        <v>26074</v>
      </c>
      <c r="C20704" s="5" t="str">
        <f>IFERROR(__xludf.DUMMYFUNCTION("GOOGLETRANSLATE(B20704,""en"",""zh-CN"")"),"妇女互相调解。")</f>
        <v>妇女互相调解。</v>
      </c>
    </row>
    <row r="20705">
      <c r="A20705" s="4" t="s">
        <v>26072</v>
      </c>
      <c r="B20705" s="4" t="s">
        <v>26075</v>
      </c>
      <c r="C20705" s="5" t="str">
        <f>IFERROR(__xludf.DUMMYFUNCTION("GOOGLETRANSLATE(B20705,""en"",""zh-CN"")"),"一个小组坐在阳台上和谈话。")</f>
        <v>一个小组坐在阳台上和谈话。</v>
      </c>
    </row>
    <row r="20706">
      <c r="A20706" s="4" t="s">
        <v>26076</v>
      </c>
      <c r="B20706" s="4" t="s">
        <v>26077</v>
      </c>
      <c r="C20706" s="5" t="str">
        <f>IFERROR(__xludf.DUMMYFUNCTION("GOOGLETRANSLATE(B20706,""en"",""zh-CN"")"),"一个男人跪在地上。")</f>
        <v>一个男人跪在地上。</v>
      </c>
    </row>
    <row r="20707">
      <c r="A20707" s="4" t="s">
        <v>26076</v>
      </c>
      <c r="B20707" s="4" t="s">
        <v>26078</v>
      </c>
      <c r="C20707" s="5" t="str">
        <f>IFERROR(__xludf.DUMMYFUNCTION("GOOGLETRANSLATE(B20707,""en"",""zh-CN"")"),"他正在戴上附着在墙上的绳子。")</f>
        <v>他正在戴上附着在墙上的绳子。</v>
      </c>
    </row>
    <row r="20708">
      <c r="A20708" s="4" t="s">
        <v>26076</v>
      </c>
      <c r="B20708" s="4" t="s">
        <v>26079</v>
      </c>
      <c r="C20708" s="5" t="str">
        <f>IFERROR(__xludf.DUMMYFUNCTION("GOOGLETRANSLATE(B20708,""en"",""zh-CN"")"),"他继续拉起电线并锻炼。")</f>
        <v>他继续拉起电线并锻炼。</v>
      </c>
    </row>
    <row r="20709">
      <c r="A20709" s="4" t="s">
        <v>26080</v>
      </c>
      <c r="B20709" s="4" t="s">
        <v>26081</v>
      </c>
      <c r="C20709" s="5" t="str">
        <f>IFERROR(__xludf.DUMMYFUNCTION("GOOGLETRANSLATE(B20709,""en"",""zh-CN"")"),"一个男人走到树篱上，载着一对树篱修剪器。")</f>
        <v>一个男人走到树篱上，载着一对树篱修剪器。</v>
      </c>
    </row>
    <row r="20710">
      <c r="A20710" s="4" t="s">
        <v>26080</v>
      </c>
      <c r="B20710" s="4" t="s">
        <v>26082</v>
      </c>
      <c r="C20710" s="5" t="str">
        <f>IFERROR(__xludf.DUMMYFUNCTION("GOOGLETRANSLATE(B20710,""en"",""zh-CN"")"),"他展示了如何整齐地修剪树篱，一次降低它们。")</f>
        <v>他展示了如何整齐地修剪树篱，一次降低它们。</v>
      </c>
    </row>
    <row r="20711">
      <c r="A20711" s="4" t="s">
        <v>26080</v>
      </c>
      <c r="B20711" s="4" t="s">
        <v>26083</v>
      </c>
      <c r="C20711" s="5" t="str">
        <f>IFERROR(__xludf.DUMMYFUNCTION("GOOGLETRANSLATE(B20711,""en"",""zh-CN"")"),"他停下来，随着他的行驶而与镜头交谈。")</f>
        <v>他停下来，随着他的行驶而与镜头交谈。</v>
      </c>
    </row>
    <row r="20712">
      <c r="A20712" s="4" t="s">
        <v>26084</v>
      </c>
      <c r="B20712" s="4" t="s">
        <v>26085</v>
      </c>
      <c r="C20712" s="5" t="str">
        <f>IFERROR(__xludf.DUMMYFUNCTION("GOOGLETRANSLATE(B20712,""en"",""zh-CN"")"),"我们看到一个小女孩拿着皮带牵引一只大狗。")</f>
        <v>我们看到一个小女孩拿着皮带牵引一只大狗。</v>
      </c>
    </row>
    <row r="20713">
      <c r="A20713" s="4" t="s">
        <v>26084</v>
      </c>
      <c r="B20713" s="4" t="s">
        <v>26086</v>
      </c>
      <c r="C20713" s="5" t="str">
        <f>IFERROR(__xludf.DUMMYFUNCTION("GOOGLETRANSLATE(B20713,""en"",""zh-CN"")"),"小女孩跌倒并丢下皮带。")</f>
        <v>小女孩跌倒并丢下皮带。</v>
      </c>
    </row>
    <row r="20714">
      <c r="A20714" s="4" t="s">
        <v>26084</v>
      </c>
      <c r="B20714" s="4" t="s">
        <v>26087</v>
      </c>
      <c r="C20714" s="5" t="str">
        <f>IFERROR(__xludf.DUMMYFUNCTION("GOOGLETRANSLATE(B20714,""en"",""zh-CN"")"),"然后，小女孩跟随狗拿皮带。")</f>
        <v>然后，小女孩跟随狗拿皮带。</v>
      </c>
    </row>
    <row r="20715">
      <c r="A20715" s="4" t="s">
        <v>26084</v>
      </c>
      <c r="B20715" s="4" t="s">
        <v>26088</v>
      </c>
      <c r="C20715" s="5" t="str">
        <f>IFERROR(__xludf.DUMMYFUNCTION("GOOGLETRANSLATE(B20715,""en"",""zh-CN"")"),"她得到皮带，walk狗。")</f>
        <v>她得到皮带，walk狗。</v>
      </c>
    </row>
    <row r="20716">
      <c r="A20716" s="4" t="s">
        <v>26089</v>
      </c>
      <c r="B20716" s="4" t="s">
        <v>26090</v>
      </c>
      <c r="C20716" s="5" t="str">
        <f>IFERROR(__xludf.DUMMYFUNCTION("GOOGLETRANSLATE(B20716,""en"",""zh-CN"")"),"看到一个女人站在皮纳塔（Pinata）之前，挥舞着蝙蝠。")</f>
        <v>看到一个女人站在皮纳塔（Pinata）之前，挥舞着蝙蝠。</v>
      </c>
    </row>
    <row r="20717">
      <c r="A20717" s="4" t="s">
        <v>26089</v>
      </c>
      <c r="B20717" s="4" t="s">
        <v>26091</v>
      </c>
      <c r="C20717" s="5" t="str">
        <f>IFERROR(__xludf.DUMMYFUNCTION("GOOGLETRANSLATE(B20717,""en"",""zh-CN"")"),"当女人继续击中对象时，人们在一边看。")</f>
        <v>当女人继续击中对象时，人们在一边看。</v>
      </c>
    </row>
    <row r="20718">
      <c r="A20718" s="4" t="s">
        <v>26089</v>
      </c>
      <c r="B20718" s="4" t="s">
        <v>26092</v>
      </c>
      <c r="C20718" s="5" t="str">
        <f>IFERROR(__xludf.DUMMYFUNCTION("GOOGLETRANSLATE(B20718,""en"",""zh-CN"")"),"那个女人一遍又一遍地摇摆，一个男人进入框架踢它。")</f>
        <v>那个女人一遍又一遍地摇摆，一个男人进入框架踢它。</v>
      </c>
    </row>
    <row r="20719">
      <c r="A20719" s="4" t="s">
        <v>26093</v>
      </c>
      <c r="B20719" s="4" t="s">
        <v>26094</v>
      </c>
      <c r="C20719" s="5" t="str">
        <f>IFERROR(__xludf.DUMMYFUNCTION("GOOGLETRANSLATE(B20719,""en"",""zh-CN"")"),"一群孩子站在建筑物外面。")</f>
        <v>一群孩子站在建筑物外面。</v>
      </c>
    </row>
    <row r="20720">
      <c r="A20720" s="4" t="s">
        <v>26093</v>
      </c>
      <c r="B20720" s="4" t="s">
        <v>26095</v>
      </c>
      <c r="C20720" s="5" t="str">
        <f>IFERROR(__xludf.DUMMYFUNCTION("GOOGLETRANSLATE(B20720,""en"",""zh-CN"")"),"成年人在军官走路时监督他们。")</f>
        <v>成年人在军官走路时监督他们。</v>
      </c>
    </row>
    <row r="20721">
      <c r="A20721" s="4" t="s">
        <v>26093</v>
      </c>
      <c r="B20721" s="4" t="s">
        <v>26096</v>
      </c>
      <c r="C20721" s="5" t="str">
        <f>IFERROR(__xludf.DUMMYFUNCTION("GOOGLETRANSLATE(B20721,""en"",""zh-CN"")"),"孩子们进行的各种练习由成年人领导。")</f>
        <v>孩子们进行的各种练习由成年人领导。</v>
      </c>
    </row>
    <row r="20722">
      <c r="A20722" s="4" t="s">
        <v>26097</v>
      </c>
      <c r="B20722" s="4" t="s">
        <v>26098</v>
      </c>
      <c r="C20722" s="5" t="str">
        <f>IFERROR(__xludf.DUMMYFUNCTION("GOOGLETRANSLATE(B20722,""en"",""zh-CN"")"),"2009年，一个男人坐在桌子旁。")</f>
        <v>2009年，一个男人坐在桌子旁。</v>
      </c>
    </row>
    <row r="20723">
      <c r="A20723" s="4" t="s">
        <v>26097</v>
      </c>
      <c r="B20723" s="4" t="s">
        <v>26099</v>
      </c>
      <c r="C20723" s="5" t="str">
        <f>IFERROR(__xludf.DUMMYFUNCTION("GOOGLETRANSLATE(B20723,""en"",""zh-CN"")"),"他面前有两个魔方。")</f>
        <v>他面前有两个魔方。</v>
      </c>
    </row>
    <row r="20724">
      <c r="A20724" s="4" t="s">
        <v>26097</v>
      </c>
      <c r="B20724" s="4" t="s">
        <v>26100</v>
      </c>
      <c r="C20724" s="5" t="str">
        <f>IFERROR(__xludf.DUMMYFUNCTION("GOOGLETRANSLATE(B20724,""en"",""zh-CN"")"),"随着计时器的运行，他只用一只手解决难题。")</f>
        <v>随着计时器的运行，他只用一只手解决难题。</v>
      </c>
    </row>
    <row r="20725">
      <c r="A20725" s="4" t="s">
        <v>26097</v>
      </c>
      <c r="B20725" s="4" t="s">
        <v>26101</v>
      </c>
      <c r="C20725" s="5" t="str">
        <f>IFERROR(__xludf.DUMMYFUNCTION("GOOGLETRANSLATE(B20725,""en"",""zh-CN"")"),"仅17秒后，他就赢得了胜利。")</f>
        <v>仅17秒后，他就赢得了胜利。</v>
      </c>
    </row>
    <row r="20726">
      <c r="A20726" s="4" t="s">
        <v>26102</v>
      </c>
      <c r="B20726" s="6" t="s">
        <v>26103</v>
      </c>
      <c r="C20726" s="5" t="str">
        <f>IFERROR(__xludf.DUMMYFUNCTION("GOOGLETRANSLATE(B20726,""en"",""zh-CN"")"),"当海浪撞到它们时，该人正在爬楼梯上爬上楼梯，冲浪者在强烈的海浪上冲浪。")</f>
        <v>当海浪撞到它们时，该人正在爬楼梯上爬上楼梯，冲浪者在强烈的海浪上冲浪。</v>
      </c>
    </row>
    <row r="20727">
      <c r="A20727" s="4" t="s">
        <v>26102</v>
      </c>
      <c r="B20727" s="4" t="s">
        <v>26104</v>
      </c>
      <c r="C20727" s="5" t="str">
        <f>IFERROR(__xludf.DUMMYFUNCTION("GOOGLETRANSLATE(B20727,""en"",""zh-CN"")"),"有两个携带冲浪板的人在楼梯上爬。")</f>
        <v>有两个携带冲浪板的人在楼梯上爬。</v>
      </c>
    </row>
    <row r="20728">
      <c r="A20728" s="4" t="s">
        <v>26102</v>
      </c>
      <c r="B20728" s="4" t="s">
        <v>26105</v>
      </c>
      <c r="C20728" s="5" t="str">
        <f>IFERROR(__xludf.DUMMYFUNCTION("GOOGLETRANSLATE(B20728,""en"",""zh-CN"")"),"栅栏后面的人们正在看冲浪者，因为大浪袭击了他们。")</f>
        <v>栅栏后面的人们正在看冲浪者，因为大浪袭击了他们。</v>
      </c>
    </row>
    <row r="20729">
      <c r="A20729" s="4" t="s">
        <v>26106</v>
      </c>
      <c r="B20729" s="4" t="s">
        <v>26107</v>
      </c>
      <c r="C20729" s="5" t="str">
        <f>IFERROR(__xludf.DUMMYFUNCTION("GOOGLETRANSLATE(B20729,""en"",""zh-CN"")"),"一个戴着护目镜的小男孩跳入游泳池。")</f>
        <v>一个戴着护目镜的小男孩跳入游泳池。</v>
      </c>
    </row>
    <row r="20730">
      <c r="A20730" s="4" t="s">
        <v>26106</v>
      </c>
      <c r="B20730" s="4" t="s">
        <v>26108</v>
      </c>
      <c r="C20730" s="5" t="str">
        <f>IFERROR(__xludf.DUMMYFUNCTION("GOOGLETRANSLATE(B20730,""en"",""zh-CN"")"),"他深入到底部，从游泳池的底部捡起一些东西。")</f>
        <v>他深入到底部，从游泳池的底部捡起一些东西。</v>
      </c>
    </row>
    <row r="20731">
      <c r="A20731" s="4" t="s">
        <v>26106</v>
      </c>
      <c r="B20731" s="4" t="s">
        <v>26109</v>
      </c>
      <c r="C20731" s="5" t="str">
        <f>IFERROR(__xludf.DUMMYFUNCTION("GOOGLETRANSLATE(B20731,""en"",""zh-CN"")"),"他回到顶部和水上。")</f>
        <v>他回到顶部和水上。</v>
      </c>
    </row>
    <row r="20732">
      <c r="A20732" s="4" t="s">
        <v>26110</v>
      </c>
      <c r="B20732" s="4" t="s">
        <v>26111</v>
      </c>
      <c r="C20732" s="5" t="str">
        <f>IFERROR(__xludf.DUMMYFUNCTION("GOOGLETRANSLATE(B20732,""en"",""zh-CN"")"),"一排人捡起绳子。")</f>
        <v>一排人捡起绳子。</v>
      </c>
    </row>
    <row r="20733">
      <c r="A20733" s="4" t="s">
        <v>26110</v>
      </c>
      <c r="B20733" s="4" t="s">
        <v>26112</v>
      </c>
      <c r="C20733" s="5" t="str">
        <f>IFERROR(__xludf.DUMMYFUNCTION("GOOGLETRANSLATE(B20733,""en"",""zh-CN"")"),"他们开始玩拔河游戏。")</f>
        <v>他们开始玩拔河游戏。</v>
      </c>
    </row>
    <row r="20734">
      <c r="A20734" s="4" t="s">
        <v>26110</v>
      </c>
      <c r="B20734" s="4" t="s">
        <v>26113</v>
      </c>
      <c r="C20734" s="5" t="str">
        <f>IFERROR(__xludf.DUMMYFUNCTION("GOOGLETRANSLATE(B20734,""en"",""zh-CN"")"),"一侧跌落，人群欢呼。")</f>
        <v>一侧跌落，人群欢呼。</v>
      </c>
    </row>
    <row r="20735">
      <c r="A20735" s="4" t="s">
        <v>26114</v>
      </c>
      <c r="B20735" s="4" t="s">
        <v>26115</v>
      </c>
      <c r="C20735" s="5" t="str">
        <f>IFERROR(__xludf.DUMMYFUNCTION("GOOGLETRANSLATE(B20735,""en"",""zh-CN"")"),"黑屏上出现了“提卡·修饰钱包”的单词以及其URL。")</f>
        <v>黑屏上出现了“提卡·修饰钱包”的单词以及其URL。</v>
      </c>
    </row>
    <row r="20736">
      <c r="A20736" s="4" t="s">
        <v>26114</v>
      </c>
      <c r="B20736" s="4" t="s">
        <v>26116</v>
      </c>
      <c r="C20736" s="5" t="str">
        <f>IFERROR(__xludf.DUMMYFUNCTION("GOOGLETRANSLATE(B20736,""en"",""zh-CN"")"),"然后显示一只狗从一根银色的杆子上悬挂，上面有两条皮带。")</f>
        <v>然后显示一只狗从一根银色的杆子上悬挂，上面有两条皮带。</v>
      </c>
    </row>
    <row r="20737">
      <c r="A20737" s="4" t="s">
        <v>26114</v>
      </c>
      <c r="B20737" s="4" t="s">
        <v>26117</v>
      </c>
      <c r="C20737" s="5" t="str">
        <f>IFERROR(__xludf.DUMMYFUNCTION("GOOGLETRANSLATE(B20737,""en"",""zh-CN"")"),"然后，当小狗试图咬她时，人类开始抓住狗的爪子。")</f>
        <v>然后，当小狗试图咬她时，人类开始抓住狗的爪子。</v>
      </c>
    </row>
    <row r="20738">
      <c r="A20738" s="4" t="s">
        <v>26114</v>
      </c>
      <c r="B20738" s="4" t="s">
        <v>26118</v>
      </c>
      <c r="C20738" s="5" t="str">
        <f>IFERROR(__xludf.DUMMYFUNCTION("GOOGLETRANSLATE(B20738,""en"",""zh-CN"")"),"修饰继续进行，然后狗最终被放回地。")</f>
        <v>修饰继续进行，然后狗最终被放回地。</v>
      </c>
    </row>
    <row r="20739">
      <c r="A20739" s="4" t="s">
        <v>26119</v>
      </c>
      <c r="B20739" s="4" t="s">
        <v>26120</v>
      </c>
      <c r="C20739" s="5" t="str">
        <f>IFERROR(__xludf.DUMMYFUNCTION("GOOGLETRANSLATE(B20739,""en"",""zh-CN"")"),"一个男人在一个大的开放式房间里蹲下来。")</f>
        <v>一个男人在一个大的开放式房间里蹲下来。</v>
      </c>
    </row>
    <row r="20740">
      <c r="A20740" s="4" t="s">
        <v>26119</v>
      </c>
      <c r="B20740" s="4" t="s">
        <v>26121</v>
      </c>
      <c r="C20740" s="5" t="str">
        <f>IFERROR(__xludf.DUMMYFUNCTION("GOOGLETRANSLATE(B20740,""en"",""zh-CN"")"),"该男子演示了如何进行舞蹈动作。")</f>
        <v>该男子演示了如何进行舞蹈动作。</v>
      </c>
    </row>
    <row r="20741">
      <c r="A20741" s="4" t="s">
        <v>26119</v>
      </c>
      <c r="B20741" s="4" t="s">
        <v>26122</v>
      </c>
      <c r="C20741" s="5" t="str">
        <f>IFERROR(__xludf.DUMMYFUNCTION("GOOGLETRANSLATE(B20741,""en"",""zh-CN"")"),"然后，他进行了几次动作，然后跳到脚上。")</f>
        <v>然后，他进行了几次动作，然后跳到脚上。</v>
      </c>
    </row>
    <row r="20742">
      <c r="A20742" s="4" t="s">
        <v>26123</v>
      </c>
      <c r="B20742" s="4" t="s">
        <v>26124</v>
      </c>
      <c r="C20742" s="5" t="str">
        <f>IFERROR(__xludf.DUMMYFUNCTION("GOOGLETRANSLATE(B20742,""en"",""zh-CN"")"),"人们正在法庭上玩羽毛球比赛。")</f>
        <v>人们正在法庭上玩羽毛球比赛。</v>
      </c>
    </row>
    <row r="20743">
      <c r="A20743" s="4" t="s">
        <v>26123</v>
      </c>
      <c r="B20743" s="4" t="s">
        <v>26125</v>
      </c>
      <c r="C20743" s="5" t="str">
        <f>IFERROR(__xludf.DUMMYFUNCTION("GOOGLETRANSLATE(B20743,""en"",""zh-CN"")"),"人们坐在他们的身后看比赛。")</f>
        <v>人们坐在他们的身后看比赛。</v>
      </c>
    </row>
    <row r="20744">
      <c r="A20744" s="4" t="s">
        <v>26123</v>
      </c>
      <c r="B20744" s="4" t="s">
        <v>26126</v>
      </c>
      <c r="C20744" s="5" t="str">
        <f>IFERROR(__xludf.DUMMYFUNCTION("GOOGLETRANSLATE(B20744,""en"",""zh-CN"")"),"一个穿着粉红色衬衫的女孩捡起球。")</f>
        <v>一个穿着粉红色衬衫的女孩捡起球。</v>
      </c>
    </row>
    <row r="20745">
      <c r="A20745" s="4" t="s">
        <v>26127</v>
      </c>
      <c r="B20745" s="4" t="s">
        <v>26128</v>
      </c>
      <c r="C20745" s="5" t="str">
        <f>IFERROR(__xludf.DUMMYFUNCTION("GOOGLETRANSLATE(B20745,""en"",""zh-CN"")"),"一个男人准备自己在码头上滑水。")</f>
        <v>一个男人准备自己在码头上滑水。</v>
      </c>
    </row>
    <row r="20746">
      <c r="A20746" s="4" t="s">
        <v>26127</v>
      </c>
      <c r="B20746" s="4" t="s">
        <v>26129</v>
      </c>
      <c r="C20746" s="5" t="str">
        <f>IFERROR(__xludf.DUMMYFUNCTION("GOOGLETRANSLATE(B20746,""en"",""zh-CN"")"),"当船只开枪时，他发射到水中。")</f>
        <v>当船只开枪时，他发射到水中。</v>
      </c>
    </row>
    <row r="20747">
      <c r="A20747" s="4" t="s">
        <v>26127</v>
      </c>
      <c r="B20747" s="4" t="s">
        <v>26130</v>
      </c>
      <c r="C20747" s="5" t="str">
        <f>IFERROR(__xludf.DUMMYFUNCTION("GOOGLETRANSLATE(B20747,""en"",""zh-CN"")"),"该男子在滑过水面时握住绳索，看上去非常自信和熟练。")</f>
        <v>该男子在滑过水面时握住绳索，看上去非常自信和熟练。</v>
      </c>
    </row>
    <row r="20748">
      <c r="A20748" s="4" t="s">
        <v>26127</v>
      </c>
      <c r="B20748" s="4" t="s">
        <v>26131</v>
      </c>
      <c r="C20748" s="5" t="str">
        <f>IFERROR(__xludf.DUMMYFUNCTION("GOOGLETRANSLATE(B20748,""en"",""zh-CN"")"),"这艘船被绑在码头上，该男子一天结束了。")</f>
        <v>这艘船被绑在码头上，该男子一天结束了。</v>
      </c>
    </row>
    <row r="20749">
      <c r="A20749" s="4" t="s">
        <v>26132</v>
      </c>
      <c r="B20749" s="4" t="s">
        <v>26133</v>
      </c>
      <c r="C20749" s="5" t="str">
        <f>IFERROR(__xludf.DUMMYFUNCTION("GOOGLETRANSLATE(B20749,""en"",""zh-CN"")"),"一个人指着并捡起加压喷雾罐来显示它。")</f>
        <v>一个人指着并捡起加压喷雾罐来显示它。</v>
      </c>
    </row>
    <row r="20750">
      <c r="A20750" s="4" t="s">
        <v>26132</v>
      </c>
      <c r="B20750" s="4" t="s">
        <v>26134</v>
      </c>
      <c r="C20750" s="5" t="str">
        <f>IFERROR(__xludf.DUMMYFUNCTION("GOOGLETRANSLATE(B20750,""en"",""zh-CN"")"),"然后，该男子拿起一卷纸巾。")</f>
        <v>然后，该男子拿起一卷纸巾。</v>
      </c>
    </row>
    <row r="20751">
      <c r="A20751" s="4" t="s">
        <v>26132</v>
      </c>
      <c r="B20751" s="4" t="s">
        <v>26135</v>
      </c>
      <c r="C20751" s="5" t="str">
        <f>IFERROR(__xludf.DUMMYFUNCTION("GOOGLETRANSLATE(B20751,""en"",""zh-CN"")"),"该男子摇动加压喷雾罐。")</f>
        <v>该男子摇动加压喷雾罐。</v>
      </c>
    </row>
    <row r="20752">
      <c r="A20752" s="4" t="s">
        <v>26132</v>
      </c>
      <c r="B20752" s="4" t="s">
        <v>26136</v>
      </c>
      <c r="C20752" s="5" t="str">
        <f>IFERROR(__xludf.DUMMYFUNCTION("GOOGLETRANSLATE(B20752,""en"",""zh-CN"")"),"该男子喷洒污渍所在的窗户，并用纸巾擦拭该区域。")</f>
        <v>该男子喷洒污渍所在的窗户，并用纸巾擦拭该区域。</v>
      </c>
    </row>
    <row r="20753">
      <c r="A20753" s="4" t="s">
        <v>26132</v>
      </c>
      <c r="B20753" s="4" t="s">
        <v>26137</v>
      </c>
      <c r="C20753" s="5" t="str">
        <f>IFERROR(__xludf.DUMMYFUNCTION("GOOGLETRANSLATE(B20753,""en"",""zh-CN"")"),"将玻璃清洁剂在窗户中间的多个斑点喷洒，并将其擦掉。")</f>
        <v>将玻璃清洁剂在窗户中间的多个斑点喷洒，并将其擦掉。</v>
      </c>
    </row>
    <row r="20754">
      <c r="A20754" s="4" t="s">
        <v>26138</v>
      </c>
      <c r="B20754" s="4" t="s">
        <v>26139</v>
      </c>
      <c r="C20754" s="5" t="str">
        <f>IFERROR(__xludf.DUMMYFUNCTION("GOOGLETRANSLATE(B20754,""en"",""zh-CN"")"),"一个女孩和一只狗在秋千上。")</f>
        <v>一个女孩和一只狗在秋千上。</v>
      </c>
    </row>
    <row r="20755">
      <c r="A20755" s="4" t="s">
        <v>26138</v>
      </c>
      <c r="B20755" s="4" t="s">
        <v>26140</v>
      </c>
      <c r="C20755" s="5" t="str">
        <f>IFERROR(__xludf.DUMMYFUNCTION("GOOGLETRANSLATE(B20755,""en"",""zh-CN"")"),"他们向上摇摆。")</f>
        <v>他们向上摇摆。</v>
      </c>
    </row>
    <row r="20756">
      <c r="A20756" s="4" t="s">
        <v>26138</v>
      </c>
      <c r="B20756" s="4" t="s">
        <v>26141</v>
      </c>
      <c r="C20756" s="5" t="str">
        <f>IFERROR(__xludf.DUMMYFUNCTION("GOOGLETRANSLATE(B20756,""en"",""zh-CN"")"),"他们再次向上摆动。")</f>
        <v>他们再次向上摆动。</v>
      </c>
    </row>
    <row r="20757">
      <c r="A20757" s="4" t="s">
        <v>26142</v>
      </c>
      <c r="B20757" s="4" t="s">
        <v>26143</v>
      </c>
      <c r="C20757" s="5" t="str">
        <f>IFERROR(__xludf.DUMMYFUNCTION("GOOGLETRANSLATE(B20757,""en"",""zh-CN"")"),"蓝色头盔的那个人正在水流中划桨。")</f>
        <v>蓝色头盔的那个人正在水流中划桨。</v>
      </c>
    </row>
    <row r="20758">
      <c r="A20758" s="4" t="s">
        <v>26142</v>
      </c>
      <c r="B20758" s="4" t="s">
        <v>26144</v>
      </c>
      <c r="C20758" s="5" t="str">
        <f>IFERROR(__xludf.DUMMYFUNCTION("GOOGLETRANSLATE(B20758,""en"",""zh-CN"")"),"两个筏子被卡在自来水中。")</f>
        <v>两个筏子被卡在自来水中。</v>
      </c>
    </row>
    <row r="20759">
      <c r="A20759" s="4" t="s">
        <v>26142</v>
      </c>
      <c r="B20759" s="4" t="s">
        <v>26145</v>
      </c>
      <c r="C20759" s="5" t="str">
        <f>IFERROR(__xludf.DUMMYFUNCTION("GOOGLETRANSLATE(B20759,""en"",""zh-CN"")"),"人们在水中划船，但他们被困在一个地方。")</f>
        <v>人们在水中划船，但他们被困在一个地方。</v>
      </c>
    </row>
    <row r="20760">
      <c r="A20760" s="4" t="s">
        <v>26146</v>
      </c>
      <c r="B20760" s="4" t="s">
        <v>26147</v>
      </c>
      <c r="C20760" s="5" t="str">
        <f>IFERROR(__xludf.DUMMYFUNCTION("GOOGLETRANSLATE(B20760,""en"",""zh-CN"")"),"在电视上玩的视频游戏前，一个男人在玩小提琴。")</f>
        <v>在电视上玩的视频游戏前，一个男人在玩小提琴。</v>
      </c>
    </row>
    <row r="20761">
      <c r="A20761" s="4" t="s">
        <v>26146</v>
      </c>
      <c r="B20761" s="6" t="s">
        <v>26148</v>
      </c>
      <c r="C20761" s="5" t="str">
        <f>IFERROR(__xludf.DUMMYFUNCTION("GOOGLETRANSLATE(B20761,""en"",""zh-CN"")"),"该男子继续演奏乐器，而电视在后台显示了正在玩游戏的游戏。")</f>
        <v>该男子继续演奏乐器，而电视在后台显示了正在玩游戏的游戏。</v>
      </c>
    </row>
    <row r="20762">
      <c r="A20762" s="4" t="s">
        <v>26149</v>
      </c>
      <c r="B20762" s="4" t="s">
        <v>26150</v>
      </c>
      <c r="C20762" s="5" t="str">
        <f>IFERROR(__xludf.DUMMYFUNCTION("GOOGLETRANSLATE(B20762,""en"",""zh-CN"")"),"看到一大批人站在一个雪山的底部，彼此说话。")</f>
        <v>看到一大批人站在一个雪山的底部，彼此说话。</v>
      </c>
    </row>
    <row r="20763">
      <c r="A20763" s="4" t="s">
        <v>26149</v>
      </c>
      <c r="B20763" s="4" t="s">
        <v>26151</v>
      </c>
      <c r="C20763" s="5" t="str">
        <f>IFERROR(__xludf.DUMMYFUNCTION("GOOGLETRANSLATE(B20763,""en"",""zh-CN"")"),"然后看到人们骑在管子里，沿着一条白雪皑皑的小径沿着。")</f>
        <v>然后看到人们骑在管子里，沿着一条白雪皑皑的小径沿着。</v>
      </c>
    </row>
    <row r="20764">
      <c r="A20764" s="4" t="s">
        <v>26149</v>
      </c>
      <c r="B20764" s="6" t="s">
        <v>26152</v>
      </c>
      <c r="C20764" s="5" t="str">
        <f>IFERROR(__xludf.DUMMYFUNCTION("GOOGLETRANSLATE(B20764,""en"",""zh-CN"")"),"几张照片显示了人们在看着相机时骑着山上骑着山上的人。")</f>
        <v>几张照片显示了人们在看着相机时骑着山上骑着山上的人。</v>
      </c>
    </row>
    <row r="20765">
      <c r="A20765" s="4" t="s">
        <v>26153</v>
      </c>
      <c r="B20765" s="4" t="s">
        <v>26154</v>
      </c>
      <c r="C20765" s="5" t="str">
        <f>IFERROR(__xludf.DUMMYFUNCTION("GOOGLETRANSLATE(B20765,""en"",""zh-CN"")"),"一个坐着的男人正在使用锐化器来锐化一把大刀。")</f>
        <v>一个坐着的男人正在使用锐化器来锐化一把大刀。</v>
      </c>
    </row>
    <row r="20766">
      <c r="A20766" s="4" t="s">
        <v>26153</v>
      </c>
      <c r="B20766" s="4" t="s">
        <v>26155</v>
      </c>
      <c r="C20766" s="5" t="str">
        <f>IFERROR(__xludf.DUMMYFUNCTION("GOOGLETRANSLATE(B20766,""en"",""zh-CN"")"),"他沿着刀的表面和腹部刮擦，锐化它。")</f>
        <v>他沿着刀的表面和腹部刮擦，锐化它。</v>
      </c>
    </row>
    <row r="20767">
      <c r="A20767" s="4" t="s">
        <v>26156</v>
      </c>
      <c r="B20767" s="4" t="s">
        <v>26157</v>
      </c>
      <c r="C20767" s="5" t="str">
        <f>IFERROR(__xludf.DUMMYFUNCTION("GOOGLETRANSLATE(B20767,""en"",""zh-CN"")"),"这个人骑着蓝色的单筏。")</f>
        <v>这个人骑着蓝色的单筏。</v>
      </c>
    </row>
    <row r="20768">
      <c r="A20768" s="4" t="s">
        <v>26156</v>
      </c>
      <c r="B20768" s="4" t="s">
        <v>26158</v>
      </c>
      <c r="C20768" s="5" t="str">
        <f>IFERROR(__xludf.DUMMYFUNCTION("GOOGLETRANSLATE(B20768,""en"",""zh-CN"")"),"该男子正在用坚固的水流划水。")</f>
        <v>该男子正在用坚固的水流划水。</v>
      </c>
    </row>
    <row r="20769">
      <c r="A20769" s="4" t="s">
        <v>26156</v>
      </c>
      <c r="B20769" s="4" t="s">
        <v>26159</v>
      </c>
      <c r="C20769" s="5" t="str">
        <f>IFERROR(__xludf.DUMMYFUNCTION("GOOGLETRANSLATE(B20769,""en"",""zh-CN"")"),"这个人跌倒在小瀑布。")</f>
        <v>这个人跌倒在小瀑布。</v>
      </c>
    </row>
    <row r="20770">
      <c r="A20770" s="4" t="s">
        <v>26160</v>
      </c>
      <c r="B20770" s="4" t="s">
        <v>26161</v>
      </c>
      <c r="C20770" s="5" t="str">
        <f>IFERROR(__xludf.DUMMYFUNCTION("GOOGLETRANSLATE(B20770,""en"",""zh-CN"")"),"显示了一个背部滑雪的视频。")</f>
        <v>显示了一个背部滑雪的视频。</v>
      </c>
    </row>
    <row r="20771">
      <c r="A20771" s="4" t="s">
        <v>26160</v>
      </c>
      <c r="B20771" s="4" t="s">
        <v>26162</v>
      </c>
      <c r="C20771" s="5" t="str">
        <f>IFERROR(__xludf.DUMMYFUNCTION("GOOGLETRANSLATE(B20771,""en"",""zh-CN"")"),"该小组准备其设备，然后看一下蒙古包。")</f>
        <v>该小组准备其设备，然后看一下蒙古包。</v>
      </c>
    </row>
    <row r="20772">
      <c r="A20772" s="4" t="s">
        <v>26160</v>
      </c>
      <c r="B20772" s="4" t="s">
        <v>26163</v>
      </c>
      <c r="C20772" s="5" t="str">
        <f>IFERROR(__xludf.DUMMYFUNCTION("GOOGLETRANSLATE(B20772,""en"",""zh-CN"")"),"然后，他们显示滑雪视频。")</f>
        <v>然后，他们显示滑雪视频。</v>
      </c>
    </row>
    <row r="20773">
      <c r="A20773" s="4" t="s">
        <v>26164</v>
      </c>
      <c r="B20773" s="4" t="s">
        <v>26165</v>
      </c>
      <c r="C20773" s="5" t="str">
        <f>IFERROR(__xludf.DUMMYFUNCTION("GOOGLETRANSLATE(B20773,""en"",""zh-CN"")"),"看到一大批人站在一个房间周围，一个女人在前面拿着饮料。")</f>
        <v>看到一大批人站在一个房间周围，一个女人在前面拿着饮料。</v>
      </c>
    </row>
    <row r="20774">
      <c r="A20774" s="4" t="s">
        <v>26164</v>
      </c>
      <c r="B20774" s="4" t="s">
        <v>26166</v>
      </c>
      <c r="C20774" s="5" t="str">
        <f>IFERROR(__xludf.DUMMYFUNCTION("GOOGLETRANSLATE(B20774,""en"",""zh-CN"")"),"那个女人放下了酒，开始带领一群人跳舞。")</f>
        <v>那个女人放下了酒，开始带领一群人跳舞。</v>
      </c>
    </row>
    <row r="20775">
      <c r="A20775" s="4" t="s">
        <v>26164</v>
      </c>
      <c r="B20775" s="4" t="s">
        <v>26167</v>
      </c>
      <c r="C20775" s="5" t="str">
        <f>IFERROR(__xludf.DUMMYFUNCTION("GOOGLETRANSLATE(B20775,""en"",""zh-CN"")"),"当相机捕捉他们的动作时，该小组继续跳舞。")</f>
        <v>当相机捕捉他们的动作时，该小组继续跳舞。</v>
      </c>
    </row>
    <row r="20776">
      <c r="A20776" s="4" t="s">
        <v>26168</v>
      </c>
      <c r="B20776" s="4" t="s">
        <v>26169</v>
      </c>
      <c r="C20776" s="5" t="str">
        <f>IFERROR(__xludf.DUMMYFUNCTION("GOOGLETRANSLATE(B20776,""en"",""zh-CN"")"),"一个穿着白色滑雪夹克的女孩沿着滑雪坡延伸，拉着橙色的内管。")</f>
        <v>一个穿着白色滑雪夹克的女孩沿着滑雪坡延伸，拉着橙色的内管。</v>
      </c>
    </row>
    <row r="20777">
      <c r="A20777" s="4" t="s">
        <v>26168</v>
      </c>
      <c r="B20777" s="4" t="s">
        <v>26170</v>
      </c>
      <c r="C20777" s="5" t="str">
        <f>IFERROR(__xludf.DUMMYFUNCTION("GOOGLETRANSLATE(B20777,""en"",""zh-CN"")"),"一名管服务员可以帮助一群孩子在内管上装载。")</f>
        <v>一名管服务员可以帮助一群孩子在内管上装载。</v>
      </c>
    </row>
    <row r="20778">
      <c r="A20778" s="4" t="s">
        <v>26168</v>
      </c>
      <c r="B20778" s="4" t="s">
        <v>26171</v>
      </c>
      <c r="C20778" s="5" t="str">
        <f>IFERROR(__xludf.DUMMYFUNCTION("GOOGLETRANSLATE(B20778,""en"",""zh-CN"")"),"孩子们在内管上一起滑下斜坡。")</f>
        <v>孩子们在内管上一起滑下斜坡。</v>
      </c>
    </row>
    <row r="20779">
      <c r="A20779" s="4" t="s">
        <v>26168</v>
      </c>
      <c r="B20779" s="4" t="s">
        <v>26172</v>
      </c>
      <c r="C20779" s="5" t="str">
        <f>IFERROR(__xludf.DUMMYFUNCTION("GOOGLETRANSLATE(B20779,""en"",""zh-CN"")"),"孩子们爬回管道斜坡，再次向下滑动他们的内管。")</f>
        <v>孩子们爬回管道斜坡，再次向下滑动他们的内管。</v>
      </c>
    </row>
    <row r="20780">
      <c r="A20780" s="4" t="s">
        <v>26173</v>
      </c>
      <c r="B20780" s="4" t="s">
        <v>26174</v>
      </c>
      <c r="C20780" s="5" t="str">
        <f>IFERROR(__xludf.DUMMYFUNCTION("GOOGLETRANSLATE(B20780,""en"",""zh-CN"")"),"一名年长的黑人男性站在厨房里熨烫一件深灰色的T恤。")</f>
        <v>一名年长的黑人男性站在厨房里熨烫一件深灰色的T恤。</v>
      </c>
    </row>
    <row r="20781">
      <c r="A20781" s="4" t="s">
        <v>26173</v>
      </c>
      <c r="B20781" s="6" t="s">
        <v>26175</v>
      </c>
      <c r="C20781" s="5" t="str">
        <f>IFERROR(__xludf.DUMMYFUNCTION("GOOGLETRANSLATE(B20781,""en"",""zh-CN"")"),"然后，该男子暂停了他的熨烫，看着正在拍摄他并继续穿上衬衫的人。")</f>
        <v>然后，该男子暂停了他的熨烫，看着正在拍摄他并继续穿上衬衫的人。</v>
      </c>
    </row>
    <row r="20782">
      <c r="A20782" s="4" t="s">
        <v>26176</v>
      </c>
      <c r="B20782" s="4" t="s">
        <v>26177</v>
      </c>
      <c r="C20782" s="5" t="str">
        <f>IFERROR(__xludf.DUMMYFUNCTION("GOOGLETRANSLATE(B20782,""en"",""zh-CN"")"),"看到一个男人的头发凌乱，远处看着。")</f>
        <v>看到一个男人的头发凌乱，远处看着。</v>
      </c>
    </row>
    <row r="20783">
      <c r="A20783" s="4" t="s">
        <v>26176</v>
      </c>
      <c r="B20783" s="4" t="s">
        <v>26178</v>
      </c>
      <c r="C20783" s="5" t="str">
        <f>IFERROR(__xludf.DUMMYFUNCTION("GOOGLETRANSLATE(B20783,""en"",""zh-CN"")"),"他举起咖啡杯，转向相机。")</f>
        <v>他举起咖啡杯，转向相机。</v>
      </c>
    </row>
    <row r="20784">
      <c r="A20784" s="4" t="s">
        <v>26176</v>
      </c>
      <c r="B20784" s="4" t="s">
        <v>26179</v>
      </c>
      <c r="C20784" s="5" t="str">
        <f>IFERROR(__xludf.DUMMYFUNCTION("GOOGLETRANSLATE(B20784,""en"",""zh-CN"")"),"然后，他看着相机时发出灿烂的笑容。")</f>
        <v>然后，他看着相机时发出灿烂的笑容。</v>
      </c>
    </row>
    <row r="20785">
      <c r="A20785" s="4" t="s">
        <v>26180</v>
      </c>
      <c r="B20785" s="4" t="s">
        <v>26181</v>
      </c>
      <c r="C20785" s="5" t="str">
        <f>IFERROR(__xludf.DUMMYFUNCTION("GOOGLETRANSLATE(B20785,""en"",""zh-CN"")"),"当孩子们观看玩游戏时，充气球在草地上弹跳。")</f>
        <v>当孩子们观看玩游戏时，充气球在草地上弹跳。</v>
      </c>
    </row>
    <row r="20786">
      <c r="A20786" s="4" t="s">
        <v>26180</v>
      </c>
      <c r="B20786" s="4" t="s">
        <v>26182</v>
      </c>
      <c r="C20786" s="5" t="str">
        <f>IFERROR(__xludf.DUMMYFUNCTION("GOOGLETRANSLATE(B20786,""en"",""zh-CN"")"),"一个穿着蓝色衬衫和牛仔裤的小男孩取回球，奔向团队。")</f>
        <v>一个穿着蓝色衬衫和牛仔裤的小男孩取回球，奔向团队。</v>
      </c>
    </row>
    <row r="20787">
      <c r="A20787" s="4" t="s">
        <v>26183</v>
      </c>
      <c r="B20787" s="6" t="s">
        <v>26184</v>
      </c>
      <c r="C20787" s="5" t="str">
        <f>IFERROR(__xludf.DUMMYFUNCTION("GOOGLETRANSLATE(B20787,""en"",""zh-CN"")"),"这个人在视频的开头显示了这个人，然后他将顶部雕刻出来，并从南瓜中拿出种子和其他所有东西。")</f>
        <v>这个人在视频的开头显示了这个人，然后他将顶部雕刻出来，并从南瓜中拿出种子和其他所有东西。</v>
      </c>
    </row>
    <row r="20788">
      <c r="A20788" s="4" t="s">
        <v>26183</v>
      </c>
      <c r="B20788" s="4" t="s">
        <v>26185</v>
      </c>
      <c r="C20788" s="5" t="str">
        <f>IFERROR(__xludf.DUMMYFUNCTION("GOOGLETRANSLATE(B20788,""en"",""zh-CN"")"),"有人给其中一只雪狗一块南瓜。")</f>
        <v>有人给其中一只雪狗一块南瓜。</v>
      </c>
    </row>
    <row r="20789">
      <c r="A20789" s="4" t="s">
        <v>26183</v>
      </c>
      <c r="B20789" s="4" t="s">
        <v>26186</v>
      </c>
      <c r="C20789" s="5" t="str">
        <f>IFERROR(__xludf.DUMMYFUNCTION("GOOGLETRANSLATE(B20789,""en"",""zh-CN"")"),"然后，他将模板放在南瓜上，然后将一只雪狗雕刻到南瓜。")</f>
        <v>然后，他将模板放在南瓜上，然后将一只雪狗雕刻到南瓜。</v>
      </c>
    </row>
    <row r="20790">
      <c r="A20790" s="4" t="s">
        <v>26187</v>
      </c>
      <c r="B20790" s="4" t="s">
        <v>26188</v>
      </c>
      <c r="C20790" s="5" t="str">
        <f>IFERROR(__xludf.DUMMYFUNCTION("GOOGLETRANSLATE(B20790,""en"",""zh-CN"")"),"介绍进入了一家精美亚麻公司的屏幕。")</f>
        <v>介绍进入了一家精美亚麻公司的屏幕。</v>
      </c>
    </row>
    <row r="20791">
      <c r="A20791" s="4" t="s">
        <v>26187</v>
      </c>
      <c r="B20791" s="4" t="s">
        <v>26189</v>
      </c>
      <c r="C20791" s="5" t="str">
        <f>IFERROR(__xludf.DUMMYFUNCTION("GOOGLETRANSLATE(B20791,""en"",""zh-CN"")"),"一个女人解释说，她将描述如何折叠餐巾纸。")</f>
        <v>一个女人解释说，她将描述如何折叠餐巾纸。</v>
      </c>
    </row>
    <row r="20792">
      <c r="A20792" s="4" t="s">
        <v>26187</v>
      </c>
      <c r="B20792" s="4" t="s">
        <v>26190</v>
      </c>
      <c r="C20792" s="5" t="str">
        <f>IFERROR(__xludf.DUMMYFUNCTION("GOOGLETRANSLATE(B20792,""en"",""zh-CN"")"),"她首先用热铁按餐巾。")</f>
        <v>她首先用热铁按餐巾。</v>
      </c>
    </row>
    <row r="20793">
      <c r="A20793" s="4" t="s">
        <v>26187</v>
      </c>
      <c r="B20793" s="4" t="s">
        <v>26191</v>
      </c>
      <c r="C20793" s="5" t="str">
        <f>IFERROR(__xludf.DUMMYFUNCTION("GOOGLETRANSLATE(B20793,""en"",""zh-CN"")"),"她将餐巾纸折叠起来，并继续按下它。")</f>
        <v>她将餐巾纸折叠起来，并继续按下它。</v>
      </c>
    </row>
    <row r="20794">
      <c r="A20794" s="4" t="s">
        <v>26187</v>
      </c>
      <c r="B20794" s="4" t="s">
        <v>4959</v>
      </c>
      <c r="C20794" s="5" t="str">
        <f>IFERROR(__xludf.DUMMYFUNCTION("GOOGLETRANSLATE(B20794,""en"",""zh-CN"")"),"视频以结束信用结束。")</f>
        <v>视频以结束信用结束。</v>
      </c>
    </row>
    <row r="20795">
      <c r="A20795" s="4" t="s">
        <v>26192</v>
      </c>
      <c r="B20795" s="4" t="s">
        <v>26193</v>
      </c>
      <c r="C20795" s="5" t="str">
        <f>IFERROR(__xludf.DUMMYFUNCTION("GOOGLETRANSLATE(B20795,""en"",""zh-CN"")"),"一个小男孩在郊区住宅区的前草坪割草。")</f>
        <v>一个小男孩在郊区住宅区的前草坪割草。</v>
      </c>
    </row>
    <row r="20796">
      <c r="A20796" s="4" t="s">
        <v>26192</v>
      </c>
      <c r="B20796" s="6" t="s">
        <v>26194</v>
      </c>
      <c r="C20796" s="5" t="str">
        <f>IFERROR(__xludf.DUMMYFUNCTION("GOOGLETRANSLATE(B20796,""en"",""zh-CN"")"),"一个穿着T恤和短裤的小男孩在割草时，一小块草坪在草坪上来回移动。")</f>
        <v>一个穿着T恤和短裤的小男孩在割草时，一小块草坪在草坪上来回移动。</v>
      </c>
    </row>
    <row r="20797">
      <c r="A20797" s="4" t="s">
        <v>26192</v>
      </c>
      <c r="B20797" s="6" t="s">
        <v>26195</v>
      </c>
      <c r="C20797" s="5" t="str">
        <f>IFERROR(__xludf.DUMMYFUNCTION("GOOGLETRANSLATE(B20797,""en"",""zh-CN"")"),"然后，男孩从停车标志对面的角落附近的割草机走了一段较长的草坪。")</f>
        <v>然后，男孩从停车标志对面的角落附近的割草机走了一段较长的草坪。</v>
      </c>
    </row>
    <row r="20798">
      <c r="A20798" s="4" t="s">
        <v>26196</v>
      </c>
      <c r="B20798" s="4" t="s">
        <v>26197</v>
      </c>
      <c r="C20798" s="5" t="str">
        <f>IFERROR(__xludf.DUMMYFUNCTION("GOOGLETRANSLATE(B20798,""en"",""zh-CN"")"),"移动的摄像头显示大型开放室外区域。")</f>
        <v>移动的摄像头显示大型开放室外区域。</v>
      </c>
    </row>
    <row r="20799">
      <c r="A20799" s="4" t="s">
        <v>26196</v>
      </c>
      <c r="B20799" s="6" t="s">
        <v>26198</v>
      </c>
      <c r="C20799" s="5" t="str">
        <f>IFERROR(__xludf.DUMMYFUNCTION("GOOGLETRANSLATE(B20799,""en"",""zh-CN"")"),"一个戴着头盔的男人在骑滑板上骑着户外的木制平面图底座。")</f>
        <v>一个戴着头盔的男人在骑滑板上骑着户外的木制平面图底座。</v>
      </c>
    </row>
    <row r="20800">
      <c r="A20800" s="4" t="s">
        <v>26196</v>
      </c>
      <c r="B20800" s="4" t="s">
        <v>26199</v>
      </c>
      <c r="C20800" s="5" t="str">
        <f>IFERROR(__xludf.DUMMYFUNCTION("GOOGLETRANSLATE(B20800,""en"",""zh-CN"")"),"第二个骑手加入滑板上的第一个骑手。")</f>
        <v>第二个骑手加入滑板上的第一个骑手。</v>
      </c>
    </row>
    <row r="20801">
      <c r="A20801" s="4" t="s">
        <v>26196</v>
      </c>
      <c r="B20801" s="4" t="s">
        <v>26200</v>
      </c>
      <c r="C20801" s="5" t="str">
        <f>IFERROR(__xludf.DUMMYFUNCTION("GOOGLETRANSLATE(B20801,""en"",""zh-CN"")"),"显示了一个男人不戴头盔并骑另一个滑板的剪辑。")</f>
        <v>显示了一个男人不戴头盔并骑另一个滑板的剪辑。</v>
      </c>
    </row>
    <row r="20802">
      <c r="A20802" s="4" t="s">
        <v>26196</v>
      </c>
      <c r="B20802" s="4" t="s">
        <v>26201</v>
      </c>
      <c r="C20802" s="5" t="str">
        <f>IFERROR(__xludf.DUMMYFUNCTION("GOOGLETRANSLATE(B20802,""en"",""zh-CN"")"),"再次显示了带有木板作为滑板的头盔男子。")</f>
        <v>再次显示了带有木板作为滑板的头盔男子。</v>
      </c>
    </row>
    <row r="20803">
      <c r="A20803" s="4" t="s">
        <v>26196</v>
      </c>
      <c r="B20803" s="4" t="s">
        <v>26202</v>
      </c>
      <c r="C20803" s="5" t="str">
        <f>IFERROR(__xludf.DUMMYFUNCTION("GOOGLETRANSLATE(B20803,""en"",""zh-CN"")"),"显示了其他几个骑其他滑板的人。")</f>
        <v>显示了其他几个骑其他滑板的人。</v>
      </c>
    </row>
    <row r="20804">
      <c r="A20804" s="4" t="s">
        <v>26196</v>
      </c>
      <c r="B20804" s="4" t="s">
        <v>26203</v>
      </c>
      <c r="C20804" s="5" t="str">
        <f>IFERROR(__xludf.DUMMYFUNCTION("GOOGLETRANSLATE(B20804,""en"",""zh-CN"")"),"再次显示了原始的滑板手。")</f>
        <v>再次显示了原始的滑板手。</v>
      </c>
    </row>
    <row r="20805">
      <c r="A20805" s="4" t="s">
        <v>26204</v>
      </c>
      <c r="B20805" s="4" t="s">
        <v>26205</v>
      </c>
      <c r="C20805" s="5" t="str">
        <f>IFERROR(__xludf.DUMMYFUNCTION("GOOGLETRANSLATE(B20805,""en"",""zh-CN"")"),"一个男人正在穿越混凝土人行道上，穿着袋鼠鞋子的台阶。")</f>
        <v>一个男人正在穿越混凝土人行道上，穿着袋鼠鞋子的台阶。</v>
      </c>
    </row>
    <row r="20806">
      <c r="A20806" s="4" t="s">
        <v>26204</v>
      </c>
      <c r="B20806" s="4" t="s">
        <v>26206</v>
      </c>
      <c r="C20806" s="5" t="str">
        <f>IFERROR(__xludf.DUMMYFUNCTION("GOOGLETRANSLATE(B20806,""en"",""zh-CN"")"),"更多的人出现了，他们也开始跳入众多人群。")</f>
        <v>更多的人出现了，他们也开始跳入众多人群。</v>
      </c>
    </row>
    <row r="20807">
      <c r="A20807" s="4" t="s">
        <v>26207</v>
      </c>
      <c r="B20807" s="4" t="s">
        <v>26208</v>
      </c>
      <c r="C20807" s="5" t="str">
        <f>IFERROR(__xludf.DUMMYFUNCTION("GOOGLETRANSLATE(B20807,""en"",""zh-CN"")"),"有一个人演示如何使用手工设置工具。")</f>
        <v>有一个人演示如何使用手工设置工具。</v>
      </c>
    </row>
    <row r="20808">
      <c r="A20808" s="4" t="s">
        <v>26207</v>
      </c>
      <c r="B20808" s="4" t="s">
        <v>26209</v>
      </c>
      <c r="C20808" s="5" t="str">
        <f>IFERROR(__xludf.DUMMYFUNCTION("GOOGLETRANSLATE(B20808,""en"",""zh-CN"")"),"他正在将指甲锤入木吧。")</f>
        <v>他正在将指甲锤入木吧。</v>
      </c>
    </row>
    <row r="20809">
      <c r="A20809" s="4" t="s">
        <v>26207</v>
      </c>
      <c r="B20809" s="4" t="s">
        <v>26210</v>
      </c>
      <c r="C20809" s="5" t="str">
        <f>IFERROR(__xludf.DUMMYFUNCTION("GOOGLETRANSLATE(B20809,""en"",""zh-CN"")"),"他使用该工具在将指甲敲入之前正确对齐。")</f>
        <v>他使用该工具在将指甲敲入之前正确对齐。</v>
      </c>
    </row>
    <row r="20810">
      <c r="A20810" s="4" t="s">
        <v>26207</v>
      </c>
      <c r="B20810" s="4" t="s">
        <v>26211</v>
      </c>
      <c r="C20810" s="5" t="str">
        <f>IFERROR(__xludf.DUMMYFUNCTION("GOOGLETRANSLATE(B20810,""en"",""zh-CN"")"),"然后，他演示了无需使用对齐工具而无需使用锤击过程的外观。")</f>
        <v>然后，他演示了无需使用对齐工具而无需使用锤击过程的外观。</v>
      </c>
    </row>
    <row r="20811">
      <c r="A20811" s="4" t="s">
        <v>26207</v>
      </c>
      <c r="B20811" s="6" t="s">
        <v>26212</v>
      </c>
      <c r="C20811" s="5" t="str">
        <f>IFERROR(__xludf.DUMMYFUNCTION("GOOGLETRANSLATE(B20811,""en"",""zh-CN"")"),"然后，他使用对齐工具来显示其在使用该工具时将其钉在木头上的差异。")</f>
        <v>然后，他使用对齐工具来显示其在使用该工具时将其钉在木头上的差异。</v>
      </c>
    </row>
    <row r="20812">
      <c r="A20812" s="4" t="s">
        <v>26213</v>
      </c>
      <c r="B20812" s="4" t="s">
        <v>26214</v>
      </c>
      <c r="C20812" s="5" t="str">
        <f>IFERROR(__xludf.DUMMYFUNCTION("GOOGLETRANSLATE(B20812,""en"",""zh-CN"")"),"一个瘦男人，正在打电话打保龄球，击倒所有保龄球。")</f>
        <v>一个瘦男人，正在打电话打保龄球，击倒所有保龄球。</v>
      </c>
    </row>
    <row r="20813">
      <c r="A20813" s="4" t="s">
        <v>26213</v>
      </c>
      <c r="B20813" s="6" t="s">
        <v>26215</v>
      </c>
      <c r="C20813" s="5" t="str">
        <f>IFERROR(__xludf.DUMMYFUNCTION("GOOGLETRANSLATE(B20813,""en"",""zh-CN"")"),"接下来，他必须经历几个障碍才能将球滚下来，无论如何他最终都会做到。")</f>
        <v>接下来，他必须经历几个障碍才能将球滚下来，无论如何他最终都会做到。</v>
      </c>
    </row>
    <row r="20814">
      <c r="A20814" s="4" t="s">
        <v>26213</v>
      </c>
      <c r="B20814" s="6" t="s">
        <v>26216</v>
      </c>
      <c r="C20814" s="5" t="str">
        <f>IFERROR(__xludf.DUMMYFUNCTION("GOOGLETRANSLATE(B20814,""en"",""zh-CN"")"),"其中一些包括在车道上用别针打保龄球，从图表后面站立，甚至遮住了眼睛。")</f>
        <v>其中一些包括在车道上用别针打保龄球，从图表后面站立，甚至遮住了眼睛。</v>
      </c>
    </row>
    <row r="20815">
      <c r="A20815" s="4" t="s">
        <v>26217</v>
      </c>
      <c r="B20815" s="4" t="s">
        <v>26218</v>
      </c>
      <c r="C20815" s="5" t="str">
        <f>IFERROR(__xludf.DUMMYFUNCTION("GOOGLETRANSLATE(B20815,""en"",""zh-CN"")"),"一群四个男孩在桌子旁。")</f>
        <v>一群四个男孩在桌子旁。</v>
      </c>
    </row>
    <row r="20816">
      <c r="A20816" s="4" t="s">
        <v>26217</v>
      </c>
      <c r="B20816" s="4" t="s">
        <v>26219</v>
      </c>
      <c r="C20816" s="5" t="str">
        <f>IFERROR(__xludf.DUMMYFUNCTION("GOOGLETRANSLATE(B20816,""en"",""zh-CN"")"),"作为计时器计数，一个男孩正试图解决一个魔方。")</f>
        <v>作为计时器计数，一个男孩正试图解决一个魔方。</v>
      </c>
    </row>
    <row r="20817">
      <c r="A20817" s="4" t="s">
        <v>26217</v>
      </c>
      <c r="B20817" s="4" t="s">
        <v>26220</v>
      </c>
      <c r="C20817" s="5" t="str">
        <f>IFERROR(__xludf.DUMMYFUNCTION("GOOGLETRANSLATE(B20817,""en"",""zh-CN"")"),"他解决了多维数据集，并与其他男孩握手。")</f>
        <v>他解决了多维数据集，并与其他男孩握手。</v>
      </c>
    </row>
    <row r="20818">
      <c r="A20818" s="4" t="s">
        <v>26221</v>
      </c>
      <c r="B20818" s="4" t="s">
        <v>26222</v>
      </c>
      <c r="C20818" s="5" t="str">
        <f>IFERROR(__xludf.DUMMYFUNCTION("GOOGLETRANSLATE(B20818,""en"",""zh-CN"")"),"一群人在聚光灯下跳舞，戴着传统的下巴袍和帽子。")</f>
        <v>一群人在聚光灯下跳舞，戴着传统的下巴袍和帽子。</v>
      </c>
    </row>
    <row r="20819">
      <c r="A20819" s="4" t="s">
        <v>26221</v>
      </c>
      <c r="B20819" s="4" t="s">
        <v>26223</v>
      </c>
      <c r="C20819" s="5" t="str">
        <f>IFERROR(__xludf.DUMMYFUNCTION("GOOGLETRANSLATE(B20819,""en"",""zh-CN"")"),"这些人假装拉起虚构的绳索。")</f>
        <v>这些人假装拉起虚构的绳索。</v>
      </c>
    </row>
    <row r="20820">
      <c r="A20820" s="4" t="s">
        <v>26221</v>
      </c>
      <c r="B20820" s="4" t="s">
        <v>26224</v>
      </c>
      <c r="C20820" s="5" t="str">
        <f>IFERROR(__xludf.DUMMYFUNCTION("GOOGLETRANSLATE(B20820,""en"",""zh-CN"")"),"这些男人彼此蹲下，向臀部推着臀部。")</f>
        <v>这些男人彼此蹲下，向臀部推着臀部。</v>
      </c>
    </row>
    <row r="20821">
      <c r="A20821" s="4" t="s">
        <v>26221</v>
      </c>
      <c r="B20821" s="4" t="s">
        <v>26225</v>
      </c>
      <c r="C20821" s="5" t="str">
        <f>IFERROR(__xludf.DUMMYFUNCTION("GOOGLETRANSLATE(B20821,""en"",""zh-CN"")"),"这些人在部分圈子和跳舞中背对背。")</f>
        <v>这些人在部分圈子和跳舞中背对背。</v>
      </c>
    </row>
    <row r="20822">
      <c r="A20822" s="4" t="s">
        <v>26221</v>
      </c>
      <c r="B20822" s="4" t="s">
        <v>26226</v>
      </c>
      <c r="C20822" s="5" t="str">
        <f>IFERROR(__xludf.DUMMYFUNCTION("GOOGLETRANSLATE(B20822,""en"",""zh-CN"")"),"这些人像印度教女神一样握住那里。")</f>
        <v>这些人像印度教女神一样握住那里。</v>
      </c>
    </row>
    <row r="20823">
      <c r="A20823" s="4" t="s">
        <v>26227</v>
      </c>
      <c r="B20823" s="4" t="s">
        <v>26228</v>
      </c>
      <c r="C20823" s="5" t="str">
        <f>IFERROR(__xludf.DUMMYFUNCTION("GOOGLETRANSLATE(B20823,""en"",""zh-CN"")"),"可以看到一个深峡谷，上面有电梯。")</f>
        <v>可以看到一个深峡谷，上面有电梯。</v>
      </c>
    </row>
    <row r="20824">
      <c r="A20824" s="4" t="s">
        <v>26227</v>
      </c>
      <c r="B20824" s="4" t="s">
        <v>26229</v>
      </c>
      <c r="C20824" s="5" t="str">
        <f>IFERROR(__xludf.DUMMYFUNCTION("GOOGLETRANSLATE(B20824,""en"",""zh-CN"")"),"一个男人穿着另一个男人穿着蹦极装。")</f>
        <v>一个男人穿着另一个男人穿着蹦极装。</v>
      </c>
    </row>
    <row r="20825">
      <c r="A20825" s="4" t="s">
        <v>26227</v>
      </c>
      <c r="B20825" s="4" t="s">
        <v>26230</v>
      </c>
      <c r="C20825" s="5" t="str">
        <f>IFERROR(__xludf.DUMMYFUNCTION("GOOGLETRANSLATE(B20825,""en"",""zh-CN"")"),"他跳了出来，然后在薄水域中来回摆动。")</f>
        <v>他跳了出来，然后在薄水域中来回摆动。</v>
      </c>
    </row>
    <row r="20826">
      <c r="A20826" s="4" t="s">
        <v>26231</v>
      </c>
      <c r="B20826" s="4" t="s">
        <v>26232</v>
      </c>
      <c r="C20826" s="5" t="str">
        <f>IFERROR(__xludf.DUMMYFUNCTION("GOOGLETRANSLATE(B20826,""en"",""zh-CN"")"),"人在一个靠着炉子上的锅里的套筒，准备一个煎蛋。")</f>
        <v>人在一个靠着炉子上的锅里的套筒，准备一个煎蛋。</v>
      </c>
    </row>
    <row r="20827">
      <c r="A20827" s="4" t="s">
        <v>26231</v>
      </c>
      <c r="B20827" s="4" t="s">
        <v>26233</v>
      </c>
      <c r="C20827" s="5" t="str">
        <f>IFERROR(__xludf.DUMMYFUNCTION("GOOGLETRANSLATE(B20827,""en"",""zh-CN"")"),"男人拿着一个袋子，拿着锅，拿起一些奶酪，然后弯曲煎蛋。")</f>
        <v>男人拿着一个袋子，拿着锅，拿起一些奶酪，然后弯曲煎蛋。</v>
      </c>
    </row>
    <row r="20828">
      <c r="A20828" s="4" t="s">
        <v>26234</v>
      </c>
      <c r="B20828" s="6" t="s">
        <v>26235</v>
      </c>
      <c r="C20828" s="5" t="str">
        <f>IFERROR(__xludf.DUMMYFUNCTION("GOOGLETRANSLATE(B20828,""en"",""zh-CN"")"),"看到一群人站在弓箭周围，然后相机摄像机沿着一长串的人射击弓箭。")</f>
        <v>看到一群人站在弓箭周围，然后相机摄像机沿着一长串的人射击弓箭。</v>
      </c>
    </row>
    <row r="20829">
      <c r="A20829" s="4" t="s">
        <v>26234</v>
      </c>
      <c r="B20829" s="6" t="s">
        <v>26236</v>
      </c>
      <c r="C20829" s="5" t="str">
        <f>IFERROR(__xludf.DUMMYFUNCTION("GOOGLETRANSLATE(B20829,""en"",""zh-CN"")"),"然后看到一个男人在相机上说话，然后几张随机的人将箭向目标射击。")</f>
        <v>然后看到一个男人在相机上说话，然后几张随机的人将箭向目标射击。</v>
      </c>
    </row>
    <row r="20830">
      <c r="A20830" s="4" t="s">
        <v>26234</v>
      </c>
      <c r="B20830" s="4" t="s">
        <v>26237</v>
      </c>
      <c r="C20830" s="5" t="str">
        <f>IFERROR(__xludf.DUMMYFUNCTION("GOOGLETRANSLATE(B20830,""en"",""zh-CN"")"),"许多人在场外观看，紧随其后的是更多人射击弓箭。")</f>
        <v>许多人在场外观看，紧随其后的是更多人射击弓箭。</v>
      </c>
    </row>
    <row r="20831">
      <c r="A20831" s="4" t="s">
        <v>26238</v>
      </c>
      <c r="B20831" s="4" t="s">
        <v>26239</v>
      </c>
      <c r="C20831" s="5" t="str">
        <f>IFERROR(__xludf.DUMMYFUNCTION("GOOGLETRANSLATE(B20831,""en"",""zh-CN"")"),"一个红碗在块中含有汤匙和金枪鱼鱼。")</f>
        <v>一个红碗在块中含有汤匙和金枪鱼鱼。</v>
      </c>
    </row>
    <row r="20832">
      <c r="A20832" s="4" t="s">
        <v>26238</v>
      </c>
      <c r="B20832" s="4" t="s">
        <v>26240</v>
      </c>
      <c r="C20832" s="5" t="str">
        <f>IFERROR(__xludf.DUMMYFUNCTION("GOOGLETRANSLATE(B20832,""en"",""zh-CN"")"),"有人将蛋黄酱倒入金枪鱼以及调味料中。")</f>
        <v>有人将蛋黄酱倒入金枪鱼以及调味料中。</v>
      </c>
    </row>
    <row r="20833">
      <c r="A20833" s="4" t="s">
        <v>26238</v>
      </c>
      <c r="B20833" s="4" t="s">
        <v>26241</v>
      </c>
      <c r="C20833" s="5" t="str">
        <f>IFERROR(__xludf.DUMMYFUNCTION("GOOGLETRANSLATE(B20833,""en"",""zh-CN"")"),"将物质混合在一起，然后撒在面包上以制成三明治。")</f>
        <v>将物质混合在一起，然后撒在面包上以制成三明治。</v>
      </c>
    </row>
    <row r="20834">
      <c r="A20834" s="4" t="s">
        <v>26242</v>
      </c>
      <c r="B20834" s="4" t="s">
        <v>26243</v>
      </c>
      <c r="C20834" s="5" t="str">
        <f>IFERROR(__xludf.DUMMYFUNCTION("GOOGLETRANSLATE(B20834,""en"",""zh-CN"")"),"一个人在岩石旁边的墙上攀岩。")</f>
        <v>一个人在岩石旁边的墙上攀岩。</v>
      </c>
    </row>
    <row r="20835">
      <c r="A20835" s="4" t="s">
        <v>26242</v>
      </c>
      <c r="B20835" s="4" t="s">
        <v>26244</v>
      </c>
      <c r="C20835" s="5" t="str">
        <f>IFERROR(__xludf.DUMMYFUNCTION("GOOGLETRANSLATE(B20835,""en"",""zh-CN"")"),"他到达顶部，释放自己跌至底部。")</f>
        <v>他到达顶部，释放自己跌至底部。</v>
      </c>
    </row>
    <row r="20836">
      <c r="A20836" s="4" t="s">
        <v>26245</v>
      </c>
      <c r="B20836" s="4" t="s">
        <v>26246</v>
      </c>
      <c r="C20836" s="5" t="str">
        <f>IFERROR(__xludf.DUMMYFUNCTION("GOOGLETRANSLATE(B20836,""en"",""zh-CN"")"),"一个摄像头在湖泊区域周围竖起，并导致一个爬进皮划艇的人。")</f>
        <v>一个摄像头在湖泊区域周围竖起，并导致一个爬进皮划艇的人。</v>
      </c>
    </row>
    <row r="20837">
      <c r="A20837" s="4" t="s">
        <v>26245</v>
      </c>
      <c r="B20837" s="4" t="s">
        <v>26247</v>
      </c>
      <c r="C20837" s="5" t="str">
        <f>IFERROR(__xludf.DUMMYFUNCTION("GOOGLETRANSLATE(B20837,""en"",""zh-CN"")"),"然后，该人在桥下移动时开始沿着水划船。")</f>
        <v>然后，该人在桥下移动时开始沿着水划船。</v>
      </c>
    </row>
    <row r="20838">
      <c r="A20838" s="4" t="s">
        <v>26245</v>
      </c>
      <c r="B20838" s="4" t="s">
        <v>26248</v>
      </c>
      <c r="C20838" s="5" t="str">
        <f>IFERROR(__xludf.DUMMYFUNCTION("GOOGLETRANSLATE(B20838,""en"",""zh-CN"")"),"该人继续沿着水面划桨，抬头望着相机。")</f>
        <v>该人继续沿着水面划桨，抬头望着相机。</v>
      </c>
    </row>
    <row r="20839">
      <c r="A20839" s="4" t="s">
        <v>26249</v>
      </c>
      <c r="B20839" s="4" t="s">
        <v>26250</v>
      </c>
      <c r="C20839" s="5" t="str">
        <f>IFERROR(__xludf.DUMMYFUNCTION("GOOGLETRANSLATE(B20839,""en"",""zh-CN"")"),"女人在白色房间里摆姿势。")</f>
        <v>女人在白色房间里摆姿势。</v>
      </c>
    </row>
    <row r="20840">
      <c r="A20840" s="4" t="s">
        <v>26249</v>
      </c>
      <c r="B20840" s="4" t="s">
        <v>26251</v>
      </c>
      <c r="C20840" s="5" t="str">
        <f>IFERROR(__xludf.DUMMYFUNCTION("GOOGLETRANSLATE(B20840,""en"",""zh-CN"")"),"人站在WMOAN后面，用剪刀剪头发，模特摆姿势。")</f>
        <v>人站在WMOAN后面，用剪刀剪头发，模特摆姿势。</v>
      </c>
    </row>
    <row r="20841">
      <c r="A20841" s="4" t="s">
        <v>26252</v>
      </c>
      <c r="B20841" s="4" t="s">
        <v>26253</v>
      </c>
      <c r="C20841" s="5" t="str">
        <f>IFERROR(__xludf.DUMMYFUNCTION("GOOGLETRANSLATE(B20841,""en"",""zh-CN"")"),"一个腹部舞蹈服装的女人在战略上跳舞自己的身体。")</f>
        <v>一个腹部舞蹈服装的女人在战略上跳舞自己的身体。</v>
      </c>
    </row>
    <row r="20842">
      <c r="A20842" s="4" t="s">
        <v>26252</v>
      </c>
      <c r="B20842" s="4" t="s">
        <v>26254</v>
      </c>
      <c r="C20842" s="5" t="str">
        <f>IFERROR(__xludf.DUMMYFUNCTION("GOOGLETRANSLATE(B20842,""en"",""zh-CN"")"),"当她很快移动臀部时，她的手在空中移动。")</f>
        <v>当她很快移动臀部时，她的手在空中移动。</v>
      </c>
    </row>
    <row r="20843">
      <c r="A20843" s="4" t="s">
        <v>26252</v>
      </c>
      <c r="B20843" s="4" t="s">
        <v>26255</v>
      </c>
      <c r="C20843" s="5" t="str">
        <f>IFERROR(__xludf.DUMMYFUNCTION("GOOGLETRANSLATE(B20843,""en"",""zh-CN"")"),"她谈论自己对肚皮舞和东西的热爱。")</f>
        <v>她谈论自己对肚皮舞和东西的热爱。</v>
      </c>
    </row>
    <row r="20844">
      <c r="A20844" s="4" t="s">
        <v>26252</v>
      </c>
      <c r="B20844" s="4" t="s">
        <v>26256</v>
      </c>
      <c r="C20844" s="5" t="str">
        <f>IFERROR(__xludf.DUMMYFUNCTION("GOOGLETRANSLATE(B20844,""en"",""zh-CN"")"),"然后，您会看到她在外面跳舞的另一个紫色肚皮舞。")</f>
        <v>然后，您会看到她在外面跳舞的另一个紫色肚皮舞。</v>
      </c>
    </row>
    <row r="20845">
      <c r="A20845" s="4" t="s">
        <v>26257</v>
      </c>
      <c r="B20845" s="4" t="s">
        <v>26258</v>
      </c>
      <c r="C20845" s="5" t="str">
        <f>IFERROR(__xludf.DUMMYFUNCTION("GOOGLETRANSLATE(B20845,""en"",""zh-CN"")"),"一个男人正在用绿皮剥离土豆。")</f>
        <v>一个男人正在用绿皮剥离土豆。</v>
      </c>
    </row>
    <row r="20846">
      <c r="A20846" s="4" t="s">
        <v>26257</v>
      </c>
      <c r="B20846" s="4" t="s">
        <v>26259</v>
      </c>
      <c r="C20846" s="5" t="str">
        <f>IFERROR(__xludf.DUMMYFUNCTION("GOOGLETRANSLATE(B20846,""en"",""zh-CN"")"),"他再剥去了中间部分。")</f>
        <v>他再剥去了中间部分。</v>
      </c>
    </row>
    <row r="20847">
      <c r="A20847" s="4" t="s">
        <v>26257</v>
      </c>
      <c r="B20847" s="4" t="s">
        <v>26260</v>
      </c>
      <c r="C20847" s="5" t="str">
        <f>IFERROR(__xludf.DUMMYFUNCTION("GOOGLETRANSLATE(B20847,""en"",""zh-CN"")"),"将其扔到容器中。")</f>
        <v>将其扔到容器中。</v>
      </c>
    </row>
    <row r="20848">
      <c r="A20848" s="4" t="s">
        <v>26261</v>
      </c>
      <c r="B20848" s="4" t="s">
        <v>26262</v>
      </c>
      <c r="C20848" s="5" t="str">
        <f>IFERROR(__xludf.DUMMYFUNCTION("GOOGLETRANSLATE(B20848,""en"",""zh-CN"")"),"看到一个人握住一根棍子，然后有几个人扔标枪。")</f>
        <v>看到一个人握住一根棍子，然后有几个人扔标枪。</v>
      </c>
    </row>
    <row r="20849">
      <c r="A20849" s="4" t="s">
        <v>26261</v>
      </c>
      <c r="B20849" s="6" t="s">
        <v>26263</v>
      </c>
      <c r="C20849" s="5" t="str">
        <f>IFERROR(__xludf.DUMMYFUNCTION("GOOGLETRANSLATE(B20849,""en"",""zh-CN"")"),"进一步的射门显示了更多的镜头，每次投掷后每次都尖叫着，扔出标枪的距离很大。")</f>
        <v>进一步的射门显示了更多的镜头，每次投掷后每次都尖叫着，扔出标枪的距离很大。</v>
      </c>
    </row>
    <row r="20850">
      <c r="A20850" s="4" t="s">
        <v>26264</v>
      </c>
      <c r="B20850" s="4" t="s">
        <v>26265</v>
      </c>
      <c r="C20850" s="5" t="str">
        <f>IFERROR(__xludf.DUMMYFUNCTION("GOOGLETRANSLATE(B20850,""en"",""zh-CN"")"),"一个男人坐在椅子上。")</f>
        <v>一个男人坐在椅子上。</v>
      </c>
    </row>
    <row r="20851">
      <c r="A20851" s="4" t="s">
        <v>26264</v>
      </c>
      <c r="B20851" s="4" t="s">
        <v>26266</v>
      </c>
      <c r="C20851" s="5" t="str">
        <f>IFERROR(__xludf.DUMMYFUNCTION("GOOGLETRANSLATE(B20851,""en"",""zh-CN"")"),"他的手臂上有纹身。")</f>
        <v>他的手臂上有纹身。</v>
      </c>
    </row>
    <row r="20852">
      <c r="A20852" s="4" t="s">
        <v>26264</v>
      </c>
      <c r="B20852" s="4" t="s">
        <v>26267</v>
      </c>
      <c r="C20852" s="5" t="str">
        <f>IFERROR(__xludf.DUMMYFUNCTION("GOOGLETRANSLATE(B20852,""en"",""zh-CN"")"),"一个男人看着他得到纹身。")</f>
        <v>一个男人看着他得到纹身。</v>
      </c>
    </row>
    <row r="20853">
      <c r="A20853" s="4" t="s">
        <v>26264</v>
      </c>
      <c r="B20853" s="4" t="s">
        <v>26268</v>
      </c>
      <c r="C20853" s="5" t="str">
        <f>IFERROR(__xludf.DUMMYFUNCTION("GOOGLETRANSLATE(B20853,""en"",""zh-CN"")"),"他用萨兰包裹了纹身包裹。")</f>
        <v>他用萨兰包裹了纹身包裹。</v>
      </c>
    </row>
    <row r="20854">
      <c r="A20854" s="4" t="s">
        <v>26269</v>
      </c>
      <c r="B20854" s="4" t="s">
        <v>26270</v>
      </c>
      <c r="C20854" s="5" t="str">
        <f>IFERROR(__xludf.DUMMYFUNCTION("GOOGLETRANSLATE(B20854,""en"",""zh-CN"")"),"摄像头从道路上晃动，显示一个人的脚四处走动。")</f>
        <v>摄像头从道路上晃动，显示一个人的脚四处走动。</v>
      </c>
    </row>
    <row r="20855">
      <c r="A20855" s="4" t="s">
        <v>26269</v>
      </c>
      <c r="B20855" s="4" t="s">
        <v>26271</v>
      </c>
      <c r="C20855" s="5" t="str">
        <f>IFERROR(__xludf.DUMMYFUNCTION("GOOGLETRANSLATE(B20855,""en"",""zh-CN"")"),"显示了几张人绑鞋，打个纽扣并检查手表的几张照片。")</f>
        <v>显示了几张人绑鞋，打个纽扣并检查手表的几张照片。</v>
      </c>
    </row>
    <row r="20856">
      <c r="A20856" s="4" t="s">
        <v>26269</v>
      </c>
      <c r="B20856" s="4" t="s">
        <v>26272</v>
      </c>
      <c r="C20856" s="5" t="str">
        <f>IFERROR(__xludf.DUMMYFUNCTION("GOOGLETRANSLATE(B20856,""en"",""zh-CN"")"),"然后看到人们一次沿着道路奔跑，然后再进行更多跟随。")</f>
        <v>然后看到人们一次沿着道路奔跑，然后再进行更多跟随。</v>
      </c>
    </row>
    <row r="20857">
      <c r="A20857" s="4" t="s">
        <v>26273</v>
      </c>
      <c r="B20857" s="6" t="s">
        <v>26274</v>
      </c>
      <c r="C20857" s="5" t="str">
        <f>IFERROR(__xludf.DUMMYFUNCTION("GOOGLETRANSLATE(B20857,""en"",""zh-CN"")"),"显示了几张赌场的镜头，其中包括扑克桌的特写和坐在桌子旁的人们。")</f>
        <v>显示了几张赌场的镜头，其中包括扑克桌的特写和坐在桌子旁的人们。</v>
      </c>
    </row>
    <row r="20858">
      <c r="A20858" s="4" t="s">
        <v>26273</v>
      </c>
      <c r="B20858" s="6" t="s">
        <v>26275</v>
      </c>
      <c r="C20858" s="5" t="str">
        <f>IFERROR(__xludf.DUMMYFUNCTION("GOOGLETRANSLATE(B20858,""en"",""zh-CN"")"),"在扭转局面时，经销商交易卡片和观众做出反应的镜头都显示了许多镜头。")</f>
        <v>在扭转局面时，经销商交易卡片和观众做出反应的镜头都显示了许多镜头。</v>
      </c>
    </row>
    <row r="20859">
      <c r="A20859" s="4" t="s">
        <v>26276</v>
      </c>
      <c r="B20859" s="4" t="s">
        <v>26277</v>
      </c>
      <c r="C20859" s="5" t="str">
        <f>IFERROR(__xludf.DUMMYFUNCTION("GOOGLETRANSLATE(B20859,""en"",""zh-CN"")"),"一个人在山上滑雪。")</f>
        <v>一个人在山上滑雪。</v>
      </c>
    </row>
    <row r="20860">
      <c r="A20860" s="4" t="s">
        <v>26276</v>
      </c>
      <c r="B20860" s="4" t="s">
        <v>26278</v>
      </c>
      <c r="C20860" s="5" t="str">
        <f>IFERROR(__xludf.DUMMYFUNCTION("GOOGLETRANSLATE(B20860,""en"",""zh-CN"")"),"有一条通往山和椅子的道路蒙太奇。")</f>
        <v>有一条通往山和椅子的道路蒙太奇。</v>
      </c>
    </row>
    <row r="20861">
      <c r="A20861" s="4" t="s">
        <v>26276</v>
      </c>
      <c r="B20861" s="4" t="s">
        <v>26279</v>
      </c>
      <c r="C20861" s="5" t="str">
        <f>IFERROR(__xludf.DUMMYFUNCTION("GOOGLETRANSLATE(B20861,""en"",""zh-CN"")"),"人们跳上坡道和半管。")</f>
        <v>人们跳上坡道和半管。</v>
      </c>
    </row>
    <row r="20862">
      <c r="A20862" s="4" t="s">
        <v>26280</v>
      </c>
      <c r="B20862" s="4" t="s">
        <v>26281</v>
      </c>
      <c r="C20862" s="5" t="str">
        <f>IFERROR(__xludf.DUMMYFUNCTION("GOOGLETRANSLATE(B20862,""en"",""zh-CN"")"),"文字介绍导致摔跤手猛烈地击中了另一个摔跤手。")</f>
        <v>文字介绍导致摔跤手猛烈地击中了另一个摔跤手。</v>
      </c>
    </row>
    <row r="20863">
      <c r="A20863" s="4" t="s">
        <v>26280</v>
      </c>
      <c r="B20863" s="4" t="s">
        <v>26282</v>
      </c>
      <c r="C20863" s="5" t="str">
        <f>IFERROR(__xludf.DUMMYFUNCTION("GOOGLETRANSLATE(B20863,""en"",""zh-CN"")"),"该视频继续进行，该男子钉在摔跤手中的更多镜头。")</f>
        <v>该视频继续进行，该男子钉在摔跤手中的更多镜头。</v>
      </c>
    </row>
    <row r="20864">
      <c r="A20864" s="4" t="s">
        <v>26280</v>
      </c>
      <c r="B20864" s="4" t="s">
        <v>26283</v>
      </c>
      <c r="C20864" s="5" t="str">
        <f>IFERROR(__xludf.DUMMYFUNCTION("GOOGLETRANSLATE(B20864,""en"",""zh-CN"")"),"显示了更多镜头，并以订阅选项结束。")</f>
        <v>显示了更多镜头，并以订阅选项结束。</v>
      </c>
    </row>
    <row r="20865">
      <c r="A20865" s="4" t="s">
        <v>26284</v>
      </c>
      <c r="B20865" s="4" t="s">
        <v>26285</v>
      </c>
      <c r="C20865" s="5" t="str">
        <f>IFERROR(__xludf.DUMMYFUNCTION("GOOGLETRANSLATE(B20865,""en"",""zh-CN"")"),"穿着棕色衬衫的男人正在和镜头说话。")</f>
        <v>穿着棕色衬衫的男人正在和镜头说话。</v>
      </c>
    </row>
    <row r="20866">
      <c r="A20866" s="4" t="s">
        <v>26284</v>
      </c>
      <c r="B20866" s="4" t="s">
        <v>26286</v>
      </c>
      <c r="C20866" s="5" t="str">
        <f>IFERROR(__xludf.DUMMYFUNCTION("GOOGLETRANSLATE(B20866,""en"",""zh-CN"")"),"该男子用长杆将工具放在地毯上。")</f>
        <v>该男子用长杆将工具放在地毯上。</v>
      </c>
    </row>
    <row r="20867">
      <c r="A20867" s="4" t="s">
        <v>26284</v>
      </c>
      <c r="B20867" s="4" t="s">
        <v>26287</v>
      </c>
      <c r="C20867" s="5" t="str">
        <f>IFERROR(__xludf.DUMMYFUNCTION("GOOGLETRANSLATE(B20867,""en"",""zh-CN"")"),"该男子用担架将地毯上的地毯弄平。")</f>
        <v>该男子用担架将地毯上的地毯弄平。</v>
      </c>
    </row>
    <row r="20868">
      <c r="A20868" s="4" t="s">
        <v>26288</v>
      </c>
      <c r="B20868" s="4" t="s">
        <v>26289</v>
      </c>
      <c r="C20868" s="5" t="str">
        <f>IFERROR(__xludf.DUMMYFUNCTION("GOOGLETRANSLATE(B20868,""en"",""zh-CN"")"),"我们在公共汽车上看到一家商店，地图和人们。")</f>
        <v>我们在公共汽车上看到一家商店，地图和人们。</v>
      </c>
    </row>
    <row r="20869">
      <c r="A20869" s="4" t="s">
        <v>26288</v>
      </c>
      <c r="B20869" s="4" t="s">
        <v>26290</v>
      </c>
      <c r="C20869" s="5" t="str">
        <f>IFERROR(__xludf.DUMMYFUNCTION("GOOGLETRANSLATE(B20869,""en"",""zh-CN"")"),"我们在海滩上看到人们。")</f>
        <v>我们在海滩上看到人们。</v>
      </c>
    </row>
    <row r="20870">
      <c r="A20870" s="4" t="s">
        <v>26288</v>
      </c>
      <c r="B20870" s="4" t="s">
        <v>26291</v>
      </c>
      <c r="C20870" s="5" t="str">
        <f>IFERROR(__xludf.DUMMYFUNCTION("GOOGLETRANSLATE(B20870,""en"",""zh-CN"")"),"我们看到湖中的人和木筏。")</f>
        <v>我们看到湖中的人和木筏。</v>
      </c>
    </row>
    <row r="20871">
      <c r="A20871" s="4" t="s">
        <v>26288</v>
      </c>
      <c r="B20871" s="4" t="s">
        <v>26292</v>
      </c>
      <c r="C20871" s="5" t="str">
        <f>IFERROR(__xludf.DUMMYFUNCTION("GOOGLETRANSLATE(B20871,""en"",""zh-CN"")"),"我们在筏子上看到一只狗。")</f>
        <v>我们在筏子上看到一只狗。</v>
      </c>
    </row>
    <row r="20872">
      <c r="A20872" s="4" t="s">
        <v>26288</v>
      </c>
      <c r="B20872" s="4" t="s">
        <v>26293</v>
      </c>
      <c r="C20872" s="5" t="str">
        <f>IFERROR(__xludf.DUMMYFUNCTION("GOOGLETRANSLATE(B20872,""en"",""zh-CN"")"),"我们看到一个人在划船。")</f>
        <v>我们看到一个人在划船。</v>
      </c>
    </row>
    <row r="20873">
      <c r="A20873" s="4" t="s">
        <v>26288</v>
      </c>
      <c r="B20873" s="4" t="s">
        <v>26294</v>
      </c>
      <c r="C20873" s="5" t="str">
        <f>IFERROR(__xludf.DUMMYFUNCTION("GOOGLETRANSLATE(B20873,""en"",""zh-CN"")"),"我们看到一只狗在河里游泳。")</f>
        <v>我们看到一只狗在河里游泳。</v>
      </c>
    </row>
    <row r="20874">
      <c r="A20874" s="4" t="s">
        <v>26288</v>
      </c>
      <c r="B20874" s="4" t="s">
        <v>26295</v>
      </c>
      <c r="C20874" s="5" t="str">
        <f>IFERROR(__xludf.DUMMYFUNCTION("GOOGLETRANSLATE(B20874,""en"",""zh-CN"")"),"我们以蓝色看到结尾屏幕。")</f>
        <v>我们以蓝色看到结尾屏幕。</v>
      </c>
    </row>
    <row r="20875">
      <c r="A20875" s="4" t="s">
        <v>26296</v>
      </c>
      <c r="B20875" s="4" t="s">
        <v>26297</v>
      </c>
      <c r="C20875" s="5" t="str">
        <f>IFERROR(__xludf.DUMMYFUNCTION("GOOGLETRANSLATE(B20875,""en"",""zh-CN"")"),"一个男人正在溜冰冰球溜冰场，然后实现目标。")</f>
        <v>一个男人正在溜冰冰球溜冰场，然后实现目标。</v>
      </c>
    </row>
    <row r="20876">
      <c r="A20876" s="4" t="s">
        <v>26296</v>
      </c>
      <c r="B20876" s="4" t="s">
        <v>26298</v>
      </c>
      <c r="C20876" s="5" t="str">
        <f>IFERROR(__xludf.DUMMYFUNCTION("GOOGLETRANSLATE(B20876,""en"",""zh-CN"")"),"他射击并提出一个观点，人群欢呼。")</f>
        <v>他射击并提出一个观点，人群欢呼。</v>
      </c>
    </row>
    <row r="20877">
      <c r="A20877" s="4" t="s">
        <v>26296</v>
      </c>
      <c r="B20877" s="4" t="s">
        <v>26299</v>
      </c>
      <c r="C20877" s="5" t="str">
        <f>IFERROR(__xludf.DUMMYFUNCTION("GOOGLETRANSLATE(B20877,""en"",""zh-CN"")"),"他提出了另一点，人群欢呼。")</f>
        <v>他提出了另一点，人群欢呼。</v>
      </c>
    </row>
    <row r="20878">
      <c r="A20878" s="4" t="s">
        <v>26296</v>
      </c>
      <c r="B20878" s="4" t="s">
        <v>26300</v>
      </c>
      <c r="C20878" s="5" t="str">
        <f>IFERROR(__xludf.DUMMYFUNCTION("GOOGLETRANSLATE(B20878,""en"",""zh-CN"")"),"一群黄色球衣冲向冰上，祝贺他。")</f>
        <v>一群黄色球衣冲向冰上，祝贺他。</v>
      </c>
    </row>
    <row r="20879">
      <c r="A20879" s="4" t="s">
        <v>26296</v>
      </c>
      <c r="B20879" s="4" t="s">
        <v>26301</v>
      </c>
      <c r="C20879" s="5" t="str">
        <f>IFERROR(__xludf.DUMMYFUNCTION("GOOGLETRANSLATE(B20879,""en"",""zh-CN"")"),"当一个穿着西装的男人离开他们时，他们排在球场上。")</f>
        <v>当一个穿着西装的男人离开他们时，他们排在球场上。</v>
      </c>
    </row>
    <row r="20880">
      <c r="A20880" s="4" t="s">
        <v>26296</v>
      </c>
      <c r="B20880" s="4" t="s">
        <v>26302</v>
      </c>
      <c r="C20880" s="5" t="str">
        <f>IFERROR(__xludf.DUMMYFUNCTION("GOOGLETRANSLATE(B20880,""en"",""zh-CN"")"),"穿着西装的男人停下脚步并与另一个男人交谈。")</f>
        <v>穿着西装的男人停下脚步并与另一个男人交谈。</v>
      </c>
    </row>
    <row r="20881">
      <c r="A20881" s="4" t="s">
        <v>26296</v>
      </c>
      <c r="B20881" s="4" t="s">
        <v>26303</v>
      </c>
      <c r="C20881" s="5" t="str">
        <f>IFERROR(__xludf.DUMMYFUNCTION("GOOGLETRANSLATE(B20881,""en"",""zh-CN"")"),"他挥舞着向球员走来走去。")</f>
        <v>他挥舞着向球员走来走去。</v>
      </c>
    </row>
    <row r="20882">
      <c r="A20882" s="4" t="s">
        <v>26296</v>
      </c>
      <c r="B20882" s="4" t="s">
        <v>26304</v>
      </c>
      <c r="C20882" s="5" t="str">
        <f>IFERROR(__xludf.DUMMYFUNCTION("GOOGLETRANSLATE(B20882,""en"",""zh-CN"")"),"团队向人民滑冰。")</f>
        <v>团队向人民滑冰。</v>
      </c>
    </row>
    <row r="20883">
      <c r="A20883" s="4" t="s">
        <v>26296</v>
      </c>
      <c r="B20883" s="4" t="s">
        <v>26305</v>
      </c>
      <c r="C20883" s="5" t="str">
        <f>IFERROR(__xludf.DUMMYFUNCTION("GOOGLETRANSLATE(B20883,""en"",""zh-CN"")"),"他们滑过冰，一个人站在看台上，举起奖杯。")</f>
        <v>他们滑过冰，一个人站在看台上，举起奖杯。</v>
      </c>
    </row>
    <row r="20884">
      <c r="A20884" s="4" t="s">
        <v>26306</v>
      </c>
      <c r="B20884" s="4" t="s">
        <v>26307</v>
      </c>
      <c r="C20884" s="5" t="str">
        <f>IFERROR(__xludf.DUMMYFUNCTION("GOOGLETRANSLATE(B20884,""en"",""zh-CN"")"),"一大批人在舞池上成对跳舞。")</f>
        <v>一大批人在舞池上成对跳舞。</v>
      </c>
    </row>
    <row r="20885">
      <c r="A20885" s="4" t="s">
        <v>26306</v>
      </c>
      <c r="B20885" s="4" t="s">
        <v>26308</v>
      </c>
      <c r="C20885" s="5" t="str">
        <f>IFERROR(__xludf.DUMMYFUNCTION("GOOGLETRANSLATE(B20885,""en"",""zh-CN"")"),"人们从舞池周围的桌子上看。")</f>
        <v>人们从舞池周围的桌子上看。</v>
      </c>
    </row>
    <row r="20886">
      <c r="A20886" s="4" t="s">
        <v>26306</v>
      </c>
      <c r="B20886" s="4" t="s">
        <v>26309</v>
      </c>
      <c r="C20886" s="5" t="str">
        <f>IFERROR(__xludf.DUMMYFUNCTION("GOOGLETRANSLATE(B20886,""en"",""zh-CN"")"),"一个带有麦克风的人站在舞池上。")</f>
        <v>一个带有麦克风的人站在舞池上。</v>
      </c>
    </row>
    <row r="20887">
      <c r="A20887" s="4" t="s">
        <v>26310</v>
      </c>
      <c r="B20887" s="4" t="s">
        <v>26311</v>
      </c>
      <c r="C20887" s="5" t="str">
        <f>IFERROR(__xludf.DUMMYFUNCTION("GOOGLETRANSLATE(B20887,""en"",""zh-CN"")"),"看到一个戴着帽子的男人戴上手套，并在一些高大的草丛中启动一台机器。")</f>
        <v>看到一个戴着帽子的男人戴上手套，并在一些高大的草丛中启动一台机器。</v>
      </c>
    </row>
    <row r="20888">
      <c r="A20888" s="4" t="s">
        <v>26310</v>
      </c>
      <c r="B20888" s="4" t="s">
        <v>26312</v>
      </c>
      <c r="C20888" s="5" t="str">
        <f>IFERROR(__xludf.DUMMYFUNCTION("GOOGLETRANSLATE(B20888,""en"",""zh-CN"")"),"然后，该男子沿着草地将机器移动以切下。")</f>
        <v>然后，该男子沿着草地将机器移动以切下。</v>
      </c>
    </row>
    <row r="20889">
      <c r="A20889" s="4" t="s">
        <v>26310</v>
      </c>
      <c r="B20889" s="4" t="s">
        <v>26313</v>
      </c>
      <c r="C20889" s="5" t="str">
        <f>IFERROR(__xludf.DUMMYFUNCTION("GOOGLETRANSLATE(B20889,""en"",""zh-CN"")"),"他停了一会儿，与镜头说话，举起双手。")</f>
        <v>他停了一会儿，与镜头说话，举起双手。</v>
      </c>
    </row>
    <row r="20890">
      <c r="A20890" s="4" t="s">
        <v>26314</v>
      </c>
      <c r="B20890" s="4" t="s">
        <v>26315</v>
      </c>
      <c r="C20890" s="5" t="str">
        <f>IFERROR(__xludf.DUMMYFUNCTION("GOOGLETRANSLATE(B20890,""en"",""zh-CN"")"),"一根棍子从地上握住。")</f>
        <v>一根棍子从地上握住。</v>
      </c>
    </row>
    <row r="20891">
      <c r="A20891" s="4" t="s">
        <v>26314</v>
      </c>
      <c r="B20891" s="4" t="s">
        <v>26316</v>
      </c>
      <c r="C20891" s="5" t="str">
        <f>IFERROR(__xludf.DUMMYFUNCTION("GOOGLETRANSLATE(B20891,""en"",""zh-CN"")"),"一个人用炸丸子蝙蝠击球，然后将其放回地。")</f>
        <v>一个人用炸丸子蝙蝠击球，然后将其放回地。</v>
      </c>
    </row>
    <row r="20892">
      <c r="A20892" s="4" t="s">
        <v>26317</v>
      </c>
      <c r="B20892" s="4" t="s">
        <v>26318</v>
      </c>
      <c r="C20892" s="5" t="str">
        <f>IFERROR(__xludf.DUMMYFUNCTION("GOOGLETRANSLATE(B20892,""en"",""zh-CN"")"),"一个女人坐在地板上，谈论真空吸尘器。")</f>
        <v>一个女人坐在地板上，谈论真空吸尘器。</v>
      </c>
    </row>
    <row r="20893">
      <c r="A20893" s="4" t="s">
        <v>26317</v>
      </c>
      <c r="B20893" s="4" t="s">
        <v>26319</v>
      </c>
      <c r="C20893" s="5" t="str">
        <f>IFERROR(__xludf.DUMMYFUNCTION("GOOGLETRANSLATE(B20893,""en"",""zh-CN"")"),"她演示了如何将粉末涂在地毯上，然后将其吸尘。")</f>
        <v>她演示了如何将粉末涂在地毯上，然后将其吸尘。</v>
      </c>
    </row>
    <row r="20894">
      <c r="A20894" s="4" t="s">
        <v>26317</v>
      </c>
      <c r="B20894" s="4" t="s">
        <v>26320</v>
      </c>
      <c r="C20894" s="5" t="str">
        <f>IFERROR(__xludf.DUMMYFUNCTION("GOOGLETRANSLATE(B20894,""en"",""zh-CN"")"),"然后，她展示了如何清理真空以及机器的机制。")</f>
        <v>然后，她展示了如何清理真空以及机器的机制。</v>
      </c>
    </row>
    <row r="20895">
      <c r="A20895" s="4" t="s">
        <v>26321</v>
      </c>
      <c r="B20895" s="4" t="s">
        <v>26322</v>
      </c>
      <c r="C20895" s="5" t="str">
        <f>IFERROR(__xludf.DUMMYFUNCTION("GOOGLETRANSLATE(B20895,""en"",""zh-CN"")"),"一群人在房子里。")</f>
        <v>一群人在房子里。</v>
      </c>
    </row>
    <row r="20896">
      <c r="A20896" s="4" t="s">
        <v>26321</v>
      </c>
      <c r="B20896" s="4" t="s">
        <v>26323</v>
      </c>
      <c r="C20896" s="5" t="str">
        <f>IFERROR(__xludf.DUMMYFUNCTION("GOOGLETRANSLATE(B20896,""en"",""zh-CN"")"),"一个男人用拖把擦地板。")</f>
        <v>一个男人用拖把擦地板。</v>
      </c>
    </row>
    <row r="20897">
      <c r="A20897" s="4" t="s">
        <v>26321</v>
      </c>
      <c r="B20897" s="4" t="s">
        <v>26324</v>
      </c>
      <c r="C20897" s="5" t="str">
        <f>IFERROR(__xludf.DUMMYFUNCTION("GOOGLETRANSLATE(B20897,""en"",""zh-CN"")"),"另一个男孩试图走过他要擦的地方。")</f>
        <v>另一个男孩试图走过他要擦的地方。</v>
      </c>
    </row>
    <row r="20898">
      <c r="A20898" s="4" t="s">
        <v>26321</v>
      </c>
      <c r="B20898" s="4" t="s">
        <v>26325</v>
      </c>
      <c r="C20898" s="5" t="str">
        <f>IFERROR(__xludf.DUMMYFUNCTION("GOOGLETRANSLATE(B20898,""en"",""zh-CN"")"),"该男子喝了一杯啤酒，向相机投诉。")</f>
        <v>该男子喝了一杯啤酒，向相机投诉。</v>
      </c>
    </row>
    <row r="20899">
      <c r="A20899" s="4" t="s">
        <v>26321</v>
      </c>
      <c r="B20899" s="4" t="s">
        <v>26326</v>
      </c>
      <c r="C20899" s="5" t="str">
        <f>IFERROR(__xludf.DUMMYFUNCTION("GOOGLETRANSLATE(B20899,""en"",""zh-CN"")"),"他在人之间的房间里拖着房间。")</f>
        <v>他在人之间的房间里拖着房间。</v>
      </c>
    </row>
    <row r="20900">
      <c r="A20900" s="4" t="s">
        <v>26321</v>
      </c>
      <c r="B20900" s="4" t="s">
        <v>26327</v>
      </c>
      <c r="C20900" s="5" t="str">
        <f>IFERROR(__xludf.DUMMYFUNCTION("GOOGLETRANSLATE(B20900,""en"",""zh-CN"")"),"他停止擦s，并与镜头说话。")</f>
        <v>他停止擦s，并与镜头说话。</v>
      </c>
    </row>
    <row r="20901">
      <c r="A20901" s="4" t="s">
        <v>26328</v>
      </c>
      <c r="B20901" s="4" t="s">
        <v>26329</v>
      </c>
      <c r="C20901" s="5" t="str">
        <f>IFERROR(__xludf.DUMMYFUNCTION("GOOGLETRANSLATE(B20901,""en"",""zh-CN"")"),"地球仪在其面前写作。")</f>
        <v>地球仪在其面前写作。</v>
      </c>
    </row>
    <row r="20902">
      <c r="A20902" s="4" t="s">
        <v>26328</v>
      </c>
      <c r="B20902" s="4" t="s">
        <v>26330</v>
      </c>
      <c r="C20902" s="5" t="str">
        <f>IFERROR(__xludf.DUMMYFUNCTION("GOOGLETRANSLATE(B20902,""en"",""zh-CN"")"),"一个人把保龄球扔进了各种销钉。")</f>
        <v>一个人把保龄球扔进了各种销钉。</v>
      </c>
    </row>
    <row r="20903">
      <c r="A20903" s="4" t="s">
        <v>26328</v>
      </c>
      <c r="B20903" s="4" t="s">
        <v>26331</v>
      </c>
      <c r="C20903" s="5" t="str">
        <f>IFERROR(__xludf.DUMMYFUNCTION("GOOGLETRANSLATE(B20903,""en"",""zh-CN"")"),"他从蹦床中弹起它，并将销钉击倒。")</f>
        <v>他从蹦床中弹起它，并将销钉击倒。</v>
      </c>
    </row>
    <row r="20904">
      <c r="A20904" s="4" t="s">
        <v>26328</v>
      </c>
      <c r="B20904" s="4" t="s">
        <v>26332</v>
      </c>
      <c r="C20904" s="5" t="str">
        <f>IFERROR(__xludf.DUMMYFUNCTION("GOOGLETRANSLATE(B20904,""en"",""zh-CN"")"),"将保龄球从桥上投掷。")</f>
        <v>将保龄球从桥上投掷。</v>
      </c>
    </row>
    <row r="20905">
      <c r="A20905" s="4" t="s">
        <v>26328</v>
      </c>
      <c r="B20905" s="4" t="s">
        <v>26333</v>
      </c>
      <c r="C20905" s="5" t="str">
        <f>IFERROR(__xludf.DUMMYFUNCTION("GOOGLETRANSLATE(B20905,""en"",""zh-CN"")"),"一个女人把球扔向别针。")</f>
        <v>一个女人把球扔向别针。</v>
      </c>
    </row>
    <row r="20906">
      <c r="A20906" s="4" t="s">
        <v>26328</v>
      </c>
      <c r="B20906" s="4" t="s">
        <v>26334</v>
      </c>
      <c r="C20906" s="5" t="str">
        <f>IFERROR(__xludf.DUMMYFUNCTION("GOOGLETRANSLATE(B20906,""en"",""zh-CN"")"),"一个男人抓住保龄球并将其扔给别针。")</f>
        <v>一个男人抓住保龄球并将其扔给别针。</v>
      </c>
    </row>
    <row r="20907">
      <c r="A20907" s="4" t="s">
        <v>26328</v>
      </c>
      <c r="B20907" s="4" t="s">
        <v>26335</v>
      </c>
      <c r="C20907" s="5" t="str">
        <f>IFERROR(__xludf.DUMMYFUNCTION("GOOGLETRANSLATE(B20907,""en"",""zh-CN"")"),"一个男人从汽车上弹跳并撞到别针。")</f>
        <v>一个男人从汽车上弹跳并撞到别针。</v>
      </c>
    </row>
    <row r="20908">
      <c r="A20908" s="4" t="s">
        <v>26328</v>
      </c>
      <c r="B20908" s="4" t="s">
        <v>26336</v>
      </c>
      <c r="C20908" s="5" t="str">
        <f>IFERROR(__xludf.DUMMYFUNCTION("GOOGLETRANSLATE(B20908,""en"",""zh-CN"")"),"显示了另一个蹦床技巧。")</f>
        <v>显示了另一个蹦床技巧。</v>
      </c>
    </row>
    <row r="20909">
      <c r="A20909" s="4" t="s">
        <v>26328</v>
      </c>
      <c r="B20909" s="4" t="s">
        <v>26337</v>
      </c>
      <c r="C20909" s="5" t="str">
        <f>IFERROR(__xludf.DUMMYFUNCTION("GOOGLETRANSLATE(B20909,""en"",""zh-CN"")"),"一个人将保龄球扔下滑梯，一个人在底部抓住它。")</f>
        <v>一个人将保龄球扔下滑梯，一个人在底部抓住它。</v>
      </c>
    </row>
    <row r="20910">
      <c r="A20910" s="4" t="s">
        <v>26328</v>
      </c>
      <c r="B20910" s="4" t="s">
        <v>26338</v>
      </c>
      <c r="C20910" s="5" t="str">
        <f>IFERROR(__xludf.DUMMYFUNCTION("GOOGLETRANSLATE(B20910,""en"",""zh-CN"")"),"一个人把保龄球扔在山上，然后向下滚下来并击中销钉。")</f>
        <v>一个人把保龄球扔在山上，然后向下滚下来并击中销钉。</v>
      </c>
    </row>
    <row r="20911">
      <c r="A20911" s="4" t="s">
        <v>26328</v>
      </c>
      <c r="B20911" s="4" t="s">
        <v>26339</v>
      </c>
      <c r="C20911" s="5" t="str">
        <f>IFERROR(__xludf.DUMMYFUNCTION("GOOGLETRANSLATE(B20911,""en"",""zh-CN"")"),"两名男子从蹦床上弹起球击中销钉。")</f>
        <v>两名男子从蹦床上弹起球击中销钉。</v>
      </c>
    </row>
    <row r="20912">
      <c r="A20912" s="4" t="s">
        <v>26328</v>
      </c>
      <c r="B20912" s="4" t="s">
        <v>26340</v>
      </c>
      <c r="C20912" s="5" t="str">
        <f>IFERROR(__xludf.DUMMYFUNCTION("GOOGLETRANSLATE(B20912,""en"",""zh-CN"")"),"一辆遥控汽车驱动保龄球击中销钉。")</f>
        <v>一辆遥控汽车驱动保龄球击中销钉。</v>
      </c>
    </row>
    <row r="20913">
      <c r="A20913" s="4" t="s">
        <v>26328</v>
      </c>
      <c r="B20913" s="4" t="s">
        <v>26341</v>
      </c>
      <c r="C20913" s="5" t="str">
        <f>IFERROR(__xludf.DUMMYFUNCTION("GOOGLETRANSLATE(B20913,""en"",""zh-CN"")"),"两名男子击倒销钉后，有两个高五人。")</f>
        <v>两名男子击倒销钉后，有两个高五人。</v>
      </c>
    </row>
    <row r="20914">
      <c r="A20914" s="4" t="s">
        <v>26328</v>
      </c>
      <c r="B20914" s="4" t="s">
        <v>26342</v>
      </c>
      <c r="C20914" s="5" t="str">
        <f>IFERROR(__xludf.DUMMYFUNCTION("GOOGLETRANSLATE(B20914,""en"",""zh-CN"")"),"一个站在建筑物顶部的人将一个球扔下并击中销钉。")</f>
        <v>一个站在建筑物顶部的人将一个球扔下并击中销钉。</v>
      </c>
    </row>
    <row r="20915">
      <c r="A20915" s="4" t="s">
        <v>26343</v>
      </c>
      <c r="B20915" s="4" t="s">
        <v>26344</v>
      </c>
      <c r="C20915" s="5" t="str">
        <f>IFERROR(__xludf.DUMMYFUNCTION("GOOGLETRANSLATE(B20915,""en"",""zh-CN"")"),"两名舞者在地板中央跳舞，没有很多人看着。")</f>
        <v>两名舞者在地板中央跳舞，没有很多人看着。</v>
      </c>
    </row>
    <row r="20916">
      <c r="A20916" s="4" t="s">
        <v>26343</v>
      </c>
      <c r="B20916" s="6" t="s">
        <v>26345</v>
      </c>
      <c r="C20916" s="5" t="str">
        <f>IFERROR(__xludf.DUMMYFUNCTION("GOOGLETRANSLATE(B20916,""en"",""zh-CN"")"),"他们都穿着黑色的装饰，他们以许多不同的方式转动警棍，音乐正在播放。")</f>
        <v>他们都穿着黑色的装饰，他们以许多不同的方式转动警棍，音乐正在播放。</v>
      </c>
    </row>
    <row r="20917">
      <c r="A20917" s="4" t="s">
        <v>26343</v>
      </c>
      <c r="B20917" s="4" t="s">
        <v>26346</v>
      </c>
      <c r="C20917" s="5" t="str">
        <f>IFERROR(__xludf.DUMMYFUNCTION("GOOGLETRANSLATE(B20917,""en"",""zh-CN"")"),"许多人在欢呼，有些人站着，有些人坐着。")</f>
        <v>许多人在欢呼，有些人站着，有些人坐着。</v>
      </c>
    </row>
    <row r="20918">
      <c r="A20918" s="4" t="s">
        <v>26347</v>
      </c>
      <c r="B20918" s="4" t="s">
        <v>26348</v>
      </c>
      <c r="C20918" s="5" t="str">
        <f>IFERROR(__xludf.DUMMYFUNCTION("GOOGLETRANSLATE(B20918,""en"",""zh-CN"")"),"两个男孩和两个女孩竞争啤酒乒乓球，而其他人看着。")</f>
        <v>两个男孩和两个女孩竞争啤酒乒乓球，而其他人看着。</v>
      </c>
    </row>
    <row r="20919">
      <c r="A20919" s="4" t="s">
        <v>26347</v>
      </c>
      <c r="B20919" s="4" t="s">
        <v>26349</v>
      </c>
      <c r="C20919" s="5" t="str">
        <f>IFERROR(__xludf.DUMMYFUNCTION("GOOGLETRANSLATE(B20919,""en"",""zh-CN"")"),"男孩们几乎所有的球都落在杯赛中，只错过了一个球。")</f>
        <v>男孩们几乎所有的球都落在杯赛中，只错过了一个球。</v>
      </c>
    </row>
    <row r="20920">
      <c r="A20920" s="4" t="s">
        <v>26347</v>
      </c>
      <c r="B20920" s="4" t="s">
        <v>26350</v>
      </c>
      <c r="C20920" s="5" t="str">
        <f>IFERROR(__xludf.DUMMYFUNCTION("GOOGLETRANSLATE(B20920,""en"",""zh-CN"")"),"女孩们看着男孩时互相交谈。")</f>
        <v>女孩们看着男孩时互相交谈。</v>
      </c>
    </row>
    <row r="20921">
      <c r="A20921" s="4" t="s">
        <v>26351</v>
      </c>
      <c r="B20921" s="4" t="s">
        <v>26352</v>
      </c>
      <c r="C20921" s="5" t="str">
        <f>IFERROR(__xludf.DUMMYFUNCTION("GOOGLETRANSLATE(B20921,""en"",""zh-CN"")"),"一个男人在女士的脚踝上戴上布sa锁。")</f>
        <v>一个男人在女士的脚踝上戴上布sa锁。</v>
      </c>
    </row>
    <row r="20922">
      <c r="A20922" s="4" t="s">
        <v>26351</v>
      </c>
      <c r="B20922" s="4" t="s">
        <v>26353</v>
      </c>
      <c r="C20922" s="5" t="str">
        <f>IFERROR(__xludf.DUMMYFUNCTION("GOOGLETRANSLATE(B20922,""en"",""zh-CN"")"),"那个家伙将这位女士定位在边缘。")</f>
        <v>那个家伙将这位女士定位在边缘。</v>
      </c>
    </row>
    <row r="20923">
      <c r="A20923" s="4" t="s">
        <v>26351</v>
      </c>
      <c r="B20923" s="4" t="s">
        <v>26354</v>
      </c>
      <c r="C20923" s="5" t="str">
        <f>IFERROR(__xludf.DUMMYFUNCTION("GOOGLETRANSLATE(B20923,""en"",""zh-CN"")"),"当那个家伙摘下手时，蹦极夫人跳了起来。")</f>
        <v>当那个家伙摘下手时，蹦极夫人跳了起来。</v>
      </c>
    </row>
    <row r="20924">
      <c r="A20924" s="4" t="s">
        <v>26355</v>
      </c>
      <c r="B20924" s="4" t="s">
        <v>26356</v>
      </c>
      <c r="C20924" s="5" t="str">
        <f>IFERROR(__xludf.DUMMYFUNCTION("GOOGLETRANSLATE(B20924,""en"",""zh-CN"")"),"一个女人在谷仓前扫荡。")</f>
        <v>一个女人在谷仓前扫荡。</v>
      </c>
    </row>
    <row r="20925">
      <c r="A20925" s="4" t="s">
        <v>26355</v>
      </c>
      <c r="B20925" s="4" t="s">
        <v>26357</v>
      </c>
      <c r="C20925" s="5" t="str">
        <f>IFERROR(__xludf.DUMMYFUNCTION("GOOGLETRANSLATE(B20925,""en"",""zh-CN"")"),"鸡在她身后的地面上。")</f>
        <v>鸡在她身后的地面上。</v>
      </c>
    </row>
    <row r="20926">
      <c r="A20926" s="4" t="s">
        <v>26355</v>
      </c>
      <c r="B20926" s="4" t="s">
        <v>26358</v>
      </c>
      <c r="C20926" s="5" t="str">
        <f>IFERROR(__xludf.DUMMYFUNCTION("GOOGLETRANSLATE(B20926,""en"",""zh-CN"")"),"她将灰尘铲入车轮手推车。")</f>
        <v>她将灰尘铲入车轮手推车。</v>
      </c>
    </row>
    <row r="20927">
      <c r="A20927" s="4" t="s">
        <v>26355</v>
      </c>
      <c r="B20927" s="4" t="s">
        <v>26359</v>
      </c>
      <c r="C20927" s="5" t="str">
        <f>IFERROR(__xludf.DUMMYFUNCTION("GOOGLETRANSLATE(B20927,""en"",""zh-CN"")"),"男人在谷仓前扫荡。")</f>
        <v>男人在谷仓前扫荡。</v>
      </c>
    </row>
    <row r="20928">
      <c r="A20928" s="4" t="s">
        <v>26355</v>
      </c>
      <c r="B20928" s="4" t="s">
        <v>26360</v>
      </c>
      <c r="C20928" s="5" t="str">
        <f>IFERROR(__xludf.DUMMYFUNCTION("GOOGLETRANSLATE(B20928,""en"",""zh-CN"")"),"一个女人用刷子刷马。")</f>
        <v>一个女人用刷子刷马。</v>
      </c>
    </row>
    <row r="20929">
      <c r="A20929" s="4" t="s">
        <v>26361</v>
      </c>
      <c r="B20929" s="4" t="s">
        <v>26362</v>
      </c>
      <c r="C20929" s="5" t="str">
        <f>IFERROR(__xludf.DUMMYFUNCTION("GOOGLETRANSLATE(B20929,""en"",""zh-CN"")"),"一组刀在销锥上。")</f>
        <v>一组刀在销锥上。</v>
      </c>
    </row>
    <row r="20930">
      <c r="A20930" s="4" t="s">
        <v>26361</v>
      </c>
      <c r="B20930" s="4" t="s">
        <v>26363</v>
      </c>
      <c r="C20930" s="5" t="str">
        <f>IFERROR(__xludf.DUMMYFUNCTION("GOOGLETRANSLATE(B20930,""en"",""zh-CN"")"),"一把小刀从木箱中拿走，并用夹具握住。")</f>
        <v>一把小刀从木箱中拿走，并用夹具握住。</v>
      </c>
    </row>
    <row r="20931">
      <c r="A20931" s="4" t="s">
        <v>26361</v>
      </c>
      <c r="B20931" s="4" t="s">
        <v>26364</v>
      </c>
      <c r="C20931" s="5" t="str">
        <f>IFERROR(__xludf.DUMMYFUNCTION("GOOGLETRANSLATE(B20931,""en"",""zh-CN"")"),"该男子在刀的刀片上使用锐化的石头。")</f>
        <v>该男子在刀的刀片上使用锐化的石头。</v>
      </c>
    </row>
    <row r="20932">
      <c r="A20932" s="4" t="s">
        <v>26361</v>
      </c>
      <c r="B20932" s="4" t="s">
        <v>26365</v>
      </c>
      <c r="C20932" s="5" t="str">
        <f>IFERROR(__xludf.DUMMYFUNCTION("GOOGLETRANSLATE(B20932,""en"",""zh-CN"")"),"该男子切开纸张以显示刀片清晰度。")</f>
        <v>该男子切开纸张以显示刀片清晰度。</v>
      </c>
    </row>
    <row r="20933">
      <c r="A20933" s="4" t="s">
        <v>26361</v>
      </c>
      <c r="B20933" s="4" t="s">
        <v>26366</v>
      </c>
      <c r="C20933" s="5" t="str">
        <f>IFERROR(__xludf.DUMMYFUNCTION("GOOGLETRANSLATE(B20933,""en"",""zh-CN"")"),"看到了一个热开火坑的镜头。")</f>
        <v>看到了一个热开火坑的镜头。</v>
      </c>
    </row>
    <row r="20934">
      <c r="A20934" s="4" t="s">
        <v>26367</v>
      </c>
      <c r="B20934" s="4" t="s">
        <v>26368</v>
      </c>
      <c r="C20934" s="5" t="str">
        <f>IFERROR(__xludf.DUMMYFUNCTION("GOOGLETRANSLATE(B20934,""en"",""zh-CN"")"),"一群男孩在棒球场上排队，然后奔跑追逐球。")</f>
        <v>一群男孩在棒球场上排队，然后奔跑追逐球。</v>
      </c>
    </row>
    <row r="20935">
      <c r="A20935" s="4" t="s">
        <v>26367</v>
      </c>
      <c r="B20935" s="4" t="s">
        <v>26369</v>
      </c>
      <c r="C20935" s="5" t="str">
        <f>IFERROR(__xludf.DUMMYFUNCTION("GOOGLETRANSLATE(B20935,""en"",""zh-CN"")"),"一个女人在场上滚动一个踢球。")</f>
        <v>一个女人在场上滚动一个踢球。</v>
      </c>
    </row>
    <row r="20936">
      <c r="A20936" s="4" t="s">
        <v>26367</v>
      </c>
      <c r="B20936" s="4" t="s">
        <v>26370</v>
      </c>
      <c r="C20936" s="5" t="str">
        <f>IFERROR(__xludf.DUMMYFUNCTION("GOOGLETRANSLATE(B20936,""en"",""zh-CN"")"),"球由边线上的某人返回场。")</f>
        <v>球由边线上的某人返回场。</v>
      </c>
    </row>
    <row r="20937">
      <c r="A20937" s="4" t="s">
        <v>26367</v>
      </c>
      <c r="B20937" s="4" t="s">
        <v>26371</v>
      </c>
      <c r="C20937" s="5" t="str">
        <f>IFERROR(__xludf.DUMMYFUNCTION("GOOGLETRANSLATE(B20937,""en"",""zh-CN"")"),"一个男孩在田野的基地周围奔跑。")</f>
        <v>一个男孩在田野的基地周围奔跑。</v>
      </c>
    </row>
    <row r="20938">
      <c r="A20938" s="4" t="s">
        <v>26367</v>
      </c>
      <c r="B20938" s="4" t="s">
        <v>26372</v>
      </c>
      <c r="C20938" s="5" t="str">
        <f>IFERROR(__xludf.DUMMYFUNCTION("GOOGLETRANSLATE(B20938,""en"",""zh-CN"")"),"一群男孩指向球场上的其他球员。")</f>
        <v>一群男孩指向球场上的其他球员。</v>
      </c>
    </row>
    <row r="20939">
      <c r="A20939" s="4" t="s">
        <v>26367</v>
      </c>
      <c r="B20939" s="4" t="s">
        <v>26373</v>
      </c>
      <c r="C20939" s="5" t="str">
        <f>IFERROR(__xludf.DUMMYFUNCTION("GOOGLETRANSLATE(B20939,""en"",""zh-CN"")"),"一个男孩踢球，其他球员在基地周围奔跑。")</f>
        <v>一个男孩踢球，其他球员在基地周围奔跑。</v>
      </c>
    </row>
    <row r="20940">
      <c r="A20940" s="4" t="s">
        <v>26374</v>
      </c>
      <c r="B20940" s="4" t="s">
        <v>26375</v>
      </c>
      <c r="C20940" s="5" t="str">
        <f>IFERROR(__xludf.DUMMYFUNCTION("GOOGLETRANSLATE(B20940,""en"",""zh-CN"")"),"有大型室内健身房正在举行体操比赛。")</f>
        <v>有大型室内健身房正在举行体操比赛。</v>
      </c>
    </row>
    <row r="20941">
      <c r="A20941" s="4" t="s">
        <v>26374</v>
      </c>
      <c r="B20941" s="4" t="s">
        <v>26376</v>
      </c>
      <c r="C20941" s="5" t="str">
        <f>IFERROR(__xludf.DUMMYFUNCTION("GOOGLETRANSLATE(B20941,""en"",""zh-CN"")"),"有一个在酒吧表演的女孩体操运动员。")</f>
        <v>有一个在酒吧表演的女孩体操运动员。</v>
      </c>
    </row>
    <row r="20942">
      <c r="A20942" s="4" t="s">
        <v>26374</v>
      </c>
      <c r="B20942" s="4" t="s">
        <v>26377</v>
      </c>
      <c r="C20942" s="5" t="str">
        <f>IFERROR(__xludf.DUMMYFUNCTION("GOOGLETRANSLATE(B20942,""en"",""zh-CN"")"),"当她迅速摆动时，有观众在看着她。")</f>
        <v>当她迅速摆动时，有观众在看着她。</v>
      </c>
    </row>
    <row r="20943">
      <c r="A20943" s="4" t="s">
        <v>26374</v>
      </c>
      <c r="B20943" s="4" t="s">
        <v>26378</v>
      </c>
      <c r="C20943" s="5" t="str">
        <f>IFERROR(__xludf.DUMMYFUNCTION("GOOGLETRANSLATE(B20943,""en"",""zh-CN"")"),"她离开酒吧，并得到教练的祝贺。")</f>
        <v>她离开酒吧，并得到教练的祝贺。</v>
      </c>
    </row>
    <row r="20944">
      <c r="A20944" s="4" t="s">
        <v>26374</v>
      </c>
      <c r="B20944" s="4" t="s">
        <v>26379</v>
      </c>
      <c r="C20944" s="5" t="str">
        <f>IFERROR(__xludf.DUMMYFUNCTION("GOOGLETRANSLATE(B20944,""en"",""zh-CN"")"),"然后将奖项颁发给比赛的获奖者。")</f>
        <v>然后将奖项颁发给比赛的获奖者。</v>
      </c>
    </row>
    <row r="20945">
      <c r="A20945" s="4" t="s">
        <v>26374</v>
      </c>
      <c r="B20945" s="4" t="s">
        <v>26380</v>
      </c>
      <c r="C20945" s="5" t="str">
        <f>IFERROR(__xludf.DUMMYFUNCTION("GOOGLETRANSLATE(B20945,""en"",""zh-CN"")"),"获奖者站在舞台上获得胜利奖章。")</f>
        <v>获奖者站在舞台上获得胜利奖章。</v>
      </c>
    </row>
    <row r="20946">
      <c r="A20946" s="4" t="s">
        <v>26374</v>
      </c>
      <c r="B20946" s="4" t="s">
        <v>26381</v>
      </c>
      <c r="C20946" s="5" t="str">
        <f>IFERROR(__xludf.DUMMYFUNCTION("GOOGLETRANSLATE(B20946,""en"",""zh-CN"")"),"分数板显示了所有获奖者的名字。")</f>
        <v>分数板显示了所有获奖者的名字。</v>
      </c>
    </row>
    <row r="20947">
      <c r="A20947" s="4" t="s">
        <v>26382</v>
      </c>
      <c r="B20947" s="4" t="s">
        <v>26383</v>
      </c>
      <c r="C20947" s="5" t="str">
        <f>IFERROR(__xludf.DUMMYFUNCTION("GOOGLETRANSLATE(B20947,""en"",""zh-CN"")"),"显示了几场不同的摔跤战，展示了许多不同的摔跤手。")</f>
        <v>显示了几场不同的摔跤战，展示了许多不同的摔跤手。</v>
      </c>
    </row>
    <row r="20948">
      <c r="A20948" s="4" t="s">
        <v>26382</v>
      </c>
      <c r="B20948" s="6" t="s">
        <v>26384</v>
      </c>
      <c r="C20948" s="5" t="str">
        <f>IFERROR(__xludf.DUMMYFUNCTION("GOOGLETRANSLATE(B20948,""en"",""zh-CN"")"),"一个男人吊在另一个男人的肩膀上，然后被扔到桌子上，桌子以他的体重的力量分为一半。")</f>
        <v>一个男人吊在另一个男人的肩膀上，然后被扔到桌子上，桌子以他的体重的力量分为一半。</v>
      </c>
    </row>
    <row r="20949">
      <c r="A20949" s="4" t="s">
        <v>26382</v>
      </c>
      <c r="B20949" s="6" t="s">
        <v>26385</v>
      </c>
      <c r="C20949" s="5" t="str">
        <f>IFERROR(__xludf.DUMMYFUNCTION("GOOGLETRANSLATE(B20949,""en"",""zh-CN"")"),"更多的摔跤手猛烈地扔到环地板，平坦的表面和桌子上，一个黑暗的长发男子在整个剪辑中以动画方式尖叫几次。")</f>
        <v>更多的摔跤手猛烈地扔到环地板，平坦的表面和桌子上，一个黑暗的长发男子在整个剪辑中以动画方式尖叫几次。</v>
      </c>
    </row>
    <row r="20950">
      <c r="A20950" s="4" t="s">
        <v>26382</v>
      </c>
      <c r="B20950" s="4" t="s">
        <v>26386</v>
      </c>
      <c r="C20950" s="5" t="str">
        <f>IFERROR(__xludf.DUMMYFUNCTION("GOOGLETRANSLATE(B20950,""en"",""zh-CN"")"),"一个红头发的男人在剪辑末端附近与摄像机说话。")</f>
        <v>一个红头发的男人在剪辑末端附近与摄像机说话。</v>
      </c>
    </row>
    <row r="20951">
      <c r="A20951" s="4" t="s">
        <v>26387</v>
      </c>
      <c r="B20951" s="4" t="s">
        <v>26388</v>
      </c>
      <c r="C20951" s="5" t="str">
        <f>IFERROR(__xludf.DUMMYFUNCTION("GOOGLETRANSLATE(B20951,""en"",""zh-CN"")"),"两个人在人行道上说话。")</f>
        <v>两个人在人行道上说话。</v>
      </c>
    </row>
    <row r="20952">
      <c r="A20952" s="4" t="s">
        <v>26387</v>
      </c>
      <c r="B20952" s="4" t="s">
        <v>26389</v>
      </c>
      <c r="C20952" s="5" t="str">
        <f>IFERROR(__xludf.DUMMYFUNCTION("GOOGLETRANSLATE(B20952,""en"",""zh-CN"")"),"橙色的叉子升降机在他们身后。")</f>
        <v>橙色的叉子升降机在他们身后。</v>
      </c>
    </row>
    <row r="20953">
      <c r="A20953" s="4" t="s">
        <v>26387</v>
      </c>
      <c r="B20953" s="4" t="s">
        <v>26390</v>
      </c>
      <c r="C20953" s="5" t="str">
        <f>IFERROR(__xludf.DUMMYFUNCTION("GOOGLETRANSLATE(B20953,""en"",""zh-CN"")"),"其中一名男子正在刷另一个人的头发。")</f>
        <v>其中一名男子正在刷另一个人的头发。</v>
      </c>
    </row>
    <row r="20954">
      <c r="A20954" s="4" t="s">
        <v>26387</v>
      </c>
      <c r="B20954" s="4" t="s">
        <v>26391</v>
      </c>
      <c r="C20954" s="5" t="str">
        <f>IFERROR(__xludf.DUMMYFUNCTION("GOOGLETRANSLATE(B20954,""en"",""zh-CN"")"),"穿着红色衬衫的男人扮演他的头发。")</f>
        <v>穿着红色衬衫的男人扮演他的头发。</v>
      </c>
    </row>
    <row r="20955">
      <c r="A20955" s="4" t="s">
        <v>26392</v>
      </c>
      <c r="B20955" s="4" t="s">
        <v>26393</v>
      </c>
      <c r="C20955" s="5" t="str">
        <f>IFERROR(__xludf.DUMMYFUNCTION("GOOGLETRANSLATE(B20955,""en"",""zh-CN"")"),"一个站在橙花面前的男人说话。")</f>
        <v>一个站在橙花面前的男人说话。</v>
      </c>
    </row>
    <row r="20956">
      <c r="A20956" s="4" t="s">
        <v>26392</v>
      </c>
      <c r="B20956" s="4" t="s">
        <v>26394</v>
      </c>
      <c r="C20956" s="5" t="str">
        <f>IFERROR(__xludf.DUMMYFUNCTION("GOOGLETRANSLATE(B20956,""en"",""zh-CN"")"),"一只小狗躺在地上。")</f>
        <v>一只小狗躺在地上。</v>
      </c>
    </row>
    <row r="20957">
      <c r="A20957" s="4" t="s">
        <v>26392</v>
      </c>
      <c r="B20957" s="4" t="s">
        <v>26395</v>
      </c>
      <c r="C20957" s="5" t="str">
        <f>IFERROR(__xludf.DUMMYFUNCTION("GOOGLETRANSLATE(B20957,""en"",""zh-CN"")"),"显示了一个淋浴头。")</f>
        <v>显示了一个淋浴头。</v>
      </c>
    </row>
    <row r="20958">
      <c r="A20958" s="4" t="s">
        <v>26392</v>
      </c>
      <c r="B20958" s="4" t="s">
        <v>26396</v>
      </c>
      <c r="C20958" s="5" t="str">
        <f>IFERROR(__xludf.DUMMYFUNCTION("GOOGLETRANSLATE(B20958,""en"",""zh-CN"")"),"一个女人和狗坐在床上。")</f>
        <v>一个女人和狗坐在床上。</v>
      </c>
    </row>
    <row r="20959">
      <c r="A20959" s="4" t="s">
        <v>26392</v>
      </c>
      <c r="B20959" s="4" t="s">
        <v>26397</v>
      </c>
      <c r="C20959" s="5" t="str">
        <f>IFERROR(__xludf.DUMMYFUNCTION("GOOGLETRANSLATE(B20959,""en"",""zh-CN"")"),"她和狗在淋浴。")</f>
        <v>她和狗在淋浴。</v>
      </c>
    </row>
    <row r="20960">
      <c r="A20960" s="4" t="s">
        <v>26392</v>
      </c>
      <c r="B20960" s="4" t="s">
        <v>26398</v>
      </c>
      <c r="C20960" s="5" t="str">
        <f>IFERROR(__xludf.DUMMYFUNCTION("GOOGLETRANSLATE(B20960,""en"",""zh-CN"")"),"她正在用水喷狗。")</f>
        <v>她正在用水喷狗。</v>
      </c>
    </row>
    <row r="20961">
      <c r="A20961" s="4" t="s">
        <v>26392</v>
      </c>
      <c r="B20961" s="4" t="s">
        <v>26399</v>
      </c>
      <c r="C20961" s="5" t="str">
        <f>IFERROR(__xludf.DUMMYFUNCTION("GOOGLETRANSLATE(B20961,""en"",""zh-CN"")"),"一个瓶子被固定出来。")</f>
        <v>一个瓶子被固定出来。</v>
      </c>
    </row>
    <row r="20962">
      <c r="A20962" s="4" t="s">
        <v>26392</v>
      </c>
      <c r="B20962" s="4" t="s">
        <v>26400</v>
      </c>
      <c r="C20962" s="5" t="str">
        <f>IFERROR(__xludf.DUMMYFUNCTION("GOOGLETRANSLATE(B20962,""en"",""zh-CN"")"),"她用一条白色毛巾将狗擦干。")</f>
        <v>她用一条白色毛巾将狗擦干。</v>
      </c>
    </row>
    <row r="20963">
      <c r="A20963" s="4" t="s">
        <v>26392</v>
      </c>
      <c r="B20963" s="4" t="s">
        <v>26401</v>
      </c>
      <c r="C20963" s="5" t="str">
        <f>IFERROR(__xludf.DUMMYFUNCTION("GOOGLETRANSLATE(B20963,""en"",""zh-CN"")"),"机器人在屏幕上跳舞。")</f>
        <v>机器人在屏幕上跳舞。</v>
      </c>
    </row>
    <row r="20964">
      <c r="A20964" s="4" t="s">
        <v>26402</v>
      </c>
      <c r="B20964" s="4" t="s">
        <v>26403</v>
      </c>
      <c r="C20964" s="5" t="str">
        <f>IFERROR(__xludf.DUMMYFUNCTION("GOOGLETRANSLATE(B20964,""en"",""zh-CN"")"),"显示了一块堆积的草坪。")</f>
        <v>显示了一块堆积的草坪。</v>
      </c>
    </row>
    <row r="20965">
      <c r="A20965" s="4" t="s">
        <v>26402</v>
      </c>
      <c r="B20965" s="4" t="s">
        <v>26404</v>
      </c>
      <c r="C20965" s="5" t="str">
        <f>IFERROR(__xludf.DUMMYFUNCTION("GOOGLETRANSLATE(B20965,""en"",""zh-CN"")"),"拖拉机上的一个男人正在一遍又一遍地将孩子拉到一堆雪上。")</f>
        <v>拖拉机上的一个男人正在一遍又一遍地将孩子拉到一堆雪上。</v>
      </c>
    </row>
    <row r="20966">
      <c r="A20966" s="4" t="s">
        <v>26402</v>
      </c>
      <c r="B20966" s="4" t="s">
        <v>26405</v>
      </c>
      <c r="C20966" s="5" t="str">
        <f>IFERROR(__xludf.DUMMYFUNCTION("GOOGLETRANSLATE(B20966,""en"",""zh-CN"")"),"它以男孩的角度结束，另一个从楼梯的顶部吃了谷物。")</f>
        <v>它以男孩的角度结束，另一个从楼梯的顶部吃了谷物。</v>
      </c>
    </row>
    <row r="20967">
      <c r="A20967" s="4" t="s">
        <v>26406</v>
      </c>
      <c r="B20967" s="6" t="s">
        <v>26407</v>
      </c>
      <c r="C20967" s="5" t="str">
        <f>IFERROR(__xludf.DUMMYFUNCTION("GOOGLETRANSLATE(B20967,""en"",""zh-CN"")"),"GCN网络的代表正在交谈并演示如何使用工具修复自行车轮。")</f>
        <v>GCN网络的代表正在交谈并演示如何使用工具修复自行车轮。</v>
      </c>
    </row>
    <row r="20968">
      <c r="A20968" s="4" t="s">
        <v>26406</v>
      </c>
      <c r="B20968" s="4" t="s">
        <v>26408</v>
      </c>
      <c r="C20968" s="5" t="str">
        <f>IFERROR(__xludf.DUMMYFUNCTION("GOOGLETRANSLATE(B20968,""en"",""zh-CN"")"),"他站在一辆高架蓝色的自行车附近，身后墙上显示了几种工具。")</f>
        <v>他站在一辆高架蓝色的自行车附近，身后墙上显示了几种工具。</v>
      </c>
    </row>
    <row r="20969">
      <c r="A20969" s="4" t="s">
        <v>26406</v>
      </c>
      <c r="B20969" s="4" t="s">
        <v>26409</v>
      </c>
      <c r="C20969" s="5" t="str">
        <f>IFERROR(__xludf.DUMMYFUNCTION("GOOGLETRANSLATE(B20969,""en"",""zh-CN"")"),"他正在使用Allen钥匙来杠杆轮胎。")</f>
        <v>他正在使用Allen钥匙来杠杆轮胎。</v>
      </c>
    </row>
    <row r="20970">
      <c r="A20970" s="4" t="s">
        <v>26406</v>
      </c>
      <c r="B20970" s="4" t="s">
        <v>26410</v>
      </c>
      <c r="C20970" s="5" t="str">
        <f>IFERROR(__xludf.DUMMYFUNCTION("GOOGLETRANSLATE(B20970,""en"",""zh-CN"")"),"他旋转自行车轮胎，然后使用艾伦钥匙调节螺钉。")</f>
        <v>他旋转自行车轮胎，然后使用艾伦钥匙调节螺钉。</v>
      </c>
    </row>
    <row r="20971">
      <c r="A20971" s="4" t="s">
        <v>26406</v>
      </c>
      <c r="B20971" s="4" t="s">
        <v>26411</v>
      </c>
      <c r="C20971" s="5" t="str">
        <f>IFERROR(__xludf.DUMMYFUNCTION("GOOGLETRANSLATE(B20971,""en"",""zh-CN"")"),"然后，他将车轮的活塞重新调整。")</f>
        <v>然后，他将车轮的活塞重新调整。</v>
      </c>
    </row>
    <row r="20972">
      <c r="A20972" s="4" t="s">
        <v>26406</v>
      </c>
      <c r="B20972" s="4" t="s">
        <v>26412</v>
      </c>
      <c r="C20972" s="5" t="str">
        <f>IFERROR(__xludf.DUMMYFUNCTION("GOOGLETRANSLATE(B20972,""en"",""zh-CN"")"),"然后，他精确地将附件放入方向盘中。")</f>
        <v>然后，他精确地将附件放入方向盘中。</v>
      </c>
    </row>
    <row r="20973">
      <c r="A20973" s="4" t="s">
        <v>26413</v>
      </c>
      <c r="B20973" s="6" t="s">
        <v>26414</v>
      </c>
      <c r="C20973" s="5" t="str">
        <f>IFERROR(__xludf.DUMMYFUNCTION("GOOGLETRANSLATE(B20973,""en"",""zh-CN"")"),"一个人使用真空吸尘器清洁碎屑的地毯，在房间里来回扫荡。")</f>
        <v>一个人使用真空吸尘器清洁碎屑的地毯，在房间里来回扫荡。</v>
      </c>
    </row>
    <row r="20974">
      <c r="A20974" s="4" t="s">
        <v>26413</v>
      </c>
      <c r="B20974" s="4" t="s">
        <v>26415</v>
      </c>
      <c r="C20974" s="5" t="str">
        <f>IFERROR(__xludf.DUMMYFUNCTION("GOOGLETRANSLATE(B20974,""en"",""zh-CN"")"),"为了到达新的地毯区域，将真空吸尘器收集桶移动。")</f>
        <v>为了到达新的地毯区域，将真空吸尘器收集桶移动。</v>
      </c>
    </row>
    <row r="20975">
      <c r="A20975" s="4" t="s">
        <v>26413</v>
      </c>
      <c r="B20975" s="4" t="s">
        <v>26416</v>
      </c>
      <c r="C20975" s="5" t="str">
        <f>IFERROR(__xludf.DUMMYFUNCTION("GOOGLETRANSLATE(B20975,""en"",""zh-CN"")"),"该人对沙发周围的地毯区域进行吸尘。")</f>
        <v>该人对沙发周围的地毯区域进行吸尘。</v>
      </c>
    </row>
    <row r="20976">
      <c r="A20976" s="4" t="s">
        <v>26413</v>
      </c>
      <c r="B20976" s="4" t="s">
        <v>26417</v>
      </c>
      <c r="C20976" s="5" t="str">
        <f>IFERROR(__xludf.DUMMYFUNCTION("GOOGLETRANSLATE(B20976,""en"",""zh-CN"")"),"该人抬起真空的头部，检查下面的车轮。")</f>
        <v>该人抬起真空的头部，检查下面的车轮。</v>
      </c>
    </row>
    <row r="20977">
      <c r="A20977" s="4" t="s">
        <v>26418</v>
      </c>
      <c r="B20977" s="4" t="s">
        <v>26419</v>
      </c>
      <c r="C20977" s="5" t="str">
        <f>IFERROR(__xludf.DUMMYFUNCTION("GOOGLETRANSLATE(B20977,""en"",""zh-CN"")"),"一个金发妇女奔跑，反复跳高。")</f>
        <v>一个金发妇女奔跑，反复跳高。</v>
      </c>
    </row>
    <row r="20978">
      <c r="A20978" s="4" t="s">
        <v>26418</v>
      </c>
      <c r="B20978" s="4" t="s">
        <v>26420</v>
      </c>
      <c r="C20978" s="5" t="str">
        <f>IFERROR(__xludf.DUMMYFUNCTION("GOOGLETRANSLATE(B20978,""en"",""zh-CN"")"),"背景中的白人女人跳高了。")</f>
        <v>背景中的白人女人跳高了。</v>
      </c>
    </row>
    <row r="20979">
      <c r="A20979" s="4" t="s">
        <v>26418</v>
      </c>
      <c r="B20979" s="4" t="s">
        <v>26421</v>
      </c>
      <c r="C20979" s="5" t="str">
        <f>IFERROR(__xludf.DUMMYFUNCTION("GOOGLETRANSLATE(B20979,""en"",""zh-CN"")"),"一位黑人女士走过相机。")</f>
        <v>一位黑人女士走过相机。</v>
      </c>
    </row>
    <row r="20980">
      <c r="A20980" s="4" t="s">
        <v>26418</v>
      </c>
      <c r="B20980" s="4" t="s">
        <v>26422</v>
      </c>
      <c r="C20980" s="5" t="str">
        <f>IFERROR(__xludf.DUMMYFUNCTION("GOOGLETRANSLATE(B20980,""en"",""zh-CN"")"),"黑人女士再次出现，并在地上调整了一些东西。")</f>
        <v>黑人女士再次出现，并在地上调整了一些东西。</v>
      </c>
    </row>
    <row r="20981">
      <c r="A20981" s="4" t="s">
        <v>26418</v>
      </c>
      <c r="B20981" s="4" t="s">
        <v>26423</v>
      </c>
      <c r="C20981" s="5" t="str">
        <f>IFERROR(__xludf.DUMMYFUNCTION("GOOGLETRANSLATE(B20981,""en"",""zh-CN"")"),"一个人举起危险信号。")</f>
        <v>一个人举起危险信号。</v>
      </c>
    </row>
    <row r="20982">
      <c r="A20982" s="4" t="s">
        <v>26424</v>
      </c>
      <c r="B20982" s="6" t="s">
        <v>26425</v>
      </c>
      <c r="C20982" s="5" t="str">
        <f>IFERROR(__xludf.DUMMYFUNCTION("GOOGLETRANSLATE(B20982,""en"",""zh-CN"")"),"一个穿着舞蹈制服的女孩正与妈妈站在一起，聊天，等着轮到她和伴侣在舞台上行走时。")</f>
        <v>一个穿着舞蹈制服的女孩正与妈妈站在一起，聊天，等着轮到她和伴侣在舞台上行走时。</v>
      </c>
    </row>
    <row r="20983">
      <c r="A20983" s="4" t="s">
        <v>26424</v>
      </c>
      <c r="B20983" s="4" t="s">
        <v>26426</v>
      </c>
      <c r="C20983" s="5" t="str">
        <f>IFERROR(__xludf.DUMMYFUNCTION("GOOGLETRANSLATE(B20983,""en"",""zh-CN"")"),"他们开始用警棍做例行。")</f>
        <v>他们开始用警棍做例行。</v>
      </c>
    </row>
    <row r="20984">
      <c r="A20984" s="4" t="s">
        <v>26424</v>
      </c>
      <c r="B20984" s="6" t="s">
        <v>26427</v>
      </c>
      <c r="C20984" s="5" t="str">
        <f>IFERROR(__xludf.DUMMYFUNCTION("GOOGLETRANSLATE(B20984,""en"",""zh-CN"")"),"他们一起工作很好，其中一个女孩会翻转，而另一个女孩抱着她，他们继续进行其余的例行工作。")</f>
        <v>他们一起工作很好，其中一个女孩会翻转，而另一个女孩抱着她，他们继续进行其余的例行工作。</v>
      </c>
    </row>
    <row r="20985">
      <c r="A20985" s="4" t="s">
        <v>26424</v>
      </c>
      <c r="B20985" s="6" t="s">
        <v>26428</v>
      </c>
      <c r="C20985" s="5" t="str">
        <f>IFERROR(__xludf.DUMMYFUNCTION("GOOGLETRANSLATE(B20985,""en"",""zh-CN"")"),"他们结束了例行程序，其中一个跪在她身后，站起来走出舞台。")</f>
        <v>他们结束了例行程序，其中一个跪在她身后，站起来走出舞台。</v>
      </c>
    </row>
    <row r="20986">
      <c r="A20986" s="4" t="s">
        <v>26429</v>
      </c>
      <c r="B20986" s="4" t="s">
        <v>26430</v>
      </c>
      <c r="C20986" s="5" t="str">
        <f>IFERROR(__xludf.DUMMYFUNCTION("GOOGLETRANSLATE(B20986,""en"",""zh-CN"")"),"一个穿着蓝色和闪闪发光的服装的女孩拿着两只警棍，正站在球场上。")</f>
        <v>一个穿着蓝色和闪闪发光的服装的女孩拿着两只警棍，正站在球场上。</v>
      </c>
    </row>
    <row r="20987">
      <c r="A20987" s="4" t="s">
        <v>26429</v>
      </c>
      <c r="B20987" s="4" t="s">
        <v>26431</v>
      </c>
      <c r="C20987" s="5" t="str">
        <f>IFERROR(__xludf.DUMMYFUNCTION("GOOGLETRANSLATE(B20987,""en"",""zh-CN"")"),"这个女孩开始了她的接力棒例程，开始了她的例行程序，并旋转了警棍和身体。")</f>
        <v>这个女孩开始了她的接力棒例程，开始了她的例行程序，并旋转了警棍和身体。</v>
      </c>
    </row>
    <row r="20988">
      <c r="A20988" s="4" t="s">
        <v>26429</v>
      </c>
      <c r="B20988" s="4" t="s">
        <v>26432</v>
      </c>
      <c r="C20988" s="5" t="str">
        <f>IFERROR(__xludf.DUMMYFUNCTION("GOOGLETRANSLATE(B20988,""en"",""zh-CN"")"),"桌子上的评委们一直在看着她，同时他们还写了一张纸。")</f>
        <v>桌子上的评委们一直在看着她，同时他们还写了一张纸。</v>
      </c>
    </row>
    <row r="20989">
      <c r="A20989" s="4" t="s">
        <v>26429</v>
      </c>
      <c r="B20989" s="4" t="s">
        <v>26433</v>
      </c>
      <c r="C20989" s="5" t="str">
        <f>IFERROR(__xludf.DUMMYFUNCTION("GOOGLETRANSLATE(B20989,""en"",""zh-CN"")"),"女孩丢下警棍，捡起它，然后继续她的日常工作。")</f>
        <v>女孩丢下警棍，捡起它，然后继续她的日常工作。</v>
      </c>
    </row>
    <row r="20990">
      <c r="A20990" s="4" t="s">
        <v>26434</v>
      </c>
      <c r="B20990" s="4" t="s">
        <v>26435</v>
      </c>
      <c r="C20990" s="5" t="str">
        <f>IFERROR(__xludf.DUMMYFUNCTION("GOOGLETRANSLATE(B20990,""en"",""zh-CN"")"),"一个男人正在深水潜水，就像他在寻找东西一样。")</f>
        <v>一个男人正在深水潜水，就像他在寻找东西一样。</v>
      </c>
    </row>
    <row r="20991">
      <c r="A20991" s="4" t="s">
        <v>26434</v>
      </c>
      <c r="B20991" s="4" t="s">
        <v>26436</v>
      </c>
      <c r="C20991" s="5" t="str">
        <f>IFERROR(__xludf.DUMMYFUNCTION("GOOGLETRANSLATE(B20991,""en"",""zh-CN"")"),"在中间，他开始玩一条小鱼，然后继续进行搜索。")</f>
        <v>在中间，他开始玩一条小鱼，然后继续进行搜索。</v>
      </c>
    </row>
    <row r="20992">
      <c r="A20992" s="4" t="s">
        <v>26434</v>
      </c>
      <c r="B20992" s="4" t="s">
        <v>26437</v>
      </c>
      <c r="C20992" s="5" t="str">
        <f>IFERROR(__xludf.DUMMYFUNCTION("GOOGLETRANSLATE(B20992,""en"",""zh-CN"")"),"该男子继续以缓慢的速度穿过水，但他什么也没找到。")</f>
        <v>该男子继续以缓慢的速度穿过水，但他什么也没找到。</v>
      </c>
    </row>
    <row r="20993">
      <c r="A20993" s="4" t="s">
        <v>26438</v>
      </c>
      <c r="B20993" s="4" t="s">
        <v>26439</v>
      </c>
      <c r="C20993" s="5" t="str">
        <f>IFERROR(__xludf.DUMMYFUNCTION("GOOGLETRANSLATE(B20993,""en"",""zh-CN"")"),"两名舞者在现场乐队和全电视观众面前参加宴会厅舞蹈。")</f>
        <v>两名舞者在现场乐队和全电视观众面前参加宴会厅舞蹈。</v>
      </c>
    </row>
    <row r="20994">
      <c r="A20994" s="4" t="s">
        <v>26438</v>
      </c>
      <c r="B20994" s="6" t="s">
        <v>26440</v>
      </c>
      <c r="C20994" s="5" t="str">
        <f>IFERROR(__xludf.DUMMYFUNCTION("GOOGLETRANSLATE(B20994,""en"",""zh-CN"")"),"宴会厅服装的一个女人在宴会厅的舞蹈中接近一个男人，当两人见面时，他们开始在舞蹈期间用精心制作的步法在地板上跳舞。")</f>
        <v>宴会厅服装的一个女人在宴会厅的舞蹈中接近一个男人，当两人见面时，他们开始在舞蹈期间用精心制作的步法在地板上跳舞。</v>
      </c>
    </row>
    <row r="20995">
      <c r="A20995" s="4" t="s">
        <v>26438</v>
      </c>
      <c r="B20995" s="6" t="s">
        <v>26441</v>
      </c>
      <c r="C20995" s="5" t="str">
        <f>IFERROR(__xludf.DUMMYFUNCTION("GOOGLETRANSLATE(B20995,""en"",""zh-CN"")"),"邀请人们打电话和投票的电话号码与网络徽标一起出现在屏幕上。")</f>
        <v>邀请人们打电话和投票的电话号码与网络徽标一起出现在屏幕上。</v>
      </c>
    </row>
    <row r="20996">
      <c r="A20996" s="4" t="s">
        <v>26438</v>
      </c>
      <c r="B20996" s="6" t="s">
        <v>26442</v>
      </c>
      <c r="C20996" s="5" t="str">
        <f>IFERROR(__xludf.DUMMYFUNCTION("GOOGLETRANSLATE(B20996,""en"",""zh-CN"")"),"当观众中的人们拍手时，两人继续舞蹈展示幻灯片，拾音器，最后的吻和舞池幻灯片。")</f>
        <v>当观众中的人们拍手时，两人继续舞蹈展示幻灯片，拾音器，最后的吻和舞池幻灯片。</v>
      </c>
    </row>
    <row r="20997">
      <c r="A20997" s="4" t="s">
        <v>26443</v>
      </c>
      <c r="B20997" s="4" t="s">
        <v>26444</v>
      </c>
      <c r="C20997" s="5" t="str">
        <f>IFERROR(__xludf.DUMMYFUNCTION("GOOGLETRANSLATE(B20997,""en"",""zh-CN"")"),"当男人说话时，一个男人和一个女人彼此站立。")</f>
        <v>当男人说话时，一个男人和一个女人彼此站立。</v>
      </c>
    </row>
    <row r="20998">
      <c r="A20998" s="4" t="s">
        <v>26443</v>
      </c>
      <c r="B20998" s="4" t="s">
        <v>26445</v>
      </c>
      <c r="C20998" s="5" t="str">
        <f>IFERROR(__xludf.DUMMYFUNCTION("GOOGLETRANSLATE(B20998,""en"",""zh-CN"")"),"女人伸手抬起酒吧。")</f>
        <v>女人伸手抬起酒吧。</v>
      </c>
    </row>
    <row r="20999">
      <c r="A20999" s="4" t="s">
        <v>26443</v>
      </c>
      <c r="B20999" s="4" t="s">
        <v>26446</v>
      </c>
      <c r="C20999" s="5" t="str">
        <f>IFERROR(__xludf.DUMMYFUNCTION("GOOGLETRANSLATE(B20999,""en"",""zh-CN"")"),"她对大腿进行小升降机。")</f>
        <v>她对大腿进行小升降机。</v>
      </c>
    </row>
    <row r="21000">
      <c r="A21000" s="4" t="s">
        <v>26443</v>
      </c>
      <c r="B21000" s="4" t="s">
        <v>26447</v>
      </c>
      <c r="C21000" s="5" t="str">
        <f>IFERROR(__xludf.DUMMYFUNCTION("GOOGLETRANSLATE(B21000,""en"",""zh-CN"")"),"她继续进行小型升降机，并增加了大型升降机的差异。")</f>
        <v>她继续进行小型升降机，并增加了大型升降机的差异。</v>
      </c>
    </row>
    <row r="21001">
      <c r="A21001" s="4" t="s">
        <v>26443</v>
      </c>
      <c r="B21001" s="4" t="s">
        <v>26448</v>
      </c>
      <c r="C21001" s="5" t="str">
        <f>IFERROR(__xludf.DUMMYFUNCTION("GOOGLETRANSLATE(B21001,""en"",""zh-CN"")"),"她将酒吧抬到头顶上，并将其带到大腿区域，继续进行小升降机。")</f>
        <v>她将酒吧抬到头顶上，并将其带到大腿区域，继续进行小升降机。</v>
      </c>
    </row>
    <row r="21002">
      <c r="A21002" s="4" t="s">
        <v>26443</v>
      </c>
      <c r="B21002" s="4" t="s">
        <v>26449</v>
      </c>
      <c r="C21002" s="5" t="str">
        <f>IFERROR(__xludf.DUMMYFUNCTION("GOOGLETRANSLATE(B21002,""en"",""zh-CN"")"),"她将酒吧靠在头上，然后将其掉到地上。")</f>
        <v>她将酒吧靠在头上，然后将其掉到地上。</v>
      </c>
    </row>
    <row r="21003">
      <c r="A21003" s="4" t="s">
        <v>26450</v>
      </c>
      <c r="B21003" s="4" t="s">
        <v>26451</v>
      </c>
      <c r="C21003" s="5" t="str">
        <f>IFERROR(__xludf.DUMMYFUNCTION("GOOGLETRANSLATE(B21003,""en"",""zh-CN"")"),"看到一个小孩在皮纳塔（Pinata）摇摆，身后有一大批孩子。")</f>
        <v>看到一个小孩在皮纳塔（Pinata）摇摆，身后有一大批孩子。</v>
      </c>
    </row>
    <row r="21004">
      <c r="A21004" s="4" t="s">
        <v>26450</v>
      </c>
      <c r="B21004" s="4" t="s">
        <v>26452</v>
      </c>
      <c r="C21004" s="5" t="str">
        <f>IFERROR(__xludf.DUMMYFUNCTION("GOOGLETRANSLATE(B21004,""en"",""zh-CN"")"),"当父母在孩子们周围走来走去时，更多的孩子站起来在皮纳塔（Pinata）挥杆。")</f>
        <v>当父母在孩子们周围走来走去时，更多的孩子站起来在皮纳塔（Pinata）挥杆。</v>
      </c>
    </row>
    <row r="21005">
      <c r="A21005" s="4" t="s">
        <v>26450</v>
      </c>
      <c r="B21005" s="4" t="s">
        <v>26453</v>
      </c>
      <c r="C21005" s="5" t="str">
        <f>IFERROR(__xludf.DUMMYFUNCTION("GOOGLETRANSLATE(B21005,""en"",""zh-CN"")"),"最后一个女孩试图打破皮纳塔。")</f>
        <v>最后一个女孩试图打破皮纳塔。</v>
      </c>
    </row>
    <row r="21006">
      <c r="A21006" s="4" t="s">
        <v>26454</v>
      </c>
      <c r="B21006" s="4" t="s">
        <v>26455</v>
      </c>
      <c r="C21006" s="5" t="str">
        <f>IFERROR(__xludf.DUMMYFUNCTION("GOOGLETRANSLATE(B21006,""en"",""zh-CN"")"),"当警察指导交通时，城市中的交通中的人看起来很恼火。")</f>
        <v>当警察指导交通时，城市中的交通中的人看起来很恼火。</v>
      </c>
    </row>
    <row r="21007">
      <c r="A21007" s="4" t="s">
        <v>26454</v>
      </c>
      <c r="B21007" s="4" t="s">
        <v>26456</v>
      </c>
      <c r="C21007" s="5" t="str">
        <f>IFERROR(__xludf.DUMMYFUNCTION("GOOGLETRANSLATE(B21007,""en"",""zh-CN"")"),"一个男人的耳朵里贴了东西。")</f>
        <v>一个男人的耳朵里贴了东西。</v>
      </c>
    </row>
    <row r="21008">
      <c r="A21008" s="4" t="s">
        <v>26454</v>
      </c>
      <c r="B21008" s="4" t="s">
        <v>26457</v>
      </c>
      <c r="C21008" s="5" t="str">
        <f>IFERROR(__xludf.DUMMYFUNCTION("GOOGLETRANSLATE(B21008,""en"",""zh-CN"")"),"穿着绿色衬衫的男人嘲笑一名警察，人们笑着拍手。")</f>
        <v>穿着绿色衬衫的男人嘲笑一名警察，人们笑着拍手。</v>
      </c>
    </row>
    <row r="21009">
      <c r="A21009" s="4" t="s">
        <v>26454</v>
      </c>
      <c r="B21009" s="4" t="s">
        <v>26458</v>
      </c>
      <c r="C21009" s="5" t="str">
        <f>IFERROR(__xludf.DUMMYFUNCTION("GOOGLETRANSLATE(B21009,""en"",""zh-CN"")"),"警察给男人一个百事可乐。")</f>
        <v>警察给男人一个百事可乐。</v>
      </c>
    </row>
    <row r="21010">
      <c r="A21010" s="4" t="s">
        <v>26454</v>
      </c>
      <c r="B21010" s="4" t="s">
        <v>26459</v>
      </c>
      <c r="C21010" s="5" t="str">
        <f>IFERROR(__xludf.DUMMYFUNCTION("GOOGLETRANSLATE(B21010,""en"",""zh-CN"")"),"我们看到板球场上的那个人扔球。")</f>
        <v>我们看到板球场上的那个人扔球。</v>
      </c>
    </row>
    <row r="21011">
      <c r="A21011" s="4" t="s">
        <v>26454</v>
      </c>
      <c r="B21011" s="4" t="s">
        <v>26460</v>
      </c>
      <c r="C21011" s="5" t="str">
        <f>IFERROR(__xludf.DUMMYFUNCTION("GOOGLETRANSLATE(B21011,""en"",""zh-CN"")"),"该男子喝了百事可乐，我们看到了关闭的屏幕。")</f>
        <v>该男子喝了百事可乐，我们看到了关闭的屏幕。</v>
      </c>
    </row>
    <row r="21012">
      <c r="A21012" s="4" t="s">
        <v>26461</v>
      </c>
      <c r="B21012" s="4" t="s">
        <v>26462</v>
      </c>
      <c r="C21012" s="5" t="str">
        <f>IFERROR(__xludf.DUMMYFUNCTION("GOOGLETRANSLATE(B21012,""en"",""zh-CN"")"),"一对夫妇出现在舞台上。")</f>
        <v>一对夫妇出现在舞台上。</v>
      </c>
    </row>
    <row r="21013">
      <c r="A21013" s="4" t="s">
        <v>26461</v>
      </c>
      <c r="B21013" s="4" t="s">
        <v>26463</v>
      </c>
      <c r="C21013" s="5" t="str">
        <f>IFERROR(__xludf.DUMMYFUNCTION("GOOGLETRANSLATE(B21013,""en"",""zh-CN"")"),"他们优雅地跳舞，旋转和旋转。")</f>
        <v>他们优雅地跳舞，旋转和旋转。</v>
      </c>
    </row>
    <row r="21014">
      <c r="A21014" s="4" t="s">
        <v>26461</v>
      </c>
      <c r="B21014" s="4" t="s">
        <v>26464</v>
      </c>
      <c r="C21014" s="5" t="str">
        <f>IFERROR(__xludf.DUMMYFUNCTION("GOOGLETRANSLATE(B21014,""en"",""zh-CN"")"),"这对夫妇在完成例行时鞠躬。")</f>
        <v>这对夫妇在完成例行时鞠躬。</v>
      </c>
    </row>
    <row r="21015">
      <c r="A21015" s="4" t="s">
        <v>26465</v>
      </c>
      <c r="B21015" s="4" t="s">
        <v>26466</v>
      </c>
      <c r="C21015" s="5" t="str">
        <f>IFERROR(__xludf.DUMMYFUNCTION("GOOGLETRANSLATE(B21015,""en"",""zh-CN"")"),"看到一个戴着眼镜的男人在纹身店里对镜头说话。")</f>
        <v>看到一个戴着眼镜的男人在纹身店里对镜头说话。</v>
      </c>
    </row>
    <row r="21016">
      <c r="A21016" s="4" t="s">
        <v>26465</v>
      </c>
      <c r="B21016" s="4" t="s">
        <v>26467</v>
      </c>
      <c r="C21016" s="5" t="str">
        <f>IFERROR(__xludf.DUMMYFUNCTION("GOOGLETRANSLATE(B21016,""en"",""zh-CN"")"),"该男子躺在桌子上，向相机挥手。")</f>
        <v>该男子躺在桌子上，向相机挥手。</v>
      </c>
    </row>
    <row r="21017">
      <c r="A21017" s="4" t="s">
        <v>26465</v>
      </c>
      <c r="B21017" s="4" t="s">
        <v>26468</v>
      </c>
      <c r="C21017" s="5" t="str">
        <f>IFERROR(__xludf.DUMMYFUNCTION("GOOGLETRANSLATE(B21017,""en"",""zh-CN"")"),"他展示了自己的轮廓，一个男人开始刺入他的腿。")</f>
        <v>他展示了自己的轮廓，一个男人开始刺入他的腿。</v>
      </c>
    </row>
    <row r="21018">
      <c r="A21018" s="4" t="s">
        <v>26469</v>
      </c>
      <c r="B21018" s="4" t="s">
        <v>26470</v>
      </c>
      <c r="C21018" s="5" t="str">
        <f>IFERROR(__xludf.DUMMYFUNCTION("GOOGLETRANSLATE(B21018,""en"",""zh-CN"")"),"看到一个年轻的女孩坐在镜头前，沿着长发刷刷子。")</f>
        <v>看到一个年轻的女孩坐在镜头前，沿着长发刷刷子。</v>
      </c>
    </row>
    <row r="21019">
      <c r="A21019" s="4" t="s">
        <v>26469</v>
      </c>
      <c r="B21019" s="4" t="s">
        <v>26471</v>
      </c>
      <c r="C21019" s="5" t="str">
        <f>IFERROR(__xludf.DUMMYFUNCTION("GOOGLETRANSLATE(B21019,""en"",""zh-CN"")"),"她突然跳了起来，朝相机尖叫，一边微笑并将刷子放下。")</f>
        <v>她突然跳了起来，朝相机尖叫，一边微笑并将刷子放下。</v>
      </c>
    </row>
    <row r="21020">
      <c r="A21020" s="4" t="s">
        <v>26472</v>
      </c>
      <c r="B21020" s="4" t="s">
        <v>26473</v>
      </c>
      <c r="C21020" s="5" t="str">
        <f>IFERROR(__xludf.DUMMYFUNCTION("GOOGLETRANSLATE(B21020,""en"",""zh-CN"")"),"下一个城市在屏幕上显示一条河。")</f>
        <v>下一个城市在屏幕上显示一条河。</v>
      </c>
    </row>
    <row r="21021">
      <c r="A21021" s="4" t="s">
        <v>26472</v>
      </c>
      <c r="B21021" s="4" t="s">
        <v>26474</v>
      </c>
      <c r="C21021" s="5" t="str">
        <f>IFERROR(__xludf.DUMMYFUNCTION("GOOGLETRANSLATE(B21021,""en"",""zh-CN"")"),"记者在电视机中谈论其他人正在工作。")</f>
        <v>记者在电视机中谈论其他人正在工作。</v>
      </c>
    </row>
    <row r="21022">
      <c r="A21022" s="4" t="s">
        <v>26472</v>
      </c>
      <c r="B21022" s="4" t="s">
        <v>26475</v>
      </c>
      <c r="C21022" s="5" t="str">
        <f>IFERROR(__xludf.DUMMYFUNCTION("GOOGLETRANSLATE(B21022,""en"",""zh-CN"")"),"一个穿着白衬衫的男人在看镜子时清洁脸。")</f>
        <v>一个穿着白衬衫的男人在看镜子时清洁脸。</v>
      </c>
    </row>
    <row r="21023">
      <c r="A21023" s="4" t="s">
        <v>26476</v>
      </c>
      <c r="B21023" s="4" t="s">
        <v>26477</v>
      </c>
      <c r="C21023" s="5" t="str">
        <f>IFERROR(__xludf.DUMMYFUNCTION("GOOGLETRANSLATE(B21023,""en"",""zh-CN"")"),"一辆坐在自行车上的骑自行车的人转速发动机。")</f>
        <v>一辆坐在自行车上的骑自行车的人转速发动机。</v>
      </c>
    </row>
    <row r="21024">
      <c r="A21024" s="4" t="s">
        <v>26476</v>
      </c>
      <c r="B21024" s="4" t="s">
        <v>26478</v>
      </c>
      <c r="C21024" s="5" t="str">
        <f>IFERROR(__xludf.DUMMYFUNCTION("GOOGLETRANSLATE(B21024,""en"",""zh-CN"")"),"另一辆骑自行车的人坐在骑自行车上，双臂手臂做出手势。")</f>
        <v>另一辆骑自行车的人坐在骑自行车上，双臂手臂做出手势。</v>
      </c>
    </row>
    <row r="21025">
      <c r="A21025" s="4" t="s">
        <v>26476</v>
      </c>
      <c r="B21025" s="6" t="s">
        <v>26479</v>
      </c>
      <c r="C21025" s="5" t="str">
        <f>IFERROR(__xludf.DUMMYFUNCTION("GOOGLETRANSLATE(B21025,""en"",""zh-CN"")"),"显示了各种骑自行车的人的场景失败的特技跳跃，偶尔会有人群反应和后果。")</f>
        <v>显示了各种骑自行车的人的场景失败的特技跳跃，偶尔会有人群反应和后果。</v>
      </c>
    </row>
    <row r="21026">
      <c r="A21026" s="4" t="s">
        <v>26480</v>
      </c>
      <c r="B21026" s="4" t="s">
        <v>1251</v>
      </c>
      <c r="C21026" s="5" t="str">
        <f>IFERROR(__xludf.DUMMYFUNCTION("GOOGLETRANSLATE(B21026,""en"",""zh-CN"")"),"显示了剪辑的信用。")</f>
        <v>显示了剪辑的信用。</v>
      </c>
    </row>
    <row r="21027">
      <c r="A21027" s="4" t="s">
        <v>26480</v>
      </c>
      <c r="B21027" s="4" t="s">
        <v>26481</v>
      </c>
      <c r="C21027" s="5" t="str">
        <f>IFERROR(__xludf.DUMMYFUNCTION("GOOGLETRANSLATE(B21027,""en"",""zh-CN"")"),"一位女士站着一只手举起金属盘。")</f>
        <v>一位女士站着一只手举起金属盘。</v>
      </c>
    </row>
    <row r="21028">
      <c r="A21028" s="4" t="s">
        <v>26480</v>
      </c>
      <c r="B21028" s="4" t="s">
        <v>26482</v>
      </c>
      <c r="C21028" s="5" t="str">
        <f>IFERROR(__xludf.DUMMYFUNCTION("GOOGLETRANSLATE(B21028,""en"",""zh-CN"")"),"女士用磁盘旋转并释放磁盘。")</f>
        <v>女士用磁盘旋转并释放磁盘。</v>
      </c>
    </row>
    <row r="21029">
      <c r="A21029" s="4" t="s">
        <v>26480</v>
      </c>
      <c r="B21029" s="4" t="s">
        <v>26483</v>
      </c>
      <c r="C21029" s="5" t="str">
        <f>IFERROR(__xludf.DUMMYFUNCTION("GOOGLETRANSLATE(B21029,""en"",""zh-CN"")"),"那位女士在她的背上放一条毛巾。")</f>
        <v>那位女士在她的背上放一条毛巾。</v>
      </c>
    </row>
    <row r="21030">
      <c r="A21030" s="4" t="s">
        <v>26484</v>
      </c>
      <c r="B21030" s="6" t="s">
        <v>26485</v>
      </c>
      <c r="C21030" s="5" t="str">
        <f>IFERROR(__xludf.DUMMYFUNCTION("GOOGLETRANSLATE(B21030,""en"",""zh-CN"")"),"在双体船在海洋中移动的男人的剪辑之间，出现黑色屏幕和不同的时代，用不同的单词描述了双体船的每个动作。")</f>
        <v>在双体船在海洋中移动的男人的剪辑之间，出现黑色屏幕和不同的时代，用不同的单词描述了双体船的每个动作。</v>
      </c>
    </row>
    <row r="21031">
      <c r="A21031" s="4" t="s">
        <v>26484</v>
      </c>
      <c r="B21031" s="6" t="s">
        <v>26486</v>
      </c>
      <c r="C21031" s="5" t="str">
        <f>IFERROR(__xludf.DUMMYFUNCTION("GOOGLETRANSLATE(B21031,""en"",""zh-CN"")"),"该男子现在站在船上，正在拉动绳索上移动的绳索，然后在船移动时再次显示。")</f>
        <v>该男子现在站在船上，正在拉动绳索上移动的绳索，然后在船移动时再次显示。</v>
      </c>
    </row>
    <row r="21032">
      <c r="A21032" s="4" t="s">
        <v>26484</v>
      </c>
      <c r="B21032" s="6" t="s">
        <v>26487</v>
      </c>
      <c r="C21032" s="5" t="str">
        <f>IFERROR(__xludf.DUMMYFUNCTION("GOOGLETRANSLATE(B21032,""en"",""zh-CN"")"),"出现了，这是一个白屏，上面有船的图片和“多ihull Central”一词。")</f>
        <v>出现了，这是一个白屏，上面有船的图片和“多ihull Central”一词。</v>
      </c>
    </row>
    <row r="21033">
      <c r="A21033" s="4" t="s">
        <v>26488</v>
      </c>
      <c r="B21033" s="4" t="s">
        <v>26489</v>
      </c>
      <c r="C21033" s="5" t="str">
        <f>IFERROR(__xludf.DUMMYFUNCTION("GOOGLETRANSLATE(B21033,""en"",""zh-CN"")"),"一个女人在家里的熨衣板上折叠毛巾。")</f>
        <v>一个女人在家里的熨衣板上折叠毛巾。</v>
      </c>
    </row>
    <row r="21034">
      <c r="A21034" s="4" t="s">
        <v>26488</v>
      </c>
      <c r="B21034" s="4" t="s">
        <v>26490</v>
      </c>
      <c r="C21034" s="5" t="str">
        <f>IFERROR(__xludf.DUMMYFUNCTION("GOOGLETRANSLATE(B21034,""en"",""zh-CN"")"),"看到不同的衣服，例如衬衫，袜子和领带。")</f>
        <v>看到不同的衣服，例如衬衫，袜子和领带。</v>
      </c>
    </row>
    <row r="21035">
      <c r="A21035" s="4" t="s">
        <v>26488</v>
      </c>
      <c r="B21035" s="4" t="s">
        <v>26491</v>
      </c>
      <c r="C21035" s="5" t="str">
        <f>IFERROR(__xludf.DUMMYFUNCTION("GOOGLETRANSLATE(B21035,""en"",""zh-CN"")"),"女人在一件衣服上添加了标签，并将其牢牢地放在原位。")</f>
        <v>女人在一件衣服上添加了标签，并将其牢牢地放在原位。</v>
      </c>
    </row>
    <row r="21036">
      <c r="A21036" s="4" t="s">
        <v>26488</v>
      </c>
      <c r="B21036" s="4" t="s">
        <v>26492</v>
      </c>
      <c r="C21036" s="5" t="str">
        <f>IFERROR(__xludf.DUMMYFUNCTION("GOOGLETRANSLATE(B21036,""en"",""zh-CN"")"),"标签显示了近距离。")</f>
        <v>标签显示了近距离。</v>
      </c>
    </row>
    <row r="21037">
      <c r="A21037" s="4" t="s">
        <v>26493</v>
      </c>
      <c r="B21037" s="4" t="s">
        <v>26494</v>
      </c>
      <c r="C21037" s="5" t="str">
        <f>IFERROR(__xludf.DUMMYFUNCTION("GOOGLETRANSLATE(B21037,""en"",""zh-CN"")"),"有一个穿着蓝色衬衫和蓝色短裤在有米色墙壁的房间里射击飞镖的人。")</f>
        <v>有一个穿着蓝色衬衫和蓝色短裤在有米色墙壁的房间里射击飞镖的人。</v>
      </c>
    </row>
    <row r="21038">
      <c r="A21038" s="4" t="s">
        <v>26493</v>
      </c>
      <c r="B21038" s="4" t="s">
        <v>26495</v>
      </c>
      <c r="C21038" s="5" t="str">
        <f>IFERROR(__xludf.DUMMYFUNCTION("GOOGLETRANSLATE(B21038,""en"",""zh-CN"")"),"他手中有两个飞镖，他的瞄准目标并射击了一个目标。")</f>
        <v>他手中有两个飞镖，他的瞄准目标并射击了一个目标。</v>
      </c>
    </row>
    <row r="21039">
      <c r="A21039" s="4" t="s">
        <v>26496</v>
      </c>
      <c r="B21039" s="4" t="s">
        <v>26497</v>
      </c>
      <c r="C21039" s="5" t="str">
        <f>IFERROR(__xludf.DUMMYFUNCTION("GOOGLETRANSLATE(B21039,""en"",""zh-CN"")"),"一件黑色衬衫的女人在圣诞树面前说话。")</f>
        <v>一件黑色衬衫的女人在圣诞树面前说话。</v>
      </c>
    </row>
    <row r="21040">
      <c r="A21040" s="4" t="s">
        <v>26496</v>
      </c>
      <c r="B21040" s="4" t="s">
        <v>26498</v>
      </c>
      <c r="C21040" s="5" t="str">
        <f>IFERROR(__xludf.DUMMYFUNCTION("GOOGLETRANSLATE(B21040,""en"",""zh-CN"")"),"她开始在圣诞树上装饰。")</f>
        <v>她开始在圣诞树上装饰。</v>
      </c>
    </row>
    <row r="21041">
      <c r="A21041" s="4" t="s">
        <v>26496</v>
      </c>
      <c r="B21041" s="4" t="s">
        <v>26499</v>
      </c>
      <c r="C21041" s="5" t="str">
        <f>IFERROR(__xludf.DUMMYFUNCTION("GOOGLETRANSLATE(B21041,""en"",""zh-CN"")"),"她将金弓放在树的顶部。")</f>
        <v>她将金弓放在树的顶部。</v>
      </c>
    </row>
    <row r="21042">
      <c r="A21042" s="4" t="s">
        <v>26496</v>
      </c>
      <c r="B21042" s="4" t="s">
        <v>26500</v>
      </c>
      <c r="C21042" s="5" t="str">
        <f>IFERROR(__xludf.DUMMYFUNCTION("GOOGLETRANSLATE(B21042,""en"",""zh-CN"")"),"三个女人在树前说话。")</f>
        <v>三个女人在树前说话。</v>
      </c>
    </row>
    <row r="21043">
      <c r="A21043" s="4" t="s">
        <v>26501</v>
      </c>
      <c r="B21043" s="4" t="s">
        <v>26502</v>
      </c>
      <c r="C21043" s="5" t="str">
        <f>IFERROR(__xludf.DUMMYFUNCTION("GOOGLETRANSLATE(B21043,""en"",""zh-CN"")"),"几个人站在汽车外面。")</f>
        <v>几个人站在汽车外面。</v>
      </c>
    </row>
    <row r="21044">
      <c r="A21044" s="4" t="s">
        <v>26501</v>
      </c>
      <c r="B21044" s="4" t="s">
        <v>26503</v>
      </c>
      <c r="C21044" s="5" t="str">
        <f>IFERROR(__xludf.DUMMYFUNCTION("GOOGLETRANSLATE(B21044,""en"",""zh-CN"")"),"他们在管子上驶入一条河。")</f>
        <v>他们在管子上驶入一条河。</v>
      </c>
    </row>
    <row r="21045">
      <c r="A21045" s="4" t="s">
        <v>26501</v>
      </c>
      <c r="B21045" s="4" t="s">
        <v>26504</v>
      </c>
      <c r="C21045" s="5" t="str">
        <f>IFERROR(__xludf.DUMMYFUNCTION("GOOGLETRANSLATE(B21045,""en"",""zh-CN"")"),"他们漂浮在大桥附近。")</f>
        <v>他们漂浮在大桥附近。</v>
      </c>
    </row>
    <row r="21046">
      <c r="A21046" s="4" t="s">
        <v>26501</v>
      </c>
      <c r="B21046" s="4" t="s">
        <v>26505</v>
      </c>
      <c r="C21046" s="5" t="str">
        <f>IFERROR(__xludf.DUMMYFUNCTION("GOOGLETRANSLATE(B21046,""en"",""zh-CN"")"),"水有点断断续续。")</f>
        <v>水有点断断续续。</v>
      </c>
    </row>
    <row r="21047">
      <c r="A21047" s="4" t="s">
        <v>26506</v>
      </c>
      <c r="B21047" s="4" t="s">
        <v>26507</v>
      </c>
      <c r="C21047" s="5" t="str">
        <f>IFERROR(__xludf.DUMMYFUNCTION("GOOGLETRANSLATE(B21047,""en"",""zh-CN"")"),"看到一个运动员准备就绪，并沿着一条长长的轨道进入沙坑。")</f>
        <v>看到一个运动员准备就绪，并沿着一条长长的轨道进入沙坑。</v>
      </c>
    </row>
    <row r="21048">
      <c r="A21048" s="4" t="s">
        <v>26506</v>
      </c>
      <c r="B21048" s="6" t="s">
        <v>26508</v>
      </c>
      <c r="C21048" s="5" t="str">
        <f>IFERROR(__xludf.DUMMYFUNCTION("GOOGLETRANSLATE(B21048,""en"",""zh-CN"")"),"该男子在看着观众时走开，然后另一个男人跑进坑。")</f>
        <v>该男子在看着观众时走开，然后另一个男人跑进坑。</v>
      </c>
    </row>
    <row r="21049">
      <c r="A21049" s="4" t="s">
        <v>26506</v>
      </c>
      <c r="B21049" s="4" t="s">
        <v>26509</v>
      </c>
      <c r="C21049" s="5" t="str">
        <f>IFERROR(__xludf.DUMMYFUNCTION("GOOGLETRANSLATE(B21049,""en"",""zh-CN"")"),"此后，又有几名男子轮流奔跑再次出现。")</f>
        <v>此后，又有几名男子轮流奔跑再次出现。</v>
      </c>
    </row>
    <row r="21050">
      <c r="A21050" s="4" t="s">
        <v>26510</v>
      </c>
      <c r="B21050" s="4" t="s">
        <v>26511</v>
      </c>
      <c r="C21050" s="5" t="str">
        <f>IFERROR(__xludf.DUMMYFUNCTION("GOOGLETRANSLATE(B21050,""en"",""zh-CN"")"),"看到一个摄像机ia看到了房屋的外面，然后是一个坐在浴缸里的女孩。")</f>
        <v>看到一个摄像机ia看到了房屋的外面，然后是一个坐在浴缸里的女孩。</v>
      </c>
    </row>
    <row r="21051">
      <c r="A21051" s="4" t="s">
        <v>26510</v>
      </c>
      <c r="B21051" s="4" t="s">
        <v>26512</v>
      </c>
      <c r="C21051" s="5" t="str">
        <f>IFERROR(__xludf.DUMMYFUNCTION("GOOGLETRANSLATE(B21051,""en"",""zh-CN"")"),"她看着镜子，让一个朋友将她的独奏杯交给她。")</f>
        <v>她看着镜子，让一个朋友将她的独奏杯交给她。</v>
      </c>
    </row>
    <row r="21052">
      <c r="A21052" s="4" t="s">
        <v>26510</v>
      </c>
      <c r="B21052" s="4" t="s">
        <v>26513</v>
      </c>
      <c r="C21052" s="5" t="str">
        <f>IFERROR(__xludf.DUMMYFUNCTION("GOOGLETRANSLATE(B21052,""en"",""zh-CN"")"),"她在外面的整个房子里奔跑，并显示了漱口水的近距离。")</f>
        <v>她在外面的整个房子里奔跑，并显示了漱口水的近距离。</v>
      </c>
    </row>
    <row r="21053">
      <c r="A21053" s="4" t="s">
        <v>26514</v>
      </c>
      <c r="B21053" s="4" t="s">
        <v>26515</v>
      </c>
      <c r="C21053" s="5" t="str">
        <f>IFERROR(__xludf.DUMMYFUNCTION("GOOGLETRANSLATE(B21053,""en"",""zh-CN"")"),"一位年轻女士解释了如何使用刷子将化妆品盖上盖子。")</f>
        <v>一位年轻女士解释了如何使用刷子将化妆品盖上盖子。</v>
      </c>
    </row>
    <row r="21054">
      <c r="A21054" s="4" t="s">
        <v>26514</v>
      </c>
      <c r="B21054" s="4" t="s">
        <v>26516</v>
      </c>
      <c r="C21054" s="5" t="str">
        <f>IFERROR(__xludf.DUMMYFUNCTION("GOOGLETRANSLATE(B21054,""en"",""zh-CN"")"),"这位年轻的女士用眼线笔将顶部盖子的边界描绘出来。")</f>
        <v>这位年轻的女士用眼线笔将顶部盖子的边界描绘出来。</v>
      </c>
    </row>
    <row r="21055">
      <c r="A21055" s="4" t="s">
        <v>26514</v>
      </c>
      <c r="B21055" s="4" t="s">
        <v>26517</v>
      </c>
      <c r="C21055" s="5" t="str">
        <f>IFERROR(__xludf.DUMMYFUNCTION("GOOGLETRANSLATE(B21055,""en"",""zh-CN"")"),"然后，她将睫毛膏放在睫毛上，然后涂上较低的盖子。")</f>
        <v>然后，她将睫毛膏放在睫毛上，然后涂上较低的盖子。</v>
      </c>
    </row>
    <row r="21056">
      <c r="A21056" s="4" t="s">
        <v>26514</v>
      </c>
      <c r="B21056" s="4" t="s">
        <v>26518</v>
      </c>
      <c r="C21056" s="5" t="str">
        <f>IFERROR(__xludf.DUMMYFUNCTION("GOOGLETRANSLATE(B21056,""en"",""zh-CN"")"),"之后，她刷脸颊，将口红放在嘴唇上。")</f>
        <v>之后，她刷脸颊，将口红放在嘴唇上。</v>
      </c>
    </row>
    <row r="21057">
      <c r="A21057" s="4" t="s">
        <v>26519</v>
      </c>
      <c r="B21057" s="4" t="s">
        <v>26520</v>
      </c>
      <c r="C21057" s="5" t="str">
        <f>IFERROR(__xludf.DUMMYFUNCTION("GOOGLETRANSLATE(B21057,""en"",""zh-CN"")"),"看到一支大型游行乐队站在一大群人的中间。")</f>
        <v>看到一支大型游行乐队站在一大群人的中间。</v>
      </c>
    </row>
    <row r="21058">
      <c r="A21058" s="4" t="s">
        <v>26519</v>
      </c>
      <c r="B21058" s="4" t="s">
        <v>26521</v>
      </c>
      <c r="C21058" s="5" t="str">
        <f>IFERROR(__xludf.DUMMYFUNCTION("GOOGLETRANSLATE(B21058,""en"",""zh-CN"")"),"然后，乐队开始在圈子中互相演奏。")</f>
        <v>然后，乐队开始在圈子中互相演奏。</v>
      </c>
    </row>
    <row r="21059">
      <c r="A21059" s="4" t="s">
        <v>26519</v>
      </c>
      <c r="B21059" s="4" t="s">
        <v>26522</v>
      </c>
      <c r="C21059" s="5" t="str">
        <f>IFERROR(__xludf.DUMMYFUNCTION("GOOGLETRANSLATE(B21059,""en"",""zh-CN"")"),"人们在人们看着两者的同时继续互相比赛。")</f>
        <v>人们在人们看着两者的同时继续互相比赛。</v>
      </c>
    </row>
    <row r="21060">
      <c r="A21060" s="4" t="s">
        <v>26523</v>
      </c>
      <c r="B21060" s="4" t="s">
        <v>26524</v>
      </c>
      <c r="C21060" s="5" t="str">
        <f>IFERROR(__xludf.DUMMYFUNCTION("GOOGLETRANSLATE(B21060,""en"",""zh-CN"")"),"看到一个女人在相机上说话，而一群人坐在她周围的管子里。")</f>
        <v>看到一个女人在相机上说话，而一群人坐在她周围的管子里。</v>
      </c>
    </row>
    <row r="21061">
      <c r="A21061" s="4" t="s">
        <v>26523</v>
      </c>
      <c r="B21061" s="4" t="s">
        <v>26525</v>
      </c>
      <c r="C21061" s="5" t="str">
        <f>IFERROR(__xludf.DUMMYFUNCTION("GOOGLETRANSLATE(B21061,""en"",""zh-CN"")"),"其他人在炫耀其他管子的同时微笑着向相机挥手。")</f>
        <v>其他人在炫耀其他管子的同时微笑着向相机挥手。</v>
      </c>
    </row>
    <row r="21062">
      <c r="A21062" s="4" t="s">
        <v>26523</v>
      </c>
      <c r="B21062" s="4" t="s">
        <v>26526</v>
      </c>
      <c r="C21062" s="5" t="str">
        <f>IFERROR(__xludf.DUMMYFUNCTION("GOOGLETRANSLATE(B21062,""en"",""zh-CN"")"),"人们继续绕着水面骑行，而相机到处都是动作。")</f>
        <v>人们继续绕着水面骑行，而相机到处都是动作。</v>
      </c>
    </row>
    <row r="21063">
      <c r="A21063" s="4" t="s">
        <v>26527</v>
      </c>
      <c r="B21063" s="4" t="s">
        <v>26528</v>
      </c>
      <c r="C21063" s="5" t="str">
        <f>IFERROR(__xludf.DUMMYFUNCTION("GOOGLETRANSLATE(B21063,""en"",""zh-CN"")"),"这个人非常快速地穿过街道。")</f>
        <v>这个人非常快速地穿过街道。</v>
      </c>
    </row>
    <row r="21064">
      <c r="A21064" s="4" t="s">
        <v>26527</v>
      </c>
      <c r="B21064" s="4" t="s">
        <v>26529</v>
      </c>
      <c r="C21064" s="5" t="str">
        <f>IFERROR(__xludf.DUMMYFUNCTION("GOOGLETRANSLATE(B21064,""en"",""zh-CN"")"),"他跳过一个封闭的区域，不断滑冰让人们进入街头。")</f>
        <v>他跳过一个封闭的区域，不断滑冰让人们进入街头。</v>
      </c>
    </row>
    <row r="21065">
      <c r="A21065" s="4" t="s">
        <v>26527</v>
      </c>
      <c r="B21065" s="6" t="s">
        <v>26530</v>
      </c>
      <c r="C21065" s="5" t="str">
        <f>IFERROR(__xludf.DUMMYFUNCTION("GOOGLETRANSLATE(B21065,""en"",""zh-CN"")"),"他和另一个滑冰者一起在巴黎的街道上滑冰，仍然滑冰，然后走进地铁。")</f>
        <v>他和另一个滑冰者一起在巴黎的街道上滑冰，仍然滑冰，然后走进地铁。</v>
      </c>
    </row>
    <row r="21066">
      <c r="A21066" s="4" t="s">
        <v>26527</v>
      </c>
      <c r="B21066" s="6" t="s">
        <v>26531</v>
      </c>
      <c r="C21066" s="5" t="str">
        <f>IFERROR(__xludf.DUMMYFUNCTION("GOOGLETRANSLATE(B21066,""en"",""zh-CN"")"),"他抓住某人的摩托车后部，并使用它来抓住速度，然后继续从地铁回到人行道上。")</f>
        <v>他抓住某人的摩托车后部，并使用它来抓住速度，然后继续从地铁回到人行道上。</v>
      </c>
    </row>
    <row r="21067">
      <c r="A21067" s="4" t="s">
        <v>26532</v>
      </c>
      <c r="B21067" s="4" t="s">
        <v>26533</v>
      </c>
      <c r="C21067" s="5" t="str">
        <f>IFERROR(__xludf.DUMMYFUNCTION("GOOGLETRANSLATE(B21067,""en"",""zh-CN"")"),"一条橙色的绳子被绑在一棵树上，在风中晃来晃去。")</f>
        <v>一条橙色的绳子被绑在一棵树上，在风中晃来晃去。</v>
      </c>
    </row>
    <row r="21068">
      <c r="A21068" s="4" t="s">
        <v>26532</v>
      </c>
      <c r="B21068" s="4" t="s">
        <v>26534</v>
      </c>
      <c r="C21068" s="5" t="str">
        <f>IFERROR(__xludf.DUMMYFUNCTION("GOOGLETRANSLATE(B21068,""en"",""zh-CN"")"),"一个人踩着绳子，开始穿过它。")</f>
        <v>一个人踩着绳子，开始穿过它。</v>
      </c>
    </row>
    <row r="21069">
      <c r="A21069" s="4" t="s">
        <v>26532</v>
      </c>
      <c r="B21069" s="4" t="s">
        <v>26535</v>
      </c>
      <c r="C21069" s="5" t="str">
        <f>IFERROR(__xludf.DUMMYFUNCTION("GOOGLETRANSLATE(B21069,""en"",""zh-CN"")"),"该男子从绳索上跳下来，从头开始穿过它。")</f>
        <v>该男子从绳索上跳下来，从头开始穿过它。</v>
      </c>
    </row>
    <row r="21070">
      <c r="A21070" s="4" t="s">
        <v>26532</v>
      </c>
      <c r="B21070" s="4" t="s">
        <v>26536</v>
      </c>
      <c r="C21070" s="5" t="str">
        <f>IFERROR(__xludf.DUMMYFUNCTION("GOOGLETRANSLATE(B21070,""en"",""zh-CN"")"),"该男子再次跳下来，回到绳子上并跳下。")</f>
        <v>该男子再次跳下来，回到绳子上并跳下。</v>
      </c>
    </row>
    <row r="21071">
      <c r="A21071" s="4" t="s">
        <v>26532</v>
      </c>
      <c r="B21071" s="4" t="s">
        <v>26537</v>
      </c>
      <c r="C21071" s="5" t="str">
        <f>IFERROR(__xludf.DUMMYFUNCTION("GOOGLETRANSLATE(B21071,""en"",""zh-CN"")"),"该男子收紧绳索。")</f>
        <v>该男子收紧绳索。</v>
      </c>
    </row>
    <row r="21072">
      <c r="A21072" s="4" t="s">
        <v>26532</v>
      </c>
      <c r="B21072" s="4" t="s">
        <v>26538</v>
      </c>
      <c r="C21072" s="5" t="str">
        <f>IFERROR(__xludf.DUMMYFUNCTION("GOOGLETRANSLATE(B21072,""en"",""zh-CN"")"),"相机显示地面。")</f>
        <v>相机显示地面。</v>
      </c>
    </row>
    <row r="21073">
      <c r="A21073" s="4" t="s">
        <v>26539</v>
      </c>
      <c r="B21073" s="4" t="s">
        <v>26540</v>
      </c>
      <c r="C21073" s="5" t="str">
        <f>IFERROR(__xludf.DUMMYFUNCTION("GOOGLETRANSLATE(B21073,""en"",""zh-CN"")"),"当一个男人在割草机上割草时，外面正在下雨。")</f>
        <v>当一个男人在割草机上割草时，外面正在下雨。</v>
      </c>
    </row>
    <row r="21074">
      <c r="A21074" s="4" t="s">
        <v>26539</v>
      </c>
      <c r="B21074" s="4" t="s">
        <v>26541</v>
      </c>
      <c r="C21074" s="5" t="str">
        <f>IFERROR(__xludf.DUMMYFUNCTION("GOOGLETRANSLATE(B21074,""en"",""zh-CN"")"),"相机专注于滴水。")</f>
        <v>相机专注于滴水。</v>
      </c>
    </row>
    <row r="21075">
      <c r="A21075" s="4" t="s">
        <v>26539</v>
      </c>
      <c r="B21075" s="4" t="s">
        <v>26542</v>
      </c>
      <c r="C21075" s="5" t="str">
        <f>IFERROR(__xludf.DUMMYFUNCTION("GOOGLETRANSLATE(B21075,""en"",""zh-CN"")"),"该男子在割草机上重新布置自己。")</f>
        <v>该男子在割草机上重新布置自己。</v>
      </c>
    </row>
    <row r="21076">
      <c r="A21076" s="4" t="s">
        <v>26539</v>
      </c>
      <c r="B21076" s="4" t="s">
        <v>26543</v>
      </c>
      <c r="C21076" s="5" t="str">
        <f>IFERROR(__xludf.DUMMYFUNCTION("GOOGLETRANSLATE(B21076,""en"",""zh-CN"")"),"他继续割草。")</f>
        <v>他继续割草。</v>
      </c>
    </row>
    <row r="21077">
      <c r="A21077" s="4" t="s">
        <v>26539</v>
      </c>
      <c r="B21077" s="4" t="s">
        <v>26544</v>
      </c>
      <c r="C21077" s="5" t="str">
        <f>IFERROR(__xludf.DUMMYFUNCTION("GOOGLETRANSLATE(B21077,""en"",""zh-CN"")"),"相机再次专注于自来水。")</f>
        <v>相机再次专注于自来水。</v>
      </c>
    </row>
    <row r="21078">
      <c r="A21078" s="4" t="s">
        <v>26539</v>
      </c>
      <c r="B21078" s="4" t="s">
        <v>4389</v>
      </c>
      <c r="C21078" s="5" t="str">
        <f>IFERROR(__xludf.DUMMYFUNCTION("GOOGLETRANSLATE(B21078,""en"",""zh-CN"")"),"它可以追溯到男人的割草。")</f>
        <v>它可以追溯到男人的割草。</v>
      </c>
    </row>
    <row r="21079">
      <c r="A21079" s="4" t="s">
        <v>26539</v>
      </c>
      <c r="B21079" s="4" t="s">
        <v>26545</v>
      </c>
      <c r="C21079" s="5" t="str">
        <f>IFERROR(__xludf.DUMMYFUNCTION("GOOGLETRANSLATE(B21079,""en"",""zh-CN"")"),"然后切换回流水。")</f>
        <v>然后切换回流水。</v>
      </c>
    </row>
    <row r="21080">
      <c r="A21080" s="4" t="s">
        <v>26546</v>
      </c>
      <c r="B21080" s="4" t="s">
        <v>26547</v>
      </c>
      <c r="C21080" s="5" t="str">
        <f>IFERROR(__xludf.DUMMYFUNCTION("GOOGLETRANSLATE(B21080,""en"",""zh-CN"")"),"我们看到一个女人击中了皮纳塔。")</f>
        <v>我们看到一个女人击中了皮纳塔。</v>
      </c>
    </row>
    <row r="21081">
      <c r="A21081" s="4" t="s">
        <v>26546</v>
      </c>
      <c r="B21081" s="4" t="s">
        <v>26548</v>
      </c>
      <c r="C21081" s="5" t="str">
        <f>IFERROR(__xludf.DUMMYFUNCTION("GOOGLETRANSLATE(B21081,""en"",""zh-CN"")"),"女士停下来排队。")</f>
        <v>女士停下来排队。</v>
      </c>
    </row>
    <row r="21082">
      <c r="A21082" s="4" t="s">
        <v>26546</v>
      </c>
      <c r="B21082" s="4" t="s">
        <v>26549</v>
      </c>
      <c r="C21082" s="5" t="str">
        <f>IFERROR(__xludf.DUMMYFUNCTION("GOOGLETRANSLATE(B21082,""en"",""zh-CN"")"),"这位女士击中了皮纳塔（Pinata）。")</f>
        <v>这位女士击中了皮纳塔（Pinata）。</v>
      </c>
    </row>
    <row r="21083">
      <c r="A21083" s="4" t="s">
        <v>26546</v>
      </c>
      <c r="B21083" s="4" t="s">
        <v>26550</v>
      </c>
      <c r="C21083" s="5" t="str">
        <f>IFERROR(__xludf.DUMMYFUNCTION("GOOGLETRANSLATE(B21083,""en"",""zh-CN"")"),"一个男人从女士手中拿走蝙蝠。")</f>
        <v>一个男人从女士手中拿走蝙蝠。</v>
      </c>
    </row>
    <row r="21084">
      <c r="A21084" s="4" t="s">
        <v>26551</v>
      </c>
      <c r="B21084" s="4" t="s">
        <v>26552</v>
      </c>
      <c r="C21084" s="5" t="str">
        <f>IFERROR(__xludf.DUMMYFUNCTION("GOOGLETRANSLATE(B21084,""en"",""zh-CN"")"),"一个穿着实验室外套的男人使用swiffer扫帚。")</f>
        <v>一个穿着实验室外套的男人使用swiffer扫帚。</v>
      </c>
    </row>
    <row r="21085">
      <c r="A21085" s="4" t="s">
        <v>26551</v>
      </c>
      <c r="B21085" s="4" t="s">
        <v>26553</v>
      </c>
      <c r="C21085" s="5" t="str">
        <f>IFERROR(__xludf.DUMMYFUNCTION("GOOGLETRANSLATE(B21085,""en"",""zh-CN"")"),"他用清洁解决方案在地板上耙它。")</f>
        <v>他用清洁解决方案在地板上耙它。</v>
      </c>
    </row>
    <row r="21086">
      <c r="A21086" s="4" t="s">
        <v>26551</v>
      </c>
      <c r="B21086" s="4" t="s">
        <v>26554</v>
      </c>
      <c r="C21086" s="5" t="str">
        <f>IFERROR(__xludf.DUMMYFUNCTION("GOOGLETRANSLATE(B21086,""en"",""zh-CN"")"),"地板在他的脚下干净时发光。")</f>
        <v>地板在他的脚下干净时发光。</v>
      </c>
    </row>
    <row r="21087">
      <c r="A21087" s="4" t="s">
        <v>26555</v>
      </c>
      <c r="B21087" s="6" t="s">
        <v>26556</v>
      </c>
      <c r="C21087" s="5" t="str">
        <f>IFERROR(__xludf.DUMMYFUNCTION("GOOGLETRANSLATE(B21087,""en"",""zh-CN"")"),"一个人站在架子上戴着自行车，显示其不同的零件和功能，包括车轮。")</f>
        <v>一个人站在架子上戴着自行车，显示其不同的零件和功能，包括车轮。</v>
      </c>
    </row>
    <row r="21088">
      <c r="A21088" s="4" t="s">
        <v>26555</v>
      </c>
      <c r="B21088" s="4" t="s">
        <v>26557</v>
      </c>
      <c r="C21088" s="5" t="str">
        <f>IFERROR(__xludf.DUMMYFUNCTION("GOOGLETRANSLATE(B21088,""en"",""zh-CN"")"),"该男子转动曲柄，车轮在自行车上旋转。")</f>
        <v>该男子转动曲柄，车轮在自行车上旋转。</v>
      </c>
    </row>
    <row r="21089">
      <c r="A21089" s="4" t="s">
        <v>26555</v>
      </c>
      <c r="B21089" s="4" t="s">
        <v>26558</v>
      </c>
      <c r="C21089" s="5" t="str">
        <f>IFERROR(__xludf.DUMMYFUNCTION("GOOGLETRANSLATE(B21089,""en"",""zh-CN"")"),"该男子用手旋转前轮。")</f>
        <v>该男子用手旋转前轮。</v>
      </c>
    </row>
    <row r="21090">
      <c r="A21090" s="4" t="s">
        <v>26555</v>
      </c>
      <c r="B21090" s="4" t="s">
        <v>26559</v>
      </c>
      <c r="C21090" s="5" t="str">
        <f>IFERROR(__xludf.DUMMYFUNCTION("GOOGLETRANSLATE(B21090,""en"",""zh-CN"")"),"该男子用手动工具拧紧螺丝。")</f>
        <v>该男子用手动工具拧紧螺丝。</v>
      </c>
    </row>
    <row r="21091">
      <c r="A21091" s="4" t="s">
        <v>26560</v>
      </c>
      <c r="B21091" s="4" t="s">
        <v>26561</v>
      </c>
      <c r="C21091" s="5" t="str">
        <f>IFERROR(__xludf.DUMMYFUNCTION("GOOGLETRANSLATE(B21091,""en"",""zh-CN"")"),"当它坐在草地上时，篮球专注于。")</f>
        <v>当它坐在草地上时，篮球专注于。</v>
      </c>
    </row>
    <row r="21092">
      <c r="A21092" s="4" t="s">
        <v>26560</v>
      </c>
      <c r="B21092" s="6" t="s">
        <v>26562</v>
      </c>
      <c r="C21092" s="5" t="str">
        <f>IFERROR(__xludf.DUMMYFUNCTION("GOOGLETRANSLATE(B21092,""en"",""zh-CN"")"),"然后它缩小了，一个小女孩站在一个用粉笔写的啤酒花开始的开始，一个男人站在末端，他扔了一块粉笔，它破裂了，他跳来跳去，捡起它，她捡起来，她捡起来向上另一件，将其返回到粉笔容器中。")</f>
        <v>然后它缩小了，一个小女孩站在一个用粉笔写的啤酒花开始的开始，一个男人站在末端，他扔了一块粉笔，它破裂了，他跳来跳去，捡起它，她捡起来，她捡起来向上另一件，将其返回到粉笔容器中。</v>
      </c>
    </row>
    <row r="21093">
      <c r="A21093" s="4" t="s">
        <v>26560</v>
      </c>
      <c r="B21093" s="6" t="s">
        <v>26563</v>
      </c>
      <c r="C21093" s="5" t="str">
        <f>IFERROR(__xludf.DUMMYFUNCTION("GOOGLETRANSLATE(B21093,""en"",""zh-CN"")"),"女孩回到了啤酒花的开头，转过身来，他们来回走动，轮流跳来跳去。")</f>
        <v>女孩回到了啤酒花的开头，转过身来，他们来回走动，轮流跳来跳去。</v>
      </c>
    </row>
    <row r="21094">
      <c r="A21094" s="4" t="s">
        <v>26564</v>
      </c>
      <c r="B21094" s="6" t="s">
        <v>26565</v>
      </c>
      <c r="C21094" s="5" t="str">
        <f>IFERROR(__xludf.DUMMYFUNCTION("GOOGLETRANSLATE(B21094,""en"",""zh-CN"")"),"在海滩上，建立了几个带有不同颜色的排球网，而人们站在网旁或坐在网附近。")</f>
        <v>在海滩上，建立了几个带有不同颜色的排球网，而人们站在网旁或坐在网附近。</v>
      </c>
    </row>
    <row r="21095">
      <c r="A21095" s="4" t="s">
        <v>26564</v>
      </c>
      <c r="B21095" s="6" t="s">
        <v>26566</v>
      </c>
      <c r="C21095" s="5" t="str">
        <f>IFERROR(__xludf.DUMMYFUNCTION("GOOGLETRANSLATE(B21095,""en"",""zh-CN"")"),"不同的球队，男性和女性的结合在分配给他们的篮网中打了海滩排球。")</f>
        <v>不同的球队，男性和女性的结合在分配给他们的篮网中打了海滩排球。</v>
      </c>
    </row>
    <row r="21096">
      <c r="A21096" s="4" t="s">
        <v>26567</v>
      </c>
      <c r="B21096" s="4" t="s">
        <v>26568</v>
      </c>
      <c r="C21096" s="5" t="str">
        <f>IFERROR(__xludf.DUMMYFUNCTION("GOOGLETRANSLATE(B21096,""en"",""zh-CN"")"),"人们正在锻炼锻炼自行车。")</f>
        <v>人们正在锻炼锻炼自行车。</v>
      </c>
    </row>
    <row r="21097">
      <c r="A21097" s="4" t="s">
        <v>26567</v>
      </c>
      <c r="B21097" s="4" t="s">
        <v>26569</v>
      </c>
      <c r="C21097" s="5" t="str">
        <f>IFERROR(__xludf.DUMMYFUNCTION("GOOGLETRANSLATE(B21097,""en"",""zh-CN"")"),"一个穿着蓝色衬衫的男人站在他们面前跑来跑去。")</f>
        <v>一个穿着蓝色衬衫的男人站在他们面前跑来跑去。</v>
      </c>
    </row>
    <row r="21098">
      <c r="A21098" s="4" t="s">
        <v>26570</v>
      </c>
      <c r="B21098" s="4" t="s">
        <v>26571</v>
      </c>
      <c r="C21098" s="5" t="str">
        <f>IFERROR(__xludf.DUMMYFUNCTION("GOOGLETRANSLATE(B21098,""en"",""zh-CN"")"),"记者在电视机中进行了交谈，然后在公园里谈论记者，然后显示了伦敦地图。")</f>
        <v>记者在电视机中进行了交谈，然后在公园里谈论记者，然后显示了伦敦地图。</v>
      </c>
    </row>
    <row r="21099">
      <c r="A21099" s="4" t="s">
        <v>26570</v>
      </c>
      <c r="B21099" s="4" t="s">
        <v>26572</v>
      </c>
      <c r="C21099" s="5" t="str">
        <f>IFERROR(__xludf.DUMMYFUNCTION("GOOGLETRANSLATE(B21099,""en"",""zh-CN"")"),"一个男人展示一个带着香烟的书包，然后是下一篇论文。")</f>
        <v>一个男人展示一个带着香烟的书包，然后是下一篇论文。</v>
      </c>
    </row>
    <row r="21100">
      <c r="A21100" s="4" t="s">
        <v>26570</v>
      </c>
      <c r="B21100" s="4" t="s">
        <v>26573</v>
      </c>
      <c r="C21100" s="5" t="str">
        <f>IFERROR(__xludf.DUMMYFUNCTION("GOOGLETRANSLATE(B21100,""en"",""zh-CN"")"),"之后，这个人在后院向记者解释。")</f>
        <v>之后，这个人在后院向记者解释。</v>
      </c>
    </row>
    <row r="21101">
      <c r="A21101" s="4" t="s">
        <v>26570</v>
      </c>
      <c r="B21101" s="4" t="s">
        <v>26574</v>
      </c>
      <c r="C21101" s="5" t="str">
        <f>IFERROR(__xludf.DUMMYFUNCTION("GOOGLETRANSLATE(B21101,""en"",""zh-CN"")"),"人们在公园里走路，一个有宠物和母亲和孩子的人。")</f>
        <v>人们在公园里走路，一个有宠物和母亲和孩子的人。</v>
      </c>
    </row>
    <row r="21102">
      <c r="A21102" s="4" t="s">
        <v>26570</v>
      </c>
      <c r="B21102" s="4" t="s">
        <v>26575</v>
      </c>
      <c r="C21102" s="5" t="str">
        <f>IFERROR(__xludf.DUMMYFUNCTION("GOOGLETRANSLATE(B21102,""en"",""zh-CN"")"),"一个男人和一个女人与记者交谈。")</f>
        <v>一个男人和一个女人与记者交谈。</v>
      </c>
    </row>
    <row r="21103">
      <c r="A21103" s="4" t="s">
        <v>26576</v>
      </c>
      <c r="B21103" s="4" t="s">
        <v>26577</v>
      </c>
      <c r="C21103" s="5" t="str">
        <f>IFERROR(__xludf.DUMMYFUNCTION("GOOGLETRANSLATE(B21103,""en"",""zh-CN"")"),"个人玩槌球，相机只显示了小腿和球和槌。")</f>
        <v>个人玩槌球，相机只显示了小腿和球和槌。</v>
      </c>
    </row>
    <row r="21104">
      <c r="A21104" s="4" t="s">
        <v>26576</v>
      </c>
      <c r="B21104" s="4" t="s">
        <v>26578</v>
      </c>
      <c r="C21104" s="5" t="str">
        <f>IFERROR(__xludf.DUMMYFUNCTION("GOOGLETRANSLATE(B21104,""en"",""zh-CN"")"),"一群穿着女巫服装的人会随着一次谈话而站在一起。")</f>
        <v>一群穿着女巫服装的人会随着一次谈话而站在一起。</v>
      </c>
    </row>
    <row r="21105">
      <c r="A21105" s="4" t="s">
        <v>26576</v>
      </c>
      <c r="B21105" s="4" t="s">
        <v>26579</v>
      </c>
      <c r="C21105" s="5" t="str">
        <f>IFERROR(__xludf.DUMMYFUNCTION("GOOGLETRANSLATE(B21105,""en"",""zh-CN"")"),"显示了更多的小型视频，其中显示了玩槌球的人。")</f>
        <v>显示了更多的小型视频，其中显示了玩槌球的人。</v>
      </c>
    </row>
    <row r="21106">
      <c r="A21106" s="4" t="s">
        <v>26576</v>
      </c>
      <c r="B21106" s="4" t="s">
        <v>26580</v>
      </c>
      <c r="C21106" s="5" t="str">
        <f>IFERROR(__xludf.DUMMYFUNCTION("GOOGLETRANSLATE(B21106,""en"",""zh-CN"")"),"再次显示了女巫服装的人群。")</f>
        <v>再次显示了女巫服装的人群。</v>
      </c>
    </row>
    <row r="21107">
      <c r="A21107" s="4" t="s">
        <v>26576</v>
      </c>
      <c r="B21107" s="4" t="s">
        <v>26581</v>
      </c>
      <c r="C21107" s="5" t="str">
        <f>IFERROR(__xludf.DUMMYFUNCTION("GOOGLETRANSLATE(B21107,""en"",""zh-CN"")"),"显示了一系列的槌球团队，其中一些穿着服装。")</f>
        <v>显示了一系列的槌球团队，其中一些穿着服装。</v>
      </c>
    </row>
    <row r="21108">
      <c r="A21108" s="4" t="s">
        <v>26576</v>
      </c>
      <c r="B21108" s="4" t="s">
        <v>26582</v>
      </c>
      <c r="C21108" s="5" t="str">
        <f>IFERROR(__xludf.DUMMYFUNCTION("GOOGLETRANSLATE(B21108,""en"",""zh-CN"")"),"再次显示了女巫服装的人群。")</f>
        <v>再次显示了女巫服装的人群。</v>
      </c>
    </row>
    <row r="21109">
      <c r="A21109" s="4" t="s">
        <v>26576</v>
      </c>
      <c r="B21109" s="4" t="s">
        <v>26583</v>
      </c>
      <c r="C21109" s="5" t="str">
        <f>IFERROR(__xludf.DUMMYFUNCTION("GOOGLETRANSLATE(B21109,""en"",""zh-CN"")"),"显示了更多的小视频，其中显示了玩槌球的人。")</f>
        <v>显示了更多的小视频，其中显示了玩槌球的人。</v>
      </c>
    </row>
    <row r="21110">
      <c r="A21110" s="4" t="s">
        <v>26576</v>
      </c>
      <c r="B21110" s="4" t="s">
        <v>26584</v>
      </c>
      <c r="C21110" s="5" t="str">
        <f>IFERROR(__xludf.DUMMYFUNCTION("GOOGLETRANSLATE(B21110,""en"",""zh-CN"")"),"并显示了结尾标题屏幕。")</f>
        <v>并显示了结尾标题屏幕。</v>
      </c>
    </row>
    <row r="21111">
      <c r="A21111" s="4" t="s">
        <v>26585</v>
      </c>
      <c r="B21111" s="4" t="s">
        <v>22735</v>
      </c>
      <c r="C21111" s="5" t="str">
        <f>IFERROR(__xludf.DUMMYFUNCTION("GOOGLETRANSLATE(B21111,""en"",""zh-CN"")"),"一个男人站在酒吧后面。")</f>
        <v>一个男人站在酒吧后面。</v>
      </c>
    </row>
    <row r="21112">
      <c r="A21112" s="4" t="s">
        <v>26585</v>
      </c>
      <c r="B21112" s="4" t="s">
        <v>26586</v>
      </c>
      <c r="C21112" s="5" t="str">
        <f>IFERROR(__xludf.DUMMYFUNCTION("GOOGLETRANSLATE(B21112,""en"",""zh-CN"")"),"他开始切割水果，将其放入玻璃杯中。")</f>
        <v>他开始切割水果，将其放入玻璃杯中。</v>
      </c>
    </row>
    <row r="21113">
      <c r="A21113" s="4" t="s">
        <v>26585</v>
      </c>
      <c r="B21113" s="4" t="s">
        <v>26587</v>
      </c>
      <c r="C21113" s="5" t="str">
        <f>IFERROR(__xludf.DUMMYFUNCTION("GOOGLETRANSLATE(B21113,""en"",""zh-CN"")"),"他开始用棍子捣碎水果。")</f>
        <v>他开始用棍子捣碎水果。</v>
      </c>
    </row>
    <row r="21114">
      <c r="A21114" s="4" t="s">
        <v>26585</v>
      </c>
      <c r="B21114" s="4" t="s">
        <v>26588</v>
      </c>
      <c r="C21114" s="5" t="str">
        <f>IFERROR(__xludf.DUMMYFUNCTION("GOOGLETRANSLATE(B21114,""en"",""zh-CN"")"),"他在玻璃杯中添加冰，然后倒酒。")</f>
        <v>他在玻璃杯中添加冰，然后倒酒。</v>
      </c>
    </row>
    <row r="21115">
      <c r="A21115" s="4" t="s">
        <v>26585</v>
      </c>
      <c r="B21115" s="4" t="s">
        <v>26589</v>
      </c>
      <c r="C21115" s="5" t="str">
        <f>IFERROR(__xludf.DUMMYFUNCTION("GOOGLETRANSLATE(B21115,""en"",""zh-CN"")"),"他摇晃饮料，然后将其倒入一个高大的玻璃杯中。")</f>
        <v>他摇晃饮料，然后将其倒入一个高大的玻璃杯中。</v>
      </c>
    </row>
    <row r="21116">
      <c r="A21116" s="4" t="s">
        <v>26585</v>
      </c>
      <c r="B21116" s="4" t="s">
        <v>26590</v>
      </c>
      <c r="C21116" s="5" t="str">
        <f>IFERROR(__xludf.DUMMYFUNCTION("GOOGLETRANSLATE(B21116,""en"",""zh-CN"")"),"他加入了一些液体，并用稻草搅拌。")</f>
        <v>他加入了一些液体，并用稻草搅拌。</v>
      </c>
    </row>
    <row r="21117">
      <c r="A21117" s="4" t="s">
        <v>26591</v>
      </c>
      <c r="B21117" s="4" t="s">
        <v>1251</v>
      </c>
      <c r="C21117" s="5" t="str">
        <f>IFERROR(__xludf.DUMMYFUNCTION("GOOGLETRANSLATE(B21117,""en"",""zh-CN"")"),"显示了剪辑的信用。")</f>
        <v>显示了剪辑的信用。</v>
      </c>
    </row>
    <row r="21118">
      <c r="A21118" s="4" t="s">
        <v>26591</v>
      </c>
      <c r="B21118" s="4" t="s">
        <v>26592</v>
      </c>
      <c r="C21118" s="5" t="str">
        <f>IFERROR(__xludf.DUMMYFUNCTION("GOOGLETRANSLATE(B21118,""en"",""zh-CN"")"),"一个人用电动切割机修剪草坪上的灌木丛。")</f>
        <v>一个人用电动切割机修剪草坪上的灌木丛。</v>
      </c>
    </row>
    <row r="21119">
      <c r="A21119" s="4" t="s">
        <v>26591</v>
      </c>
      <c r="B21119" s="4" t="s">
        <v>573</v>
      </c>
      <c r="C21119" s="5" t="str">
        <f>IFERROR(__xludf.DUMMYFUNCTION("GOOGLETRANSLATE(B21119,""en"",""zh-CN"")"),"显示了视频的积分。")</f>
        <v>显示了视频的积分。</v>
      </c>
    </row>
    <row r="21120">
      <c r="A21120" s="4" t="s">
        <v>26593</v>
      </c>
      <c r="B21120" s="4" t="s">
        <v>26594</v>
      </c>
      <c r="C21120" s="5" t="str">
        <f>IFERROR(__xludf.DUMMYFUNCTION("GOOGLETRANSLATE(B21120,""en"",""zh-CN"")"),"一个人打开一个设备的按钮，该按钮在木箱旁边有一条漫长的道路。")</f>
        <v>一个人打开一个设备的按钮，该按钮在木箱旁边有一条漫长的道路。</v>
      </c>
    </row>
    <row r="21121">
      <c r="A21121" s="4" t="s">
        <v>26593</v>
      </c>
      <c r="B21121" s="4" t="s">
        <v>26595</v>
      </c>
      <c r="C21121" s="5" t="str">
        <f>IFERROR(__xludf.DUMMYFUNCTION("GOOGLETRANSLATE(B21121,""en"",""zh-CN"")"),"然后，那个男人把杆放在一个洞里，火花出来了，在那个男人结束时发火。")</f>
        <v>然后，那个男人把杆放在一个洞里，火花出来了，在那个男人结束时发火。</v>
      </c>
    </row>
    <row r="21122">
      <c r="A21122" s="4" t="s">
        <v>26596</v>
      </c>
      <c r="B21122" s="4" t="s">
        <v>26597</v>
      </c>
      <c r="C21122" s="5" t="str">
        <f>IFERROR(__xludf.DUMMYFUNCTION("GOOGLETRANSLATE(B21122,""en"",""zh-CN"")"),"有人看到一个人骑着马骑着马在小腿上追逐的坑。")</f>
        <v>有人看到一个人骑着马骑着马在小腿上追逐的坑。</v>
      </c>
    </row>
    <row r="21123">
      <c r="A21123" s="4" t="s">
        <v>26596</v>
      </c>
      <c r="B21123" s="4" t="s">
        <v>26598</v>
      </c>
      <c r="C21123" s="5" t="str">
        <f>IFERROR(__xludf.DUMMYFUNCTION("GOOGLETRANSLATE(B21123,""en"",""zh-CN"")"),"该男子绑住小牛，跳下马以将他绑起来，然后回到马。")</f>
        <v>该男子绑住小牛，跳下马以将他绑起来，然后回到马。</v>
      </c>
    </row>
    <row r="21124">
      <c r="A21124" s="4" t="s">
        <v>26599</v>
      </c>
      <c r="B21124" s="4" t="s">
        <v>26600</v>
      </c>
      <c r="C21124" s="5" t="str">
        <f>IFERROR(__xludf.DUMMYFUNCTION("GOOGLETRANSLATE(B21124,""en"",""zh-CN"")"),"在冲浪板上的海洋中看到一个人。")</f>
        <v>在冲浪板上的海洋中看到一个人。</v>
      </c>
    </row>
    <row r="21125">
      <c r="A21125" s="4" t="s">
        <v>26599</v>
      </c>
      <c r="B21125" s="4" t="s">
        <v>26601</v>
      </c>
      <c r="C21125" s="5" t="str">
        <f>IFERROR(__xludf.DUMMYFUNCTION("GOOGLETRANSLATE(B21125,""en"",""zh-CN"")"),"该人滑向即将来临的浪潮。")</f>
        <v>该人滑向即将来临的浪潮。</v>
      </c>
    </row>
    <row r="21126">
      <c r="A21126" s="4" t="s">
        <v>26599</v>
      </c>
      <c r="B21126" s="4" t="s">
        <v>26602</v>
      </c>
      <c r="C21126" s="5" t="str">
        <f>IFERROR(__xludf.DUMMYFUNCTION("GOOGLETRANSLATE(B21126,""en"",""zh-CN"")"),"然后，男人跳过了波浪。")</f>
        <v>然后，男人跳过了波浪。</v>
      </c>
    </row>
    <row r="21127">
      <c r="A21127" s="4" t="s">
        <v>26599</v>
      </c>
      <c r="B21127" s="4" t="s">
        <v>26603</v>
      </c>
      <c r="C21127" s="5" t="str">
        <f>IFERROR(__xludf.DUMMYFUNCTION("GOOGLETRANSLATE(B21127,""en"",""zh-CN"")"),"然后，该男子骑着新浪潮的内部。")</f>
        <v>然后，该男子骑着新浪潮的内部。</v>
      </c>
    </row>
    <row r="21128">
      <c r="A21128" s="4" t="s">
        <v>26604</v>
      </c>
      <c r="B21128" s="6" t="s">
        <v>26605</v>
      </c>
      <c r="C21128" s="5" t="str">
        <f>IFERROR(__xludf.DUMMYFUNCTION("GOOGLETRANSLATE(B21128,""en"",""zh-CN"")"),"一位握着小提琴的美丽的年轻女子开始来回靠在船头上来回运动，以播放她练习的歌曲。")</f>
        <v>一位握着小提琴的美丽的年轻女子开始来回靠在船头上来回运动，以播放她练习的歌曲。</v>
      </c>
    </row>
    <row r="21129">
      <c r="A21129" s="4" t="s">
        <v>26604</v>
      </c>
      <c r="B21129" s="6" t="s">
        <v>26606</v>
      </c>
      <c r="C21129" s="5" t="str">
        <f>IFERROR(__xludf.DUMMYFUNCTION("GOOGLETRANSLATE(B21129,""en"",""zh-CN"")"),"穿着黑色袖子的穿着漂亮的女人继续玩耍，间歇性地微笑着，而雄辩地在房间的角落里拿着不同的和弦和音符在她演奏时来回跳舞。")</f>
        <v>穿着黑色袖子的穿着漂亮的女人继续玩耍，间歇性地微笑着，而雄辩地在房间的角落里拿着不同的和弦和音符在她演奏时来回跳舞。</v>
      </c>
    </row>
    <row r="21130">
      <c r="A21130" s="4" t="s">
        <v>26604</v>
      </c>
      <c r="B21130" s="6" t="s">
        <v>26607</v>
      </c>
      <c r="C21130" s="5" t="str">
        <f>IFERROR(__xludf.DUMMYFUNCTION("GOOGLETRANSLATE(B21130,""en"",""zh-CN"")"),"该名女子停止演奏并再次微笑，然后走出相机的视线，将小提琴放下并结束歌曲。")</f>
        <v>该名女子停止演奏并再次微笑，然后走出相机的视线，将小提琴放下并结束歌曲。</v>
      </c>
    </row>
    <row r="21131">
      <c r="A21131" s="4" t="s">
        <v>26608</v>
      </c>
      <c r="B21131" s="4" t="s">
        <v>26609</v>
      </c>
      <c r="C21131" s="5" t="str">
        <f>IFERROR(__xludf.DUMMYFUNCTION("GOOGLETRANSLATE(B21131,""en"",""zh-CN"")"),"一个人乘坐水中的另一艘船航行。")</f>
        <v>一个人乘坐水中的另一艘船航行。</v>
      </c>
    </row>
    <row r="21132">
      <c r="A21132" s="4" t="s">
        <v>26608</v>
      </c>
      <c r="B21132" s="4" t="s">
        <v>26610</v>
      </c>
      <c r="C21132" s="5" t="str">
        <f>IFERROR(__xludf.DUMMYFUNCTION("GOOGLETRANSLATE(B21132,""en"",""zh-CN"")"),"有几个场景显示了人们在船上航行的场景。")</f>
        <v>有几个场景显示了人们在船上航行的场景。</v>
      </c>
    </row>
    <row r="21133">
      <c r="A21133" s="4" t="s">
        <v>26608</v>
      </c>
      <c r="B21133" s="4" t="s">
        <v>26611</v>
      </c>
      <c r="C21133" s="5" t="str">
        <f>IFERROR(__xludf.DUMMYFUNCTION("GOOGLETRANSLATE(B21133,""en"",""zh-CN"")"),"一个男人站着和镜头说话。")</f>
        <v>一个男人站着和镜头说话。</v>
      </c>
    </row>
    <row r="21134">
      <c r="A21134" s="4" t="s">
        <v>26612</v>
      </c>
      <c r="B21134" s="4" t="s">
        <v>26613</v>
      </c>
      <c r="C21134" s="5" t="str">
        <f>IFERROR(__xludf.DUMMYFUNCTION("GOOGLETRANSLATE(B21134,""en"",""zh-CN"")"),"一个人站在金属高跟上，将大型的直边在天花板上拉出，以使石膏扁平。")</f>
        <v>一个人站在金属高跟上，将大型的直边在天花板上拉出，以使石膏扁平。</v>
      </c>
    </row>
    <row r="21135">
      <c r="A21135" s="4" t="s">
        <v>26612</v>
      </c>
      <c r="B21135" s="4" t="s">
        <v>26614</v>
      </c>
      <c r="C21135" s="5" t="str">
        <f>IFERROR(__xludf.DUMMYFUNCTION("GOOGLETRANSLATE(B21135,""en"",""zh-CN"")"),"该男子到达最近的一侧，然后转身继续。")</f>
        <v>该男子到达最近的一侧，然后转身继续。</v>
      </c>
    </row>
    <row r="21136">
      <c r="A21136" s="4" t="s">
        <v>26612</v>
      </c>
      <c r="B21136" s="4" t="s">
        <v>26615</v>
      </c>
      <c r="C21136" s="5" t="str">
        <f>IFERROR(__xludf.DUMMYFUNCTION("GOOGLETRANSLATE(B21136,""en"",""zh-CN"")"),"该男子到达房间的另一侧，转身继续​​。")</f>
        <v>该男子到达房间的另一侧，转身继续​​。</v>
      </c>
    </row>
    <row r="21137">
      <c r="A21137" s="4" t="s">
        <v>26612</v>
      </c>
      <c r="B21137" s="4" t="s">
        <v>26616</v>
      </c>
      <c r="C21137" s="5" t="str">
        <f>IFERROR(__xludf.DUMMYFUNCTION("GOOGLETRANSLATE(B21137,""en"",""zh-CN"")"),"该人完成并降低了直边工具微笑。")</f>
        <v>该人完成并降低了直边工具微笑。</v>
      </c>
    </row>
    <row r="21138">
      <c r="A21138" s="4" t="s">
        <v>26617</v>
      </c>
      <c r="B21138" s="4" t="s">
        <v>26618</v>
      </c>
      <c r="C21138" s="5" t="str">
        <f>IFERROR(__xludf.DUMMYFUNCTION("GOOGLETRANSLATE(B21138,""en"",""zh-CN"")"),"我们看到一半的蛋糕在一个人的手上指向事物。")</f>
        <v>我们看到一半的蛋糕在一个人的手上指向事物。</v>
      </c>
    </row>
    <row r="21139">
      <c r="A21139" s="4" t="s">
        <v>26617</v>
      </c>
      <c r="B21139" s="4" t="s">
        <v>26619</v>
      </c>
      <c r="C21139" s="5" t="str">
        <f>IFERROR(__xludf.DUMMYFUNCTION("GOOGLETRANSLATE(B21139,""en"",""zh-CN"")"),"我们看到该人在上面的纸板上旋转蛋糕。")</f>
        <v>我们看到该人在上面的纸板上旋转蛋糕。</v>
      </c>
    </row>
    <row r="21140">
      <c r="A21140" s="4" t="s">
        <v>26617</v>
      </c>
      <c r="B21140" s="4" t="s">
        <v>26620</v>
      </c>
      <c r="C21140" s="5" t="str">
        <f>IFERROR(__xludf.DUMMYFUNCTION("GOOGLETRANSLATE(B21140,""en"",""zh-CN"")"),"一个人将蜡纸刮在蛋糕上。")</f>
        <v>一个人将蜡纸刮在蛋糕上。</v>
      </c>
    </row>
    <row r="21141">
      <c r="A21141" s="4" t="s">
        <v>26617</v>
      </c>
      <c r="B21141" s="4" t="s">
        <v>26621</v>
      </c>
      <c r="C21141" s="5" t="str">
        <f>IFERROR(__xludf.DUMMYFUNCTION("GOOGLETRANSLATE(B21141,""en"",""zh-CN"")"),"我们看到整个地球都被巧克力覆盖。")</f>
        <v>我们看到整个地球都被巧克力覆盖。</v>
      </c>
    </row>
    <row r="21142">
      <c r="A21142" s="4" t="s">
        <v>26622</v>
      </c>
      <c r="B21142" s="4" t="s">
        <v>26623</v>
      </c>
      <c r="C21142" s="5" t="str">
        <f>IFERROR(__xludf.DUMMYFUNCTION("GOOGLETRANSLATE(B21142,""en"",""zh-CN"")"),"男人从挡风玻璃上碎了冰。")</f>
        <v>男人从挡风玻璃上碎了冰。</v>
      </c>
    </row>
    <row r="21143">
      <c r="A21143" s="4" t="s">
        <v>26622</v>
      </c>
      <c r="B21143" s="4" t="s">
        <v>26624</v>
      </c>
      <c r="C21143" s="5" t="str">
        <f>IFERROR(__xludf.DUMMYFUNCTION("GOOGLETRANSLATE(B21143,""en"",""zh-CN"")"),"黑色男人在挡风玻璃上放了一块纸板。")</f>
        <v>黑色男人在挡风玻璃上放了一块纸板。</v>
      </c>
    </row>
    <row r="21144">
      <c r="A21144" s="4" t="s">
        <v>26622</v>
      </c>
      <c r="B21144" s="4" t="s">
        <v>26625</v>
      </c>
      <c r="C21144" s="5" t="str">
        <f>IFERROR(__xludf.DUMMYFUNCTION("GOOGLETRANSLATE(B21144,""en"",""zh-CN"")"),"人将热水混合物倒在他的冷挡风玻璃上。")</f>
        <v>人将热水混合物倒在他的冷挡风玻璃上。</v>
      </c>
    </row>
    <row r="21145">
      <c r="A21145" s="4" t="s">
        <v>26626</v>
      </c>
      <c r="B21145" s="4" t="s">
        <v>26627</v>
      </c>
      <c r="C21145" s="5" t="str">
        <f>IFERROR(__xludf.DUMMYFUNCTION("GOOGLETRANSLATE(B21145,""en"",""zh-CN"")"),"看到两名妇女坐在公园里，一个在公园里。")</f>
        <v>看到两名妇女坐在公园里，一个在公园里。</v>
      </c>
    </row>
    <row r="21146">
      <c r="A21146" s="4" t="s">
        <v>26626</v>
      </c>
      <c r="B21146" s="4" t="s">
        <v>26628</v>
      </c>
      <c r="C21146" s="5" t="str">
        <f>IFERROR(__xludf.DUMMYFUNCTION("GOOGLETRANSLATE(B21146,""en"",""zh-CN"")"),"一个女孩坐在后面时开始编织另一个头发。")</f>
        <v>一个女孩坐在后面时开始编织另一个头发。</v>
      </c>
    </row>
    <row r="21147">
      <c r="A21147" s="4" t="s">
        <v>26626</v>
      </c>
      <c r="B21147" s="4" t="s">
        <v>26629</v>
      </c>
      <c r="C21147" s="5" t="str">
        <f>IFERROR(__xludf.DUMMYFUNCTION("GOOGLETRANSLATE(B21147,""en"",""zh-CN"")"),"女孩完成头发，而另一个则回头看相机。")</f>
        <v>女孩完成头发，而另一个则回头看相机。</v>
      </c>
    </row>
    <row r="21148">
      <c r="A21148" s="4" t="s">
        <v>26630</v>
      </c>
      <c r="B21148" s="4" t="s">
        <v>26631</v>
      </c>
      <c r="C21148" s="5" t="str">
        <f>IFERROR(__xludf.DUMMYFUNCTION("GOOGLETRANSLATE(B21148,""en"",""zh-CN"")"),"在体育场的比赛中，运动员在比赛中投掷标枪。")</f>
        <v>在体育场的比赛中，运动员在比赛中投掷标枪。</v>
      </c>
    </row>
    <row r="21149">
      <c r="A21149" s="4" t="s">
        <v>26630</v>
      </c>
      <c r="B21149" s="4" t="s">
        <v>26632</v>
      </c>
      <c r="C21149" s="5" t="str">
        <f>IFERROR(__xludf.DUMMYFUNCTION("GOOGLETRANSLATE(B21149,""en"",""zh-CN"")"),"运动员对自己的掷球不满意，沮丧地拍打双腿。")</f>
        <v>运动员对自己的掷球不满意，沮丧地拍打双腿。</v>
      </c>
    </row>
    <row r="21150">
      <c r="A21150" s="4" t="s">
        <v>26630</v>
      </c>
      <c r="B21150" s="6" t="s">
        <v>26633</v>
      </c>
      <c r="C21150" s="5" t="str">
        <f>IFERROR(__xludf.DUMMYFUNCTION("GOOGLETRANSLATE(B21150,""en"",""zh-CN"")"),"运动员对他的投掷感到适度地满意，并拍了拍双手走开并点了点头。")</f>
        <v>运动员对他的投掷感到适度地满意，并拍了拍双手走开并点了点头。</v>
      </c>
    </row>
    <row r="21151">
      <c r="A21151" s="4" t="s">
        <v>26630</v>
      </c>
      <c r="B21151" s="4" t="s">
        <v>26634</v>
      </c>
      <c r="C21151" s="5" t="str">
        <f>IFERROR(__xludf.DUMMYFUNCTION("GOOGLETRANSLATE(B21151,""en"",""zh-CN"")"),"在比赛的结果中可以看到记分牌。")</f>
        <v>在比赛的结果中可以看到记分牌。</v>
      </c>
    </row>
    <row r="21152">
      <c r="A21152" s="4" t="s">
        <v>26635</v>
      </c>
      <c r="B21152" s="4" t="s">
        <v>26636</v>
      </c>
      <c r="C21152" s="5" t="str">
        <f>IFERROR(__xludf.DUMMYFUNCTION("GOOGLETRANSLATE(B21152,""en"",""zh-CN"")"),"一个人正在使用拖把来拖把。")</f>
        <v>一个人正在使用拖把来拖把。</v>
      </c>
    </row>
    <row r="21153">
      <c r="A21153" s="4" t="s">
        <v>26635</v>
      </c>
      <c r="B21153" s="4" t="s">
        <v>26637</v>
      </c>
      <c r="C21153" s="5" t="str">
        <f>IFERROR(__xludf.DUMMYFUNCTION("GOOGLETRANSLATE(B21153,""en"",""zh-CN"")"),"一只小狗正在追逐拖把。")</f>
        <v>一只小狗正在追逐拖把。</v>
      </c>
    </row>
    <row r="21154">
      <c r="A21154" s="4" t="s">
        <v>26635</v>
      </c>
      <c r="B21154" s="4" t="s">
        <v>26638</v>
      </c>
      <c r="C21154" s="5" t="str">
        <f>IFERROR(__xludf.DUMMYFUNCTION("GOOGLETRANSLATE(B21154,""en"",""zh-CN"")"),"他们继续用狗在拖把上拖把。")</f>
        <v>他们继续用狗在拖把上拖把。</v>
      </c>
    </row>
    <row r="21155">
      <c r="A21155" s="4" t="s">
        <v>26639</v>
      </c>
      <c r="B21155" s="4" t="s">
        <v>26640</v>
      </c>
      <c r="C21155" s="5" t="str">
        <f>IFERROR(__xludf.DUMMYFUNCTION("GOOGLETRANSLATE(B21155,""en"",""zh-CN"")"),"一只穿着红色和白色工作服的玩具熊将一杯咖啡倒入黄色的咖啡杯中。")</f>
        <v>一只穿着红色和白色工作服的玩具熊将一杯咖啡倒入黄色的咖啡杯中。</v>
      </c>
    </row>
    <row r="21156">
      <c r="A21156" s="4" t="s">
        <v>26639</v>
      </c>
      <c r="B21156" s="4" t="s">
        <v>26641</v>
      </c>
      <c r="C21156" s="5" t="str">
        <f>IFERROR(__xludf.DUMMYFUNCTION("GOOGLETRANSLATE(B21156,""en"",""zh-CN"")"),"相机人从侧视图放大玩具熊到前视图。")</f>
        <v>相机人从侧视图放大玩具熊到前视图。</v>
      </c>
    </row>
    <row r="21157">
      <c r="A21157" s="4" t="s">
        <v>26639</v>
      </c>
      <c r="B21157" s="4" t="s">
        <v>26642</v>
      </c>
      <c r="C21157" s="5" t="str">
        <f>IFERROR(__xludf.DUMMYFUNCTION("GOOGLETRANSLATE(B21157,""en"",""zh-CN"")"),"摄影师摇晃，移至玩具熊的侧视图并放大。")</f>
        <v>摄影师摇晃，移至玩具熊的侧视图并放大。</v>
      </c>
    </row>
    <row r="21158">
      <c r="A21158" s="4" t="s">
        <v>26643</v>
      </c>
      <c r="B21158" s="4" t="s">
        <v>26644</v>
      </c>
      <c r="C21158" s="5" t="str">
        <f>IFERROR(__xludf.DUMMYFUNCTION("GOOGLETRANSLATE(B21158,""en"",""zh-CN"")"),"有一个女孩穿着棕色欢呼衬衫在示范中如何涂指甲。")</f>
        <v>有一个女孩穿着棕色欢呼衬衫在示范中如何涂指甲。</v>
      </c>
    </row>
    <row r="21159">
      <c r="A21159" s="4" t="s">
        <v>26643</v>
      </c>
      <c r="B21159" s="4" t="s">
        <v>26645</v>
      </c>
      <c r="C21159" s="5" t="str">
        <f>IFERROR(__xludf.DUMMYFUNCTION("GOOGLETRANSLATE(B21159,""en"",""zh-CN"")"),"她展示了一瓶洋红色的指甲油，她已经在指甲上使用了。")</f>
        <v>她展示了一瓶洋红色的指甲油，她已经在指甲上使用了。</v>
      </c>
    </row>
    <row r="21160">
      <c r="A21160" s="4" t="s">
        <v>26643</v>
      </c>
      <c r="B21160" s="6" t="s">
        <v>26646</v>
      </c>
      <c r="C21160" s="5" t="str">
        <f>IFERROR(__xludf.DUMMYFUNCTION("GOOGLETRANSLATE(B21160,""en"",""zh-CN"")"),"然后，她拿了一条水钻条，她精心将其放在彩绘指甲上。")</f>
        <v>然后，她拿了一条水钻条，她精心将其放在彩绘指甲上。</v>
      </c>
    </row>
    <row r="21161">
      <c r="A21161" s="4" t="s">
        <v>26643</v>
      </c>
      <c r="B21161" s="6" t="s">
        <v>26647</v>
      </c>
      <c r="C21161" s="5" t="str">
        <f>IFERROR(__xludf.DUMMYFUNCTION("GOOGLETRANSLATE(B21161,""en"",""zh-CN"")"),"然后，她用一层中性抛光剂涂上指甲和水钻，以固定水钻。")</f>
        <v>然后，她用一层中性抛光剂涂上指甲和水钻，以固定水钻。</v>
      </c>
    </row>
    <row r="21162">
      <c r="A21162" s="4" t="s">
        <v>26643</v>
      </c>
      <c r="B21162" s="4" t="s">
        <v>26648</v>
      </c>
      <c r="C21162" s="5" t="str">
        <f>IFERROR(__xludf.DUMMYFUNCTION("GOOGLETRANSLATE(B21162,""en"",""zh-CN"")"),"当两个男孩站在她的身后试图参加视频教程时，她在相机中说话。")</f>
        <v>当两个男孩站在她的身后试图参加视频教程时，她在相机中说话。</v>
      </c>
    </row>
    <row r="21163">
      <c r="A21163" s="4" t="s">
        <v>26649</v>
      </c>
      <c r="B21163" s="4" t="s">
        <v>1487</v>
      </c>
      <c r="C21163" s="5" t="str">
        <f>IFERROR(__xludf.DUMMYFUNCTION("GOOGLETRANSLATE(B21163,""en"",""zh-CN"")"),"我们看到一个开放标题屏幕。")</f>
        <v>我们看到一个开放标题屏幕。</v>
      </c>
    </row>
    <row r="21164">
      <c r="A21164" s="4" t="s">
        <v>26649</v>
      </c>
      <c r="B21164" s="4" t="s">
        <v>26650</v>
      </c>
      <c r="C21164" s="5" t="str">
        <f>IFERROR(__xludf.DUMMYFUNCTION("GOOGLETRANSLATE(B21164,""en"",""zh-CN"")"),"我们看到一个穿着橙色衬衫的男人旋转着旋转，将锤子超过80公里。")</f>
        <v>我们看到一个穿着橙色衬衫的男人旋转着旋转，将锤子超过80公里。</v>
      </c>
    </row>
    <row r="21165">
      <c r="A21165" s="4" t="s">
        <v>26649</v>
      </c>
      <c r="B21165" s="4" t="s">
        <v>26651</v>
      </c>
      <c r="C21165" s="5" t="str">
        <f>IFERROR(__xludf.DUMMYFUNCTION("GOOGLETRANSLATE(B21165,""en"",""zh-CN"")"),"接下来，我们看到一个穿着蓝色衬衫73公里的男人。")</f>
        <v>接下来，我们看到一个穿着蓝色衬衫73公里的男人。</v>
      </c>
    </row>
    <row r="21166">
      <c r="A21166" s="4" t="s">
        <v>26649</v>
      </c>
      <c r="B21166" s="4" t="s">
        <v>26652</v>
      </c>
      <c r="C21166" s="5" t="str">
        <f>IFERROR(__xludf.DUMMYFUNCTION("GOOGLETRANSLATE(B21166,""en"",""zh-CN"")"),"我们看到一个穿着白衬衫75公里的男人。")</f>
        <v>我们看到一个穿着白衬衫75公里的男人。</v>
      </c>
    </row>
    <row r="21167">
      <c r="A21167" s="4" t="s">
        <v>26649</v>
      </c>
      <c r="B21167" s="4" t="s">
        <v>26653</v>
      </c>
      <c r="C21167" s="5" t="str">
        <f>IFERROR(__xludf.DUMMYFUNCTION("GOOGLETRANSLATE(B21167,""en"",""zh-CN"")"),"橙色的那个人再次扔了81公里。")</f>
        <v>橙色的那个人再次扔了81公里。</v>
      </c>
    </row>
    <row r="21168">
      <c r="A21168" s="4" t="s">
        <v>26654</v>
      </c>
      <c r="B21168" s="4" t="s">
        <v>26655</v>
      </c>
      <c r="C21168" s="5" t="str">
        <f>IFERROR(__xludf.DUMMYFUNCTION("GOOGLETRANSLATE(B21168,""en"",""zh-CN"")"),"一个年轻的女孩，化妆教程。")</f>
        <v>一个年轻的女孩，化妆教程。</v>
      </c>
    </row>
    <row r="21169">
      <c r="A21169" s="4" t="s">
        <v>26654</v>
      </c>
      <c r="B21169" s="4" t="s">
        <v>26656</v>
      </c>
      <c r="C21169" s="5" t="str">
        <f>IFERROR(__xludf.DUMMYFUNCTION("GOOGLETRANSLATE(B21169,""en"",""zh-CN"")"),"她从眼影开始。")</f>
        <v>她从眼影开始。</v>
      </c>
    </row>
    <row r="21170">
      <c r="A21170" s="4" t="s">
        <v>26654</v>
      </c>
      <c r="B21170" s="4" t="s">
        <v>26657</v>
      </c>
      <c r="C21170" s="5" t="str">
        <f>IFERROR(__xludf.DUMMYFUNCTION("GOOGLETRANSLATE(B21170,""en"",""zh-CN"")"),"她有点分心，开始与房间里的其他人交谈。")</f>
        <v>她有点分心，开始与房间里的其他人交谈。</v>
      </c>
    </row>
    <row r="21171">
      <c r="A21171" s="4" t="s">
        <v>26654</v>
      </c>
      <c r="B21171" s="4" t="s">
        <v>26658</v>
      </c>
      <c r="C21171" s="5" t="str">
        <f>IFERROR(__xludf.DUMMYFUNCTION("GOOGLETRANSLATE(B21171,""en"",""zh-CN"")"),"然后，她完成了另一只眼睛，笑了一点。")</f>
        <v>然后，她完成了另一只眼睛，笑了一点。</v>
      </c>
    </row>
    <row r="21172">
      <c r="A21172" s="4" t="s">
        <v>26659</v>
      </c>
      <c r="B21172" s="4" t="s">
        <v>26660</v>
      </c>
      <c r="C21172" s="5" t="str">
        <f>IFERROR(__xludf.DUMMYFUNCTION("GOOGLETRANSLATE(B21172,""en"",""zh-CN"")"),"看到一个人躺在一条长的电线上，一直走到一路。")</f>
        <v>看到一个人躺在一条长的电线上，一直走到一路。</v>
      </c>
    </row>
    <row r="21173">
      <c r="A21173" s="4" t="s">
        <v>26659</v>
      </c>
      <c r="B21173" s="4" t="s">
        <v>26661</v>
      </c>
      <c r="C21173" s="5" t="str">
        <f>IFERROR(__xludf.DUMMYFUNCTION("GOOGLETRANSLATE(B21173,""en"",""zh-CN"")"),"他试图再次翻过绳子，但失败并伤害了自己。")</f>
        <v>他试图再次翻过绳子，但失败并伤害了自己。</v>
      </c>
    </row>
    <row r="21174">
      <c r="A21174" s="4" t="s">
        <v>26659</v>
      </c>
      <c r="B21174" s="4" t="s">
        <v>26662</v>
      </c>
      <c r="C21174" s="5" t="str">
        <f>IFERROR(__xludf.DUMMYFUNCTION("GOOGLETRANSLATE(B21174,""en"",""zh-CN"")"),"当一个人再次滑过时，还看到了更多的男人。")</f>
        <v>当一个人再次滑过时，还看到了更多的男人。</v>
      </c>
    </row>
    <row r="21175">
      <c r="A21175" s="4" t="s">
        <v>26659</v>
      </c>
      <c r="B21175" s="6" t="s">
        <v>26663</v>
      </c>
      <c r="C21175" s="5" t="str">
        <f>IFERROR(__xludf.DUMMYFUNCTION("GOOGLETRANSLATE(B21175,""en"",""zh-CN"")"),"看到另一个男人在岩石上翻转，并显示了更多的人走在弦上。")</f>
        <v>看到另一个男人在岩石上翻转，并显示了更多的人走在弦上。</v>
      </c>
    </row>
    <row r="21176">
      <c r="A21176" s="4" t="s">
        <v>26664</v>
      </c>
      <c r="B21176" s="4" t="s">
        <v>26665</v>
      </c>
      <c r="C21176" s="5" t="str">
        <f>IFERROR(__xludf.DUMMYFUNCTION("GOOGLETRANSLATE(B21176,""en"",""zh-CN"")"),"几个男人和女人都在外面的成年成年猴子酒吧爬到它。")</f>
        <v>几个男人和女人都在外面的成年成年猴子酒吧爬到它。</v>
      </c>
    </row>
    <row r="21177">
      <c r="A21177" s="4" t="s">
        <v>26664</v>
      </c>
      <c r="B21177" s="4" t="s">
        <v>26666</v>
      </c>
      <c r="C21177" s="5" t="str">
        <f>IFERROR(__xludf.DUMMYFUNCTION("GOOGLETRANSLATE(B21177,""en"",""zh-CN"")"),"所有人结束后，人们下车，跑回去猴子酒吧做另一套套装。")</f>
        <v>所有人结束后，人们下车，跑回去猴子酒吧做另一套套装。</v>
      </c>
    </row>
    <row r="21178">
      <c r="A21178" s="4" t="s">
        <v>26664</v>
      </c>
      <c r="B21178" s="6" t="s">
        <v>26667</v>
      </c>
      <c r="C21178" s="5" t="str">
        <f>IFERROR(__xludf.DUMMYFUNCTION("GOOGLETRANSLATE(B21178,""en"",""zh-CN"")"),"在远处，越来越多的人来自小径，一个小男孩越过酒吧，然后显示了他们进行不同活动的一组图像。")</f>
        <v>在远处，越来越多的人来自小径，一个小男孩越过酒吧，然后显示了他们进行不同活动的一组图像。</v>
      </c>
    </row>
    <row r="21179">
      <c r="A21179" s="4" t="s">
        <v>26668</v>
      </c>
      <c r="B21179" s="4" t="s">
        <v>26669</v>
      </c>
      <c r="C21179" s="5" t="str">
        <f>IFERROR(__xludf.DUMMYFUNCTION("GOOGLETRANSLATE(B21179,""en"",""zh-CN"")"),"一个人将隐形眼镜放在右眼。")</f>
        <v>一个人将隐形眼镜放在右眼。</v>
      </c>
    </row>
    <row r="21180">
      <c r="A21180" s="4" t="s">
        <v>26668</v>
      </c>
      <c r="B21180" s="4" t="s">
        <v>26670</v>
      </c>
      <c r="C21180" s="5" t="str">
        <f>IFERROR(__xludf.DUMMYFUNCTION("GOOGLETRANSLATE(B21180,""en"",""zh-CN"")"),"然后，该人将隐形眼镜放在左眼。")</f>
        <v>然后，该人将隐形眼镜放在左眼。</v>
      </c>
    </row>
    <row r="21181">
      <c r="A21181" s="4" t="s">
        <v>26671</v>
      </c>
      <c r="B21181" s="4" t="s">
        <v>26672</v>
      </c>
      <c r="C21181" s="5" t="str">
        <f>IFERROR(__xludf.DUMMYFUNCTION("GOOGLETRANSLATE(B21181,""en"",""zh-CN"")"),"一个人站在另一个男人的面前，而有人调整他们之间的桌子。")</f>
        <v>一个人站在另一个男人的面前，而有人调整他们之间的桌子。</v>
      </c>
    </row>
    <row r="21182">
      <c r="A21182" s="4" t="s">
        <v>26671</v>
      </c>
      <c r="B21182" s="4" t="s">
        <v>26673</v>
      </c>
      <c r="C21182" s="5" t="str">
        <f>IFERROR(__xludf.DUMMYFUNCTION("GOOGLETRANSLATE(B21182,""en"",""zh-CN"")"),"这些人锁上手臂，开始摔跤。")</f>
        <v>这些人锁上手臂，开始摔跤。</v>
      </c>
    </row>
    <row r="21183">
      <c r="A21183" s="4" t="s">
        <v>26671</v>
      </c>
      <c r="B21183" s="4" t="s">
        <v>26674</v>
      </c>
      <c r="C21183" s="5" t="str">
        <f>IFERROR(__xludf.DUMMYFUNCTION("GOOGLETRANSLATE(B21183,""en"",""zh-CN"")"),"他们努力推动，试图赢得胜利。")</f>
        <v>他们努力推动，试图赢得胜利。</v>
      </c>
    </row>
    <row r="21184">
      <c r="A21184" s="4" t="s">
        <v>26671</v>
      </c>
      <c r="B21184" s="4" t="s">
        <v>26675</v>
      </c>
      <c r="C21184" s="5" t="str">
        <f>IFERROR(__xludf.DUMMYFUNCTION("GOOGLETRANSLATE(B21184,""en"",""zh-CN"")"),"他们突然开始互相打孔，在战斗中爆发。")</f>
        <v>他们突然开始互相打孔，在战斗中爆发。</v>
      </c>
    </row>
    <row r="21185">
      <c r="A21185" s="4" t="s">
        <v>26671</v>
      </c>
      <c r="B21185" s="4" t="s">
        <v>26676</v>
      </c>
      <c r="C21185" s="5" t="str">
        <f>IFERROR(__xludf.DUMMYFUNCTION("GOOGLETRANSLATE(B21185,""en"",""zh-CN"")"),"一拳后开始掉下来。")</f>
        <v>一拳后开始掉下来。</v>
      </c>
    </row>
    <row r="21186">
      <c r="A21186" s="4" t="s">
        <v>26677</v>
      </c>
      <c r="B21186" s="4" t="s">
        <v>26678</v>
      </c>
      <c r="C21186" s="5" t="str">
        <f>IFERROR(__xludf.DUMMYFUNCTION("GOOGLETRANSLATE(B21186,""en"",""zh-CN"")"),"出现白色介绍屏幕，外语中的红色字母在屏幕上闪烁。")</f>
        <v>出现白色介绍屏幕，外语中的红色字母在屏幕上闪烁。</v>
      </c>
    </row>
    <row r="21187">
      <c r="A21187" s="4" t="s">
        <v>26677</v>
      </c>
      <c r="B21187" s="6" t="s">
        <v>26679</v>
      </c>
      <c r="C21187" s="5" t="str">
        <f>IFERROR(__xludf.DUMMYFUNCTION("GOOGLETRANSLATE(B21187,""en"",""zh-CN"")"),"一个装满水和3个土豆的白碗出现在一个碗中，冰块在另一个白色碗中。")</f>
        <v>一个装满水和3个土豆的白碗出现在一个碗中，冰块在另一个白色碗中。</v>
      </c>
    </row>
    <row r="21188">
      <c r="A21188" s="4" t="s">
        <v>26677</v>
      </c>
      <c r="B21188" s="6" t="s">
        <v>26680</v>
      </c>
      <c r="C21188" s="5" t="str">
        <f>IFERROR(__xludf.DUMMYFUNCTION("GOOGLETRANSLATE(B21188,""en"",""zh-CN"")"),"然后，一只手抓住顶部的土豆，一碗冰块，将块倒入一个已经有水的更大的白色碗中。")</f>
        <v>然后，一只手抓住顶部的土豆，一碗冰块，将块倒入一个已经有水的更大的白色碗中。</v>
      </c>
    </row>
    <row r="21189">
      <c r="A21189" s="4" t="s">
        <v>26677</v>
      </c>
      <c r="B21189" s="6" t="s">
        <v>26681</v>
      </c>
      <c r="C21189" s="5" t="str">
        <f>IFERROR(__xludf.DUMMYFUNCTION("GOOGLETRANSLATE(B21189,""en"",""zh-CN"")"),"现在，两只手用冰块和水将土豆放入较大的碗中，手指开始从水下的所有皮肤上剥落，当所有果皮消失时，将马铃薯放在干净的白板上。")</f>
        <v>现在，两只手用冰块和水将土豆放入较大的碗中，手指开始从水下的所有皮肤上剥落，当所有果皮消失时，将马铃薯放在干净的白板上。</v>
      </c>
    </row>
    <row r="21190">
      <c r="A21190" s="4" t="s">
        <v>26677</v>
      </c>
      <c r="B21190" s="4" t="s">
        <v>26682</v>
      </c>
      <c r="C21190" s="5" t="str">
        <f>IFERROR(__xludf.DUMMYFUNCTION("GOOGLETRANSLATE(B21190,""en"",""zh-CN"")"),"出现了白色的Outro屏幕，出现了更多的外国红色字母。")</f>
        <v>出现了白色的Outro屏幕，出现了更多的外国红色字母。</v>
      </c>
    </row>
    <row r="21191">
      <c r="A21191" s="4" t="s">
        <v>26683</v>
      </c>
      <c r="B21191" s="4" t="s">
        <v>26684</v>
      </c>
      <c r="C21191" s="5" t="str">
        <f>IFERROR(__xludf.DUMMYFUNCTION("GOOGLETRANSLATE(B21191,""en"",""zh-CN"")"),"我们看到标题将我们介绍给Jesse。")</f>
        <v>我们看到标题将我们介绍给Jesse。</v>
      </c>
    </row>
    <row r="21192">
      <c r="A21192" s="4" t="s">
        <v>26683</v>
      </c>
      <c r="B21192" s="4" t="s">
        <v>26685</v>
      </c>
      <c r="C21192" s="5" t="str">
        <f>IFERROR(__xludf.DUMMYFUNCTION("GOOGLETRANSLATE(B21192,""en"",""zh-CN"")"),"杰西（Jesse）狗跑来钓鱼并捕获飞盘。")</f>
        <v>杰西（Jesse）狗跑来钓鱼并捕获飞盘。</v>
      </c>
    </row>
    <row r="21193">
      <c r="A21193" s="4" t="s">
        <v>26683</v>
      </c>
      <c r="B21193" s="4" t="s">
        <v>26686</v>
      </c>
      <c r="C21193" s="5" t="str">
        <f>IFERROR(__xludf.DUMMYFUNCTION("GOOGLETRANSLATE(B21193,""en"",""zh-CN"")"),"我们看到杰西在相机中关闭。")</f>
        <v>我们看到杰西在相机中关闭。</v>
      </c>
    </row>
    <row r="21194">
      <c r="A21194" s="4" t="s">
        <v>26683</v>
      </c>
      <c r="B21194" s="4" t="s">
        <v>26687</v>
      </c>
      <c r="C21194" s="5" t="str">
        <f>IFERROR(__xludf.DUMMYFUNCTION("GOOGLETRANSLATE(B21194,""en"",""zh-CN"")"),"杰西（Jesse）四处奔波，赶上女士扔的飞盘。")</f>
        <v>杰西（Jesse）四处奔波，赶上女士扔的飞盘。</v>
      </c>
    </row>
    <row r="21195">
      <c r="A21195" s="4" t="s">
        <v>26683</v>
      </c>
      <c r="B21195" s="4" t="s">
        <v>26688</v>
      </c>
      <c r="C21195" s="5" t="str">
        <f>IFERROR(__xludf.DUMMYFUNCTION("GOOGLETRANSLATE(B21195,""en"",""zh-CN"")"),"我们看到杰西（Jesse）在空中跳跃的五枪。")</f>
        <v>我们看到杰西（Jesse）在空中跳跃的五枪。</v>
      </c>
    </row>
    <row r="21196">
      <c r="A21196" s="4" t="s">
        <v>26683</v>
      </c>
      <c r="B21196" s="4" t="s">
        <v>26689</v>
      </c>
      <c r="C21196" s="5" t="str">
        <f>IFERROR(__xludf.DUMMYFUNCTION("GOOGLETRANSLATE(B21196,""en"",""zh-CN"")"),"杰西继续用飞盘奔跑。")</f>
        <v>杰西继续用飞盘奔跑。</v>
      </c>
    </row>
    <row r="21197">
      <c r="A21197" s="4" t="s">
        <v>26683</v>
      </c>
      <c r="B21197" s="4" t="s">
        <v>26690</v>
      </c>
      <c r="C21197" s="5" t="str">
        <f>IFERROR(__xludf.DUMMYFUNCTION("GOOGLETRANSLATE(B21197,""en"",""zh-CN"")"),"我们在黑屏上看到了最终学分。")</f>
        <v>我们在黑屏上看到了最终学分。</v>
      </c>
    </row>
    <row r="21198">
      <c r="A21198" s="4" t="s">
        <v>26691</v>
      </c>
      <c r="B21198" s="4" t="s">
        <v>26692</v>
      </c>
      <c r="C21198" s="5" t="str">
        <f>IFERROR(__xludf.DUMMYFUNCTION("GOOGLETRANSLATE(B21198,""en"",""zh-CN"")"),"展示了一个女人，准备将杠铃抬到空中。")</f>
        <v>展示了一个女人，准备将杠铃抬到空中。</v>
      </c>
    </row>
    <row r="21199">
      <c r="A21199" s="4" t="s">
        <v>26691</v>
      </c>
      <c r="B21199" s="4" t="s">
        <v>26693</v>
      </c>
      <c r="C21199" s="5" t="str">
        <f>IFERROR(__xludf.DUMMYFUNCTION("GOOGLETRANSLATE(B21199,""en"",""zh-CN"")"),"她将其抬到空中，并在头顶上方。")</f>
        <v>她将其抬到空中，并在头顶上方。</v>
      </c>
    </row>
    <row r="21200">
      <c r="A21200" s="4" t="s">
        <v>26691</v>
      </c>
      <c r="B21200" s="4" t="s">
        <v>26694</v>
      </c>
      <c r="C21200" s="5" t="str">
        <f>IFERROR(__xludf.DUMMYFUNCTION("GOOGLETRANSLATE(B21200,""en"",""zh-CN"")"),"她把杠铃放到地上。")</f>
        <v>她把杠铃放到地上。</v>
      </c>
    </row>
    <row r="21201">
      <c r="A21201" s="4" t="s">
        <v>26691</v>
      </c>
      <c r="B21201" s="4" t="s">
        <v>26695</v>
      </c>
      <c r="C21201" s="5" t="str">
        <f>IFERROR(__xludf.DUMMYFUNCTION("GOOGLETRANSLATE(B21201,""en"",""zh-CN"")"),"她为人群鞠躬，向他们吹一个吻。")</f>
        <v>她为人群鞠躬，向他们吹一个吻。</v>
      </c>
    </row>
    <row r="21202">
      <c r="A21202" s="4" t="s">
        <v>26691</v>
      </c>
      <c r="B21202" s="4" t="s">
        <v>26696</v>
      </c>
      <c r="C21202" s="5" t="str">
        <f>IFERROR(__xludf.DUMMYFUNCTION("GOOGLETRANSLATE(B21202,""en"",""zh-CN"")"),"然后她走出舞台。")</f>
        <v>然后她走出舞台。</v>
      </c>
    </row>
    <row r="21203">
      <c r="A21203" s="4" t="s">
        <v>26697</v>
      </c>
      <c r="B21203" s="6" t="s">
        <v>26698</v>
      </c>
      <c r="C21203" s="5" t="str">
        <f>IFERROR(__xludf.DUMMYFUNCTION("GOOGLETRANSLATE(B21203,""en"",""zh-CN"")"),"一个戴着黑色针织帽子的男人站在桌子前面，上面有物品，在门上，门上有黑色的星星。")</f>
        <v>一个戴着黑色针织帽子的男人站在桌子前面，上面有物品，在门上，门上有黑色的星星。</v>
      </c>
    </row>
    <row r="21204">
      <c r="A21204" s="4" t="s">
        <v>26697</v>
      </c>
      <c r="B21204" s="6" t="s">
        <v>26699</v>
      </c>
      <c r="C21204" s="5" t="str">
        <f>IFERROR(__xludf.DUMMYFUNCTION("GOOGLETRANSLATE(B21204,""en"",""zh-CN"")"),"该男子从桌子上捡起一个橙色小包，然后在交谈时使用一个较小的黄包和橙色设备。")</f>
        <v>该男子从桌子上捡起一个橙色小包，然后在交谈时使用一个较小的黄包和橙色设备。</v>
      </c>
    </row>
    <row r="21205">
      <c r="A21205" s="4" t="s">
        <v>26697</v>
      </c>
      <c r="B21205" s="6" t="s">
        <v>26700</v>
      </c>
      <c r="C21205" s="5" t="str">
        <f>IFERROR(__xludf.DUMMYFUNCTION("GOOGLETRANSLATE(B21205,""en"",""zh-CN"")"),"然后，该男子将黄色包装和橙色设备放在桌子旁边的桌子上。")</f>
        <v>然后，该男子将黄色包装和橙色设备放在桌子旁边的桌子上。</v>
      </c>
    </row>
    <row r="21206">
      <c r="A21206" s="4" t="s">
        <v>26697</v>
      </c>
      <c r="B21206" s="6" t="s">
        <v>26701</v>
      </c>
      <c r="C21206" s="5" t="str">
        <f>IFERROR(__xludf.DUMMYFUNCTION("GOOGLETRANSLATE(B21206,""en"",""zh-CN"")"),"然后，该男子拿起一块金属板，将其倒置，然后使用包装中的材料在其上开火，然后再返回与摄像机进行交谈。")</f>
        <v>然后，该男子拿起一块金属板，将其倒置，然后使用包装中的材料在其上开火，然后再返回与摄像机进行交谈。</v>
      </c>
    </row>
    <row r="21207">
      <c r="A21207" s="4" t="s">
        <v>26702</v>
      </c>
      <c r="B21207" s="4" t="s">
        <v>26703</v>
      </c>
      <c r="C21207" s="5" t="str">
        <f>IFERROR(__xludf.DUMMYFUNCTION("GOOGLETRANSLATE(B21207,""en"",""zh-CN"")"),"一个人在外部草坪上拿起油漆刷和清漆。")</f>
        <v>一个人在外部草坪上拿起油漆刷和清漆。</v>
      </c>
    </row>
    <row r="21208">
      <c r="A21208" s="4" t="s">
        <v>26702</v>
      </c>
      <c r="B21208" s="4" t="s">
        <v>26704</v>
      </c>
      <c r="C21208" s="5" t="str">
        <f>IFERROR(__xludf.DUMMYFUNCTION("GOOGLETRANSLATE(B21208,""en"",""zh-CN"")"),"该人将各种木板涂在房屋的外墙上。")</f>
        <v>该人将各种木板涂在房屋的外墙上。</v>
      </c>
    </row>
    <row r="21209">
      <c r="A21209" s="4" t="s">
        <v>26705</v>
      </c>
      <c r="B21209" s="4" t="s">
        <v>26706</v>
      </c>
      <c r="C21209" s="5" t="str">
        <f>IFERROR(__xludf.DUMMYFUNCTION("GOOGLETRANSLATE(B21209,""en"",""zh-CN"")"),"显示了大的水跌落。")</f>
        <v>显示了大的水跌落。</v>
      </c>
    </row>
    <row r="21210">
      <c r="A21210" s="4" t="s">
        <v>26705</v>
      </c>
      <c r="B21210" s="4" t="s">
        <v>26707</v>
      </c>
      <c r="C21210" s="5" t="str">
        <f>IFERROR(__xludf.DUMMYFUNCTION("GOOGLETRANSLATE(B21210,""en"",""zh-CN"")"),"一个人越过绿色的皮划艇落在水面上。")</f>
        <v>一个人越过绿色的皮划艇落在水面上。</v>
      </c>
    </row>
    <row r="21211">
      <c r="A21211" s="4" t="s">
        <v>26705</v>
      </c>
      <c r="B21211" s="4" t="s">
        <v>26708</v>
      </c>
      <c r="C21211" s="5" t="str">
        <f>IFERROR(__xludf.DUMMYFUNCTION("GOOGLETRANSLATE(B21211,""en"",""zh-CN"")"),"人们站在看着水上的岩石上。")</f>
        <v>人们站在看着水上的岩石上。</v>
      </c>
    </row>
    <row r="21212">
      <c r="A21212" s="4" t="s">
        <v>26709</v>
      </c>
      <c r="B21212" s="4" t="s">
        <v>26710</v>
      </c>
      <c r="C21212" s="5" t="str">
        <f>IFERROR(__xludf.DUMMYFUNCTION("GOOGLETRANSLATE(B21212,""en"",""zh-CN"")"),"一个人将食物放入碗中。")</f>
        <v>一个人将食物放入碗中。</v>
      </c>
    </row>
    <row r="21213">
      <c r="A21213" s="4" t="s">
        <v>26709</v>
      </c>
      <c r="B21213" s="4" t="s">
        <v>26711</v>
      </c>
      <c r="C21213" s="5" t="str">
        <f>IFERROR(__xludf.DUMMYFUNCTION("GOOGLETRANSLATE(B21213,""en"",""zh-CN"")"),"他们裂开一个螺母，然后将其放入碗中。")</f>
        <v>他们裂开一个螺母，然后将其放入碗中。</v>
      </c>
    </row>
    <row r="21214">
      <c r="A21214" s="4" t="s">
        <v>26709</v>
      </c>
      <c r="B21214" s="4" t="s">
        <v>26712</v>
      </c>
      <c r="C21214" s="5" t="str">
        <f>IFERROR(__xludf.DUMMYFUNCTION("GOOGLETRANSLATE(B21214,""en"",""zh-CN"")"),"他们在黑色托盘上开了另一个螺母。")</f>
        <v>他们在黑色托盘上开了另一个螺母。</v>
      </c>
    </row>
    <row r="21215">
      <c r="A21215" s="4" t="s">
        <v>26713</v>
      </c>
      <c r="B21215" s="6" t="s">
        <v>26714</v>
      </c>
      <c r="C21215" s="5" t="str">
        <f>IFERROR(__xludf.DUMMYFUNCTION("GOOGLETRANSLATE(B21215,""en"",""zh-CN"")"),"女人跪在地板上与握着弯曲滑梯的相机交谈，并在客厅打开它。")</f>
        <v>女人跪在地板上与握着弯曲滑梯的相机交谈，并在客厅打开它。</v>
      </c>
    </row>
    <row r="21216">
      <c r="A21216" s="4" t="s">
        <v>26713</v>
      </c>
      <c r="B21216" s="4" t="s">
        <v>26715</v>
      </c>
      <c r="C21216" s="5" t="str">
        <f>IFERROR(__xludf.DUMMYFUNCTION("GOOGLETRANSLATE(B21216,""en"",""zh-CN"")"),"狗正走在女人身后。")</f>
        <v>狗正走在女人身后。</v>
      </c>
    </row>
    <row r="21217">
      <c r="A21217" s="4" t="s">
        <v>26713</v>
      </c>
      <c r="B21217" s="4" t="s">
        <v>26716</v>
      </c>
      <c r="C21217" s="5" t="str">
        <f>IFERROR(__xludf.DUMMYFUNCTION("GOOGLETRANSLATE(B21217,""en"",""zh-CN"")"),"婴儿正走到女人身上，爬到滑梯上。")</f>
        <v>婴儿正走到女人身上，爬到滑梯上。</v>
      </c>
    </row>
    <row r="21218">
      <c r="A21218" s="4" t="s">
        <v>26717</v>
      </c>
      <c r="B21218" s="6" t="s">
        <v>26718</v>
      </c>
      <c r="C21218" s="5" t="str">
        <f>IFERROR(__xludf.DUMMYFUNCTION("GOOGLETRANSLATE(B21218,""en"",""zh-CN"")"),"看到三个女孩站在柜台后面，用一只锅周围的黄油散开的柜台说话。")</f>
        <v>看到三个女孩站在柜台后面，用一只锅周围的黄油散开的柜台说话。</v>
      </c>
    </row>
    <row r="21219">
      <c r="A21219" s="4" t="s">
        <v>26717</v>
      </c>
      <c r="B21219" s="6" t="s">
        <v>26719</v>
      </c>
      <c r="C21219" s="5" t="str">
        <f>IFERROR(__xludf.DUMMYFUNCTION("GOOGLETRANSLATE(B21219,""en"",""zh-CN"")"),"另一种将食材与另一个女孩的帮助混合到碗中，女孩舔了后来使用的汤匙。")</f>
        <v>另一种将食材与另一个女孩的帮助混合到碗中，女孩舔了后来使用的汤匙。</v>
      </c>
    </row>
    <row r="21220">
      <c r="A21220" s="4" t="s">
        <v>26717</v>
      </c>
      <c r="B21220" s="4" t="s">
        <v>26720</v>
      </c>
      <c r="C21220" s="5" t="str">
        <f>IFERROR(__xludf.DUMMYFUNCTION("GOOGLETRANSLATE(B21220,""en"",""zh-CN"")"),"他们将混合物倒入锅中，将其放入烤箱中，然后在不久之后将其取出。")</f>
        <v>他们将混合物倒入锅中，将其放入烤箱中，然后在不久之后将其取出。</v>
      </c>
    </row>
    <row r="21221">
      <c r="A21221" s="4" t="s">
        <v>26717</v>
      </c>
      <c r="B21221" s="6" t="s">
        <v>26721</v>
      </c>
      <c r="C21221" s="5" t="str">
        <f>IFERROR(__xludf.DUMMYFUNCTION("GOOGLETRANSLATE(B21221,""en"",""zh-CN"")"),"然后在蛋糕上看到糖霜，女孩的散布在盘子上，然后将它们放在盘子上，然后在客厅里吃饭。")</f>
        <v>然后在蛋糕上看到糖霜，女孩的散布在盘子上，然后将它们放在盘子上，然后在客厅里吃饭。</v>
      </c>
    </row>
    <row r="21222">
      <c r="A21222" s="4" t="s">
        <v>26722</v>
      </c>
      <c r="B21222" s="4" t="s">
        <v>26723</v>
      </c>
      <c r="C21222" s="5" t="str">
        <f>IFERROR(__xludf.DUMMYFUNCTION("GOOGLETRANSLATE(B21222,""en"",""zh-CN"")"),"显示了一台大型锻炼机。")</f>
        <v>显示了一台大型锻炼机。</v>
      </c>
    </row>
    <row r="21223">
      <c r="A21223" s="4" t="s">
        <v>26722</v>
      </c>
      <c r="B21223" s="4" t="s">
        <v>26724</v>
      </c>
      <c r="C21223" s="5" t="str">
        <f>IFERROR(__xludf.DUMMYFUNCTION("GOOGLETRANSLATE(B21223,""en"",""zh-CN"")"),"一个人坐下来，开始在运动机上锻炼。")</f>
        <v>一个人坐下来，开始在运动机上锻炼。</v>
      </c>
    </row>
    <row r="21224">
      <c r="A21224" s="4" t="s">
        <v>26725</v>
      </c>
      <c r="B21224" s="6" t="s">
        <v>26726</v>
      </c>
      <c r="C21224" s="5" t="str">
        <f>IFERROR(__xludf.DUMMYFUNCTION("GOOGLETRANSLATE(B21224,""en"",""zh-CN"")"),"看到一辆汽车坐在安全摄像头上的洗车内部，抹布上下车辆上下移动。")</f>
        <v>看到一辆汽车坐在安全摄像头上的洗车内部，抹布上下车辆上下移动。</v>
      </c>
    </row>
    <row r="21225">
      <c r="A21225" s="4" t="s">
        <v>26725</v>
      </c>
      <c r="B21225" s="6" t="s">
        <v>26727</v>
      </c>
      <c r="C21225" s="5" t="str">
        <f>IFERROR(__xludf.DUMMYFUNCTION("GOOGLETRANSLATE(B21225,""en"",""zh-CN"")"),"然后，一个男人打开他的门，然后机器脱下门，汽车开车离开。")</f>
        <v>然后，一个男人打开他的门，然后机器脱下门，汽车开车离开。</v>
      </c>
    </row>
    <row r="21226">
      <c r="A21226" s="4" t="s">
        <v>26728</v>
      </c>
      <c r="B21226" s="4" t="s">
        <v>26729</v>
      </c>
      <c r="C21226" s="5" t="str">
        <f>IFERROR(__xludf.DUMMYFUNCTION("GOOGLETRANSLATE(B21226,""en"",""zh-CN"")"),"人们在玩碰碰车四处开车。")</f>
        <v>人们在玩碰碰车四处开车。</v>
      </c>
    </row>
    <row r="21227">
      <c r="A21227" s="4" t="s">
        <v>26728</v>
      </c>
      <c r="B21227" s="4" t="s">
        <v>26730</v>
      </c>
      <c r="C21227" s="5" t="str">
        <f>IFERROR(__xludf.DUMMYFUNCTION("GOOGLETRANSLATE(B21227,""en"",""zh-CN"")"),"一个男人必须帮助拆开汽车。")</f>
        <v>一个男人必须帮助拆开汽车。</v>
      </c>
    </row>
    <row r="21228">
      <c r="A21228" s="4" t="s">
        <v>26731</v>
      </c>
      <c r="B21228" s="4" t="s">
        <v>26732</v>
      </c>
      <c r="C21228" s="5" t="str">
        <f>IFERROR(__xludf.DUMMYFUNCTION("GOOGLETRANSLATE(B21228,""en"",""zh-CN"")"),"两个人在烤箱上用平底锅做饭。")</f>
        <v>两个人在烤箱上用平底锅做饭。</v>
      </c>
    </row>
    <row r="21229">
      <c r="A21229" s="4" t="s">
        <v>26731</v>
      </c>
      <c r="B21229" s="4" t="s">
        <v>26733</v>
      </c>
      <c r="C21229" s="5" t="str">
        <f>IFERROR(__xludf.DUMMYFUNCTION("GOOGLETRANSLATE(B21229,""en"",""zh-CN"")"),"柜台上有两盘食物。")</f>
        <v>柜台上有两盘食物。</v>
      </c>
    </row>
    <row r="21230">
      <c r="A21230" s="4" t="s">
        <v>26731</v>
      </c>
      <c r="B21230" s="4" t="s">
        <v>13650</v>
      </c>
      <c r="C21230" s="5" t="str">
        <f>IFERROR(__xludf.DUMMYFUNCTION("GOOGLETRANSLATE(B21230,""en"",""zh-CN"")"),"单词进入屏幕。")</f>
        <v>单词进入屏幕。</v>
      </c>
    </row>
    <row r="21231">
      <c r="A21231" s="4" t="s">
        <v>26734</v>
      </c>
      <c r="B21231" s="4" t="s">
        <v>26735</v>
      </c>
      <c r="C21231" s="5" t="str">
        <f>IFERROR(__xludf.DUMMYFUNCTION("GOOGLETRANSLATE(B21231,""en"",""zh-CN"")"),"首先看到一个男人在相机上讲话，并向他提出问题。")</f>
        <v>首先看到一个男人在相机上讲话，并向他提出问题。</v>
      </c>
    </row>
    <row r="21232">
      <c r="A21232" s="4" t="s">
        <v>26734</v>
      </c>
      <c r="B21232" s="4" t="s">
        <v>26736</v>
      </c>
      <c r="C21232" s="5" t="str">
        <f>IFERROR(__xludf.DUMMYFUNCTION("GOOGLETRANSLATE(B21232,""en"",""zh-CN"")"),"然后看到他在牙齿上放了一个清洁剂，并取了一点食物。")</f>
        <v>然后看到他在牙齿上放了一个清洁剂，并取了一点食物。</v>
      </c>
    </row>
    <row r="21233">
      <c r="A21233" s="4" t="s">
        <v>26734</v>
      </c>
      <c r="B21233" s="4" t="s">
        <v>26737</v>
      </c>
      <c r="C21233" s="5" t="str">
        <f>IFERROR(__xludf.DUMMYFUNCTION("GOOGLETRANSLATE(B21233,""en"",""zh-CN"")"),"他继续在偶尔吃食物的同时继续与相机交谈。")</f>
        <v>他继续在偶尔吃食物的同时继续与相机交谈。</v>
      </c>
    </row>
    <row r="21234">
      <c r="A21234" s="4" t="s">
        <v>26738</v>
      </c>
      <c r="B21234" s="4" t="s">
        <v>26739</v>
      </c>
      <c r="C21234" s="5" t="str">
        <f>IFERROR(__xludf.DUMMYFUNCTION("GOOGLETRANSLATE(B21234,""en"",""zh-CN"")"),"有一个穿着红色衬衫的男人和棕色的帽子吹着叶子，吹叶子。")</f>
        <v>有一个穿着红色衬衫的男人和棕色的帽子吹着叶子，吹叶子。</v>
      </c>
    </row>
    <row r="21235">
      <c r="A21235" s="4" t="s">
        <v>26738</v>
      </c>
      <c r="B21235" s="4" t="s">
        <v>26740</v>
      </c>
      <c r="C21235" s="5" t="str">
        <f>IFERROR(__xludf.DUMMYFUNCTION("GOOGLETRANSLATE(B21235,""en"",""zh-CN"")"),"他首先将叶子从前草坪附近吹走。")</f>
        <v>他首先将叶子从前草坪附近吹走。</v>
      </c>
    </row>
    <row r="21236">
      <c r="A21236" s="4" t="s">
        <v>26738</v>
      </c>
      <c r="B21236" s="4" t="s">
        <v>26741</v>
      </c>
      <c r="C21236" s="5" t="str">
        <f>IFERROR(__xludf.DUMMYFUNCTION("GOOGLETRANSLATE(B21236,""en"",""zh-CN"")"),"然后他朝着他的白货车停放的地方移动。")</f>
        <v>然后他朝着他的白货车停放的地方移动。</v>
      </c>
    </row>
    <row r="21237">
      <c r="A21237" s="4" t="s">
        <v>26738</v>
      </c>
      <c r="B21237" s="4" t="s">
        <v>26742</v>
      </c>
      <c r="C21237" s="5" t="str">
        <f>IFERROR(__xludf.DUMMYFUNCTION("GOOGLETRANSLATE(B21237,""en"",""zh-CN"")"),"他在车道上走来走去，吹树叶，确保他覆盖了整个车道。")</f>
        <v>他在车道上走来走去，吹树叶，确保他覆盖了整个车道。</v>
      </c>
    </row>
    <row r="21238">
      <c r="A21238" s="4" t="s">
        <v>26738</v>
      </c>
      <c r="B21238" s="6" t="s">
        <v>26743</v>
      </c>
      <c r="C21238" s="5" t="str">
        <f>IFERROR(__xludf.DUMMYFUNCTION("GOOGLETRANSLATE(B21238,""en"",""zh-CN"")"),"然后，他走向车库的一角，吹下一堆躺在堆的叶子。")</f>
        <v>然后，他走向车库的一角，吹下一堆躺在堆的叶子。</v>
      </c>
    </row>
    <row r="21239">
      <c r="A21239" s="4" t="s">
        <v>26744</v>
      </c>
      <c r="B21239" s="4" t="s">
        <v>26745</v>
      </c>
      <c r="C21239" s="5" t="str">
        <f>IFERROR(__xludf.DUMMYFUNCTION("GOOGLETRANSLATE(B21239,""en"",""zh-CN"")"),"一名田径运动员沿着小路走。")</f>
        <v>一名田径运动员沿着小路走。</v>
      </c>
    </row>
    <row r="21240">
      <c r="A21240" s="4" t="s">
        <v>26744</v>
      </c>
      <c r="B21240" s="4" t="s">
        <v>26746</v>
      </c>
      <c r="C21240" s="5" t="str">
        <f>IFERROR(__xludf.DUMMYFUNCTION("GOOGLETRANSLATE(B21240,""en"",""zh-CN"")"),"女参与者准备跑步。")</f>
        <v>女参与者准备跑步。</v>
      </c>
    </row>
    <row r="21241">
      <c r="A21241" s="4" t="s">
        <v>26744</v>
      </c>
      <c r="B21241" s="4" t="s">
        <v>26747</v>
      </c>
      <c r="C21241" s="5" t="str">
        <f>IFERROR(__xludf.DUMMYFUNCTION("GOOGLETRANSLATE(B21241,""en"",""zh-CN"")"),"她用标枪在肩膀上奔跑，尽可能地扔掉它。")</f>
        <v>她用标枪在肩膀上奔跑，尽可能地扔掉它。</v>
      </c>
    </row>
    <row r="21242">
      <c r="A21242" s="4" t="s">
        <v>26744</v>
      </c>
      <c r="B21242" s="4" t="s">
        <v>26748</v>
      </c>
      <c r="C21242" s="5" t="str">
        <f>IFERROR(__xludf.DUMMYFUNCTION("GOOGLETRANSLATE(B21242,""en"",""zh-CN"")"),"然后，她逃离了赛道上的位置。")</f>
        <v>然后，她逃离了赛道上的位置。</v>
      </c>
    </row>
    <row r="21243">
      <c r="A21243" s="4" t="s">
        <v>26749</v>
      </c>
      <c r="B21243" s="6" t="s">
        <v>26750</v>
      </c>
      <c r="C21243" s="5" t="str">
        <f>IFERROR(__xludf.DUMMYFUNCTION("GOOGLETRANSLATE(B21243,""en"",""zh-CN"")"),"有几个人在海水中用桨上冲浪，围绕围绕船只和皮划艇观看旁观者。")</f>
        <v>有几个人在海水中用桨上冲浪，围绕围绕船只和皮划艇观看旁观者。</v>
      </c>
    </row>
    <row r="21244">
      <c r="A21244" s="4" t="s">
        <v>26749</v>
      </c>
      <c r="B21244" s="6" t="s">
        <v>26751</v>
      </c>
      <c r="C21244" s="5" t="str">
        <f>IFERROR(__xludf.DUMMYFUNCTION("GOOGLETRANSLATE(B21244,""en"",""zh-CN"")"),"当一个人开始使用桨式导航和引导冲浪板的海浪冲浪时，一个人在水体上的冲浪板上划船。")</f>
        <v>当一个人开始使用桨式导航和引导冲浪板的海浪冲浪时，一个人在水体上的冲浪板上划船。</v>
      </c>
    </row>
    <row r="21245">
      <c r="A21245" s="4" t="s">
        <v>26749</v>
      </c>
      <c r="B21245" s="6" t="s">
        <v>26752</v>
      </c>
      <c r="C21245" s="5" t="str">
        <f>IFERROR(__xludf.DUMMYFUNCTION("GOOGLETRANSLATE(B21245,""en"",""zh-CN"")"),"另一个男人穿着红色服装，与桨一起表演同样的壮举，另一个穿着绿色衬衫的男人。")</f>
        <v>另一个男人穿着红色服装，与桨一起表演同样的壮举，另一个穿着绿色衬衫的男人。</v>
      </c>
    </row>
    <row r="21246">
      <c r="A21246" s="4" t="s">
        <v>26749</v>
      </c>
      <c r="B21246" s="6" t="s">
        <v>26753</v>
      </c>
      <c r="C21246" s="5" t="str">
        <f>IFERROR(__xludf.DUMMYFUNCTION("GOOGLETRANSLATE(B21246,""en"",""zh-CN"")"),"另一个人是在透明的蓝色类型的水中冲浪，然后现场再次切换到另外几个人用冲浪板和桨的人导航大而粗糙的海浪。")</f>
        <v>另一个人是在透明的蓝色类型的水中冲浪，然后现场再次切换到另外几个人用冲浪板和桨的人导航大而粗糙的海浪。</v>
      </c>
    </row>
    <row r="21247">
      <c r="A21247" s="4" t="s">
        <v>26754</v>
      </c>
      <c r="B21247" s="6" t="s">
        <v>26755</v>
      </c>
      <c r="C21247" s="5" t="str">
        <f>IFERROR(__xludf.DUMMYFUNCTION("GOOGLETRANSLATE(B21247,""en"",""zh-CN"")"),"一群人坐在身边，而两个男人拿出桌子，一个男人和女人站在上面。")</f>
        <v>一群人坐在身边，而两个男人拿出桌子，一个男人和女人站在上面。</v>
      </c>
    </row>
    <row r="21248">
      <c r="A21248" s="4" t="s">
        <v>26754</v>
      </c>
      <c r="B21248" s="6" t="s">
        <v>26756</v>
      </c>
      <c r="C21248" s="5" t="str">
        <f>IFERROR(__xludf.DUMMYFUNCTION("GOOGLETRANSLATE(B21248,""en"",""zh-CN"")"),"男人和女人在整个过程中站在桌子上时，与人群交谈，并进行探戈例程。")</f>
        <v>男人和女人在整个过程中站在桌子上时，与人群交谈，并进行探戈例程。</v>
      </c>
    </row>
    <row r="21249">
      <c r="A21249" s="4" t="s">
        <v>26754</v>
      </c>
      <c r="B21249" s="4" t="s">
        <v>26757</v>
      </c>
      <c r="C21249" s="5" t="str">
        <f>IFERROR(__xludf.DUMMYFUNCTION("GOOGLETRANSLATE(B21249,""en"",""zh-CN"")"),"人们走下桌子，向观众鞠躬，拍手旁边的相机。")</f>
        <v>人们走下桌子，向观众鞠躬，拍手旁边的相机。</v>
      </c>
    </row>
    <row r="21250">
      <c r="A21250" s="4" t="s">
        <v>26758</v>
      </c>
      <c r="B21250" s="4" t="s">
        <v>26759</v>
      </c>
      <c r="C21250" s="5" t="str">
        <f>IFERROR(__xludf.DUMMYFUNCTION("GOOGLETRANSLATE(B21250,""en"",""zh-CN"")"),"显示的各种文字导致几个人在不平坦的条形条上摇摆的几个剪辑。")</f>
        <v>显示的各种文字导致几个人在不平坦的条形条上摇摆的几个剪辑。</v>
      </c>
    </row>
    <row r="21251">
      <c r="A21251" s="4" t="s">
        <v>26758</v>
      </c>
      <c r="B21251" s="4" t="s">
        <v>26760</v>
      </c>
      <c r="C21251" s="5" t="str">
        <f>IFERROR(__xludf.DUMMYFUNCTION("GOOGLETRANSLATE(B21251,""en"",""zh-CN"")"),"显示越来越多的体操运动员从横梁上跳下并进入不均匀的条。")</f>
        <v>显示越来越多的体操运动员从横梁上跳下并进入不均匀的条。</v>
      </c>
    </row>
    <row r="21252">
      <c r="A21252" s="4" t="s">
        <v>26758</v>
      </c>
      <c r="B21252" s="4" t="s">
        <v>26761</v>
      </c>
      <c r="C21252" s="5" t="str">
        <f>IFERROR(__xludf.DUMMYFUNCTION("GOOGLETRANSLATE(B21252,""en"",""zh-CN"")"),"几个女人背对背表现出这些技巧。")</f>
        <v>几个女人背对背表现出这些技巧。</v>
      </c>
    </row>
    <row r="21253">
      <c r="A21253" s="4" t="s">
        <v>26762</v>
      </c>
      <c r="B21253" s="6" t="s">
        <v>26763</v>
      </c>
      <c r="C21253" s="5" t="str">
        <f>IFERROR(__xludf.DUMMYFUNCTION("GOOGLETRANSLATE(B21253,""en"",""zh-CN"")"),"一位女性芭蕾舞演员独自穿着紫色的紧身连衣裤，上面贴着裙子。")</f>
        <v>一位女性芭蕾舞演员独自穿着紫色的紧身连衣裤，上面贴着裙子。</v>
      </c>
    </row>
    <row r="21254">
      <c r="A21254" s="4" t="s">
        <v>26762</v>
      </c>
      <c r="B21254" s="6" t="s">
        <v>26764</v>
      </c>
      <c r="C21254" s="5" t="str">
        <f>IFERROR(__xludf.DUMMYFUNCTION("GOOGLETRANSLATE(B21254,""en"",""zh-CN"")"),"她开始在整个房间里优雅地跳舞一系列转弯，并在脚趾的尖端上踢全部踢。")</f>
        <v>她开始在整个房间里优雅地跳舞一系列转弯，并在脚趾的尖端上踢全部踢。</v>
      </c>
    </row>
    <row r="21255">
      <c r="A21255" s="4" t="s">
        <v>26762</v>
      </c>
      <c r="B21255" s="4" t="s">
        <v>26765</v>
      </c>
      <c r="C21255" s="5" t="str">
        <f>IFERROR(__xludf.DUMMYFUNCTION("GOOGLETRANSLATE(B21255,""en"",""zh-CN"")"),"最终，她开始做一系列微小的落后台阶，并在她开始的位置上完成。")</f>
        <v>最终，她开始做一系列微小的落后台阶，并在她开始的位置上完成。</v>
      </c>
    </row>
    <row r="21256">
      <c r="A21256" s="4" t="s">
        <v>26766</v>
      </c>
      <c r="B21256" s="4" t="s">
        <v>26767</v>
      </c>
      <c r="C21256" s="5" t="str">
        <f>IFERROR(__xludf.DUMMYFUNCTION("GOOGLETRANSLATE(B21256,""en"",""zh-CN"")"),"街道侧面的一个男人在实际的鼓盘上敲打。")</f>
        <v>街道侧面的一个男人在实际的鼓盘上敲打。</v>
      </c>
    </row>
    <row r="21257">
      <c r="A21257" s="4" t="s">
        <v>26766</v>
      </c>
      <c r="B21257" s="4" t="s">
        <v>26768</v>
      </c>
      <c r="C21257" s="5" t="str">
        <f>IFERROR(__xludf.DUMMYFUNCTION("GOOGLETRANSLATE(B21257,""en"",""zh-CN"")"),"人们正等着看着他。")</f>
        <v>人们正等着看着他。</v>
      </c>
    </row>
    <row r="21258">
      <c r="A21258" s="4" t="s">
        <v>26766</v>
      </c>
      <c r="B21258" s="4" t="s">
        <v>26769</v>
      </c>
      <c r="C21258" s="5" t="str">
        <f>IFERROR(__xludf.DUMMYFUNCTION("GOOGLETRANSLATE(B21258,""en"",""zh-CN"")"),"汽车正在经过，他只是像正常一样继续鼓。")</f>
        <v>汽车正在经过，他只是像正常一样继续鼓。</v>
      </c>
    </row>
    <row r="21259">
      <c r="A21259" s="4" t="s">
        <v>26766</v>
      </c>
      <c r="B21259" s="4" t="s">
        <v>26770</v>
      </c>
      <c r="C21259" s="5" t="str">
        <f>IFERROR(__xludf.DUMMYFUNCTION("GOOGLETRANSLATE(B21259,""en"",""zh-CN"")"),"他使用c骨和所有东西来挤出。")</f>
        <v>他使用c骨和所有东西来挤出。</v>
      </c>
    </row>
    <row r="21260">
      <c r="A21260" s="4" t="s">
        <v>26771</v>
      </c>
      <c r="B21260" s="4" t="s">
        <v>26772</v>
      </c>
      <c r="C21260" s="5" t="str">
        <f>IFERROR(__xludf.DUMMYFUNCTION("GOOGLETRANSLATE(B21260,""en"",""zh-CN"")"),"一个女人正在造型人体模特的头发。")</f>
        <v>一个女人正在造型人体模特的头发。</v>
      </c>
    </row>
    <row r="21261">
      <c r="A21261" s="4" t="s">
        <v>26771</v>
      </c>
      <c r="B21261" s="4" t="s">
        <v>26773</v>
      </c>
      <c r="C21261" s="5" t="str">
        <f>IFERROR(__xludf.DUMMYFUNCTION("GOOGLETRANSLATE(B21261,""en"",""zh-CN"")"),"她将头发卷成卷发器，在人体模型的头顶上。")</f>
        <v>她将头发卷成卷发器，在人体模型的头顶上。</v>
      </c>
    </row>
    <row r="21262">
      <c r="A21262" s="4" t="s">
        <v>26771</v>
      </c>
      <c r="B21262" s="4" t="s">
        <v>26774</v>
      </c>
      <c r="C21262" s="5" t="str">
        <f>IFERROR(__xludf.DUMMYFUNCTION("GOOGLETRANSLATE(B21262,""en"",""zh-CN"")"),"她把卷发器从头发上拔出并造成样式。")</f>
        <v>她把卷发器从头发上拔出并造成样式。</v>
      </c>
    </row>
    <row r="21263">
      <c r="A21263" s="4" t="s">
        <v>26775</v>
      </c>
      <c r="B21263" s="4" t="s">
        <v>26776</v>
      </c>
      <c r="C21263" s="5" t="str">
        <f>IFERROR(__xludf.DUMMYFUNCTION("GOOGLETRANSLATE(B21263,""en"",""zh-CN"")"),"胶片条似乎在屏幕上滚动。")</f>
        <v>胶片条似乎在屏幕上滚动。</v>
      </c>
    </row>
    <row r="21264">
      <c r="A21264" s="4" t="s">
        <v>26775</v>
      </c>
      <c r="B21264" s="4" t="s">
        <v>26777</v>
      </c>
      <c r="C21264" s="5" t="str">
        <f>IFERROR(__xludf.DUMMYFUNCTION("GOOGLETRANSLATE(B21264,""en"",""zh-CN"")"),"一个人在建筑物的侧面使用望远镜的杆子。")</f>
        <v>一个人在建筑物的侧面使用望远镜的杆子。</v>
      </c>
    </row>
    <row r="21265">
      <c r="A21265" s="4" t="s">
        <v>26775</v>
      </c>
      <c r="B21265" s="4" t="s">
        <v>26778</v>
      </c>
      <c r="C21265" s="5" t="str">
        <f>IFERROR(__xludf.DUMMYFUNCTION("GOOGLETRANSLATE(B21265,""en"",""zh-CN"")"),"他将其向上伸展，然后用它清洁建筑物的侧面。")</f>
        <v>他将其向上伸展，然后用它清洁建筑物的侧面。</v>
      </c>
    </row>
    <row r="21266">
      <c r="A21266" s="4" t="s">
        <v>26775</v>
      </c>
      <c r="B21266" s="4" t="s">
        <v>26779</v>
      </c>
      <c r="C21266" s="5" t="str">
        <f>IFERROR(__xludf.DUMMYFUNCTION("GOOGLETRANSLATE(B21266,""en"",""zh-CN"")"),"他用它清洁窗户最高。")</f>
        <v>他用它清洁窗户最高。</v>
      </c>
    </row>
    <row r="21267">
      <c r="A21267" s="4" t="s">
        <v>26780</v>
      </c>
      <c r="B21267" s="4" t="s">
        <v>26781</v>
      </c>
      <c r="C21267" s="5" t="str">
        <f>IFERROR(__xludf.DUMMYFUNCTION("GOOGLETRANSLATE(B21267,""en"",""zh-CN"")"),"穿着红色外套的男人在斜坡上滑雪。")</f>
        <v>穿着红色外套的男人在斜坡上滑雪。</v>
      </c>
    </row>
    <row r="21268">
      <c r="A21268" s="4" t="s">
        <v>26780</v>
      </c>
      <c r="B21268" s="4" t="s">
        <v>26782</v>
      </c>
      <c r="C21268" s="5" t="str">
        <f>IFERROR(__xludf.DUMMYFUNCTION("GOOGLETRANSLATE(B21268,""en"",""zh-CN"")"),"那个男人正在滑雪，膝盖弯曲了下来。")</f>
        <v>那个男人正在滑雪，膝盖弯曲了下来。</v>
      </c>
    </row>
    <row r="21269">
      <c r="A21269" s="4" t="s">
        <v>26780</v>
      </c>
      <c r="B21269" s="4" t="s">
        <v>26783</v>
      </c>
      <c r="C21269" s="5" t="str">
        <f>IFERROR(__xludf.DUMMYFUNCTION("GOOGLETRANSLATE(B21269,""en"",""zh-CN"")"),"这个男人在山上滑雪。")</f>
        <v>这个男人在山上滑雪。</v>
      </c>
    </row>
    <row r="21270">
      <c r="A21270" s="4" t="s">
        <v>26784</v>
      </c>
      <c r="B21270" s="4" t="s">
        <v>26785</v>
      </c>
      <c r="C21270" s="5" t="str">
        <f>IFERROR(__xludf.DUMMYFUNCTION("GOOGLETRANSLATE(B21270,""en"",""zh-CN"")"),"我们看到一个人坐在鞋子前，用刷子拿着罐子。")</f>
        <v>我们看到一个人坐在鞋子前，用刷子拿着罐子。</v>
      </c>
    </row>
    <row r="21271">
      <c r="A21271" s="4" t="s">
        <v>26784</v>
      </c>
      <c r="B21271" s="4" t="s">
        <v>26786</v>
      </c>
      <c r="C21271" s="5" t="str">
        <f>IFERROR(__xludf.DUMMYFUNCTION("GOOGLETRANSLATE(B21271,""en"",""zh-CN"")"),"该男子脱下鞋子，喷洒鞋子。")</f>
        <v>该男子脱下鞋子，喷洒鞋子。</v>
      </c>
    </row>
    <row r="21272">
      <c r="A21272" s="4" t="s">
        <v>26784</v>
      </c>
      <c r="B21272" s="4" t="s">
        <v>26787</v>
      </c>
      <c r="C21272" s="5" t="str">
        <f>IFERROR(__xludf.DUMMYFUNCTION("GOOGLETRANSLATE(B21272,""en"",""zh-CN"")"),"该男子用鞋子上的刷子擦鞋子。")</f>
        <v>该男子用鞋子上的刷子擦鞋子。</v>
      </c>
    </row>
    <row r="21273">
      <c r="A21273" s="4" t="s">
        <v>26784</v>
      </c>
      <c r="B21273" s="4" t="s">
        <v>26788</v>
      </c>
      <c r="C21273" s="5" t="str">
        <f>IFERROR(__xludf.DUMMYFUNCTION("GOOGLETRANSLATE(B21273,""en"",""zh-CN"")"),"该男子将顶部放回罐子上。")</f>
        <v>该男子将顶部放回罐子上。</v>
      </c>
    </row>
    <row r="21274">
      <c r="A21274" s="4" t="s">
        <v>26784</v>
      </c>
      <c r="B21274" s="4" t="s">
        <v>26789</v>
      </c>
      <c r="C21274" s="5" t="str">
        <f>IFERROR(__xludf.DUMMYFUNCTION("GOOGLETRANSLATE(B21274,""en"",""zh-CN"")"),"该男子站起来抓住相机。")</f>
        <v>该男子站起来抓住相机。</v>
      </c>
    </row>
    <row r="21275">
      <c r="A21275" s="4" t="s">
        <v>26790</v>
      </c>
      <c r="B21275" s="4" t="s">
        <v>26791</v>
      </c>
      <c r="C21275" s="5" t="str">
        <f>IFERROR(__xludf.DUMMYFUNCTION("GOOGLETRANSLATE(B21275,""en"",""zh-CN"")"),"人们在草地上驾驶风筝。")</f>
        <v>人们在草地上驾驶风筝。</v>
      </c>
    </row>
    <row r="21276">
      <c r="A21276" s="4" t="s">
        <v>26790</v>
      </c>
      <c r="B21276" s="4" t="s">
        <v>26792</v>
      </c>
      <c r="C21276" s="5" t="str">
        <f>IFERROR(__xludf.DUMMYFUNCTION("GOOGLETRANSLATE(B21276,""en"",""zh-CN"")"),"风筝显示在天空中。")</f>
        <v>风筝显示在天空中。</v>
      </c>
    </row>
    <row r="21277">
      <c r="A21277" s="4" t="s">
        <v>26790</v>
      </c>
      <c r="B21277" s="4" t="s">
        <v>26793</v>
      </c>
      <c r="C21277" s="5" t="str">
        <f>IFERROR(__xludf.DUMMYFUNCTION("GOOGLETRANSLATE(B21277,""en"",""zh-CN"")"),"一个女人拿着紫色的雨伞。")</f>
        <v>一个女人拿着紫色的雨伞。</v>
      </c>
    </row>
    <row r="21278">
      <c r="A21278" s="4" t="s">
        <v>26790</v>
      </c>
      <c r="B21278" s="4" t="s">
        <v>26794</v>
      </c>
      <c r="C21278" s="5" t="str">
        <f>IFERROR(__xludf.DUMMYFUNCTION("GOOGLETRANSLATE(B21278,""en"",""zh-CN"")"),"人们在公园里走来走去。")</f>
        <v>人们在公园里走来走去。</v>
      </c>
    </row>
    <row r="21279">
      <c r="A21279" s="4" t="s">
        <v>26795</v>
      </c>
      <c r="B21279" s="4" t="s">
        <v>26796</v>
      </c>
      <c r="C21279" s="5" t="str">
        <f>IFERROR(__xludf.DUMMYFUNCTION("GOOGLETRANSLATE(B21279,""en"",""zh-CN"")"),"一块白板坐在厨房的白色桌子上。")</f>
        <v>一块白板坐在厨房的白色桌子上。</v>
      </c>
    </row>
    <row r="21280">
      <c r="A21280" s="4" t="s">
        <v>26795</v>
      </c>
      <c r="B21280" s="4" t="s">
        <v>26797</v>
      </c>
      <c r="C21280" s="5" t="str">
        <f>IFERROR(__xludf.DUMMYFUNCTION("GOOGLETRANSLATE(B21280,""en"",""zh-CN"")"),"一个孩子将火鸡切成薄片的两块白面包，然后加入一片奶酪。")</f>
        <v>一个孩子将火鸡切成薄片的两块白面包，然后加入一片奶酪。</v>
      </c>
    </row>
    <row r="21281">
      <c r="A21281" s="4" t="s">
        <v>26795</v>
      </c>
      <c r="B21281" s="4" t="s">
        <v>26798</v>
      </c>
      <c r="C21281" s="5" t="str">
        <f>IFERROR(__xludf.DUMMYFUNCTION("GOOGLETRANSLATE(B21281,""en"",""zh-CN"")"),"最后，她添加了一层奇迹鞭。")</f>
        <v>最后，她添加了一层奇迹鞭。</v>
      </c>
    </row>
    <row r="21282">
      <c r="A21282" s="4" t="s">
        <v>26795</v>
      </c>
      <c r="B21282" s="4" t="s">
        <v>26799</v>
      </c>
      <c r="C21282" s="5" t="str">
        <f>IFERROR(__xludf.DUMMYFUNCTION("GOOGLETRANSLATE(B21282,""en"",""zh-CN"")"),"她向前倾斜，咬一口三明治。")</f>
        <v>她向前倾斜，咬一口三明治。</v>
      </c>
    </row>
    <row r="21283">
      <c r="A21283" s="4" t="s">
        <v>26800</v>
      </c>
      <c r="B21283" s="4" t="s">
        <v>26801</v>
      </c>
      <c r="C21283" s="5" t="str">
        <f>IFERROR(__xludf.DUMMYFUNCTION("GOOGLETRANSLATE(B21283,""en"",""zh-CN"")"),"两名妇女在有跳绳的法庭上。")</f>
        <v>两名妇女在有跳绳的法庭上。</v>
      </c>
    </row>
    <row r="21284">
      <c r="A21284" s="4" t="s">
        <v>26800</v>
      </c>
      <c r="B21284" s="4" t="s">
        <v>26802</v>
      </c>
      <c r="C21284" s="5" t="str">
        <f>IFERROR(__xludf.DUMMYFUNCTION("GOOGLETRANSLATE(B21284,""en"",""zh-CN"")"),"他们在跳绳时做几个特技。")</f>
        <v>他们在跳绳时做几个特技。</v>
      </c>
    </row>
    <row r="21285">
      <c r="A21285" s="4" t="s">
        <v>26800</v>
      </c>
      <c r="B21285" s="4" t="s">
        <v>26803</v>
      </c>
      <c r="C21285" s="5" t="str">
        <f>IFERROR(__xludf.DUMMYFUNCTION("GOOGLETRANSLATE(B21285,""en"",""zh-CN"")"),"他们一致向前，向后和侧身。")</f>
        <v>他们一致向前，向后和侧身。</v>
      </c>
    </row>
    <row r="21286">
      <c r="A21286" s="4" t="s">
        <v>26804</v>
      </c>
      <c r="B21286" s="6" t="s">
        <v>26805</v>
      </c>
      <c r="C21286" s="5" t="str">
        <f>IFERROR(__xludf.DUMMYFUNCTION("GOOGLETRANSLATE(B21286,""en"",""zh-CN"")"),"看到一名体操运动员坐在横梁前，并开始与另一个人一起执行例程。")</f>
        <v>看到一名体操运动员坐在横梁前，并开始与另一个人一起执行例程。</v>
      </c>
    </row>
    <row r="21287">
      <c r="A21287" s="4" t="s">
        <v>26804</v>
      </c>
      <c r="B21287" s="4" t="s">
        <v>26806</v>
      </c>
      <c r="C21287" s="5" t="str">
        <f>IFERROR(__xludf.DUMMYFUNCTION("GOOGLETRANSLATE(B21287,""en"",""zh-CN"")"),"两个礼物是酒吧上的一个体操运动员，最后他们以双臂跳来跳去。")</f>
        <v>两个礼物是酒吧上的一个体操运动员，最后他们以双臂跳来跳去。</v>
      </c>
    </row>
    <row r="21288">
      <c r="A21288" s="4" t="s">
        <v>26807</v>
      </c>
      <c r="B21288" s="4" t="s">
        <v>26808</v>
      </c>
      <c r="C21288" s="5" t="str">
        <f>IFERROR(__xludf.DUMMYFUNCTION("GOOGLETRANSLATE(B21288,""en"",""zh-CN"")"),"一位男性造型师会说话，因为他使女人的头发光滑。")</f>
        <v>一位男性造型师会说话，因为他使女人的头发光滑。</v>
      </c>
    </row>
    <row r="21289">
      <c r="A21289" s="4" t="s">
        <v>26807</v>
      </c>
      <c r="B21289" s="4" t="s">
        <v>26809</v>
      </c>
      <c r="C21289" s="5" t="str">
        <f>IFERROR(__xludf.DUMMYFUNCTION("GOOGLETRANSLATE(B21289,""en"",""zh-CN"")"),"然后，他演示了如何剪发和造型头发，随着他的走去剪裁。")</f>
        <v>然后，他演示了如何剪发和造型头发，随着他的走去剪裁。</v>
      </c>
    </row>
    <row r="21290">
      <c r="A21290" s="4" t="s">
        <v>26807</v>
      </c>
      <c r="B21290" s="4" t="s">
        <v>26810</v>
      </c>
      <c r="C21290" s="5" t="str">
        <f>IFERROR(__xludf.DUMMYFUNCTION("GOOGLETRANSLATE(B21290,""en"",""zh-CN"")"),"完成后，他会吹毛，并给它最终的造型。")</f>
        <v>完成后，他会吹毛，并给它最终的造型。</v>
      </c>
    </row>
    <row r="21291">
      <c r="A21291" s="4" t="s">
        <v>26811</v>
      </c>
      <c r="B21291" s="4" t="s">
        <v>26812</v>
      </c>
      <c r="C21291" s="5" t="str">
        <f>IFERROR(__xludf.DUMMYFUNCTION("GOOGLETRANSLATE(B21291,""en"",""zh-CN"")"),"我们看到镜头前的手指。")</f>
        <v>我们看到镜头前的手指。</v>
      </c>
    </row>
    <row r="21292">
      <c r="A21292" s="4" t="s">
        <v>26811</v>
      </c>
      <c r="B21292" s="4" t="s">
        <v>26813</v>
      </c>
      <c r="C21292" s="5" t="str">
        <f>IFERROR(__xludf.DUMMYFUNCTION("GOOGLETRANSLATE(B21292,""en"",""zh-CN"")"),"一个绿色的男人走到壁球场。")</f>
        <v>一个绿色的男人走到壁球场。</v>
      </c>
    </row>
    <row r="21293">
      <c r="A21293" s="4" t="s">
        <v>26811</v>
      </c>
      <c r="B21293" s="4" t="s">
        <v>26814</v>
      </c>
      <c r="C21293" s="5" t="str">
        <f>IFERROR(__xludf.DUMMYFUNCTION("GOOGLETRANSLATE(B21293,""en"",""zh-CN"")"),"灯熄灭，房间很黑。")</f>
        <v>灯熄灭，房间很黑。</v>
      </c>
    </row>
    <row r="21294">
      <c r="A21294" s="4" t="s">
        <v>26811</v>
      </c>
      <c r="B21294" s="4" t="s">
        <v>26815</v>
      </c>
      <c r="C21294" s="5" t="str">
        <f>IFERROR(__xludf.DUMMYFUNCTION("GOOGLETRANSLATE(B21294,""en"",""zh-CN"")"),"绿色的那个人走到球场中间，来回击球。")</f>
        <v>绿色的那个人走到球场中间，来回击球。</v>
      </c>
    </row>
    <row r="21295">
      <c r="A21295" s="4" t="s">
        <v>26811</v>
      </c>
      <c r="B21295" s="4" t="s">
        <v>26816</v>
      </c>
      <c r="C21295" s="5" t="str">
        <f>IFERROR(__xludf.DUMMYFUNCTION("GOOGLETRANSLATE(B21295,""en"",""zh-CN"")"),"该男子结束并朝相机走去。")</f>
        <v>该男子结束并朝相机走去。</v>
      </c>
    </row>
    <row r="21296">
      <c r="A21296" s="4" t="s">
        <v>26817</v>
      </c>
      <c r="B21296" s="4" t="s">
        <v>26818</v>
      </c>
      <c r="C21296" s="5" t="str">
        <f>IFERROR(__xludf.DUMMYFUNCTION("GOOGLETRANSLATE(B21296,""en"",""zh-CN"")"),"看到一个小孩坐在地板上抓住冰淇淋。")</f>
        <v>看到一个小孩坐在地板上抓住冰淇淋。</v>
      </c>
    </row>
    <row r="21297">
      <c r="A21297" s="4" t="s">
        <v>26817</v>
      </c>
      <c r="B21297" s="4" t="s">
        <v>26819</v>
      </c>
      <c r="C21297" s="5" t="str">
        <f>IFERROR(__xludf.DUMMYFUNCTION("GOOGLETRANSLATE(B21297,""en"",""zh-CN"")"),"然后，孩子抓住勺子，继续用手吃。")</f>
        <v>然后，孩子抓住勺子，继续用手吃。</v>
      </c>
    </row>
    <row r="21298">
      <c r="A21298" s="4" t="s">
        <v>26820</v>
      </c>
      <c r="B21298" s="4" t="s">
        <v>26821</v>
      </c>
      <c r="C21298" s="5" t="str">
        <f>IFERROR(__xludf.DUMMYFUNCTION("GOOGLETRANSLATE(B21298,""en"",""zh-CN"")"),"看到一个女人在相机上说话，并陷入了一罐蜂蜜。")</f>
        <v>看到一个女人在相机上说话，并陷入了一罐蜂蜜。</v>
      </c>
    </row>
    <row r="21299">
      <c r="A21299" s="4" t="s">
        <v>26820</v>
      </c>
      <c r="B21299" s="4" t="s">
        <v>26822</v>
      </c>
      <c r="C21299" s="5" t="str">
        <f>IFERROR(__xludf.DUMMYFUNCTION("GOOGLETRANSLATE(B21299,""en"",""zh-CN"")"),"她继续讲话，并导致脸上摩擦蜂蜜。")</f>
        <v>她继续讲话，并导致脸上摩擦蜂蜜。</v>
      </c>
    </row>
    <row r="21300">
      <c r="A21300" s="4" t="s">
        <v>26820</v>
      </c>
      <c r="B21300" s="4" t="s">
        <v>26823</v>
      </c>
      <c r="C21300" s="5" t="str">
        <f>IFERROR(__xludf.DUMMYFUNCTION("GOOGLETRANSLATE(B21300,""en"",""zh-CN"")"),"她干了个面具，在对镜头微笑时继续说话。")</f>
        <v>她干了个面具，在对镜头微笑时继续说话。</v>
      </c>
    </row>
    <row r="21301">
      <c r="A21301" s="4" t="s">
        <v>26824</v>
      </c>
      <c r="B21301" s="4" t="s">
        <v>26825</v>
      </c>
      <c r="C21301" s="5" t="str">
        <f>IFERROR(__xludf.DUMMYFUNCTION("GOOGLETRANSLATE(B21301,""en"",""zh-CN"")"),"显示了一个人从栅栏上取下桨的视图。")</f>
        <v>显示了一个人从栅栏上取下桨的视图。</v>
      </c>
    </row>
    <row r="21302">
      <c r="A21302" s="4" t="s">
        <v>26824</v>
      </c>
      <c r="B21302" s="4" t="s">
        <v>26826</v>
      </c>
      <c r="C21302" s="5" t="str">
        <f>IFERROR(__xludf.DUMMYFUNCTION("GOOGLETRANSLATE(B21302,""en"",""zh-CN"")"),"在他说话时，我们看到了他的脸，然后他皮划艇将一条非常细的溪流滑入开放的水域。")</f>
        <v>在他说话时，我们看到了他的脸，然后他皮划艇将一条非常细的溪流滑入开放的水域。</v>
      </c>
    </row>
    <row r="21303">
      <c r="A21303" s="4" t="s">
        <v>26824</v>
      </c>
      <c r="B21303" s="4" t="s">
        <v>26827</v>
      </c>
      <c r="C21303" s="5" t="str">
        <f>IFERROR(__xludf.DUMMYFUNCTION("GOOGLETRANSLATE(B21303,""en"",""zh-CN"")"),"他将手机作为另一个人到达，然后视频其他人在通道上射击。")</f>
        <v>他将手机作为另一个人到达，然后视频其他人在通道上射击。</v>
      </c>
    </row>
    <row r="21304">
      <c r="A21304" s="4" t="s">
        <v>26828</v>
      </c>
      <c r="B21304" s="4" t="s">
        <v>26829</v>
      </c>
      <c r="C21304" s="5" t="str">
        <f>IFERROR(__xludf.DUMMYFUNCTION("GOOGLETRANSLATE(B21304,""en"",""zh-CN"")"),"人们正在健身房骑自旋自行车。")</f>
        <v>人们正在健身房骑自旋自行车。</v>
      </c>
    </row>
    <row r="21305">
      <c r="A21305" s="4" t="s">
        <v>26828</v>
      </c>
      <c r="B21305" s="4" t="s">
        <v>26830</v>
      </c>
      <c r="C21305" s="5" t="str">
        <f>IFERROR(__xludf.DUMMYFUNCTION("GOOGLETRANSLATE(B21305,""en"",""zh-CN"")"),"两名妇女正在锻炼锻炼自行车。")</f>
        <v>两名妇女正在锻炼锻炼自行车。</v>
      </c>
    </row>
    <row r="21306">
      <c r="A21306" s="4" t="s">
        <v>26828</v>
      </c>
      <c r="B21306" s="4" t="s">
        <v>26831</v>
      </c>
      <c r="C21306" s="5" t="str">
        <f>IFERROR(__xludf.DUMMYFUNCTION("GOOGLETRANSLATE(B21306,""en"",""zh-CN"")"),"黄色的单词出现在屏幕上。")</f>
        <v>黄色的单词出现在屏幕上。</v>
      </c>
    </row>
    <row r="21307">
      <c r="A21307" s="4" t="s">
        <v>26832</v>
      </c>
      <c r="B21307" s="6" t="s">
        <v>26833</v>
      </c>
      <c r="C21307" s="5" t="str">
        <f>IFERROR(__xludf.DUMMYFUNCTION("GOOGLETRANSLATE(B21307,""en"",""zh-CN"")"),"表明文本的倒数倒数，该文本导致了表现令人印象深刻的投掷的相扑摔跤手的剪辑。")</f>
        <v>表明文本的倒数倒数，该文本导致了表现令人印象深刻的投掷的相扑摔跤手的剪辑。</v>
      </c>
    </row>
    <row r="21308">
      <c r="A21308" s="4" t="s">
        <v>26832</v>
      </c>
      <c r="B21308" s="6" t="s">
        <v>26834</v>
      </c>
      <c r="C21308" s="5" t="str">
        <f>IFERROR(__xludf.DUMMYFUNCTION("GOOGLETRANSLATE(B21308,""en"",""zh-CN"")"),"该视频继续计算，因为显示了相扑摔跤手互相战斗和侧面观看的人们的镜头。")</f>
        <v>该视频继续计算，因为显示了相扑摔跤手互相战斗和侧面观看的人们的镜头。</v>
      </c>
    </row>
    <row r="21309">
      <c r="A21309" s="4" t="s">
        <v>26835</v>
      </c>
      <c r="B21309" s="4" t="s">
        <v>26836</v>
      </c>
      <c r="C21309" s="5" t="str">
        <f>IFERROR(__xludf.DUMMYFUNCTION("GOOGLETRANSLATE(B21309,""en"",""zh-CN"")"),"家具店里的一个人正在谈论由再生木材制成的流行家具。")</f>
        <v>家具店里的一个人正在谈论由再生木材制成的流行家具。</v>
      </c>
    </row>
    <row r="21310">
      <c r="A21310" s="4" t="s">
        <v>26835</v>
      </c>
      <c r="B21310" s="4" t="s">
        <v>26837</v>
      </c>
      <c r="C21310" s="5" t="str">
        <f>IFERROR(__xludf.DUMMYFUNCTION("GOOGLETRANSLATE(B21310,""en"",""zh-CN"")"),"他在商店里展示了质朴，现代和传统的家具。")</f>
        <v>他在商店里展示了质朴，现代和传统的家具。</v>
      </c>
    </row>
    <row r="21311">
      <c r="A21311" s="4" t="s">
        <v>26835</v>
      </c>
      <c r="B21311" s="4" t="s">
        <v>26838</v>
      </c>
      <c r="C21311" s="5" t="str">
        <f>IFERROR(__xludf.DUMMYFUNCTION("GOOGLETRANSLATE(B21311,""en"",""zh-CN"")"),"他展示了高质量的再生木材及其制成的不同家具。")</f>
        <v>他展示了高质量的再生木材及其制成的不同家具。</v>
      </c>
    </row>
    <row r="21312">
      <c r="A21312" s="4" t="s">
        <v>26839</v>
      </c>
      <c r="B21312" s="4" t="s">
        <v>26840</v>
      </c>
      <c r="C21312" s="5" t="str">
        <f>IFERROR(__xludf.DUMMYFUNCTION("GOOGLETRANSLATE(B21312,""en"",""zh-CN"")"),"我们在左上角看到一个标题。")</f>
        <v>我们在左上角看到一个标题。</v>
      </c>
    </row>
    <row r="21313">
      <c r="A21313" s="4" t="s">
        <v>26839</v>
      </c>
      <c r="B21313" s="4" t="s">
        <v>539</v>
      </c>
      <c r="C21313" s="5" t="str">
        <f>IFERROR(__xludf.DUMMYFUNCTION("GOOGLETRANSLATE(B21313,""en"",""zh-CN"")"),"一个男人正在和镜头说话。")</f>
        <v>一个男人正在和镜头说话。</v>
      </c>
    </row>
    <row r="21314">
      <c r="A21314" s="4" t="s">
        <v>26839</v>
      </c>
      <c r="B21314" s="4" t="s">
        <v>26841</v>
      </c>
      <c r="C21314" s="5" t="str">
        <f>IFERROR(__xludf.DUMMYFUNCTION("GOOGLETRANSLATE(B21314,""en"",""zh-CN"")"),"该男子将橱柜分开，擦拭并涂漆。")</f>
        <v>该男子将橱柜分开，擦拭并涂漆。</v>
      </c>
    </row>
    <row r="21315">
      <c r="A21315" s="4" t="s">
        <v>26839</v>
      </c>
      <c r="B21315" s="4" t="s">
        <v>26842</v>
      </c>
      <c r="C21315" s="5" t="str">
        <f>IFERROR(__xludf.DUMMYFUNCTION("GOOGLETRANSLATE(B21315,""en"",""zh-CN"")"),"橱柜干燥，男人擦干。")</f>
        <v>橱柜干燥，男人擦干。</v>
      </c>
    </row>
    <row r="21316">
      <c r="A21316" s="4" t="s">
        <v>26839</v>
      </c>
      <c r="B21316" s="4" t="s">
        <v>26843</v>
      </c>
      <c r="C21316" s="5" t="str">
        <f>IFERROR(__xludf.DUMMYFUNCTION("GOOGLETRANSLATE(B21316,""en"",""zh-CN"")"),"我们看到一个人在油漆上应用产品。")</f>
        <v>我们看到一个人在油漆上应用产品。</v>
      </c>
    </row>
    <row r="21317">
      <c r="A21317" s="4" t="s">
        <v>26839</v>
      </c>
      <c r="B21317" s="4" t="s">
        <v>26844</v>
      </c>
      <c r="C21317" s="5" t="str">
        <f>IFERROR(__xludf.DUMMYFUNCTION("GOOGLETRANSLATE(B21317,""en"",""zh-CN"")"),"我们看到橱柜的脸部放回橱柜上。")</f>
        <v>我们看到橱柜的脸部放回橱柜上。</v>
      </c>
    </row>
    <row r="21318">
      <c r="A21318" s="4" t="s">
        <v>26839</v>
      </c>
      <c r="B21318" s="4" t="s">
        <v>26690</v>
      </c>
      <c r="C21318" s="5" t="str">
        <f>IFERROR(__xludf.DUMMYFUNCTION("GOOGLETRANSLATE(B21318,""en"",""zh-CN"")"),"我们在黑屏上看到了最终学分。")</f>
        <v>我们在黑屏上看到了最终学分。</v>
      </c>
    </row>
    <row r="21319">
      <c r="A21319" s="4" t="s">
        <v>26845</v>
      </c>
      <c r="B21319" s="4" t="s">
        <v>26846</v>
      </c>
      <c r="C21319" s="5" t="str">
        <f>IFERROR(__xludf.DUMMYFUNCTION("GOOGLETRANSLATE(B21319,""en"",""zh-CN"")"),"圣克鲁斯游牧自行车公司正在演示如何安装自行车。")</f>
        <v>圣克鲁斯游牧自行车公司正在演示如何安装自行车。</v>
      </c>
    </row>
    <row r="21320">
      <c r="A21320" s="4" t="s">
        <v>26845</v>
      </c>
      <c r="B21320" s="4" t="s">
        <v>26847</v>
      </c>
      <c r="C21320" s="5" t="str">
        <f>IFERROR(__xludf.DUMMYFUNCTION("GOOGLETRANSLATE(B21320,""en"",""zh-CN"")"),"公司代表将自行车部分逐件汇总在一起。")</f>
        <v>公司代表将自行车部分逐件汇总在一起。</v>
      </c>
    </row>
    <row r="21321">
      <c r="A21321" s="4" t="s">
        <v>26845</v>
      </c>
      <c r="B21321" s="4" t="s">
        <v>26848</v>
      </c>
      <c r="C21321" s="5" t="str">
        <f>IFERROR(__xludf.DUMMYFUNCTION("GOOGLETRANSLATE(B21321,""en"",""zh-CN"")"),"他从主体开始，然后连接车轮，手柄和踏板。")</f>
        <v>他从主体开始，然后连接车轮，手柄和踏板。</v>
      </c>
    </row>
    <row r="21322">
      <c r="A21322" s="4" t="s">
        <v>26845</v>
      </c>
      <c r="B21322" s="4" t="s">
        <v>26849</v>
      </c>
      <c r="C21322" s="5" t="str">
        <f>IFERROR(__xludf.DUMMYFUNCTION("GOOGLETRANSLATE(B21322,""en"",""zh-CN"")"),"然后，他继续前进并连接橡胶轮胎。")</f>
        <v>然后，他继续前进并连接橡胶轮胎。</v>
      </c>
    </row>
    <row r="21323">
      <c r="A21323" s="4" t="s">
        <v>26845</v>
      </c>
      <c r="B21323" s="4" t="s">
        <v>26850</v>
      </c>
      <c r="C21323" s="5" t="str">
        <f>IFERROR(__xludf.DUMMYFUNCTION("GOOGLETRANSLATE(B21323,""en"",""zh-CN"")"),"之后，他用黑色橡胶上衣固定自行车的手柄。")</f>
        <v>之后，他用黑色橡胶上衣固定自行车的手柄。</v>
      </c>
    </row>
    <row r="21324">
      <c r="A21324" s="4" t="s">
        <v>26845</v>
      </c>
      <c r="B21324" s="4" t="s">
        <v>26851</v>
      </c>
      <c r="C21324" s="5" t="str">
        <f>IFERROR(__xludf.DUMMYFUNCTION("GOOGLETRANSLATE(B21324,""en"",""zh-CN"")"),"他最终加强了所有零件，并确保自行车已准备就绪。")</f>
        <v>他最终加强了所有零件，并确保自行车已准备就绪。</v>
      </c>
    </row>
    <row r="21325">
      <c r="A21325" s="4" t="s">
        <v>26845</v>
      </c>
      <c r="B21325" s="4" t="s">
        <v>26852</v>
      </c>
      <c r="C21325" s="5" t="str">
        <f>IFERROR(__xludf.DUMMYFUNCTION("GOOGLETRANSLATE(B21325,""en"",""zh-CN"")"),"完成后，他骑自行车并骑车。")</f>
        <v>完成后，他骑自行车并骑车。</v>
      </c>
    </row>
    <row r="21326">
      <c r="A21326" s="4" t="s">
        <v>26853</v>
      </c>
      <c r="B21326" s="4" t="s">
        <v>26854</v>
      </c>
      <c r="C21326" s="5" t="str">
        <f>IFERROR(__xludf.DUMMYFUNCTION("GOOGLETRANSLATE(B21326,""en"",""zh-CN"")"),"看到一个人坐在桌子前，手里拿着吉他。")</f>
        <v>看到一个人坐在桌子前，手里拿着吉他。</v>
      </c>
    </row>
    <row r="21327">
      <c r="A21327" s="4" t="s">
        <v>26853</v>
      </c>
      <c r="B21327" s="4" t="s">
        <v>26855</v>
      </c>
      <c r="C21327" s="5" t="str">
        <f>IFERROR(__xludf.DUMMYFUNCTION("GOOGLETRANSLATE(B21327,""en"",""zh-CN"")"),"然后，该男子开始弹奏乐器上下移动手。")</f>
        <v>然后，该男子开始弹奏乐器上下移动手。</v>
      </c>
    </row>
    <row r="21328">
      <c r="A21328" s="4" t="s">
        <v>26853</v>
      </c>
      <c r="B21328" s="4" t="s">
        <v>26856</v>
      </c>
      <c r="C21328" s="5" t="str">
        <f>IFERROR(__xludf.DUMMYFUNCTION("GOOGLETRANSLATE(B21328,""en"",""zh-CN"")"),"该人继续弹吉他并望向远处。")</f>
        <v>该人继续弹吉他并望向远处。</v>
      </c>
    </row>
    <row r="21329">
      <c r="A21329" s="4" t="s">
        <v>26857</v>
      </c>
      <c r="B21329" s="6" t="s">
        <v>26858</v>
      </c>
      <c r="C21329" s="5" t="str">
        <f>IFERROR(__xludf.DUMMYFUNCTION("GOOGLETRANSLATE(B21329,""en"",""zh-CN"")"),"看到一个人沿着白雪皑皑的山丘骑行，然后是一个在机器上工作的男人并将纸拉出。")</f>
        <v>看到一个人沿着白雪皑皑的山丘骑行，然后是一个在机器上工作的男人并将纸拉出。</v>
      </c>
    </row>
    <row r="21330">
      <c r="A21330" s="4" t="s">
        <v>26857</v>
      </c>
      <c r="B21330" s="4" t="s">
        <v>26859</v>
      </c>
      <c r="C21330" s="5" t="str">
        <f>IFERROR(__xludf.DUMMYFUNCTION("GOOGLETRANSLATE(B21330,""en"",""zh-CN"")"),"相机放大了机器，该人乘坐滑雪板并在机器上滑雪。")</f>
        <v>相机放大了机器，该人乘坐滑雪板并在机器上滑雪。</v>
      </c>
    </row>
    <row r="21331">
      <c r="A21331" s="4" t="s">
        <v>26857</v>
      </c>
      <c r="B21331" s="4" t="s">
        <v>26860</v>
      </c>
      <c r="C21331" s="5" t="str">
        <f>IFERROR(__xludf.DUMMYFUNCTION("GOOGLETRANSLATE(B21331,""en"",""zh-CN"")"),"他在继续在机器上使用它们并炫耀它们的外观时炫耀滑雪板。")</f>
        <v>他在继续在机器上使用它们并炫耀它们的外观时炫耀滑雪板。</v>
      </c>
    </row>
    <row r="21332">
      <c r="A21332" s="4" t="s">
        <v>26861</v>
      </c>
      <c r="B21332" s="4" t="s">
        <v>26862</v>
      </c>
      <c r="C21332" s="5" t="str">
        <f>IFERROR(__xludf.DUMMYFUNCTION("GOOGLETRANSLATE(B21332,""en"",""zh-CN"")"),"该视频通过BMX竞赛的介绍部分开放。")</f>
        <v>该视频通过BMX竞赛的介绍部分开放。</v>
      </c>
    </row>
    <row r="21333">
      <c r="A21333" s="4" t="s">
        <v>26861</v>
      </c>
      <c r="B21333" s="4" t="s">
        <v>26863</v>
      </c>
      <c r="C21333" s="5" t="str">
        <f>IFERROR(__xludf.DUMMYFUNCTION("GOOGLETRANSLATE(B21333,""en"",""zh-CN"")"),"赛车手在大门上为比赛做准备。")</f>
        <v>赛车手在大门上为比赛做准备。</v>
      </c>
    </row>
    <row r="21334">
      <c r="A21334" s="4" t="s">
        <v>26861</v>
      </c>
      <c r="B21334" s="4" t="s">
        <v>26864</v>
      </c>
      <c r="C21334" s="5" t="str">
        <f>IFERROR(__xludf.DUMMYFUNCTION("GOOGLETRANSLATE(B21334,""en"",""zh-CN"")"),"在屏幕上介绍了几个赛车手。")</f>
        <v>在屏幕上介绍了几个赛车手。</v>
      </c>
    </row>
    <row r="21335">
      <c r="A21335" s="4" t="s">
        <v>26861</v>
      </c>
      <c r="B21335" s="4" t="s">
        <v>26865</v>
      </c>
      <c r="C21335" s="5" t="str">
        <f>IFERROR(__xludf.DUMMYFUNCTION("GOOGLETRANSLATE(B21335,""en"",""zh-CN"")"),"比赛开始，赛车手围绕赛道比赛。")</f>
        <v>比赛开始，赛车手围绕赛道比赛。</v>
      </c>
    </row>
    <row r="21336">
      <c r="A21336" s="4" t="s">
        <v>26866</v>
      </c>
      <c r="B21336" s="6" t="s">
        <v>26867</v>
      </c>
      <c r="C21336" s="5" t="str">
        <f>IFERROR(__xludf.DUMMYFUNCTION("GOOGLETRANSLATE(B21336,""en"",""zh-CN"")"),"该视频始于年度BMX自行车活动，在那里聚集了几名参与者以开始竞争活动。")</f>
        <v>该视频始于年度BMX自行车活动，在那里聚集了几名参与者以开始竞争活动。</v>
      </c>
    </row>
    <row r="21337">
      <c r="A21337" s="4" t="s">
        <v>26866</v>
      </c>
      <c r="B21337" s="4" t="s">
        <v>26868</v>
      </c>
      <c r="C21337" s="5" t="str">
        <f>IFERROR(__xludf.DUMMYFUNCTION("GOOGLETRANSLATE(B21337,""en"",""zh-CN"")"),"几名骑自行车的人开始在露天竞技场的弯曲斜坡上骑自行车。")</f>
        <v>几名骑自行车的人开始在露天竞技场的弯曲斜坡上骑自行车。</v>
      </c>
    </row>
    <row r="21338">
      <c r="A21338" s="4" t="s">
        <v>26866</v>
      </c>
      <c r="B21338" s="4" t="s">
        <v>26869</v>
      </c>
      <c r="C21338" s="5" t="str">
        <f>IFERROR(__xludf.DUMMYFUNCTION("GOOGLETRANSLATE(B21338,""en"",""zh-CN"")"),"骑自行车的人戴着齿轮和头盔越过颠簸和丘陵的斜坡。")</f>
        <v>骑自行车的人戴着齿轮和头盔越过颠簸和丘陵的斜坡。</v>
      </c>
    </row>
    <row r="21339">
      <c r="A21339" s="4" t="s">
        <v>26866</v>
      </c>
      <c r="B21339" s="4" t="s">
        <v>26870</v>
      </c>
      <c r="C21339" s="5" t="str">
        <f>IFERROR(__xludf.DUMMYFUNCTION("GOOGLETRANSLATE(B21339,""en"",""zh-CN"")"),"有几个骑自行车的人从骑自行车的斜坡上开始比赛。")</f>
        <v>有几个骑自行车的人从骑自行车的斜坡上开始比赛。</v>
      </c>
    </row>
    <row r="21340">
      <c r="A21340" s="4" t="s">
        <v>26866</v>
      </c>
      <c r="B21340" s="6" t="s">
        <v>26871</v>
      </c>
      <c r="C21340" s="5" t="str">
        <f>IFERROR(__xludf.DUMMYFUNCTION("GOOGLETRANSLATE(B21340,""en"",""zh-CN"")"),"当他们在骑自行车舞台的障碍过程中加快速度时，他们展示了自己的特技表演和技能。")</f>
        <v>当他们在骑自行车舞台的障碍过程中加快速度时，他们展示了自己的特技表演和技能。</v>
      </c>
    </row>
    <row r="21341">
      <c r="A21341" s="4" t="s">
        <v>26872</v>
      </c>
      <c r="B21341" s="6" t="s">
        <v>26873</v>
      </c>
      <c r="C21341" s="5" t="str">
        <f>IFERROR(__xludf.DUMMYFUNCTION("GOOGLETRANSLATE(B21341,""en"",""zh-CN"")"),"两个并排视频显示了一个慢动作飞盘并与狗做技巧的人。")</f>
        <v>两个并排视频显示了一个慢动作飞盘并与狗做技巧的人。</v>
      </c>
    </row>
    <row r="21342">
      <c r="A21342" s="4" t="s">
        <v>26872</v>
      </c>
      <c r="B21342" s="6" t="s">
        <v>26874</v>
      </c>
      <c r="C21342" s="5" t="str">
        <f>IFERROR(__xludf.DUMMYFUNCTION("GOOGLETRANSLATE(B21342,""en"",""zh-CN"")"),"同一男人再次显示与他的狗一起执行各种技巧，这些技巧是实时显示的以及慢动作。")</f>
        <v>同一男人再次显示与他的狗一起执行各种技巧，这些技巧是实时显示的以及慢动作。</v>
      </c>
    </row>
    <row r="21343">
      <c r="A21343" s="4" t="s">
        <v>26875</v>
      </c>
      <c r="B21343" s="4" t="s">
        <v>26876</v>
      </c>
      <c r="C21343" s="5" t="str">
        <f>IFERROR(__xludf.DUMMYFUNCTION("GOOGLETRANSLATE(B21343,""en"",""zh-CN"")"),"人们在船上，当一个人固定在后背和水板上。")</f>
        <v>人们在船上，当一个人固定在后背和水板上。</v>
      </c>
    </row>
    <row r="21344">
      <c r="A21344" s="4" t="s">
        <v>26875</v>
      </c>
      <c r="B21344" s="6" t="s">
        <v>26877</v>
      </c>
      <c r="C21344" s="5" t="str">
        <f>IFERROR(__xludf.DUMMYFUNCTION("GOOGLETRANSLATE(B21344,""en"",""zh-CN"")"),"当大量的水中飞入空气中时，屏幕中间出现了“ Piplout Bay of Placy”。")</f>
        <v>当大量的水中飞入空气中时，屏幕中间出现了“ Piplout Bay of Placy”。</v>
      </c>
    </row>
    <row r="21345">
      <c r="A21345" s="4" t="s">
        <v>26875</v>
      </c>
      <c r="B21345" s="6" t="s">
        <v>26878</v>
      </c>
      <c r="C21345" s="5" t="str">
        <f>IFERROR(__xludf.DUMMYFUNCTION("GOOGLETRANSLATE(B21345,""en"",""zh-CN"")"),"从不同角度显示该人的水板，然后多次努力地掉入水中。")</f>
        <v>从不同角度显示该人的水板，然后多次努力地掉入水中。</v>
      </c>
    </row>
    <row r="21346">
      <c r="A21346" s="4" t="s">
        <v>26879</v>
      </c>
      <c r="B21346" s="4" t="s">
        <v>26880</v>
      </c>
      <c r="C21346" s="5" t="str">
        <f>IFERROR(__xludf.DUMMYFUNCTION("GOOGLETRANSLATE(B21346,""en"",""zh-CN"")"),"看到一个年轻的女孩梳理头发以及将产品喷入头发。")</f>
        <v>看到一个年轻的女孩梳理头发以及将产品喷入头发。</v>
      </c>
    </row>
    <row r="21347">
      <c r="A21347" s="4" t="s">
        <v>26879</v>
      </c>
      <c r="B21347" s="4" t="s">
        <v>26881</v>
      </c>
      <c r="C21347" s="5" t="str">
        <f>IFERROR(__xludf.DUMMYFUNCTION("GOOGLETRANSLATE(B21347,""en"",""zh-CN"")"),"她将头发分为一部分，开始编织头发。")</f>
        <v>她将头发分为一部分，开始编织头发。</v>
      </c>
    </row>
    <row r="21348">
      <c r="A21348" s="4" t="s">
        <v>26879</v>
      </c>
      <c r="B21348" s="4" t="s">
        <v>26882</v>
      </c>
      <c r="C21348" s="5" t="str">
        <f>IFERROR(__xludf.DUMMYFUNCTION("GOOGLETRANSLATE(B21348,""en"",""zh-CN"")"),"她完成了编织头发的结束，并以辫子的照片结尾。")</f>
        <v>她完成了编织头发的结束，并以辫子的照片结尾。</v>
      </c>
    </row>
    <row r="21349">
      <c r="A21349" s="4" t="s">
        <v>26883</v>
      </c>
      <c r="B21349" s="4" t="s">
        <v>26884</v>
      </c>
      <c r="C21349" s="5" t="str">
        <f>IFERROR(__xludf.DUMMYFUNCTION("GOOGLETRANSLATE(B21349,""en"",""zh-CN"")"),"篝火被石头包围。")</f>
        <v>篝火被石头包围。</v>
      </c>
    </row>
    <row r="21350">
      <c r="A21350" s="4" t="s">
        <v>26883</v>
      </c>
      <c r="B21350" s="4" t="s">
        <v>26885</v>
      </c>
      <c r="C21350" s="5" t="str">
        <f>IFERROR(__xludf.DUMMYFUNCTION("GOOGLETRANSLATE(B21350,""en"",""zh-CN"")"),"一个人在篝火上添加褐色的叶子。")</f>
        <v>一个人在篝火上添加褐色的叶子。</v>
      </c>
    </row>
    <row r="21351">
      <c r="A21351" s="4" t="s">
        <v>26883</v>
      </c>
      <c r="B21351" s="4" t="s">
        <v>26886</v>
      </c>
      <c r="C21351" s="5" t="str">
        <f>IFERROR(__xludf.DUMMYFUNCTION("GOOGLETRANSLATE(B21351,""en"",""zh-CN"")"),"一个人用棍棒将叶子移动到火中。")</f>
        <v>一个人用棍棒将叶子移动到火中。</v>
      </c>
    </row>
    <row r="21352">
      <c r="A21352" s="4" t="s">
        <v>26883</v>
      </c>
      <c r="B21352" s="4" t="s">
        <v>26887</v>
      </c>
      <c r="C21352" s="5" t="str">
        <f>IFERROR(__xludf.DUMMYFUNCTION("GOOGLETRANSLATE(B21352,""en"",""zh-CN"")"),"一个人从火上向后移动。")</f>
        <v>一个人从火上向后移动。</v>
      </c>
    </row>
    <row r="21353">
      <c r="A21353" s="4" t="s">
        <v>26883</v>
      </c>
      <c r="B21353" s="4" t="s">
        <v>26888</v>
      </c>
      <c r="C21353" s="5" t="str">
        <f>IFERROR(__xludf.DUMMYFUNCTION("GOOGLETRANSLATE(B21353,""en"",""zh-CN"")"),"一个人向大火前进。")</f>
        <v>一个人向大火前进。</v>
      </c>
    </row>
    <row r="21354">
      <c r="A21354" s="4" t="s">
        <v>26889</v>
      </c>
      <c r="B21354" s="4" t="s">
        <v>26890</v>
      </c>
      <c r="C21354" s="5" t="str">
        <f>IFERROR(__xludf.DUMMYFUNCTION("GOOGLETRANSLATE(B21354,""en"",""zh-CN"")"),"两个人在当地战斗。")</f>
        <v>两个人在当地战斗。</v>
      </c>
    </row>
    <row r="21355">
      <c r="A21355" s="4" t="s">
        <v>26889</v>
      </c>
      <c r="B21355" s="4" t="s">
        <v>26891</v>
      </c>
      <c r="C21355" s="5" t="str">
        <f>IFERROR(__xludf.DUMMYFUNCTION("GOOGLETRANSLATE(B21355,""en"",""zh-CN"")"),"人们坐在他们周围看着。")</f>
        <v>人们坐在他们周围看着。</v>
      </c>
    </row>
    <row r="21356">
      <c r="A21356" s="4" t="s">
        <v>26889</v>
      </c>
      <c r="B21356" s="4" t="s">
        <v>26892</v>
      </c>
      <c r="C21356" s="5" t="str">
        <f>IFERROR(__xludf.DUMMYFUNCTION("GOOGLETRANSLATE(B21356,""en"",""zh-CN"")"),"人们坐在椅子上打鼓。")</f>
        <v>人们坐在椅子上打鼓。</v>
      </c>
    </row>
    <row r="21357">
      <c r="A21357" s="4" t="s">
        <v>26893</v>
      </c>
      <c r="B21357" s="4" t="s">
        <v>26894</v>
      </c>
      <c r="C21357" s="5" t="str">
        <f>IFERROR(__xludf.DUMMYFUNCTION("GOOGLETRANSLATE(B21357,""en"",""zh-CN"")"),"一个人在水体中的石灰绿色板上蜿蜒曲折。")</f>
        <v>一个人在水体中的石灰绿色板上蜿蜒曲折。</v>
      </c>
    </row>
    <row r="21358">
      <c r="A21358" s="4" t="s">
        <v>26893</v>
      </c>
      <c r="B21358" s="4" t="s">
        <v>26895</v>
      </c>
      <c r="C21358" s="5" t="str">
        <f>IFERROR(__xludf.DUMMYFUNCTION("GOOGLETRANSLATE(B21358,""en"",""zh-CN"")"),"该人做了几次旋转。")</f>
        <v>该人做了几次旋转。</v>
      </c>
    </row>
    <row r="21359">
      <c r="A21359" s="4" t="s">
        <v>26896</v>
      </c>
      <c r="B21359" s="4" t="s">
        <v>26897</v>
      </c>
      <c r="C21359" s="5" t="str">
        <f>IFERROR(__xludf.DUMMYFUNCTION("GOOGLETRANSLATE(B21359,""en"",""zh-CN"")"),"一个大男人在脖子肩膀上做。")</f>
        <v>一个大男人在脖子肩膀上做。</v>
      </c>
    </row>
    <row r="21360">
      <c r="A21360" s="4" t="s">
        <v>26896</v>
      </c>
      <c r="B21360" s="4" t="s">
        <v>26898</v>
      </c>
      <c r="C21360" s="5" t="str">
        <f>IFERROR(__xludf.DUMMYFUNCTION("GOOGLETRANSLATE(B21360,""en"",""zh-CN"")"),"他屏住呼吸，然后站起来开始走路。")</f>
        <v>他屏住呼吸，然后站起来开始走路。</v>
      </c>
    </row>
    <row r="21361">
      <c r="A21361" s="4" t="s">
        <v>26896</v>
      </c>
      <c r="B21361" s="4" t="s">
        <v>26899</v>
      </c>
      <c r="C21361" s="5" t="str">
        <f>IFERROR(__xludf.DUMMYFUNCTION("GOOGLETRANSLATE(B21361,""en"",""zh-CN"")"),"他回到替补席上，再做几次肩部压力。")</f>
        <v>他回到替补席上，再做几次肩部压力。</v>
      </c>
    </row>
    <row r="21362">
      <c r="A21362" s="4" t="s">
        <v>26896</v>
      </c>
      <c r="B21362" s="4" t="s">
        <v>26900</v>
      </c>
      <c r="C21362" s="5" t="str">
        <f>IFERROR(__xludf.DUMMYFUNCTION("GOOGLETRANSLATE(B21362,""en"",""zh-CN"")"),"然后，他走到外面，练习旋转和投掷。")</f>
        <v>然后，他走到外面，练习旋转和投掷。</v>
      </c>
    </row>
    <row r="21363">
      <c r="A21363" s="4" t="s">
        <v>26901</v>
      </c>
      <c r="B21363" s="4" t="s">
        <v>26902</v>
      </c>
      <c r="C21363" s="5" t="str">
        <f>IFERROR(__xludf.DUMMYFUNCTION("GOOGLETRANSLATE(B21363,""en"",""zh-CN"")"),"一个男孩站在冰上冰上的冰上钓鱼的顶部。")</f>
        <v>一个男孩站在冰上冰上的冰上钓鱼的顶部。</v>
      </c>
    </row>
    <row r="21364">
      <c r="A21364" s="4" t="s">
        <v>26901</v>
      </c>
      <c r="B21364" s="4" t="s">
        <v>26903</v>
      </c>
      <c r="C21364" s="5" t="str">
        <f>IFERROR(__xludf.DUMMYFUNCTION("GOOGLETRANSLATE(B21364,""en"",""zh-CN"")"),"这个男孩努力地把鱼拿出来，有人来为他拿出来。")</f>
        <v>这个男孩努力地把鱼拿出来，有人来为他拿出来。</v>
      </c>
    </row>
    <row r="21365">
      <c r="A21365" s="4" t="s">
        <v>26901</v>
      </c>
      <c r="B21365" s="4" t="s">
        <v>26904</v>
      </c>
      <c r="C21365" s="5" t="str">
        <f>IFERROR(__xludf.DUMMYFUNCTION("GOOGLETRANSLATE(B21365,""en"",""zh-CN"")"),"现在有四个人可见，他们都开始从冰池里钓鱼。")</f>
        <v>现在有四个人可见，他们都开始从冰池里钓鱼。</v>
      </c>
    </row>
    <row r="21366">
      <c r="A21366" s="4" t="s">
        <v>26901</v>
      </c>
      <c r="B21366" s="4" t="s">
        <v>26905</v>
      </c>
      <c r="C21366" s="5" t="str">
        <f>IFERROR(__xludf.DUMMYFUNCTION("GOOGLETRANSLATE(B21366,""en"",""zh-CN"")"),"最终，一个男人抓住椅子，开始钓鱼并从他的线上拿走他的鱼。")</f>
        <v>最终，一个男人抓住椅子，开始钓鱼并从他的线上拿走他的鱼。</v>
      </c>
    </row>
    <row r="21367">
      <c r="A21367" s="4" t="s">
        <v>26906</v>
      </c>
      <c r="B21367" s="6" t="s">
        <v>26907</v>
      </c>
      <c r="C21367" s="5" t="str">
        <f>IFERROR(__xludf.DUMMYFUNCTION("GOOGLETRANSLATE(B21367,""en"",""zh-CN"")"),"一个简介导致一群啦啦队在团队中执行多个动作，并在相机上接受采访的女孩。")</f>
        <v>一个简介导致一群啦啦队在团队中执行多个动作，并在相机上接受采访的女孩。</v>
      </c>
    </row>
    <row r="21368">
      <c r="A21368" s="4" t="s">
        <v>26906</v>
      </c>
      <c r="B21368" s="6" t="s">
        <v>26908</v>
      </c>
      <c r="C21368" s="5" t="str">
        <f>IFERROR(__xludf.DUMMYFUNCTION("GOOGLETRANSLATE(B21368,""en"",""zh-CN"")"),"他们执行几个视频和图片显示的例程，并继续在后台和舞台上显示各种技巧。")</f>
        <v>他们执行几个视频和图片显示的例程，并继续在后台和舞台上显示各种技巧。</v>
      </c>
    </row>
    <row r="21369">
      <c r="A21369" s="4" t="s">
        <v>26906</v>
      </c>
      <c r="B21369" s="6" t="s">
        <v>26909</v>
      </c>
      <c r="C21369" s="5" t="str">
        <f>IFERROR(__xludf.DUMMYFUNCTION("GOOGLETRANSLATE(B21369,""en"",""zh-CN"")"),"女孩们与他们的教练互相交谈，许多人在观众中与他们互动。")</f>
        <v>女孩们与他们的教练互相交谈，许多人在观众中与他们互动。</v>
      </c>
    </row>
    <row r="21370">
      <c r="A21370" s="4" t="s">
        <v>26910</v>
      </c>
      <c r="B21370" s="4" t="s">
        <v>26911</v>
      </c>
      <c r="C21370" s="5" t="str">
        <f>IFERROR(__xludf.DUMMYFUNCTION("GOOGLETRANSLATE(B21370,""en"",""zh-CN"")"),"看到一个人在滚筒上骑行，并在酒吧上进行磨碎。")</f>
        <v>看到一个人在滚筒上骑行，并在酒吧上进行磨碎。</v>
      </c>
    </row>
    <row r="21371">
      <c r="A21371" s="4" t="s">
        <v>26910</v>
      </c>
      <c r="B21371" s="6" t="s">
        <v>26912</v>
      </c>
      <c r="C21371" s="5" t="str">
        <f>IFERROR(__xludf.DUMMYFUNCTION("GOOGLETRANSLATE(B21371,""en"",""zh-CN"")"),"还显示了更多的剪辑，该剪辑显示了用滚筒以及其他翻转和技巧进行磨削的人。")</f>
        <v>还显示了更多的剪辑，该剪辑显示了用滚筒以及其他翻转和技巧进行磨削的人。</v>
      </c>
    </row>
    <row r="21372">
      <c r="A21372" s="4" t="s">
        <v>26913</v>
      </c>
      <c r="B21372" s="4" t="s">
        <v>26914</v>
      </c>
      <c r="C21372" s="5" t="str">
        <f>IFERROR(__xludf.DUMMYFUNCTION("GOOGLETRANSLATE(B21372,""en"",""zh-CN"")"),"女人拿着吹风机，死了一头小孩的头发。")</f>
        <v>女人拿着吹风机，死了一头小孩的头发。</v>
      </c>
    </row>
    <row r="21373">
      <c r="A21373" s="4" t="s">
        <v>26913</v>
      </c>
      <c r="B21373" s="4" t="s">
        <v>26915</v>
      </c>
      <c r="C21373" s="5" t="str">
        <f>IFERROR(__xludf.DUMMYFUNCTION("GOOGLETRANSLATE(B21373,""en"",""zh-CN"")"),"背面的小孩子站着笑。")</f>
        <v>背面的小孩子站着笑。</v>
      </c>
    </row>
    <row r="21374">
      <c r="A21374" s="4" t="s">
        <v>26916</v>
      </c>
      <c r="B21374" s="4" t="s">
        <v>26917</v>
      </c>
      <c r="C21374" s="5" t="str">
        <f>IFERROR(__xludf.DUMMYFUNCTION("GOOGLETRANSLATE(B21374,""en"",""zh-CN"")"),"男人站在一个开放百叶窗的房间里。")</f>
        <v>男人站在一个开放百叶窗的房间里。</v>
      </c>
    </row>
    <row r="21375">
      <c r="A21375" s="4" t="s">
        <v>26916</v>
      </c>
      <c r="B21375" s="4" t="s">
        <v>26918</v>
      </c>
      <c r="C21375" s="5" t="str">
        <f>IFERROR(__xludf.DUMMYFUNCTION("GOOGLETRANSLATE(B21375,""en"",""zh-CN"")"),"男人在街上在人行道上滑冰，周围有很多人。")</f>
        <v>男人在街上在人行道上滑冰，周围有很多人。</v>
      </c>
    </row>
    <row r="21376">
      <c r="A21376" s="4" t="s">
        <v>26919</v>
      </c>
      <c r="B21376" s="4" t="s">
        <v>26920</v>
      </c>
      <c r="C21376" s="5" t="str">
        <f>IFERROR(__xludf.DUMMYFUNCTION("GOOGLETRANSLATE(B21376,""en"",""zh-CN"")"),"在她面前观看计算机视频时，可以看到一个幼儿使用椭圆形。")</f>
        <v>在她面前观看计算机视频时，可以看到一个幼儿使用椭圆形。</v>
      </c>
    </row>
    <row r="21377">
      <c r="A21377" s="4" t="s">
        <v>26919</v>
      </c>
      <c r="B21377" s="6" t="s">
        <v>26921</v>
      </c>
      <c r="C21377" s="5" t="str">
        <f>IFERROR(__xludf.DUMMYFUNCTION("GOOGLETRANSLATE(B21377,""en"",""zh-CN"")"),"当相机放大该区域时，女孩使用机器控制视频上的动作。")</f>
        <v>当相机放大该区域时，女孩使用机器控制视频上的动作。</v>
      </c>
    </row>
    <row r="21378">
      <c r="A21378" s="4" t="s">
        <v>26922</v>
      </c>
      <c r="B21378" s="4" t="s">
        <v>26923</v>
      </c>
      <c r="C21378" s="5" t="str">
        <f>IFERROR(__xludf.DUMMYFUNCTION("GOOGLETRANSLATE(B21378,""en"",""zh-CN"")"),"人们跑到舞台上。")</f>
        <v>人们跑到舞台上。</v>
      </c>
    </row>
    <row r="21379">
      <c r="A21379" s="4" t="s">
        <v>26922</v>
      </c>
      <c r="B21379" s="4" t="s">
        <v>26924</v>
      </c>
      <c r="C21379" s="5" t="str">
        <f>IFERROR(__xludf.DUMMYFUNCTION("GOOGLETRANSLATE(B21379,""en"",""zh-CN"")"),"他们开始跳舞并在舞台上锻炼。")</f>
        <v>他们开始跳舞并在舞台上锻炼。</v>
      </c>
    </row>
    <row r="21380">
      <c r="A21380" s="4" t="s">
        <v>26922</v>
      </c>
      <c r="B21380" s="4" t="s">
        <v>26925</v>
      </c>
      <c r="C21380" s="5" t="str">
        <f>IFERROR(__xludf.DUMMYFUNCTION("GOOGLETRANSLATE(B21380,""en"",""zh-CN"")"),"观众看着他们表演。")</f>
        <v>观众看着他们表演。</v>
      </c>
    </row>
    <row r="21381">
      <c r="A21381" s="4" t="s">
        <v>26926</v>
      </c>
      <c r="B21381" s="4" t="s">
        <v>26927</v>
      </c>
      <c r="C21381" s="5" t="str">
        <f>IFERROR(__xludf.DUMMYFUNCTION("GOOGLETRANSLATE(B21381,""en"",""zh-CN"")"),"一个穿着紫色毛衣的男人正在演示如何使用花园剪。")</f>
        <v>一个穿着紫色毛衣的男人正在演示如何使用花园剪。</v>
      </c>
    </row>
    <row r="21382">
      <c r="A21382" s="4" t="s">
        <v>26926</v>
      </c>
      <c r="B21382" s="4" t="s">
        <v>26928</v>
      </c>
      <c r="C21382" s="5" t="str">
        <f>IFERROR(__xludf.DUMMYFUNCTION("GOOGLETRANSLATE(B21382,""en"",""zh-CN"")"),"他正在修剪院子里的树篱和灌木丛。")</f>
        <v>他正在修剪院子里的树篱和灌木丛。</v>
      </c>
    </row>
    <row r="21383">
      <c r="A21383" s="4" t="s">
        <v>26926</v>
      </c>
      <c r="B21383" s="4" t="s">
        <v>26929</v>
      </c>
      <c r="C21383" s="5" t="str">
        <f>IFERROR(__xludf.DUMMYFUNCTION("GOOGLETRANSLATE(B21383,""en"",""zh-CN"")"),"他展示了如何在很难到达的地方有效地使用剪切力。")</f>
        <v>他展示了如何在很难到达的地方有效地使用剪切力。</v>
      </c>
    </row>
    <row r="21384">
      <c r="A21384" s="4" t="s">
        <v>26930</v>
      </c>
      <c r="B21384" s="4" t="s">
        <v>26931</v>
      </c>
      <c r="C21384" s="5" t="str">
        <f>IFERROR(__xludf.DUMMYFUNCTION("GOOGLETRANSLATE(B21384,""en"",""zh-CN"")"),"屋顶上显示了一卷带状疱疹。")</f>
        <v>屋顶上显示了一卷带状疱疹。</v>
      </c>
    </row>
    <row r="21385">
      <c r="A21385" s="4" t="s">
        <v>26930</v>
      </c>
      <c r="B21385" s="4" t="s">
        <v>26932</v>
      </c>
      <c r="C21385" s="5" t="str">
        <f>IFERROR(__xludf.DUMMYFUNCTION("GOOGLETRANSLATE(B21385,""en"",""zh-CN"")"),"一个男人握住一张带状疱疹。")</f>
        <v>一个男人握住一张带状疱疹。</v>
      </c>
    </row>
    <row r="21386">
      <c r="A21386" s="4" t="s">
        <v>26930</v>
      </c>
      <c r="B21386" s="4" t="s">
        <v>26933</v>
      </c>
      <c r="C21386" s="5" t="str">
        <f>IFERROR(__xludf.DUMMYFUNCTION("GOOGLETRANSLATE(B21386,""en"",""zh-CN"")"),"他使用钳子去除受损的木瓦，然后再用新的木板代替。")</f>
        <v>他使用钳子去除受损的木瓦，然后再用新的木板代替。</v>
      </c>
    </row>
    <row r="21387">
      <c r="A21387" s="4" t="s">
        <v>26934</v>
      </c>
      <c r="B21387" s="4" t="s">
        <v>26935</v>
      </c>
      <c r="C21387" s="5" t="str">
        <f>IFERROR(__xludf.DUMMYFUNCTION("GOOGLETRANSLATE(B21387,""en"",""zh-CN"")"),"三名男子正在将石膏涂在一个未完成的房间的天花板上，而另一个男人则看着。")</f>
        <v>三名男子正在将石膏涂在一个未完成的房间的天花板上，而另一个男人则看着。</v>
      </c>
    </row>
    <row r="21388">
      <c r="A21388" s="4" t="s">
        <v>26934</v>
      </c>
      <c r="B21388" s="4" t="s">
        <v>26936</v>
      </c>
      <c r="C21388" s="5" t="str">
        <f>IFERROR(__xludf.DUMMYFUNCTION("GOOGLETRANSLATE(B21388,""en"",""zh-CN"")"),"其中一名男子爬上梯子到达天花板。")</f>
        <v>其中一名男子爬上梯子到达天花板。</v>
      </c>
    </row>
    <row r="21389">
      <c r="A21389" s="4" t="s">
        <v>26934</v>
      </c>
      <c r="B21389" s="4" t="s">
        <v>26937</v>
      </c>
      <c r="C21389" s="5" t="str">
        <f>IFERROR(__xludf.DUMMYFUNCTION("GOOGLETRANSLATE(B21389,""en"",""zh-CN"")"),"一个人表演短舞。")</f>
        <v>一个人表演短舞。</v>
      </c>
    </row>
    <row r="21390">
      <c r="A21390" s="4" t="s">
        <v>26934</v>
      </c>
      <c r="B21390" s="6" t="s">
        <v>26938</v>
      </c>
      <c r="C21390" s="5" t="str">
        <f>IFERROR(__xludf.DUMMYFUNCTION("GOOGLETRANSLATE(B21390,""en"",""zh-CN"")"),"相机移动以揭示那个男人跳舞和另一个男人正在使用高跷进入天花板。")</f>
        <v>相机移动以揭示那个男人跳舞和另一个男人正在使用高跷进入天花板。</v>
      </c>
    </row>
    <row r="21391">
      <c r="A21391" s="4" t="s">
        <v>26939</v>
      </c>
      <c r="B21391" s="4" t="s">
        <v>26940</v>
      </c>
      <c r="C21391" s="5" t="str">
        <f>IFERROR(__xludf.DUMMYFUNCTION("GOOGLETRANSLATE(B21391,""en"",""zh-CN"")"),"我们看到了视频的标题屏幕。")</f>
        <v>我们看到了视频的标题屏幕。</v>
      </c>
    </row>
    <row r="21392">
      <c r="A21392" s="4" t="s">
        <v>26939</v>
      </c>
      <c r="B21392" s="4" t="s">
        <v>26941</v>
      </c>
      <c r="C21392" s="5" t="str">
        <f>IFERROR(__xludf.DUMMYFUNCTION("GOOGLETRANSLATE(B21392,""en"",""zh-CN"")"),"然后，我们看到小男孩在几个体育馆里踢足球。")</f>
        <v>然后，我们看到小男孩在几个体育馆里踢足球。</v>
      </c>
    </row>
    <row r="21393">
      <c r="A21393" s="4" t="s">
        <v>26939</v>
      </c>
      <c r="B21393" s="4" t="s">
        <v>26942</v>
      </c>
      <c r="C21393" s="5" t="str">
        <f>IFERROR(__xludf.DUMMYFUNCTION("GOOGLETRANSLATE(B21393,""en"",""zh-CN"")"),"我们看着白衬衫的男孩得分是一个进球。")</f>
        <v>我们看着白衬衫的男孩得分是一个进球。</v>
      </c>
    </row>
    <row r="21394">
      <c r="A21394" s="4" t="s">
        <v>26939</v>
      </c>
      <c r="B21394" s="4" t="s">
        <v>26943</v>
      </c>
      <c r="C21394" s="5" t="str">
        <f>IFERROR(__xludf.DUMMYFUNCTION("GOOGLETRANSLATE(B21394,""en"",""zh-CN"")"),"我们看到一个男孩踢进球，守门员可以阻止球，但错过了球。")</f>
        <v>我们看到一个男孩踢进球，守门员可以阻止球，但错过了球。</v>
      </c>
    </row>
    <row r="21395">
      <c r="A21395" s="4" t="s">
        <v>26939</v>
      </c>
      <c r="B21395" s="4" t="s">
        <v>26944</v>
      </c>
      <c r="C21395" s="5" t="str">
        <f>IFERROR(__xludf.DUMMYFUNCTION("GOOGLETRANSLATE(B21395,""en"",""zh-CN"")"),"我们看到白人的男孩得分一个进球，他的队友拥抱了他。")</f>
        <v>我们看到白人的男孩得分一个进球，他的队友拥抱了他。</v>
      </c>
    </row>
    <row r="21396">
      <c r="A21396" s="4" t="s">
        <v>26939</v>
      </c>
      <c r="B21396" s="4" t="s">
        <v>26945</v>
      </c>
      <c r="C21396" s="5" t="str">
        <f>IFERROR(__xludf.DUMMYFUNCTION("GOOGLETRANSLATE(B21396,""en"",""zh-CN"")"),"3:10白色雷姆（White Ream）的10分和队友给了他最高的五分。")</f>
        <v>3:10白色雷姆（White Ream）的10分和队友给了他最高的五分。</v>
      </c>
    </row>
    <row r="21397">
      <c r="A21397" s="4" t="s">
        <v>26946</v>
      </c>
      <c r="B21397" s="4" t="s">
        <v>26947</v>
      </c>
      <c r="C21397" s="5" t="str">
        <f>IFERROR(__xludf.DUMMYFUNCTION("GOOGLETRANSLATE(B21397,""en"",""zh-CN"")"),"展示了一个女人，玩她的头发。")</f>
        <v>展示了一个女人，玩她的头发。</v>
      </c>
    </row>
    <row r="21398">
      <c r="A21398" s="4" t="s">
        <v>26946</v>
      </c>
      <c r="B21398" s="4" t="s">
        <v>26948</v>
      </c>
      <c r="C21398" s="5" t="str">
        <f>IFERROR(__xludf.DUMMYFUNCTION("GOOGLETRANSLATE(B21398,""en"",""zh-CN"")"),"一位沙龙艺术家出现，他的工具显示在桌子上。")</f>
        <v>一位沙龙艺术家出现，他的工具显示在桌子上。</v>
      </c>
    </row>
    <row r="21399">
      <c r="A21399" s="4" t="s">
        <v>26946</v>
      </c>
      <c r="B21399" s="6" t="s">
        <v>26949</v>
      </c>
      <c r="C21399" s="5" t="str">
        <f>IFERROR(__xludf.DUMMYFUNCTION("GOOGLETRANSLATE(B21399,""en"",""zh-CN"")"),"女人在摆姿势前将头发吹干，并逐步显示出使用工具在头发中形成卷发。")</f>
        <v>女人在摆姿势前将头发吹干，并逐步显示出使用工具在头发中形成卷发。</v>
      </c>
    </row>
    <row r="21400">
      <c r="A21400" s="4" t="s">
        <v>26946</v>
      </c>
      <c r="B21400" s="4" t="s">
        <v>26950</v>
      </c>
      <c r="C21400" s="5" t="str">
        <f>IFERROR(__xludf.DUMMYFUNCTION("GOOGLETRANSLATE(B21400,""en"",""zh-CN"")"),"她调整并刷头发，然后炫耀最终结果。")</f>
        <v>她调整并刷头发，然后炫耀最终结果。</v>
      </c>
    </row>
    <row r="21401">
      <c r="A21401" s="4" t="s">
        <v>26951</v>
      </c>
      <c r="B21401" s="4" t="s">
        <v>26952</v>
      </c>
      <c r="C21401" s="5" t="str">
        <f>IFERROR(__xludf.DUMMYFUNCTION("GOOGLETRANSLATE(B21401,""en"",""zh-CN"")"),"一个男人正在使用叶吹制者将叶子从草地上吹下来。")</f>
        <v>一个男人正在使用叶吹制者将叶子从草地上吹下来。</v>
      </c>
    </row>
    <row r="21402">
      <c r="A21402" s="4" t="s">
        <v>26951</v>
      </c>
      <c r="B21402" s="4" t="s">
        <v>26953</v>
      </c>
      <c r="C21402" s="5" t="str">
        <f>IFERROR(__xludf.DUMMYFUNCTION("GOOGLETRANSLATE(B21402,""en"",""zh-CN"")"),"一辆汽车以不错的速度在道路上行驶。")</f>
        <v>一辆汽车以不错的速度在道路上行驶。</v>
      </c>
    </row>
    <row r="21403">
      <c r="A21403" s="4" t="s">
        <v>26951</v>
      </c>
      <c r="B21403" s="4" t="s">
        <v>26954</v>
      </c>
      <c r="C21403" s="5" t="str">
        <f>IFERROR(__xludf.DUMMYFUNCTION("GOOGLETRANSLATE(B21403,""en"",""zh-CN"")"),"他继续无意识地吹树叶。")</f>
        <v>他继续无意识地吹树叶。</v>
      </c>
    </row>
    <row r="21404">
      <c r="A21404" s="4" t="s">
        <v>26951</v>
      </c>
      <c r="B21404" s="4" t="s">
        <v>26955</v>
      </c>
      <c r="C21404" s="5" t="str">
        <f>IFERROR(__xludf.DUMMYFUNCTION("GOOGLETRANSLATE(B21404,""en"",""zh-CN"")"),"叶子都落在道路上，使草看起来好多了。")</f>
        <v>叶子都落在道路上，使草看起来好多了。</v>
      </c>
    </row>
    <row r="21405">
      <c r="A21405" s="4" t="s">
        <v>26956</v>
      </c>
      <c r="B21405" s="4" t="s">
        <v>26957</v>
      </c>
      <c r="C21405" s="5" t="str">
        <f>IFERROR(__xludf.DUMMYFUNCTION("GOOGLETRANSLATE(B21405,""en"",""zh-CN"")"),"看到几个人在冲浪板上骑着风筝，顶部有风筝。")</f>
        <v>看到几个人在冲浪板上骑着风筝，顶部有风筝。</v>
      </c>
    </row>
    <row r="21406">
      <c r="A21406" s="4" t="s">
        <v>26956</v>
      </c>
      <c r="B21406" s="4" t="s">
        <v>26958</v>
      </c>
      <c r="C21406" s="5" t="str">
        <f>IFERROR(__xludf.DUMMYFUNCTION("GOOGLETRANSLATE(B21406,""en"",""zh-CN"")"),"他们继续骑行，看到一个小孩靠近。")</f>
        <v>他们继续骑行，看到一个小孩靠近。</v>
      </c>
    </row>
    <row r="21407">
      <c r="A21407" s="4" t="s">
        <v>26956</v>
      </c>
      <c r="B21407" s="4" t="s">
        <v>26959</v>
      </c>
      <c r="C21407" s="5" t="str">
        <f>IFERROR(__xludf.DUMMYFUNCTION("GOOGLETRANSLATE(B21407,""en"",""zh-CN"")"),"显示了更多的镜头，他们彼此骑行并沿着水面骑行。")</f>
        <v>显示了更多的镜头，他们彼此骑行并沿着水面骑行。</v>
      </c>
    </row>
    <row r="21408">
      <c r="A21408" s="4" t="s">
        <v>26960</v>
      </c>
      <c r="B21408" s="4" t="s">
        <v>26961</v>
      </c>
      <c r="C21408" s="5" t="str">
        <f>IFERROR(__xludf.DUMMYFUNCTION("GOOGLETRANSLATE(B21408,""en"",""zh-CN"")"),"看到一个人在与镜头交谈时正在准备，并导致他做俯卧撑。")</f>
        <v>看到一个人在与镜头交谈时正在准备，并导致他做俯卧撑。</v>
      </c>
    </row>
    <row r="21409">
      <c r="A21409" s="4" t="s">
        <v>26960</v>
      </c>
      <c r="B21409" s="6" t="s">
        <v>26962</v>
      </c>
      <c r="C21409" s="5" t="str">
        <f>IFERROR(__xludf.DUMMYFUNCTION("GOOGLETRANSLATE(B21409,""en"",""zh-CN"")"),"该男子走到走廊上，一个女人被介绍，并带领两人打乒乓球。")</f>
        <v>该男子走到走廊上，一个女人被介绍，并带领两人打乒乓球。</v>
      </c>
    </row>
    <row r="21410">
      <c r="A21410" s="4" t="s">
        <v>26960</v>
      </c>
      <c r="B21410" s="6" t="s">
        <v>26963</v>
      </c>
      <c r="C21410" s="5" t="str">
        <f>IFERROR(__xludf.DUMMYFUNCTION("GOOGLETRANSLATE(B21410,""en"",""zh-CN"")"),"两人继续打球，并带领男人拿着篮球，女人震惊了。")</f>
        <v>两人继续打球，并带领男人拿着篮球，女人震惊了。</v>
      </c>
    </row>
    <row r="21411">
      <c r="A21411" s="4" t="s">
        <v>26964</v>
      </c>
      <c r="B21411" s="6" t="s">
        <v>26965</v>
      </c>
      <c r="C21411" s="5" t="str">
        <f>IFERROR(__xludf.DUMMYFUNCTION("GOOGLETRANSLATE(B21411,""en"",""zh-CN"")"),"外面有一些木头，有人出来开始在上面吹什么东西。")</f>
        <v>外面有一些木头，有人出来开始在上面吹什么东西。</v>
      </c>
    </row>
    <row r="21412">
      <c r="A21412" s="4" t="s">
        <v>26964</v>
      </c>
      <c r="B21412" s="4" t="s">
        <v>26966</v>
      </c>
      <c r="C21412" s="5" t="str">
        <f>IFERROR(__xludf.DUMMYFUNCTION("GOOGLETRANSLATE(B21412,""en"",""zh-CN"")"),"他正在用某种看起来像园艺工具的火装置向其吹火烧。")</f>
        <v>他正在用某种看起来像园艺工具的火装置向其吹火烧。</v>
      </c>
    </row>
    <row r="21413">
      <c r="A21413" s="4" t="s">
        <v>26964</v>
      </c>
      <c r="B21413" s="4" t="s">
        <v>26967</v>
      </c>
      <c r="C21413" s="5" t="str">
        <f>IFERROR(__xludf.DUMMYFUNCTION("GOOGLETRANSLATE(B21413,""en"",""zh-CN"")"),"它的捕获很好，树林燃烧很快。")</f>
        <v>它的捕获很好，树林燃烧很快。</v>
      </c>
    </row>
    <row r="21414">
      <c r="A21414" s="4" t="s">
        <v>26964</v>
      </c>
      <c r="B21414" s="4" t="s">
        <v>26968</v>
      </c>
      <c r="C21414" s="5" t="str">
        <f>IFERROR(__xludf.DUMMYFUNCTION("GOOGLETRANSLATE(B21414,""en"",""zh-CN"")"),"大火死了一点，但仍在燃烧。")</f>
        <v>大火死了一点，但仍在燃烧。</v>
      </c>
    </row>
    <row r="21415">
      <c r="A21415" s="4" t="s">
        <v>26969</v>
      </c>
      <c r="B21415" s="6" t="s">
        <v>26970</v>
      </c>
      <c r="C21415" s="5" t="str">
        <f>IFERROR(__xludf.DUMMYFUNCTION("GOOGLETRANSLATE(B21415,""en"",""zh-CN"")"),"一个女人展示了如何使用年轻女子作为模型来创建编织的发型，以指导教程。")</f>
        <v>一个女人展示了如何使用年轻女子作为模型来创建编织的发型，以指导教程。</v>
      </c>
    </row>
    <row r="21416">
      <c r="A21416" s="4" t="s">
        <v>26969</v>
      </c>
      <c r="B21416" s="6" t="s">
        <v>26971</v>
      </c>
      <c r="C21416" s="5" t="str">
        <f>IFERROR(__xludf.DUMMYFUNCTION("GOOGLETRANSLATE(B21416,""en"",""zh-CN"")"),"发型师首先将头发分为四个部分，然后用梳子分开，然后再编织每个部分，然后将发夹夹在每个编织的末端。")</f>
        <v>发型师首先将头发分为四个部分，然后用梳子分开，然后再编织每个部分，然后将发夹夹在每个编织的末端。</v>
      </c>
    </row>
    <row r="21417">
      <c r="A21417" s="4" t="s">
        <v>26969</v>
      </c>
      <c r="B21417" s="4" t="s">
        <v>26972</v>
      </c>
      <c r="C21417" s="5" t="str">
        <f>IFERROR(__xludf.DUMMYFUNCTION("GOOGLETRANSLATE(B21417,""en"",""zh-CN"")"),"然后，该名女子将每个辫子拉到模型发际线的前部。")</f>
        <v>然后，该名女子将每个辫子拉到模型发际线的前部。</v>
      </c>
    </row>
    <row r="21418">
      <c r="A21418" s="4" t="s">
        <v>26969</v>
      </c>
      <c r="B21418" s="6" t="s">
        <v>26973</v>
      </c>
      <c r="C21418" s="5" t="str">
        <f>IFERROR(__xludf.DUMMYFUNCTION("GOOGLETRANSLATE(B21418,""en"",""zh-CN"")"),"该模型坐在椅子上时展示了外观，相机从不同的角度捕捉了她的发型，并出现了三个女性的沙发上的三个女性的图像，带有飞翔的氦气球。")</f>
        <v>该模型坐在椅子上时展示了外观，相机从不同的角度捕捉了她的发型，并出现了三个女性的沙发上的三个女性的图像，带有飞翔的氦气球。</v>
      </c>
    </row>
    <row r="21419">
      <c r="A21419" s="4" t="s">
        <v>26974</v>
      </c>
      <c r="B21419" s="4" t="s">
        <v>26975</v>
      </c>
      <c r="C21419" s="5" t="str">
        <f>IFERROR(__xludf.DUMMYFUNCTION("GOOGLETRANSLATE(B21419,""en"",""zh-CN"")"),"一个女人穿着白色长袍和黑带。")</f>
        <v>一个女人穿着白色长袍和黑带。</v>
      </c>
    </row>
    <row r="21420">
      <c r="A21420" s="4" t="s">
        <v>26974</v>
      </c>
      <c r="B21420" s="4" t="s">
        <v>26976</v>
      </c>
      <c r="C21420" s="5" t="str">
        <f>IFERROR(__xludf.DUMMYFUNCTION("GOOGLETRANSLATE(B21420,""en"",""zh-CN"")"),"她的空手道在房间里移动。")</f>
        <v>她的空手道在房间里移动。</v>
      </c>
    </row>
    <row r="21421">
      <c r="A21421" s="4" t="s">
        <v>26974</v>
      </c>
      <c r="B21421" s="4" t="s">
        <v>26977</v>
      </c>
      <c r="C21421" s="5" t="str">
        <f>IFERROR(__xludf.DUMMYFUNCTION("GOOGLETRANSLATE(B21421,""en"",""zh-CN"")"),"她踢双腿几次。")</f>
        <v>她踢双腿几次。</v>
      </c>
    </row>
    <row r="21422">
      <c r="A21422" s="4" t="s">
        <v>26974</v>
      </c>
      <c r="B21422" s="4" t="s">
        <v>26978</v>
      </c>
      <c r="C21422" s="5" t="str">
        <f>IFERROR(__xludf.DUMMYFUNCTION("GOOGLETRANSLATE(B21422,""en"",""zh-CN"")"),"她的手臂在她的侧面和弓箭旁边结束并站起来。")</f>
        <v>她的手臂在她的侧面和弓箭旁边结束并站起来。</v>
      </c>
    </row>
    <row r="21423">
      <c r="A21423" s="4" t="s">
        <v>26979</v>
      </c>
      <c r="B21423" s="4" t="s">
        <v>26980</v>
      </c>
      <c r="C21423" s="5" t="str">
        <f>IFERROR(__xludf.DUMMYFUNCTION("GOOGLETRANSLATE(B21423,""en"",""zh-CN"")"),"看到一个穿着白色实验室外套的男人与相机交谈，并在实验室中显示各种工具。")</f>
        <v>看到一个穿着白色实验室外套的男人与相机交谈，并在实验室中显示各种工具。</v>
      </c>
    </row>
    <row r="21424">
      <c r="A21424" s="4" t="s">
        <v>26979</v>
      </c>
      <c r="B21424" s="4" t="s">
        <v>26981</v>
      </c>
      <c r="C21424" s="5" t="str">
        <f>IFERROR(__xludf.DUMMYFUNCTION("GOOGLETRANSLATE(B21424,""en"",""zh-CN"")"),"看到毛巾坐在水槽中，该男子展示了适当的洗手工具。")</f>
        <v>看到毛巾坐在水槽中，该男子展示了适当的洗手工具。</v>
      </c>
    </row>
    <row r="21425">
      <c r="A21425" s="4" t="s">
        <v>26979</v>
      </c>
      <c r="B21425" s="4" t="s">
        <v>26982</v>
      </c>
      <c r="C21425" s="5" t="str">
        <f>IFERROR(__xludf.DUMMYFUNCTION("GOOGLETRANSLATE(B21425,""en"",""zh-CN"")"),"他用肥皂把手放在水槽下面，并彻底洗手。")</f>
        <v>他用肥皂把手放在水槽下面，并彻底洗手。</v>
      </c>
    </row>
    <row r="21426">
      <c r="A21426" s="4" t="s">
        <v>26979</v>
      </c>
      <c r="B21426" s="4" t="s">
        <v>26983</v>
      </c>
      <c r="C21426" s="5" t="str">
        <f>IFERROR(__xludf.DUMMYFUNCTION("GOOGLETRANSLATE(B21426,""en"",""zh-CN"")"),"他干了手，继续与摄像机交谈，为什么这很重要。")</f>
        <v>他干了手，继续与摄像机交谈，为什么这很重要。</v>
      </c>
    </row>
    <row r="21427">
      <c r="A21427" s="4" t="s">
        <v>26984</v>
      </c>
      <c r="B21427" s="4" t="s">
        <v>26985</v>
      </c>
      <c r="C21427" s="5" t="str">
        <f>IFERROR(__xludf.DUMMYFUNCTION("GOOGLETRANSLATE(B21427,""en"",""zh-CN"")"),"我们看到护士给孩子们拍摄。")</f>
        <v>我们看到护士给孩子们拍摄。</v>
      </c>
    </row>
    <row r="21428">
      <c r="A21428" s="4" t="s">
        <v>26984</v>
      </c>
      <c r="B21428" s="4" t="s">
        <v>26986</v>
      </c>
      <c r="C21428" s="5" t="str">
        <f>IFERROR(__xludf.DUMMYFUNCTION("GOOGLETRANSLATE(B21428,""en"",""zh-CN"")"),"我们看到了一个与科学家的实验室。")</f>
        <v>我们看到了一个与科学家的实验室。</v>
      </c>
    </row>
    <row r="21429">
      <c r="A21429" s="4" t="s">
        <v>26984</v>
      </c>
      <c r="B21429" s="4" t="s">
        <v>26987</v>
      </c>
      <c r="C21429" s="5" t="str">
        <f>IFERROR(__xludf.DUMMYFUNCTION("GOOGLETRANSLATE(B21429,""en"",""zh-CN"")"),"我们在MRI中看到一个人，我们看到医生正在看结果。")</f>
        <v>我们在MRI中看到一个人，我们看到医生正在看结果。</v>
      </c>
    </row>
    <row r="21430">
      <c r="A21430" s="4" t="s">
        <v>26984</v>
      </c>
      <c r="B21430" s="4" t="s">
        <v>26988</v>
      </c>
      <c r="C21430" s="5" t="str">
        <f>IFERROR(__xludf.DUMMYFUNCTION("GOOGLETRANSLATE(B21430,""en"",""zh-CN"")"),"将咖啡倒入白色杯子中。")</f>
        <v>将咖啡倒入白色杯子中。</v>
      </c>
    </row>
    <row r="21431">
      <c r="A21431" s="4" t="s">
        <v>26984</v>
      </c>
      <c r="B21431" s="4" t="s">
        <v>26989</v>
      </c>
      <c r="C21431" s="5" t="str">
        <f>IFERROR(__xludf.DUMMYFUNCTION("GOOGLETRANSLATE(B21431,""en"",""zh-CN"")"),"咖啡豆互相溢出。")</f>
        <v>咖啡豆互相溢出。</v>
      </c>
    </row>
    <row r="21432">
      <c r="A21432" s="4" t="s">
        <v>26984</v>
      </c>
      <c r="B21432" s="4" t="s">
        <v>26990</v>
      </c>
      <c r="C21432" s="5" t="str">
        <f>IFERROR(__xludf.DUMMYFUNCTION("GOOGLETRANSLATE(B21432,""en"",""zh-CN"")"),"我们看到人们在咖啡店里煮咖啡。")</f>
        <v>我们看到人们在咖啡店里煮咖啡。</v>
      </c>
    </row>
    <row r="21433">
      <c r="A21433" s="4" t="s">
        <v>26991</v>
      </c>
      <c r="B21433" s="4" t="s">
        <v>21372</v>
      </c>
      <c r="C21433" s="5" t="str">
        <f>IFERROR(__xludf.DUMMYFUNCTION("GOOGLETRANSLATE(B21433,""en"",""zh-CN"")"),"穿着黑色衬衫的女人正在和镜头说话。")</f>
        <v>穿着黑色衬衫的女人正在和镜头说话。</v>
      </c>
    </row>
    <row r="21434">
      <c r="A21434" s="4" t="s">
        <v>26991</v>
      </c>
      <c r="B21434" s="6" t="s">
        <v>26992</v>
      </c>
      <c r="C21434" s="5" t="str">
        <f>IFERROR(__xludf.DUMMYFUNCTION("GOOGLETRANSLATE(B21434,""en"",""zh-CN"")"),"现场过渡到一群年轻人，将木头堆放到户外开放区域。")</f>
        <v>现场过渡到一群年轻人，将木头堆放到户外开放区域。</v>
      </c>
    </row>
    <row r="21435">
      <c r="A21435" s="4" t="s">
        <v>26991</v>
      </c>
      <c r="B21435" s="4" t="s">
        <v>26993</v>
      </c>
      <c r="C21435" s="5" t="str">
        <f>IFERROR(__xludf.DUMMYFUNCTION("GOOGLETRANSLATE(B21435,""en"",""zh-CN"")"),"他们开始尝试切碎木头，但一开始很难将斧头拔出。")</f>
        <v>他们开始尝试切碎木头，但一开始很难将斧头拔出。</v>
      </c>
    </row>
    <row r="21436">
      <c r="A21436" s="4" t="s">
        <v>26991</v>
      </c>
      <c r="B21436" s="4" t="s">
        <v>26994</v>
      </c>
      <c r="C21436" s="5" t="str">
        <f>IFERROR(__xludf.DUMMYFUNCTION("GOOGLETRANSLATE(B21436,""en"",""zh-CN"")"),"一个女人终于把斧头拿出来，他们开始切碎木头。")</f>
        <v>一个女人终于把斧头拿出来，他们开始切碎木头。</v>
      </c>
    </row>
    <row r="21437">
      <c r="A21437" s="4" t="s">
        <v>26991</v>
      </c>
      <c r="B21437" s="6" t="s">
        <v>26995</v>
      </c>
      <c r="C21437" s="5" t="str">
        <f>IFERROR(__xludf.DUMMYFUNCTION("GOOGLETRANSLATE(B21437,""en"",""zh-CN"")"),"摄像机在头巾中以女性的身份在观众身边晃动，成功地砍了木头并鞠躬。")</f>
        <v>摄像机在头巾中以女性的身份在观众身边晃动，成功地砍了木头并鞠躬。</v>
      </c>
    </row>
    <row r="21438">
      <c r="A21438" s="4" t="s">
        <v>26991</v>
      </c>
      <c r="B21438" s="4" t="s">
        <v>26996</v>
      </c>
      <c r="C21438" s="5" t="str">
        <f>IFERROR(__xludf.DUMMYFUNCTION("GOOGLETRANSLATE(B21438,""en"",""zh-CN"")"),"场景在视频的开头返回那个女人。")</f>
        <v>场景在视频的开头返回那个女人。</v>
      </c>
    </row>
    <row r="21439">
      <c r="A21439" s="4" t="s">
        <v>26991</v>
      </c>
      <c r="B21439" s="4" t="s">
        <v>26997</v>
      </c>
      <c r="C21439" s="5" t="str">
        <f>IFERROR(__xludf.DUMMYFUNCTION("GOOGLETRANSLATE(B21439,""en"",""zh-CN"")"),"视频以木头周围的妇女大吃一惊而结束。")</f>
        <v>视频以木头周围的妇女大吃一惊而结束。</v>
      </c>
    </row>
    <row r="21440">
      <c r="A21440" s="4" t="s">
        <v>26998</v>
      </c>
      <c r="B21440" s="4" t="s">
        <v>26999</v>
      </c>
      <c r="C21440" s="5" t="str">
        <f>IFERROR(__xludf.DUMMYFUNCTION("GOOGLETRANSLATE(B21440,""en"",""zh-CN"")"),"一个人戴上安全眼镜，然后穿过大门进入庭院。")</f>
        <v>一个人戴上安全眼镜，然后穿过大门进入庭院。</v>
      </c>
    </row>
    <row r="21441">
      <c r="A21441" s="4" t="s">
        <v>26998</v>
      </c>
      <c r="B21441" s="4" t="s">
        <v>27000</v>
      </c>
      <c r="C21441" s="5" t="str">
        <f>IFERROR(__xludf.DUMMYFUNCTION("GOOGLETRANSLATE(B21441,""en"",""zh-CN"")"),"该人使用电动鼓风机从车道上吹出叶子。")</f>
        <v>该人使用电动鼓风机从车道上吹出叶子。</v>
      </c>
    </row>
    <row r="21442">
      <c r="A21442" s="4" t="s">
        <v>26998</v>
      </c>
      <c r="B21442" s="4" t="s">
        <v>27001</v>
      </c>
      <c r="C21442" s="5" t="str">
        <f>IFERROR(__xludf.DUMMYFUNCTION("GOOGLETRANSLATE(B21442,""en"",""zh-CN"")"),"该人使用鼓风机从草地上吹出叶子。")</f>
        <v>该人使用鼓风机从草地上吹出叶子。</v>
      </c>
    </row>
    <row r="21443">
      <c r="A21443" s="4" t="s">
        <v>26998</v>
      </c>
      <c r="B21443" s="4" t="s">
        <v>27002</v>
      </c>
      <c r="C21443" s="5" t="str">
        <f>IFERROR(__xludf.DUMMYFUNCTION("GOOGLETRANSLATE(B21443,""en"",""zh-CN"")"),"可以看到鼓风机的附件和设置。")</f>
        <v>可以看到鼓风机的附件和设置。</v>
      </c>
    </row>
    <row r="21444">
      <c r="A21444" s="4" t="s">
        <v>27003</v>
      </c>
      <c r="B21444" s="4" t="s">
        <v>27004</v>
      </c>
      <c r="C21444" s="5" t="str">
        <f>IFERROR(__xludf.DUMMYFUNCTION("GOOGLETRANSLATE(B21444,""en"",""zh-CN"")"),"一个男人踩在海滩上画的正方形上，然后来回转动身体。")</f>
        <v>一个男人踩在海滩上画的正方形上，然后来回转动身体。</v>
      </c>
    </row>
    <row r="21445">
      <c r="A21445" s="4" t="s">
        <v>27003</v>
      </c>
      <c r="B21445" s="4" t="s">
        <v>27005</v>
      </c>
      <c r="C21445" s="5" t="str">
        <f>IFERROR(__xludf.DUMMYFUNCTION("GOOGLETRANSLATE(B21445,""en"",""zh-CN"")"),"然后，男人踩在三角形上，然后在人关节手之后进行手动运动。")</f>
        <v>然后，男人踩在三角形上，然后在人关节手之后进行手动运动。</v>
      </c>
    </row>
    <row r="21446">
      <c r="A21446" s="4" t="s">
        <v>27006</v>
      </c>
      <c r="B21446" s="4" t="s">
        <v>27007</v>
      </c>
      <c r="C21446" s="5" t="str">
        <f>IFERROR(__xludf.DUMMYFUNCTION("GOOGLETRANSLATE(B21446,""en"",""zh-CN"")"),"一个穿着围裙的男人在桌子上大笑。")</f>
        <v>一个穿着围裙的男人在桌子上大笑。</v>
      </c>
    </row>
    <row r="21447">
      <c r="A21447" s="4" t="s">
        <v>27006</v>
      </c>
      <c r="B21447" s="4" t="s">
        <v>27008</v>
      </c>
      <c r="C21447" s="5" t="str">
        <f>IFERROR(__xludf.DUMMYFUNCTION("GOOGLETRANSLATE(B21447,""en"",""zh-CN"")"),"他被一个大碗和几个破裂的鸡蛋展示。")</f>
        <v>他被一个大碗和几个破裂的鸡蛋展示。</v>
      </c>
    </row>
    <row r="21448">
      <c r="A21448" s="4" t="s">
        <v>27006</v>
      </c>
      <c r="B21448" s="4" t="s">
        <v>27009</v>
      </c>
      <c r="C21448" s="5" t="str">
        <f>IFERROR(__xludf.DUMMYFUNCTION("GOOGLETRANSLATE(B21448,""en"",""zh-CN"")"),"他与一群人谈论如何处理鸡蛋。")</f>
        <v>他与一群人谈论如何处理鸡蛋。</v>
      </c>
    </row>
    <row r="21449">
      <c r="A21449" s="4" t="s">
        <v>27006</v>
      </c>
      <c r="B21449" s="4" t="s">
        <v>27010</v>
      </c>
      <c r="C21449" s="5" t="str">
        <f>IFERROR(__xludf.DUMMYFUNCTION("GOOGLETRANSLATE(B21449,""en"",""zh-CN"")"),"他创建了一个煎蛋，然后将其镀板。")</f>
        <v>他创建了一个煎蛋，然后将其镀板。</v>
      </c>
    </row>
    <row r="21450">
      <c r="A21450" s="4" t="s">
        <v>27011</v>
      </c>
      <c r="B21450" s="4" t="s">
        <v>27012</v>
      </c>
      <c r="C21450" s="5" t="str">
        <f>IFERROR(__xludf.DUMMYFUNCTION("GOOGLETRANSLATE(B21450,""en"",""zh-CN"")"),"一群男人在海滩上打排球，一侧3，另一侧有2个。")</f>
        <v>一群男人在海滩上打排球，一侧3，另一侧有2个。</v>
      </c>
    </row>
    <row r="21451">
      <c r="A21451" s="4" t="s">
        <v>27011</v>
      </c>
      <c r="B21451" s="4" t="s">
        <v>27013</v>
      </c>
      <c r="C21451" s="5" t="str">
        <f>IFERROR(__xludf.DUMMYFUNCTION("GOOGLETRANSLATE(B21451,""en"",""zh-CN"")"),"一个团队试图服役，并撞到网中。")</f>
        <v>一个团队试图服役，并撞到网中。</v>
      </c>
    </row>
    <row r="21452">
      <c r="A21452" s="4" t="s">
        <v>27011</v>
      </c>
      <c r="B21452" s="6" t="s">
        <v>27014</v>
      </c>
      <c r="C21452" s="5" t="str">
        <f>IFERROR(__xludf.DUMMYFUNCTION("GOOGLETRANSLATE(B21452,""en"",""zh-CN"")"),"另一个（短的）团队发出了自己的发球，一个简单的锁，但对方的球队将他们的回归淘汰了。")</f>
        <v>另一个（短的）团队发出了自己的发球，一个简单的锁，但对方的球队将他们的回归淘汰了。</v>
      </c>
    </row>
    <row r="21453">
      <c r="A21453" s="4" t="s">
        <v>27015</v>
      </c>
      <c r="B21453" s="4" t="s">
        <v>27016</v>
      </c>
      <c r="C21453" s="5" t="str">
        <f>IFERROR(__xludf.DUMMYFUNCTION("GOOGLETRANSLATE(B21453,""en"",""zh-CN"")"),"人们在狂欢节中骑车车。")</f>
        <v>人们在狂欢节中骑车车。</v>
      </c>
    </row>
    <row r="21454">
      <c r="A21454" s="4" t="s">
        <v>27015</v>
      </c>
      <c r="B21454" s="4" t="s">
        <v>27017</v>
      </c>
      <c r="C21454" s="5" t="str">
        <f>IFERROR(__xludf.DUMMYFUNCTION("GOOGLETRANSLATE(B21454,""en"",""zh-CN"")"),"一个老人骑着一辆小型保险杠。")</f>
        <v>一个老人骑着一辆小型保险杠。</v>
      </c>
    </row>
    <row r="21455">
      <c r="A21455" s="4" t="s">
        <v>27015</v>
      </c>
      <c r="B21455" s="4" t="s">
        <v>27018</v>
      </c>
      <c r="C21455" s="5" t="str">
        <f>IFERROR(__xludf.DUMMYFUNCTION("GOOGLETRANSLATE(B21455,""en"",""zh-CN"")"),"几个人遇到了其他保险杠汽车。")</f>
        <v>几个人遇到了其他保险杠汽车。</v>
      </c>
    </row>
    <row r="21456">
      <c r="A21456" s="4" t="s">
        <v>27015</v>
      </c>
      <c r="B21456" s="4" t="s">
        <v>27019</v>
      </c>
      <c r="C21456" s="5" t="str">
        <f>IFERROR(__xludf.DUMMYFUNCTION("GOOGLETRANSLATE(B21456,""en"",""zh-CN"")"),"狂欢节中有很多人。")</f>
        <v>狂欢节中有很多人。</v>
      </c>
    </row>
    <row r="21457">
      <c r="A21457" s="4" t="s">
        <v>27020</v>
      </c>
      <c r="B21457" s="4" t="s">
        <v>27021</v>
      </c>
      <c r="C21457" s="5" t="str">
        <f>IFERROR(__xludf.DUMMYFUNCTION("GOOGLETRANSLATE(B21457,""en"",""zh-CN"")"),"一个女孩和一个男人正在健身房练习拳击。")</f>
        <v>一个女孩和一个男人正在健身房练习拳击。</v>
      </c>
    </row>
    <row r="21458">
      <c r="A21458" s="4" t="s">
        <v>27020</v>
      </c>
      <c r="B21458" s="4" t="s">
        <v>27022</v>
      </c>
      <c r="C21458" s="5" t="str">
        <f>IFERROR(__xludf.DUMMYFUNCTION("GOOGLETRANSLATE(B21458,""en"",""zh-CN"")"),"背景中有一个打孔袋。")</f>
        <v>背景中有一个打孔袋。</v>
      </c>
    </row>
    <row r="21459">
      <c r="A21459" s="4" t="s">
        <v>27020</v>
      </c>
      <c r="B21459" s="4" t="s">
        <v>27023</v>
      </c>
      <c r="C21459" s="5" t="str">
        <f>IFERROR(__xludf.DUMMYFUNCTION("GOOGLETRANSLATE(B21459,""en"",""zh-CN"")"),"女孩和男人在地板上互相摇摆。")</f>
        <v>女孩和男人在地板上互相摇摆。</v>
      </c>
    </row>
    <row r="21460">
      <c r="A21460" s="4" t="s">
        <v>27024</v>
      </c>
      <c r="B21460" s="4" t="s">
        <v>27025</v>
      </c>
      <c r="C21460" s="5" t="str">
        <f>IFERROR(__xludf.DUMMYFUNCTION("GOOGLETRANSLATE(B21460,""en"",""zh-CN"")"),"儿童在房间里练习体操。")</f>
        <v>儿童在房间里练习体操。</v>
      </c>
    </row>
    <row r="21461">
      <c r="A21461" s="4" t="s">
        <v>27024</v>
      </c>
      <c r="B21461" s="4" t="s">
        <v>27026</v>
      </c>
      <c r="C21461" s="5" t="str">
        <f>IFERROR(__xludf.DUMMYFUNCTION("GOOGLETRANSLATE(B21461,""en"",""zh-CN"")"),"女人帮助孩子翻转。")</f>
        <v>女人帮助孩子翻转。</v>
      </c>
    </row>
    <row r="21462">
      <c r="A21462" s="4" t="s">
        <v>27024</v>
      </c>
      <c r="B21462" s="4" t="s">
        <v>27027</v>
      </c>
      <c r="C21462" s="5" t="str">
        <f>IFERROR(__xludf.DUMMYFUNCTION("GOOGLETRANSLATE(B21462,""en"",""zh-CN"")"),"一些孩子从墙壁开始。")</f>
        <v>一些孩子从墙壁开始。</v>
      </c>
    </row>
    <row r="21463">
      <c r="A21463" s="4" t="s">
        <v>27024</v>
      </c>
      <c r="B21463" s="4" t="s">
        <v>27028</v>
      </c>
      <c r="C21463" s="5" t="str">
        <f>IFERROR(__xludf.DUMMYFUNCTION("GOOGLETRANSLATE(B21463,""en"",""zh-CN"")"),"其他一些孩子会做更多的翻转。")</f>
        <v>其他一些孩子会做更多的翻转。</v>
      </c>
    </row>
    <row r="21464">
      <c r="A21464" s="4" t="s">
        <v>27029</v>
      </c>
      <c r="B21464" s="4" t="s">
        <v>27030</v>
      </c>
      <c r="C21464" s="5" t="str">
        <f>IFERROR(__xludf.DUMMYFUNCTION("GOOGLETRANSLATE(B21464,""en"",""zh-CN"")"),"一个戴着帽子的男人在舞台上说话。")</f>
        <v>一个戴着帽子的男人在舞台上说话。</v>
      </c>
    </row>
    <row r="21465">
      <c r="A21465" s="4" t="s">
        <v>27029</v>
      </c>
      <c r="B21465" s="4" t="s">
        <v>27031</v>
      </c>
      <c r="C21465" s="5" t="str">
        <f>IFERROR(__xludf.DUMMYFUNCTION("GOOGLETRANSLATE(B21465,""en"",""zh-CN"")"),"一个女人进入，她开始跳舞。")</f>
        <v>一个女人进入，她开始跳舞。</v>
      </c>
    </row>
    <row r="21466">
      <c r="A21466" s="4" t="s">
        <v>27029</v>
      </c>
      <c r="B21466" s="4" t="s">
        <v>27032</v>
      </c>
      <c r="C21466" s="5" t="str">
        <f>IFERROR(__xludf.DUMMYFUNCTION("GOOGLETRANSLATE(B21466,""en"",""zh-CN"")"),"女人点着一个呼啦圈着火，与箍跳舞。")</f>
        <v>女人点着一个呼啦圈着火，与箍跳舞。</v>
      </c>
    </row>
    <row r="21467">
      <c r="A21467" s="4" t="s">
        <v>27033</v>
      </c>
      <c r="B21467" s="4" t="s">
        <v>27034</v>
      </c>
      <c r="C21467" s="5" t="str">
        <f>IFERROR(__xludf.DUMMYFUNCTION("GOOGLETRANSLATE(B21467,""en"",""zh-CN"")"),"一个男孩将rubix Cube放在一起，并兴奋地将其放下。")</f>
        <v>一个男孩将rubix Cube放在一起，并兴奋地将其放下。</v>
      </c>
    </row>
    <row r="21468">
      <c r="A21468" s="4" t="s">
        <v>27033</v>
      </c>
      <c r="B21468" s="4" t="s">
        <v>27035</v>
      </c>
      <c r="C21468" s="5" t="str">
        <f>IFERROR(__xludf.DUMMYFUNCTION("GOOGLETRANSLATE(B21468,""en"",""zh-CN"")"),"他跳了起来，对此感到非常高兴。")</f>
        <v>他跳了起来，对此感到非常高兴。</v>
      </c>
    </row>
    <row r="21469">
      <c r="A21469" s="4" t="s">
        <v>27033</v>
      </c>
      <c r="B21469" s="4" t="s">
        <v>27036</v>
      </c>
      <c r="C21469" s="5" t="str">
        <f>IFERROR(__xludf.DUMMYFUNCTION("GOOGLETRANSLATE(B21469,""en"",""zh-CN"")"),"另一个男孩只用他的脚做。")</f>
        <v>另一个男孩只用他的脚做。</v>
      </c>
    </row>
    <row r="21470">
      <c r="A21470" s="4" t="s">
        <v>27033</v>
      </c>
      <c r="B21470" s="4" t="s">
        <v>27037</v>
      </c>
      <c r="C21470" s="5" t="str">
        <f>IFERROR(__xludf.DUMMYFUNCTION("GOOGLETRANSLATE(B21470,""en"",""zh-CN"")"),"这是一场比赛，观众正在观看比赛的时机。")</f>
        <v>这是一场比赛，观众正在观看比赛的时机。</v>
      </c>
    </row>
    <row r="21471">
      <c r="A21471" s="4" t="s">
        <v>27038</v>
      </c>
      <c r="B21471" s="6" t="s">
        <v>27039</v>
      </c>
      <c r="C21471" s="5" t="str">
        <f>IFERROR(__xludf.DUMMYFUNCTION("GOOGLETRANSLATE(B21471,""en"",""zh-CN"")"),"屏幕开始出现白色单词，描述即将发生的事件。")</f>
        <v>屏幕开始出现白色单词，描述即将发生的事件。</v>
      </c>
    </row>
    <row r="21472">
      <c r="A21472" s="4" t="s">
        <v>27038</v>
      </c>
      <c r="B21472" s="4" t="s">
        <v>27040</v>
      </c>
      <c r="C21472" s="5" t="str">
        <f>IFERROR(__xludf.DUMMYFUNCTION("GOOGLETRANSLATE(B21472,""en"",""zh-CN"")"),"然后显示一个静止图像，然后在一个人尝试进行几个撑杆跳跳动之前。")</f>
        <v>然后显示一个静止图像，然后在一个人尝试进行几个撑杆跳跳动之前。</v>
      </c>
    </row>
    <row r="21473">
      <c r="A21473" s="4" t="s">
        <v>27038</v>
      </c>
      <c r="B21473" s="4" t="s">
        <v>27041</v>
      </c>
      <c r="C21473" s="5" t="str">
        <f>IFERROR(__xludf.DUMMYFUNCTION("GOOGLETRANSLATE(B21473,""en"",""zh-CN"")"),"另一个黑屏出现，另一个人试图跳跃，但他也击中了杆子。")</f>
        <v>另一个黑屏出现，另一个人试图跳跃，但他也击中了杆子。</v>
      </c>
    </row>
    <row r="21474">
      <c r="A21474" s="4" t="s">
        <v>27038</v>
      </c>
      <c r="B21474" s="4" t="s">
        <v>27042</v>
      </c>
      <c r="C21474" s="5" t="str">
        <f>IFERROR(__xludf.DUMMYFUNCTION("GOOGLETRANSLATE(B21474,""en"",""zh-CN"")"),"一旦他完成，另一个人尝试这样做，但他也不成功。")</f>
        <v>一旦他完成，另一个人尝试这样做，但他也不成功。</v>
      </c>
    </row>
    <row r="21475">
      <c r="A21475" s="4" t="s">
        <v>27043</v>
      </c>
      <c r="B21475" s="4" t="s">
        <v>27044</v>
      </c>
      <c r="C21475" s="5" t="str">
        <f>IFERROR(__xludf.DUMMYFUNCTION("GOOGLETRANSLATE(B21475,""en"",""zh-CN"")"),"一个女人在站在白色背景的同时与镜头说话。")</f>
        <v>一个女人在站在白色背景的同时与镜头说话。</v>
      </c>
    </row>
    <row r="21476">
      <c r="A21476" s="4" t="s">
        <v>27043</v>
      </c>
      <c r="B21476" s="4" t="s">
        <v>27045</v>
      </c>
      <c r="C21476" s="5" t="str">
        <f>IFERROR(__xludf.DUMMYFUNCTION("GOOGLETRANSLATE(B21476,""en"",""zh-CN"")"),"她说话时，她举起呼啦圈。")</f>
        <v>她说话时，她举起呼啦圈。</v>
      </c>
    </row>
    <row r="21477">
      <c r="A21477" s="4" t="s">
        <v>27043</v>
      </c>
      <c r="B21477" s="6" t="s">
        <v>27046</v>
      </c>
      <c r="C21477" s="5" t="str">
        <f>IFERROR(__xludf.DUMMYFUNCTION("GOOGLETRANSLATE(B21477,""en"",""zh-CN"")"),"然后，她展示了如何在锻炼和瑜伽姿势时使用呼啦圈，有时将身体的一部分插入箍中。")</f>
        <v>然后，她展示了如何在锻炼和瑜伽姿势时使用呼啦圈，有时将身体的一部分插入箍中。</v>
      </c>
    </row>
    <row r="21478">
      <c r="A21478" s="4" t="s">
        <v>27047</v>
      </c>
      <c r="B21478" s="4" t="s">
        <v>27048</v>
      </c>
      <c r="C21478" s="5" t="str">
        <f>IFERROR(__xludf.DUMMYFUNCTION("GOOGLETRANSLATE(B21478,""en"",""zh-CN"")"),"人们走过相机。")</f>
        <v>人们走过相机。</v>
      </c>
    </row>
    <row r="21479">
      <c r="A21479" s="4" t="s">
        <v>27047</v>
      </c>
      <c r="B21479" s="6" t="s">
        <v>27049</v>
      </c>
      <c r="C21479" s="5" t="str">
        <f>IFERROR(__xludf.DUMMYFUNCTION("GOOGLETRANSLATE(B21479,""en"",""zh-CN"")"),"相机放大，向人们展示在游泳池里游泳，并在游泳池里打排球。")</f>
        <v>相机放大，向人们展示在游泳池里游泳，并在游泳池里打排球。</v>
      </c>
    </row>
    <row r="21480">
      <c r="A21480" s="4" t="s">
        <v>27047</v>
      </c>
      <c r="B21480" s="4" t="s">
        <v>27050</v>
      </c>
      <c r="C21480" s="5" t="str">
        <f>IFERROR(__xludf.DUMMYFUNCTION("GOOGLETRANSLATE(B21480,""en"",""zh-CN"")"),"一个人离开游泳池走开。")</f>
        <v>一个人离开游泳池走开。</v>
      </c>
    </row>
    <row r="21481">
      <c r="A21481" s="4" t="s">
        <v>27047</v>
      </c>
      <c r="B21481" s="4" t="s">
        <v>27051</v>
      </c>
      <c r="C21481" s="5" t="str">
        <f>IFERROR(__xludf.DUMMYFUNCTION("GOOGLETRANSLATE(B21481,""en"",""zh-CN"")"),"一个人把球扔到某人的脸上。")</f>
        <v>一个人把球扔到某人的脸上。</v>
      </c>
    </row>
    <row r="21482">
      <c r="A21482" s="4" t="s">
        <v>27047</v>
      </c>
      <c r="B21482" s="4" t="s">
        <v>27052</v>
      </c>
      <c r="C21482" s="5" t="str">
        <f>IFERROR(__xludf.DUMMYFUNCTION("GOOGLETRANSLATE(B21482,""en"",""zh-CN"")"),"人们将球扔得很远，以至于他们离开了游泳池。")</f>
        <v>人们将球扔得很远，以至于他们离开了游泳池。</v>
      </c>
    </row>
    <row r="21483">
      <c r="A21483" s="4" t="s">
        <v>27053</v>
      </c>
      <c r="B21483" s="4" t="s">
        <v>27054</v>
      </c>
      <c r="C21483" s="5" t="str">
        <f>IFERROR(__xludf.DUMMYFUNCTION("GOOGLETRANSLATE(B21483,""en"",""zh-CN"")"),"简介开始题为如何切草。")</f>
        <v>简介开始题为如何切草。</v>
      </c>
    </row>
    <row r="21484">
      <c r="A21484" s="4" t="s">
        <v>27053</v>
      </c>
      <c r="B21484" s="4" t="s">
        <v>27055</v>
      </c>
      <c r="C21484" s="5" t="str">
        <f>IFERROR(__xludf.DUMMYFUNCTION("GOOGLETRANSLATE(B21484,""en"",""zh-CN"")"),"一个男人穿着有趣的服装走出去，用割草机向相机炫耀。")</f>
        <v>一个男人穿着有趣的服装走出去，用割草机向相机炫耀。</v>
      </c>
    </row>
    <row r="21485">
      <c r="A21485" s="4" t="s">
        <v>27053</v>
      </c>
      <c r="B21485" s="4" t="s">
        <v>27056</v>
      </c>
      <c r="C21485" s="5" t="str">
        <f>IFERROR(__xludf.DUMMYFUNCTION("GOOGLETRANSLATE(B21485,""en"",""zh-CN"")"),"然后，那个男人走来走去，吹了叶子，仍然穿着有趣的衣服。")</f>
        <v>然后，那个男人走来走去，吹了叶子，仍然穿着有趣的衣服。</v>
      </c>
    </row>
    <row r="21486">
      <c r="A21486" s="4" t="s">
        <v>27057</v>
      </c>
      <c r="B21486" s="6" t="s">
        <v>27058</v>
      </c>
      <c r="C21486" s="5" t="str">
        <f>IFERROR(__xludf.DUMMYFUNCTION("GOOGLETRANSLATE(B21486,""en"",""zh-CN"")"),"一名穿着白色空手道制服的妇女在活动期间进行了法官垫子的例行演示。")</f>
        <v>一名穿着白色空手道制服的妇女在活动期间进行了法官垫子的例行演示。</v>
      </c>
    </row>
    <row r="21487">
      <c r="A21487" s="4" t="s">
        <v>27057</v>
      </c>
      <c r="B21487" s="4" t="s">
        <v>27059</v>
      </c>
      <c r="C21487" s="5" t="str">
        <f>IFERROR(__xludf.DUMMYFUNCTION("GOOGLETRANSLATE(B21487,""en"",""zh-CN"")"),"女人鞠躬，从垫子上走下去。")</f>
        <v>女人鞠躬，从垫子上走下去。</v>
      </c>
    </row>
    <row r="21488">
      <c r="A21488" s="4" t="s">
        <v>27057</v>
      </c>
      <c r="B21488" s="4" t="s">
        <v>27060</v>
      </c>
      <c r="C21488" s="5" t="str">
        <f>IFERROR(__xludf.DUMMYFUNCTION("GOOGLETRANSLATE(B21488,""en"",""zh-CN"")"),"一个穿着黑色制服的女人与法官握手。")</f>
        <v>一个穿着黑色制服的女人与法官握手。</v>
      </c>
    </row>
    <row r="21489">
      <c r="A21489" s="4" t="s">
        <v>27057</v>
      </c>
      <c r="B21489" s="4" t="s">
        <v>27061</v>
      </c>
      <c r="C21489" s="5" t="str">
        <f>IFERROR(__xludf.DUMMYFUNCTION("GOOGLETRANSLATE(B21489,""en"",""zh-CN"")"),"一个穿着白色制服的女人走上去，打招呼法官握手。")</f>
        <v>一个穿着白色制服的女人走上去，打招呼法官握手。</v>
      </c>
    </row>
    <row r="21490">
      <c r="A21490" s="4" t="s">
        <v>27062</v>
      </c>
      <c r="B21490" s="6" t="s">
        <v>27063</v>
      </c>
      <c r="C21490" s="5" t="str">
        <f>IFERROR(__xludf.DUMMYFUNCTION("GOOGLETRANSLATE(B21490,""en"",""zh-CN"")"),"有人在一个巨大的停车场里集体飞行风筝，那里有几辆汽车和迷你货车被停放。")</f>
        <v>有人在一个巨大的停车场里集体飞行风筝，那里有几辆汽车和迷你货车被停放。</v>
      </c>
    </row>
    <row r="21491">
      <c r="A21491" s="4" t="s">
        <v>27062</v>
      </c>
      <c r="B21491" s="6" t="s">
        <v>27064</v>
      </c>
      <c r="C21491" s="5" t="str">
        <f>IFERROR(__xludf.DUMMYFUNCTION("GOOGLETRANSLATE(B21491,""en"",""zh-CN"")"),"有一个穿着蓝色条纹衬衫的男人和另一个男人穿着棕色衬衫，都准备好驾驶橙色风筝。")</f>
        <v>有一个穿着蓝色条纹衬衫的男人和另一个男人穿着棕色衬衫，都准备好驾驶橙色风筝。</v>
      </c>
    </row>
    <row r="21492">
      <c r="A21492" s="4" t="s">
        <v>27062</v>
      </c>
      <c r="B21492" s="4" t="s">
        <v>27065</v>
      </c>
      <c r="C21492" s="5" t="str">
        <f>IFERROR(__xludf.DUMMYFUNCTION("GOOGLETRANSLATE(B21492,""en"",""zh-CN"")"),"他们将琴弦从线轴上拉出，开始放风筝。")</f>
        <v>他们将琴弦从线轴上拉出，开始放风筝。</v>
      </c>
    </row>
    <row r="21493">
      <c r="A21493" s="4" t="s">
        <v>27066</v>
      </c>
      <c r="B21493" s="4" t="s">
        <v>27067</v>
      </c>
      <c r="C21493" s="5" t="str">
        <f>IFERROR(__xludf.DUMMYFUNCTION("GOOGLETRANSLATE(B21493,""en"",""zh-CN"")"),"两个男孩正在用刷子抛光鞋。")</f>
        <v>两个男孩正在用刷子抛光鞋。</v>
      </c>
    </row>
    <row r="21494">
      <c r="A21494" s="4" t="s">
        <v>27066</v>
      </c>
      <c r="B21494" s="4" t="s">
        <v>27068</v>
      </c>
      <c r="C21494" s="5" t="str">
        <f>IFERROR(__xludf.DUMMYFUNCTION("GOOGLETRANSLATE(B21494,""en"",""zh-CN"")"),"然后，一个男孩拿起鞋去玩。")</f>
        <v>然后，一个男孩拿起鞋去玩。</v>
      </c>
    </row>
    <row r="21495">
      <c r="A21495" s="4" t="s">
        <v>27066</v>
      </c>
      <c r="B21495" s="4" t="s">
        <v>27069</v>
      </c>
      <c r="C21495" s="5" t="str">
        <f>IFERROR(__xludf.DUMMYFUNCTION("GOOGLETRANSLATE(B21495,""en"",""zh-CN"")"),"一个小男孩用刷子把他的腿放进一双大鞋子和抛光剂。")</f>
        <v>一个小男孩用刷子把他的腿放进一双大鞋子和抛光剂。</v>
      </c>
    </row>
    <row r="21496">
      <c r="A21496" s="4" t="s">
        <v>27066</v>
      </c>
      <c r="B21496" s="4" t="s">
        <v>27070</v>
      </c>
      <c r="C21496" s="5" t="str">
        <f>IFERROR(__xludf.DUMMYFUNCTION("GOOGLETRANSLATE(B21496,""en"",""zh-CN"")"),"然后，另一个男孩把手放在鞋子里擦洗。")</f>
        <v>然后，另一个男孩把手放在鞋子里擦洗。</v>
      </c>
    </row>
    <row r="21497">
      <c r="A21497" s="4" t="s">
        <v>27071</v>
      </c>
      <c r="B21497" s="4" t="s">
        <v>27072</v>
      </c>
      <c r="C21497" s="5" t="str">
        <f>IFERROR(__xludf.DUMMYFUNCTION("GOOGLETRANSLATE(B21497,""en"",""zh-CN"")"),"两名男子在室内壁球场上。")</f>
        <v>两名男子在室内壁球场上。</v>
      </c>
    </row>
    <row r="21498">
      <c r="A21498" s="4" t="s">
        <v>27071</v>
      </c>
      <c r="B21498" s="4" t="s">
        <v>2779</v>
      </c>
      <c r="C21498" s="5" t="str">
        <f>IFERROR(__xludf.DUMMYFUNCTION("GOOGLETRANSLATE(B21498,""en"",""zh-CN"")"),"他们来回撞到墙上。")</f>
        <v>他们来回撞到墙上。</v>
      </c>
    </row>
    <row r="21499">
      <c r="A21499" s="4" t="s">
        <v>27071</v>
      </c>
      <c r="B21499" s="4" t="s">
        <v>27073</v>
      </c>
      <c r="C21499" s="5" t="str">
        <f>IFERROR(__xludf.DUMMYFUNCTION("GOOGLETRANSLATE(B21499,""en"",""zh-CN"")"),"他们接球并继续竞争。")</f>
        <v>他们接球并继续竞争。</v>
      </c>
    </row>
    <row r="21500">
      <c r="A21500" s="4" t="s">
        <v>27074</v>
      </c>
      <c r="B21500" s="4" t="s">
        <v>27075</v>
      </c>
      <c r="C21500" s="5" t="str">
        <f>IFERROR(__xludf.DUMMYFUNCTION("GOOGLETRANSLATE(B21500,""en"",""zh-CN"")"),"穿着黑色短裤的男子在赛道上奔跑，并进行标枪。")</f>
        <v>穿着黑色短裤的男子在赛道上奔跑，并进行标枪。</v>
      </c>
    </row>
    <row r="21501">
      <c r="A21501" s="4" t="s">
        <v>27074</v>
      </c>
      <c r="B21501" s="4" t="s">
        <v>27076</v>
      </c>
      <c r="C21501" s="5" t="str">
        <f>IFERROR(__xludf.DUMMYFUNCTION("GOOGLETRANSLATE(B21501,""en"",""zh-CN"")"),"男人坐在赛道的一侧。")</f>
        <v>男人坐在赛道的一侧。</v>
      </c>
    </row>
    <row r="21502">
      <c r="A21502" s="4" t="s">
        <v>27074</v>
      </c>
      <c r="B21502" s="4" t="s">
        <v>27077</v>
      </c>
      <c r="C21502" s="5" t="str">
        <f>IFERROR(__xludf.DUMMYFUNCTION("GOOGLETRANSLATE(B21502,""en"",""zh-CN"")"),"人站在绿网后面的尘土飞扬的钻石中。")</f>
        <v>人站在绿网后面的尘土飞扬的钻石中。</v>
      </c>
    </row>
    <row r="21503">
      <c r="A21503" s="4" t="s">
        <v>27074</v>
      </c>
      <c r="B21503" s="4" t="s">
        <v>27078</v>
      </c>
      <c r="C21503" s="5" t="str">
        <f>IFERROR(__xludf.DUMMYFUNCTION("GOOGLETRANSLATE(B21503,""en"",""zh-CN"")"),"你们的男人站在绿网旁边看着标枪。")</f>
        <v>你们的男人站在绿网旁边看着标枪。</v>
      </c>
    </row>
    <row r="21504">
      <c r="A21504" s="4" t="s">
        <v>27074</v>
      </c>
      <c r="B21504" s="4" t="s">
        <v>27079</v>
      </c>
      <c r="C21504" s="5" t="str">
        <f>IFERROR(__xludf.DUMMYFUNCTION("GOOGLETRANSLATE(B21504,""en"",""zh-CN"")"),"穿着绿色衬衫的裁判站在场上。")</f>
        <v>穿着绿色衬衫的裁判站在场上。</v>
      </c>
    </row>
    <row r="21505">
      <c r="A21505" s="4" t="s">
        <v>27080</v>
      </c>
      <c r="B21505" s="4" t="s">
        <v>27081</v>
      </c>
      <c r="C21505" s="5" t="str">
        <f>IFERROR(__xludf.DUMMYFUNCTION("GOOGLETRANSLATE(B21505,""en"",""zh-CN"")"),"女人在厨房里和相机聊天，并展示如何准备饼干。")</f>
        <v>女人在厨房里和相机聊天，并展示如何准备饼干。</v>
      </c>
    </row>
    <row r="21506">
      <c r="A21506" s="4" t="s">
        <v>27080</v>
      </c>
      <c r="B21506" s="6" t="s">
        <v>27082</v>
      </c>
      <c r="C21506" s="5" t="str">
        <f>IFERROR(__xludf.DUMMYFUNCTION("GOOGLETRANSLATE(B21506,""en"",""zh-CN"")"),"女人正在将食材融合为厨房辅助工具，并制作球，然后将它们放在锅中和烤箱中。")</f>
        <v>女人正在将食材融合为厨房辅助工具，并制作球，然后将它们放在锅中和烤箱中。</v>
      </c>
    </row>
    <row r="21507">
      <c r="A21507" s="4" t="s">
        <v>27083</v>
      </c>
      <c r="B21507" s="4" t="s">
        <v>27084</v>
      </c>
      <c r="C21507" s="5" t="str">
        <f>IFERROR(__xludf.DUMMYFUNCTION("GOOGLETRANSLATE(B21507,""en"",""zh-CN"")"),"看到一个女人在抽烟时看着远处。")</f>
        <v>看到一个女人在抽烟时看着远处。</v>
      </c>
    </row>
    <row r="21508">
      <c r="A21508" s="4" t="s">
        <v>27083</v>
      </c>
      <c r="B21508" s="4" t="s">
        <v>27085</v>
      </c>
      <c r="C21508" s="5" t="str">
        <f>IFERROR(__xludf.DUMMYFUNCTION("GOOGLETRANSLATE(B21508,""en"",""zh-CN"")"),"她从烟中抽水时，与某人说话。")</f>
        <v>她从烟中抽水时，与某人说话。</v>
      </c>
    </row>
    <row r="21509">
      <c r="A21509" s="4" t="s">
        <v>27083</v>
      </c>
      <c r="B21509" s="4" t="s">
        <v>27086</v>
      </c>
      <c r="C21509" s="5" t="str">
        <f>IFERROR(__xludf.DUMMYFUNCTION("GOOGLETRANSLATE(B21509,""en"",""zh-CN"")"),"当相机捕捉她的动作时，她继续吸烟。")</f>
        <v>当相机捕捉她的动作时，她继续吸烟。</v>
      </c>
    </row>
    <row r="21510">
      <c r="A21510" s="4" t="s">
        <v>27087</v>
      </c>
      <c r="B21510" s="6" t="s">
        <v>27088</v>
      </c>
      <c r="C21510" s="5" t="str">
        <f>IFERROR(__xludf.DUMMYFUNCTION("GOOGLETRANSLATE(B21510,""en"",""zh-CN"")"),"看到一个女人回头看相机并说话时，她的手周围旋转了两个篮球。")</f>
        <v>看到一个女人回头看相机并说话时，她的手周围旋转了两个篮球。</v>
      </c>
    </row>
    <row r="21511">
      <c r="A21511" s="4" t="s">
        <v>27087</v>
      </c>
      <c r="B21511" s="4" t="s">
        <v>27089</v>
      </c>
      <c r="C21511" s="5" t="str">
        <f>IFERROR(__xludf.DUMMYFUNCTION("GOOGLETRANSLATE(B21511,""en"",""zh-CN"")"),"她继续在箍上旋转，同时停下来握住它们并说话。")</f>
        <v>她继续在箍上旋转，同时停下来握住它们并说话。</v>
      </c>
    </row>
    <row r="21512">
      <c r="A21512" s="4" t="s">
        <v>27090</v>
      </c>
      <c r="B21512" s="4" t="s">
        <v>27091</v>
      </c>
      <c r="C21512" s="5" t="str">
        <f>IFERROR(__xludf.DUMMYFUNCTION("GOOGLETRANSLATE(B21512,""en"",""zh-CN"")"),"一群观众聚集在健身房。")</f>
        <v>一群观众聚集在健身房。</v>
      </c>
    </row>
    <row r="21513">
      <c r="A21513" s="4" t="s">
        <v>27090</v>
      </c>
      <c r="B21513" s="4" t="s">
        <v>27092</v>
      </c>
      <c r="C21513" s="5" t="str">
        <f>IFERROR(__xludf.DUMMYFUNCTION("GOOGLETRANSLATE(B21513,""en"",""zh-CN"")"),"一个男人和他的队友正在推冰球。")</f>
        <v>一个男人和他的队友正在推冰球。</v>
      </c>
    </row>
    <row r="21514">
      <c r="A21514" s="4" t="s">
        <v>27090</v>
      </c>
      <c r="B21514" s="4" t="s">
        <v>27093</v>
      </c>
      <c r="C21514" s="5" t="str">
        <f>IFERROR(__xludf.DUMMYFUNCTION("GOOGLETRANSLATE(B21514,""en"",""zh-CN"")"),"他们参加了冰上的冰壶比赛。")</f>
        <v>他们参加了冰上的冰壶比赛。</v>
      </c>
    </row>
    <row r="21515">
      <c r="A21515" s="4" t="s">
        <v>27094</v>
      </c>
      <c r="B21515" s="6" t="s">
        <v>27095</v>
      </c>
      <c r="C21515" s="5" t="str">
        <f>IFERROR(__xludf.DUMMYFUNCTION("GOOGLETRANSLATE(B21515,""en"",""zh-CN"")"),"相机放大了几个球员，并导致一小群人互相踢足球。")</f>
        <v>相机放大了几个球员，并导致一小群人互相踢足球。</v>
      </c>
    </row>
    <row r="21516">
      <c r="A21516" s="4" t="s">
        <v>27094</v>
      </c>
      <c r="B21516" s="6" t="s">
        <v>27096</v>
      </c>
      <c r="C21516" s="5" t="str">
        <f>IFERROR(__xludf.DUMMYFUNCTION("GOOGLETRANSLATE(B21516,""en"",""zh-CN"")"),"教练和听众在观看比赛时做出反应，球员们继续在场上上下踢球。")</f>
        <v>教练和听众在观看比赛时做出反应，球员们继续在场上上下踢球。</v>
      </c>
    </row>
    <row r="21517">
      <c r="A21517" s="4" t="s">
        <v>27097</v>
      </c>
      <c r="B21517" s="4" t="s">
        <v>27098</v>
      </c>
      <c r="C21517" s="5" t="str">
        <f>IFERROR(__xludf.DUMMYFUNCTION("GOOGLETRANSLATE(B21517,""en"",""zh-CN"")"),"看到一小群人站在绳索的每一侧，抬起手。")</f>
        <v>看到一小群人站在绳索的每一侧，抬起手。</v>
      </c>
    </row>
    <row r="21518">
      <c r="A21518" s="4" t="s">
        <v>27097</v>
      </c>
      <c r="B21518" s="4" t="s">
        <v>27099</v>
      </c>
      <c r="C21518" s="5" t="str">
        <f>IFERROR(__xludf.DUMMYFUNCTION("GOOGLETRANSLATE(B21518,""en"",""zh-CN"")"),"然后，男人抓住绳子，互相拉。")</f>
        <v>然后，男人抓住绳子，互相拉。</v>
      </c>
    </row>
    <row r="21519">
      <c r="A21519" s="4" t="s">
        <v>27097</v>
      </c>
      <c r="B21519" s="4" t="s">
        <v>27100</v>
      </c>
      <c r="C21519" s="5" t="str">
        <f>IFERROR(__xludf.DUMMYFUNCTION("GOOGLETRANSLATE(B21519,""en"",""zh-CN"")"),"当一支球队获胜时，男人在一边看。")</f>
        <v>当一支球队获胜时，男人在一边看。</v>
      </c>
    </row>
    <row r="21520">
      <c r="A21520" s="4" t="s">
        <v>27101</v>
      </c>
      <c r="B21520" s="4" t="s">
        <v>27102</v>
      </c>
      <c r="C21520" s="5" t="str">
        <f>IFERROR(__xludf.DUMMYFUNCTION("GOOGLETRANSLATE(B21520,""en"",""zh-CN"")"),"看到一大批人站在彼此背后的室内健身房周围。")</f>
        <v>看到一大批人站在彼此背后的室内健身房周围。</v>
      </c>
    </row>
    <row r="21521">
      <c r="A21521" s="4" t="s">
        <v>27101</v>
      </c>
      <c r="B21521" s="4" t="s">
        <v>27103</v>
      </c>
      <c r="C21521" s="5" t="str">
        <f>IFERROR(__xludf.DUMMYFUNCTION("GOOGLETRANSLATE(B21521,""en"",""zh-CN"")"),"然后，小组开始互相跳舞，进行相同的动作。")</f>
        <v>然后，小组开始互相跳舞，进行相同的动作。</v>
      </c>
    </row>
    <row r="21522">
      <c r="A21522" s="4" t="s">
        <v>27101</v>
      </c>
      <c r="B21522" s="4" t="s">
        <v>27104</v>
      </c>
      <c r="C21522" s="5" t="str">
        <f>IFERROR(__xludf.DUMMYFUNCTION("GOOGLETRANSLATE(B21522,""en"",""zh-CN"")"),"当相机记录他们的动作时，人们继续在房间里跳舞。")</f>
        <v>当相机记录他们的动作时，人们继续在房间里跳舞。</v>
      </c>
    </row>
    <row r="21523">
      <c r="A21523" s="4" t="s">
        <v>27105</v>
      </c>
      <c r="B21523" s="4" t="s">
        <v>539</v>
      </c>
      <c r="C21523" s="5" t="str">
        <f>IFERROR(__xludf.DUMMYFUNCTION("GOOGLETRANSLATE(B21523,""en"",""zh-CN"")"),"一个男人正在和镜头说话。")</f>
        <v>一个男人正在和镜头说话。</v>
      </c>
    </row>
    <row r="21524">
      <c r="A21524" s="4" t="s">
        <v>27105</v>
      </c>
      <c r="B21524" s="4" t="s">
        <v>27106</v>
      </c>
      <c r="C21524" s="5" t="str">
        <f>IFERROR(__xludf.DUMMYFUNCTION("GOOGLETRANSLATE(B21524,""en"",""zh-CN"")"),"采访了排球比赛的几个团队成员。")</f>
        <v>采访了排球比赛的几个团队成员。</v>
      </c>
    </row>
    <row r="21525">
      <c r="A21525" s="4" t="s">
        <v>27105</v>
      </c>
      <c r="B21525" s="4" t="s">
        <v>27107</v>
      </c>
      <c r="C21525" s="5" t="str">
        <f>IFERROR(__xludf.DUMMYFUNCTION("GOOGLETRANSLATE(B21525,""en"",""zh-CN"")"),"他们显示在海滩上打球，踢球。")</f>
        <v>他们显示在海滩上打球，踢球。</v>
      </c>
    </row>
    <row r="21526">
      <c r="A21526" s="4" t="s">
        <v>27108</v>
      </c>
      <c r="B21526" s="4" t="s">
        <v>27109</v>
      </c>
      <c r="C21526" s="5" t="str">
        <f>IFERROR(__xludf.DUMMYFUNCTION("GOOGLETRANSLATE(B21526,""en"",""zh-CN"")"),"一个人竞争解决拼图立方体。")</f>
        <v>一个人竞争解决拼图立方体。</v>
      </c>
    </row>
    <row r="21527">
      <c r="A21527" s="4" t="s">
        <v>27108</v>
      </c>
      <c r="B21527" s="4" t="s">
        <v>27110</v>
      </c>
      <c r="C21527" s="5" t="str">
        <f>IFERROR(__xludf.DUMMYFUNCTION("GOOGLETRANSLATE(B21527,""en"",""zh-CN"")"),"一个人在那个男人后面经过。")</f>
        <v>一个人在那个男人后面经过。</v>
      </c>
    </row>
    <row r="21528">
      <c r="A21528" s="4" t="s">
        <v>27108</v>
      </c>
      <c r="B21528" s="4" t="s">
        <v>27111</v>
      </c>
      <c r="C21528" s="5" t="str">
        <f>IFERROR(__xludf.DUMMYFUNCTION("GOOGLETRANSLATE(B21528,""en"",""zh-CN"")"),"一只手在球员的前面延伸一张纸。")</f>
        <v>一只手在球员的前面延伸一张纸。</v>
      </c>
    </row>
    <row r="21529">
      <c r="A21529" s="4" t="s">
        <v>27108</v>
      </c>
      <c r="B21529" s="4" t="s">
        <v>27112</v>
      </c>
      <c r="C21529" s="5" t="str">
        <f>IFERROR(__xludf.DUMMYFUNCTION("GOOGLETRANSLATE(B21529,""en"",""zh-CN"")"),"结束后，男人戴上眼镜。")</f>
        <v>结束后，男人戴上眼镜。</v>
      </c>
    </row>
    <row r="21530">
      <c r="A21530" s="4" t="s">
        <v>27113</v>
      </c>
      <c r="B21530" s="4" t="s">
        <v>6958</v>
      </c>
      <c r="C21530" s="5" t="str">
        <f>IFERROR(__xludf.DUMMYFUNCTION("GOOGLETRANSLATE(B21530,""en"",""zh-CN"")"),"我们看到一个白色的打开屏幕。")</f>
        <v>我们看到一个白色的打开屏幕。</v>
      </c>
    </row>
    <row r="21531">
      <c r="A21531" s="4" t="s">
        <v>27113</v>
      </c>
      <c r="B21531" s="4" t="s">
        <v>27114</v>
      </c>
      <c r="C21531" s="5" t="str">
        <f>IFERROR(__xludf.DUMMYFUNCTION("GOOGLETRANSLATE(B21531,""en"",""zh-CN"")"),"我们看到两个人坐在摇头。")</f>
        <v>我们看到两个人坐在摇头。</v>
      </c>
    </row>
    <row r="21532">
      <c r="A21532" s="4" t="s">
        <v>27113</v>
      </c>
      <c r="B21532" s="4" t="s">
        <v>27115</v>
      </c>
      <c r="C21532" s="5" t="str">
        <f>IFERROR(__xludf.DUMMYFUNCTION("GOOGLETRANSLATE(B21532,""en"",""zh-CN"")"),"我们看到了Croquet的工具和技巧。")</f>
        <v>我们看到了Croquet的工具和技巧。</v>
      </c>
    </row>
    <row r="21533">
      <c r="A21533" s="4" t="s">
        <v>27113</v>
      </c>
      <c r="B21533" s="4" t="s">
        <v>27116</v>
      </c>
      <c r="C21533" s="5" t="str">
        <f>IFERROR(__xludf.DUMMYFUNCTION("GOOGLETRANSLATE(B21533,""en"",""zh-CN"")"),"两个人争论游戏。")</f>
        <v>两个人争论游戏。</v>
      </c>
    </row>
    <row r="21534">
      <c r="A21534" s="4" t="s">
        <v>27113</v>
      </c>
      <c r="B21534" s="4" t="s">
        <v>27117</v>
      </c>
      <c r="C21534" s="5" t="str">
        <f>IFERROR(__xludf.DUMMYFUNCTION("GOOGLETRANSLATE(B21534,""en"",""zh-CN"")"),"我们看到男人在玩槌球。")</f>
        <v>我们看到男人在玩槌球。</v>
      </c>
    </row>
    <row r="21535">
      <c r="A21535" s="4" t="s">
        <v>27113</v>
      </c>
      <c r="B21535" s="4" t="s">
        <v>27118</v>
      </c>
      <c r="C21535" s="5" t="str">
        <f>IFERROR(__xludf.DUMMYFUNCTION("GOOGLETRANSLATE(B21535,""en"",""zh-CN"")"),"我们在屏幕上看到一个图。")</f>
        <v>我们在屏幕上看到一个图。</v>
      </c>
    </row>
    <row r="21536">
      <c r="A21536" s="4" t="s">
        <v>27113</v>
      </c>
      <c r="B21536" s="4" t="s">
        <v>27119</v>
      </c>
      <c r="C21536" s="5" t="str">
        <f>IFERROR(__xludf.DUMMYFUNCTION("GOOGLETRANSLATE(B21536,""en"",""zh-CN"")"),"这个男人的脚在红球上。")</f>
        <v>这个男人的脚在红球上。</v>
      </c>
    </row>
    <row r="21537">
      <c r="A21537" s="4" t="s">
        <v>27113</v>
      </c>
      <c r="B21537" s="4" t="s">
        <v>27120</v>
      </c>
      <c r="C21537" s="5" t="str">
        <f>IFERROR(__xludf.DUMMYFUNCTION("GOOGLETRANSLATE(B21537,""en"",""zh-CN"")"),"我们看到一个男人笑着跳舞，而另一个人很沮丧。")</f>
        <v>我们看到一个男人笑着跳舞，而另一个人很沮丧。</v>
      </c>
    </row>
    <row r="21538">
      <c r="A21538" s="4" t="s">
        <v>27113</v>
      </c>
      <c r="B21538" s="4" t="s">
        <v>777</v>
      </c>
      <c r="C21538" s="5" t="str">
        <f>IFERROR(__xludf.DUMMYFUNCTION("GOOGLETRANSLATE(B21538,""en"",""zh-CN"")"),"我们看到结尾标题屏幕。")</f>
        <v>我们看到结尾标题屏幕。</v>
      </c>
    </row>
    <row r="21539">
      <c r="A21539" s="4" t="s">
        <v>27121</v>
      </c>
      <c r="B21539" s="4" t="s">
        <v>27122</v>
      </c>
      <c r="C21539" s="5" t="str">
        <f>IFERROR(__xludf.DUMMYFUNCTION("GOOGLETRANSLATE(B21539,""en"",""zh-CN"")"),"看到一个男人坐在皮划艇上，同时与镜头说话并拿着桨。")</f>
        <v>看到一个男人坐在皮划艇上，同时与镜头说话并拿着桨。</v>
      </c>
    </row>
    <row r="21540">
      <c r="A21540" s="4" t="s">
        <v>27121</v>
      </c>
      <c r="B21540" s="4" t="s">
        <v>27123</v>
      </c>
      <c r="C21540" s="5" t="str">
        <f>IFERROR(__xludf.DUMMYFUNCTION("GOOGLETRANSLATE(B21540,""en"",""zh-CN"")"),"然后，该男子在皮划艇上移动自己，同时演示了如何正确移动。")</f>
        <v>然后，该男子在皮划艇上移动自己，同时演示了如何正确移动。</v>
      </c>
    </row>
    <row r="21541">
      <c r="A21541" s="4" t="s">
        <v>27121</v>
      </c>
      <c r="B21541" s="4" t="s">
        <v>27124</v>
      </c>
      <c r="C21541" s="5" t="str">
        <f>IFERROR(__xludf.DUMMYFUNCTION("GOOGLETRANSLATE(B21541,""en"",""zh-CN"")"),"他抬头看着相机时继续旋转。")</f>
        <v>他抬头看着相机时继续旋转。</v>
      </c>
    </row>
    <row r="21542">
      <c r="A21542" s="4" t="s">
        <v>27125</v>
      </c>
      <c r="B21542" s="4" t="s">
        <v>27126</v>
      </c>
      <c r="C21542" s="5" t="str">
        <f>IFERROR(__xludf.DUMMYFUNCTION("GOOGLETRANSLATE(B21542,""en"",""zh-CN"")"),"一个戴着太阳镜的人站在建筑物外面。")</f>
        <v>一个戴着太阳镜的人站在建筑物外面。</v>
      </c>
    </row>
    <row r="21543">
      <c r="A21543" s="4" t="s">
        <v>27125</v>
      </c>
      <c r="B21543" s="6" t="s">
        <v>27127</v>
      </c>
      <c r="C21543" s="5" t="str">
        <f>IFERROR(__xludf.DUMMYFUNCTION("GOOGLETRANSLATE(B21543,""en"",""zh-CN"")"),"然后，他在电梯内看到他，当他用不同的人骑着空气拳打空气时，他表现得很奇怪。")</f>
        <v>然后，他在电梯内看到他，当他用不同的人骑着空气拳打空气时，他表现得很奇怪。</v>
      </c>
    </row>
    <row r="21544">
      <c r="A21544" s="4" t="s">
        <v>27125</v>
      </c>
      <c r="B21544" s="4" t="s">
        <v>27128</v>
      </c>
      <c r="C21544" s="5" t="str">
        <f>IFERROR(__xludf.DUMMYFUNCTION("GOOGLETRANSLATE(B21544,""en"",""zh-CN"")"),"他故意试图吓and和担心他们。")</f>
        <v>他故意试图吓and和担心他们。</v>
      </c>
    </row>
    <row r="21545">
      <c r="A21545" s="4" t="s">
        <v>27129</v>
      </c>
      <c r="B21545" s="4" t="s">
        <v>27130</v>
      </c>
      <c r="C21545" s="5" t="str">
        <f>IFERROR(__xludf.DUMMYFUNCTION("GOOGLETRANSLATE(B21545,""en"",""zh-CN"")"),"显示四个女孩看着相机。")</f>
        <v>显示四个女孩看着相机。</v>
      </c>
    </row>
    <row r="21546">
      <c r="A21546" s="4" t="s">
        <v>27129</v>
      </c>
      <c r="B21546" s="4" t="s">
        <v>27131</v>
      </c>
      <c r="C21546" s="5" t="str">
        <f>IFERROR(__xludf.DUMMYFUNCTION("GOOGLETRANSLATE(B21546,""en"",""zh-CN"")"),"前面的一个女孩开始挥舞一瓶漱口水。")</f>
        <v>前面的一个女孩开始挥舞一瓶漱口水。</v>
      </c>
    </row>
    <row r="21547">
      <c r="A21547" s="4" t="s">
        <v>27129</v>
      </c>
      <c r="B21547" s="4" t="s">
        <v>27132</v>
      </c>
      <c r="C21547" s="5" t="str">
        <f>IFERROR(__xludf.DUMMYFUNCTION("GOOGLETRANSLATE(B21547,""en"",""zh-CN"")"),"然后，女孩拿一杯漱口水并喝了。")</f>
        <v>然后，女孩拿一杯漱口水并喝了。</v>
      </c>
    </row>
    <row r="21548">
      <c r="A21548" s="4" t="s">
        <v>27129</v>
      </c>
      <c r="B21548" s="4" t="s">
        <v>27133</v>
      </c>
      <c r="C21548" s="5" t="str">
        <f>IFERROR(__xludf.DUMMYFUNCTION("GOOGLETRANSLATE(B21548,""en"",""zh-CN"")"),"一杯漱口水被传递到所有女孩喝酒。")</f>
        <v>一杯漱口水被传递到所有女孩喝酒。</v>
      </c>
    </row>
    <row r="21549">
      <c r="A21549" s="4" t="s">
        <v>27134</v>
      </c>
      <c r="B21549" s="4" t="s">
        <v>27135</v>
      </c>
      <c r="C21549" s="5" t="str">
        <f>IFERROR(__xludf.DUMMYFUNCTION("GOOGLETRANSLATE(B21549,""en"",""zh-CN"")"),"几个人开始穿着袋鼠鞋走进一个房间，四处弹跳。")</f>
        <v>几个人开始穿着袋鼠鞋走进一个房间，四处弹跳。</v>
      </c>
    </row>
    <row r="21550">
      <c r="A21550" s="4" t="s">
        <v>27134</v>
      </c>
      <c r="B21550" s="6" t="s">
        <v>27136</v>
      </c>
      <c r="C21550" s="5" t="str">
        <f>IFERROR(__xludf.DUMMYFUNCTION("GOOGLETRANSLATE(B21550,""en"",""zh-CN"")"),"在房间的左侧，有两个杆子上有一个杆，每个人都会转弯，大约五英尺高。")</f>
        <v>在房间的左侧，有两个杆子上有一个杆，每个人都会转弯，大约五英尺高。</v>
      </c>
    </row>
    <row r="21551">
      <c r="A21551" s="4" t="s">
        <v>27137</v>
      </c>
      <c r="B21551" s="4" t="s">
        <v>27138</v>
      </c>
      <c r="C21551" s="5" t="str">
        <f>IFERROR(__xludf.DUMMYFUNCTION("GOOGLETRANSLATE(B21551,""en"",""zh-CN"")"),"滑雪者乘坐滑雪缆车。")</f>
        <v>滑雪者乘坐滑雪缆车。</v>
      </c>
    </row>
    <row r="21552">
      <c r="A21552" s="4" t="s">
        <v>27137</v>
      </c>
      <c r="B21552" s="4" t="s">
        <v>27139</v>
      </c>
      <c r="C21552" s="5" t="str">
        <f>IFERROR(__xludf.DUMMYFUNCTION("GOOGLETRANSLATE(B21552,""en"",""zh-CN"")"),"一个穿着黄色滑雪板的男人沿着斜坡下降。")</f>
        <v>一个穿着黄色滑雪板的男人沿着斜坡下降。</v>
      </c>
    </row>
    <row r="21553">
      <c r="A21553" s="4" t="s">
        <v>27137</v>
      </c>
      <c r="B21553" s="4" t="s">
        <v>27140</v>
      </c>
      <c r="C21553" s="5" t="str">
        <f>IFERROR(__xludf.DUMMYFUNCTION("GOOGLETRANSLATE(B21553,""en"",""zh-CN"")"),"滑雪者完成了几个技巧。")</f>
        <v>滑雪者完成了几个技巧。</v>
      </c>
    </row>
    <row r="21554">
      <c r="A21554" s="4" t="s">
        <v>27137</v>
      </c>
      <c r="B21554" s="4" t="s">
        <v>27141</v>
      </c>
      <c r="C21554" s="5" t="str">
        <f>IFERROR(__xludf.DUMMYFUNCTION("GOOGLETRANSLATE(B21554,""en"",""zh-CN"")"),"他们跳过几个坡道。")</f>
        <v>他们跳过几个坡道。</v>
      </c>
    </row>
    <row r="21555">
      <c r="A21555" s="4" t="s">
        <v>27142</v>
      </c>
      <c r="B21555" s="6" t="s">
        <v>27143</v>
      </c>
      <c r="C21555" s="5" t="str">
        <f>IFERROR(__xludf.DUMMYFUNCTION("GOOGLETRANSLATE(B21555,""en"",""zh-CN"")"),"立陶宛Zinaida Sendriute将铁饼扔到64米处，以率领她的第三次投掷，在她走开时向相机挥手。")</f>
        <v>立陶宛Zinaida Sendriute将铁饼扔到64米处，以率领她的第三次投掷，在她走开时向相机挥手。</v>
      </c>
    </row>
    <row r="21556">
      <c r="A21556" s="4" t="s">
        <v>27142</v>
      </c>
      <c r="B21556" s="4" t="s">
        <v>27144</v>
      </c>
      <c r="C21556" s="5" t="str">
        <f>IFERROR(__xludf.DUMMYFUNCTION("GOOGLETRANSLATE(B21556,""en"",""zh-CN"")"),"接下来是古巴Yarelis Barrios，并以雷鸣般的尖叫声释放了一个强大的67米。")</f>
        <v>接下来是古巴Yarelis Barrios，并以雷鸣般的尖叫声释放了一个强大的67米。</v>
      </c>
    </row>
    <row r="21557">
      <c r="A21557" s="4" t="s">
        <v>27142</v>
      </c>
      <c r="B21557" s="6" t="s">
        <v>27145</v>
      </c>
      <c r="C21557" s="5" t="str">
        <f>IFERROR(__xludf.DUMMYFUNCTION("GOOGLETRANSLATE(B21557,""en"",""zh-CN"")"),"克罗地亚的桑德拉·珀尔科维奇（Sandra Perkovic）以69米的优势夺走了以前的两个投掷者，以夺得领先。")</f>
        <v>克罗地亚的桑德拉·珀尔科维奇（Sandra Perkovic）以69米的优势夺走了以前的两个投掷者，以夺得领先。</v>
      </c>
    </row>
    <row r="21558">
      <c r="A21558" s="4" t="s">
        <v>27146</v>
      </c>
      <c r="B21558" s="4" t="s">
        <v>27147</v>
      </c>
      <c r="C21558" s="5" t="str">
        <f>IFERROR(__xludf.DUMMYFUNCTION("GOOGLETRANSLATE(B21558,""en"",""zh-CN"")"),"看到一个运动员逐渐升空，将物体扔到远处。")</f>
        <v>看到一个运动员逐渐升空，将物体扔到远处。</v>
      </c>
    </row>
    <row r="21559">
      <c r="A21559" s="4" t="s">
        <v>27146</v>
      </c>
      <c r="B21559" s="4" t="s">
        <v>27148</v>
      </c>
      <c r="C21559" s="5" t="str">
        <f>IFERROR(__xludf.DUMMYFUNCTION("GOOGLETRANSLATE(B21559,""en"",""zh-CN"")"),"他的投掷再次显示出来，而其他人则在一侧摔倒。")</f>
        <v>他的投掷再次显示出来，而其他人则在一侧摔倒。</v>
      </c>
    </row>
    <row r="21560">
      <c r="A21560" s="4" t="s">
        <v>27146</v>
      </c>
      <c r="B21560" s="4" t="s">
        <v>27149</v>
      </c>
      <c r="C21560" s="5" t="str">
        <f>IFERROR(__xludf.DUMMYFUNCTION("GOOGLETRANSLATE(B21560,""en"",""zh-CN"")"),"该男子抓住旗帜，在竞技场上散步。")</f>
        <v>该男子抓住旗帜，在竞技场上散步。</v>
      </c>
    </row>
    <row r="21561">
      <c r="A21561" s="4" t="s">
        <v>27150</v>
      </c>
      <c r="B21561" s="4" t="s">
        <v>27151</v>
      </c>
      <c r="C21561" s="5" t="str">
        <f>IFERROR(__xludf.DUMMYFUNCTION("GOOGLETRANSLATE(B21561,""en"",""zh-CN"")"),"显示了一个大屏幕，后面是乐队在舞台上演奏。")</f>
        <v>显示了一个大屏幕，后面是乐队在舞台上演奏。</v>
      </c>
    </row>
    <row r="21562">
      <c r="A21562" s="4" t="s">
        <v>27150</v>
      </c>
      <c r="B21562" s="4" t="s">
        <v>27152</v>
      </c>
      <c r="C21562" s="5" t="str">
        <f>IFERROR(__xludf.DUMMYFUNCTION("GOOGLETRANSLATE(B21562,""en"",""zh-CN"")"),"一个穿着米奇服装并演奏鼓的男人。")</f>
        <v>一个穿着米奇服装并演奏鼓的男人。</v>
      </c>
    </row>
    <row r="21563">
      <c r="A21563" s="4" t="s">
        <v>27150</v>
      </c>
      <c r="B21563" s="4" t="s">
        <v>27153</v>
      </c>
      <c r="C21563" s="5" t="str">
        <f>IFERROR(__xludf.DUMMYFUNCTION("GOOGLETRANSLATE(B21563,""en"",""zh-CN"")"),"该男子继续打鼓，最后以窗帘闭合结束。")</f>
        <v>该男子继续打鼓，最后以窗帘闭合结束。</v>
      </c>
    </row>
    <row r="21564">
      <c r="A21564" s="4" t="s">
        <v>27154</v>
      </c>
      <c r="B21564" s="4" t="s">
        <v>27155</v>
      </c>
      <c r="C21564" s="5" t="str">
        <f>IFERROR(__xludf.DUMMYFUNCTION("GOOGLETRANSLATE(B21564,""en"",""zh-CN"")"),"我们看到雕刻的南瓜和标题屏幕。")</f>
        <v>我们看到雕刻的南瓜和标题屏幕。</v>
      </c>
    </row>
    <row r="21565">
      <c r="A21565" s="4" t="s">
        <v>27154</v>
      </c>
      <c r="B21565" s="4" t="s">
        <v>27156</v>
      </c>
      <c r="C21565" s="5" t="str">
        <f>IFERROR(__xludf.DUMMYFUNCTION("GOOGLETRANSLATE(B21565,""en"",""zh-CN"")"),"一个人在南瓜上画一张脸。")</f>
        <v>一个人在南瓜上画一张脸。</v>
      </c>
    </row>
    <row r="21566">
      <c r="A21566" s="4" t="s">
        <v>27154</v>
      </c>
      <c r="B21566" s="4" t="s">
        <v>27157</v>
      </c>
      <c r="C21566" s="5" t="str">
        <f>IFERROR(__xludf.DUMMYFUNCTION("GOOGLETRANSLATE(B21566,""en"",""zh-CN"")"),"然后，一个人将一个南瓜雕刻成一个咆哮的老人。")</f>
        <v>然后，一个人将一个南瓜雕刻成一个咆哮的老人。</v>
      </c>
    </row>
    <row r="21567">
      <c r="A21567" s="4" t="s">
        <v>27154</v>
      </c>
      <c r="B21567" s="4" t="s">
        <v>27158</v>
      </c>
      <c r="C21567" s="5" t="str">
        <f>IFERROR(__xludf.DUMMYFUNCTION("GOOGLETRANSLATE(B21567,""en"",""zh-CN"")"),"该男子用手机拍摄南瓜的图像。")</f>
        <v>该男子用手机拍摄南瓜的图像。</v>
      </c>
    </row>
    <row r="21568">
      <c r="A21568" s="4" t="s">
        <v>27154</v>
      </c>
      <c r="B21568" s="4" t="s">
        <v>27159</v>
      </c>
      <c r="C21568" s="5" t="str">
        <f>IFERROR(__xludf.DUMMYFUNCTION("GOOGLETRANSLATE(B21568,""en"",""zh-CN"")"),"该男子将南瓜倾斜回到光中。")</f>
        <v>该男子将南瓜倾斜回到光中。</v>
      </c>
    </row>
    <row r="21569">
      <c r="A21569" s="4" t="s">
        <v>27154</v>
      </c>
      <c r="B21569" s="4" t="s">
        <v>27160</v>
      </c>
      <c r="C21569" s="5" t="str">
        <f>IFERROR(__xludf.DUMMYFUNCTION("GOOGLETRANSLATE(B21569,""en"",""zh-CN"")"),"我们仍然看到雕刻的南瓜的镜头。")</f>
        <v>我们仍然看到雕刻的南瓜的镜头。</v>
      </c>
    </row>
    <row r="21570">
      <c r="A21570" s="4" t="s">
        <v>27154</v>
      </c>
      <c r="B21570" s="4" t="s">
        <v>27161</v>
      </c>
      <c r="C21570" s="5" t="str">
        <f>IFERROR(__xludf.DUMMYFUNCTION("GOOGLETRANSLATE(B21570,""en"",""zh-CN"")"),"我们在网站上看到结尾屏幕。")</f>
        <v>我们在网站上看到结尾屏幕。</v>
      </c>
    </row>
    <row r="21571">
      <c r="A21571" s="4" t="s">
        <v>27162</v>
      </c>
      <c r="B21571" s="6" t="s">
        <v>27163</v>
      </c>
      <c r="C21571" s="5" t="str">
        <f>IFERROR(__xludf.DUMMYFUNCTION("GOOGLETRANSLATE(B21571,""en"",""zh-CN"")"),"看到一个男人站在梯子上，在镜头捕捉他的动作时在屋顶上工作。")</f>
        <v>看到一个男人站在梯子上，在镜头捕捉他的动作时在屋顶上工作。</v>
      </c>
    </row>
    <row r="21572">
      <c r="A21572" s="4" t="s">
        <v>27162</v>
      </c>
      <c r="B21572" s="4" t="s">
        <v>27164</v>
      </c>
      <c r="C21572" s="5" t="str">
        <f>IFERROR(__xludf.DUMMYFUNCTION("GOOGLETRANSLATE(B21572,""en"",""zh-CN"")"),"然后，该男子将屋顶散发出来，然后向后移动第四。")</f>
        <v>然后，该男子将屋顶散发出来，然后向后移动第四。</v>
      </c>
    </row>
    <row r="21573">
      <c r="A21573" s="4" t="s">
        <v>27165</v>
      </c>
      <c r="B21573" s="4" t="s">
        <v>27166</v>
      </c>
      <c r="C21573" s="5" t="str">
        <f>IFERROR(__xludf.DUMMYFUNCTION("GOOGLETRANSLATE(B21573,""en"",""zh-CN"")"),"一个小男孩坐在鼓盘前。")</f>
        <v>一个小男孩坐在鼓盘前。</v>
      </c>
    </row>
    <row r="21574">
      <c r="A21574" s="4" t="s">
        <v>27165</v>
      </c>
      <c r="B21574" s="4" t="s">
        <v>27167</v>
      </c>
      <c r="C21574" s="5" t="str">
        <f>IFERROR(__xludf.DUMMYFUNCTION("GOOGLETRANSLATE(B21574,""en"",""zh-CN"")"),"他正在迅​​速在他面前打鼓。")</f>
        <v>他正在迅​​速在他面前打鼓。</v>
      </c>
    </row>
    <row r="21575">
      <c r="A21575" s="4" t="s">
        <v>27165</v>
      </c>
      <c r="B21575" s="4" t="s">
        <v>27168</v>
      </c>
      <c r="C21575" s="5" t="str">
        <f>IFERROR(__xludf.DUMMYFUNCTION("GOOGLETRANSLATE(B21575,""en"",""zh-CN"")"),"他还击中了几次。")</f>
        <v>他还击中了几次。</v>
      </c>
    </row>
    <row r="21576">
      <c r="A21576" s="4" t="s">
        <v>27169</v>
      </c>
      <c r="B21576" s="4" t="s">
        <v>27170</v>
      </c>
      <c r="C21576" s="5" t="str">
        <f>IFERROR(__xludf.DUMMYFUNCTION("GOOGLETRANSLATE(B21576,""en"",""zh-CN"")"),"我们看到一位穿着舞蹈服装的女士。")</f>
        <v>我们看到一位穿着舞蹈服装的女士。</v>
      </c>
    </row>
    <row r="21577">
      <c r="A21577" s="4" t="s">
        <v>27169</v>
      </c>
      <c r="B21577" s="4" t="s">
        <v>27171</v>
      </c>
      <c r="C21577" s="5" t="str">
        <f>IFERROR(__xludf.DUMMYFUNCTION("GOOGLETRANSLATE(B21577,""en"",""zh-CN"")"),"她指着臀部和腰。")</f>
        <v>她指着臀部和腰。</v>
      </c>
    </row>
    <row r="21578">
      <c r="A21578" s="4" t="s">
        <v>27169</v>
      </c>
      <c r="B21578" s="4" t="s">
        <v>27172</v>
      </c>
      <c r="C21578" s="5" t="str">
        <f>IFERROR(__xludf.DUMMYFUNCTION("GOOGLETRANSLATE(B21578,""en"",""zh-CN"")"),"她开始慢慢跳舞。")</f>
        <v>她开始慢慢跳舞。</v>
      </c>
    </row>
    <row r="21579">
      <c r="A21579" s="4" t="s">
        <v>27169</v>
      </c>
      <c r="B21579" s="4" t="s">
        <v>27173</v>
      </c>
      <c r="C21579" s="5" t="str">
        <f>IFERROR(__xludf.DUMMYFUNCTION("GOOGLETRANSLATE(B21579,""en"",""zh-CN"")"),"她拿起速度并旋转双手。")</f>
        <v>她拿起速度并旋转双手。</v>
      </c>
    </row>
    <row r="21580">
      <c r="A21580" s="4" t="s">
        <v>27169</v>
      </c>
      <c r="B21580" s="4" t="s">
        <v>27174</v>
      </c>
      <c r="C21580" s="5" t="str">
        <f>IFERROR(__xludf.DUMMYFUNCTION("GOOGLETRANSLATE(B21580,""en"",""zh-CN"")"),"她走的速度较慢，然后又快。")</f>
        <v>她走的速度较慢，然后又快。</v>
      </c>
    </row>
    <row r="21581">
      <c r="A21581" s="4" t="s">
        <v>27169</v>
      </c>
      <c r="B21581" s="4" t="s">
        <v>27175</v>
      </c>
      <c r="C21581" s="5" t="str">
        <f>IFERROR(__xludf.DUMMYFUNCTION("GOOGLETRANSLATE(B21581,""en"",""zh-CN"")"),"这位女士结束了舞蹈，停下来和弓。")</f>
        <v>这位女士结束了舞蹈，停下来和弓。</v>
      </c>
    </row>
    <row r="21582">
      <c r="A21582" s="4" t="s">
        <v>27176</v>
      </c>
      <c r="B21582" s="4" t="s">
        <v>27177</v>
      </c>
      <c r="C21582" s="5" t="str">
        <f>IFERROR(__xludf.DUMMYFUNCTION("GOOGLETRANSLATE(B21582,""en"",""zh-CN"")"),"一个男人站在桌子旁边和一些教练谈论某件事。")</f>
        <v>一个男人站在桌子旁边和一些教练谈论某件事。</v>
      </c>
    </row>
    <row r="21583">
      <c r="A21583" s="4" t="s">
        <v>27176</v>
      </c>
      <c r="B21583" s="4" t="s">
        <v>27178</v>
      </c>
      <c r="C21583" s="5" t="str">
        <f>IFERROR(__xludf.DUMMYFUNCTION("GOOGLETRANSLATE(B21583,""en"",""zh-CN"")"),"他开始向后走，准备开始跑步。")</f>
        <v>他开始向后走，准备开始跑步。</v>
      </c>
    </row>
    <row r="21584">
      <c r="A21584" s="4" t="s">
        <v>27176</v>
      </c>
      <c r="B21584" s="4" t="s">
        <v>27179</v>
      </c>
      <c r="C21584" s="5" t="str">
        <f>IFERROR(__xludf.DUMMYFUNCTION("GOOGLETRANSLATE(B21584,""en"",""zh-CN"")"),"他开始跑步并迅速提高速度。")</f>
        <v>他开始跑步并迅速提高速度。</v>
      </c>
    </row>
    <row r="21585">
      <c r="A21585" s="4" t="s">
        <v>27176</v>
      </c>
      <c r="B21585" s="4" t="s">
        <v>27180</v>
      </c>
      <c r="C21585" s="5" t="str">
        <f>IFERROR(__xludf.DUMMYFUNCTION("GOOGLETRANSLATE(B21585,""en"",""zh-CN"")"),"他降落在沙滩上，当他完成后，人走到他身后以使沙子吹走。")</f>
        <v>他降落在沙滩上，当他完成后，人走到他身后以使沙子吹走。</v>
      </c>
    </row>
    <row r="21586">
      <c r="A21586" s="4" t="s">
        <v>27181</v>
      </c>
      <c r="B21586" s="4" t="s">
        <v>27182</v>
      </c>
      <c r="C21586" s="5" t="str">
        <f>IFERROR(__xludf.DUMMYFUNCTION("GOOGLETRANSLATE(B21586,""en"",""zh-CN"")"),"一台相机显示一个年幼的孩子走上一个游乐场，狗在后面徘徊。")</f>
        <v>一台相机显示一个年幼的孩子走上一个游乐场，狗在后面徘徊。</v>
      </c>
    </row>
    <row r="21587">
      <c r="A21587" s="4" t="s">
        <v>27181</v>
      </c>
      <c r="B21587" s="4" t="s">
        <v>27183</v>
      </c>
      <c r="C21587" s="5" t="str">
        <f>IFERROR(__xludf.DUMMYFUNCTION("GOOGLETRANSLATE(B21587,""en"",""zh-CN"")"),"孩子爬上一组楼梯，滑下滑梯。")</f>
        <v>孩子爬上一组楼梯，滑下滑梯。</v>
      </c>
    </row>
    <row r="21588">
      <c r="A21588" s="4" t="s">
        <v>27184</v>
      </c>
      <c r="B21588" s="4" t="s">
        <v>27185</v>
      </c>
      <c r="C21588" s="5" t="str">
        <f>IFERROR(__xludf.DUMMYFUNCTION("GOOGLETRANSLATE(B21588,""en"",""zh-CN"")"),"看到一个年轻人在河上划独木舟。")</f>
        <v>看到一个年轻人在河上划独木舟。</v>
      </c>
    </row>
    <row r="21589">
      <c r="A21589" s="4" t="s">
        <v>27184</v>
      </c>
      <c r="B21589" s="4" t="s">
        <v>27186</v>
      </c>
      <c r="C21589" s="5" t="str">
        <f>IFERROR(__xludf.DUMMYFUNCTION("GOOGLETRANSLATE(B21589,""en"",""zh-CN"")"),"当他接近时，他与镜头说话。")</f>
        <v>当他接近时，他与镜头说话。</v>
      </c>
    </row>
    <row r="21590">
      <c r="A21590" s="4" t="s">
        <v>27184</v>
      </c>
      <c r="B21590" s="4" t="s">
        <v>27187</v>
      </c>
      <c r="C21590" s="5" t="str">
        <f>IFERROR(__xludf.DUMMYFUNCTION("GOOGLETRANSLATE(B21590,""en"",""zh-CN"")"),"他离开，继续谈论划独木舟。")</f>
        <v>他离开，继续谈论划独木舟。</v>
      </c>
    </row>
    <row r="21591">
      <c r="A21591" s="4" t="s">
        <v>27188</v>
      </c>
      <c r="B21591" s="4" t="s">
        <v>27189</v>
      </c>
      <c r="C21591" s="5" t="str">
        <f>IFERROR(__xludf.DUMMYFUNCTION("GOOGLETRANSLATE(B21591,""en"",""zh-CN"")"),"看到一个女人在镜头前移动一个呼啦圈。")</f>
        <v>看到一个女人在镜头前移动一个呼啦圈。</v>
      </c>
    </row>
    <row r="21592">
      <c r="A21592" s="4" t="s">
        <v>27188</v>
      </c>
      <c r="B21592" s="4" t="s">
        <v>27190</v>
      </c>
      <c r="C21592" s="5" t="str">
        <f>IFERROR(__xludf.DUMMYFUNCTION("GOOGLETRANSLATE(B21592,""en"",""zh-CN"")"),"然后，女孩与镜头说话，并进入她的呼啦圈。")</f>
        <v>然后，女孩与镜头说话，并进入她的呼啦圈。</v>
      </c>
    </row>
    <row r="21593">
      <c r="A21593" s="4" t="s">
        <v>27188</v>
      </c>
      <c r="B21593" s="6" t="s">
        <v>27191</v>
      </c>
      <c r="C21593" s="5" t="str">
        <f>IFERROR(__xludf.DUMMYFUNCTION("GOOGLETRANSLATE(B21593,""en"",""zh-CN"")"),"该女子在旋转箍并演示如何执行正确的动作的同时继续与相机交谈。")</f>
        <v>该女子在旋转箍并演示如何执行正确的动作的同时继续与相机交谈。</v>
      </c>
    </row>
    <row r="21594">
      <c r="A21594" s="4" t="s">
        <v>27192</v>
      </c>
      <c r="B21594" s="4" t="s">
        <v>27193</v>
      </c>
      <c r="C21594" s="5" t="str">
        <f>IFERROR(__xludf.DUMMYFUNCTION("GOOGLETRANSLATE(B21594,""en"",""zh-CN"")"),"几名穿着长曲棍球齿轮的男子驶入田野。")</f>
        <v>几名穿着长曲棍球齿轮的男子驶入田野。</v>
      </c>
    </row>
    <row r="21595">
      <c r="A21595" s="4" t="s">
        <v>27192</v>
      </c>
      <c r="B21595" s="6" t="s">
        <v>27194</v>
      </c>
      <c r="C21595" s="5" t="str">
        <f>IFERROR(__xludf.DUMMYFUNCTION("GOOGLETRANSLATE(B21595,""en"",""zh-CN"")"),"对方球队在几个剪辑中显示，打击并将球击中彼此的目标。")</f>
        <v>对方球队在几个剪辑中显示，打击并将球击中彼此的目标。</v>
      </c>
    </row>
    <row r="21596">
      <c r="A21596" s="4" t="s">
        <v>27195</v>
      </c>
      <c r="B21596" s="4" t="s">
        <v>27196</v>
      </c>
      <c r="C21596" s="5" t="str">
        <f>IFERROR(__xludf.DUMMYFUNCTION("GOOGLETRANSLATE(B21596,""en"",""zh-CN"")"),"有几个剪辑显示了人们举重重物以及跳上赛道的剪辑。")</f>
        <v>有几个剪辑显示了人们举重重物以及跳上赛道的剪辑。</v>
      </c>
    </row>
    <row r="21597">
      <c r="A21597" s="4" t="s">
        <v>27195</v>
      </c>
      <c r="B21597" s="6" t="s">
        <v>27197</v>
      </c>
      <c r="C21597" s="5" t="str">
        <f>IFERROR(__xludf.DUMMYFUNCTION("GOOGLETRANSLATE(B21597,""en"",""zh-CN"")"),"人们看到人们跳过两极，蹲在体重上，并进行其他各种练习。")</f>
        <v>人们看到人们跳过两极，蹲在体重上，并进行其他各种练习。</v>
      </c>
    </row>
    <row r="21598">
      <c r="A21598" s="4" t="s">
        <v>27195</v>
      </c>
      <c r="B21598" s="4" t="s">
        <v>27198</v>
      </c>
      <c r="C21598" s="5" t="str">
        <f>IFERROR(__xludf.DUMMYFUNCTION("GOOGLETRANSLATE(B21598,""en"",""zh-CN"")"),"最后，看到更多的人跳过杆子。")</f>
        <v>最后，看到更多的人跳过杆子。</v>
      </c>
    </row>
    <row r="21599">
      <c r="A21599" s="4" t="s">
        <v>27199</v>
      </c>
      <c r="B21599" s="4" t="s">
        <v>27200</v>
      </c>
      <c r="C21599" s="5" t="str">
        <f>IFERROR(__xludf.DUMMYFUNCTION("GOOGLETRANSLATE(B21599,""en"",""zh-CN"")"),"来自不同地方的几名男子在大型板球比赛中在外面打板球。")</f>
        <v>来自不同地方的几名男子在大型板球比赛中在外面打板球。</v>
      </c>
    </row>
    <row r="21600">
      <c r="A21600" s="4" t="s">
        <v>27199</v>
      </c>
      <c r="B21600" s="6" t="s">
        <v>27201</v>
      </c>
      <c r="C21600" s="5" t="str">
        <f>IFERROR(__xludf.DUMMYFUNCTION("GOOGLETRANSLATE(B21600,""en"",""zh-CN"")"),"人们来到场的中间，站在一个小矩形周围，开始极远地将球击中。")</f>
        <v>人们来到场的中间，站在一个小矩形周围，开始极远地将球击中。</v>
      </c>
    </row>
    <row r="21601">
      <c r="A21601" s="4" t="s">
        <v>27199</v>
      </c>
      <c r="B21601" s="6" t="s">
        <v>27202</v>
      </c>
      <c r="C21601" s="5" t="str">
        <f>IFERROR(__xludf.DUMMYFUNCTION("GOOGLETRANSLATE(B21601,""en"",""zh-CN"")"),"当球进入外场时，队友开始上下跳跃并为他们的球队欢呼。")</f>
        <v>当球进入外场时，队友开始上下跳跃并为他们的球队欢呼。</v>
      </c>
    </row>
    <row r="21602">
      <c r="A21602" s="4" t="s">
        <v>27199</v>
      </c>
      <c r="B21602" s="4" t="s">
        <v>27203</v>
      </c>
      <c r="C21602" s="5" t="str">
        <f>IFERROR(__xludf.DUMMYFUNCTION("GOOGLETRANSLATE(B21602,""en"",""zh-CN"")"),"最后，一个男人获得了大型银奖。")</f>
        <v>最后，一个男人获得了大型银奖。</v>
      </c>
    </row>
    <row r="21603">
      <c r="A21603" s="4" t="s">
        <v>27204</v>
      </c>
      <c r="B21603" s="4" t="s">
        <v>27205</v>
      </c>
      <c r="C21603" s="5" t="str">
        <f>IFERROR(__xludf.DUMMYFUNCTION("GOOGLETRANSLATE(B21603,""en"",""zh-CN"")"),"一个男人正在将篮球射入箍。")</f>
        <v>一个男人正在将篮球射入箍。</v>
      </c>
    </row>
    <row r="21604">
      <c r="A21604" s="4" t="s">
        <v>27204</v>
      </c>
      <c r="B21604" s="4" t="s">
        <v>27206</v>
      </c>
      <c r="C21604" s="5" t="str">
        <f>IFERROR(__xludf.DUMMYFUNCTION("GOOGLETRANSLATE(B21604,""en"",""zh-CN"")"),"另一个男人开始向篮球投射篮球。")</f>
        <v>另一个男人开始向篮球投射篮球。</v>
      </c>
    </row>
    <row r="21605">
      <c r="A21605" s="4" t="s">
        <v>27204</v>
      </c>
      <c r="B21605" s="4" t="s">
        <v>27207</v>
      </c>
      <c r="C21605" s="5" t="str">
        <f>IFERROR(__xludf.DUMMYFUNCTION("GOOGLETRANSLATE(B21605,""en"",""zh-CN"")"),"第一个男人看着第二个人。")</f>
        <v>第一个男人看着第二个人。</v>
      </c>
    </row>
    <row r="21606">
      <c r="A21606" s="4" t="s">
        <v>27208</v>
      </c>
      <c r="B21606" s="4" t="s">
        <v>27209</v>
      </c>
      <c r="C21606" s="5" t="str">
        <f>IFERROR(__xludf.DUMMYFUNCTION("GOOGLETRANSLATE(B21606,""en"",""zh-CN"")"),"我们看到孩子们在蹦床公园里打道奇球。")</f>
        <v>我们看到孩子们在蹦床公园里打道奇球。</v>
      </c>
    </row>
    <row r="21607">
      <c r="A21607" s="4" t="s">
        <v>27208</v>
      </c>
      <c r="B21607" s="4" t="s">
        <v>27210</v>
      </c>
      <c r="C21607" s="5" t="str">
        <f>IFERROR(__xludf.DUMMYFUNCTION("GOOGLETRANSLATE(B21607,""en"",""zh-CN"")"),"我们看到一个男孩被球击中并扔回去。")</f>
        <v>我们看到一个男孩被球击中并扔回去。</v>
      </c>
    </row>
    <row r="21608">
      <c r="A21608" s="4" t="s">
        <v>27208</v>
      </c>
      <c r="B21608" s="4" t="s">
        <v>27211</v>
      </c>
      <c r="C21608" s="5" t="str">
        <f>IFERROR(__xludf.DUMMYFUNCTION("GOOGLETRANSLATE(B21608,""en"",""zh-CN"")"),"我们看到一个绿色的男孩将球扔得很厉害。")</f>
        <v>我们看到一个绿色的男孩将球扔得很厉害。</v>
      </c>
    </row>
    <row r="21609">
      <c r="A21609" s="4" t="s">
        <v>27208</v>
      </c>
      <c r="B21609" s="4" t="s">
        <v>27212</v>
      </c>
      <c r="C21609" s="5" t="str">
        <f>IFERROR(__xludf.DUMMYFUNCTION("GOOGLETRANSLATE(B21609,""en"",""zh-CN"")"),"穿着条纹衬衫的男孩加入了比赛，红色男孩出了。")</f>
        <v>穿着条纹衬衫的男孩加入了比赛，红色男孩出了。</v>
      </c>
    </row>
    <row r="21610">
      <c r="A21610" s="4" t="s">
        <v>27208</v>
      </c>
      <c r="B21610" s="4" t="s">
        <v>27213</v>
      </c>
      <c r="C21610" s="5" t="str">
        <f>IFERROR(__xludf.DUMMYFUNCTION("GOOGLETRANSLATE(B21610,""en"",""zh-CN"")"),"一个女孩走过镜头挥舞着她的手。")</f>
        <v>一个女孩走过镜头挥舞着她的手。</v>
      </c>
    </row>
    <row r="21611">
      <c r="A21611" s="4" t="s">
        <v>27208</v>
      </c>
      <c r="B21611" s="4" t="s">
        <v>27214</v>
      </c>
      <c r="C21611" s="5" t="str">
        <f>IFERROR(__xludf.DUMMYFUNCTION("GOOGLETRANSLATE(B21611,""en"",""zh-CN"")"),"一件黄色衬衫的男孩朝相机走去。")</f>
        <v>一件黄色衬衫的男孩朝相机走去。</v>
      </c>
    </row>
    <row r="21612">
      <c r="A21612" s="4" t="s">
        <v>27215</v>
      </c>
      <c r="B21612" s="4" t="s">
        <v>27216</v>
      </c>
      <c r="C21612" s="5" t="str">
        <f>IFERROR(__xludf.DUMMYFUNCTION("GOOGLETRANSLATE(B21612,""en"",""zh-CN"")"),"田径比赛显示了旧视频。")</f>
        <v>田径比赛显示了旧视频。</v>
      </c>
    </row>
    <row r="21613">
      <c r="A21613" s="4" t="s">
        <v>27215</v>
      </c>
      <c r="B21613" s="4" t="s">
        <v>27217</v>
      </c>
      <c r="C21613" s="5" t="str">
        <f>IFERROR(__xludf.DUMMYFUNCTION("GOOGLETRANSLATE(B21613,""en"",""zh-CN"")"),"当一个男人投掷铁饼时，一个人被多次显示。")</f>
        <v>当一个男人投掷铁饼时，一个人被多次显示。</v>
      </c>
    </row>
    <row r="21614">
      <c r="A21614" s="4" t="s">
        <v>27215</v>
      </c>
      <c r="B21614" s="4" t="s">
        <v>27218</v>
      </c>
      <c r="C21614" s="5" t="str">
        <f>IFERROR(__xludf.DUMMYFUNCTION("GOOGLETRANSLATE(B21614,""en"",""zh-CN"")"),"他在圆圈中旋转，然后尽可能地扔掉光盘。")</f>
        <v>他在圆圈中旋转，然后尽可能地扔掉光盘。</v>
      </c>
    </row>
    <row r="21615">
      <c r="A21615" s="4" t="s">
        <v>27219</v>
      </c>
      <c r="B21615" s="4" t="s">
        <v>27220</v>
      </c>
      <c r="C21615" s="5" t="str">
        <f>IFERROR(__xludf.DUMMYFUNCTION("GOOGLETRANSLATE(B21615,""en"",""zh-CN"")"),"体操运动员会在健身房内部的垫子上进行翻转和旋转的旋转。")</f>
        <v>体操运动员会在健身房内部的垫子上进行翻转和旋转的旋转。</v>
      </c>
    </row>
    <row r="21616">
      <c r="A21616" s="4" t="s">
        <v>27219</v>
      </c>
      <c r="B21616" s="4" t="s">
        <v>27221</v>
      </c>
      <c r="C21616" s="5" t="str">
        <f>IFERROR(__xludf.DUMMYFUNCTION("GOOGLETRANSLATE(B21616,""en"",""zh-CN"")"),"作为他翻滚常规的一部分，男人手动摇摆。")</f>
        <v>作为他翻滚常规的一部分，男人手动摇摆。</v>
      </c>
    </row>
    <row r="21617">
      <c r="A21617" s="4" t="s">
        <v>27219</v>
      </c>
      <c r="B21617" s="4" t="s">
        <v>27222</v>
      </c>
      <c r="C21617" s="5" t="str">
        <f>IFERROR(__xludf.DUMMYFUNCTION("GOOGLETRANSLATE(B21617,""en"",""zh-CN"")"),"该男子在戒指上摇摆时跌落在地面上。")</f>
        <v>该男子在戒指上摇摆时跌落在地面上。</v>
      </c>
    </row>
    <row r="21618">
      <c r="A21618" s="4" t="s">
        <v>27219</v>
      </c>
      <c r="B21618" s="4" t="s">
        <v>27223</v>
      </c>
      <c r="C21618" s="5" t="str">
        <f>IFERROR(__xludf.DUMMYFUNCTION("GOOGLETRANSLATE(B21618,""en"",""zh-CN"")"),"体操运动员在他的耳朵上有点击打，等待另一个人清理垫子。")</f>
        <v>体操运动员在他的耳朵上有点击打，等待另一个人清理垫子。</v>
      </c>
    </row>
    <row r="21619">
      <c r="A21619" s="4" t="s">
        <v>27224</v>
      </c>
      <c r="B21619" s="4" t="s">
        <v>27225</v>
      </c>
      <c r="C21619" s="5" t="str">
        <f>IFERROR(__xludf.DUMMYFUNCTION("GOOGLETRANSLATE(B21619,""en"",""zh-CN"")"),"一个小男孩在一个车库里。")</f>
        <v>一个小男孩在一个车库里。</v>
      </c>
    </row>
    <row r="21620">
      <c r="A21620" s="4" t="s">
        <v>27224</v>
      </c>
      <c r="B21620" s="4" t="s">
        <v>27226</v>
      </c>
      <c r="C21620" s="5" t="str">
        <f>IFERROR(__xludf.DUMMYFUNCTION("GOOGLETRANSLATE(B21620,""en"",""zh-CN"")"),"他戴着耳机时正在演奏大型鼓组。")</f>
        <v>他戴着耳机时正在演奏大型鼓组。</v>
      </c>
    </row>
    <row r="21621">
      <c r="A21621" s="4" t="s">
        <v>27224</v>
      </c>
      <c r="B21621" s="4" t="s">
        <v>27227</v>
      </c>
      <c r="C21621" s="5" t="str">
        <f>IFERROR(__xludf.DUMMYFUNCTION("GOOGLETRANSLATE(B21621,""en"",""zh-CN"")"),"他用棍棒用力击中了c骨和鼓。")</f>
        <v>他用棍棒用力击中了c骨和鼓。</v>
      </c>
    </row>
    <row r="21622">
      <c r="A21622" s="4" t="s">
        <v>27228</v>
      </c>
      <c r="B21622" s="4" t="s">
        <v>27229</v>
      </c>
      <c r="C21622" s="5" t="str">
        <f>IFERROR(__xludf.DUMMYFUNCTION("GOOGLETRANSLATE(B21622,""en"",""zh-CN"")"),"一个简介导致了几张滑板运动员在一个大城市的轨道上骑行的几张照片。")</f>
        <v>一个简介导致了几张滑板运动员在一个大城市的轨道上骑行的几张照片。</v>
      </c>
    </row>
    <row r="21623">
      <c r="A21623" s="4" t="s">
        <v>27228</v>
      </c>
      <c r="B21623" s="4" t="s">
        <v>27230</v>
      </c>
      <c r="C21623" s="5" t="str">
        <f>IFERROR(__xludf.DUMMYFUNCTION("GOOGLETRANSLATE(B21623,""en"",""zh-CN"")"),"当相机执行技巧上的楼梯和长凳时，相机紧随这些边界。")</f>
        <v>当相机执行技巧上的楼梯和长凳时，相机紧随这些边界。</v>
      </c>
    </row>
    <row r="21624">
      <c r="A21624" s="4" t="s">
        <v>27228</v>
      </c>
      <c r="B21624" s="6" t="s">
        <v>27231</v>
      </c>
      <c r="C21624" s="5" t="str">
        <f>IFERROR(__xludf.DUMMYFUNCTION("GOOGLETRANSLATE(B21624,""en"",""zh-CN"")"),"这些男子继续滑冰，并以一名警察妇女微笑，并给镜头竖起大拇指。")</f>
        <v>这些男子继续滑冰，并以一名警察妇女微笑，并给镜头竖起大拇指。</v>
      </c>
    </row>
    <row r="21625">
      <c r="A21625" s="4" t="s">
        <v>27232</v>
      </c>
      <c r="B21625" s="4" t="s">
        <v>27233</v>
      </c>
      <c r="C21625" s="5" t="str">
        <f>IFERROR(__xludf.DUMMYFUNCTION("GOOGLETRANSLATE(B21625,""en"",""zh-CN"")"),"显示生产图以及更多媒体的链接。")</f>
        <v>显示生产图以及更多媒体的链接。</v>
      </c>
    </row>
    <row r="21626">
      <c r="A21626" s="4" t="s">
        <v>27232</v>
      </c>
      <c r="B21626" s="4" t="s">
        <v>27234</v>
      </c>
      <c r="C21626" s="5" t="str">
        <f>IFERROR(__xludf.DUMMYFUNCTION("GOOGLETRANSLATE(B21626,""en"",""zh-CN"")"),"这逐渐淡入一个男人，开始在他的客厅里演奏萨克斯管，直到麦克风。")</f>
        <v>这逐渐淡入一个男人，开始在他的客厅里演奏萨克斯管，直到麦克风。</v>
      </c>
    </row>
    <row r="21627">
      <c r="A21627" s="4" t="s">
        <v>27232</v>
      </c>
      <c r="B21627" s="4" t="s">
        <v>27235</v>
      </c>
      <c r="C21627" s="5" t="str">
        <f>IFERROR(__xludf.DUMMYFUNCTION("GOOGLETRANSLATE(B21627,""en"",""zh-CN"")"),"这个男人现在在演奏时戴着太阳镜，沟渠上的音乐。")</f>
        <v>这个男人现在在演奏时戴着太阳镜，沟渠上的音乐。</v>
      </c>
    </row>
    <row r="21628">
      <c r="A21628" s="4" t="s">
        <v>27232</v>
      </c>
      <c r="B21628" s="4" t="s">
        <v>27236</v>
      </c>
      <c r="C21628" s="5" t="str">
        <f>IFERROR(__xludf.DUMMYFUNCTION("GOOGLETRANSLATE(B21628,""en"",""zh-CN"")"),"没有太阳镜的人被显示回来。")</f>
        <v>没有太阳镜的人被显示回来。</v>
      </c>
    </row>
    <row r="21629">
      <c r="A21629" s="4" t="s">
        <v>27232</v>
      </c>
      <c r="B21629" s="4" t="s">
        <v>27237</v>
      </c>
      <c r="C21629" s="5" t="str">
        <f>IFERROR(__xludf.DUMMYFUNCTION("GOOGLETRANSLATE(B21629,""en"",""zh-CN"")"),"显示表演者的另一个窗口显示在视频的角落。")</f>
        <v>显示表演者的另一个窗口显示在视频的角落。</v>
      </c>
    </row>
    <row r="21630">
      <c r="A21630" s="4" t="s">
        <v>27238</v>
      </c>
      <c r="B21630" s="4" t="s">
        <v>27239</v>
      </c>
      <c r="C21630" s="5" t="str">
        <f>IFERROR(__xludf.DUMMYFUNCTION("GOOGLETRANSLATE(B21630,""en"",""zh-CN"")"),"一群年轻人坐在魔方竞赛中的桌子上。")</f>
        <v>一群年轻人坐在魔方竞赛中的桌子上。</v>
      </c>
    </row>
    <row r="21631">
      <c r="A21631" s="4" t="s">
        <v>27238</v>
      </c>
      <c r="B21631" s="6" t="s">
        <v>27240</v>
      </c>
      <c r="C21631" s="5" t="str">
        <f>IFERROR(__xludf.DUMMYFUNCTION("GOOGLETRANSLATE(B21631,""en"",""zh-CN"")"),"一名官员从桌子尽头的一个年轻人前面从一个年轻人前面取下一张纸条，然后竞争对手解决了立方体，并通过将手敲打在桌子上来庆祝。")</f>
        <v>一名官员从桌子尽头的一个年轻人前面从一个年轻人前面取下一张纸条，然后竞争对手解决了立方体，并通过将手敲打在桌子上来庆祝。</v>
      </c>
    </row>
    <row r="21632">
      <c r="A21632" s="4" t="s">
        <v>27238</v>
      </c>
      <c r="B21632" s="4" t="s">
        <v>27241</v>
      </c>
      <c r="C21632" s="5" t="str">
        <f>IFERROR(__xludf.DUMMYFUNCTION("GOOGLETRANSLATE(B21632,""en"",""zh-CN"")"),"一名官员举起杯子，露出同一个人解决的魔方。")</f>
        <v>一名官员举起杯子，露出同一个人解决的魔方。</v>
      </c>
    </row>
    <row r="21633">
      <c r="A21633" s="4" t="s">
        <v>27238</v>
      </c>
      <c r="B21633" s="6" t="s">
        <v>27242</v>
      </c>
      <c r="C21633" s="5" t="str">
        <f>IFERROR(__xludf.DUMMYFUNCTION("GOOGLETRANSLATE(B21633,""en"",""zh-CN"")"),"一个穿着米色衬衫的年轻人可以解决一个立方体，然后将手压在站起来之前。")</f>
        <v>一个穿着米色衬衫的年轻人可以解决一个立方体，然后将手压在站起来之前。</v>
      </c>
    </row>
    <row r="21634">
      <c r="A21634" s="4" t="s">
        <v>27238</v>
      </c>
      <c r="B21634" s="6" t="s">
        <v>27243</v>
      </c>
      <c r="C21634" s="5" t="str">
        <f>IFERROR(__xludf.DUMMYFUNCTION("GOOGLETRANSLATE(B21634,""en"",""zh-CN"")"),"当黑色运动衫的年轻人解决另一个立方体时，一位官员从立方体上取下了一张纸。")</f>
        <v>当黑色运动衫的年轻人解决另一个立方体时，一位官员从立方体上取下了一张纸。</v>
      </c>
    </row>
    <row r="21635">
      <c r="A21635" s="4" t="s">
        <v>27238</v>
      </c>
      <c r="B21635" s="4" t="s">
        <v>27244</v>
      </c>
      <c r="C21635" s="5" t="str">
        <f>IFERROR(__xludf.DUMMYFUNCTION("GOOGLETRANSLATE(B21635,""en"",""zh-CN"")"),"这位年轻人在官员面前又解决了两个立方体，然后才搬运起来。")</f>
        <v>这位年轻人在官员面前又解决了两个立方体，然后才搬运起来。</v>
      </c>
    </row>
    <row r="21636">
      <c r="A21636" s="4" t="s">
        <v>27245</v>
      </c>
      <c r="B21636" s="4" t="s">
        <v>27246</v>
      </c>
      <c r="C21636" s="5" t="str">
        <f>IFERROR(__xludf.DUMMYFUNCTION("GOOGLETRANSLATE(B21636,""en"",""zh-CN"")"),"显示了一个大型油漆球竞技场，一群人站在侧面。")</f>
        <v>显示了一个大型油漆球竞技场，一群人站在侧面。</v>
      </c>
    </row>
    <row r="21637">
      <c r="A21637" s="4" t="s">
        <v>27245</v>
      </c>
      <c r="B21637" s="4" t="s">
        <v>27247</v>
      </c>
      <c r="C21637" s="5" t="str">
        <f>IFERROR(__xludf.DUMMYFUNCTION("GOOGLETRANSLATE(B21637,""en"",""zh-CN"")"),"然后，人们开始在课程中跑来跑去，互相射击枪支。")</f>
        <v>然后，人们开始在课程中跑来跑去，互相射击枪支。</v>
      </c>
    </row>
    <row r="21638">
      <c r="A21638" s="4" t="s">
        <v>27245</v>
      </c>
      <c r="B21638" s="4" t="s">
        <v>27248</v>
      </c>
      <c r="C21638" s="5" t="str">
        <f>IFERROR(__xludf.DUMMYFUNCTION("GOOGLETRANSLATE(B21638,""en"",""zh-CN"")"),"人们继续四处奔波，停止我互相交谈。")</f>
        <v>人们继续四处奔波，停止我互相交谈。</v>
      </c>
    </row>
    <row r="21639">
      <c r="A21639" s="4" t="s">
        <v>27249</v>
      </c>
      <c r="B21639" s="4" t="s">
        <v>27250</v>
      </c>
      <c r="C21639" s="5" t="str">
        <f>IFERROR(__xludf.DUMMYFUNCTION("GOOGLETRANSLATE(B21639,""en"",""zh-CN"")"),"一些课堂上的孩子即将开始手臂摔跤，他们的手臂开始到位。")</f>
        <v>一些课堂上的孩子即将开始手臂摔跤，他们的手臂开始到位。</v>
      </c>
    </row>
    <row r="21640">
      <c r="A21640" s="4" t="s">
        <v>27249</v>
      </c>
      <c r="B21640" s="4" t="s">
        <v>27251</v>
      </c>
      <c r="C21640" s="5" t="str">
        <f>IFERROR(__xludf.DUMMYFUNCTION("GOOGLETRANSLATE(B21640,""en"",""zh-CN"")"),"侧面的另一个孩子感觉到其中一个摔跤手的肌肉。")</f>
        <v>侧面的另一个孩子感觉到其中一个摔跤手的肌肉。</v>
      </c>
    </row>
    <row r="21641">
      <c r="A21641" s="4" t="s">
        <v>27249</v>
      </c>
      <c r="B21641" s="4" t="s">
        <v>27252</v>
      </c>
      <c r="C21641" s="5" t="str">
        <f>IFERROR(__xludf.DUMMYFUNCTION("GOOGLETRANSLATE(B21641,""en"",""zh-CN"")"),"他正在写下来保持得分，什么不得分。")</f>
        <v>他正在写下来保持得分，什么不得分。</v>
      </c>
    </row>
    <row r="21642">
      <c r="A21642" s="4" t="s">
        <v>27249</v>
      </c>
      <c r="B21642" s="4" t="s">
        <v>27253</v>
      </c>
      <c r="C21642" s="5" t="str">
        <f>IFERROR(__xludf.DUMMYFUNCTION("GOOGLETRANSLATE(B21642,""en"",""zh-CN"")"),"女手臂摔跤手赢了其他男人的手臂。")</f>
        <v>女手臂摔跤手赢了其他男人的手臂。</v>
      </c>
    </row>
    <row r="21643">
      <c r="A21643" s="4" t="s">
        <v>27254</v>
      </c>
      <c r="B21643" s="6" t="s">
        <v>27255</v>
      </c>
      <c r="C21643" s="5" t="str">
        <f>IFERROR(__xludf.DUMMYFUNCTION("GOOGLETRANSLATE(B21643,""en"",""zh-CN"")"),"一个男人在户外修剪一墙，一边穿着短裤和一对噪音取消耳机，并用树木修剪机动的工具。")</f>
        <v>一个男人在户外修剪一墙，一边穿着短裤和一对噪音取消耳机，并用树木修剪机动的工具。</v>
      </c>
    </row>
    <row r="21644">
      <c r="A21644" s="4" t="s">
        <v>27254</v>
      </c>
      <c r="B21644" s="6" t="s">
        <v>27256</v>
      </c>
      <c r="C21644" s="5" t="str">
        <f>IFERROR(__xludf.DUMMYFUNCTION("GOOGLETRANSLATE(B21644,""en"",""zh-CN"")"),"该男子休息一下，然后爬上梯子，并使用带有伸出手臂的工具从梯子的顶部修剪墙的顶部。")</f>
        <v>该男子休息一下，然后爬上梯子，并使用带有伸出手臂的工具从梯子的顶部修剪墙的顶部。</v>
      </c>
    </row>
    <row r="21645">
      <c r="A21645" s="4" t="s">
        <v>27254</v>
      </c>
      <c r="B21645" s="4" t="s">
        <v>27257</v>
      </c>
      <c r="C21645" s="5" t="str">
        <f>IFERROR(__xludf.DUMMYFUNCTION("GOOGLETRANSLATE(B21645,""en"",""zh-CN"")"),"然后，该男子将梯子向下移动，以继续修剪叶子。")</f>
        <v>然后，该男子将梯子向下移动，以继续修剪叶子。</v>
      </c>
    </row>
    <row r="21646">
      <c r="A21646" s="4" t="s">
        <v>27258</v>
      </c>
      <c r="B21646" s="6" t="s">
        <v>27259</v>
      </c>
      <c r="C21646" s="5" t="str">
        <f>IFERROR(__xludf.DUMMYFUNCTION("GOOGLETRANSLATE(B21646,""en"",""zh-CN"")"),"看到一个男人在拿着排球的相机上说话，并带着他击球的射门。")</f>
        <v>看到一个男人在拿着排球的相机上说话，并带着他击球的射门。</v>
      </c>
    </row>
    <row r="21647">
      <c r="A21647" s="4" t="s">
        <v>27258</v>
      </c>
      <c r="B21647" s="4" t="s">
        <v>27260</v>
      </c>
      <c r="C21647" s="5" t="str">
        <f>IFERROR(__xludf.DUMMYFUNCTION("GOOGLETRANSLATE(B21647,""en"",""zh-CN"")"),"他继续握住球并望向远处的相机继续对着相机说话。")</f>
        <v>他继续握住球并望向远处的相机继续对着相机说话。</v>
      </c>
    </row>
    <row r="21648">
      <c r="A21648" s="4" t="s">
        <v>27261</v>
      </c>
      <c r="B21648" s="4" t="s">
        <v>27262</v>
      </c>
      <c r="C21648" s="5" t="str">
        <f>IFERROR(__xludf.DUMMYFUNCTION("GOOGLETRANSLATE(B21648,""en"",""zh-CN"")"),"一个人在滑雪板上显示在船后面的水上，以表演各种技巧。")</f>
        <v>一个人在滑雪板上显示在船后面的水上，以表演各种技巧。</v>
      </c>
    </row>
    <row r="21649">
      <c r="A21649" s="4" t="s">
        <v>27261</v>
      </c>
      <c r="B21649" s="4" t="s">
        <v>27263</v>
      </c>
      <c r="C21649" s="5" t="str">
        <f>IFERROR(__xludf.DUMMYFUNCTION("GOOGLETRANSLATE(B21649,""en"",""zh-CN"")"),"该男子继续在滑雪板上做几种不同的技巧，船只移动得更快。")</f>
        <v>该男子继续在滑雪板上做几种不同的技巧，船只移动得更快。</v>
      </c>
    </row>
    <row r="21650">
      <c r="A21650" s="4" t="s">
        <v>27264</v>
      </c>
      <c r="B21650" s="4" t="s">
        <v>27265</v>
      </c>
      <c r="C21650" s="5" t="str">
        <f>IFERROR(__xludf.DUMMYFUNCTION("GOOGLETRANSLATE(B21650,""en"",""zh-CN"")"),"看到一个人在割草机上骑着割草机在大田里切草。")</f>
        <v>看到一个人在割草机上骑着割草机在大田里切草。</v>
      </c>
    </row>
    <row r="21651">
      <c r="A21651" s="4" t="s">
        <v>27264</v>
      </c>
      <c r="B21651" s="4" t="s">
        <v>27266</v>
      </c>
      <c r="C21651" s="5" t="str">
        <f>IFERROR(__xludf.DUMMYFUNCTION("GOOGLETRANSLATE(B21651,""en"",""zh-CN"")"),"这个小男孩在仍然开车并割草的同时，靠近相机。")</f>
        <v>这个小男孩在仍然开车并割草的同时，靠近相机。</v>
      </c>
    </row>
    <row r="21652">
      <c r="A21652" s="4" t="s">
        <v>27267</v>
      </c>
      <c r="B21652" s="4" t="s">
        <v>27268</v>
      </c>
      <c r="C21652" s="5" t="str">
        <f>IFERROR(__xludf.DUMMYFUNCTION("GOOGLETRANSLATE(B21652,""en"",""zh-CN"")"),"显示了两场舞厅舞，在大型礼堂中表演了一个例程。")</f>
        <v>显示了两场舞厅舞，在大型礼堂中表演了一个例程。</v>
      </c>
    </row>
    <row r="21653">
      <c r="A21653" s="4" t="s">
        <v>27267</v>
      </c>
      <c r="B21653" s="4" t="s">
        <v>27269</v>
      </c>
      <c r="C21653" s="5" t="str">
        <f>IFERROR(__xludf.DUMMYFUNCTION("GOOGLETRANSLATE(B21653,""en"",""zh-CN"")"),"这对夫妇多次旋转，而观众大声欢呼。")</f>
        <v>这对夫妇多次旋转，而观众大声欢呼。</v>
      </c>
    </row>
    <row r="21654">
      <c r="A21654" s="4" t="s">
        <v>27267</v>
      </c>
      <c r="B21654" s="6" t="s">
        <v>27270</v>
      </c>
      <c r="C21654" s="5" t="str">
        <f>IFERROR(__xludf.DUMMYFUNCTION("GOOGLETRANSLATE(B21654,""en"",""zh-CN"")"),"他们继续表演舞蹈常规，并使用电话和相机看几个人。")</f>
        <v>他们继续表演舞蹈常规，并使用电话和相机看几个人。</v>
      </c>
    </row>
    <row r="21655">
      <c r="A21655" s="4" t="s">
        <v>27267</v>
      </c>
      <c r="B21655" s="4" t="s">
        <v>27271</v>
      </c>
      <c r="C21655" s="5" t="str">
        <f>IFERROR(__xludf.DUMMYFUNCTION("GOOGLETRANSLATE(B21655,""en"",""zh-CN"")"),"这对夫妇最后一次旋转，最终鞠躬。")</f>
        <v>这对夫妇最后一次旋转，最终鞠躬。</v>
      </c>
    </row>
    <row r="21656">
      <c r="A21656" s="4" t="s">
        <v>27272</v>
      </c>
      <c r="B21656" s="4" t="s">
        <v>27273</v>
      </c>
      <c r="C21656" s="5" t="str">
        <f>IFERROR(__xludf.DUMMYFUNCTION("GOOGLETRANSLATE(B21656,""en"",""zh-CN"")"),"一个男人用推割割草机向草坪割草。")</f>
        <v>一个男人用推割割草机向草坪割草。</v>
      </c>
    </row>
    <row r="21657">
      <c r="A21657" s="4" t="s">
        <v>27272</v>
      </c>
      <c r="B21657" s="4" t="s">
        <v>27274</v>
      </c>
      <c r="C21657" s="5" t="str">
        <f>IFERROR(__xludf.DUMMYFUNCTION("GOOGLETRANSLATE(B21657,""en"",""zh-CN"")"),"他转过身来，来回走动，在草坪上留下了痕迹。")</f>
        <v>他转过身来，来回走动，在草坪上留下了痕迹。</v>
      </c>
    </row>
    <row r="21658">
      <c r="A21658" s="4" t="s">
        <v>27272</v>
      </c>
      <c r="B21658" s="4" t="s">
        <v>27275</v>
      </c>
      <c r="C21658" s="5" t="str">
        <f>IFERROR(__xludf.DUMMYFUNCTION("GOOGLETRANSLATE(B21658,""en"",""zh-CN"")"),"一个人在屏幕的角落谈论该过程。")</f>
        <v>一个人在屏幕的角落谈论该过程。</v>
      </c>
    </row>
    <row r="21659">
      <c r="A21659" s="4" t="s">
        <v>27276</v>
      </c>
      <c r="B21659" s="4" t="s">
        <v>27277</v>
      </c>
      <c r="C21659" s="5" t="str">
        <f>IFERROR(__xludf.DUMMYFUNCTION("GOOGLETRANSLATE(B21659,""en"",""zh-CN"")"),"在5个环上看到了奥运会徽标。")</f>
        <v>在5个环上看到了奥运会徽标。</v>
      </c>
    </row>
    <row r="21660">
      <c r="A21660" s="4" t="s">
        <v>27276</v>
      </c>
      <c r="B21660" s="4" t="s">
        <v>27278</v>
      </c>
      <c r="C21660" s="5" t="str">
        <f>IFERROR(__xludf.DUMMYFUNCTION("GOOGLETRANSLATE(B21660,""en"",""zh-CN"")"),"一个小男孩在健身房里穿着条纹衬衫，将重量棒抬高。")</f>
        <v>一个小男孩在健身房里穿着条纹衬衫，将重量棒抬高。</v>
      </c>
    </row>
    <row r="21661">
      <c r="A21661" s="4" t="s">
        <v>27276</v>
      </c>
      <c r="B21661" s="4" t="s">
        <v>27279</v>
      </c>
      <c r="C21661" s="5" t="str">
        <f>IFERROR(__xludf.DUMMYFUNCTION("GOOGLETRANSLATE(B21661,""en"",""zh-CN"")"),"一个穿着蓝色短裤的年轻人在一个拥挤的健身房里举起一个重量棒。")</f>
        <v>一个穿着蓝色短裤的年轻人在一个拥挤的健身房里举起一个重量棒。</v>
      </c>
    </row>
    <row r="21662">
      <c r="A21662" s="4" t="s">
        <v>27276</v>
      </c>
      <c r="B21662" s="4" t="s">
        <v>27280</v>
      </c>
      <c r="C21662" s="5" t="str">
        <f>IFERROR(__xludf.DUMMYFUNCTION("GOOGLETRANSLATE(B21662,""en"",""zh-CN"")"),"比赛中的职业运动员将大量加权的大型酒吧抬起头来进行判断。")</f>
        <v>比赛中的职业运动员将大量加权的大型酒吧抬起头来进行判断。</v>
      </c>
    </row>
    <row r="21663">
      <c r="A21663" s="4" t="s">
        <v>27281</v>
      </c>
      <c r="B21663" s="4" t="s">
        <v>27282</v>
      </c>
      <c r="C21663" s="5" t="str">
        <f>IFERROR(__xludf.DUMMYFUNCTION("GOOGLETRANSLATE(B21663,""en"",""zh-CN"")"),"一个男人独自站在健身房，开始与镜头交谈。")</f>
        <v>一个男人独自站在健身房，开始与镜头交谈。</v>
      </c>
    </row>
    <row r="21664">
      <c r="A21664" s="4" t="s">
        <v>27281</v>
      </c>
      <c r="B21664" s="4" t="s">
        <v>27283</v>
      </c>
      <c r="C21664" s="5" t="str">
        <f>IFERROR(__xludf.DUMMYFUNCTION("GOOGLETRANSLATE(B21664,""en"",""zh-CN"")"),"然后，他抬起拳头，开始在房间里移动时开始阴影拳击。")</f>
        <v>然后，他抬起拳头，开始在房间里移动时开始阴影拳击。</v>
      </c>
    </row>
    <row r="21665">
      <c r="A21665" s="4" t="s">
        <v>27281</v>
      </c>
      <c r="B21665" s="4" t="s">
        <v>27284</v>
      </c>
      <c r="C21665" s="5" t="str">
        <f>IFERROR(__xludf.DUMMYFUNCTION("GOOGLETRANSLATE(B21665,""en"",""zh-CN"")"),"接下来，他增加了脚，开始踢空，并扭曲，好像有人在那里击中他。")</f>
        <v>接下来，他增加了脚，开始踢空，并扭曲，好像有人在那里击中他。</v>
      </c>
    </row>
    <row r="21666">
      <c r="A21666" s="4" t="s">
        <v>27281</v>
      </c>
      <c r="B21666" s="4" t="s">
        <v>27285</v>
      </c>
      <c r="C21666" s="5" t="str">
        <f>IFERROR(__xludf.DUMMYFUNCTION("GOOGLETRANSLATE(B21666,""en"",""zh-CN"")"),"最后，他稍微喘不过气来屏幕以结束视频。")</f>
        <v>最后，他稍微喘不过气来屏幕以结束视频。</v>
      </c>
    </row>
    <row r="21667">
      <c r="A21667" s="4" t="s">
        <v>27286</v>
      </c>
      <c r="B21667" s="6" t="s">
        <v>27287</v>
      </c>
      <c r="C21667" s="5" t="str">
        <f>IFERROR(__xludf.DUMMYFUNCTION("GOOGLETRANSLATE(B21667,""en"",""zh-CN"")"),"看到一小群人坐在保险杠上，开始互相撞车。")</f>
        <v>看到一小群人坐在保险杠上，开始互相撞车。</v>
      </c>
    </row>
    <row r="21668">
      <c r="A21668" s="4" t="s">
        <v>27286</v>
      </c>
      <c r="B21668" s="6" t="s">
        <v>27288</v>
      </c>
      <c r="C21668" s="5" t="str">
        <f>IFERROR(__xludf.DUMMYFUNCTION("GOOGLETRANSLATE(B21668,""en"",""zh-CN"")"),"摄像机跟随一个女人，他似乎无法移动汽车，而其他人则指示她在其他人撞上她时如何开车。")</f>
        <v>摄像机跟随一个女人，他似乎无法移动汽车，而其他人则指示她在其他人撞上她时如何开车。</v>
      </c>
    </row>
    <row r="21669">
      <c r="A21669" s="4" t="s">
        <v>27289</v>
      </c>
      <c r="B21669" s="6" t="s">
        <v>27290</v>
      </c>
      <c r="C21669" s="5" t="str">
        <f>IFERROR(__xludf.DUMMYFUNCTION("GOOGLETRANSLATE(B21669,""en"",""zh-CN"")"),"看到一个男人在大游泳池前用手热情地在大游泳池前面说话。")</f>
        <v>看到一个男人在大游泳池前用手热情地在大游泳池前面说话。</v>
      </c>
    </row>
    <row r="21670">
      <c r="A21670" s="4" t="s">
        <v>27289</v>
      </c>
      <c r="B21670" s="6" t="s">
        <v>27291</v>
      </c>
      <c r="C21670" s="5" t="str">
        <f>IFERROR(__xludf.DUMMYFUNCTION("GOOGLETRANSLATE(B21670,""en"",""zh-CN"")"),"该男子继续说话，一边用双手和平底锅和那个在游泳池里游泳并回到说话的男人。")</f>
        <v>该男子继续说话，一边用双手和平底锅和那个在游泳池里游泳并回到说话的男人。</v>
      </c>
    </row>
    <row r="21671">
      <c r="A21671" s="4" t="s">
        <v>27292</v>
      </c>
      <c r="B21671" s="4" t="s">
        <v>27293</v>
      </c>
      <c r="C21671" s="5" t="str">
        <f>IFERROR(__xludf.DUMMYFUNCTION("GOOGLETRANSLATE(B21671,""en"",""zh-CN"")"),"我们从外面看到一个舞台。")</f>
        <v>我们从外面看到一个舞台。</v>
      </c>
    </row>
    <row r="21672">
      <c r="A21672" s="4" t="s">
        <v>27292</v>
      </c>
      <c r="B21672" s="4" t="s">
        <v>27294</v>
      </c>
      <c r="C21672" s="5" t="str">
        <f>IFERROR(__xludf.DUMMYFUNCTION("GOOGLETRANSLATE(B21672,""en"",""zh-CN"")"),"我们看到蹦床上的人在竞技场上表演翻转。")</f>
        <v>我们看到蹦床上的人在竞技场上表演翻转。</v>
      </c>
    </row>
    <row r="21673">
      <c r="A21673" s="4" t="s">
        <v>27292</v>
      </c>
      <c r="B21673" s="4" t="s">
        <v>27295</v>
      </c>
      <c r="C21673" s="5" t="str">
        <f>IFERROR(__xludf.DUMMYFUNCTION("GOOGLETRANSLATE(B21673,""en"",""zh-CN"")"),"我们看到一个人在翻转后几乎跌倒。")</f>
        <v>我们看到一个人在翻转后几乎跌倒。</v>
      </c>
    </row>
    <row r="21674">
      <c r="A21674" s="4" t="s">
        <v>27292</v>
      </c>
      <c r="B21674" s="4" t="s">
        <v>27296</v>
      </c>
      <c r="C21674" s="5" t="str">
        <f>IFERROR(__xludf.DUMMYFUNCTION("GOOGLETRANSLATE(B21674,""en"",""zh-CN"")"),"这个人降落，几乎跌倒了。")</f>
        <v>这个人降落，几乎跌倒了。</v>
      </c>
    </row>
    <row r="21675">
      <c r="A21675" s="4" t="s">
        <v>27292</v>
      </c>
      <c r="B21675" s="4" t="s">
        <v>27297</v>
      </c>
      <c r="C21675" s="5" t="str">
        <f>IFERROR(__xludf.DUMMYFUNCTION("GOOGLETRANSLATE(B21675,""en"",""zh-CN"")"),"一个人多次将地面上的一条条子翻转。")</f>
        <v>一个人多次将地面上的一条条子翻转。</v>
      </c>
    </row>
    <row r="21676">
      <c r="A21676" s="4" t="s">
        <v>27292</v>
      </c>
      <c r="B21676" s="4" t="s">
        <v>27298</v>
      </c>
      <c r="C21676" s="5" t="str">
        <f>IFERROR(__xludf.DUMMYFUNCTION("GOOGLETRANSLATE(B21676,""en"",""zh-CN"")"),"我们看到一个男人以慢动作跳跃并降落在蹦床上。")</f>
        <v>我们看到一个男人以慢动作跳跃并降落在蹦床上。</v>
      </c>
    </row>
    <row r="21677">
      <c r="A21677" s="4" t="s">
        <v>27292</v>
      </c>
      <c r="B21677" s="4" t="s">
        <v>11124</v>
      </c>
      <c r="C21677" s="5" t="str">
        <f>IFERROR(__xludf.DUMMYFUNCTION("GOOGLETRANSLATE(B21677,""en"",""zh-CN"")"),"我们看到结尾标题屏幕。")</f>
        <v>我们看到结尾标题屏幕。</v>
      </c>
    </row>
    <row r="21678">
      <c r="A21678" s="4" t="s">
        <v>27299</v>
      </c>
      <c r="B21678" s="4" t="s">
        <v>27300</v>
      </c>
      <c r="C21678" s="5" t="str">
        <f>IFERROR(__xludf.DUMMYFUNCTION("GOOGLETRANSLATE(B21678,""en"",""zh-CN"")"),"我们看到一个动画的打开屏幕。")</f>
        <v>我们看到一个动画的打开屏幕。</v>
      </c>
    </row>
    <row r="21679">
      <c r="A21679" s="4" t="s">
        <v>27299</v>
      </c>
      <c r="B21679" s="4" t="s">
        <v>27301</v>
      </c>
      <c r="C21679" s="5" t="str">
        <f>IFERROR(__xludf.DUMMYFUNCTION("GOOGLETRANSLATE(B21679,""en"",""zh-CN"")"),"一个男人在开车，然后离开他的车。")</f>
        <v>一个男人在开车，然后离开他的车。</v>
      </c>
    </row>
    <row r="21680">
      <c r="A21680" s="4" t="s">
        <v>27299</v>
      </c>
      <c r="B21680" s="4" t="s">
        <v>27302</v>
      </c>
      <c r="C21680" s="5" t="str">
        <f>IFERROR(__xludf.DUMMYFUNCTION("GOOGLETRANSLATE(B21680,""en"",""zh-CN"")"),"我们看到一个人在广场和滑板公园里铺路。")</f>
        <v>我们看到一个人在广场和滑板公园里铺路。</v>
      </c>
    </row>
    <row r="21681">
      <c r="A21681" s="4" t="s">
        <v>27299</v>
      </c>
      <c r="B21681" s="4" t="s">
        <v>27303</v>
      </c>
      <c r="C21681" s="5" t="str">
        <f>IFERROR(__xludf.DUMMYFUNCTION("GOOGLETRANSLATE(B21681,""en"",""zh-CN"")"),"我们看到男人的脚在刀片上，然后看到一个男人的脸。")</f>
        <v>我们看到男人的脚在刀片上，然后看到一个男人的脸。</v>
      </c>
    </row>
    <row r="21682">
      <c r="A21682" s="4" t="s">
        <v>27299</v>
      </c>
      <c r="B21682" s="4" t="s">
        <v>27304</v>
      </c>
      <c r="C21682" s="5" t="str">
        <f>IFERROR(__xludf.DUMMYFUNCTION("GOOGLETRANSLATE(B21682,""en"",""zh-CN"")"),"我们看到那个人站在高架人行道上，然后在栏杆上滑冰。")</f>
        <v>我们看到那个人站在高架人行道上，然后在栏杆上滑冰。</v>
      </c>
    </row>
    <row r="21683">
      <c r="A21683" s="4" t="s">
        <v>27299</v>
      </c>
      <c r="B21683" s="4" t="s">
        <v>27305</v>
      </c>
      <c r="C21683" s="5" t="str">
        <f>IFERROR(__xludf.DUMMYFUNCTION("GOOGLETRANSLATE(B21683,""en"",""zh-CN"")"),"我们看到那个人滑过长凳，然后戴上太阳镜。")</f>
        <v>我们看到那个人滑过长凳，然后戴上太阳镜。</v>
      </c>
    </row>
    <row r="21684">
      <c r="A21684" s="4" t="s">
        <v>27299</v>
      </c>
      <c r="B21684" s="4" t="s">
        <v>27306</v>
      </c>
      <c r="C21684" s="5" t="str">
        <f>IFERROR(__xludf.DUMMYFUNCTION("GOOGLETRANSLATE(B21684,""en"",""zh-CN"")"),"我们看到男人转身，然后单击一个按钮，一辆汽车炸毁。")</f>
        <v>我们看到男人转身，然后单击一个按钮，一辆汽车炸毁。</v>
      </c>
    </row>
    <row r="21685">
      <c r="A21685" s="4" t="s">
        <v>27299</v>
      </c>
      <c r="B21685" s="4" t="s">
        <v>5107</v>
      </c>
      <c r="C21685" s="5" t="str">
        <f>IFERROR(__xludf.DUMMYFUNCTION("GOOGLETRANSLATE(B21685,""en"",""zh-CN"")"),"然后，我们看到结尾标题屏幕。")</f>
        <v>然后，我们看到结尾标题屏幕。</v>
      </c>
    </row>
    <row r="21686">
      <c r="A21686" s="4" t="s">
        <v>27307</v>
      </c>
      <c r="B21686" s="4" t="s">
        <v>27308</v>
      </c>
      <c r="C21686" s="5" t="str">
        <f>IFERROR(__xludf.DUMMYFUNCTION("GOOGLETRANSLATE(B21686,""en"",""zh-CN"")"),"一个人在球场上为网球提供服务。")</f>
        <v>一个人在球场上为网球提供服务。</v>
      </c>
    </row>
    <row r="21687">
      <c r="A21687" s="4" t="s">
        <v>27307</v>
      </c>
      <c r="B21687" s="4" t="s">
        <v>27309</v>
      </c>
      <c r="C21687" s="5" t="str">
        <f>IFERROR(__xludf.DUMMYFUNCTION("GOOGLETRANSLATE(B21687,""en"",""zh-CN"")"),"该男子转身与镜头交谈。")</f>
        <v>该男子转身与镜头交谈。</v>
      </c>
    </row>
    <row r="21688">
      <c r="A21688" s="4" t="s">
        <v>27310</v>
      </c>
      <c r="B21688" s="6" t="s">
        <v>27311</v>
      </c>
      <c r="C21688" s="5" t="str">
        <f>IFERROR(__xludf.DUMMYFUNCTION("GOOGLETRANSLATE(B21688,""en"",""zh-CN"")"),"一名摔跤手站在梯子的顶部，另一个男人和他一起在梯子上，但在他面前，从顶部跳下梯子，将另一个人带到他身边。")</f>
        <v>一名摔跤手站在梯子的顶部，另一个男人和他一起在梯子上，但在他面前，从顶部跳下梯子，将另一个人带到他身边。</v>
      </c>
    </row>
    <row r="21689">
      <c r="A21689" s="4" t="s">
        <v>27310</v>
      </c>
      <c r="B21689" s="6" t="s">
        <v>27312</v>
      </c>
      <c r="C21689" s="5" t="str">
        <f>IFERROR(__xludf.DUMMYFUNCTION("GOOGLETRANSLATE(B21689,""en"",""zh-CN"")"),"一个穿着摔跤服装的男人站在戒指中间的梯子的顶部，裁判和观众中的人。")</f>
        <v>一个穿着摔跤服装的男人站在戒指中间的梯子的顶部，裁判和观众中的人。</v>
      </c>
    </row>
    <row r="21690">
      <c r="A21690" s="4" t="s">
        <v>27310</v>
      </c>
      <c r="B21690" s="6" t="s">
        <v>27313</v>
      </c>
      <c r="C21690" s="5" t="str">
        <f>IFERROR(__xludf.DUMMYFUNCTION("GOOGLETRANSLATE(B21690,""en"",""zh-CN"")"),"当观众在观众中为他鼓掌而另一个男人也掉下来时，该男子跳下梯子。")</f>
        <v>当观众在观众中为他鼓掌而另一个男人也掉下来时，该男子跳下梯子。</v>
      </c>
    </row>
    <row r="21691">
      <c r="A21691" s="4" t="s">
        <v>27314</v>
      </c>
      <c r="B21691" s="4" t="s">
        <v>27315</v>
      </c>
      <c r="C21691" s="5" t="str">
        <f>IFERROR(__xludf.DUMMYFUNCTION("GOOGLETRANSLATE(B21691,""en"",""zh-CN"")"),"人们乘坐可充气的单个船在岩石河中航行。")</f>
        <v>人们乘坐可充气的单个船在岩石河中航行。</v>
      </c>
    </row>
    <row r="21692">
      <c r="A21692" s="4" t="s">
        <v>27314</v>
      </c>
      <c r="B21692" s="4" t="s">
        <v>27316</v>
      </c>
      <c r="C21692" s="5" t="str">
        <f>IFERROR(__xludf.DUMMYFUNCTION("GOOGLETRANSLATE(B21692,""en"",""zh-CN"")"),"船在岩石之间难以通过。")</f>
        <v>船在岩石之间难以通过。</v>
      </c>
    </row>
    <row r="21693">
      <c r="A21693" s="4" t="s">
        <v>27314</v>
      </c>
      <c r="B21693" s="4" t="s">
        <v>27317</v>
      </c>
      <c r="C21693" s="5" t="str">
        <f>IFERROR(__xludf.DUMMYFUNCTION("GOOGLETRANSLATE(B21693,""en"",""zh-CN"")"),"然后，人们进入了更困难的水域。")</f>
        <v>然后，人们进入了更困难的水域。</v>
      </c>
    </row>
    <row r="21694">
      <c r="A21694" s="4" t="s">
        <v>27318</v>
      </c>
      <c r="B21694" s="4" t="s">
        <v>27319</v>
      </c>
      <c r="C21694" s="5" t="str">
        <f>IFERROR(__xludf.DUMMYFUNCTION("GOOGLETRANSLATE(B21694,""en"",""zh-CN"")"),"孩子们站在卡通开场白中。")</f>
        <v>孩子们站在卡通开场白中。</v>
      </c>
    </row>
    <row r="21695">
      <c r="A21695" s="4" t="s">
        <v>27318</v>
      </c>
      <c r="B21695" s="4" t="s">
        <v>27320</v>
      </c>
      <c r="C21695" s="5" t="str">
        <f>IFERROR(__xludf.DUMMYFUNCTION("GOOGLETRANSLATE(B21695,""en"",""zh-CN"")"),"女人在大观众面前在微管前聊天。")</f>
        <v>女人在大观众面前在微管前聊天。</v>
      </c>
    </row>
    <row r="21696">
      <c r="A21696" s="4" t="s">
        <v>27318</v>
      </c>
      <c r="B21696" s="4" t="s">
        <v>27321</v>
      </c>
      <c r="C21696" s="5" t="str">
        <f>IFERROR(__xludf.DUMMYFUNCTION("GOOGLETRANSLATE(B21696,""en"",""zh-CN"")"),"在他们之间的大型体育场战斗中，MMEN正处于竞技场的中间。")</f>
        <v>在他们之间的大型体育场战斗中，MMEN正处于竞技场的中间。</v>
      </c>
    </row>
    <row r="21697">
      <c r="A21697" s="4" t="s">
        <v>27322</v>
      </c>
      <c r="B21697" s="4" t="s">
        <v>27323</v>
      </c>
      <c r="C21697" s="5" t="str">
        <f>IFERROR(__xludf.DUMMYFUNCTION("GOOGLETRANSLATE(B21697,""en"",""zh-CN"")"),"一个男人走到舞台上加入乐队。")</f>
        <v>一个男人走到舞台上加入乐队。</v>
      </c>
    </row>
    <row r="21698">
      <c r="A21698" s="4" t="s">
        <v>27322</v>
      </c>
      <c r="B21698" s="4" t="s">
        <v>27324</v>
      </c>
      <c r="C21698" s="5" t="str">
        <f>IFERROR(__xludf.DUMMYFUNCTION("GOOGLETRANSLATE(B21698,""en"",""zh-CN"")"),"一个男人在乐队的前面演奏口琴。")</f>
        <v>一个男人在乐队的前面演奏口琴。</v>
      </c>
    </row>
    <row r="21699">
      <c r="A21699" s="4" t="s">
        <v>27322</v>
      </c>
      <c r="B21699" s="4" t="s">
        <v>27325</v>
      </c>
      <c r="C21699" s="5" t="str">
        <f>IFERROR(__xludf.DUMMYFUNCTION("GOOGLETRANSLATE(B21699,""en"",""zh-CN"")"),"键盘手在歌曲中扮演一个充满活力的独奏。")</f>
        <v>键盘手在歌曲中扮演一个充满活力的独奏。</v>
      </c>
    </row>
    <row r="21700">
      <c r="A21700" s="4" t="s">
        <v>27322</v>
      </c>
      <c r="B21700" s="4" t="s">
        <v>27326</v>
      </c>
      <c r="C21700" s="5" t="str">
        <f>IFERROR(__xludf.DUMMYFUNCTION("GOOGLETRANSLATE(B21700,""en"",""zh-CN"")"),"该男子在歌曲的结尾向键盘手表示祝贺，并为键盘手提供了高五。")</f>
        <v>该男子在歌曲的结尾向键盘手表示祝贺，并为键盘手提供了高五。</v>
      </c>
    </row>
    <row r="21701">
      <c r="A21701" s="4" t="s">
        <v>27327</v>
      </c>
      <c r="B21701" s="4" t="s">
        <v>27328</v>
      </c>
      <c r="C21701" s="5" t="str">
        <f>IFERROR(__xludf.DUMMYFUNCTION("GOOGLETRANSLATE(B21701,""en"",""zh-CN"")"),"一个穿着棕褐色的男人和一件纽扣衬衫用宽阔的扫帚扫了一块地板。")</f>
        <v>一个穿着棕褐色的男人和一件纽扣衬衫用宽阔的扫帚扫了一块地板。</v>
      </c>
    </row>
    <row r="21702">
      <c r="A21702" s="4" t="s">
        <v>27327</v>
      </c>
      <c r="B21702" s="6" t="s">
        <v>27329</v>
      </c>
      <c r="C21702" s="5" t="str">
        <f>IFERROR(__xludf.DUMMYFUNCTION("GOOGLETRANSLATE(B21702,""en"",""zh-CN"")"),"一个男人走路，扫一间地板在房间的左侧步行，将宽阔的扫帚推在他面前。")</f>
        <v>一个男人走路，扫一间地板在房间的左侧步行，将宽阔的扫帚推在他面前。</v>
      </c>
    </row>
    <row r="21703">
      <c r="A21703" s="4" t="s">
        <v>27327</v>
      </c>
      <c r="B21703" s="4" t="s">
        <v>27330</v>
      </c>
      <c r="C21703" s="5" t="str">
        <f>IFERROR(__xludf.DUMMYFUNCTION("GOOGLETRANSLATE(B21703,""en"",""zh-CN"")"),"然后，该男子带着相同的扫帚走到房间的右侧。")</f>
        <v>然后，该男子带着相同的扫帚走到房间的右侧。</v>
      </c>
    </row>
    <row r="21704">
      <c r="A21704" s="4" t="s">
        <v>27327</v>
      </c>
      <c r="B21704" s="6" t="s">
        <v>27331</v>
      </c>
      <c r="C21704" s="5" t="str">
        <f>IFERROR(__xludf.DUMMYFUNCTION("GOOGLETRANSLATE(B21704,""en"",""zh-CN"")"),"然后，该男子完成了扫荡，兰特在房间的角落扫帚，站在窗户前的墙上。")</f>
        <v>然后，该男子完成了扫荡，兰特在房间的角落扫帚，站在窗户前的墙上。</v>
      </c>
    </row>
    <row r="21705">
      <c r="A21705" s="4" t="s">
        <v>27332</v>
      </c>
      <c r="B21705" s="6" t="s">
        <v>27333</v>
      </c>
      <c r="C21705" s="5" t="str">
        <f>IFERROR(__xludf.DUMMYFUNCTION("GOOGLETRANSLATE(B21705,""en"",""zh-CN"")"),"看到一个小孩站着准备拿着杆子，然后沿着一条长轨道奔跑并扔了杆子。")</f>
        <v>看到一个小孩站着准备拿着杆子，然后沿着一条长轨道奔跑并扔了杆子。</v>
      </c>
    </row>
    <row r="21706">
      <c r="A21706" s="4" t="s">
        <v>27332</v>
      </c>
      <c r="B21706" s="6" t="s">
        <v>27334</v>
      </c>
      <c r="C21706" s="5" t="str">
        <f>IFERROR(__xludf.DUMMYFUNCTION("GOOGLETRANSLATE(B21706,""en"",""zh-CN"")"),"当看到另一个人奔跑并扔掉棍子时，他在赛道上走来走去。")</f>
        <v>当看到另一个人奔跑并扔掉棍子时，他在赛道上走来走去。</v>
      </c>
    </row>
    <row r="21707">
      <c r="A21707" s="4" t="s">
        <v>27332</v>
      </c>
      <c r="B21707" s="4" t="s">
        <v>27335</v>
      </c>
      <c r="C21707" s="5" t="str">
        <f>IFERROR(__xludf.DUMMYFUNCTION("GOOGLETRANSLATE(B21707,""en"",""zh-CN"")"),"最后，最后一个男孩走到赛道上，扔标枪，然后回到其他人身边。")</f>
        <v>最后，最后一个男孩走到赛道上，扔标枪，然后回到其他人身边。</v>
      </c>
    </row>
    <row r="21708">
      <c r="A21708" s="4" t="s">
        <v>27336</v>
      </c>
      <c r="B21708" s="4" t="s">
        <v>27337</v>
      </c>
      <c r="C21708" s="5" t="str">
        <f>IFERROR(__xludf.DUMMYFUNCTION("GOOGLETRANSLATE(B21708,""en"",""zh-CN"")"),"屏幕上显示了带有文本的介绍，然后是两个卡通字符。")</f>
        <v>屏幕上显示了带有文本的介绍，然后是两个卡通字符。</v>
      </c>
    </row>
    <row r="21709">
      <c r="A21709" s="4" t="s">
        <v>27336</v>
      </c>
      <c r="B21709" s="4" t="s">
        <v>27338</v>
      </c>
      <c r="C21709" s="5" t="str">
        <f>IFERROR(__xludf.DUMMYFUNCTION("GOOGLETRANSLATE(B21709,""en"",""zh-CN"")"),"角色互相交谈，并导致他们玩游戏。")</f>
        <v>角色互相交谈，并导致他们玩游戏。</v>
      </c>
    </row>
    <row r="21710">
      <c r="A21710" s="4" t="s">
        <v>27336</v>
      </c>
      <c r="B21710" s="4" t="s">
        <v>27339</v>
      </c>
      <c r="C21710" s="5" t="str">
        <f>IFERROR(__xludf.DUMMYFUNCTION("GOOGLETRANSLATE(B21710,""en"",""zh-CN"")"),"一个角色失去了游戏，然后消失了。")</f>
        <v>一个角色失去了游戏，然后消失了。</v>
      </c>
    </row>
    <row r="21711">
      <c r="A21711" s="4" t="s">
        <v>27340</v>
      </c>
      <c r="B21711" s="4" t="s">
        <v>27341</v>
      </c>
      <c r="C21711" s="5" t="str">
        <f>IFERROR(__xludf.DUMMYFUNCTION("GOOGLETRANSLATE(B21711,""en"",""zh-CN"")"),"我们看到一个年轻人在新闻工作室讲话。")</f>
        <v>我们看到一个年轻人在新闻工作室讲话。</v>
      </c>
    </row>
    <row r="21712">
      <c r="A21712" s="4" t="s">
        <v>27340</v>
      </c>
      <c r="B21712" s="4" t="s">
        <v>27342</v>
      </c>
      <c r="C21712" s="5" t="str">
        <f>IFERROR(__xludf.DUMMYFUNCTION("GOOGLETRANSLATE(B21712,""en"",""zh-CN"")"),"我们看到一个男人骑着固定的自行车，看到一张男人拿着蛋糕的照片。")</f>
        <v>我们看到一个男人骑着固定的自行车，看到一张男人拿着蛋糕的照片。</v>
      </c>
    </row>
    <row r="21713">
      <c r="A21713" s="4" t="s">
        <v>27340</v>
      </c>
      <c r="B21713" s="4" t="s">
        <v>27343</v>
      </c>
      <c r="C21713" s="5" t="str">
        <f>IFERROR(__xludf.DUMMYFUNCTION("GOOGLETRANSLATE(B21713,""en"",""zh-CN"")"),"我们看到那个正在接受采访的男人与该男子锻炼的场景进行了削减。")</f>
        <v>我们看到那个正在接受采访的男人与该男子锻炼的场景进行了削减。</v>
      </c>
    </row>
    <row r="21714">
      <c r="A21714" s="4" t="s">
        <v>27340</v>
      </c>
      <c r="B21714" s="6" t="s">
        <v>27344</v>
      </c>
      <c r="C21714" s="5" t="str">
        <f>IFERROR(__xludf.DUMMYFUNCTION("GOOGLETRANSLATE(B21714,""en"",""zh-CN"")"),"我们看到图像中的那个人再次举着蛋糕，看到衬衫穿着不再适合且太大的男人。")</f>
        <v>我们看到图像中的那个人再次举着蛋糕，看到衬衫穿着不再适合且太大的男人。</v>
      </c>
    </row>
    <row r="21715">
      <c r="A21715" s="4" t="s">
        <v>27340</v>
      </c>
      <c r="B21715" s="4" t="s">
        <v>27345</v>
      </c>
      <c r="C21715" s="5" t="str">
        <f>IFERROR(__xludf.DUMMYFUNCTION("GOOGLETRANSLATE(B21715,""en"",""zh-CN"")"),"我们看到该男子再次锻炼。")</f>
        <v>我们看到该男子再次锻炼。</v>
      </c>
    </row>
    <row r="21716">
      <c r="A21716" s="4" t="s">
        <v>27340</v>
      </c>
      <c r="B21716" s="4" t="s">
        <v>27346</v>
      </c>
      <c r="C21716" s="5" t="str">
        <f>IFERROR(__xludf.DUMMYFUNCTION("GOOGLETRANSLATE(B21716,""en"",""zh-CN"")"),"我们在录音室里看到了三个新闻媒体。")</f>
        <v>我们在录音室里看到了三个新闻媒体。</v>
      </c>
    </row>
    <row r="21717">
      <c r="A21717" s="4" t="s">
        <v>27347</v>
      </c>
      <c r="B21717" s="6" t="s">
        <v>27348</v>
      </c>
      <c r="C21717" s="5" t="str">
        <f>IFERROR(__xludf.DUMMYFUNCTION("GOOGLETRANSLATE(B21717,""en"",""zh-CN"")"),"溜冰者的一名溜冰者解释了如何将风险保护膜绑紧，并表明您需要膝盖垫来保护膝盖。")</f>
        <v>溜冰者的一名溜冰者解释了如何将风险保护膜绑紧，并表明您需要膝盖垫来保护膝盖。</v>
      </c>
    </row>
    <row r="21718">
      <c r="A21718" s="4" t="s">
        <v>27347</v>
      </c>
      <c r="B21718" s="6" t="s">
        <v>27349</v>
      </c>
      <c r="C21718" s="5" t="str">
        <f>IFERROR(__xludf.DUMMYFUNCTION("GOOGLETRANSLATE(B21718,""en"",""zh-CN"")"),"然后，这位女士解释了溜冰鞋的运动，以及如何使用溜冰鞋后面的休息时间。")</f>
        <v>然后，这位女士解释了溜冰鞋的运动，以及如何使用溜冰鞋后面的休息时间。</v>
      </c>
    </row>
    <row r="21719">
      <c r="A21719" s="4" t="s">
        <v>27347</v>
      </c>
      <c r="B21719" s="4" t="s">
        <v>27350</v>
      </c>
      <c r="C21719" s="5" t="str">
        <f>IFERROR(__xludf.DUMMYFUNCTION("GOOGLETRANSLATE(B21719,""en"",""zh-CN"")"),"最终，女士向您展示了溜冰的正确方法。")</f>
        <v>最终，女士向您展示了溜冰的正确方法。</v>
      </c>
    </row>
    <row r="21720">
      <c r="A21720" s="4" t="s">
        <v>27351</v>
      </c>
      <c r="B21720" s="4" t="s">
        <v>27352</v>
      </c>
      <c r="C21720" s="5" t="str">
        <f>IFERROR(__xludf.DUMMYFUNCTION("GOOGLETRANSLATE(B21720,""en"",""zh-CN"")"),"孩子们坐在保险杠上。")</f>
        <v>孩子们坐在保险杠上。</v>
      </c>
    </row>
    <row r="21721">
      <c r="A21721" s="4" t="s">
        <v>27351</v>
      </c>
      <c r="B21721" s="4" t="s">
        <v>27353</v>
      </c>
      <c r="C21721" s="5" t="str">
        <f>IFERROR(__xludf.DUMMYFUNCTION("GOOGLETRANSLATE(B21721,""en"",""zh-CN"")"),"他们开始互相崩溃。")</f>
        <v>他们开始互相崩溃。</v>
      </c>
    </row>
    <row r="21722">
      <c r="A21722" s="4" t="s">
        <v>27351</v>
      </c>
      <c r="B21722" s="4" t="s">
        <v>27354</v>
      </c>
      <c r="C21722" s="5" t="str">
        <f>IFERROR(__xludf.DUMMYFUNCTION("GOOGLETRANSLATE(B21722,""en"",""zh-CN"")"),"他们停下来，开始下车。")</f>
        <v>他们停下来，开始下车。</v>
      </c>
    </row>
    <row r="21723">
      <c r="A21723" s="4" t="s">
        <v>27355</v>
      </c>
      <c r="B21723" s="4" t="s">
        <v>27356</v>
      </c>
      <c r="C21723" s="5" t="str">
        <f>IFERROR(__xludf.DUMMYFUNCTION("GOOGLETRANSLATE(B21723,""en"",""zh-CN"")"),"一个坚强的年轻人站在一个大型开放的绿地中，准备投掷铅球。")</f>
        <v>一个坚强的年轻人站在一个大型开放的绿地中，准备投掷铅球。</v>
      </c>
    </row>
    <row r="21724">
      <c r="A21724" s="4" t="s">
        <v>27355</v>
      </c>
      <c r="B21724" s="6" t="s">
        <v>27357</v>
      </c>
      <c r="C21724" s="5" t="str">
        <f>IFERROR(__xludf.DUMMYFUNCTION("GOOGLETRANSLATE(B21724,""en"",""zh-CN"")"),"一旦他扔球，一个男人就跑出来标记距离，他走到帐篷上，将胶带脱下手腕。")</f>
        <v>一旦他扔球，一个男人就跑出来标记距离，他走到帐篷上，将胶带脱下手腕。</v>
      </c>
    </row>
    <row r="21725">
      <c r="A21725" s="4" t="s">
        <v>27355</v>
      </c>
      <c r="B21725" s="6" t="s">
        <v>27358</v>
      </c>
      <c r="C21725" s="5" t="str">
        <f>IFERROR(__xludf.DUMMYFUNCTION("GOOGLETRANSLATE(B21725,""en"",""zh-CN"")"),"另一个稍短的人，更大的人接近圆圈，并做同样的事情，然后是另一个人。")</f>
        <v>另一个稍短的人，更大的人接近圆圈，并做同样的事情，然后是另一个人。</v>
      </c>
    </row>
    <row r="21726">
      <c r="A21726" s="4" t="s">
        <v>27355</v>
      </c>
      <c r="B21726" s="4" t="s">
        <v>27359</v>
      </c>
      <c r="C21726" s="5" t="str">
        <f>IFERROR(__xludf.DUMMYFUNCTION("GOOGLETRANSLATE(B21726,""en"",""zh-CN"")"),"这三个人都完成了，并显示了分数。")</f>
        <v>这三个人都完成了，并显示了分数。</v>
      </c>
    </row>
    <row r="21727">
      <c r="A21727" s="4" t="s">
        <v>27360</v>
      </c>
      <c r="B21727" s="4" t="s">
        <v>27361</v>
      </c>
      <c r="C21727" s="5" t="str">
        <f>IFERROR(__xludf.DUMMYFUNCTION("GOOGLETRANSLATE(B21727,""en"",""zh-CN"")"),"三个人讨论了与皮划艇一起玩水马球的话题。")</f>
        <v>三个人讨论了与皮划艇一起玩水马球的话题。</v>
      </c>
    </row>
    <row r="21728">
      <c r="A21728" s="4" t="s">
        <v>27360</v>
      </c>
      <c r="B21728" s="4" t="s">
        <v>27362</v>
      </c>
      <c r="C21728" s="5" t="str">
        <f>IFERROR(__xludf.DUMMYFUNCTION("GOOGLETRANSLATE(B21728,""en"",""zh-CN"")"),"场景变化以显示与皮划艇的水球展示。")</f>
        <v>场景变化以显示与皮划艇的水球展示。</v>
      </c>
    </row>
    <row r="21729">
      <c r="A21729" s="4" t="s">
        <v>27360</v>
      </c>
      <c r="B21729" s="6" t="s">
        <v>27363</v>
      </c>
      <c r="C21729" s="5" t="str">
        <f>IFERROR(__xludf.DUMMYFUNCTION("GOOGLETRANSLATE(B21729,""en"",""zh-CN"")"),"当两名男子试图将他们的路划在球上时，两艘船坠毁，这些人在现场评论，他们看上去很受伤。")</f>
        <v>当两名男子试图将他们的路划在球上时，两艘船坠毁，这些人在现场评论，他们看上去很受伤。</v>
      </c>
    </row>
    <row r="21730">
      <c r="A21730" s="4" t="s">
        <v>27360</v>
      </c>
      <c r="B21730" s="6" t="s">
        <v>27364</v>
      </c>
      <c r="C21730" s="5" t="str">
        <f>IFERROR(__xludf.DUMMYFUNCTION("GOOGLETRANSLATE(B21730,""en"",""zh-CN"")"),"展示变成了谈论水球的人，他们非常感兴趣和震惊。")</f>
        <v>展示变成了谈论水球的人，他们非常感兴趣和震惊。</v>
      </c>
    </row>
    <row r="21731">
      <c r="A21731" s="4" t="s">
        <v>27360</v>
      </c>
      <c r="B21731" s="4" t="s">
        <v>27365</v>
      </c>
      <c r="C21731" s="5" t="str">
        <f>IFERROR(__xludf.DUMMYFUNCTION("GOOGLETRANSLATE(B21731,""en"",""zh-CN"")"),"该场景恢复了水球事故，该节目横幅总结了视频。")</f>
        <v>该场景恢复了水球事故，该节目横幅总结了视频。</v>
      </c>
    </row>
    <row r="21732">
      <c r="A21732" s="4" t="s">
        <v>27366</v>
      </c>
      <c r="B21732" s="4" t="s">
        <v>27367</v>
      </c>
      <c r="C21732" s="5" t="str">
        <f>IFERROR(__xludf.DUMMYFUNCTION("GOOGLETRANSLATE(B21732,""en"",""zh-CN"")"),"女人在舞台上弹奏鼓声。")</f>
        <v>女人在舞台上弹奏鼓声。</v>
      </c>
    </row>
    <row r="21733">
      <c r="A21733" s="4" t="s">
        <v>27366</v>
      </c>
      <c r="B21733" s="4" t="s">
        <v>27368</v>
      </c>
      <c r="C21733" s="5" t="str">
        <f>IFERROR(__xludf.DUMMYFUNCTION("GOOGLETRANSLATE(B21733,""en"",""zh-CN"")"),"相机拉回现场。")</f>
        <v>相机拉回现场。</v>
      </c>
    </row>
    <row r="21734">
      <c r="A21734" s="4" t="s">
        <v>27366</v>
      </c>
      <c r="B21734" s="4" t="s">
        <v>27369</v>
      </c>
      <c r="C21734" s="5" t="str">
        <f>IFERROR(__xludf.DUMMYFUNCTION("GOOGLETRANSLATE(B21734,""en"",""zh-CN"")"),"女人结束并站起来。")</f>
        <v>女人结束并站起来。</v>
      </c>
    </row>
    <row r="21735">
      <c r="A21735" s="4" t="s">
        <v>27370</v>
      </c>
      <c r="B21735" s="4" t="s">
        <v>27371</v>
      </c>
      <c r="C21735" s="5" t="str">
        <f>IFERROR(__xludf.DUMMYFUNCTION("GOOGLETRANSLATE(B21735,""en"",""zh-CN"")"),"我们看到一个绿色标题屏幕。")</f>
        <v>我们看到一个绿色标题屏幕。</v>
      </c>
    </row>
    <row r="21736">
      <c r="A21736" s="4" t="s">
        <v>27370</v>
      </c>
      <c r="B21736" s="4" t="s">
        <v>27372</v>
      </c>
      <c r="C21736" s="5" t="str">
        <f>IFERROR(__xludf.DUMMYFUNCTION("GOOGLETRANSLATE(B21736,""en"",""zh-CN"")"),"浴室里的一位女士在镜头说话。")</f>
        <v>浴室里的一位女士在镜头说话。</v>
      </c>
    </row>
    <row r="21737">
      <c r="A21737" s="4" t="s">
        <v>27370</v>
      </c>
      <c r="B21737" s="6" t="s">
        <v>27373</v>
      </c>
      <c r="C21737" s="5" t="str">
        <f>IFERROR(__xludf.DUMMYFUNCTION("GOOGLETRANSLATE(B21737,""en"",""zh-CN"")"),"我们看到她在水槽排水管上倒了小苏打和醋，然后在溶液泡沫时说话并移动她的手。")</f>
        <v>我们看到她在水槽排水管上倒了小苏打和醋，然后在溶液泡沫时说话并移动她的手。</v>
      </c>
    </row>
    <row r="21738">
      <c r="A21738" s="4" t="s">
        <v>27370</v>
      </c>
      <c r="B21738" s="4" t="s">
        <v>27374</v>
      </c>
      <c r="C21738" s="5" t="str">
        <f>IFERROR(__xludf.DUMMYFUNCTION("GOOGLETRANSLATE(B21738,""en"",""zh-CN"")"),"那位女士打开水以将溶液冲洗到排水管上。")</f>
        <v>那位女士打开水以将溶液冲洗到排水管上。</v>
      </c>
    </row>
    <row r="21739">
      <c r="A21739" s="4" t="s">
        <v>27375</v>
      </c>
      <c r="B21739" s="6" t="s">
        <v>27376</v>
      </c>
      <c r="C21739" s="5" t="str">
        <f>IFERROR(__xludf.DUMMYFUNCTION("GOOGLETRANSLATE(B21739,""en"",""zh-CN"")"),"窗户清洁广告展示了清洁房屋窗户所需的所有材料和技术。")</f>
        <v>窗户清洁广告展示了清洁房屋窗户所需的所有材料和技术。</v>
      </c>
    </row>
    <row r="21740">
      <c r="A21740" s="4" t="s">
        <v>27375</v>
      </c>
      <c r="B21740" s="6" t="s">
        <v>27377</v>
      </c>
      <c r="C21740" s="5" t="str">
        <f>IFERROR(__xludf.DUMMYFUNCTION("GOOGLETRANSLATE(B21740,""en"",""zh-CN"")"),"广告始于特写镜头的两层楼房屋和房屋内部，包括一条大窗户。")</f>
        <v>广告始于特写镜头的两层楼房屋和房屋内部，包括一条大窗户。</v>
      </c>
    </row>
    <row r="21741">
      <c r="A21741" s="4" t="s">
        <v>27375</v>
      </c>
      <c r="B21741" s="6" t="s">
        <v>27378</v>
      </c>
      <c r="C21741" s="5" t="str">
        <f>IFERROR(__xludf.DUMMYFUNCTION("GOOGLETRANSLATE(B21741,""en"",""zh-CN"")"),"展示了一个人清洁窗户，肥皂，水桶和海绵的图像，以及一条黑板，并带有清洁窗户所需的成分。")</f>
        <v>展示了一个人清洁窗户，肥皂，水桶和海绵的图像，以及一条黑板，并带有清洁窗户所需的成分。</v>
      </c>
    </row>
    <row r="21742">
      <c r="A21742" s="4" t="s">
        <v>27375</v>
      </c>
      <c r="B21742" s="6" t="s">
        <v>27379</v>
      </c>
      <c r="C21742" s="5" t="str">
        <f>IFERROR(__xludf.DUMMYFUNCTION("GOOGLETRANSLATE(B21742,""en"",""zh-CN"")"),"一个人使用所有工具清洁窗口，包括清除屏幕以清洁它们并在窗户上删除贴纸。")</f>
        <v>一个人使用所有工具清洁窗口，包括清除屏幕以清洁它们并在窗户上删除贴纸。</v>
      </c>
    </row>
    <row r="21743">
      <c r="A21743" s="4" t="s">
        <v>27380</v>
      </c>
      <c r="B21743" s="4" t="s">
        <v>27381</v>
      </c>
      <c r="C21743" s="5" t="str">
        <f>IFERROR(__xludf.DUMMYFUNCTION("GOOGLETRANSLATE(B21743,""en"",""zh-CN"")"),"一个男人在厨房里说话。")</f>
        <v>一个男人在厨房里说话。</v>
      </c>
    </row>
    <row r="21744">
      <c r="A21744" s="4" t="s">
        <v>27380</v>
      </c>
      <c r="B21744" s="6" t="s">
        <v>27382</v>
      </c>
      <c r="C21744" s="5" t="str">
        <f>IFERROR(__xludf.DUMMYFUNCTION("GOOGLETRANSLATE(B21744,""en"",""zh-CN"")"),"该男子煮牛奶并添加新鲜的香草，然后将溶液倒入一个带有其他成分的碗中。")</f>
        <v>该男子煮牛奶并添加新鲜的香草，然后将溶液倒入一个带有其他成分的碗中。</v>
      </c>
    </row>
    <row r="21745">
      <c r="A21745" s="4" t="s">
        <v>27380</v>
      </c>
      <c r="B21745" s="4" t="s">
        <v>27383</v>
      </c>
      <c r="C21745" s="5" t="str">
        <f>IFERROR(__xludf.DUMMYFUNCTION("GOOGLETRANSLATE(B21745,""en"",""zh-CN"")"),"该男子煮蛋ust并倒入碗中并冷冻制成冰淇淋。")</f>
        <v>该男子煮蛋ust并倒入碗中并冷冻制成冰淇淋。</v>
      </c>
    </row>
    <row r="21746">
      <c r="A21746" s="4" t="s">
        <v>27380</v>
      </c>
      <c r="B21746" s="4" t="s">
        <v>27384</v>
      </c>
      <c r="C21746" s="5" t="str">
        <f>IFERROR(__xludf.DUMMYFUNCTION("GOOGLETRANSLATE(B21746,""en"",""zh-CN"")"),"该男子在炉子上切入糖中切成薄片。")</f>
        <v>该男子在炉子上切入糖中切成薄片。</v>
      </c>
    </row>
    <row r="21747">
      <c r="A21747" s="4" t="s">
        <v>27380</v>
      </c>
      <c r="B21747" s="4" t="s">
        <v>27385</v>
      </c>
      <c r="C21747" s="5" t="str">
        <f>IFERROR(__xludf.DUMMYFUNCTION("GOOGLETRANSLATE(B21747,""en"",""zh-CN"")"),"他在煮熟的rubarb上吃冰淇淋。")</f>
        <v>他在煮熟的rubarb上吃冰淇淋。</v>
      </c>
    </row>
    <row r="21748">
      <c r="A21748" s="4" t="s">
        <v>27380</v>
      </c>
      <c r="B21748" s="4" t="s">
        <v>27386</v>
      </c>
      <c r="C21748" s="5" t="str">
        <f>IFERROR(__xludf.DUMMYFUNCTION("GOOGLETRANSLATE(B21748,""en"",""zh-CN"")"),"我们看到了伦敦的照片，并消失了。")</f>
        <v>我们看到了伦敦的照片，并消失了。</v>
      </c>
    </row>
    <row r="21749">
      <c r="A21749" s="4" t="s">
        <v>27387</v>
      </c>
      <c r="B21749" s="4" t="s">
        <v>27388</v>
      </c>
      <c r="C21749" s="5" t="str">
        <f>IFERROR(__xludf.DUMMYFUNCTION("GOOGLETRANSLATE(B21749,""en"",""zh-CN"")"),"几个剪辑显示了彼此围栏的各种剪辑。")</f>
        <v>几个剪辑显示了彼此围栏的各种剪辑。</v>
      </c>
    </row>
    <row r="21750">
      <c r="A21750" s="4" t="s">
        <v>27387</v>
      </c>
      <c r="B21750" s="4" t="s">
        <v>27389</v>
      </c>
      <c r="C21750" s="5" t="str">
        <f>IFERROR(__xludf.DUMMYFUNCTION("GOOGLETRANSLATE(B21750,""en"",""zh-CN"")"),"人们继续向后移动，而相机则放大了人们的演奏。")</f>
        <v>人们继续向后移动，而相机则放大了人们的演奏。</v>
      </c>
    </row>
    <row r="21751">
      <c r="A21751" s="4" t="s">
        <v>27390</v>
      </c>
      <c r="B21751" s="6" t="s">
        <v>27391</v>
      </c>
      <c r="C21751" s="5" t="str">
        <f>IFERROR(__xludf.DUMMYFUNCTION("GOOGLETRANSLATE(B21751,""en"",""zh-CN"")"),"一个人在谷仓屋顶上的起重机篮子里，一个人站在拿着绳子的卡车上。")</f>
        <v>一个人在谷仓屋顶上的起重机篮子里，一个人站在拿着绳子的卡车上。</v>
      </c>
    </row>
    <row r="21752">
      <c r="A21752" s="4" t="s">
        <v>27390</v>
      </c>
      <c r="B21752" s="4" t="s">
        <v>27392</v>
      </c>
      <c r="C21752" s="5" t="str">
        <f>IFERROR(__xludf.DUMMYFUNCTION("GOOGLETRANSLATE(B21752,""en"",""zh-CN"")"),"烟在桌子附近。")</f>
        <v>烟在桌子附近。</v>
      </c>
    </row>
    <row r="21753">
      <c r="A21753" s="4" t="s">
        <v>27390</v>
      </c>
      <c r="B21753" s="6" t="s">
        <v>27393</v>
      </c>
      <c r="C21753" s="5" t="str">
        <f>IFERROR(__xludf.DUMMYFUNCTION("GOOGLETRANSLATE(B21753,""en"",""zh-CN"")"),"人们站在谷仓的前面，还有两个女人和两个孩子站在谷仓的前面。")</f>
        <v>人们站在谷仓的前面，还有两个女人和两个孩子站在谷仓的前面。</v>
      </c>
    </row>
    <row r="21754">
      <c r="A21754" s="4" t="s">
        <v>27394</v>
      </c>
      <c r="B21754" s="6" t="s">
        <v>27395</v>
      </c>
      <c r="C21754" s="5" t="str">
        <f>IFERROR(__xludf.DUMMYFUNCTION("GOOGLETRANSLATE(B21754,""en"",""zh-CN"")"),"各种各样的镜头显示了雪山，这些山山在人滑雪和滑雪板上的镜头之间过渡。")</f>
        <v>各种各样的镜头显示了雪山，这些山山在人滑雪和滑雪板上的镜头之间过渡。</v>
      </c>
    </row>
    <row r="21755">
      <c r="A21755" s="4" t="s">
        <v>27394</v>
      </c>
      <c r="B21755" s="6" t="s">
        <v>27396</v>
      </c>
      <c r="C21755" s="5" t="str">
        <f>IFERROR(__xludf.DUMMYFUNCTION("GOOGLETRANSLATE(B21755,""en"",""zh-CN"")"),"人们看到人们在山上进行各种翻转和欺骗，而相机则以多个角度和山为生捕捉他们。")</f>
        <v>人们看到人们在山上进行各种翻转和欺骗，而相机则以多个角度和山为生捕捉他们。</v>
      </c>
    </row>
    <row r="21756">
      <c r="A21756" s="4" t="s">
        <v>27397</v>
      </c>
      <c r="B21756" s="4" t="s">
        <v>27398</v>
      </c>
      <c r="C21756" s="5" t="str">
        <f>IFERROR(__xludf.DUMMYFUNCTION("GOOGLETRANSLATE(B21756,""en"",""zh-CN"")"),"我们进入一个房间，看到一个男孩在熨衣板上穿衬衫。")</f>
        <v>我们进入一个房间，看到一个男孩在熨衣板上穿衬衫。</v>
      </c>
    </row>
    <row r="21757">
      <c r="A21757" s="4" t="s">
        <v>27397</v>
      </c>
      <c r="B21757" s="4" t="s">
        <v>27399</v>
      </c>
      <c r="C21757" s="5" t="str">
        <f>IFERROR(__xludf.DUMMYFUNCTION("GOOGLETRANSLATE(B21757,""en"",""zh-CN"")"),"这个男孩开始用拔下的铁熨烫背心。")</f>
        <v>这个男孩开始用拔下的铁熨烫背心。</v>
      </c>
    </row>
    <row r="21758">
      <c r="A21758" s="4" t="s">
        <v>27397</v>
      </c>
      <c r="B21758" s="4" t="s">
        <v>27400</v>
      </c>
      <c r="C21758" s="5" t="str">
        <f>IFERROR(__xludf.DUMMYFUNCTION("GOOGLETRANSLATE(B21758,""en"",""zh-CN"")"),"小男孩熨烫一件灰色的衬衫，将铁坐在木板上。")</f>
        <v>小男孩熨烫一件灰色的衬衫，将铁坐在木板上。</v>
      </c>
    </row>
    <row r="21759">
      <c r="A21759" s="4" t="s">
        <v>27397</v>
      </c>
      <c r="B21759" s="4" t="s">
        <v>27401</v>
      </c>
      <c r="C21759" s="5" t="str">
        <f>IFERROR(__xludf.DUMMYFUNCTION("GOOGLETRANSLATE(B21759,""en"",""zh-CN"")"),"小男孩走开微笑。")</f>
        <v>小男孩走开微笑。</v>
      </c>
    </row>
    <row r="21760">
      <c r="A21760" s="4" t="s">
        <v>27397</v>
      </c>
      <c r="B21760" s="4" t="s">
        <v>27402</v>
      </c>
      <c r="C21760" s="5" t="str">
        <f>IFERROR(__xludf.DUMMYFUNCTION("GOOGLETRANSLATE(B21760,""en"",""zh-CN"")"),"这个男孩表现出两根手指，用铁绕着房间散步。")</f>
        <v>这个男孩表现出两根手指，用铁绕着房间散步。</v>
      </c>
    </row>
    <row r="21761">
      <c r="A21761" s="4" t="s">
        <v>27403</v>
      </c>
      <c r="B21761" s="4" t="s">
        <v>27404</v>
      </c>
      <c r="C21761" s="5" t="str">
        <f>IFERROR(__xludf.DUMMYFUNCTION("GOOGLETRANSLATE(B21761,""en"",""zh-CN"")"),"当男人站在屋顶上时，一个穿着夹克的男人在房子前说话。")</f>
        <v>当男人站在屋顶上时，一个穿着夹克的男人在房子前说话。</v>
      </c>
    </row>
    <row r="21762">
      <c r="A21762" s="4" t="s">
        <v>27403</v>
      </c>
      <c r="B21762" s="4" t="s">
        <v>27405</v>
      </c>
      <c r="C21762" s="5" t="str">
        <f>IFERROR(__xludf.DUMMYFUNCTION("GOOGLETRANSLATE(B21762,""en"",""zh-CN"")"),"一个人在背景中扔掉屋顶。")</f>
        <v>一个人在背景中扔掉屋顶。</v>
      </c>
    </row>
    <row r="21763">
      <c r="A21763" s="4" t="s">
        <v>27403</v>
      </c>
      <c r="B21763" s="4" t="s">
        <v>27406</v>
      </c>
      <c r="C21763" s="5" t="str">
        <f>IFERROR(__xludf.DUMMYFUNCTION("GOOGLETRANSLATE(B21763,""en"",""zh-CN"")"),"这些人继续将带状疱疹从屋顶上扔掉。")</f>
        <v>这些人继续将带状疱疹从屋顶上扔掉。</v>
      </c>
    </row>
    <row r="21764">
      <c r="A21764" s="4" t="s">
        <v>27403</v>
      </c>
      <c r="B21764" s="4" t="s">
        <v>27407</v>
      </c>
      <c r="C21764" s="5" t="str">
        <f>IFERROR(__xludf.DUMMYFUNCTION("GOOGLETRANSLATE(B21764,""en"",""zh-CN"")"),"拿着相机的那个人转身爬上梯子，站在屋顶上。")</f>
        <v>拿着相机的那个人转身爬上梯子，站在屋顶上。</v>
      </c>
    </row>
    <row r="21765">
      <c r="A21765" s="4" t="s">
        <v>27403</v>
      </c>
      <c r="B21765" s="4" t="s">
        <v>27408</v>
      </c>
      <c r="C21765" s="5" t="str">
        <f>IFERROR(__xludf.DUMMYFUNCTION("GOOGLETRANSLATE(B21765,""en"",""zh-CN"")"),"该男子自己打开相机，继续说话。")</f>
        <v>该男子自己打开相机，继续说话。</v>
      </c>
    </row>
    <row r="21766">
      <c r="A21766" s="4" t="s">
        <v>27409</v>
      </c>
      <c r="B21766" s="4" t="s">
        <v>27410</v>
      </c>
      <c r="C21766" s="5" t="str">
        <f>IFERROR(__xludf.DUMMYFUNCTION("GOOGLETRANSLATE(B21766,""en"",""zh-CN"")"),"一群朋友坐在山顶的雪橇上。")</f>
        <v>一群朋友坐在山顶的雪橇上。</v>
      </c>
    </row>
    <row r="21767">
      <c r="A21767" s="4" t="s">
        <v>27409</v>
      </c>
      <c r="B21767" s="4" t="s">
        <v>27411</v>
      </c>
      <c r="C21767" s="5" t="str">
        <f>IFERROR(__xludf.DUMMYFUNCTION("GOOGLETRANSLATE(B21767,""en"",""zh-CN"")"),"两个朋友被推下山坡，他们滑到底部。")</f>
        <v>两个朋友被推下山坡，他们滑到底部。</v>
      </c>
    </row>
    <row r="21768">
      <c r="A21768" s="4" t="s">
        <v>27409</v>
      </c>
      <c r="B21768" s="4" t="s">
        <v>27412</v>
      </c>
      <c r="C21768" s="5" t="str">
        <f>IFERROR(__xludf.DUMMYFUNCTION("GOOGLETRANSLATE(B21768,""en"",""zh-CN"")"),"这两个朋友被山顶的橡胶垫子挡住了。")</f>
        <v>这两个朋友被山顶的橡胶垫子挡住了。</v>
      </c>
    </row>
    <row r="21769">
      <c r="A21769" s="4" t="s">
        <v>27413</v>
      </c>
      <c r="B21769" s="4" t="s">
        <v>27414</v>
      </c>
      <c r="C21769" s="5" t="str">
        <f>IFERROR(__xludf.DUMMYFUNCTION("GOOGLETRANSLATE(B21769,""en"",""zh-CN"")"),"在北部景观上看到了一个极光北方。")</f>
        <v>在北部景观上看到了一个极光北方。</v>
      </c>
    </row>
    <row r="21770">
      <c r="A21770" s="4" t="s">
        <v>27413</v>
      </c>
      <c r="B21770" s="4" t="s">
        <v>27415</v>
      </c>
      <c r="C21770" s="5" t="str">
        <f>IFERROR(__xludf.DUMMYFUNCTION("GOOGLETRANSLATE(B21770,""en"",""zh-CN"")"),"一个人用雪铲从门廊上铲雪。")</f>
        <v>一个人用雪铲从门廊上铲雪。</v>
      </c>
    </row>
    <row r="21771">
      <c r="A21771" s="4" t="s">
        <v>27413</v>
      </c>
      <c r="B21771" s="4" t="s">
        <v>27416</v>
      </c>
      <c r="C21771" s="5" t="str">
        <f>IFERROR(__xludf.DUMMYFUNCTION("GOOGLETRANSLATE(B21771,""en"",""zh-CN"")"),"该男子从楼梯箱上铲雪，上面铲铲。")</f>
        <v>该男子从楼梯箱上铲雪，上面铲铲。</v>
      </c>
    </row>
    <row r="21772">
      <c r="A21772" s="4" t="s">
        <v>27413</v>
      </c>
      <c r="B21772" s="4" t="s">
        <v>27417</v>
      </c>
      <c r="C21772" s="5" t="str">
        <f>IFERROR(__xludf.DUMMYFUNCTION("GOOGLETRANSLATE(B21772,""en"",""zh-CN"")"),"该男子完成了工作，并展示了他的肌肉。")</f>
        <v>该男子完成了工作，并展示了他的肌肉。</v>
      </c>
    </row>
    <row r="21773">
      <c r="A21773" s="4" t="s">
        <v>27418</v>
      </c>
      <c r="B21773" s="4" t="s">
        <v>27419</v>
      </c>
      <c r="C21773" s="5" t="str">
        <f>IFERROR(__xludf.DUMMYFUNCTION("GOOGLETRANSLATE(B21773,""en"",""zh-CN"")"),"一个小女孩正在越过猴子酒吧。")</f>
        <v>一个小女孩正在越过猴子酒吧。</v>
      </c>
    </row>
    <row r="21774">
      <c r="A21774" s="4" t="s">
        <v>27418</v>
      </c>
      <c r="B21774" s="4" t="s">
        <v>27420</v>
      </c>
      <c r="C21774" s="5" t="str">
        <f>IFERROR(__xludf.DUMMYFUNCTION("GOOGLETRANSLATE(B21774,""en"",""zh-CN"")"),"一个女人正在帮助她站在她的身下。")</f>
        <v>一个女人正在帮助她站在她的身下。</v>
      </c>
    </row>
    <row r="21775">
      <c r="A21775" s="4" t="s">
        <v>27418</v>
      </c>
      <c r="B21775" s="4" t="s">
        <v>27421</v>
      </c>
      <c r="C21775" s="5" t="str">
        <f>IFERROR(__xludf.DUMMYFUNCTION("GOOGLETRANSLATE(B21775,""en"",""zh-CN"")"),"女孩掉下来，女人抓住了她。")</f>
        <v>女孩掉下来，女人抓住了她。</v>
      </c>
    </row>
    <row r="21776">
      <c r="A21776" s="4" t="s">
        <v>27422</v>
      </c>
      <c r="B21776" s="4" t="s">
        <v>27423</v>
      </c>
      <c r="C21776" s="5" t="str">
        <f>IFERROR(__xludf.DUMMYFUNCTION("GOOGLETRANSLATE(B21776,""en"",""zh-CN"")"),"看到一名运动员站在圈子里，周围和周围旋转。")</f>
        <v>看到一名运动员站在圈子里，周围和周围旋转。</v>
      </c>
    </row>
    <row r="21777">
      <c r="A21777" s="4" t="s">
        <v>27422</v>
      </c>
      <c r="B21777" s="4" t="s">
        <v>27424</v>
      </c>
      <c r="C21777" s="5" t="str">
        <f>IFERROR(__xludf.DUMMYFUNCTION("GOOGLETRANSLATE(B21777,""en"",""zh-CN"")"),"她在远处扔了一个物体，并以慢动作再次显示。")</f>
        <v>她在远处扔了一个物体，并以慢动作再次显示。</v>
      </c>
    </row>
    <row r="21778">
      <c r="A21778" s="4" t="s">
        <v>27422</v>
      </c>
      <c r="B21778" s="4" t="s">
        <v>27425</v>
      </c>
      <c r="C21778" s="5" t="str">
        <f>IFERROR(__xludf.DUMMYFUNCTION("GOOGLETRANSLATE(B21778,""en"",""zh-CN"")"),"她在欢呼时回去，其他人举起旗帜。")</f>
        <v>她在欢呼时回去，其他人举起旗帜。</v>
      </c>
    </row>
    <row r="21779">
      <c r="A21779" s="4" t="s">
        <v>27426</v>
      </c>
      <c r="B21779" s="6" t="s">
        <v>27427</v>
      </c>
      <c r="C21779" s="5" t="str">
        <f>IFERROR(__xludf.DUMMYFUNCTION("GOOGLETRANSLATE(B21779,""en"",""zh-CN"")"),"墙壁上显示了两个白色钉子，侧面有一张红色的床，有人用一块大块的木头击中了它。")</f>
        <v>墙壁上显示了两个白色钉子，侧面有一张红色的床，有人用一块大块的木头击中了它。</v>
      </c>
    </row>
    <row r="21780">
      <c r="A21780" s="4" t="s">
        <v>27426</v>
      </c>
      <c r="B21780" s="4" t="s">
        <v>27428</v>
      </c>
      <c r="C21780" s="5" t="str">
        <f>IFERROR(__xludf.DUMMYFUNCTION("GOOGLETRANSLATE(B21780,""en"",""zh-CN"")"),"显示了另一个角度，该人在球上拍摄21杆。")</f>
        <v>显示了另一个角度，该人在球上拍摄21杆。</v>
      </c>
    </row>
    <row r="21781">
      <c r="A21781" s="4" t="s">
        <v>27426</v>
      </c>
      <c r="B21781" s="6" t="s">
        <v>27429</v>
      </c>
      <c r="C21781" s="5" t="str">
        <f>IFERROR(__xludf.DUMMYFUNCTION("GOOGLETRANSLATE(B21781,""en"",""zh-CN"")"),"对于第22次射击，一个人站在一个大的白色钉子里，开始在不同方向上同时击中所有三个球。")</f>
        <v>对于第22次射击，一个人站在一个大的白色钉子里，开始在不同方向上同时击中所有三个球。</v>
      </c>
    </row>
    <row r="21782">
      <c r="A21782" s="4" t="s">
        <v>27430</v>
      </c>
      <c r="B21782" s="6" t="s">
        <v>27431</v>
      </c>
      <c r="C21782" s="5" t="str">
        <f>IFERROR(__xludf.DUMMYFUNCTION("GOOGLETRANSLATE(B21782,""en"",""zh-CN"")"),"真空吸尘后，一个女人用真空清洁地毯和地板。")</f>
        <v>真空吸尘后，一个女人用真空清洁地毯和地板。</v>
      </c>
    </row>
    <row r="21783">
      <c r="A21783" s="4" t="s">
        <v>27430</v>
      </c>
      <c r="B21783" s="6" t="s">
        <v>27432</v>
      </c>
      <c r="C21783" s="5" t="str">
        <f>IFERROR(__xludf.DUMMYFUNCTION("GOOGLETRANSLATE(B21783,""en"",""zh-CN"")"),"然后，女人拿出真空的罐子，继续清洁地板，墙壁，沙发和地板。")</f>
        <v>然后，女人拿出真空的罐子，继续清洁地板，墙壁，沙发和地板。</v>
      </c>
    </row>
    <row r="21784">
      <c r="A21784" s="4" t="s">
        <v>27430</v>
      </c>
      <c r="B21784" s="4" t="s">
        <v>27433</v>
      </c>
      <c r="C21784" s="5" t="str">
        <f>IFERROR(__xludf.DUMMYFUNCTION("GOOGLETRANSLATE(B21784,""en"",""zh-CN"")"),"之后，女人清洁了图片框架，然后从枕头上捡起头发。")</f>
        <v>之后，女人清洁了图片框架，然后从枕头上捡起头发。</v>
      </c>
    </row>
    <row r="21785">
      <c r="A21785" s="4" t="s">
        <v>27430</v>
      </c>
      <c r="B21785" s="4" t="s">
        <v>27434</v>
      </c>
      <c r="C21785" s="5" t="str">
        <f>IFERROR(__xludf.DUMMYFUNCTION("GOOGLETRANSLATE(B21785,""en"",""zh-CN"")"),"接下来，女人倒带罐的电线，并将垃圾丢在垃圾桶中。")</f>
        <v>接下来，女人倒带罐的电线，并将垃圾丢在垃圾桶中。</v>
      </c>
    </row>
    <row r="21786">
      <c r="A21786" s="4" t="s">
        <v>27435</v>
      </c>
      <c r="B21786" s="6" t="s">
        <v>27436</v>
      </c>
      <c r="C21786" s="5" t="str">
        <f>IFERROR(__xludf.DUMMYFUNCTION("GOOGLETRANSLATE(B21786,""en"",""zh-CN"")"),"看到一个男人坐在几张桌子旁，剥土豆，而相机快速动作环顾四周。")</f>
        <v>看到一个男人坐在几张桌子旁，剥土豆，而相机快速动作环顾四周。</v>
      </c>
    </row>
    <row r="21787">
      <c r="A21787" s="4" t="s">
        <v>27435</v>
      </c>
      <c r="B21787" s="6" t="s">
        <v>27437</v>
      </c>
      <c r="C21787" s="5" t="str">
        <f>IFERROR(__xludf.DUMMYFUNCTION("GOOGLETRANSLATE(B21787,""en"",""zh-CN"")"),"看到另一个人剥土豆，那个男人回到桌子上继续剥皮。")</f>
        <v>看到另一个人剥土豆，那个男人回到桌子上继续剥皮。</v>
      </c>
    </row>
    <row r="21788">
      <c r="A21788" s="4" t="s">
        <v>27438</v>
      </c>
      <c r="B21788" s="4" t="s">
        <v>27439</v>
      </c>
      <c r="C21788" s="5" t="str">
        <f>IFERROR(__xludf.DUMMYFUNCTION("GOOGLETRANSLATE(B21788,""en"",""zh-CN"")"),"两个人在一场要求他们制作的手臂摔跤比赛中拍摄自己。")</f>
        <v>两个人在一场要求他们制作的手臂摔跤比赛中拍摄自己。</v>
      </c>
    </row>
    <row r="21789">
      <c r="A21789" s="4" t="s">
        <v>27438</v>
      </c>
      <c r="B21789" s="6" t="s">
        <v>27440</v>
      </c>
      <c r="C21789" s="5" t="str">
        <f>IFERROR(__xludf.DUMMYFUNCTION("GOOGLETRANSLATE(B21789,""en"",""zh-CN"")"),"两个男人坐在彼此旁边的房间里，而一个人读了一台笔记本电脑，然后他们俩互相抓住彼此的手来运动即将发生的事情。")</f>
        <v>两个男人坐在彼此旁边的房间里，而一个人读了一台笔记本电脑，然后他们俩互相抓住彼此的手来运动即将发生的事情。</v>
      </c>
    </row>
    <row r="21790">
      <c r="A21790" s="4" t="s">
        <v>27438</v>
      </c>
      <c r="B21790" s="4" t="s">
        <v>27441</v>
      </c>
      <c r="C21790" s="5" t="str">
        <f>IFERROR(__xludf.DUMMYFUNCTION("GOOGLETRANSLATE(B21790,""en"",""zh-CN"")"),"一个人设置了相机拍摄比赛。")</f>
        <v>一个人设置了相机拍摄比赛。</v>
      </c>
    </row>
    <row r="21791">
      <c r="A21791" s="4" t="s">
        <v>27438</v>
      </c>
      <c r="B21791" s="4" t="s">
        <v>27442</v>
      </c>
      <c r="C21791" s="5" t="str">
        <f>IFERROR(__xludf.DUMMYFUNCTION("GOOGLETRANSLATE(B21791,""en"",""zh-CN"")"),"这些人在桌子的拐角处做好准备，握手，然后从三个倒计时。")</f>
        <v>这些人在桌子的拐角处做好准备，握手，然后从三个倒计时。</v>
      </c>
    </row>
    <row r="21792">
      <c r="A21792" s="4" t="s">
        <v>27438</v>
      </c>
      <c r="B21792" s="4" t="s">
        <v>27443</v>
      </c>
      <c r="C21792" s="5" t="str">
        <f>IFERROR(__xludf.DUMMYFUNCTION("GOOGLETRANSLATE(B21792,""en"",""zh-CN"")"),"这两个男人的手臂搏斗时，笑着笑着笑。")</f>
        <v>这两个男人的手臂搏斗时，笑着笑着笑。</v>
      </c>
    </row>
    <row r="21793">
      <c r="A21793" s="4" t="s">
        <v>27438</v>
      </c>
      <c r="B21793" s="4" t="s">
        <v>27444</v>
      </c>
      <c r="C21793" s="5" t="str">
        <f>IFERROR(__xludf.DUMMYFUNCTION("GOOGLETRANSLATE(B21793,""en"",""zh-CN"")"),"一个人放弃了，两个人都在谈论比赛。")</f>
        <v>一个人放弃了，两个人都在谈论比赛。</v>
      </c>
    </row>
    <row r="21794">
      <c r="A21794" s="4" t="s">
        <v>27438</v>
      </c>
      <c r="B21794" s="4" t="s">
        <v>27445</v>
      </c>
      <c r="C21794" s="5" t="str">
        <f>IFERROR(__xludf.DUMMYFUNCTION("GOOGLETRANSLATE(B21794,""en"",""zh-CN"")"),"一个人咕unt着胜利。")</f>
        <v>一个人咕unt着胜利。</v>
      </c>
    </row>
    <row r="21795">
      <c r="A21795" s="4" t="s">
        <v>27446</v>
      </c>
      <c r="B21795" s="4" t="s">
        <v>27447</v>
      </c>
      <c r="C21795" s="5" t="str">
        <f>IFERROR(__xludf.DUMMYFUNCTION("GOOGLETRANSLATE(B21795,""en"",""zh-CN"")"),"看到一个年轻的女孩迅速在马刷侧的马周围移动。")</f>
        <v>看到一个年轻的女孩迅速在马刷侧的马周围移动。</v>
      </c>
    </row>
    <row r="21796">
      <c r="A21796" s="4" t="s">
        <v>27446</v>
      </c>
      <c r="B21796" s="4" t="s">
        <v>27448</v>
      </c>
      <c r="C21796" s="5" t="str">
        <f>IFERROR(__xludf.DUMMYFUNCTION("GOOGLETRANSLATE(B21796,""en"",""zh-CN"")"),"当另一匹马走进和走出框架时，她遍地遍历整匹马。")</f>
        <v>当另一匹马走进和走出框架时，她遍地遍历整匹马。</v>
      </c>
    </row>
    <row r="21797">
      <c r="A21797" s="4" t="s">
        <v>27446</v>
      </c>
      <c r="B21797" s="4" t="s">
        <v>27449</v>
      </c>
      <c r="C21797" s="5" t="str">
        <f>IFERROR(__xludf.DUMMYFUNCTION("GOOGLETRANSLATE(B21797,""en"",""zh-CN"")"),"当相机捕捉她的动作时，她继续刷马。")</f>
        <v>当相机捕捉她的动作时，她继续刷马。</v>
      </c>
    </row>
    <row r="21798">
      <c r="A21798" s="4" t="s">
        <v>27450</v>
      </c>
      <c r="B21798" s="6" t="s">
        <v>27451</v>
      </c>
      <c r="C21798" s="5" t="str">
        <f>IFERROR(__xludf.DUMMYFUNCTION("GOOGLETRANSLATE(B21798,""en"",""zh-CN"")"),"妇女正站在屋顶健身房的木制球场上，玩Voleyball，而公众则在观看比赛的情况下。")</f>
        <v>妇女正站在屋顶健身房的木制球场上，玩Voleyball，而公众则在观看比赛的情况下。</v>
      </c>
    </row>
    <row r="21799">
      <c r="A21799" s="4" t="s">
        <v>27450</v>
      </c>
      <c r="B21799" s="4" t="s">
        <v>27452</v>
      </c>
      <c r="C21799" s="5" t="str">
        <f>IFERROR(__xludf.DUMMYFUNCTION("GOOGLETRANSLATE(B21799,""en"",""zh-CN"")"),"球为红队打了一个女人，人们跑向她。")</f>
        <v>球为红队打了一个女人，人们跑向她。</v>
      </c>
    </row>
    <row r="21800">
      <c r="A21800" s="4" t="s">
        <v>27453</v>
      </c>
      <c r="B21800" s="4" t="s">
        <v>4683</v>
      </c>
      <c r="C21800" s="5" t="str">
        <f>IFERROR(__xludf.DUMMYFUNCTION("GOOGLETRANSLATE(B21800,""en"",""zh-CN"")"),"人们站在游泳池里。")</f>
        <v>人们站在游泳池里。</v>
      </c>
    </row>
    <row r="21801">
      <c r="A21801" s="4" t="s">
        <v>27453</v>
      </c>
      <c r="B21801" s="4" t="s">
        <v>27454</v>
      </c>
      <c r="C21801" s="5" t="str">
        <f>IFERROR(__xludf.DUMMYFUNCTION("GOOGLETRANSLATE(B21801,""en"",""zh-CN"")"),"他们正在玩水球游戏。")</f>
        <v>他们正在玩水球游戏。</v>
      </c>
    </row>
    <row r="21802">
      <c r="A21802" s="4" t="s">
        <v>27453</v>
      </c>
      <c r="B21802" s="4" t="s">
        <v>27455</v>
      </c>
      <c r="C21802" s="5" t="str">
        <f>IFERROR(__xludf.DUMMYFUNCTION("GOOGLETRANSLATE(B21802,""en"",""zh-CN"")"),"一个女人把球扔进了网，被守门员抓住了。")</f>
        <v>一个女人把球扔进了网，被守门员抓住了。</v>
      </c>
    </row>
    <row r="21803">
      <c r="A21803" s="4" t="s">
        <v>27456</v>
      </c>
      <c r="B21803" s="4" t="s">
        <v>27457</v>
      </c>
      <c r="C21803" s="5" t="str">
        <f>IFERROR(__xludf.DUMMYFUNCTION("GOOGLETRANSLATE(B21803,""en"",""zh-CN"")"),"一个男人在外面，斧头试图砍伐一棵树。")</f>
        <v>一个男人在外面，斧头试图砍伐一棵树。</v>
      </c>
    </row>
    <row r="21804">
      <c r="A21804" s="4" t="s">
        <v>27456</v>
      </c>
      <c r="B21804" s="4" t="s">
        <v>27458</v>
      </c>
      <c r="C21804" s="5" t="str">
        <f>IFERROR(__xludf.DUMMYFUNCTION("GOOGLETRANSLATE(B21804,""en"",""zh-CN"")"),"最后，树倒下，那个人开始用斧头撞到树。")</f>
        <v>最后，树倒下，那个人开始用斧头撞到树。</v>
      </c>
    </row>
    <row r="21805">
      <c r="A21805" s="4" t="s">
        <v>27459</v>
      </c>
      <c r="B21805" s="4" t="s">
        <v>27460</v>
      </c>
      <c r="C21805" s="5" t="str">
        <f>IFERROR(__xludf.DUMMYFUNCTION("GOOGLETRANSLATE(B21805,""en"",""zh-CN"")"),"BMX骑自行车的人沿着自己的车道上的赛道上沿着赛道。")</f>
        <v>BMX骑自行车的人沿着自己的车道上的赛道上沿着赛道。</v>
      </c>
    </row>
    <row r="21806">
      <c r="A21806" s="4" t="s">
        <v>27459</v>
      </c>
      <c r="B21806" s="6" t="s">
        <v>27461</v>
      </c>
      <c r="C21806" s="5" t="str">
        <f>IFERROR(__xludf.DUMMYFUNCTION("GOOGLETRANSLATE(B21806,""en"",""zh-CN"")"),"然后还有另一个骑自行车的人，他们可能会赛车，他们走得非常快，沿着赛道转弯并撞到高颠簸，使他们在空中上升。")</f>
        <v>然后还有另一个骑自行车的人，他们可能会赛车，他们走得非常快，沿着赛道转弯并撞到高颠簸，使他们在空中上升。</v>
      </c>
    </row>
    <row r="21807">
      <c r="A21807" s="4" t="s">
        <v>27459</v>
      </c>
      <c r="B21807" s="4" t="s">
        <v>27462</v>
      </c>
      <c r="C21807" s="5" t="str">
        <f>IFERROR(__xludf.DUMMYFUNCTION("GOOGLETRANSLATE(B21807,""en"",""zh-CN"")"),"赛道再次打开，他们开始了另一场比赛。")</f>
        <v>赛道再次打开，他们开始了另一场比赛。</v>
      </c>
    </row>
    <row r="21808">
      <c r="A21808" s="4" t="s">
        <v>27459</v>
      </c>
      <c r="B21808" s="6" t="s">
        <v>27463</v>
      </c>
      <c r="C21808" s="5" t="str">
        <f>IFERROR(__xludf.DUMMYFUNCTION("GOOGLETRANSLATE(B21808,""en"",""zh-CN"")"),"两名骑自行车的人跳舞，然后重新骑自行车，回到另一场小比赛的赛道上。")</f>
        <v>两名骑自行车的人跳舞，然后重新骑自行车，回到另一场小比赛的赛道上。</v>
      </c>
    </row>
    <row r="21809">
      <c r="A21809" s="4" t="s">
        <v>27464</v>
      </c>
      <c r="B21809" s="4" t="s">
        <v>27465</v>
      </c>
      <c r="C21809" s="5" t="str">
        <f>IFERROR(__xludf.DUMMYFUNCTION("GOOGLETRANSLATE(B21809,""en"",""zh-CN"")"),"一个人在房车下试图修理车轮，因为一个人站在外面帮助。")</f>
        <v>一个人在房车下试图修理车轮，因为一个人站在外面帮助。</v>
      </c>
    </row>
    <row r="21810">
      <c r="A21810" s="4" t="s">
        <v>27464</v>
      </c>
      <c r="B21810" s="4" t="s">
        <v>27466</v>
      </c>
      <c r="C21810" s="5" t="str">
        <f>IFERROR(__xludf.DUMMYFUNCTION("GOOGLETRANSLATE(B21810,""en"",""zh-CN"")"),"然后将车轮摘下，另一组人群挤满了问题，以发现问题。")</f>
        <v>然后将车轮摘下，另一组人群挤满了问题，以发现问题。</v>
      </c>
    </row>
    <row r="21811">
      <c r="A21811" s="4" t="s">
        <v>27464</v>
      </c>
      <c r="B21811" s="4" t="s">
        <v>27467</v>
      </c>
      <c r="C21811" s="5" t="str">
        <f>IFERROR(__xludf.DUMMYFUNCTION("GOOGLETRANSLATE(B21811,""en"",""zh-CN"")"),"当他们说话时，该人留在房车下方，并在拿着钻机时开始微笑。")</f>
        <v>当他们说话时，该人留在房车下方，并在拿着钻机时开始微笑。</v>
      </c>
    </row>
    <row r="21812">
      <c r="A21812" s="4" t="s">
        <v>27468</v>
      </c>
      <c r="B21812" s="4" t="s">
        <v>27469</v>
      </c>
      <c r="C21812" s="5" t="str">
        <f>IFERROR(__xludf.DUMMYFUNCTION("GOOGLETRANSLATE(B21812,""en"",""zh-CN"")"),"一个男人球球与伴侣打壁球。")</f>
        <v>一个男人球球与伴侣打壁球。</v>
      </c>
    </row>
    <row r="21813">
      <c r="A21813" s="4" t="s">
        <v>27468</v>
      </c>
      <c r="B21813" s="4" t="s">
        <v>27470</v>
      </c>
      <c r="C21813" s="5" t="str">
        <f>IFERROR(__xludf.DUMMYFUNCTION("GOOGLETRANSLATE(B21813,""en"",""zh-CN"")"),"这些人将球撞到墙上。")</f>
        <v>这些人将球撞到墙上。</v>
      </c>
    </row>
    <row r="21814">
      <c r="A21814" s="4" t="s">
        <v>27468</v>
      </c>
      <c r="B21814" s="4" t="s">
        <v>27471</v>
      </c>
      <c r="C21814" s="5" t="str">
        <f>IFERROR(__xludf.DUMMYFUNCTION("GOOGLETRANSLATE(B21814,""en"",""zh-CN"")"),"该男子在地板上弹跳球。")</f>
        <v>该男子在地板上弹跳球。</v>
      </c>
    </row>
    <row r="21815">
      <c r="A21815" s="4" t="s">
        <v>27472</v>
      </c>
      <c r="B21815" s="4" t="s">
        <v>27473</v>
      </c>
      <c r="C21815" s="5" t="str">
        <f>IFERROR(__xludf.DUMMYFUNCTION("GOOGLETRANSLATE(B21815,""en"",""zh-CN"")"),"一个拿着标枪的男人沿着轨道奔跑。")</f>
        <v>一个拿着标枪的男人沿着轨道奔跑。</v>
      </c>
    </row>
    <row r="21816">
      <c r="A21816" s="4" t="s">
        <v>27472</v>
      </c>
      <c r="B21816" s="4" t="s">
        <v>27474</v>
      </c>
      <c r="C21816" s="5" t="str">
        <f>IFERROR(__xludf.DUMMYFUNCTION("GOOGLETRANSLATE(B21816,""en"",""zh-CN"")"),"那个男人扔了标枪。")</f>
        <v>那个男人扔了标枪。</v>
      </c>
    </row>
    <row r="21817">
      <c r="A21817" s="4" t="s">
        <v>27472</v>
      </c>
      <c r="B21817" s="4" t="s">
        <v>27475</v>
      </c>
      <c r="C21817" s="5" t="str">
        <f>IFERROR(__xludf.DUMMYFUNCTION("GOOGLETRANSLATE(B21817,""en"",""zh-CN"")"),"这个人跌倒在地。")</f>
        <v>这个人跌倒在地。</v>
      </c>
    </row>
    <row r="21818">
      <c r="A21818" s="4" t="s">
        <v>27472</v>
      </c>
      <c r="B21818" s="4" t="s">
        <v>27476</v>
      </c>
      <c r="C21818" s="5" t="str">
        <f>IFERROR(__xludf.DUMMYFUNCTION("GOOGLETRANSLATE(B21818,""en"",""zh-CN"")"),"我们看到标枪飞过空中。")</f>
        <v>我们看到标枪飞过空中。</v>
      </c>
    </row>
    <row r="21819">
      <c r="A21819" s="4" t="s">
        <v>27472</v>
      </c>
      <c r="B21819" s="4" t="s">
        <v>27477</v>
      </c>
      <c r="C21819" s="5" t="str">
        <f>IFERROR(__xludf.DUMMYFUNCTION("GOOGLETRANSLATE(B21819,""en"",""zh-CN"")"),"我们看到人们跑步来测量标枪的距离。")</f>
        <v>我们看到人们跑步来测量标枪的距离。</v>
      </c>
    </row>
    <row r="21820">
      <c r="A21820" s="4" t="s">
        <v>27472</v>
      </c>
      <c r="B21820" s="4" t="s">
        <v>27478</v>
      </c>
      <c r="C21820" s="5" t="str">
        <f>IFERROR(__xludf.DUMMYFUNCTION("GOOGLETRANSLATE(B21820,""en"",""zh-CN"")"),"该名男子抽着手臂，我们在人群中看到快乐的人。")</f>
        <v>该名男子抽着手臂，我们在人群中看到快乐的人。</v>
      </c>
    </row>
    <row r="21821">
      <c r="A21821" s="4" t="s">
        <v>27472</v>
      </c>
      <c r="B21821" s="4" t="s">
        <v>27479</v>
      </c>
      <c r="C21821" s="5" t="str">
        <f>IFERROR(__xludf.DUMMYFUNCTION("GOOGLETRANSLATE(B21821,""en"",""zh-CN"")"),"然后，我们看到该男子折腾的答复。")</f>
        <v>然后，我们看到该男子折腾的答复。</v>
      </c>
    </row>
    <row r="21822">
      <c r="A21822" s="4" t="s">
        <v>27480</v>
      </c>
      <c r="B21822" s="4" t="s">
        <v>27481</v>
      </c>
      <c r="C21822" s="5" t="str">
        <f>IFERROR(__xludf.DUMMYFUNCTION("GOOGLETRANSLATE(B21822,""en"",""zh-CN"")"),"一群警棍旋转者是他们的日常比赛，即将举行的比赛。")</f>
        <v>一群警棍旋转者是他们的日常比赛，即将举行的比赛。</v>
      </c>
    </row>
    <row r="21823">
      <c r="A21823" s="4" t="s">
        <v>27480</v>
      </c>
      <c r="B21823" s="4" t="s">
        <v>27482</v>
      </c>
      <c r="C21823" s="5" t="str">
        <f>IFERROR(__xludf.DUMMYFUNCTION("GOOGLETRANSLATE(B21823,""en"",""zh-CN"")"),"新闻播音员正在评论这些事件。")</f>
        <v>新闻播音员正在评论这些事件。</v>
      </c>
    </row>
    <row r="21824">
      <c r="A21824" s="4" t="s">
        <v>27480</v>
      </c>
      <c r="B21824" s="4" t="s">
        <v>27483</v>
      </c>
      <c r="C21824" s="5" t="str">
        <f>IFERROR(__xludf.DUMMYFUNCTION("GOOGLETRANSLATE(B21824,""en"",""zh-CN"")"),"然后对教练进行采访，说明女孩正在做什么。")</f>
        <v>然后对教练进行采访，说明女孩正在做什么。</v>
      </c>
    </row>
    <row r="21825">
      <c r="A21825" s="4" t="s">
        <v>27480</v>
      </c>
      <c r="B21825" s="4" t="s">
        <v>27484</v>
      </c>
      <c r="C21825" s="5" t="str">
        <f>IFERROR(__xludf.DUMMYFUNCTION("GOOGLETRANSLATE(B21825,""en"",""zh-CN"")"),"关于他们为什么如此努力工作的观点，对多个旋转者进行了采访。")</f>
        <v>关于他们为什么如此努力工作的观点，对多个旋转者进行了采访。</v>
      </c>
    </row>
    <row r="21826">
      <c r="A21826" s="4" t="s">
        <v>27480</v>
      </c>
      <c r="B21826" s="4" t="s">
        <v>27485</v>
      </c>
      <c r="C21826" s="5" t="str">
        <f>IFERROR(__xludf.DUMMYFUNCTION("GOOGLETRANSLATE(B21826,""en"",""zh-CN"")"),"教练说明了她对这一过程的热爱以及最重要的。")</f>
        <v>教练说明了她对这一过程的热爱以及最重要的。</v>
      </c>
    </row>
    <row r="21827">
      <c r="A21827" s="4" t="s">
        <v>27480</v>
      </c>
      <c r="B21827" s="4" t="s">
        <v>27486</v>
      </c>
      <c r="C21827" s="5" t="str">
        <f>IFERROR(__xludf.DUMMYFUNCTION("GOOGLETRANSLATE(B21827,""en"",""zh-CN"")"),"评论员宣布比赛将在哪里提供帮助并说明她的名字。")</f>
        <v>评论员宣布比赛将在哪里提供帮助并说明她的名字。</v>
      </c>
    </row>
    <row r="21828">
      <c r="A21828" s="4" t="s">
        <v>27487</v>
      </c>
      <c r="B21828" s="4" t="s">
        <v>27488</v>
      </c>
      <c r="C21828" s="5" t="str">
        <f>IFERROR(__xludf.DUMMYFUNCTION("GOOGLETRANSLATE(B21828,""en"",""zh-CN"")"),"三个人在泻湖上的桥上行走。")</f>
        <v>三个人在泻湖上的桥上行走。</v>
      </c>
    </row>
    <row r="21829">
      <c r="A21829" s="4" t="s">
        <v>27487</v>
      </c>
      <c r="B21829" s="4" t="s">
        <v>27489</v>
      </c>
      <c r="C21829" s="5" t="str">
        <f>IFERROR(__xludf.DUMMYFUNCTION("GOOGLETRANSLATE(B21829,""en"",""zh-CN"")"),"我们看到一个男人在船上，一位女士穿着水肺齿轮。")</f>
        <v>我们看到一个男人在船上，一位女士穿着水肺齿轮。</v>
      </c>
    </row>
    <row r="21830">
      <c r="A21830" s="4" t="s">
        <v>27487</v>
      </c>
      <c r="B21830" s="4" t="s">
        <v>27490</v>
      </c>
      <c r="C21830" s="5" t="str">
        <f>IFERROR(__xludf.DUMMYFUNCTION("GOOGLETRANSLATE(B21830,""en"",""zh-CN"")"),"男人和女人在水下看海洋的生活。")</f>
        <v>男人和女人在水下看海洋的生活。</v>
      </c>
    </row>
    <row r="21831">
      <c r="A21831" s="4" t="s">
        <v>27487</v>
      </c>
      <c r="B21831" s="4" t="s">
        <v>27491</v>
      </c>
      <c r="C21831" s="5" t="str">
        <f>IFERROR(__xludf.DUMMYFUNCTION("GOOGLETRANSLATE(B21831,""en"",""zh-CN"")"),"我们看到一个男人拿着一只水下动物，他将他交给一位女士。")</f>
        <v>我们看到一个男人拿着一只水下动物，他将他交给一位女士。</v>
      </c>
    </row>
    <row r="21832">
      <c r="A21832" s="4" t="s">
        <v>27487</v>
      </c>
      <c r="B21832" s="4" t="s">
        <v>27492</v>
      </c>
      <c r="C21832" s="5" t="str">
        <f>IFERROR(__xludf.DUMMYFUNCTION("GOOGLETRANSLATE(B21832,""en"",""zh-CN"")"),"我们看到一个男人和一位女士在热带露台上说话和笑。")</f>
        <v>我们看到一个男人和一位女士在热带露台上说话和笑。</v>
      </c>
    </row>
    <row r="21833">
      <c r="A21833" s="4" t="s">
        <v>27493</v>
      </c>
      <c r="B21833" s="4" t="s">
        <v>27494</v>
      </c>
      <c r="C21833" s="5" t="str">
        <f>IFERROR(__xludf.DUMMYFUNCTION("GOOGLETRANSLATE(B21833,""en"",""zh-CN"")"),"看到一个女人坐在床上，握着刷子时向前弯曲。")</f>
        <v>看到一个女人坐在床上，握着刷子时向前弯曲。</v>
      </c>
    </row>
    <row r="21834">
      <c r="A21834" s="4" t="s">
        <v>27493</v>
      </c>
      <c r="B21834" s="4" t="s">
        <v>27495</v>
      </c>
      <c r="C21834" s="5" t="str">
        <f>IFERROR(__xludf.DUMMYFUNCTION("GOOGLETRANSLATE(B21834,""en"",""zh-CN"")"),"然后，她一遍又一遍地将刷子穿过头发。")</f>
        <v>然后，她一遍又一遍地将刷子穿过头发。</v>
      </c>
    </row>
    <row r="21835">
      <c r="A21835" s="4" t="s">
        <v>27493</v>
      </c>
      <c r="B21835" s="4" t="s">
        <v>27496</v>
      </c>
      <c r="C21835" s="5" t="str">
        <f>IFERROR(__xludf.DUMMYFUNCTION("GOOGLETRANSLATE(B21835,""en"",""zh-CN"")"),"她继续从头发上跑刷，并通过微笑着相机结束。")</f>
        <v>她继续从头发上跑刷，并通过微笑着相机结束。</v>
      </c>
    </row>
    <row r="21836">
      <c r="A21836" s="4" t="s">
        <v>27497</v>
      </c>
      <c r="B21836" s="4" t="s">
        <v>1487</v>
      </c>
      <c r="C21836" s="5" t="str">
        <f>IFERROR(__xludf.DUMMYFUNCTION("GOOGLETRANSLATE(B21836,""en"",""zh-CN"")"),"我们看到一个开放标题屏幕。")</f>
        <v>我们看到一个开放标题屏幕。</v>
      </c>
    </row>
    <row r="21837">
      <c r="A21837" s="4" t="s">
        <v>27497</v>
      </c>
      <c r="B21837" s="4" t="s">
        <v>27498</v>
      </c>
      <c r="C21837" s="5" t="str">
        <f>IFERROR(__xludf.DUMMYFUNCTION("GOOGLETRANSLATE(B21837,""en"",""zh-CN"")"),"我们在厨房里看到一位穿着厨师外套的女士说话。")</f>
        <v>我们在厨房里看到一位穿着厨师外套的女士说话。</v>
      </c>
    </row>
    <row r="21838">
      <c r="A21838" s="4" t="s">
        <v>27497</v>
      </c>
      <c r="B21838" s="4" t="s">
        <v>27499</v>
      </c>
      <c r="C21838" s="5" t="str">
        <f>IFERROR(__xludf.DUMMYFUNCTION("GOOGLETRANSLATE(B21838,""en"",""zh-CN"")"),"一位女士将刀子磨在杆上。")</f>
        <v>一位女士将刀子磨在杆上。</v>
      </c>
    </row>
    <row r="21839">
      <c r="A21839" s="4" t="s">
        <v>27497</v>
      </c>
      <c r="B21839" s="4" t="s">
        <v>27500</v>
      </c>
      <c r="C21839" s="5" t="str">
        <f>IFERROR(__xludf.DUMMYFUNCTION("GOOGLETRANSLATE(B21839,""en"",""zh-CN"")"),"这位女士将水放在黑色的卷卷动器上。")</f>
        <v>这位女士将水放在黑色的卷卷动器上。</v>
      </c>
    </row>
    <row r="21840">
      <c r="A21840" s="4" t="s">
        <v>27497</v>
      </c>
      <c r="B21840" s="4" t="s">
        <v>27501</v>
      </c>
      <c r="C21840" s="5" t="str">
        <f>IFERROR(__xludf.DUMMYFUNCTION("GOOGLETRANSLATE(B21840,""en"",""zh-CN"")"),"那位女士然后锐化了刀。")</f>
        <v>那位女士然后锐化了刀。</v>
      </c>
    </row>
    <row r="21841">
      <c r="A21841" s="4" t="s">
        <v>27497</v>
      </c>
      <c r="B21841" s="4" t="s">
        <v>27502</v>
      </c>
      <c r="C21841" s="5" t="str">
        <f>IFERROR(__xludf.DUMMYFUNCTION("GOOGLETRANSLATE(B21841,""en"",""zh-CN"")"),"然后，她回到了杆上。")</f>
        <v>然后，她回到了杆上。</v>
      </c>
    </row>
    <row r="21842">
      <c r="A21842" s="4" t="s">
        <v>27497</v>
      </c>
      <c r="B21842" s="4" t="s">
        <v>27503</v>
      </c>
      <c r="C21842" s="5" t="str">
        <f>IFERROR(__xludf.DUMMYFUNCTION("GOOGLETRANSLATE(B21842,""en"",""zh-CN"")"),"然后回到黑色块。")</f>
        <v>然后回到黑色块。</v>
      </c>
    </row>
    <row r="21843">
      <c r="A21843" s="4" t="s">
        <v>27497</v>
      </c>
      <c r="B21843" s="4" t="s">
        <v>27504</v>
      </c>
      <c r="C21843" s="5" t="str">
        <f>IFERROR(__xludf.DUMMYFUNCTION("GOOGLETRANSLATE(B21843,""en"",""zh-CN"")"),"我们看到了关闭标题屏幕。")</f>
        <v>我们看到了关闭标题屏幕。</v>
      </c>
    </row>
    <row r="21844">
      <c r="A21844" s="4" t="s">
        <v>27505</v>
      </c>
      <c r="B21844" s="4" t="s">
        <v>27506</v>
      </c>
      <c r="C21844" s="5" t="str">
        <f>IFERROR(__xludf.DUMMYFUNCTION("GOOGLETRANSLATE(B21844,""en"",""zh-CN"")"),"一个孩子站在凳子上，在水槽里装满水。")</f>
        <v>一个孩子站在凳子上，在水槽里装满水。</v>
      </c>
    </row>
    <row r="21845">
      <c r="A21845" s="4" t="s">
        <v>27505</v>
      </c>
      <c r="B21845" s="4" t="s">
        <v>27507</v>
      </c>
      <c r="C21845" s="5" t="str">
        <f>IFERROR(__xludf.DUMMYFUNCTION("GOOGLETRANSLATE(B21845,""en"",""zh-CN"")"),"孩子戴上紫色手套。")</f>
        <v>孩子戴上紫色手套。</v>
      </c>
    </row>
    <row r="21846">
      <c r="A21846" s="4" t="s">
        <v>27505</v>
      </c>
      <c r="B21846" s="4" t="s">
        <v>27508</v>
      </c>
      <c r="C21846" s="5" t="str">
        <f>IFERROR(__xludf.DUMMYFUNCTION("GOOGLETRANSLATE(B21846,""en"",""zh-CN"")"),"他们脱下手套，放在水槽中。")</f>
        <v>他们脱下手套，放在水槽中。</v>
      </c>
    </row>
    <row r="21847">
      <c r="A21847" s="4" t="s">
        <v>27509</v>
      </c>
      <c r="B21847" s="4" t="s">
        <v>27510</v>
      </c>
      <c r="C21847" s="5" t="str">
        <f>IFERROR(__xludf.DUMMYFUNCTION("GOOGLETRANSLATE(B21847,""en"",""zh-CN"")"),"一个男人赤脚坐在房间里时扭动着脚趾。")</f>
        <v>一个男人赤脚坐在房间里时扭动着脚趾。</v>
      </c>
    </row>
    <row r="21848">
      <c r="A21848" s="4" t="s">
        <v>27509</v>
      </c>
      <c r="B21848" s="4" t="s">
        <v>27511</v>
      </c>
      <c r="C21848" s="5" t="str">
        <f>IFERROR(__xludf.DUMMYFUNCTION("GOOGLETRANSLATE(B21848,""en"",""zh-CN"")"),"该男子穿上鞋子并绑着鞋带。")</f>
        <v>该男子穿上鞋子并绑着鞋带。</v>
      </c>
    </row>
    <row r="21849">
      <c r="A21849" s="4" t="s">
        <v>27509</v>
      </c>
      <c r="B21849" s="4" t="s">
        <v>27512</v>
      </c>
      <c r="C21849" s="5" t="str">
        <f>IFERROR(__xludf.DUMMYFUNCTION("GOOGLETRANSLATE(B21849,""en"",""zh-CN"")"),"该男子坐在坐着时跳动脚。")</f>
        <v>该男子坐在坐着时跳动脚。</v>
      </c>
    </row>
    <row r="21850">
      <c r="A21850" s="4" t="s">
        <v>27513</v>
      </c>
      <c r="B21850" s="4" t="s">
        <v>27514</v>
      </c>
      <c r="C21850" s="5" t="str">
        <f>IFERROR(__xludf.DUMMYFUNCTION("GOOGLETRANSLATE(B21850,""en"",""zh-CN"")"),"三个人正在为Slikhaar Studios展示教学视频。")</f>
        <v>三个人正在为Slikhaar Studios展示教学视频。</v>
      </c>
    </row>
    <row r="21851">
      <c r="A21851" s="4" t="s">
        <v>27513</v>
      </c>
      <c r="B21851" s="4" t="s">
        <v>27515</v>
      </c>
      <c r="C21851" s="5" t="str">
        <f>IFERROR(__xludf.DUMMYFUNCTION("GOOGLETRANSLATE(B21851,""en"",""zh-CN"")"),"中心的那个人正在向穿着蓝色衬衫的人展示一张发型。")</f>
        <v>中心的那个人正在向穿着蓝色衬衫的人展示一张发型。</v>
      </c>
    </row>
    <row r="21852">
      <c r="A21852" s="4" t="s">
        <v>27513</v>
      </c>
      <c r="B21852" s="4" t="s">
        <v>27516</v>
      </c>
      <c r="C21852" s="5" t="str">
        <f>IFERROR(__xludf.DUMMYFUNCTION("GOOGLETRANSLATE(B21852,""en"",""zh-CN"")"),"穿着蓝色衬衫的男人坐在水槽旁边的椅子上。")</f>
        <v>穿着蓝色衬衫的男人坐在水槽旁边的椅子上。</v>
      </c>
    </row>
    <row r="21853">
      <c r="A21853" s="4" t="s">
        <v>27513</v>
      </c>
      <c r="B21853" s="4" t="s">
        <v>27517</v>
      </c>
      <c r="C21853" s="5" t="str">
        <f>IFERROR(__xludf.DUMMYFUNCTION("GOOGLETRANSLATE(B21853,""en"",""zh-CN"")"),"另一个男人开始洗头。")</f>
        <v>另一个男人开始洗头。</v>
      </c>
    </row>
    <row r="21854">
      <c r="A21854" s="4" t="s">
        <v>27513</v>
      </c>
      <c r="B21854" s="4" t="s">
        <v>27518</v>
      </c>
      <c r="C21854" s="5" t="str">
        <f>IFERROR(__xludf.DUMMYFUNCTION("GOOGLETRANSLATE(B21854,""en"",""zh-CN"")"),"他在洗发水中擦洗，然后将其洗净。")</f>
        <v>他在洗发水中擦洗，然后将其洗净。</v>
      </c>
    </row>
    <row r="21855">
      <c r="A21855" s="4" t="s">
        <v>27513</v>
      </c>
      <c r="B21855" s="4" t="s">
        <v>27519</v>
      </c>
      <c r="C21855" s="5" t="str">
        <f>IFERROR(__xludf.DUMMYFUNCTION("GOOGLETRANSLATE(B21855,""en"",""zh-CN"")"),"然后，他梳理了它，用凝胶造型后将头发吹干。")</f>
        <v>然后，他梳理了它，用凝胶造型后将头发吹干。</v>
      </c>
    </row>
    <row r="21856">
      <c r="A21856" s="4" t="s">
        <v>27513</v>
      </c>
      <c r="B21856" s="4" t="s">
        <v>27520</v>
      </c>
      <c r="C21856" s="5" t="str">
        <f>IFERROR(__xludf.DUMMYFUNCTION("GOOGLETRANSLATE(B21856,""en"",""zh-CN"")"),"他使用电动剪刀来修饰侧毛和寺庙。")</f>
        <v>他使用电动剪刀来修饰侧毛和寺庙。</v>
      </c>
    </row>
    <row r="21857">
      <c r="A21857" s="4" t="s">
        <v>27513</v>
      </c>
      <c r="B21857" s="4" t="s">
        <v>27521</v>
      </c>
      <c r="C21857" s="5" t="str">
        <f>IFERROR(__xludf.DUMMYFUNCTION("GOOGLETRANSLATE(B21857,""en"",""zh-CN"")"),"他还用快船剪掉头部和侧面。")</f>
        <v>他还用快船剪掉头部和侧面。</v>
      </c>
    </row>
    <row r="21858">
      <c r="A21858" s="4" t="s">
        <v>27513</v>
      </c>
      <c r="B21858" s="4" t="s">
        <v>27522</v>
      </c>
      <c r="C21858" s="5" t="str">
        <f>IFERROR(__xludf.DUMMYFUNCTION("GOOGLETRANSLATE(B21858,""en"",""zh-CN"")"),"他使用剪刀修剪头发，并给它完成外观。")</f>
        <v>他使用剪刀修剪头发，并给它完成外观。</v>
      </c>
    </row>
    <row r="21859">
      <c r="A21859" s="4" t="s">
        <v>27513</v>
      </c>
      <c r="B21859" s="4" t="s">
        <v>27523</v>
      </c>
      <c r="C21859" s="5" t="str">
        <f>IFERROR(__xludf.DUMMYFUNCTION("GOOGLETRANSLATE(B21859,""en"",""zh-CN"")"),"该模型在理发后使用一些头发凝胶为他的头发造型。")</f>
        <v>该模型在理发后使用一些头发凝胶为他的头发造型。</v>
      </c>
    </row>
    <row r="21860">
      <c r="A21860" s="4" t="s">
        <v>27513</v>
      </c>
      <c r="B21860" s="6" t="s">
        <v>27524</v>
      </c>
      <c r="C21860" s="5" t="str">
        <f>IFERROR(__xludf.DUMMYFUNCTION("GOOGLETRANSLATE(B21860,""en"",""zh-CN"")"),"然后，演出的主持人解释了如何剪发和造型，并提供有关其网站的信息。")</f>
        <v>然后，演出的主持人解释了如何剪发和造型，并提供有关其网站的信息。</v>
      </c>
    </row>
    <row r="21861">
      <c r="A21861" s="4" t="s">
        <v>27525</v>
      </c>
      <c r="B21861" s="4" t="s">
        <v>27526</v>
      </c>
      <c r="C21861" s="5" t="str">
        <f>IFERROR(__xludf.DUMMYFUNCTION("GOOGLETRANSLATE(B21861,""en"",""zh-CN"")"),"一个女人站在椭圆教练的前面说话。")</f>
        <v>一个女人站在椭圆教练的前面说话。</v>
      </c>
    </row>
    <row r="21862">
      <c r="A21862" s="4" t="s">
        <v>27525</v>
      </c>
      <c r="B21862" s="4" t="s">
        <v>27527</v>
      </c>
      <c r="C21862" s="5" t="str">
        <f>IFERROR(__xludf.DUMMYFUNCTION("GOOGLETRANSLATE(B21862,""en"",""zh-CN"")"),"她翻阅一本小册子，然后走到教练。")</f>
        <v>她翻阅一本小册子，然后走到教练。</v>
      </c>
    </row>
    <row r="21863">
      <c r="A21863" s="4" t="s">
        <v>27525</v>
      </c>
      <c r="B21863" s="4" t="s">
        <v>27528</v>
      </c>
      <c r="C21863" s="5" t="str">
        <f>IFERROR(__xludf.DUMMYFUNCTION("GOOGLETRANSLATE(B21863,""en"",""zh-CN"")"),"她开始演示如何为培训师准备使用。")</f>
        <v>她开始演示如何为培训师准备使用。</v>
      </c>
    </row>
    <row r="21864">
      <c r="A21864" s="4" t="s">
        <v>27525</v>
      </c>
      <c r="B21864" s="4" t="s">
        <v>27529</v>
      </c>
      <c r="C21864" s="5" t="str">
        <f>IFERROR(__xludf.DUMMYFUNCTION("GOOGLETRANSLATE(B21864,""en"",""zh-CN"")"),"她爬上教练，并通过用脚踩踏板来展示如何使用它。")</f>
        <v>她爬上教练，并通过用脚踩踏板来展示如何使用它。</v>
      </c>
    </row>
    <row r="21865">
      <c r="A21865" s="4" t="s">
        <v>27525</v>
      </c>
      <c r="B21865" s="4" t="s">
        <v>27530</v>
      </c>
      <c r="C21865" s="5" t="str">
        <f>IFERROR(__xludf.DUMMYFUNCTION("GOOGLETRANSLATE(B21865,""en"",""zh-CN"")"),"然后显示显示屏幕的特写。")</f>
        <v>然后显示显示屏幕的特写。</v>
      </c>
    </row>
    <row r="21866">
      <c r="A21866" s="4" t="s">
        <v>27525</v>
      </c>
      <c r="B21866" s="4" t="s">
        <v>27531</v>
      </c>
      <c r="C21866" s="5" t="str">
        <f>IFERROR(__xludf.DUMMYFUNCTION("GOOGLETRANSLATE(B21866,""en"",""zh-CN"")"),"培训师被折叠以显示压实和易于存储空间。")</f>
        <v>培训师被折叠以显示压实和易于存储空间。</v>
      </c>
    </row>
    <row r="21867">
      <c r="A21867" s="4" t="s">
        <v>27532</v>
      </c>
      <c r="B21867" s="4" t="s">
        <v>27533</v>
      </c>
      <c r="C21867" s="5" t="str">
        <f>IFERROR(__xludf.DUMMYFUNCTION("GOOGLETRANSLATE(B21867,""en"",""zh-CN"")"),"一个灰色的兔子站在床上，用黑色的毛巾在他的手里吃东西。")</f>
        <v>一个灰色的兔子站在床上，用黑色的毛巾在他的手里吃东西。</v>
      </c>
    </row>
    <row r="21868">
      <c r="A21868" s="4" t="s">
        <v>27532</v>
      </c>
      <c r="B21868" s="4" t="s">
        <v>27534</v>
      </c>
      <c r="C21868" s="5" t="str">
        <f>IFERROR(__xludf.DUMMYFUNCTION("GOOGLETRANSLATE(B21868,""en"",""zh-CN"")"),"当他吃饭时，兔子开始抓住他的耳朵并摇头。")</f>
        <v>当他吃饭时，兔子开始抓住他的耳朵并摇头。</v>
      </c>
    </row>
    <row r="21869">
      <c r="A21869" s="4" t="s">
        <v>27532</v>
      </c>
      <c r="B21869" s="4" t="s">
        <v>27535</v>
      </c>
      <c r="C21869" s="5" t="str">
        <f>IFERROR(__xludf.DUMMYFUNCTION("GOOGLETRANSLATE(B21869,""en"",""zh-CN"")"),"苦苦挣扎，兔子弯腰弯腰，不停地吃东西。")</f>
        <v>苦苦挣扎，兔子弯腰弯腰，不停地吃东西。</v>
      </c>
    </row>
    <row r="21870">
      <c r="A21870" s="4" t="s">
        <v>27536</v>
      </c>
      <c r="B21870" s="6" t="s">
        <v>27537</v>
      </c>
      <c r="C21870" s="5" t="str">
        <f>IFERROR(__xludf.DUMMYFUNCTION("GOOGLETRANSLATE(B21870,""en"",""zh-CN"")"),"当一个人递给她球时，看到一个小孩坐在秋水桌上，她把球放进了比赛。")</f>
        <v>当一个人递给她球时，看到一个小孩坐在秋水桌上，她把球放进了比赛。</v>
      </c>
    </row>
    <row r="21871">
      <c r="A21871" s="4" t="s">
        <v>27536</v>
      </c>
      <c r="B21871" s="6" t="s">
        <v>27538</v>
      </c>
      <c r="C21871" s="5" t="str">
        <f>IFERROR(__xludf.DUMMYFUNCTION("GOOGLETRANSLATE(B21871,""en"",""zh-CN"")"),"然后，该男子通过将杆子移动到周围并推动人们来帮助女孩在桌子上玩耍。")</f>
        <v>然后，该男子通过将杆子移动到周围并推动人们来帮助女孩在桌子上玩耍。</v>
      </c>
    </row>
    <row r="21872">
      <c r="A21872" s="4" t="s">
        <v>27539</v>
      </c>
      <c r="B21872" s="4" t="s">
        <v>27540</v>
      </c>
      <c r="C21872" s="5" t="str">
        <f>IFERROR(__xludf.DUMMYFUNCTION("GOOGLETRANSLATE(B21872,""en"",""zh-CN"")"),"运动员沿着轨道奔跑，在球场上投掷标枪。")</f>
        <v>运动员沿着轨道奔跑，在球场上投掷标枪。</v>
      </c>
    </row>
    <row r="21873">
      <c r="A21873" s="4" t="s">
        <v>27539</v>
      </c>
      <c r="B21873" s="4" t="s">
        <v>27541</v>
      </c>
      <c r="C21873" s="5" t="str">
        <f>IFERROR(__xludf.DUMMYFUNCTION("GOOGLETRANSLATE(B21873,""en"",""zh-CN"")"),"裁判用尽了标枪位置。")</f>
        <v>裁判用尽了标枪位置。</v>
      </c>
    </row>
    <row r="21874">
      <c r="A21874" s="4" t="s">
        <v>27539</v>
      </c>
      <c r="B21874" s="4" t="s">
        <v>27542</v>
      </c>
      <c r="C21874" s="5" t="str">
        <f>IFERROR(__xludf.DUMMYFUNCTION("GOOGLETRANSLATE(B21874,""en"",""zh-CN"")"),"排行榜是大量运动员。")</f>
        <v>排行榜是大量运动员。</v>
      </c>
    </row>
    <row r="21875">
      <c r="A21875" s="4" t="s">
        <v>27543</v>
      </c>
      <c r="B21875" s="4" t="s">
        <v>27544</v>
      </c>
      <c r="C21875" s="5" t="str">
        <f>IFERROR(__xludf.DUMMYFUNCTION("GOOGLETRANSLATE(B21875,""en"",""zh-CN"")"),"一名曲棍球运动员在双腿之间的场上插入一个球。")</f>
        <v>一名曲棍球运动员在双腿之间的场上插入一个球。</v>
      </c>
    </row>
    <row r="21876">
      <c r="A21876" s="4" t="s">
        <v>27543</v>
      </c>
      <c r="B21876" s="4" t="s">
        <v>27545</v>
      </c>
      <c r="C21876" s="5" t="str">
        <f>IFERROR(__xludf.DUMMYFUNCTION("GOOGLETRANSLATE(B21876,""en"",""zh-CN"")"),"曲棍球在他面前来回运球。")</f>
        <v>曲棍球在他面前来回运球。</v>
      </c>
    </row>
    <row r="21877">
      <c r="A21877" s="4" t="s">
        <v>27543</v>
      </c>
      <c r="B21877" s="4" t="s">
        <v>27546</v>
      </c>
      <c r="C21877" s="5" t="str">
        <f>IFERROR(__xludf.DUMMYFUNCTION("GOOGLETRANSLATE(B21877,""en"",""zh-CN"")"),"田野曲棍球运动员在空中挤压球并在棍子上平衡时击中。")</f>
        <v>田野曲棍球运动员在空中挤压球并在棍子上平衡时击中。</v>
      </c>
    </row>
    <row r="21878">
      <c r="A21878" s="4" t="s">
        <v>27543</v>
      </c>
      <c r="B21878" s="4" t="s">
        <v>27547</v>
      </c>
      <c r="C21878" s="5" t="str">
        <f>IFERROR(__xludf.DUMMYFUNCTION("GOOGLETRANSLATE(B21878,""en"",""zh-CN"")"),"玩家穿过一组圆锥体，对球门进行投篮。")</f>
        <v>玩家穿过一组圆锥体，对球门进行投篮。</v>
      </c>
    </row>
    <row r="21879">
      <c r="A21879" s="4" t="s">
        <v>27548</v>
      </c>
      <c r="B21879" s="4" t="s">
        <v>27549</v>
      </c>
      <c r="C21879" s="5" t="str">
        <f>IFERROR(__xludf.DUMMYFUNCTION("GOOGLETRANSLATE(B21879,""en"",""zh-CN"")"),"人们正在向后驾驶带木筏的汽车。")</f>
        <v>人们正在向后驾驶带木筏的汽车。</v>
      </c>
    </row>
    <row r="21880">
      <c r="A21880" s="4" t="s">
        <v>27548</v>
      </c>
      <c r="B21880" s="4" t="s">
        <v>27550</v>
      </c>
      <c r="C21880" s="5" t="str">
        <f>IFERROR(__xludf.DUMMYFUNCTION("GOOGLETRANSLATE(B21880,""en"",""zh-CN"")"),"他们进入筏子，正在河流漂流。")</f>
        <v>他们进入筏子，正在河流漂流。</v>
      </c>
    </row>
    <row r="21881">
      <c r="A21881" s="4" t="s">
        <v>27548</v>
      </c>
      <c r="B21881" s="4" t="s">
        <v>27551</v>
      </c>
      <c r="C21881" s="5" t="str">
        <f>IFERROR(__xludf.DUMMYFUNCTION("GOOGLETRANSLATE(B21881,""en"",""zh-CN"")"),"他们去热狗摊子买食物。")</f>
        <v>他们去热狗摊子买食物。</v>
      </c>
    </row>
    <row r="21882">
      <c r="A21882" s="4" t="s">
        <v>27548</v>
      </c>
      <c r="B21882" s="4" t="s">
        <v>27552</v>
      </c>
      <c r="C21882" s="5" t="str">
        <f>IFERROR(__xludf.DUMMYFUNCTION("GOOGLETRANSLATE(B21882,""en"",""zh-CN"")"),"他们继续漂流到河中。")</f>
        <v>他们继续漂流到河中。</v>
      </c>
    </row>
    <row r="21883">
      <c r="A21883" s="4" t="s">
        <v>27553</v>
      </c>
      <c r="B21883" s="6" t="s">
        <v>27554</v>
      </c>
      <c r="C21883" s="5" t="str">
        <f>IFERROR(__xludf.DUMMYFUNCTION("GOOGLETRANSLATE(B21883,""en"",""zh-CN"")"),"一个男人穿着武术制服出现在屏幕上，向人们展示了如何进行侧踢。")</f>
        <v>一个男人穿着武术制服出现在屏幕上，向人们展示了如何进行侧踢。</v>
      </c>
    </row>
    <row r="21884">
      <c r="A21884" s="4" t="s">
        <v>27553</v>
      </c>
      <c r="B21884" s="4" t="s">
        <v>27555</v>
      </c>
      <c r="C21884" s="5" t="str">
        <f>IFERROR(__xludf.DUMMYFUNCTION("GOOGLETRANSLATE(B21884,""en"",""zh-CN"")"),"他从一边向一边摇摆，以显示如何控制您的平衡。")</f>
        <v>他从一边向一边摇摆，以显示如何控制您的平衡。</v>
      </c>
    </row>
    <row r="21885">
      <c r="A21885" s="4" t="s">
        <v>27553</v>
      </c>
      <c r="B21885" s="4" t="s">
        <v>27556</v>
      </c>
      <c r="C21885" s="5" t="str">
        <f>IFERROR(__xludf.DUMMYFUNCTION("GOOGLETRANSLATE(B21885,""en"",""zh-CN"")"),"他抬起膝盖，从左到右交替交替，展示如何开始踢。")</f>
        <v>他抬起膝盖，从左到右交替交替，展示如何开始踢。</v>
      </c>
    </row>
    <row r="21886">
      <c r="A21886" s="4" t="s">
        <v>27553</v>
      </c>
      <c r="B21886" s="4" t="s">
        <v>27557</v>
      </c>
      <c r="C21886" s="5" t="str">
        <f>IFERROR(__xludf.DUMMYFUNCTION("GOOGLETRANSLATE(B21886,""en"",""zh-CN"")"),"他继续展示如何通过跟进来完成侧踢。")</f>
        <v>他继续展示如何通过跟进来完成侧踢。</v>
      </c>
    </row>
    <row r="21887">
      <c r="A21887" s="4" t="s">
        <v>27553</v>
      </c>
      <c r="B21887" s="4" t="s">
        <v>27558</v>
      </c>
      <c r="C21887" s="5" t="str">
        <f>IFERROR(__xludf.DUMMYFUNCTION("GOOGLETRANSLATE(B21887,""en"",""zh-CN"")"),"然后他演示了如何从几个角度进行踢。")</f>
        <v>然后他演示了如何从几个角度进行踢。</v>
      </c>
    </row>
    <row r="21888">
      <c r="A21888" s="4" t="s">
        <v>27559</v>
      </c>
      <c r="B21888" s="4" t="s">
        <v>27560</v>
      </c>
      <c r="C21888" s="5" t="str">
        <f>IFERROR(__xludf.DUMMYFUNCTION("GOOGLETRANSLATE(B21888,""en"",""zh-CN"")"),"我们看到一个开头的白屏。")</f>
        <v>我们看到一个开头的白屏。</v>
      </c>
    </row>
    <row r="21889">
      <c r="A21889" s="4" t="s">
        <v>27559</v>
      </c>
      <c r="B21889" s="4" t="s">
        <v>27561</v>
      </c>
      <c r="C21889" s="5" t="str">
        <f>IFERROR(__xludf.DUMMYFUNCTION("GOOGLETRANSLATE(B21889,""en"",""zh-CN"")"),"然后，我们看到一个人推动自行车制动并调整它。")</f>
        <v>然后，我们看到一个人推动自行车制动并调整它。</v>
      </c>
    </row>
    <row r="21890">
      <c r="A21890" s="4" t="s">
        <v>27559</v>
      </c>
      <c r="B21890" s="4" t="s">
        <v>27562</v>
      </c>
      <c r="C21890" s="5" t="str">
        <f>IFERROR(__xludf.DUMMYFUNCTION("GOOGLETRANSLATE(B21890,""en"",""zh-CN"")"),"该男子在轮胎附近的自行车上拉一根电线。")</f>
        <v>该男子在轮胎附近的自行车上拉一根电线。</v>
      </c>
    </row>
    <row r="21891">
      <c r="A21891" s="4" t="s">
        <v>27559</v>
      </c>
      <c r="B21891" s="4" t="s">
        <v>27563</v>
      </c>
      <c r="C21891" s="5" t="str">
        <f>IFERROR(__xludf.DUMMYFUNCTION("GOOGLETRANSLATE(B21891,""en"",""zh-CN"")"),"然后，男人再次调整烘焙杆。")</f>
        <v>然后，男人再次调整烘焙杆。</v>
      </c>
    </row>
    <row r="21892">
      <c r="A21892" s="4" t="s">
        <v>27559</v>
      </c>
      <c r="B21892" s="4" t="s">
        <v>27564</v>
      </c>
      <c r="C21892" s="5" t="str">
        <f>IFERROR(__xludf.DUMMYFUNCTION("GOOGLETRANSLATE(B21892,""en"",""zh-CN"")"),"然后，我们看到男人在跟相机说话。")</f>
        <v>然后，我们看到男人在跟相机说话。</v>
      </c>
    </row>
    <row r="21893">
      <c r="A21893" s="4" t="s">
        <v>27559</v>
      </c>
      <c r="B21893" s="4" t="s">
        <v>777</v>
      </c>
      <c r="C21893" s="5" t="str">
        <f>IFERROR(__xludf.DUMMYFUNCTION("GOOGLETRANSLATE(B21893,""en"",""zh-CN"")"),"我们看到结尾标题屏幕。")</f>
        <v>我们看到结尾标题屏幕。</v>
      </c>
    </row>
    <row r="21894">
      <c r="A21894" s="4" t="s">
        <v>27565</v>
      </c>
      <c r="B21894" s="4" t="s">
        <v>27566</v>
      </c>
      <c r="C21894" s="5" t="str">
        <f>IFERROR(__xludf.DUMMYFUNCTION("GOOGLETRANSLATE(B21894,""en"",""zh-CN"")"),"坐在椅子上的女人在狗的嘴里拿着杯子，以便雾可以舔杯子。")</f>
        <v>坐在椅子上的女人在狗的嘴里拿着杯子，以便雾可以舔杯子。</v>
      </c>
    </row>
    <row r="21895">
      <c r="A21895" s="4" t="s">
        <v>27565</v>
      </c>
      <c r="B21895" s="4" t="s">
        <v>27567</v>
      </c>
      <c r="C21895" s="5" t="str">
        <f>IFERROR(__xludf.DUMMYFUNCTION("GOOGLETRANSLATE(B21895,""en"",""zh-CN"")"),"黑狗正站在一个活着的OOM中，从杯子里舔水。")</f>
        <v>黑狗正站在一个活着的OOM中，从杯子里舔水。</v>
      </c>
    </row>
    <row r="21896">
      <c r="A21896" s="4" t="s">
        <v>27565</v>
      </c>
      <c r="B21896" s="4" t="s">
        <v>27568</v>
      </c>
      <c r="C21896" s="5" t="str">
        <f>IFERROR(__xludf.DUMMYFUNCTION("GOOGLETRANSLATE(B21896,""en"",""zh-CN"")"),"一个女人站在白色地毯上的黑狗谋生。")</f>
        <v>一个女人站在白色地毯上的黑狗谋生。</v>
      </c>
    </row>
    <row r="21897">
      <c r="A21897" s="4" t="s">
        <v>27569</v>
      </c>
      <c r="B21897" s="4" t="s">
        <v>27570</v>
      </c>
      <c r="C21897" s="5" t="str">
        <f>IFERROR(__xludf.DUMMYFUNCTION("GOOGLETRANSLATE(B21897,""en"",""zh-CN"")"),"一个男孩正在公园里的猴子酒吧摆动。")</f>
        <v>一个男孩正在公园里的猴子酒吧摆动。</v>
      </c>
    </row>
    <row r="21898">
      <c r="A21898" s="4" t="s">
        <v>27569</v>
      </c>
      <c r="B21898" s="4" t="s">
        <v>27571</v>
      </c>
      <c r="C21898" s="5" t="str">
        <f>IFERROR(__xludf.DUMMYFUNCTION("GOOGLETRANSLATE(B21898,""en"",""zh-CN"")"),"一个男人在他身后做某事。")</f>
        <v>一个男人在他身后做某事。</v>
      </c>
    </row>
    <row r="21899">
      <c r="A21899" s="4" t="s">
        <v>27569</v>
      </c>
      <c r="B21899" s="4" t="s">
        <v>27572</v>
      </c>
      <c r="C21899" s="5" t="str">
        <f>IFERROR(__xludf.DUMMYFUNCTION("GOOGLETRANSLATE(B21899,""en"",""zh-CN"")"),"这个男孩一直穿越。")</f>
        <v>这个男孩一直穿越。</v>
      </c>
    </row>
    <row r="21900">
      <c r="A21900" s="4" t="s">
        <v>27573</v>
      </c>
      <c r="B21900" s="4" t="s">
        <v>27574</v>
      </c>
      <c r="C21900" s="5" t="str">
        <f>IFERROR(__xludf.DUMMYFUNCTION("GOOGLETRANSLATE(B21900,""en"",""zh-CN"")"),"看到一大批人在一个大型体育馆里一起四处走动。")</f>
        <v>看到一大批人在一个大型体育馆里一起四处走动。</v>
      </c>
    </row>
    <row r="21901">
      <c r="A21901" s="4" t="s">
        <v>27573</v>
      </c>
      <c r="B21901" s="4" t="s">
        <v>27575</v>
      </c>
      <c r="C21901" s="5" t="str">
        <f>IFERROR(__xludf.DUMMYFUNCTION("GOOGLETRANSLATE(B21901,""en"",""zh-CN"")"),"人们在横梁上上下移动，将双腿踢起来，四处走动。")</f>
        <v>人们在横梁上上下移动，将双腿踢起来，四处走动。</v>
      </c>
    </row>
    <row r="21902">
      <c r="A21902" s="4" t="s">
        <v>27573</v>
      </c>
      <c r="B21902" s="4" t="s">
        <v>27576</v>
      </c>
      <c r="C21902" s="5" t="str">
        <f>IFERROR(__xludf.DUMMYFUNCTION("GOOGLETRANSLATE(B21902,""en"",""zh-CN"")"),"当相机捕捉动作时，人们继续在板上移动。")</f>
        <v>当相机捕捉动作时，人们继续在板上移动。</v>
      </c>
    </row>
    <row r="21903">
      <c r="A21903" s="4" t="s">
        <v>27577</v>
      </c>
      <c r="B21903" s="6" t="s">
        <v>27578</v>
      </c>
      <c r="C21903" s="5" t="str">
        <f>IFERROR(__xludf.DUMMYFUNCTION("GOOGLETRANSLATE(B21903,""en"",""zh-CN"")"),"在开放的法庭区域中有很多人，他们看起来大多是老年人从事某种运动。")</f>
        <v>在开放的法庭区域中有很多人，他们看起来大多是老年人从事某种运动。</v>
      </c>
    </row>
    <row r="21904">
      <c r="A21904" s="4" t="s">
        <v>27577</v>
      </c>
      <c r="B21904" s="6" t="s">
        <v>27579</v>
      </c>
      <c r="C21904" s="5" t="str">
        <f>IFERROR(__xludf.DUMMYFUNCTION("GOOGLETRANSLATE(B21904,""en"",""zh-CN"")"),"一个男人和一个女人开始一起走过球场，他们停下来看着一个有棍子的男人用他的棍子在球场上击中一些东西。")</f>
        <v>一个男人和一个女人开始一起走过球场，他们停下来看着一个有棍子的男人用他的棍子在球场上击中一些东西。</v>
      </c>
    </row>
    <row r="21905">
      <c r="A21905" s="4" t="s">
        <v>27577</v>
      </c>
      <c r="B21905" s="6" t="s">
        <v>27580</v>
      </c>
      <c r="C21905" s="5" t="str">
        <f>IFERROR(__xludf.DUMMYFUNCTION("GOOGLETRANSLATE(B21905,""en"",""zh-CN"")"),"然后，另一个男人走到法庭上，轮到他了，而那个刚转身走开的人。")</f>
        <v>然后，另一个男人走到法庭上，轮到他了，而那个刚转身走开的人。</v>
      </c>
    </row>
    <row r="21906">
      <c r="A21906" s="4" t="s">
        <v>27581</v>
      </c>
      <c r="B21906" s="4" t="s">
        <v>27582</v>
      </c>
      <c r="C21906" s="5" t="str">
        <f>IFERROR(__xludf.DUMMYFUNCTION("GOOGLETRANSLATE(B21906,""en"",""zh-CN"")"),"一个男人穿上焊接安全装备。")</f>
        <v>一个男人穿上焊接安全装备。</v>
      </c>
    </row>
    <row r="21907">
      <c r="A21907" s="4" t="s">
        <v>27581</v>
      </c>
      <c r="B21907" s="4" t="s">
        <v>27583</v>
      </c>
      <c r="C21907" s="5" t="str">
        <f>IFERROR(__xludf.DUMMYFUNCTION("GOOGLETRANSLATE(B21907,""en"",""zh-CN"")"),"该男子开始在金属桌子上焊接一些东西。")</f>
        <v>该男子开始在金属桌子上焊接一些东西。</v>
      </c>
    </row>
    <row r="21908">
      <c r="A21908" s="4" t="s">
        <v>27581</v>
      </c>
      <c r="B21908" s="4" t="s">
        <v>27584</v>
      </c>
      <c r="C21908" s="5" t="str">
        <f>IFERROR(__xludf.DUMMYFUNCTION("GOOGLETRANSLATE(B21908,""en"",""zh-CN"")"),"他停止焊接，抬起面罩并调整桌子上的东西。")</f>
        <v>他停止焊接，抬起面罩并调整桌子上的东西。</v>
      </c>
    </row>
    <row r="21909">
      <c r="A21909" s="4" t="s">
        <v>27581</v>
      </c>
      <c r="B21909" s="4" t="s">
        <v>27585</v>
      </c>
      <c r="C21909" s="5" t="str">
        <f>IFERROR(__xludf.DUMMYFUNCTION("GOOGLETRANSLATE(B21909,""en"",""zh-CN"")"),"然后，他降低了面膜，然后再次开始焊接。")</f>
        <v>然后，他降低了面膜，然后再次开始焊接。</v>
      </c>
    </row>
    <row r="21910">
      <c r="A21910" s="4" t="s">
        <v>27581</v>
      </c>
      <c r="B21910" s="4" t="s">
        <v>27586</v>
      </c>
      <c r="C21910" s="5" t="str">
        <f>IFERROR(__xludf.DUMMYFUNCTION("GOOGLETRANSLATE(B21910,""en"",""zh-CN"")"),"他停下来再次举起面具。")</f>
        <v>他停下来再次举起面具。</v>
      </c>
    </row>
    <row r="21911">
      <c r="A21911" s="4" t="s">
        <v>27581</v>
      </c>
      <c r="B21911" s="4" t="s">
        <v>27587</v>
      </c>
      <c r="C21911" s="5" t="str">
        <f>IFERROR(__xludf.DUMMYFUNCTION("GOOGLETRANSLATE(B21911,""en"",""zh-CN"")"),"他使用工具在打磨之前击中桌子上的东西。")</f>
        <v>他使用工具在打磨之前击中桌子上的东西。</v>
      </c>
    </row>
    <row r="21912">
      <c r="A21912" s="4" t="s">
        <v>27581</v>
      </c>
      <c r="B21912" s="4" t="s">
        <v>27588</v>
      </c>
      <c r="C21912" s="5" t="str">
        <f>IFERROR(__xludf.DUMMYFUNCTION("GOOGLETRANSLATE(B21912,""en"",""zh-CN"")"),"该男子走到相机时伸出手套。")</f>
        <v>该男子走到相机时伸出手套。</v>
      </c>
    </row>
    <row r="21913">
      <c r="A21913" s="4" t="s">
        <v>27581</v>
      </c>
      <c r="B21913" s="4" t="s">
        <v>27589</v>
      </c>
      <c r="C21913" s="5" t="str">
        <f>IFERROR(__xludf.DUMMYFUNCTION("GOOGLETRANSLATE(B21913,""en"",""zh-CN"")"),"他将相机带到桌子上，展示了他所做的工作。")</f>
        <v>他将相机带到桌子上，展示了他所做的工作。</v>
      </c>
    </row>
    <row r="21914">
      <c r="A21914" s="4" t="s">
        <v>27590</v>
      </c>
      <c r="B21914" s="4" t="s">
        <v>27591</v>
      </c>
      <c r="C21914" s="5" t="str">
        <f>IFERROR(__xludf.DUMMYFUNCTION("GOOGLETRANSLATE(B21914,""en"",""zh-CN"")"),"一个女人正在将食材倒入搅拌机中。")</f>
        <v>一个女人正在将食材倒入搅拌机中。</v>
      </c>
    </row>
    <row r="21915">
      <c r="A21915" s="4" t="s">
        <v>27590</v>
      </c>
      <c r="B21915" s="4" t="s">
        <v>27592</v>
      </c>
      <c r="C21915" s="5" t="str">
        <f>IFERROR(__xludf.DUMMYFUNCTION("GOOGLETRANSLATE(B21915,""en"",""zh-CN"")"),"然后，她将面团变成球，然后将它们放在饼干板上。")</f>
        <v>然后，她将面团变成球，然后将它们放在饼干板上。</v>
      </c>
    </row>
    <row r="21916">
      <c r="A21916" s="4" t="s">
        <v>27590</v>
      </c>
      <c r="B21916" s="4" t="s">
        <v>27593</v>
      </c>
      <c r="C21916" s="5" t="str">
        <f>IFERROR(__xludf.DUMMYFUNCTION("GOOGLETRANSLATE(B21916,""en"",""zh-CN"")"),"她将它们放在烤箱中。")</f>
        <v>她将它们放在烤箱中。</v>
      </c>
    </row>
    <row r="21917">
      <c r="A21917" s="4" t="s">
        <v>27594</v>
      </c>
      <c r="B21917" s="6" t="s">
        <v>27595</v>
      </c>
      <c r="C21917" s="5" t="str">
        <f>IFERROR(__xludf.DUMMYFUNCTION("GOOGLETRANSLATE(B21917,""en"",""zh-CN"")"),"一个男人坐在地上，一只脚上有滑板表演，另一只脚的腿上有假肢。")</f>
        <v>一个男人坐在地上，一只脚上有滑板表演，另一只脚的腿上有假肢。</v>
      </c>
    </row>
    <row r="21918">
      <c r="A21918" s="4" t="s">
        <v>27594</v>
      </c>
      <c r="B21918" s="4" t="s">
        <v>27596</v>
      </c>
      <c r="C21918" s="5" t="str">
        <f>IFERROR(__xludf.DUMMYFUNCTION("GOOGLETRANSLATE(B21918,""en"",""zh-CN"")"),"然后，该名男子将滚筒刀片放在假肢上，然后沿另一只脚跟随。")</f>
        <v>然后，该名男子将滚筒刀片放在假肢上，然后沿另一只脚跟随。</v>
      </c>
    </row>
    <row r="21919">
      <c r="A21919" s="4" t="s">
        <v>27594</v>
      </c>
      <c r="B21919" s="4" t="s">
        <v>27597</v>
      </c>
      <c r="C21919" s="5" t="str">
        <f>IFERROR(__xludf.DUMMYFUNCTION("GOOGLETRANSLATE(B21919,""en"",""zh-CN"")"),"一旦他们俩都在上面，他就会踩到草地，有人在起床时协助他。")</f>
        <v>一旦他们俩都在上面，他就会踩到草地，有人在起床时协助他。</v>
      </c>
    </row>
    <row r="21920">
      <c r="A21920" s="4" t="s">
        <v>27594</v>
      </c>
      <c r="B21920" s="6" t="s">
        <v>27598</v>
      </c>
      <c r="C21920" s="5" t="str">
        <f>IFERROR(__xludf.DUMMYFUNCTION("GOOGLETRANSLATE(B21920,""en"",""zh-CN"")"),"稳定后，他站起来，走下人行道，然后回来坐在人行道上。")</f>
        <v>稳定后，他站起来，走下人行道，然后回来坐在人行道上。</v>
      </c>
    </row>
    <row r="21921">
      <c r="A21921" s="4" t="s">
        <v>27599</v>
      </c>
      <c r="B21921" s="6" t="s">
        <v>27600</v>
      </c>
      <c r="C21921" s="5" t="str">
        <f>IFERROR(__xludf.DUMMYFUNCTION("GOOGLETRANSLATE(B21921,""en"",""zh-CN"")"),"看到几个物品布置在桌子上，然后是一个将每个物品展示给相机的人。")</f>
        <v>看到几个物品布置在桌子上，然后是一个将每个物品展示给相机的人。</v>
      </c>
    </row>
    <row r="21922">
      <c r="A21922" s="4" t="s">
        <v>27599</v>
      </c>
      <c r="B21922" s="4" t="s">
        <v>27601</v>
      </c>
      <c r="C21922" s="5" t="str">
        <f>IFERROR(__xludf.DUMMYFUNCTION("GOOGLETRANSLATE(B21922,""en"",""zh-CN"")"),"该人将刷子浸入水中，然后将清洁剂擦拭，并在整个刷子上擦抹布。")</f>
        <v>该人将刷子浸入水中，然后将清洁剂擦拭，并在整个刷子上擦抹布。</v>
      </c>
    </row>
    <row r="21923">
      <c r="A21923" s="4" t="s">
        <v>27599</v>
      </c>
      <c r="B21923" s="4" t="s">
        <v>27602</v>
      </c>
      <c r="C21923" s="5" t="str">
        <f>IFERROR(__xludf.DUMMYFUNCTION("GOOGLETRANSLATE(B21923,""en"",""zh-CN"")"),"该人用刷子擦拭鞋子，然后用抹布从侧面擦去。")</f>
        <v>该人用刷子擦拭鞋子，然后用抹布从侧面擦去。</v>
      </c>
    </row>
    <row r="21924">
      <c r="A21924" s="4" t="s">
        <v>27599</v>
      </c>
      <c r="B21924" s="4" t="s">
        <v>27603</v>
      </c>
      <c r="C21924" s="5" t="str">
        <f>IFERROR(__xludf.DUMMYFUNCTION("GOOGLETRANSLATE(B21924,""en"",""zh-CN"")"),"他等待一定的时间，然后再次摩擦鞋子并展示它们。")</f>
        <v>他等待一定的时间，然后再次摩擦鞋子并展示它们。</v>
      </c>
    </row>
    <row r="21925">
      <c r="A21925" s="4" t="s">
        <v>27604</v>
      </c>
      <c r="B21925" s="4" t="s">
        <v>27605</v>
      </c>
      <c r="C21925" s="5" t="str">
        <f>IFERROR(__xludf.DUMMYFUNCTION("GOOGLETRANSLATE(B21925,""en"",""zh-CN"")"),"男人正在赌场看着罂粟和机器。")</f>
        <v>男人正在赌场看着罂粟和机器。</v>
      </c>
    </row>
    <row r="21926">
      <c r="A21926" s="4" t="s">
        <v>27604</v>
      </c>
      <c r="B21926" s="4" t="s">
        <v>27606</v>
      </c>
      <c r="C21926" s="5" t="str">
        <f>IFERROR(__xludf.DUMMYFUNCTION("GOOGLETRANSLATE(B21926,""en"",""zh-CN"")"),"女人坐在黑色杰克桌子里，正在和男人说话。")</f>
        <v>女人坐在黑色杰克桌子里，正在和男人说话。</v>
      </c>
    </row>
    <row r="21927">
      <c r="A21927" s="4" t="s">
        <v>27604</v>
      </c>
      <c r="B21927" s="4" t="s">
        <v>27607</v>
      </c>
      <c r="C21927" s="5" t="str">
        <f>IFERROR(__xludf.DUMMYFUNCTION("GOOGLETRANSLATE(B21927,""en"",""zh-CN"")"),"女人在微笑着伸展她的手臂后面。")</f>
        <v>女人在微笑着伸展她的手臂后面。</v>
      </c>
    </row>
    <row r="21928">
      <c r="A21928" s="4" t="s">
        <v>27604</v>
      </c>
      <c r="B21928" s="4" t="s">
        <v>27608</v>
      </c>
      <c r="C21928" s="5" t="str">
        <f>IFERROR(__xludf.DUMMYFUNCTION("GOOGLETRANSLATE(B21928,""en"",""zh-CN"")"),"人坐在桌子里，开始在赌场玩黑色杰克。")</f>
        <v>人坐在桌子里，开始在赌场玩黑色杰克。</v>
      </c>
    </row>
    <row r="21929">
      <c r="A21929" s="4" t="s">
        <v>27609</v>
      </c>
      <c r="B21929" s="4" t="s">
        <v>27610</v>
      </c>
      <c r="C21929" s="5" t="str">
        <f>IFERROR(__xludf.DUMMYFUNCTION("GOOGLETRANSLATE(B21929,""en"",""zh-CN"")"),"工头在开始焊接金属之前戴着蓝色的手套。")</f>
        <v>工头在开始焊接金属之前戴着蓝色的手套。</v>
      </c>
    </row>
    <row r="21930">
      <c r="A21930" s="4" t="s">
        <v>27609</v>
      </c>
      <c r="B21930" s="4" t="s">
        <v>27611</v>
      </c>
      <c r="C21930" s="5" t="str">
        <f>IFERROR(__xludf.DUMMYFUNCTION("GOOGLETRANSLATE(B21930,""en"",""zh-CN"")"),"他继续用火炬和防护装备焊接金属。")</f>
        <v>他继续用火炬和防护装备焊接金属。</v>
      </c>
    </row>
    <row r="21931">
      <c r="A21931" s="4" t="s">
        <v>27609</v>
      </c>
      <c r="B21931" s="4" t="s">
        <v>27612</v>
      </c>
      <c r="C21931" s="5" t="str">
        <f>IFERROR(__xludf.DUMMYFUNCTION("GOOGLETRANSLATE(B21931,""en"",""zh-CN"")"),"他将金属焊接很长一段时间。")</f>
        <v>他将金属焊接很长一段时间。</v>
      </c>
    </row>
    <row r="21932">
      <c r="A21932" s="4" t="s">
        <v>27609</v>
      </c>
      <c r="B21932" s="4" t="s">
        <v>27613</v>
      </c>
      <c r="C21932" s="5" t="str">
        <f>IFERROR(__xludf.DUMMYFUNCTION("GOOGLETRANSLATE(B21932,""en"",""zh-CN"")"),"然后关闭焊接火炬，然后将设备放下。")</f>
        <v>然后关闭焊接火炬，然后将设备放下。</v>
      </c>
    </row>
    <row r="21933">
      <c r="A21933" s="4" t="s">
        <v>27614</v>
      </c>
      <c r="B21933" s="6" t="s">
        <v>27615</v>
      </c>
      <c r="C21933" s="5" t="str">
        <f>IFERROR(__xludf.DUMMYFUNCTION("GOOGLETRANSLATE(B21933,""en"",""zh-CN"")"),"一个穿着棕色连帽衫和货物裤的年轻人站在林区的一条道路上，指导观众握住滑板的尽头。")</f>
        <v>一个穿着棕色连帽衫和货物裤的年轻人站在林区的一条道路上，指导观众握住滑板的尽头。</v>
      </c>
    </row>
    <row r="21934">
      <c r="A21934" s="4" t="s">
        <v>27614</v>
      </c>
      <c r="B21934" s="6" t="s">
        <v>27616</v>
      </c>
      <c r="C21934" s="5" t="str">
        <f>IFERROR(__xludf.DUMMYFUNCTION("GOOGLETRANSLATE(B21934,""en"",""zh-CN"")"),"在板上展示了立场之后，他捡起它，然后向后走几码，然后将滑板放在地面上，最后用一只脚向上铺平。")</f>
        <v>在板上展示了立场之后，他捡起它，然后向后走几码，然后将滑板放在地面上，最后用一只脚向上铺平。</v>
      </c>
    </row>
    <row r="21935">
      <c r="A21935" s="4" t="s">
        <v>27614</v>
      </c>
      <c r="B21935" s="4" t="s">
        <v>27617</v>
      </c>
      <c r="C21935" s="5" t="str">
        <f>IFERROR(__xludf.DUMMYFUNCTION("GOOGLETRANSLATE(B21935,""en"",""zh-CN"")"),"他将其放下，并开始在董事会上向前滑冰。")</f>
        <v>他将其放下，并开始在董事会上向前滑冰。</v>
      </c>
    </row>
    <row r="21936">
      <c r="A21936" s="4" t="s">
        <v>27614</v>
      </c>
      <c r="B21936" s="6" t="s">
        <v>27618</v>
      </c>
      <c r="C21936" s="5" t="str">
        <f>IFERROR(__xludf.DUMMYFUNCTION("GOOGLETRANSLATE(B21936,""en"",""zh-CN"")"),"他在董事会上翻转，采取了棘手的举动，然后回到他开始滑冰的地方。")</f>
        <v>他在董事会上翻转，采取了棘手的举动，然后回到他开始滑冰的地方。</v>
      </c>
    </row>
    <row r="21937">
      <c r="A21937" s="4" t="s">
        <v>27614</v>
      </c>
      <c r="B21937" s="6" t="s">
        <v>27619</v>
      </c>
      <c r="C21937" s="5" t="str">
        <f>IFERROR(__xludf.DUMMYFUNCTION("GOOGLETRANSLATE(B21937,""en"",""zh-CN"")"),"60在讲话了更长的时间后，他戴上了董事会，他再次重复了这一举动，再次回到他开始的位置。")</f>
        <v>60在讲话了更长的时间后，他戴上了董事会，他再次重复了这一举动，再次回到他开始的位置。</v>
      </c>
    </row>
    <row r="21938">
      <c r="A21938" s="4" t="s">
        <v>27620</v>
      </c>
      <c r="B21938" s="4" t="s">
        <v>27621</v>
      </c>
      <c r="C21938" s="5" t="str">
        <f>IFERROR(__xludf.DUMMYFUNCTION("GOOGLETRANSLATE(B21938,""en"",""zh-CN"")"),"一个女孩在蓝色垫子上进行背面翻转。")</f>
        <v>一个女孩在蓝色垫子上进行背面翻转。</v>
      </c>
    </row>
    <row r="21939">
      <c r="A21939" s="4" t="s">
        <v>27620</v>
      </c>
      <c r="B21939" s="4" t="s">
        <v>27622</v>
      </c>
      <c r="C21939" s="5" t="str">
        <f>IFERROR(__xludf.DUMMYFUNCTION("GOOGLETRANSLATE(B21939,""en"",""zh-CN"")"),"一个女孩在空中分裂。")</f>
        <v>一个女孩在空中分裂。</v>
      </c>
    </row>
    <row r="21940">
      <c r="A21940" s="4" t="s">
        <v>27620</v>
      </c>
      <c r="B21940" s="4" t="s">
        <v>27623</v>
      </c>
      <c r="C21940" s="5" t="str">
        <f>IFERROR(__xludf.DUMMYFUNCTION("GOOGLETRANSLATE(B21940,""en"",""zh-CN"")"),"人们躺在她旁边的垫子上。")</f>
        <v>人们躺在她旁边的垫子上。</v>
      </c>
    </row>
    <row r="21941">
      <c r="A21941" s="4" t="s">
        <v>27620</v>
      </c>
      <c r="B21941" s="4" t="s">
        <v>27624</v>
      </c>
      <c r="C21941" s="5" t="str">
        <f>IFERROR(__xludf.DUMMYFUNCTION("GOOGLETRANSLATE(B21941,""en"",""zh-CN"")"),"她在蹦床上进行了几次翻转。")</f>
        <v>她在蹦床上进行了几次翻转。</v>
      </c>
    </row>
    <row r="21942">
      <c r="A21942" s="4" t="s">
        <v>27625</v>
      </c>
      <c r="B21942" s="4" t="s">
        <v>27626</v>
      </c>
      <c r="C21942" s="5" t="str">
        <f>IFERROR(__xludf.DUMMYFUNCTION("GOOGLETRANSLATE(B21942,""en"",""zh-CN"")"),"我们看到一个健身中心标志。")</f>
        <v>我们看到一个健身中心标志。</v>
      </c>
    </row>
    <row r="21943">
      <c r="A21943" s="4" t="s">
        <v>27625</v>
      </c>
      <c r="B21943" s="4" t="s">
        <v>27627</v>
      </c>
      <c r="C21943" s="5" t="str">
        <f>IFERROR(__xludf.DUMMYFUNCTION("GOOGLETRANSLATE(B21943,""en"",""zh-CN"")"),"然后，我们看到一个男人在与相机聊天，坐在锻炼球上。")</f>
        <v>然后，我们看到一个男人在与相机聊天，坐在锻炼球上。</v>
      </c>
    </row>
    <row r="21944">
      <c r="A21944" s="4" t="s">
        <v>27625</v>
      </c>
      <c r="B21944" s="4" t="s">
        <v>27628</v>
      </c>
      <c r="C21944" s="5" t="str">
        <f>IFERROR(__xludf.DUMMYFUNCTION("GOOGLETRANSLATE(B21944,""en"",""zh-CN"")"),"该男子在球上聊天时表演。")</f>
        <v>该男子在球上聊天时表演。</v>
      </c>
    </row>
    <row r="21945">
      <c r="A21945" s="4" t="s">
        <v>27625</v>
      </c>
      <c r="B21945" s="4" t="s">
        <v>27629</v>
      </c>
      <c r="C21945" s="5" t="str">
        <f>IFERROR(__xludf.DUMMYFUNCTION("GOOGLETRANSLATE(B21945,""en"",""zh-CN"")"),"该男子坐起来与相机交谈。")</f>
        <v>该男子坐起来与相机交谈。</v>
      </c>
    </row>
    <row r="21946">
      <c r="A21946" s="4" t="s">
        <v>27625</v>
      </c>
      <c r="B21946" s="4" t="s">
        <v>27630</v>
      </c>
      <c r="C21946" s="5" t="str">
        <f>IFERROR(__xludf.DUMMYFUNCTION("GOOGLETRANSLATE(B21946,""en"",""zh-CN"")"),"在黑色背景上可以看到终端屏幕。")</f>
        <v>在黑色背景上可以看到终端屏幕。</v>
      </c>
    </row>
    <row r="21947">
      <c r="A21947" s="4" t="s">
        <v>27631</v>
      </c>
      <c r="B21947" s="4" t="s">
        <v>27632</v>
      </c>
      <c r="C21947" s="5" t="str">
        <f>IFERROR(__xludf.DUMMYFUNCTION("GOOGLETRANSLATE(B21947,""en"",""zh-CN"")"),"准备成分并倒入一个大搅拌碗中。")</f>
        <v>准备成分并倒入一个大搅拌碗中。</v>
      </c>
    </row>
    <row r="21948">
      <c r="A21948" s="4" t="s">
        <v>27631</v>
      </c>
      <c r="B21948" s="4" t="s">
        <v>27633</v>
      </c>
      <c r="C21948" s="5" t="str">
        <f>IFERROR(__xludf.DUMMYFUNCTION("GOOGLETRANSLATE(B21948,""en"",""zh-CN"")"),"一个女人用海绵在厨房水槽里洗碗。")</f>
        <v>一个女人用海绵在厨房水槽里洗碗。</v>
      </c>
    </row>
    <row r="21949">
      <c r="A21949" s="4" t="s">
        <v>27631</v>
      </c>
      <c r="B21949" s="4" t="s">
        <v>27634</v>
      </c>
      <c r="C21949" s="5" t="str">
        <f>IFERROR(__xludf.DUMMYFUNCTION("GOOGLETRANSLATE(B21949,""en"",""zh-CN"")"),"女人闻到碗的气味，以确保它干净。")</f>
        <v>女人闻到碗的气味，以确保它干净。</v>
      </c>
    </row>
    <row r="21950">
      <c r="A21950" s="4" t="s">
        <v>27631</v>
      </c>
      <c r="B21950" s="4" t="s">
        <v>27635</v>
      </c>
      <c r="C21950" s="5" t="str">
        <f>IFERROR(__xludf.DUMMYFUNCTION("GOOGLETRANSLATE(B21950,""en"",""zh-CN"")"),"女人将碗放入洗碗机中，并显示出适当的位置。")</f>
        <v>女人将碗放入洗碗机中，并显示出适当的位置。</v>
      </c>
    </row>
    <row r="21951">
      <c r="A21951" s="4" t="s">
        <v>27631</v>
      </c>
      <c r="B21951" s="4" t="s">
        <v>27636</v>
      </c>
      <c r="C21951" s="5" t="str">
        <f>IFERROR(__xludf.DUMMYFUNCTION("GOOGLETRANSLATE(B21951,""en"",""zh-CN"")"),"一个女人用海绵在厨房水槽里洗盘子。")</f>
        <v>一个女人用海绵在厨房水槽里洗盘子。</v>
      </c>
    </row>
    <row r="21952">
      <c r="A21952" s="4" t="s">
        <v>27631</v>
      </c>
      <c r="B21952" s="4" t="s">
        <v>27637</v>
      </c>
      <c r="C21952" s="5" t="str">
        <f>IFERROR(__xludf.DUMMYFUNCTION("GOOGLETRANSLATE(B21952,""en"",""zh-CN"")"),"女人闻到盘子以确保其干净。")</f>
        <v>女人闻到盘子以确保其干净。</v>
      </c>
    </row>
    <row r="21953">
      <c r="A21953" s="4" t="s">
        <v>27631</v>
      </c>
      <c r="B21953" s="4" t="s">
        <v>27638</v>
      </c>
      <c r="C21953" s="5" t="str">
        <f>IFERROR(__xludf.DUMMYFUNCTION("GOOGLETRANSLATE(B21953,""en"",""zh-CN"")"),"女人将盘子放入洗碗机中，并显示出适当的位置。")</f>
        <v>女人将盘子放入洗碗机中，并显示出适当的位置。</v>
      </c>
    </row>
    <row r="21954">
      <c r="A21954" s="4" t="s">
        <v>27631</v>
      </c>
      <c r="B21954" s="4" t="s">
        <v>27639</v>
      </c>
      <c r="C21954" s="5" t="str">
        <f>IFERROR(__xludf.DUMMYFUNCTION("GOOGLETRANSLATE(B21954,""en"",""zh-CN"")"),"一个女人用海绵洗在厨房水槽里洗玻璃杯。")</f>
        <v>一个女人用海绵洗在厨房水槽里洗玻璃杯。</v>
      </c>
    </row>
    <row r="21955">
      <c r="A21955" s="4" t="s">
        <v>27631</v>
      </c>
      <c r="B21955" s="4" t="s">
        <v>27640</v>
      </c>
      <c r="C21955" s="5" t="str">
        <f>IFERROR(__xludf.DUMMYFUNCTION("GOOGLETRANSLATE(B21955,""en"",""zh-CN"")"),"女人闻到玻璃杯的气味，以确保自己干净。")</f>
        <v>女人闻到玻璃杯的气味，以确保自己干净。</v>
      </c>
    </row>
    <row r="21956">
      <c r="A21956" s="4" t="s">
        <v>27631</v>
      </c>
      <c r="B21956" s="4" t="s">
        <v>27641</v>
      </c>
      <c r="C21956" s="5" t="str">
        <f>IFERROR(__xludf.DUMMYFUNCTION("GOOGLETRANSLATE(B21956,""en"",""zh-CN"")"),"女人将玻璃杯放入洗碗机中，并显示出适当的位置。")</f>
        <v>女人将玻璃杯放入洗碗机中，并显示出适当的位置。</v>
      </c>
    </row>
    <row r="21957">
      <c r="A21957" s="4" t="s">
        <v>27631</v>
      </c>
      <c r="B21957" s="4" t="s">
        <v>27642</v>
      </c>
      <c r="C21957" s="5" t="str">
        <f>IFERROR(__xludf.DUMMYFUNCTION("GOOGLETRANSLATE(B21957,""en"",""zh-CN"")"),"这部电影的最终学分。")</f>
        <v>这部电影的最终学分。</v>
      </c>
    </row>
    <row r="21958">
      <c r="A21958" s="4" t="s">
        <v>27643</v>
      </c>
      <c r="B21958" s="4" t="s">
        <v>27644</v>
      </c>
      <c r="C21958" s="5" t="str">
        <f>IFERROR(__xludf.DUMMYFUNCTION("GOOGLETRANSLATE(B21958,""en"",""zh-CN"")"),"屏幕上出现了一个介绍，以了解有关沿着海滩疾驰的视频。")</f>
        <v>屏幕上出现了一个介绍，以了解有关沿着海滩疾驰的视频。</v>
      </c>
    </row>
    <row r="21959">
      <c r="A21959" s="4" t="s">
        <v>27643</v>
      </c>
      <c r="B21959" s="4" t="s">
        <v>27645</v>
      </c>
      <c r="C21959" s="5" t="str">
        <f>IFERROR(__xludf.DUMMYFUNCTION("GOOGLETRANSLATE(B21959,""en"",""zh-CN"")"),"几张图像显示了人们沿着海滩骑马的人。")</f>
        <v>几张图像显示了人们沿着海滩骑马的人。</v>
      </c>
    </row>
    <row r="21960">
      <c r="A21960" s="4" t="s">
        <v>27643</v>
      </c>
      <c r="B21960" s="4" t="s">
        <v>27646</v>
      </c>
      <c r="C21960" s="5" t="str">
        <f>IFERROR(__xludf.DUMMYFUNCTION("GOOGLETRANSLATE(B21960,""en"",""zh-CN"")"),"这些图像变成了几个人沿着沙丘奔跑的视频。")</f>
        <v>这些图像变成了几个人沿着沙丘奔跑的视频。</v>
      </c>
    </row>
    <row r="21961">
      <c r="A21961" s="4" t="s">
        <v>27643</v>
      </c>
      <c r="B21961" s="4" t="s">
        <v>27647</v>
      </c>
      <c r="C21961" s="5" t="str">
        <f>IFERROR(__xludf.DUMMYFUNCTION("GOOGLETRANSLATE(B21961,""en"",""zh-CN"")"),"然后，该视频在享受海滩骑行的人们的图像和视频之间交替。")</f>
        <v>然后，该视频在享受海滩骑行的人们的图像和视频之间交替。</v>
      </c>
    </row>
    <row r="21962">
      <c r="A21962" s="4" t="s">
        <v>27643</v>
      </c>
      <c r="B21962" s="4" t="s">
        <v>27648</v>
      </c>
      <c r="C21962" s="5" t="str">
        <f>IFERROR(__xludf.DUMMYFUNCTION("GOOGLETRANSLATE(B21962,""en"",""zh-CN"")"),"视频以显示的文字结尾，显示有关旅行的更多信息。")</f>
        <v>视频以显示的文字结尾，显示有关旅行的更多信息。</v>
      </c>
    </row>
    <row r="21963">
      <c r="A21963" s="4" t="s">
        <v>27649</v>
      </c>
      <c r="B21963" s="6" t="s">
        <v>27650</v>
      </c>
      <c r="C21963" s="5" t="str">
        <f>IFERROR(__xludf.DUMMYFUNCTION("GOOGLETRANSLATE(B21963,""en"",""zh-CN"")"),"一名妇女演示了如何在酒吧台面上的酒吧台面上的台面台面台面，里面装满酒精。")</f>
        <v>一名妇女演示了如何在酒吧台面上的酒吧台面上的台面台面台面，里面装满酒精。</v>
      </c>
    </row>
    <row r="21964">
      <c r="A21964" s="4" t="s">
        <v>27649</v>
      </c>
      <c r="B21964" s="6" t="s">
        <v>27651</v>
      </c>
      <c r="C21964" s="5" t="str">
        <f>IFERROR(__xludf.DUMMYFUNCTION("GOOGLETRANSLATE(B21964,""en"",""zh-CN"")"),"该名女士首先与镜头交谈，然后在梅森罐子旁边掏出一瓶酒精，并在其中装满一片柠檬和薄荷。")</f>
        <v>该名女士首先与镜头交谈，然后在梅森罐子旁边掏出一瓶酒精，并在其中装满一片柠檬和薄荷。</v>
      </c>
    </row>
    <row r="21965">
      <c r="A21965" s="4" t="s">
        <v>27649</v>
      </c>
      <c r="B21965" s="6" t="s">
        <v>27652</v>
      </c>
      <c r="C21965" s="5" t="str">
        <f>IFERROR(__xludf.DUMMYFUNCTION("GOOGLETRANSLATE(B21965,""en"",""zh-CN"")"),"该名女子将冰倒在玻璃杯中，然后喝几枪，然后将柠檬水倒在玻璃杯中，上面放着薄荷小树枝和柠檬楔在边缘。")</f>
        <v>该名女子将冰倒在玻璃杯中，然后喝几枪，然后将柠檬水倒在玻璃杯中，上面放着薄荷小树枝和柠檬楔在边缘。</v>
      </c>
    </row>
    <row r="21966">
      <c r="A21966" s="4" t="s">
        <v>27649</v>
      </c>
      <c r="B21966" s="4" t="s">
        <v>27653</v>
      </c>
      <c r="C21966" s="5" t="str">
        <f>IFERROR(__xludf.DUMMYFUNCTION("GOOGLETRANSLATE(B21966,""en"",""zh-CN"")"),"那个女人在现场消失之前喝了一口饮料。")</f>
        <v>那个女人在现场消失之前喝了一口饮料。</v>
      </c>
    </row>
    <row r="21967">
      <c r="A21967" s="4" t="s">
        <v>27654</v>
      </c>
      <c r="B21967" s="4" t="s">
        <v>27655</v>
      </c>
      <c r="C21967" s="5" t="str">
        <f>IFERROR(__xludf.DUMMYFUNCTION("GOOGLETRANSLATE(B21967,""en"",""zh-CN"")"),"一个男人在他的院子里。")</f>
        <v>一个男人在他的院子里。</v>
      </c>
    </row>
    <row r="21968">
      <c r="A21968" s="4" t="s">
        <v>27654</v>
      </c>
      <c r="B21968" s="4" t="s">
        <v>27656</v>
      </c>
      <c r="C21968" s="5" t="str">
        <f>IFERROR(__xludf.DUMMYFUNCTION("GOOGLETRANSLATE(B21968,""en"",""zh-CN"")"),"他正在使用高压清洗机将叶子从草坪上洗净。")</f>
        <v>他正在使用高压清洗机将叶子从草坪上洗净。</v>
      </c>
    </row>
    <row r="21969">
      <c r="A21969" s="4" t="s">
        <v>27654</v>
      </c>
      <c r="B21969" s="4" t="s">
        <v>27657</v>
      </c>
      <c r="C21969" s="5" t="str">
        <f>IFERROR(__xludf.DUMMYFUNCTION("GOOGLETRANSLATE(B21969,""en"",""zh-CN"")"),"他将它们上下喷洒，将它们推向倾斜度。")</f>
        <v>他将它们上下喷洒，将它们推向倾斜度。</v>
      </c>
    </row>
    <row r="21970">
      <c r="A21970" s="4" t="s">
        <v>27658</v>
      </c>
      <c r="B21970" s="4" t="s">
        <v>27659</v>
      </c>
      <c r="C21970" s="5" t="str">
        <f>IFERROR(__xludf.DUMMYFUNCTION("GOOGLETRANSLATE(B21970,""en"",""zh-CN"")"),"一个人用水装满锅，加入盐和油，然后在说话时煮沸水。")</f>
        <v>一个人用水装满锅，加入盐和油，然后在说话时煮沸水。</v>
      </c>
    </row>
    <row r="21971">
      <c r="A21971" s="4" t="s">
        <v>27658</v>
      </c>
      <c r="B21971" s="4" t="s">
        <v>27660</v>
      </c>
      <c r="C21971" s="5" t="str">
        <f>IFERROR(__xludf.DUMMYFUNCTION("GOOGLETRANSLATE(B21971,""en"",""zh-CN"")"),"然后，那个男人把意大利面放在保龄球锅里。")</f>
        <v>然后，那个男人把意大利面放在保龄球锅里。</v>
      </c>
    </row>
    <row r="21972">
      <c r="A21972" s="4" t="s">
        <v>27658</v>
      </c>
      <c r="B21972" s="4" t="s">
        <v>27661</v>
      </c>
      <c r="C21972" s="5" t="str">
        <f>IFERROR(__xludf.DUMMYFUNCTION("GOOGLETRANSLATE(B21972,""en"",""zh-CN"")"),"之后，男人品尝意大利面条并排干。")</f>
        <v>之后，男人品尝意大利面条并排干。</v>
      </c>
    </row>
    <row r="21973">
      <c r="A21973" s="4" t="s">
        <v>27658</v>
      </c>
      <c r="B21973" s="4" t="s">
        <v>27662</v>
      </c>
      <c r="C21973" s="5" t="str">
        <f>IFERROR(__xludf.DUMMYFUNCTION("GOOGLETRANSLATE(B21973,""en"",""zh-CN"")"),"接下来，该男子在意大利面上添加磨碎的奶酪和油。")</f>
        <v>接下来，该男子在意大利面上添加磨碎的奶酪和油。</v>
      </c>
    </row>
    <row r="21974">
      <c r="A21974" s="4" t="s">
        <v>27663</v>
      </c>
      <c r="B21974" s="4" t="s">
        <v>27664</v>
      </c>
      <c r="C21974" s="5" t="str">
        <f>IFERROR(__xludf.DUMMYFUNCTION("GOOGLETRANSLATE(B21974,""en"",""zh-CN"")"),"有3个男人和1个女人。")</f>
        <v>有3个男人和1个女人。</v>
      </c>
    </row>
    <row r="21975">
      <c r="A21975" s="4" t="s">
        <v>27663</v>
      </c>
      <c r="B21975" s="6" t="s">
        <v>27665</v>
      </c>
      <c r="C21975" s="5" t="str">
        <f>IFERROR(__xludf.DUMMYFUNCTION("GOOGLETRANSLATE(B21975,""en"",""zh-CN"")"),"他们每个人都表现出来，并告诉您他们的保龄球方式赢得罢工并在高分牌上获得完美的分数。")</f>
        <v>他们每个人都表现出来，并告诉您他们的保龄球方式赢得罢工并在高分牌上获得完美的分数。</v>
      </c>
    </row>
    <row r="21976">
      <c r="A21976" s="4" t="s">
        <v>27666</v>
      </c>
      <c r="B21976" s="4" t="s">
        <v>27667</v>
      </c>
      <c r="C21976" s="5" t="str">
        <f>IFERROR(__xludf.DUMMYFUNCTION("GOOGLETRANSLATE(B21976,""en"",""zh-CN"")"),"我们在平行条上看到了Kyla Ross的标题。")</f>
        <v>我们在平行条上看到了Kyla Ross的标题。</v>
      </c>
    </row>
    <row r="21977">
      <c r="A21977" s="4" t="s">
        <v>27666</v>
      </c>
      <c r="B21977" s="4" t="s">
        <v>27668</v>
      </c>
      <c r="C21977" s="5" t="str">
        <f>IFERROR(__xludf.DUMMYFUNCTION("GOOGLETRANSLATE(B21977,""en"",""zh-CN"")"),"女孩们举起，然后降低了她的手臂。")</f>
        <v>女孩们举起，然后降低了她的手臂。</v>
      </c>
    </row>
    <row r="21978">
      <c r="A21978" s="4" t="s">
        <v>27666</v>
      </c>
      <c r="B21978" s="4" t="s">
        <v>27669</v>
      </c>
      <c r="C21978" s="5" t="str">
        <f>IFERROR(__xludf.DUMMYFUNCTION("GOOGLETRANSLATE(B21978,""en"",""zh-CN"")"),"然后，凯拉跳到短条上。")</f>
        <v>然后，凯拉跳到短条上。</v>
      </c>
    </row>
    <row r="21979">
      <c r="A21979" s="4" t="s">
        <v>27666</v>
      </c>
      <c r="B21979" s="4" t="s">
        <v>27670</v>
      </c>
      <c r="C21979" s="5" t="str">
        <f>IFERROR(__xludf.DUMMYFUNCTION("GOOGLETRANSLATE(B21979,""en"",""zh-CN"")"),"她转移到高大的酒吧，然后回到短条上。")</f>
        <v>她转移到高大的酒吧，然后回到短条上。</v>
      </c>
    </row>
    <row r="21980">
      <c r="A21980" s="4" t="s">
        <v>27666</v>
      </c>
      <c r="B21980" s="4" t="s">
        <v>27671</v>
      </c>
      <c r="C21980" s="5" t="str">
        <f>IFERROR(__xludf.DUMMYFUNCTION("GOOGLETRANSLATE(B21980,""en"",""zh-CN"")"),"她旋转回高个子，旋转。")</f>
        <v>她旋转回高个子，旋转。</v>
      </c>
    </row>
    <row r="21981">
      <c r="A21981" s="4" t="s">
        <v>27666</v>
      </c>
      <c r="B21981" s="4" t="s">
        <v>27672</v>
      </c>
      <c r="C21981" s="5" t="str">
        <f>IFERROR(__xludf.DUMMYFUNCTION("GOOGLETRANSLATE(B21981,""en"",""zh-CN"")"),"她翻转到短条，然后回到高个子和翻转。")</f>
        <v>她翻转到短条，然后回到高个子和翻转。</v>
      </c>
    </row>
    <row r="21982">
      <c r="A21982" s="4" t="s">
        <v>27666</v>
      </c>
      <c r="B21982" s="4" t="s">
        <v>27673</v>
      </c>
      <c r="C21982" s="5" t="str">
        <f>IFERROR(__xludf.DUMMYFUNCTION("GOOGLETRANSLATE(B21982,""en"",""zh-CN"")"),"她卸下并拥抱教练。")</f>
        <v>她卸下并拥抱教练。</v>
      </c>
    </row>
    <row r="21983">
      <c r="A21983" s="4" t="s">
        <v>27666</v>
      </c>
      <c r="B21983" s="4" t="s">
        <v>27674</v>
      </c>
      <c r="C21983" s="5" t="str">
        <f>IFERROR(__xludf.DUMMYFUNCTION("GOOGLETRANSLATE(B21983,""en"",""zh-CN"")"),"我们在黑屏上看到她的最终成绩。")</f>
        <v>我们在黑屏上看到她的最终成绩。</v>
      </c>
    </row>
    <row r="21984">
      <c r="A21984" s="4" t="s">
        <v>27675</v>
      </c>
      <c r="B21984" s="4" t="s">
        <v>27676</v>
      </c>
      <c r="C21984" s="5" t="str">
        <f>IFERROR(__xludf.DUMMYFUNCTION("GOOGLETRANSLATE(B21984,""en"",""zh-CN"")"),"一个白色背心的女人正在房间里骑运动自行车。")</f>
        <v>一个白色背心的女人正在房间里骑运动自行车。</v>
      </c>
    </row>
    <row r="21985">
      <c r="A21985" s="4" t="s">
        <v>27675</v>
      </c>
      <c r="B21985" s="4" t="s">
        <v>27677</v>
      </c>
      <c r="C21985" s="5" t="str">
        <f>IFERROR(__xludf.DUMMYFUNCTION("GOOGLETRANSLATE(B21985,""en"",""zh-CN"")"),"她正在用黑色垫子进行俯卧撑。")</f>
        <v>她正在用黑色垫子进行俯卧撑。</v>
      </c>
    </row>
    <row r="21986">
      <c r="A21986" s="4" t="s">
        <v>27675</v>
      </c>
      <c r="B21986" s="4" t="s">
        <v>27678</v>
      </c>
      <c r="C21986" s="5" t="str">
        <f>IFERROR(__xludf.DUMMYFUNCTION("GOOGLETRANSLATE(B21986,""en"",""zh-CN"")"),"她回到骑锻炼自行车。")</f>
        <v>她回到骑锻炼自行车。</v>
      </c>
    </row>
    <row r="21987">
      <c r="A21987" s="4" t="s">
        <v>27675</v>
      </c>
      <c r="B21987" s="4" t="s">
        <v>27679</v>
      </c>
      <c r="C21987" s="5" t="str">
        <f>IFERROR(__xludf.DUMMYFUNCTION("GOOGLETRANSLATE(B21987,""en"",""zh-CN"")"),"她在她的两侧上下举重。")</f>
        <v>她在她的两侧上下举重。</v>
      </c>
    </row>
    <row r="21988">
      <c r="A21988" s="4" t="s">
        <v>27675</v>
      </c>
      <c r="B21988" s="4" t="s">
        <v>27680</v>
      </c>
      <c r="C21988" s="5" t="str">
        <f>IFERROR(__xludf.DUMMYFUNCTION("GOOGLETRANSLATE(B21988,""en"",""zh-CN"")"),"她再次骑着锻炼自行车。")</f>
        <v>她再次骑着锻炼自行车。</v>
      </c>
    </row>
    <row r="21989">
      <c r="A21989" s="4" t="s">
        <v>27681</v>
      </c>
      <c r="B21989" s="4" t="s">
        <v>27682</v>
      </c>
      <c r="C21989" s="5" t="str">
        <f>IFERROR(__xludf.DUMMYFUNCTION("GOOGLETRANSLATE(B21989,""en"",""zh-CN"")"),"一个男人正在演示如何在厨房里烹饪朋友博洛尼亚三明治。")</f>
        <v>一个男人正在演示如何在厨房里烹饪朋友博洛尼亚三明治。</v>
      </c>
    </row>
    <row r="21990">
      <c r="A21990" s="4" t="s">
        <v>27681</v>
      </c>
      <c r="B21990" s="4" t="s">
        <v>27683</v>
      </c>
      <c r="C21990" s="5" t="str">
        <f>IFERROR(__xludf.DUMMYFUNCTION("GOOGLETRANSLATE(B21990,""en"",""zh-CN"")"),"他取了两片三明治面包，然后将它们放入烤面包机中。")</f>
        <v>他取了两片三明治面包，然后将它们放入烤面包机中。</v>
      </c>
    </row>
    <row r="21991">
      <c r="A21991" s="4" t="s">
        <v>27681</v>
      </c>
      <c r="B21991" s="4" t="s">
        <v>27684</v>
      </c>
      <c r="C21991" s="5" t="str">
        <f>IFERROR(__xludf.DUMMYFUNCTION("GOOGLETRANSLATE(B21991,""en"",""zh-CN"")"),"然后，他在煎锅中拿出一点黄油和博洛尼亚，然后炸薯条。")</f>
        <v>然后，他在煎锅中拿出一点黄油和博洛尼亚，然后炸薯条。</v>
      </c>
    </row>
    <row r="21992">
      <c r="A21992" s="4" t="s">
        <v>27681</v>
      </c>
      <c r="B21992" s="4" t="s">
        <v>27685</v>
      </c>
      <c r="C21992" s="5" t="str">
        <f>IFERROR(__xludf.DUMMYFUNCTION("GOOGLETRANSLATE(B21992,""en"",""zh-CN"")"),"他将博洛尼亚翻转在两侧。")</f>
        <v>他将博洛尼亚翻转在两侧。</v>
      </c>
    </row>
    <row r="21993">
      <c r="A21993" s="4" t="s">
        <v>27681</v>
      </c>
      <c r="B21993" s="4" t="s">
        <v>27686</v>
      </c>
      <c r="C21993" s="5" t="str">
        <f>IFERROR(__xludf.DUMMYFUNCTION("GOOGLETRANSLATE(B21993,""en"",""zh-CN"")"),"然后他服用了两片美国奶酪。")</f>
        <v>然后他服用了两片美国奶酪。</v>
      </c>
    </row>
    <row r="21994">
      <c r="A21994" s="4" t="s">
        <v>27681</v>
      </c>
      <c r="B21994" s="4" t="s">
        <v>27687</v>
      </c>
      <c r="C21994" s="5" t="str">
        <f>IFERROR(__xludf.DUMMYFUNCTION("GOOGLETRANSLATE(B21994,""en"",""zh-CN"")"),"他将博洛尼亚从锅中取出，将其与奶酪片一起放在烤面包上。")</f>
        <v>他将博洛尼亚从锅中取出，将其与奶酪片一起放在烤面包上。</v>
      </c>
    </row>
    <row r="21995">
      <c r="A21995" s="4" t="s">
        <v>27681</v>
      </c>
      <c r="B21995" s="4" t="s">
        <v>27688</v>
      </c>
      <c r="C21995" s="5" t="str">
        <f>IFERROR(__xludf.DUMMYFUNCTION("GOOGLETRANSLATE(B21995,""en"",""zh-CN"")"),"他用博洛尼亚和奶酪展示了成品三明治。")</f>
        <v>他用博洛尼亚和奶酪展示了成品三明治。</v>
      </c>
    </row>
    <row r="21996">
      <c r="A21996" s="4" t="s">
        <v>27689</v>
      </c>
      <c r="B21996" s="4" t="s">
        <v>27690</v>
      </c>
      <c r="C21996" s="5" t="str">
        <f>IFERROR(__xludf.DUMMYFUNCTION("GOOGLETRANSLATE(B21996,""en"",""zh-CN"")"),"一个男人坐在体重机上，抓住手柄杆。")</f>
        <v>一个男人坐在体重机上，抓住手柄杆。</v>
      </c>
    </row>
    <row r="21997">
      <c r="A21997" s="4" t="s">
        <v>27689</v>
      </c>
      <c r="B21997" s="4" t="s">
        <v>27691</v>
      </c>
      <c r="C21997" s="5" t="str">
        <f>IFERROR(__xludf.DUMMYFUNCTION("GOOGLETRANSLATE(B21997,""en"",""zh-CN"")"),"随着座位的连续移动，他将车把向后拉，第四位。")</f>
        <v>随着座位的连续移动，他将车把向后拉，第四位。</v>
      </c>
    </row>
    <row r="21998">
      <c r="A21998" s="4" t="s">
        <v>27689</v>
      </c>
      <c r="B21998" s="4" t="s">
        <v>27692</v>
      </c>
      <c r="C21998" s="5" t="str">
        <f>IFERROR(__xludf.DUMMYFUNCTION("GOOGLETRANSLATE(B21998,""en"",""zh-CN"")"),"他执行了几次，并最终停下来让指令结束。")</f>
        <v>他执行了几次，并最终停下来让指令结束。</v>
      </c>
    </row>
    <row r="21999">
      <c r="A21999" s="4" t="s">
        <v>27693</v>
      </c>
      <c r="B21999" s="6" t="s">
        <v>27694</v>
      </c>
      <c r="C21999" s="5" t="str">
        <f>IFERROR(__xludf.DUMMYFUNCTION("GOOGLETRANSLATE(B21999,""en"",""zh-CN"")"),"一位穿着灰色衬衫的秃头男人站在操场上，他朝着猴子的酒吧走去，开始上下拉动自己，他走向下杆，开始在腿上伸出时向上拉起自己。")</f>
        <v>一位穿着灰色衬衫的秃头男人站在操场上，他朝着猴子的酒吧走去，开始上下拉动自己，他走向下杆，开始在腿上伸出时向上拉起自己。</v>
      </c>
    </row>
    <row r="22000">
      <c r="A22000" s="4" t="s">
        <v>27693</v>
      </c>
      <c r="B22000" s="6" t="s">
        <v>27695</v>
      </c>
      <c r="C22000" s="5" t="str">
        <f>IFERROR(__xludf.DUMMYFUNCTION("GOOGLETRANSLATE(B22000,""en"",""zh-CN"")"),"他回到猴子酒吧，上下拉动自己，双腿从一侧到另一侧移动，然后将他上下拉。")</f>
        <v>他回到猴子酒吧，上下拉动自己，双腿从一侧到另一侧移动，然后将他上下拉。</v>
      </c>
    </row>
    <row r="22001">
      <c r="A22001" s="4" t="s">
        <v>27696</v>
      </c>
      <c r="B22001" s="4" t="s">
        <v>27697</v>
      </c>
      <c r="C22001" s="5" t="str">
        <f>IFERROR(__xludf.DUMMYFUNCTION("GOOGLETRANSLATE(B22001,""en"",""zh-CN"")"),"一个女人在拿着萨克斯管时说话。")</f>
        <v>一个女人在拿着萨克斯管时说话。</v>
      </c>
    </row>
    <row r="22002">
      <c r="A22002" s="4" t="s">
        <v>27696</v>
      </c>
      <c r="B22002" s="4" t="s">
        <v>27698</v>
      </c>
      <c r="C22002" s="5" t="str">
        <f>IFERROR(__xludf.DUMMYFUNCTION("GOOGLETRANSLATE(B22002,""en"",""zh-CN"")"),"她开始演奏萨克斯管。")</f>
        <v>她开始演奏萨克斯管。</v>
      </c>
    </row>
    <row r="22003">
      <c r="A22003" s="4" t="s">
        <v>27699</v>
      </c>
      <c r="B22003" s="4" t="s">
        <v>1251</v>
      </c>
      <c r="C22003" s="5" t="str">
        <f>IFERROR(__xludf.DUMMYFUNCTION("GOOGLETRANSLATE(B22003,""en"",""zh-CN"")"),"显示了剪辑的信用。")</f>
        <v>显示了剪辑的信用。</v>
      </c>
    </row>
    <row r="22004">
      <c r="A22004" s="4" t="s">
        <v>27699</v>
      </c>
      <c r="B22004" s="4" t="s">
        <v>27700</v>
      </c>
      <c r="C22004" s="5" t="str">
        <f>IFERROR(__xludf.DUMMYFUNCTION("GOOGLETRANSLATE(B22004,""en"",""zh-CN"")"),"一个人在头顶上举起金属球，用金属球旋转，然后释放金属球。")</f>
        <v>一个人在头顶上举起金属球，用金属球旋转，然后释放金属球。</v>
      </c>
    </row>
    <row r="22005">
      <c r="A22005" s="4" t="s">
        <v>27699</v>
      </c>
      <c r="B22005" s="4" t="s">
        <v>27701</v>
      </c>
      <c r="C22005" s="5" t="str">
        <f>IFERROR(__xludf.DUMMYFUNCTION("GOOGLETRANSLATE(B22005,""en"",""zh-CN"")"),"一个人在释放金属球后欢呼。")</f>
        <v>一个人在释放金属球后欢呼。</v>
      </c>
    </row>
    <row r="22006">
      <c r="A22006" s="4" t="s">
        <v>27699</v>
      </c>
      <c r="B22006" s="4" t="s">
        <v>27702</v>
      </c>
      <c r="C22006" s="5" t="str">
        <f>IFERROR(__xludf.DUMMYFUNCTION("GOOGLETRANSLATE(B22006,""en"",""zh-CN"")"),"显示得分板。")</f>
        <v>显示得分板。</v>
      </c>
    </row>
    <row r="22007">
      <c r="A22007" s="4" t="s">
        <v>27703</v>
      </c>
      <c r="B22007" s="4" t="s">
        <v>27704</v>
      </c>
      <c r="C22007" s="5" t="str">
        <f>IFERROR(__xludf.DUMMYFUNCTION("GOOGLETRANSLATE(B22007,""en"",""zh-CN"")"),"一个小男孩骑在汽车里喝酒，玩他的电话。")</f>
        <v>一个小男孩骑在汽车里喝酒，玩他的电话。</v>
      </c>
    </row>
    <row r="22008">
      <c r="A22008" s="4" t="s">
        <v>27703</v>
      </c>
      <c r="B22008" s="4" t="s">
        <v>27705</v>
      </c>
      <c r="C22008" s="5" t="str">
        <f>IFERROR(__xludf.DUMMYFUNCTION("GOOGLETRANSLATE(B22008,""en"",""zh-CN"")"),"他开始与一个将他记录在车里的老人进行对话。")</f>
        <v>他开始与一个将他记录在车里的老人进行对话。</v>
      </c>
    </row>
    <row r="22009">
      <c r="A22009" s="4" t="s">
        <v>27706</v>
      </c>
      <c r="B22009" s="4" t="s">
        <v>27707</v>
      </c>
      <c r="C22009" s="5" t="str">
        <f>IFERROR(__xludf.DUMMYFUNCTION("GOOGLETRANSLATE(B22009,""en"",""zh-CN"")"),"一个男人在专业的体育场上耗尽，然后将球扔给击球手。")</f>
        <v>一个男人在专业的体育场上耗尽，然后将球扔给击球手。</v>
      </c>
    </row>
    <row r="22010">
      <c r="A22010" s="4" t="s">
        <v>27706</v>
      </c>
      <c r="B22010" s="4" t="s">
        <v>27708</v>
      </c>
      <c r="C22010" s="5" t="str">
        <f>IFERROR(__xludf.DUMMYFUNCTION("GOOGLETRANSLATE(B22010,""en"",""zh-CN"")"),"击球手用木板击中球后，两名女子看着比赛欢呼。")</f>
        <v>击球手用木板击中球后，两名女子看着比赛欢呼。</v>
      </c>
    </row>
    <row r="22011">
      <c r="A22011" s="4" t="s">
        <v>27706</v>
      </c>
      <c r="B22011" s="4" t="s">
        <v>27709</v>
      </c>
      <c r="C22011" s="5" t="str">
        <f>IFERROR(__xludf.DUMMYFUNCTION("GOOGLETRANSLATE(B22011,""en"",""zh-CN"")"),"其中一位妇女将裸露的胸部暴露在相机上，黑色的酒吧被覆盖。")</f>
        <v>其中一位妇女将裸露的胸部暴露在相机上，黑色的酒吧被覆盖。</v>
      </c>
    </row>
    <row r="22012">
      <c r="A22012" s="4" t="s">
        <v>27706</v>
      </c>
      <c r="B22012" s="4" t="s">
        <v>27710</v>
      </c>
      <c r="C22012" s="5" t="str">
        <f>IFERROR(__xludf.DUMMYFUNCTION("GOOGLETRANSLATE(B22012,""en"",""zh-CN"")"),"相机返回场上的动作。")</f>
        <v>相机返回场上的动作。</v>
      </c>
    </row>
    <row r="22013">
      <c r="A22013" s="4" t="s">
        <v>27711</v>
      </c>
      <c r="B22013" s="4" t="s">
        <v>27712</v>
      </c>
      <c r="C22013" s="5" t="str">
        <f>IFERROR(__xludf.DUMMYFUNCTION("GOOGLETRANSLATE(B22013,""en"",""zh-CN"")"),"显示了一个泥土的rodea，因为一匹马的男人从大门释放出来。")</f>
        <v>显示了一个泥土的rodea，因为一匹马的男人从大门释放出来。</v>
      </c>
    </row>
    <row r="22014">
      <c r="A22014" s="4" t="s">
        <v>27711</v>
      </c>
      <c r="B22014" s="4" t="s">
        <v>27713</v>
      </c>
      <c r="C22014" s="5" t="str">
        <f>IFERROR(__xludf.DUMMYFUNCTION("GOOGLETRANSLATE(B22014,""en"",""zh-CN"")"),"他绳子绑住了小腿，卸下来绑起来。")</f>
        <v>他绳子绑住了小腿，卸下来绑起来。</v>
      </c>
    </row>
    <row r="22015">
      <c r="A22015" s="4" t="s">
        <v>27711</v>
      </c>
      <c r="B22015" s="4" t="s">
        <v>27714</v>
      </c>
      <c r="C22015" s="5" t="str">
        <f>IFERROR(__xludf.DUMMYFUNCTION("GOOGLETRANSLATE(B22015,""en"",""zh-CN"")"),"另一个男人暂时骑在屏幕上。")</f>
        <v>另一个男人暂时骑在屏幕上。</v>
      </c>
    </row>
    <row r="22016">
      <c r="A22016" s="4" t="s">
        <v>27715</v>
      </c>
      <c r="B22016" s="4" t="s">
        <v>27716</v>
      </c>
      <c r="C22016" s="5" t="str">
        <f>IFERROR(__xludf.DUMMYFUNCTION("GOOGLETRANSLATE(B22016,""en"",""zh-CN"")"),"看到一个男人和一个女人站在浴室里，回头回去与镜头说话。")</f>
        <v>看到一个男人和一个女人站在浴室里，回头回去与镜头说话。</v>
      </c>
    </row>
    <row r="22017">
      <c r="A22017" s="4" t="s">
        <v>27715</v>
      </c>
      <c r="B22017" s="6" t="s">
        <v>27717</v>
      </c>
      <c r="C22017" s="5" t="str">
        <f>IFERROR(__xludf.DUMMYFUNCTION("GOOGLETRANSLATE(B22017,""en"",""zh-CN"")"),"然后，该男子在继续讲话时在浴室周围移动，相机放大。")</f>
        <v>然后，该男子在继续讲话时在浴室周围移动，相机放大。</v>
      </c>
    </row>
    <row r="22018">
      <c r="A22018" s="4" t="s">
        <v>27718</v>
      </c>
      <c r="B22018" s="4" t="s">
        <v>27719</v>
      </c>
      <c r="C22018" s="5" t="str">
        <f>IFERROR(__xludf.DUMMYFUNCTION("GOOGLETRANSLATE(B22018,""en"",""zh-CN"")"),"一名男子站在锻炼器材前，在相机上说话。")</f>
        <v>一名男子站在锻炼器材前，在相机上说话。</v>
      </c>
    </row>
    <row r="22019">
      <c r="A22019" s="4" t="s">
        <v>27718</v>
      </c>
      <c r="B22019" s="4" t="s">
        <v>27720</v>
      </c>
      <c r="C22019" s="5" t="str">
        <f>IFERROR(__xludf.DUMMYFUNCTION("GOOGLETRANSLATE(B22019,""en"",""zh-CN"")"),"他继续讲话，并导致一个人脚在机器上移动的剪辑。")</f>
        <v>他继续讲话，并导致一个人脚在机器上移动的剪辑。</v>
      </c>
    </row>
    <row r="22020">
      <c r="A22020" s="4" t="s">
        <v>27718</v>
      </c>
      <c r="B22020" s="4" t="s">
        <v>27721</v>
      </c>
      <c r="C22020" s="5" t="str">
        <f>IFERROR(__xludf.DUMMYFUNCTION("GOOGLETRANSLATE(B22020,""en"",""zh-CN"")"),"那个男人指向他的身体并炫耀他的腿时，连续使用机器。")</f>
        <v>那个男人指向他的身体并炫耀他的腿时，连续使用机器。</v>
      </c>
    </row>
    <row r="22021">
      <c r="A22021" s="4" t="s">
        <v>27722</v>
      </c>
      <c r="B22021" s="6" t="s">
        <v>27723</v>
      </c>
      <c r="C22021" s="5" t="str">
        <f>IFERROR(__xludf.DUMMYFUNCTION("GOOGLETRANSLATE(B22021,""en"",""zh-CN"")"),"一组黑色的靴子在小桌子上以及瓶油和抹布的女人前面显示。")</f>
        <v>一组黑色的靴子在小桌子上以及瓶油和抹布的女人前面显示。</v>
      </c>
    </row>
    <row r="22022">
      <c r="A22022" s="4" t="s">
        <v>27722</v>
      </c>
      <c r="B22022" s="4" t="s">
        <v>27724</v>
      </c>
      <c r="C22022" s="5" t="str">
        <f>IFERROR(__xludf.DUMMYFUNCTION("GOOGLETRANSLATE(B22022,""en"",""zh-CN"")"),"然后，该名女子抓住抹布，将橄榄油涂在上面，开始抛光靴子。")</f>
        <v>然后，该名女子抓住抹布，将橄榄油涂在上面，开始抛光靴子。</v>
      </c>
    </row>
    <row r="22023">
      <c r="A22023" s="4" t="s">
        <v>27722</v>
      </c>
      <c r="B22023" s="4" t="s">
        <v>27725</v>
      </c>
      <c r="C22023" s="5" t="str">
        <f>IFERROR(__xludf.DUMMYFUNCTION("GOOGLETRANSLATE(B22023,""en"",""zh-CN"")"),"然后，她停下来与破布开始说话。")</f>
        <v>然后，她停下来与破布开始说话。</v>
      </c>
    </row>
    <row r="22024">
      <c r="A22024" s="4" t="s">
        <v>27726</v>
      </c>
      <c r="B22024" s="4" t="s">
        <v>27727</v>
      </c>
      <c r="C22024" s="5" t="str">
        <f>IFERROR(__xludf.DUMMYFUNCTION("GOOGLETRANSLATE(B22024,""en"",""zh-CN"")"),"看到一个人走进框架，开始在一组邦戈鼓上演奏。")</f>
        <v>看到一个人走进框架，开始在一组邦戈鼓上演奏。</v>
      </c>
    </row>
    <row r="22025">
      <c r="A22025" s="4" t="s">
        <v>27726</v>
      </c>
      <c r="B22025" s="6" t="s">
        <v>27728</v>
      </c>
      <c r="C22025" s="5" t="str">
        <f>IFERROR(__xludf.DUMMYFUNCTION("GOOGLETRANSLATE(B22025,""en"",""zh-CN"")"),"该男子继续在鼓上演奏，而相机没有移动，最后他击中了他们一次并走开。")</f>
        <v>该男子继续在鼓上演奏，而相机没有移动，最后他击中了他们一次并走开。</v>
      </c>
    </row>
    <row r="22026">
      <c r="A22026" s="4" t="s">
        <v>27729</v>
      </c>
      <c r="B22026" s="4" t="s">
        <v>27730</v>
      </c>
      <c r="C22026" s="5" t="str">
        <f>IFERROR(__xludf.DUMMYFUNCTION("GOOGLETRANSLATE(B22026,""en"",""zh-CN"")"),"一个小男孩滚子从坡道上垂下，然后进入另一个坡道。")</f>
        <v>一个小男孩滚子从坡道上垂下，然后进入另一个坡道。</v>
      </c>
    </row>
    <row r="22027">
      <c r="A22027" s="4" t="s">
        <v>27729</v>
      </c>
      <c r="B22027" s="4" t="s">
        <v>27731</v>
      </c>
      <c r="C22027" s="5" t="str">
        <f>IFERROR(__xludf.DUMMYFUNCTION("GOOGLETRANSLATE(B22027,""en"",""zh-CN"")"),"男孩速度驶向坡道，跳下它，降落在水泥上。")</f>
        <v>男孩速度驶向坡道，跳下它，降落在水泥上。</v>
      </c>
    </row>
    <row r="22028">
      <c r="A22028" s="4" t="s">
        <v>27729</v>
      </c>
      <c r="B22028" s="4" t="s">
        <v>27732</v>
      </c>
      <c r="C22028" s="5" t="str">
        <f>IFERROR(__xludf.DUMMYFUNCTION("GOOGLETRANSLATE(B22028,""en"",""zh-CN"")"),"后来，男孩辊叶片上另一个坡道。")</f>
        <v>后来，男孩辊叶片上另一个坡道。</v>
      </c>
    </row>
    <row r="22029">
      <c r="A22029" s="4" t="s">
        <v>27729</v>
      </c>
      <c r="B22029" s="4" t="s">
        <v>27733</v>
      </c>
      <c r="C22029" s="5" t="str">
        <f>IFERROR(__xludf.DUMMYFUNCTION("GOOGLETRANSLATE(B22029,""en"",""zh-CN"")"),"这个小男孩穿着另一个衣服，在滚筒刀片结束时进行旋转。")</f>
        <v>这个小男孩穿着另一个衣服，在滚筒刀片结束时进行旋转。</v>
      </c>
    </row>
    <row r="22030">
      <c r="A22030" s="4" t="s">
        <v>27729</v>
      </c>
      <c r="B22030" s="4" t="s">
        <v>27734</v>
      </c>
      <c r="C22030" s="5" t="str">
        <f>IFERROR(__xludf.DUMMYFUNCTION("GOOGLETRANSLATE(B22030,""en"",""zh-CN"")"),"男孩滚子叶片在一些橙色的锥体周围纵横交错。")</f>
        <v>男孩滚子叶片在一些橙色的锥体周围纵横交错。</v>
      </c>
    </row>
    <row r="22031">
      <c r="A22031" s="4" t="s">
        <v>27729</v>
      </c>
      <c r="B22031" s="4" t="s">
        <v>27735</v>
      </c>
      <c r="C22031" s="5" t="str">
        <f>IFERROR(__xludf.DUMMYFUNCTION("GOOGLETRANSLATE(B22031,""en"",""zh-CN"")"),"这个男孩再次做到了，这次是在圆锥体中进行编织。")</f>
        <v>这个男孩再次做到了，这次是在圆锥体中进行编织。</v>
      </c>
    </row>
    <row r="22032">
      <c r="A22032" s="4" t="s">
        <v>27736</v>
      </c>
      <c r="B22032" s="4" t="s">
        <v>27737</v>
      </c>
      <c r="C22032" s="5" t="str">
        <f>IFERROR(__xludf.DUMMYFUNCTION("GOOGLETRANSLATE(B22032,""en"",""zh-CN"")"),"一个人在室内一堆随机金属上使用焊接工具。")</f>
        <v>一个人在室内一堆随机金属上使用焊接工具。</v>
      </c>
    </row>
    <row r="22033">
      <c r="A22033" s="4" t="s">
        <v>27736</v>
      </c>
      <c r="B22033" s="4" t="s">
        <v>27738</v>
      </c>
      <c r="C22033" s="5" t="str">
        <f>IFERROR(__xludf.DUMMYFUNCTION("GOOGLETRANSLATE(B22033,""en"",""zh-CN"")"),"另一个人正在举起盾牌来保护自己。")</f>
        <v>另一个人正在举起盾牌来保护自己。</v>
      </c>
    </row>
    <row r="22034">
      <c r="A22034" s="4" t="s">
        <v>27736</v>
      </c>
      <c r="B22034" s="4" t="s">
        <v>27739</v>
      </c>
      <c r="C22034" s="5" t="str">
        <f>IFERROR(__xludf.DUMMYFUNCTION("GOOGLETRANSLATE(B22034,""en"",""zh-CN"")"),"该男子在焊接时抬起盾牌。")</f>
        <v>该男子在焊接时抬起盾牌。</v>
      </c>
    </row>
    <row r="22035">
      <c r="A22035" s="4" t="s">
        <v>27740</v>
      </c>
      <c r="B22035" s="6" t="s">
        <v>27741</v>
      </c>
      <c r="C22035" s="5" t="str">
        <f>IFERROR(__xludf.DUMMYFUNCTION("GOOGLETRANSLATE(B22035,""en"",""zh-CN"")"),"一个男人演示了如何使用毛绒玩具狗和真正的狗在狗上使用特殊的狗项圈和安全带。")</f>
        <v>一个男人演示了如何使用毛绒玩具狗和真正的狗在狗上使用特殊的狗项圈和安全带。</v>
      </c>
    </row>
    <row r="22036">
      <c r="A22036" s="4" t="s">
        <v>27740</v>
      </c>
      <c r="B22036" s="6" t="s">
        <v>27742</v>
      </c>
      <c r="C22036" s="5" t="str">
        <f>IFERROR(__xludf.DUMMYFUNCTION("GOOGLETRANSLATE(B22036,""en"",""zh-CN"")"),"一个站在木篱笆前面的男人用红色的衣领/线束拿着一只毛绒狗，并在交谈并展示衣领线束的特征时将狗抬起。")</f>
        <v>一个站在木篱笆前面的男人用红色的衣领/线束拿着一只毛绒狗，并在交谈并展示衣领线束的特征时将狗抬起。</v>
      </c>
    </row>
    <row r="22037">
      <c r="A22037" s="4" t="s">
        <v>27740</v>
      </c>
      <c r="B22037" s="6" t="s">
        <v>27743</v>
      </c>
      <c r="C22037" s="5" t="str">
        <f>IFERROR(__xludf.DUMMYFUNCTION("GOOGLETRANSLATE(B22037,""en"",""zh-CN"")"),"展示了两只手，将其单独握住红色项圈，并用静止图形展示了手动展示柜的衣领线束的特征。")</f>
        <v>展示了两只手，将其单独握住红色项圈，并用静止图形展示了手动展示柜的衣领线束的特征。</v>
      </c>
    </row>
    <row r="22038">
      <c r="A22038" s="4" t="s">
        <v>27740</v>
      </c>
      <c r="B22038" s="6" t="s">
        <v>27744</v>
      </c>
      <c r="C22038" s="5" t="str">
        <f>IFERROR(__xludf.DUMMYFUNCTION("GOOGLETRANSLATE(B22038,""en"",""zh-CN"")"),"这个人现在用一只真正的狗站起来，展示了如何将安全带放在真正的狗上，然后又回到用毛绒玩狗来演示，然后最终以抚摸着领，真实的，真实的，棕褐色的狗作为黑色的拉布拉多猎犬徘徊进入最后一枪。")</f>
        <v>这个人现在用一只真正的狗站起来，展示了如何将安全带放在真正的狗上，然后又回到用毛绒玩狗来演示，然后最终以抚摸着领，真实的，真实的，棕褐色的狗作为黑色的拉布拉多猎犬徘徊进入最后一枪。</v>
      </c>
    </row>
    <row r="22039">
      <c r="A22039" s="4" t="s">
        <v>27745</v>
      </c>
      <c r="B22039" s="4" t="s">
        <v>27746</v>
      </c>
      <c r="C22039" s="5" t="str">
        <f>IFERROR(__xludf.DUMMYFUNCTION("GOOGLETRANSLATE(B22039,""en"",""zh-CN"")"),"相机放大了包含大众汽车和其他各种物品的后院。")</f>
        <v>相机放大了包含大众汽车和其他各种物品的后院。</v>
      </c>
    </row>
    <row r="22040">
      <c r="A22040" s="4" t="s">
        <v>27745</v>
      </c>
      <c r="B22040" s="4" t="s">
        <v>27747</v>
      </c>
      <c r="C22040" s="5" t="str">
        <f>IFERROR(__xludf.DUMMYFUNCTION("GOOGLETRANSLATE(B22040,""en"",""zh-CN"")"),"显示一个男人以快速的速度将滑雪板放在一起。")</f>
        <v>显示一个男人以快速的速度将滑雪板放在一起。</v>
      </c>
    </row>
    <row r="22041">
      <c r="A22041" s="4" t="s">
        <v>27745</v>
      </c>
      <c r="B22041" s="4" t="s">
        <v>27748</v>
      </c>
      <c r="C22041" s="5" t="str">
        <f>IFERROR(__xludf.DUMMYFUNCTION("GOOGLETRANSLATE(B22041,""en"",""zh-CN"")"),"该男子完成了滑雪板的结束，并把帽子放在滑雪板上。")</f>
        <v>该男子完成了滑雪板的结束，并把帽子放在滑雪板上。</v>
      </c>
    </row>
    <row r="22042">
      <c r="A22042" s="4" t="s">
        <v>27749</v>
      </c>
      <c r="B22042" s="4" t="s">
        <v>27750</v>
      </c>
      <c r="C22042" s="5" t="str">
        <f>IFERROR(__xludf.DUMMYFUNCTION("GOOGLETRANSLATE(B22042,""en"",""zh-CN"")"),"水池的水下景观出现在游泳池的深处。")</f>
        <v>水池的水下景观出现在游泳池的深处。</v>
      </c>
    </row>
    <row r="22043">
      <c r="A22043" s="4" t="s">
        <v>27749</v>
      </c>
      <c r="B22043" s="4" t="s">
        <v>27751</v>
      </c>
      <c r="C22043" s="5" t="str">
        <f>IFERROR(__xludf.DUMMYFUNCTION("GOOGLETRANSLATE(B22043,""en"",""zh-CN"")"),"在慢动作中，有人溅入水中。")</f>
        <v>在慢动作中，有人溅入水中。</v>
      </c>
    </row>
    <row r="22044">
      <c r="A22044" s="4" t="s">
        <v>27749</v>
      </c>
      <c r="B22044" s="4" t="s">
        <v>27752</v>
      </c>
      <c r="C22044" s="5" t="str">
        <f>IFERROR(__xludf.DUMMYFUNCTION("GOOGLETRANSLATE(B22044,""en"",""zh-CN"")"),"各种男人的剪辑似乎从游泳池和不同的高度上进行不同的潜水。")</f>
        <v>各种男人的剪辑似乎从游泳池和不同的高度上进行不同的潜水。</v>
      </c>
    </row>
    <row r="22045">
      <c r="A22045" s="4" t="s">
        <v>27749</v>
      </c>
      <c r="B22045" s="6" t="s">
        <v>27753</v>
      </c>
      <c r="C22045" s="5" t="str">
        <f>IFERROR(__xludf.DUMMYFUNCTION("GOOGLETRANSLATE(B22045,""en"",""zh-CN"")"),"一个人首先进入水脚，降落在深池的底部，然后掉下来进行俯卧撑，然后迅速射击。")</f>
        <v>一个人首先进入水脚，降落在深池的底部，然后掉下来进行俯卧撑，然后迅速射击。</v>
      </c>
    </row>
    <row r="22046">
      <c r="A22046" s="4" t="s">
        <v>27749</v>
      </c>
      <c r="B22046" s="6" t="s">
        <v>27754</v>
      </c>
      <c r="C22046" s="5" t="str">
        <f>IFERROR(__xludf.DUMMYFUNCTION("GOOGLETRANSLATE(B22046,""en"",""zh-CN"")"),"一个人跳上潜水板，但没有跳水，而是失去了立足点，掉进了水中。")</f>
        <v>一个人跳上潜水板，但没有跳水，而是失去了立足点，掉进了水中。</v>
      </c>
    </row>
    <row r="22047">
      <c r="A22047" s="4" t="s">
        <v>27749</v>
      </c>
      <c r="B22047" s="4" t="s">
        <v>27755</v>
      </c>
      <c r="C22047" s="5" t="str">
        <f>IFERROR(__xludf.DUMMYFUNCTION("GOOGLETRANSLATE(B22047,""en"",""zh-CN"")"),"一个男孩站在墙上，按下一个按钮，走进对讲机，然后停下来笑。")</f>
        <v>一个男孩站在墙上，按下一个按钮，走进对讲机，然后停下来笑。</v>
      </c>
    </row>
    <row r="22048">
      <c r="A22048" s="4" t="s">
        <v>27756</v>
      </c>
      <c r="B22048" s="4" t="s">
        <v>27757</v>
      </c>
      <c r="C22048" s="5" t="str">
        <f>IFERROR(__xludf.DUMMYFUNCTION("GOOGLETRANSLATE(B22048,""en"",""zh-CN"")"),"一个男人和女人在城市的建筑物的顶部跳舞。")</f>
        <v>一个男人和女人在城市的建筑物的顶部跳舞。</v>
      </c>
    </row>
    <row r="22049">
      <c r="A22049" s="4" t="s">
        <v>27756</v>
      </c>
      <c r="B22049" s="4" t="s">
        <v>27758</v>
      </c>
      <c r="C22049" s="5" t="str">
        <f>IFERROR(__xludf.DUMMYFUNCTION("GOOGLETRANSLATE(B22049,""en"",""zh-CN"")"),"他把女人抬到空中。")</f>
        <v>他把女人抬到空中。</v>
      </c>
    </row>
    <row r="22050">
      <c r="A22050" s="4" t="s">
        <v>27756</v>
      </c>
      <c r="B22050" s="4" t="s">
        <v>27759</v>
      </c>
      <c r="C22050" s="5" t="str">
        <f>IFERROR(__xludf.DUMMYFUNCTION("GOOGLETRANSLATE(B22050,""en"",""zh-CN"")"),"摄像机在背景中铺上一个高大的建筑物。")</f>
        <v>摄像机在背景中铺上一个高大的建筑物。</v>
      </c>
    </row>
    <row r="22051">
      <c r="A22051" s="4" t="s">
        <v>27760</v>
      </c>
      <c r="B22051" s="4" t="s">
        <v>27761</v>
      </c>
      <c r="C22051" s="5" t="str">
        <f>IFERROR(__xludf.DUMMYFUNCTION("GOOGLETRANSLATE(B22051,""en"",""zh-CN"")"),"简介导致腹部舞者在镜子前表演例程。")</f>
        <v>简介导致腹部舞者在镜子前表演例程。</v>
      </c>
    </row>
    <row r="22052">
      <c r="A22052" s="4" t="s">
        <v>27760</v>
      </c>
      <c r="B22052" s="6" t="s">
        <v>27762</v>
      </c>
      <c r="C22052" s="5" t="str">
        <f>IFERROR(__xludf.DUMMYFUNCTION("GOOGLETRANSLATE(B22052,""en"",""zh-CN"")"),"她继续跳舞，一边四处移动，绕着头发鞭打头发，抓住裙子。")</f>
        <v>她继续跳舞，一边四处移动，绕着头发鞭打头发，抓住裙子。</v>
      </c>
    </row>
    <row r="22053">
      <c r="A22053" s="4" t="s">
        <v>27760</v>
      </c>
      <c r="B22053" s="4" t="s">
        <v>27763</v>
      </c>
      <c r="C22053" s="5" t="str">
        <f>IFERROR(__xludf.DUMMYFUNCTION("GOOGLETRANSLATE(B22053,""en"",""zh-CN"")"),"她坐在地板上看镜子来结束。")</f>
        <v>她坐在地板上看镜子来结束。</v>
      </c>
    </row>
    <row r="22054">
      <c r="A22054" s="4" t="s">
        <v>27764</v>
      </c>
      <c r="B22054" s="4" t="s">
        <v>27765</v>
      </c>
      <c r="C22054" s="5" t="str">
        <f>IFERROR(__xludf.DUMMYFUNCTION("GOOGLETRANSLATE(B22054,""en"",""zh-CN"")"),"看到一个女人在拿着手风琴的同时向相机说话。")</f>
        <v>看到一个女人在拿着手风琴的同时向相机说话。</v>
      </c>
    </row>
    <row r="22055">
      <c r="A22055" s="4" t="s">
        <v>27764</v>
      </c>
      <c r="B22055" s="4" t="s">
        <v>27766</v>
      </c>
      <c r="C22055" s="5" t="str">
        <f>IFERROR(__xludf.DUMMYFUNCTION("GOOGLETRANSLATE(B22055,""en"",""zh-CN"")"),"她看着相机时开始慢慢移动乐器。")</f>
        <v>她看着相机时开始慢慢移动乐器。</v>
      </c>
    </row>
    <row r="22056">
      <c r="A22056" s="4" t="s">
        <v>27764</v>
      </c>
      <c r="B22056" s="4" t="s">
        <v>27767</v>
      </c>
      <c r="C22056" s="5" t="str">
        <f>IFERROR(__xludf.DUMMYFUNCTION("GOOGLETRANSLATE(B22056,""en"",""zh-CN"")"),"她在说话和移开视线时继续弹奏手风琴。")</f>
        <v>她在说话和移开视线时继续弹奏手风琴。</v>
      </c>
    </row>
    <row r="22057">
      <c r="A22057" s="4" t="s">
        <v>27768</v>
      </c>
      <c r="B22057" s="4" t="s">
        <v>27769</v>
      </c>
      <c r="C22057" s="5" t="str">
        <f>IFERROR(__xludf.DUMMYFUNCTION("GOOGLETRANSLATE(B22057,""en"",""zh-CN"")"),"一个年轻的男孩正站在房子外面，带着网球和球拍。")</f>
        <v>一个年轻的男孩正站在房子外面，带着网球和球拍。</v>
      </c>
    </row>
    <row r="22058">
      <c r="A22058" s="4" t="s">
        <v>27768</v>
      </c>
      <c r="B22058" s="4" t="s">
        <v>27770</v>
      </c>
      <c r="C22058" s="5" t="str">
        <f>IFERROR(__xludf.DUMMYFUNCTION("GOOGLETRANSLATE(B22058,""en"",""zh-CN"")"),"他去了网球场，开始谈论网球比赛。")</f>
        <v>他去了网球场，开始谈论网球比赛。</v>
      </c>
    </row>
    <row r="22059">
      <c r="A22059" s="4" t="s">
        <v>27768</v>
      </c>
      <c r="B22059" s="6" t="s">
        <v>27771</v>
      </c>
      <c r="C22059" s="5" t="str">
        <f>IFERROR(__xludf.DUMMYFUNCTION("GOOGLETRANSLATE(B22059,""en"",""zh-CN"")"),"他做了一些伸展运动，但随后准备将球撞到球场的另一侧。")</f>
        <v>他做了一些伸展运动，但随后准备将球撞到球场的另一侧。</v>
      </c>
    </row>
    <row r="22060">
      <c r="A22060" s="4" t="s">
        <v>27768</v>
      </c>
      <c r="B22060" s="4" t="s">
        <v>27772</v>
      </c>
      <c r="C22060" s="5" t="str">
        <f>IFERROR(__xludf.DUMMYFUNCTION("GOOGLETRANSLATE(B22060,""en"",""zh-CN"")"),"他在球场上谈论它，然后离开回家。")</f>
        <v>他在球场上谈论它，然后离开回家。</v>
      </c>
    </row>
    <row r="22061">
      <c r="A22061" s="4" t="s">
        <v>27773</v>
      </c>
      <c r="B22061" s="4" t="s">
        <v>27774</v>
      </c>
      <c r="C22061" s="5" t="str">
        <f>IFERROR(__xludf.DUMMYFUNCTION("GOOGLETRANSLATE(B22061,""en"",""zh-CN"")"),"沙丘通向海滩海岸线的场景。")</f>
        <v>沙丘通向海滩海岸线的场景。</v>
      </c>
    </row>
    <row r="22062">
      <c r="A22062" s="4" t="s">
        <v>27773</v>
      </c>
      <c r="B22062" s="4" t="s">
        <v>27775</v>
      </c>
      <c r="C22062" s="5" t="str">
        <f>IFERROR(__xludf.DUMMYFUNCTION("GOOGLETRANSLATE(B22062,""en"",""zh-CN"")"),"一个穿着蓝色上衣的女孩走路并在沙滩上摆姿势。")</f>
        <v>一个穿着蓝色上衣的女孩走路并在沙滩上摆姿势。</v>
      </c>
    </row>
    <row r="22063">
      <c r="A22063" s="4" t="s">
        <v>27773</v>
      </c>
      <c r="B22063" s="4" t="s">
        <v>27776</v>
      </c>
      <c r="C22063" s="5" t="str">
        <f>IFERROR(__xludf.DUMMYFUNCTION("GOOGLETRANSLATE(B22063,""en"",""zh-CN"")"),"一个戴着野生动物园帽子的男人带领一群骆驼和一个文件中的骑手一起。")</f>
        <v>一个戴着野生动物园帽子的男人带领一群骆驼和一个文件中的骑手一起。</v>
      </c>
    </row>
    <row r="22064">
      <c r="A22064" s="4" t="s">
        <v>27773</v>
      </c>
      <c r="B22064" s="4" t="s">
        <v>27777</v>
      </c>
      <c r="C22064" s="5" t="str">
        <f>IFERROR(__xludf.DUMMYFUNCTION("GOOGLETRANSLATE(B22064,""en"",""zh-CN"")"),"摄像机将骆驼躺在沙滩上的封闭式骑着马鞍。")</f>
        <v>摄像机将骆驼躺在沙滩上的封闭式骑着马鞍。</v>
      </c>
    </row>
    <row r="22065">
      <c r="A22065" s="4" t="s">
        <v>27773</v>
      </c>
      <c r="B22065" s="4" t="s">
        <v>27778</v>
      </c>
      <c r="C22065" s="5" t="str">
        <f>IFERROR(__xludf.DUMMYFUNCTION("GOOGLETRANSLATE(B22065,""en"",""zh-CN"")"),"骑手捕捉了通向海洋的沙丘的景色。")</f>
        <v>骑手捕捉了通向海洋的沙丘的景色。</v>
      </c>
    </row>
    <row r="22066">
      <c r="A22066" s="4" t="s">
        <v>27773</v>
      </c>
      <c r="B22066" s="4" t="s">
        <v>27779</v>
      </c>
      <c r="C22066" s="5" t="str">
        <f>IFERROR(__xludf.DUMMYFUNCTION("GOOGLETRANSLATE(B22066,""en"",""zh-CN"")"),"骆驼大篷车到达海滩上的一个营地。")</f>
        <v>骆驼大篷车到达海滩上的一个营地。</v>
      </c>
    </row>
    <row r="22067">
      <c r="A22067" s="4" t="s">
        <v>27780</v>
      </c>
      <c r="B22067" s="4" t="s">
        <v>27781</v>
      </c>
      <c r="C22067" s="5" t="str">
        <f>IFERROR(__xludf.DUMMYFUNCTION("GOOGLETRANSLATE(B22067,""en"",""zh-CN"")"),"一个男孩从浴室里的罐子里喷洒剃须奶油。")</f>
        <v>一个男孩从浴室里的罐子里喷洒剃须奶油。</v>
      </c>
    </row>
    <row r="22068">
      <c r="A22068" s="4" t="s">
        <v>27780</v>
      </c>
      <c r="B22068" s="4" t="s">
        <v>27782</v>
      </c>
      <c r="C22068" s="5" t="str">
        <f>IFERROR(__xludf.DUMMYFUNCTION("GOOGLETRANSLATE(B22068,""en"",""zh-CN"")"),"这个男孩将剃须膏涂在他的脸上。")</f>
        <v>这个男孩将剃须膏涂在他的脸上。</v>
      </c>
    </row>
    <row r="22069">
      <c r="A22069" s="4" t="s">
        <v>27780</v>
      </c>
      <c r="B22069" s="4" t="s">
        <v>27783</v>
      </c>
      <c r="C22069" s="5" t="str">
        <f>IFERROR(__xludf.DUMMYFUNCTION("GOOGLETRANSLATE(B22069,""en"",""zh-CN"")"),"一个男人的脸上有剃须霜，并在加压罐上阅读标签并讨论它。")</f>
        <v>一个男人的脸上有剃须霜，并在加压罐上阅读标签并讨论它。</v>
      </c>
    </row>
    <row r="22070">
      <c r="A22070" s="4" t="s">
        <v>27780</v>
      </c>
      <c r="B22070" s="4" t="s">
        <v>27784</v>
      </c>
      <c r="C22070" s="5" t="str">
        <f>IFERROR(__xludf.DUMMYFUNCTION("GOOGLETRANSLATE(B22070,""en"",""zh-CN"")"),"一个男人揉着光滑的脸。")</f>
        <v>一个男人揉着光滑的脸。</v>
      </c>
    </row>
    <row r="22071">
      <c r="A22071" s="4" t="s">
        <v>27780</v>
      </c>
      <c r="B22071" s="4" t="s">
        <v>27785</v>
      </c>
      <c r="C22071" s="5" t="str">
        <f>IFERROR(__xludf.DUMMYFUNCTION("GOOGLETRANSLATE(B22071,""en"",""zh-CN"")"),"该男子举起金属油罐。")</f>
        <v>该男子举起金属油罐。</v>
      </c>
    </row>
    <row r="22072">
      <c r="A22072" s="4" t="s">
        <v>27780</v>
      </c>
      <c r="B22072" s="4" t="s">
        <v>27786</v>
      </c>
      <c r="C22072" s="5" t="str">
        <f>IFERROR(__xludf.DUMMYFUNCTION("GOOGLETRANSLATE(B22072,""en"",""zh-CN"")"),"该男子将用液体滴剂涂在剃须刀上，并演示如何使用它。")</f>
        <v>该男子将用液体滴剂涂在剃须刀上，并演示如何使用它。</v>
      </c>
    </row>
    <row r="22073">
      <c r="A22073" s="4" t="s">
        <v>27787</v>
      </c>
      <c r="B22073" s="6" t="s">
        <v>27788</v>
      </c>
      <c r="C22073" s="5" t="str">
        <f>IFERROR(__xludf.DUMMYFUNCTION("GOOGLETRANSLATE(B22073,""en"",""zh-CN"")"),"看到一个人将手放在装满脏水的水槽里，将脸庞压在水面上。")</f>
        <v>看到一个人将手放在装满脏水的水槽里，将脸庞压在水面上。</v>
      </c>
    </row>
    <row r="22074">
      <c r="A22074" s="4" t="s">
        <v>27787</v>
      </c>
      <c r="B22074" s="4" t="s">
        <v>27789</v>
      </c>
      <c r="C22074" s="5" t="str">
        <f>IFERROR(__xludf.DUMMYFUNCTION("GOOGLETRANSLATE(B22074,""en"",""zh-CN"")"),"当泥浆滴入水槽时，该男子继续擦去脸上的泥浆。")</f>
        <v>当泥浆滴入水槽时，该男子继续擦去脸上的泥浆。</v>
      </c>
    </row>
    <row r="22075">
      <c r="A22075" s="4" t="s">
        <v>27790</v>
      </c>
      <c r="B22075" s="4" t="s">
        <v>27791</v>
      </c>
      <c r="C22075" s="5" t="str">
        <f>IFERROR(__xludf.DUMMYFUNCTION("GOOGLETRANSLATE(B22075,""en"",""zh-CN"")"),"来自芝麻街的Elmo正在展示如何与歌手Bruno Mars一起刷牙。")</f>
        <v>来自芝麻街的Elmo正在展示如何与歌手Bruno Mars一起刷牙。</v>
      </c>
    </row>
    <row r="22076">
      <c r="A22076" s="4" t="s">
        <v>27790</v>
      </c>
      <c r="B22076" s="6" t="s">
        <v>27792</v>
      </c>
      <c r="C22076" s="5" t="str">
        <f>IFERROR(__xludf.DUMMYFUNCTION("GOOGLETRANSLATE(B22076,""en"",""zh-CN"")"),"Elmo拔出牙刷，开始跳舞，而Bruno Mars似乎在镜子上刷牙。")</f>
        <v>Elmo拔出牙刷，开始跳舞，而Bruno Mars似乎在镜子上刷牙。</v>
      </c>
    </row>
    <row r="22077">
      <c r="A22077" s="4" t="s">
        <v>27790</v>
      </c>
      <c r="B22077" s="6" t="s">
        <v>27793</v>
      </c>
      <c r="C22077" s="5" t="str">
        <f>IFERROR(__xludf.DUMMYFUNCTION("GOOGLETRANSLATE(B22077,""en"",""zh-CN"")"),"当布鲁诺·马尔斯（Bruno Mars）继续刷牙和镜子闪烁上的彩色灯光时，埃尔莫（Elmo）正在唱歌。")</f>
        <v>当布鲁诺·马尔斯（Bruno Mars）继续刷牙和镜子闪烁上的彩色灯光时，埃尔莫（Elmo）正在唱歌。</v>
      </c>
    </row>
    <row r="22078">
      <c r="A22078" s="4" t="s">
        <v>27790</v>
      </c>
      <c r="B22078" s="6" t="s">
        <v>27794</v>
      </c>
      <c r="C22078" s="5" t="str">
        <f>IFERROR(__xludf.DUMMYFUNCTION("GOOGLETRANSLATE(B22078,""en"",""zh-CN"")"),"Elmo和Bruno Mars在教小孩刷牙的重要性时继续跳舞。")</f>
        <v>Elmo和Bruno Mars在教小孩刷牙的重要性时继续跳舞。</v>
      </c>
    </row>
    <row r="22079">
      <c r="A22079" s="4" t="s">
        <v>27795</v>
      </c>
      <c r="B22079" s="6" t="s">
        <v>27796</v>
      </c>
      <c r="C22079" s="5" t="str">
        <f>IFERROR(__xludf.DUMMYFUNCTION("GOOGLETRANSLATE(B22079,""en"",""zh-CN"")"),"看到一个小孩站在她的臀部上，在跳下苏格兰郡的轮廓之间。")</f>
        <v>看到一个小孩站在她的臀部上，在跳下苏格兰郡的轮廓之间。</v>
      </c>
    </row>
    <row r="22080">
      <c r="A22080" s="4" t="s">
        <v>27795</v>
      </c>
      <c r="B22080" s="4" t="s">
        <v>27797</v>
      </c>
      <c r="C22080" s="5" t="str">
        <f>IFERROR(__xludf.DUMMYFUNCTION("GOOGLETRANSLATE(B22080,""en"",""zh-CN"")"),"她一直跳下来，最后对相机说话。")</f>
        <v>她一直跳下来，最后对相机说话。</v>
      </c>
    </row>
    <row r="22081">
      <c r="A22081" s="4" t="s">
        <v>27798</v>
      </c>
      <c r="B22081" s="4" t="s">
        <v>27799</v>
      </c>
      <c r="C22081" s="5" t="str">
        <f>IFERROR(__xludf.DUMMYFUNCTION("GOOGLETRANSLATE(B22081,""en"",""zh-CN"")"),"两支骑马的球队在一个田野上骑车。")</f>
        <v>两支骑马的球队在一个田野上骑车。</v>
      </c>
    </row>
    <row r="22082">
      <c r="A22082" s="4" t="s">
        <v>27798</v>
      </c>
      <c r="B22082" s="4" t="s">
        <v>27800</v>
      </c>
      <c r="C22082" s="5" t="str">
        <f>IFERROR(__xludf.DUMMYFUNCTION("GOOGLETRANSLATE(B22082,""en"",""zh-CN"")"),"使用板球蝙蝠，他们来回击球。")</f>
        <v>使用板球蝙蝠，他们来回击球。</v>
      </c>
    </row>
    <row r="22083">
      <c r="A22083" s="4" t="s">
        <v>27798</v>
      </c>
      <c r="B22083" s="4" t="s">
        <v>27801</v>
      </c>
      <c r="C22083" s="5" t="str">
        <f>IFERROR(__xludf.DUMMYFUNCTION("GOOGLETRANSLATE(B22083,""en"",""zh-CN"")"),"团队终于做出了目标。")</f>
        <v>团队终于做出了目标。</v>
      </c>
    </row>
    <row r="22084">
      <c r="A22084" s="4" t="s">
        <v>27798</v>
      </c>
      <c r="B22084" s="4" t="s">
        <v>27802</v>
      </c>
      <c r="C22084" s="5" t="str">
        <f>IFERROR(__xludf.DUMMYFUNCTION("GOOGLETRANSLATE(B22084,""en"",""zh-CN"")"),"得分球队随后在胜利中骑车。")</f>
        <v>得分球队随后在胜利中骑车。</v>
      </c>
    </row>
    <row r="22085">
      <c r="A22085" s="4" t="s">
        <v>27803</v>
      </c>
      <c r="B22085" s="4" t="s">
        <v>27804</v>
      </c>
      <c r="C22085" s="5" t="str">
        <f>IFERROR(__xludf.DUMMYFUNCTION("GOOGLETRANSLATE(B22085,""en"",""zh-CN"")"),"一个人指出一些用于使用打蜡滑雪板的产品。")</f>
        <v>一个人指出一些用于使用打蜡滑雪板的产品。</v>
      </c>
    </row>
    <row r="22086">
      <c r="A22086" s="4" t="s">
        <v>27803</v>
      </c>
      <c r="B22086" s="4" t="s">
        <v>27805</v>
      </c>
      <c r="C22086" s="5" t="str">
        <f>IFERROR(__xludf.DUMMYFUNCTION("GOOGLETRANSLATE(B22086,""en"",""zh-CN"")"),"该男子用毛巾清洁滑雪。")</f>
        <v>该男子用毛巾清洁滑雪。</v>
      </c>
    </row>
    <row r="22087">
      <c r="A22087" s="4" t="s">
        <v>27803</v>
      </c>
      <c r="B22087" s="6" t="s">
        <v>27806</v>
      </c>
      <c r="C22087" s="5" t="str">
        <f>IFERROR(__xludf.DUMMYFUNCTION("GOOGLETRANSLATE(B22087,""en"",""zh-CN"")"),"该男子抓住其中一种产品并在滑雪板上摩擦，让产品坐在那里一会儿。")</f>
        <v>该男子抓住其中一种产品并在滑雪板上摩擦，让产品坐在那里一会儿。</v>
      </c>
    </row>
    <row r="22088">
      <c r="A22088" s="4" t="s">
        <v>27803</v>
      </c>
      <c r="B22088" s="4" t="s">
        <v>27807</v>
      </c>
      <c r="C22088" s="5" t="str">
        <f>IFERROR(__xludf.DUMMYFUNCTION("GOOGLETRANSLATE(B22088,""en"",""zh-CN"")"),"一段时间后，该男子抓住了另一种产品并在滑雪板上擦拭。")</f>
        <v>一段时间后，该男子抓住了另一种产品并在滑雪板上擦拭。</v>
      </c>
    </row>
    <row r="22089">
      <c r="A22089" s="4" t="s">
        <v>27808</v>
      </c>
      <c r="B22089" s="4" t="s">
        <v>27809</v>
      </c>
      <c r="C22089" s="5" t="str">
        <f>IFERROR(__xludf.DUMMYFUNCTION("GOOGLETRANSLATE(B22089,""en"",""zh-CN"")"),"女人被放在底座上。")</f>
        <v>女人被放在底座上。</v>
      </c>
    </row>
    <row r="22090">
      <c r="A22090" s="4" t="s">
        <v>27808</v>
      </c>
      <c r="B22090" s="4" t="s">
        <v>27810</v>
      </c>
      <c r="C22090" s="5" t="str">
        <f>IFERROR(__xludf.DUMMYFUNCTION("GOOGLETRANSLATE(B22090,""en"",""zh-CN"")"),"然后，她在地板上的杆上放了一条裙子。")</f>
        <v>然后，她在地板上的杆上放了一条裙子。</v>
      </c>
    </row>
    <row r="22091">
      <c r="A22091" s="4" t="s">
        <v>27808</v>
      </c>
      <c r="B22091" s="4" t="s">
        <v>27811</v>
      </c>
      <c r="C22091" s="5" t="str">
        <f>IFERROR(__xludf.DUMMYFUNCTION("GOOGLETRANSLATE(B22091,""en"",""zh-CN"")"),"她把假的圣诞树放在杆上。")</f>
        <v>她把假的圣诞树放在杆上。</v>
      </c>
    </row>
    <row r="22092">
      <c r="A22092" s="4" t="s">
        <v>27808</v>
      </c>
      <c r="B22092" s="4" t="s">
        <v>27812</v>
      </c>
      <c r="C22092" s="5" t="str">
        <f>IFERROR(__xludf.DUMMYFUNCTION("GOOGLETRANSLATE(B22092,""en"",""zh-CN"")"),"显示了圣诞树弓的特写。")</f>
        <v>显示了圣诞树弓的特写。</v>
      </c>
    </row>
    <row r="22093">
      <c r="A22093" s="4" t="s">
        <v>27808</v>
      </c>
      <c r="B22093" s="4" t="s">
        <v>27813</v>
      </c>
      <c r="C22093" s="5" t="str">
        <f>IFERROR(__xludf.DUMMYFUNCTION("GOOGLETRANSLATE(B22093,""en"",""zh-CN"")"),"她将弓上的弓上的弓上固定在树上。")</f>
        <v>她将弓上的弓上的弓上固定在树上。</v>
      </c>
    </row>
    <row r="22094">
      <c r="A22094" s="4" t="s">
        <v>27814</v>
      </c>
      <c r="B22094" s="4" t="s">
        <v>27815</v>
      </c>
      <c r="C22094" s="5" t="str">
        <f>IFERROR(__xludf.DUMMYFUNCTION("GOOGLETRANSLATE(B22094,""en"",""zh-CN"")"),"显示了房间内部的白色墙。")</f>
        <v>显示了房间内部的白色墙。</v>
      </c>
    </row>
    <row r="22095">
      <c r="A22095" s="4" t="s">
        <v>27814</v>
      </c>
      <c r="B22095" s="4" t="s">
        <v>27816</v>
      </c>
      <c r="C22095" s="5" t="str">
        <f>IFERROR(__xludf.DUMMYFUNCTION("GOOGLETRANSLATE(B22095,""en"",""zh-CN"")"),"一只拿着点燃的比赛的手灯蜡烛。")</f>
        <v>一只拿着点燃的比赛的手灯蜡烛。</v>
      </c>
    </row>
    <row r="22096">
      <c r="A22096" s="4" t="s">
        <v>27814</v>
      </c>
      <c r="B22096" s="4" t="s">
        <v>27817</v>
      </c>
      <c r="C22096" s="5" t="str">
        <f>IFERROR(__xludf.DUMMYFUNCTION("GOOGLETRANSLATE(B22096,""en"",""zh-CN"")"),"一个人把蜡烛放在水槽旁边，开始洗碗。")</f>
        <v>一个人把蜡烛放在水槽旁边，开始洗碗。</v>
      </c>
    </row>
    <row r="22097">
      <c r="A22097" s="4" t="s">
        <v>27818</v>
      </c>
      <c r="B22097" s="4" t="s">
        <v>27819</v>
      </c>
      <c r="C22097" s="5" t="str">
        <f>IFERROR(__xludf.DUMMYFUNCTION("GOOGLETRANSLATE(B22097,""en"",""zh-CN"")"),"表明人们在竞技场周围走来走去。")</f>
        <v>表明人们在竞技场周围走来走去。</v>
      </c>
    </row>
    <row r="22098">
      <c r="A22098" s="4" t="s">
        <v>27818</v>
      </c>
      <c r="B22098" s="4" t="s">
        <v>27820</v>
      </c>
      <c r="C22098" s="5" t="str">
        <f>IFERROR(__xludf.DUMMYFUNCTION("GOOGLETRANSLATE(B22098,""en"",""zh-CN"")"),"然后，有两个摔跤手弯腰弯腰，然后在坑里走来走去，然后互相摔跤。")</f>
        <v>然后，有两个摔跤手弯腰弯腰，然后在坑里走来走去，然后互相摔跤。</v>
      </c>
    </row>
    <row r="22099">
      <c r="A22099" s="4" t="s">
        <v>27818</v>
      </c>
      <c r="B22099" s="4" t="s">
        <v>27821</v>
      </c>
      <c r="C22099" s="5" t="str">
        <f>IFERROR(__xludf.DUMMYFUNCTION("GOOGLETRANSLATE(B22099,""en"",""zh-CN"")"),"一个人将另一个人扔向城市的片段。")</f>
        <v>一个人将另一个人扔向城市的片段。</v>
      </c>
    </row>
    <row r="22100">
      <c r="A22100" s="4" t="s">
        <v>27822</v>
      </c>
      <c r="B22100" s="6" t="s">
        <v>27823</v>
      </c>
      <c r="C22100" s="5" t="str">
        <f>IFERROR(__xludf.DUMMYFUNCTION("GOOGLETRANSLATE(B22100,""en"",""zh-CN"")"),"看到一个人沿着山坡骑着雪橇，然后几个人爬上山上，再次向后滑动。")</f>
        <v>看到一个人沿着山坡骑着雪橇，然后几个人爬上山上，再次向后滑动。</v>
      </c>
    </row>
    <row r="22101">
      <c r="A22101" s="4" t="s">
        <v>27822</v>
      </c>
      <c r="B22101" s="6" t="s">
        <v>27824</v>
      </c>
      <c r="C22101" s="5" t="str">
        <f>IFERROR(__xludf.DUMMYFUNCTION("GOOGLETRANSLATE(B22101,""en"",""zh-CN"")"),"当这个人将孩子从雪橇上拉出时，一个成年和孩子骑行，然后有更多的人骑行，再次走路。")</f>
        <v>当这个人将孩子从雪橇上拉出时，一个成年和孩子骑行，然后有更多的人骑行，再次走路。</v>
      </c>
    </row>
    <row r="22102">
      <c r="A22102" s="4" t="s">
        <v>27825</v>
      </c>
      <c r="B22102" s="4" t="s">
        <v>27826</v>
      </c>
      <c r="C22102" s="5" t="str">
        <f>IFERROR(__xludf.DUMMYFUNCTION("GOOGLETRANSLATE(B22102,""en"",""zh-CN"")"),"一个蹒跚学步的人用口红画她的嘴唇。")</f>
        <v>一个蹒跚学步的人用口红画她的嘴唇。</v>
      </c>
    </row>
    <row r="22103">
      <c r="A22103" s="4" t="s">
        <v>27825</v>
      </c>
      <c r="B22103" s="4" t="s">
        <v>27827</v>
      </c>
      <c r="C22103" s="5" t="str">
        <f>IFERROR(__xludf.DUMMYFUNCTION("GOOGLETRANSLATE(B22103,""en"",""zh-CN"")"),"然后，幼儿适用于她的眼皮在前面的蓝色镜子上。")</f>
        <v>然后，幼儿适用于她的眼皮在前面的蓝色镜子上。</v>
      </c>
    </row>
    <row r="22104">
      <c r="A22104" s="4" t="s">
        <v>27825</v>
      </c>
      <c r="B22104" s="4" t="s">
        <v>27828</v>
      </c>
      <c r="C22104" s="5" t="str">
        <f>IFERROR(__xludf.DUMMYFUNCTION("GOOGLETRANSLATE(B22104,""en"",""zh-CN"")"),"接下来，幼儿可以从调色板上弥补更多的化妆，以继续涂在她的眼皮上。")</f>
        <v>接下来，幼儿可以从调色板上弥补更多的化妆，以继续涂在她的眼皮上。</v>
      </c>
    </row>
    <row r="22105">
      <c r="A22105" s="4" t="s">
        <v>27829</v>
      </c>
      <c r="B22105" s="4" t="s">
        <v>27830</v>
      </c>
      <c r="C22105" s="5" t="str">
        <f>IFERROR(__xludf.DUMMYFUNCTION("GOOGLETRANSLATE(B22105,""en"",""zh-CN"")"),"一个男人正在越过一条松弛的线。")</f>
        <v>一个男人正在越过一条松弛的线。</v>
      </c>
    </row>
    <row r="22106">
      <c r="A22106" s="4" t="s">
        <v>27829</v>
      </c>
      <c r="B22106" s="4" t="s">
        <v>27831</v>
      </c>
      <c r="C22106" s="5" t="str">
        <f>IFERROR(__xludf.DUMMYFUNCTION("GOOGLETRANSLATE(B22106,""en"",""zh-CN"")"),"他把东西放在汽车的后备箱中。")</f>
        <v>他把东西放在汽车的后备箱中。</v>
      </c>
    </row>
    <row r="22107">
      <c r="A22107" s="4" t="s">
        <v>27829</v>
      </c>
      <c r="B22107" s="4" t="s">
        <v>27832</v>
      </c>
      <c r="C22107" s="5" t="str">
        <f>IFERROR(__xludf.DUMMYFUNCTION("GOOGLETRANSLATE(B22107,""en"",""zh-CN"")"),"他将松弛线越过另一侧。")</f>
        <v>他将松弛线越过另一侧。</v>
      </c>
    </row>
    <row r="22108">
      <c r="A22108" s="4" t="s">
        <v>27833</v>
      </c>
      <c r="B22108" s="4" t="s">
        <v>27834</v>
      </c>
      <c r="C22108" s="5" t="str">
        <f>IFERROR(__xludf.DUMMYFUNCTION("GOOGLETRANSLATE(B22108,""en"",""zh-CN"")"),"看到一个人的鞋子走在后面。")</f>
        <v>看到一个人的鞋子走在后面。</v>
      </c>
    </row>
    <row r="22109">
      <c r="A22109" s="4" t="s">
        <v>27833</v>
      </c>
      <c r="B22109" s="4" t="s">
        <v>27835</v>
      </c>
      <c r="C22109" s="5" t="str">
        <f>IFERROR(__xludf.DUMMYFUNCTION("GOOGLETRANSLATE(B22109,""en"",""zh-CN"")"),"一个摄像头从一个污垢中扔出去，显示一个男人将其放在树旁边。")</f>
        <v>一个摄像头从一个污垢中扔出去，显示一个男人将其放在树旁边。</v>
      </c>
    </row>
    <row r="22110">
      <c r="A22110" s="4" t="s">
        <v>27833</v>
      </c>
      <c r="B22110" s="4" t="s">
        <v>27836</v>
      </c>
      <c r="C22110" s="5" t="str">
        <f>IFERROR(__xludf.DUMMYFUNCTION("GOOGLETRANSLATE(B22110,""en"",""zh-CN"")"),"相机在树上摇晃，并显示该男子在污垢上检查。")</f>
        <v>相机在树上摇晃，并显示该男子在污垢上检查。</v>
      </c>
    </row>
    <row r="22111">
      <c r="A22111" s="4" t="s">
        <v>27837</v>
      </c>
      <c r="B22111" s="4" t="s">
        <v>27838</v>
      </c>
      <c r="C22111" s="5" t="str">
        <f>IFERROR(__xludf.DUMMYFUNCTION("GOOGLETRANSLATE(B22111,""en"",""zh-CN"")"),"一个坐在皮划艇中的男人用桨来支撑，将自己推到漩涡状的水周围。")</f>
        <v>一个坐在皮划艇中的男人用桨来支撑，将自己推到漩涡状的水周围。</v>
      </c>
    </row>
    <row r="22112">
      <c r="A22112" s="4" t="s">
        <v>27837</v>
      </c>
      <c r="B22112" s="4" t="s">
        <v>27839</v>
      </c>
      <c r="C22112" s="5" t="str">
        <f>IFERROR(__xludf.DUMMYFUNCTION("GOOGLETRANSLATE(B22112,""en"",""zh-CN"")"),"该男子在水中几次翻转试图释放的水，最终他做到了。")</f>
        <v>该男子在水中几次翻转试图释放的水，最终他做到了。</v>
      </c>
    </row>
    <row r="22113">
      <c r="A22113" s="4" t="s">
        <v>27840</v>
      </c>
      <c r="B22113" s="6" t="s">
        <v>27841</v>
      </c>
      <c r="C22113" s="5" t="str">
        <f>IFERROR(__xludf.DUMMYFUNCTION("GOOGLETRANSLATE(B22113,""en"",""zh-CN"")"),"一个男人在镜头里说话，而另一个戴着围巾的男人在他身后，然后他们走进建筑物，坐在两个沙发上，一个女人过来给他们水。")</f>
        <v>一个男人在镜头里说话，而另一个戴着围巾的男人在他身后，然后他们走进建筑物，坐在两个沙发上，一个女人过来给他们水。</v>
      </c>
    </row>
    <row r="22114">
      <c r="A22114" s="4" t="s">
        <v>27840</v>
      </c>
      <c r="B22114" s="6" t="s">
        <v>27842</v>
      </c>
      <c r="C22114" s="5" t="str">
        <f>IFERROR(__xludf.DUMMYFUNCTION("GOOGLETRANSLATE(B22114,""en"",""zh-CN"")"),"穿着毛衣的男人检查了手机，然后在袋子里拿到两个球拍，把一个人交给了那个家伙，站立的家伙在球拍上弹跳了球。")</f>
        <v>穿着毛衣的男人检查了手机，然后在袋子里拿到两个球拍，把一个人交给了那个家伙，站立的家伙在球拍上弹跳了球。</v>
      </c>
    </row>
    <row r="22115">
      <c r="A22115" s="4" t="s">
        <v>27840</v>
      </c>
      <c r="B22115" s="4" t="s">
        <v>27843</v>
      </c>
      <c r="C22115" s="5" t="str">
        <f>IFERROR(__xludf.DUMMYFUNCTION("GOOGLETRANSLATE(B22115,""en"",""zh-CN"")"),"这两个男人坐在他们坐着的时候开始打网球。")</f>
        <v>这两个男人坐在他们坐着的时候开始打网球。</v>
      </c>
    </row>
    <row r="22116">
      <c r="A22116" s="4" t="s">
        <v>27840</v>
      </c>
      <c r="B22116" s="6" t="s">
        <v>27844</v>
      </c>
      <c r="C22116" s="5" t="str">
        <f>IFERROR(__xludf.DUMMYFUNCTION("GOOGLETRANSLATE(B22116,""en"",""zh-CN"")"),"然后他们移动了沙发，开始在墙上玩耍，然后在工作人员工作的地区玩耍。")</f>
        <v>然后他们移动了沙发，开始在墙上玩耍，然后在工作人员工作的地区玩耍。</v>
      </c>
    </row>
    <row r="22117">
      <c r="A22117" s="4" t="s">
        <v>27840</v>
      </c>
      <c r="B22117" s="6" t="s">
        <v>27845</v>
      </c>
      <c r="C22117" s="5" t="str">
        <f>IFERROR(__xludf.DUMMYFUNCTION("GOOGLETRANSLATE(B22117,""en"",""zh-CN"")"),"一个秃头的男人在楼梯上倒下，去了两个在墙上打网球的人。")</f>
        <v>一个秃头的男人在楼梯上倒下，去了两个在墙上打网球的人。</v>
      </c>
    </row>
    <row r="22118">
      <c r="A22118" s="4" t="s">
        <v>27846</v>
      </c>
      <c r="B22118" s="4" t="s">
        <v>27847</v>
      </c>
      <c r="C22118" s="5" t="str">
        <f>IFERROR(__xludf.DUMMYFUNCTION("GOOGLETRANSLATE(B22118,""en"",""zh-CN"")"),"看到一个女人和男人一起锻炼，并导致她对镜头说话。")</f>
        <v>看到一个女人和男人一起锻炼，并导致她对镜头说话。</v>
      </c>
    </row>
    <row r="22119">
      <c r="A22119" s="4" t="s">
        <v>27846</v>
      </c>
      <c r="B22119" s="6" t="s">
        <v>27848</v>
      </c>
      <c r="C22119" s="5" t="str">
        <f>IFERROR(__xludf.DUMMYFUNCTION("GOOGLETRANSLATE(B22119,""en"",""zh-CN"")"),"然后，她退后一步，在板上的第四位移动双腿，继续与镜头说话。")</f>
        <v>然后，她退后一步，在板上的第四位移动双腿，继续与镜头说话。</v>
      </c>
    </row>
    <row r="22120">
      <c r="A22120" s="4" t="s">
        <v>27846</v>
      </c>
      <c r="B22120" s="4" t="s">
        <v>27849</v>
      </c>
      <c r="C22120" s="5" t="str">
        <f>IFERROR(__xludf.DUMMYFUNCTION("GOOGLETRANSLATE(B22120,""en"",""zh-CN"")"),"然后，她在相机周围跳动，并以仍然与相机说话结束。")</f>
        <v>然后，她在相机周围跳动，并以仍然与相机说话结束。</v>
      </c>
    </row>
    <row r="22121">
      <c r="A22121" s="4" t="s">
        <v>27850</v>
      </c>
      <c r="B22121" s="4" t="s">
        <v>27851</v>
      </c>
      <c r="C22121" s="5" t="str">
        <f>IFERROR(__xludf.DUMMYFUNCTION("GOOGLETRANSLATE(B22121,""en"",""zh-CN"")"),"一个女人吹着镜头，然后插入她的隐形眼镜。")</f>
        <v>一个女人吹着镜头，然后插入她的隐形眼镜。</v>
      </c>
    </row>
    <row r="22122">
      <c r="A22122" s="4" t="s">
        <v>27850</v>
      </c>
      <c r="B22122" s="4" t="s">
        <v>27852</v>
      </c>
      <c r="C22122" s="5" t="str">
        <f>IFERROR(__xludf.DUMMYFUNCTION("GOOGLETRANSLATE(B22122,""en"",""zh-CN"")"),"她开始在眼皮上贴上眼影，然后将其摩擦。")</f>
        <v>她开始在眼皮上贴上眼影，然后将其摩擦。</v>
      </c>
    </row>
    <row r="22123">
      <c r="A22123" s="4" t="s">
        <v>27850</v>
      </c>
      <c r="B22123" s="4" t="s">
        <v>27853</v>
      </c>
      <c r="C22123" s="5" t="str">
        <f>IFERROR(__xludf.DUMMYFUNCTION("GOOGLETRANSLATE(B22123,""en"",""zh-CN"")"),"她在眼睛上添加了睫毛延伸。")</f>
        <v>她在眼睛上添加了睫毛延伸。</v>
      </c>
    </row>
    <row r="22124">
      <c r="A22124" s="4" t="s">
        <v>27850</v>
      </c>
      <c r="B22124" s="4" t="s">
        <v>27854</v>
      </c>
      <c r="C22124" s="5" t="str">
        <f>IFERROR(__xludf.DUMMYFUNCTION("GOOGLETRANSLATE(B22124,""en"",""zh-CN"")"),"然后，她开始在她继续前进时轻一点地拍打着她的整个脸。")</f>
        <v>然后，她开始在她继续前进时轻一点地拍打着她的整个脸。</v>
      </c>
    </row>
    <row r="22125">
      <c r="A22125" s="4" t="s">
        <v>27855</v>
      </c>
      <c r="B22125" s="4" t="s">
        <v>27856</v>
      </c>
      <c r="C22125" s="5" t="str">
        <f>IFERROR(__xludf.DUMMYFUNCTION("GOOGLETRANSLATE(B22125,""en"",""zh-CN"")"),"一群啦啦队表演塔，然后啦啦队跳下来。")</f>
        <v>一群啦啦队表演塔，然后啦啦队跳下来。</v>
      </c>
    </row>
    <row r="22126">
      <c r="A22126" s="4" t="s">
        <v>27855</v>
      </c>
      <c r="B22126" s="4" t="s">
        <v>27857</v>
      </c>
      <c r="C22126" s="5" t="str">
        <f>IFERROR(__xludf.DUMMYFUNCTION("GOOGLETRANSLATE(B22126,""en"",""zh-CN"")"),"之后，啦啦队跳，翻转并做车轮。")</f>
        <v>之后，啦啦队跳，翻转并做车轮。</v>
      </c>
    </row>
    <row r="22127">
      <c r="A22127" s="4" t="s">
        <v>27855</v>
      </c>
      <c r="B22127" s="4" t="s">
        <v>27858</v>
      </c>
      <c r="C22127" s="5" t="str">
        <f>IFERROR(__xludf.DUMMYFUNCTION("GOOGLETRANSLATE(B22127,""en"",""zh-CN"")"),"接下来，啦啦队组成人类的塔楼并一起跳舞。")</f>
        <v>接下来，啦啦队组成人类的塔楼并一起跳舞。</v>
      </c>
    </row>
    <row r="22128">
      <c r="A22128" s="4" t="s">
        <v>27859</v>
      </c>
      <c r="B22128" s="4" t="s">
        <v>27860</v>
      </c>
      <c r="C22128" s="5" t="str">
        <f>IFERROR(__xludf.DUMMYFUNCTION("GOOGLETRANSLATE(B22128,""en"",""zh-CN"")"),"一个女人正在椭圆机上锻炼。")</f>
        <v>一个女人正在椭圆机上锻炼。</v>
      </c>
    </row>
    <row r="22129">
      <c r="A22129" s="4" t="s">
        <v>27859</v>
      </c>
      <c r="B22129" s="4" t="s">
        <v>27861</v>
      </c>
      <c r="C22129" s="5" t="str">
        <f>IFERROR(__xludf.DUMMYFUNCTION("GOOGLETRANSLATE(B22129,""en"",""zh-CN"")"),"那个女人坐在高跟鞋的沙发上。")</f>
        <v>那个女人坐在高跟鞋的沙发上。</v>
      </c>
    </row>
    <row r="22130">
      <c r="A22130" s="4" t="s">
        <v>27859</v>
      </c>
      <c r="B22130" s="4" t="s">
        <v>27862</v>
      </c>
      <c r="C22130" s="5" t="str">
        <f>IFERROR(__xludf.DUMMYFUNCTION("GOOGLETRANSLATE(B22130,""en"",""zh-CN"")"),"她继续在机器上锻炼。")</f>
        <v>她继续在机器上锻炼。</v>
      </c>
    </row>
    <row r="22131">
      <c r="A22131" s="4" t="s">
        <v>27863</v>
      </c>
      <c r="B22131" s="4" t="s">
        <v>27864</v>
      </c>
      <c r="C22131" s="5" t="str">
        <f>IFERROR(__xludf.DUMMYFUNCTION("GOOGLETRANSLATE(B22131,""en"",""zh-CN"")"),"一个女孩坐在沙滩上。")</f>
        <v>一个女孩坐在沙滩上。</v>
      </c>
    </row>
    <row r="22132">
      <c r="A22132" s="4" t="s">
        <v>27863</v>
      </c>
      <c r="B22132" s="4" t="s">
        <v>27865</v>
      </c>
      <c r="C22132" s="5" t="str">
        <f>IFERROR(__xludf.DUMMYFUNCTION("GOOGLETRANSLATE(B22132,""en"",""zh-CN"")"),"她把沙子放在她面前的蓝色水桶里。")</f>
        <v>她把沙子放在她面前的蓝色水桶里。</v>
      </c>
    </row>
    <row r="22133">
      <c r="A22133" s="4" t="s">
        <v>27863</v>
      </c>
      <c r="B22133" s="4" t="s">
        <v>27866</v>
      </c>
      <c r="C22133" s="5" t="str">
        <f>IFERROR(__xludf.DUMMYFUNCTION("GOOGLETRANSLATE(B22133,""en"",""zh-CN"")"),"两个人沿着她面前的海滩散步。")</f>
        <v>两个人沿着她面前的海滩散步。</v>
      </c>
    </row>
    <row r="22134">
      <c r="A22134" s="4" t="s">
        <v>27867</v>
      </c>
      <c r="B22134" s="4" t="s">
        <v>27868</v>
      </c>
      <c r="C22134" s="5" t="str">
        <f>IFERROR(__xludf.DUMMYFUNCTION("GOOGLETRANSLATE(B22134,""en"",""zh-CN"")"),"一个男人走进一个房间，说话时把手放在梯子上。")</f>
        <v>一个男人走进一个房间，说话时把手放在梯子上。</v>
      </c>
    </row>
    <row r="22135">
      <c r="A22135" s="4" t="s">
        <v>27867</v>
      </c>
      <c r="B22135" s="4" t="s">
        <v>27869</v>
      </c>
      <c r="C22135" s="5" t="str">
        <f>IFERROR(__xludf.DUMMYFUNCTION("GOOGLETRANSLATE(B22135,""en"",""zh-CN"")"),"我们看到一个男人把橙色瓷砖放在地板上。")</f>
        <v>我们看到一个男人把橙色瓷砖放在地板上。</v>
      </c>
    </row>
    <row r="22136">
      <c r="A22136" s="4" t="s">
        <v>27867</v>
      </c>
      <c r="B22136" s="4" t="s">
        <v>27870</v>
      </c>
      <c r="C22136" s="5" t="str">
        <f>IFERROR(__xludf.DUMMYFUNCTION("GOOGLETRANSLATE(B22136,""en"",""zh-CN"")"),"我们看到AA男子铺一个淋浴。")</f>
        <v>我们看到AA男子铺一个淋浴。</v>
      </c>
    </row>
    <row r="22137">
      <c r="A22137" s="4" t="s">
        <v>27867</v>
      </c>
      <c r="B22137" s="4" t="s">
        <v>27871</v>
      </c>
      <c r="C22137" s="5" t="str">
        <f>IFERROR(__xludf.DUMMYFUNCTION("GOOGLETRANSLATE(B22137,""en"",""zh-CN"")"),"我们看到那个人再次将瓷砖放在地板上。")</f>
        <v>我们看到那个人再次将瓷砖放在地板上。</v>
      </c>
    </row>
    <row r="22138">
      <c r="A22138" s="4" t="s">
        <v>27867</v>
      </c>
      <c r="B22138" s="4" t="s">
        <v>27872</v>
      </c>
      <c r="C22138" s="5" t="str">
        <f>IFERROR(__xludf.DUMMYFUNCTION("GOOGLETRANSLATE(B22138,""en"",""zh-CN"")"),"我们回到梯子附近的男人谈话，屏幕上出现了一个网站。")</f>
        <v>我们回到梯子附近的男人谈话，屏幕上出现了一个网站。</v>
      </c>
    </row>
    <row r="22139">
      <c r="A22139" s="4" t="s">
        <v>27873</v>
      </c>
      <c r="B22139" s="4" t="s">
        <v>27874</v>
      </c>
      <c r="C22139" s="5" t="str">
        <f>IFERROR(__xludf.DUMMYFUNCTION("GOOGLETRANSLATE(B22139,""en"",""zh-CN"")"),"穿着西装的新闻记者正在谈论。")</f>
        <v>穿着西装的新闻记者正在谈论。</v>
      </c>
    </row>
    <row r="22140">
      <c r="A22140" s="4" t="s">
        <v>27873</v>
      </c>
      <c r="B22140" s="4" t="s">
        <v>27875</v>
      </c>
      <c r="C22140" s="5" t="str">
        <f>IFERROR(__xludf.DUMMYFUNCTION("GOOGLETRANSLATE(B22140,""en"",""zh-CN"")"),"老年妇女在缝纫机后面缝制毯子。")</f>
        <v>老年妇女在缝纫机后面缝制毯子。</v>
      </c>
    </row>
    <row r="22141">
      <c r="A22141" s="4" t="s">
        <v>27876</v>
      </c>
      <c r="B22141" s="6" t="s">
        <v>27877</v>
      </c>
      <c r="C22141" s="5" t="str">
        <f>IFERROR(__xludf.DUMMYFUNCTION("GOOGLETRANSLATE(B22141,""en"",""zh-CN"")"),"一些人正坐在印度风格上，带着救生衣，看着一个人在浮标船上的人里面看着一个男人。")</f>
        <v>一些人正坐在印度风格上，带着救生衣，看着一个人在浮标船上的人里面看着一个男人。</v>
      </c>
    </row>
    <row r="22142">
      <c r="A22142" s="4" t="s">
        <v>27876</v>
      </c>
      <c r="B22142" s="4" t="s">
        <v>27878</v>
      </c>
      <c r="C22142" s="5" t="str">
        <f>IFERROR(__xludf.DUMMYFUNCTION("GOOGLETRANSLATE(B22142,""en"",""zh-CN"")"),"他们用桨和其他一些皮划艇在船上获得了船。")</f>
        <v>他们用桨和其他一些皮划艇在船上获得了船。</v>
      </c>
    </row>
    <row r="22143">
      <c r="A22143" s="4" t="s">
        <v>27876</v>
      </c>
      <c r="B22143" s="4" t="s">
        <v>27879</v>
      </c>
      <c r="C22143" s="5" t="str">
        <f>IFERROR(__xludf.DUMMYFUNCTION("GOOGLETRANSLATE(B22143,""en"",""zh-CN"")"),"他们使用桨尝试控制船，但被非常棕色的水溅出。")</f>
        <v>他们使用桨尝试控制船，但被非常棕色的水溅出。</v>
      </c>
    </row>
    <row r="22144">
      <c r="A22144" s="4" t="s">
        <v>27876</v>
      </c>
      <c r="B22144" s="6" t="s">
        <v>27880</v>
      </c>
      <c r="C22144" s="5" t="str">
        <f>IFERROR(__xludf.DUMMYFUNCTION("GOOGLETRANSLATE(B22144,""en"",""zh-CN"")"),"另一艘小船撞到他们身上，它们划桨，直到他们要回到陆地上。")</f>
        <v>另一艘小船撞到他们身上，它们划桨，直到他们要回到陆地上。</v>
      </c>
    </row>
    <row r="22145">
      <c r="A22145" s="4" t="s">
        <v>27881</v>
      </c>
      <c r="B22145" s="4" t="s">
        <v>27882</v>
      </c>
      <c r="C22145" s="5" t="str">
        <f>IFERROR(__xludf.DUMMYFUNCTION("GOOGLETRANSLATE(B22145,""en"",""zh-CN"")"),"两个饼干显示在盘子上。")</f>
        <v>两个饼干显示在盘子上。</v>
      </c>
    </row>
    <row r="22146">
      <c r="A22146" s="4" t="s">
        <v>27881</v>
      </c>
      <c r="B22146" s="4" t="s">
        <v>27883</v>
      </c>
      <c r="C22146" s="5" t="str">
        <f>IFERROR(__xludf.DUMMYFUNCTION("GOOGLETRANSLATE(B22146,""en"",""zh-CN"")"),"将成分一次混合到一个碗中，加入鸡蛋，糖和黄油。")</f>
        <v>将成分一次混合到一个碗中，加入鸡蛋，糖和黄油。</v>
      </c>
    </row>
    <row r="22147">
      <c r="A22147" s="4" t="s">
        <v>27881</v>
      </c>
      <c r="B22147" s="4" t="s">
        <v>27884</v>
      </c>
      <c r="C22147" s="5" t="str">
        <f>IFERROR(__xludf.DUMMYFUNCTION("GOOGLETRANSLATE(B22147,""en"",""zh-CN"")"),"饼干从面团中切出。")</f>
        <v>饼干从面团中切出。</v>
      </c>
    </row>
    <row r="22148">
      <c r="A22148" s="4" t="s">
        <v>27881</v>
      </c>
      <c r="B22148" s="4" t="s">
        <v>27885</v>
      </c>
      <c r="C22148" s="5" t="str">
        <f>IFERROR(__xludf.DUMMYFUNCTION("GOOGLETRANSLATE(B22148,""en"",""zh-CN"")"),"然后将它们烘烤并组装。")</f>
        <v>然后将它们烘烤并组装。</v>
      </c>
    </row>
    <row r="22149">
      <c r="A22149" s="4" t="s">
        <v>27886</v>
      </c>
      <c r="B22149" s="4" t="s">
        <v>27887</v>
      </c>
      <c r="C22149" s="5" t="str">
        <f>IFERROR(__xludf.DUMMYFUNCTION("GOOGLETRANSLATE(B22149,""en"",""zh-CN"")"),"人们打扮成乒乓球。")</f>
        <v>人们打扮成乒乓球。</v>
      </c>
    </row>
    <row r="22150">
      <c r="A22150" s="4" t="s">
        <v>27886</v>
      </c>
      <c r="B22150" s="4" t="s">
        <v>27888</v>
      </c>
      <c r="C22150" s="5" t="str">
        <f>IFERROR(__xludf.DUMMYFUNCTION("GOOGLETRANSLATE(B22150,""en"",""zh-CN"")"),"人们站在桌子旁边看着。")</f>
        <v>人们站在桌子旁边看着。</v>
      </c>
    </row>
    <row r="22151">
      <c r="A22151" s="4" t="s">
        <v>27886</v>
      </c>
      <c r="B22151" s="4" t="s">
        <v>27889</v>
      </c>
      <c r="C22151" s="5" t="str">
        <f>IFERROR(__xludf.DUMMYFUNCTION("GOOGLETRANSLATE(B22151,""en"",""zh-CN"")"),"他们继续踢球，其中两个男子高五。")</f>
        <v>他们继续踢球，其中两个男子高五。</v>
      </c>
    </row>
    <row r="22152">
      <c r="A22152" s="4" t="s">
        <v>27890</v>
      </c>
      <c r="B22152" s="4" t="s">
        <v>27891</v>
      </c>
      <c r="C22152" s="5" t="str">
        <f>IFERROR(__xludf.DUMMYFUNCTION("GOOGLETRANSLATE(B22152,""en"",""zh-CN"")"),"有人看到一个人骑着骑自行车骑着街道，一只狗绑在他旁边。")</f>
        <v>有人看到一个人骑着骑自行车骑着街道，一只狗绑在他旁边。</v>
      </c>
    </row>
    <row r="22153">
      <c r="A22153" s="4" t="s">
        <v>27890</v>
      </c>
      <c r="B22153" s="4" t="s">
        <v>27892</v>
      </c>
      <c r="C22153" s="5" t="str">
        <f>IFERROR(__xludf.DUMMYFUNCTION("GOOGLETRANSLATE(B22153,""en"",""zh-CN"")"),"相机以各个角度显示了与狗一起骑自行车的人。")</f>
        <v>相机以各个角度显示了与狗一起骑自行车的人。</v>
      </c>
    </row>
    <row r="22154">
      <c r="A22154" s="4" t="s">
        <v>27890</v>
      </c>
      <c r="B22154" s="4" t="s">
        <v>27893</v>
      </c>
      <c r="C22154" s="5" t="str">
        <f>IFERROR(__xludf.DUMMYFUNCTION("GOOGLETRANSLATE(B22154,""en"",""zh-CN"")"),"该男子继续和狗一起骑行。")</f>
        <v>该男子继续和狗一起骑行。</v>
      </c>
    </row>
    <row r="22155">
      <c r="A22155" s="4" t="s">
        <v>27894</v>
      </c>
      <c r="B22155" s="4" t="s">
        <v>27895</v>
      </c>
      <c r="C22155" s="5" t="str">
        <f>IFERROR(__xludf.DUMMYFUNCTION("GOOGLETRANSLATE(B22155,""en"",""zh-CN"")"),"一个有哨子的人握住绳索的中间。")</f>
        <v>一个有哨子的人握住绳索的中间。</v>
      </c>
    </row>
    <row r="22156">
      <c r="A22156" s="4" t="s">
        <v>27894</v>
      </c>
      <c r="B22156" s="4" t="s">
        <v>27896</v>
      </c>
      <c r="C22156" s="5" t="str">
        <f>IFERROR(__xludf.DUMMYFUNCTION("GOOGLETRANSLATE(B22156,""en"",""zh-CN"")"),"绳子的两端都向泥泞的方向朝着自己的方向拉动。")</f>
        <v>绳子的两端都向泥泞的方向朝着自己的方向拉动。</v>
      </c>
    </row>
    <row r="22157">
      <c r="A22157" s="4" t="s">
        <v>27894</v>
      </c>
      <c r="B22157" s="4" t="s">
        <v>27897</v>
      </c>
      <c r="C22157" s="5" t="str">
        <f>IFERROR(__xludf.DUMMYFUNCTION("GOOGLETRANSLATE(B22157,""en"",""zh-CN"")"),"当红色的绳子靠在地面上时，他朝着蓝色的男人倾斜。")</f>
        <v>当红色的绳子靠在地面上时，他朝着蓝色的男人倾斜。</v>
      </c>
    </row>
    <row r="22158">
      <c r="A22158" s="4" t="s">
        <v>27894</v>
      </c>
      <c r="B22158" s="4" t="s">
        <v>27898</v>
      </c>
      <c r="C22158" s="5" t="str">
        <f>IFERROR(__xludf.DUMMYFUNCTION("GOOGLETRANSLATE(B22158,""en"",""zh-CN"")"),"裁判在他的膝盖上观察。")</f>
        <v>裁判在他的膝盖上观察。</v>
      </c>
    </row>
    <row r="22159">
      <c r="A22159" s="4" t="s">
        <v>27894</v>
      </c>
      <c r="B22159" s="4" t="s">
        <v>27899</v>
      </c>
      <c r="C22159" s="5" t="str">
        <f>IFERROR(__xludf.DUMMYFUNCTION("GOOGLETRANSLATE(B22159,""en"",""zh-CN"")"),"竞争对手凝视着竞争对手。")</f>
        <v>竞争对手凝视着竞争对手。</v>
      </c>
    </row>
    <row r="22160">
      <c r="A22160" s="4" t="s">
        <v>27894</v>
      </c>
      <c r="B22160" s="4" t="s">
        <v>27900</v>
      </c>
      <c r="C22160" s="5" t="str">
        <f>IFERROR(__xludf.DUMMYFUNCTION("GOOGLETRANSLATE(B22160,""en"",""zh-CN"")"),"一个胡须的男人眨了眨眼。")</f>
        <v>一个胡须的男人眨了眨眼。</v>
      </c>
    </row>
    <row r="22161">
      <c r="A22161" s="4" t="s">
        <v>27894</v>
      </c>
      <c r="B22161" s="4" t="s">
        <v>27901</v>
      </c>
      <c r="C22161" s="5" t="str">
        <f>IFERROR(__xludf.DUMMYFUNCTION("GOOGLETRANSLATE(B22161,""en"",""zh-CN"")"),"每个人都在靠在泥泞中时继续拉动。")</f>
        <v>每个人都在靠在泥泞中时继续拉动。</v>
      </c>
    </row>
    <row r="22162">
      <c r="A22162" s="4" t="s">
        <v>27894</v>
      </c>
      <c r="B22162" s="4" t="s">
        <v>27902</v>
      </c>
      <c r="C22162" s="5" t="str">
        <f>IFERROR(__xludf.DUMMYFUNCTION("GOOGLETRANSLATE(B22162,""en"",""zh-CN"")"),"它表明，随着他们继续拉动，有6分钟过去了。")</f>
        <v>它表明，随着他们继续拉动，有6分钟过去了。</v>
      </c>
    </row>
    <row r="22163">
      <c r="A22163" s="4" t="s">
        <v>27894</v>
      </c>
      <c r="B22163" s="4" t="s">
        <v>27903</v>
      </c>
      <c r="C22163" s="5" t="str">
        <f>IFERROR(__xludf.DUMMYFUNCTION("GOOGLETRANSLATE(B22163,""en"",""zh-CN"")"),"它显示了8分钟30秒。")</f>
        <v>它显示了8分钟30秒。</v>
      </c>
    </row>
    <row r="22164">
      <c r="A22164" s="4" t="s">
        <v>27894</v>
      </c>
      <c r="B22164" s="4" t="s">
        <v>27904</v>
      </c>
      <c r="C22164" s="5" t="str">
        <f>IFERROR(__xludf.DUMMYFUNCTION("GOOGLETRANSLATE(B22164,""en"",""zh-CN"")"),"红色的男人站起来，向后奔跑，将另一个男人拉过线上。")</f>
        <v>红色的男人站起来，向后奔跑，将另一个男人拉过线上。</v>
      </c>
    </row>
    <row r="22165">
      <c r="A22165" s="4" t="s">
        <v>27894</v>
      </c>
      <c r="B22165" s="4" t="s">
        <v>27905</v>
      </c>
      <c r="C22165" s="5" t="str">
        <f>IFERROR(__xludf.DUMMYFUNCTION("GOOGLETRANSLATE(B22165,""en"",""zh-CN"")"),"两个人握手，拥抱并走开。")</f>
        <v>两个人握手，拥抱并走开。</v>
      </c>
    </row>
    <row r="22166">
      <c r="A22166" s="4" t="s">
        <v>27894</v>
      </c>
      <c r="B22166" s="4" t="s">
        <v>27906</v>
      </c>
      <c r="C22166" s="5" t="str">
        <f>IFERROR(__xludf.DUMMYFUNCTION("GOOGLETRANSLATE(B22166,""en"",""zh-CN"")"),"蓝色的男人将双臂围绕两个男人走开。")</f>
        <v>蓝色的男人将双臂围绕两个男人走开。</v>
      </c>
    </row>
    <row r="22167">
      <c r="A22167" s="4" t="s">
        <v>27907</v>
      </c>
      <c r="B22167" s="4" t="s">
        <v>27908</v>
      </c>
      <c r="C22167" s="5" t="str">
        <f>IFERROR(__xludf.DUMMYFUNCTION("GOOGLETRANSLATE(B22167,""en"",""zh-CN"")"),"人们站在雪山上。")</f>
        <v>人们站在雪山上。</v>
      </c>
    </row>
    <row r="22168">
      <c r="A22168" s="4" t="s">
        <v>27907</v>
      </c>
      <c r="B22168" s="4" t="s">
        <v>4423</v>
      </c>
      <c r="C22168" s="5" t="str">
        <f>IFERROR(__xludf.DUMMYFUNCTION("GOOGLETRANSLATE(B22168,""en"",""zh-CN"")"),"人们在雪上滑雪。")</f>
        <v>人们在雪上滑雪。</v>
      </c>
    </row>
    <row r="22169">
      <c r="A22169" s="4" t="s">
        <v>27907</v>
      </c>
      <c r="B22169" s="4" t="s">
        <v>27909</v>
      </c>
      <c r="C22169" s="5" t="str">
        <f>IFERROR(__xludf.DUMMYFUNCTION("GOOGLETRANSLATE(B22169,""en"",""zh-CN"")"),"人们在山上滑雪。")</f>
        <v>人们在山上滑雪。</v>
      </c>
    </row>
    <row r="22170">
      <c r="A22170" s="4" t="s">
        <v>27907</v>
      </c>
      <c r="B22170" s="4" t="s">
        <v>27910</v>
      </c>
      <c r="C22170" s="5" t="str">
        <f>IFERROR(__xludf.DUMMYFUNCTION("GOOGLETRANSLATE(B22170,""en"",""zh-CN"")"),"滑雪者停在底部并交谈。")</f>
        <v>滑雪者停在底部并交谈。</v>
      </c>
    </row>
    <row r="22171">
      <c r="A22171" s="4" t="s">
        <v>27911</v>
      </c>
      <c r="B22171" s="6" t="s">
        <v>27912</v>
      </c>
      <c r="C22171" s="5" t="str">
        <f>IFERROR(__xludf.DUMMYFUNCTION("GOOGLETRANSLATE(B22171,""en"",""zh-CN"")"),"一群男人被拉上一条充气热狗，使他们迅速转弯，导致他们跌倒。")</f>
        <v>一群男人被拉上一条充气热狗，使他们迅速转弯，导致他们跌倒。</v>
      </c>
    </row>
    <row r="22172">
      <c r="A22172" s="4" t="s">
        <v>27911</v>
      </c>
      <c r="B22172" s="4" t="s">
        <v>27913</v>
      </c>
      <c r="C22172" s="5" t="str">
        <f>IFERROR(__xludf.DUMMYFUNCTION("GOOGLETRANSLATE(B22172,""en"",""zh-CN"")"),"水上滑雪板和管间的人在被拉入水中时发生了可笑的撞车事故。")</f>
        <v>水上滑雪板和管间的人在被拉入水中时发生了可笑的撞车事故。</v>
      </c>
    </row>
    <row r="22173">
      <c r="A22173" s="4" t="s">
        <v>27911</v>
      </c>
      <c r="B22173" s="4" t="s">
        <v>27914</v>
      </c>
      <c r="C22173" s="5" t="str">
        <f>IFERROR(__xludf.DUMMYFUNCTION("GOOGLETRANSLATE(B22173,""en"",""zh-CN"")"),"滑雪板上的一个男孩握住船坞上的拖绳，被拉在水中。")</f>
        <v>滑雪板上的一个男孩握住船坞上的拖绳，被拉在水中。</v>
      </c>
    </row>
    <row r="22174">
      <c r="A22174" s="4" t="s">
        <v>27911</v>
      </c>
      <c r="B22174" s="6" t="s">
        <v>27915</v>
      </c>
      <c r="C22174" s="5" t="str">
        <f>IFERROR(__xludf.DUMMYFUNCTION("GOOGLETRANSLATE(B22174,""en"",""zh-CN"")"),"将大型管子上的大组拉在水中的拖线上，然后撞到大波浪并翻转空气。")</f>
        <v>将大型管子上的大组拉在水中的拖线上，然后撞到大波浪并翻转空气。</v>
      </c>
    </row>
    <row r="22175">
      <c r="A22175" s="4" t="s">
        <v>27911</v>
      </c>
      <c r="B22175" s="4" t="s">
        <v>27916</v>
      </c>
      <c r="C22175" s="5" t="str">
        <f>IFERROR(__xludf.DUMMYFUNCTION("GOOGLETRANSLATE(B22175,""en"",""zh-CN"")"),"一名船上的男人在一件物品后跳船，船仍在移动。")</f>
        <v>一名船上的男人在一件物品后跳船，船仍在移动。</v>
      </c>
    </row>
    <row r="22176">
      <c r="A22176" s="4" t="s">
        <v>27917</v>
      </c>
      <c r="B22176" s="4" t="s">
        <v>27918</v>
      </c>
      <c r="C22176" s="5" t="str">
        <f>IFERROR(__xludf.DUMMYFUNCTION("GOOGLETRANSLATE(B22176,""en"",""zh-CN"")"),"一个人握住酒吧时，他躺在海水中。")</f>
        <v>一个人握住酒吧时，他躺在海水中。</v>
      </c>
    </row>
    <row r="22177">
      <c r="A22177" s="4" t="s">
        <v>27917</v>
      </c>
      <c r="B22177" s="4" t="s">
        <v>27919</v>
      </c>
      <c r="C22177" s="5" t="str">
        <f>IFERROR(__xludf.DUMMYFUNCTION("GOOGLETRANSLATE(B22177,""en"",""zh-CN"")"),"他是一条充满人的船。")</f>
        <v>他是一条充满人的船。</v>
      </c>
    </row>
    <row r="22178">
      <c r="A22178" s="4" t="s">
        <v>27917</v>
      </c>
      <c r="B22178" s="4" t="s">
        <v>27920</v>
      </c>
      <c r="C22178" s="5" t="str">
        <f>IFERROR(__xludf.DUMMYFUNCTION("GOOGLETRANSLATE(B22178,""en"",""zh-CN"")"),"他获得了平衡，并且在船后迅速滑水。")</f>
        <v>他获得了平衡，并且在船后迅速滑水。</v>
      </c>
    </row>
    <row r="22179">
      <c r="A22179" s="4" t="s">
        <v>27921</v>
      </c>
      <c r="B22179" s="6" t="s">
        <v>27922</v>
      </c>
      <c r="C22179" s="5" t="str">
        <f>IFERROR(__xludf.DUMMYFUNCTION("GOOGLETRANSLATE(B22179,""en"",""zh-CN"")"),"几个人被捕获在一个快速的快速运动视频中，在客厅里装饰一棵圣诞树。")</f>
        <v>几个人被捕获在一个快速的快速运动视频中，在客厅里装饰一棵圣诞树。</v>
      </c>
    </row>
    <row r="22180">
      <c r="A22180" s="4" t="s">
        <v>27921</v>
      </c>
      <c r="B22180" s="4" t="s">
        <v>27923</v>
      </c>
      <c r="C22180" s="5" t="str">
        <f>IFERROR(__xludf.DUMMYFUNCTION("GOOGLETRANSLATE(B22180,""en"",""zh-CN"")"),"一棵圣诞树在客厅里没有装饰。")</f>
        <v>一棵圣诞树在客厅里没有装饰。</v>
      </c>
    </row>
    <row r="22181">
      <c r="A22181" s="4" t="s">
        <v>27921</v>
      </c>
      <c r="B22181" s="4" t="s">
        <v>27924</v>
      </c>
      <c r="C22181" s="5" t="str">
        <f>IFERROR(__xludf.DUMMYFUNCTION("GOOGLETRANSLATE(B22181,""en"",""zh-CN"")"),"两个人用浅绳装饰树。")</f>
        <v>两个人用浅绳装饰树。</v>
      </c>
    </row>
    <row r="22182">
      <c r="A22182" s="4" t="s">
        <v>27921</v>
      </c>
      <c r="B22182" s="4" t="s">
        <v>27925</v>
      </c>
      <c r="C22182" s="5" t="str">
        <f>IFERROR(__xludf.DUMMYFUNCTION("GOOGLETRANSLATE(B22182,""en"",""zh-CN"")"),"三人用蓝色和银球装饰树。")</f>
        <v>三人用蓝色和银球装饰树。</v>
      </c>
    </row>
    <row r="22183">
      <c r="A22183" s="4" t="s">
        <v>27921</v>
      </c>
      <c r="B22183" s="6" t="s">
        <v>27926</v>
      </c>
      <c r="C22183" s="5" t="str">
        <f>IFERROR(__xludf.DUMMYFUNCTION("GOOGLETRANSLATE(B22183,""en"",""zh-CN"")"),"当人们开始坐在树下，一只狗随便走在树上时，树灯打开并将包裹的礼物放在树下。")</f>
        <v>当人们开始坐在树下，一只狗随便走在树上时，树灯打开并将包裹的礼物放在树下。</v>
      </c>
    </row>
    <row r="22184">
      <c r="A22184" s="4" t="s">
        <v>27927</v>
      </c>
      <c r="B22184" s="4" t="s">
        <v>1251</v>
      </c>
      <c r="C22184" s="5" t="str">
        <f>IFERROR(__xludf.DUMMYFUNCTION("GOOGLETRANSLATE(B22184,""en"",""zh-CN"")"),"显示了剪辑的信用。")</f>
        <v>显示了剪辑的信用。</v>
      </c>
    </row>
    <row r="22185">
      <c r="A22185" s="4" t="s">
        <v>27927</v>
      </c>
      <c r="B22185" s="4" t="s">
        <v>27928</v>
      </c>
      <c r="C22185" s="5" t="str">
        <f>IFERROR(__xludf.DUMMYFUNCTION("GOOGLETRANSLATE(B22185,""en"",""zh-CN"")"),"一个人站着，打手势和指导健身房。")</f>
        <v>一个人站着，打手势和指导健身房。</v>
      </c>
    </row>
    <row r="22186">
      <c r="A22186" s="4" t="s">
        <v>27927</v>
      </c>
      <c r="B22186" s="4" t="s">
        <v>27929</v>
      </c>
      <c r="C22186" s="5" t="str">
        <f>IFERROR(__xludf.DUMMYFUNCTION("GOOGLETRANSLATE(B22186,""en"",""zh-CN"")"),"一个男人在手部平台上展示了​​体操特技。")</f>
        <v>一个男人在手部平台上展示了​​体操特技。</v>
      </c>
    </row>
    <row r="22187">
      <c r="A22187" s="4" t="s">
        <v>27927</v>
      </c>
      <c r="B22187" s="4" t="s">
        <v>27930</v>
      </c>
      <c r="C22187" s="5" t="str">
        <f>IFERROR(__xludf.DUMMYFUNCTION("GOOGLETRANSLATE(B22187,""en"",""zh-CN"")"),"这个人的手伸向空中。")</f>
        <v>这个人的手伸向空中。</v>
      </c>
    </row>
    <row r="22188">
      <c r="A22188" s="4" t="s">
        <v>27927</v>
      </c>
      <c r="B22188" s="4" t="s">
        <v>573</v>
      </c>
      <c r="C22188" s="5" t="str">
        <f>IFERROR(__xludf.DUMMYFUNCTION("GOOGLETRANSLATE(B22188,""en"",""zh-CN"")"),"显示了视频的积分。")</f>
        <v>显示了视频的积分。</v>
      </c>
    </row>
    <row r="22189">
      <c r="A22189" s="4" t="s">
        <v>27931</v>
      </c>
      <c r="B22189" s="4" t="s">
        <v>27932</v>
      </c>
      <c r="C22189" s="5" t="str">
        <f>IFERROR(__xludf.DUMMYFUNCTION("GOOGLETRANSLATE(B22189,""en"",""zh-CN"")"),"有一个穿着黑色毛衣在教堂里打小提琴的人。")</f>
        <v>有一个穿着黑色毛衣在教堂里打小提琴的人。</v>
      </c>
    </row>
    <row r="22190">
      <c r="A22190" s="4" t="s">
        <v>27931</v>
      </c>
      <c r="B22190" s="4" t="s">
        <v>27933</v>
      </c>
      <c r="C22190" s="5" t="str">
        <f>IFERROR(__xludf.DUMMYFUNCTION("GOOGLETRANSLATE(B22190,""en"",""zh-CN"")"),"有一个女人站在他旁边，还穿着黑色，手里拿着小提琴。")</f>
        <v>有一个女人站在他旁边，还穿着黑色，手里拿着小提琴。</v>
      </c>
    </row>
    <row r="22191">
      <c r="A22191" s="4" t="s">
        <v>27931</v>
      </c>
      <c r="B22191" s="4" t="s">
        <v>27934</v>
      </c>
      <c r="C22191" s="5" t="str">
        <f>IFERROR(__xludf.DUMMYFUNCTION("GOOGLETRANSLATE(B22191,""en"",""zh-CN"")"),"他们身后有一个耶稣基督的雕像。")</f>
        <v>他们身后有一个耶稣基督的雕像。</v>
      </c>
    </row>
    <row r="22192">
      <c r="A22192" s="4" t="s">
        <v>27931</v>
      </c>
      <c r="B22192" s="4" t="s">
        <v>27935</v>
      </c>
      <c r="C22192" s="5" t="str">
        <f>IFERROR(__xludf.DUMMYFUNCTION("GOOGLETRANSLATE(B22192,""en"",""zh-CN"")"),"男子停止打小提琴后，女人加入并开始弹小提琴。")</f>
        <v>男子停止打小提琴后，女人加入并开始弹小提琴。</v>
      </c>
    </row>
    <row r="22193">
      <c r="A22193" s="4" t="s">
        <v>27931</v>
      </c>
      <c r="B22193" s="4" t="s">
        <v>27936</v>
      </c>
      <c r="C22193" s="5" t="str">
        <f>IFERROR(__xludf.DUMMYFUNCTION("GOOGLETRANSLATE(B22193,""en"",""zh-CN"")"),"有几个人坐在前排，看着女人玩耍。")</f>
        <v>有几个人坐在前排，看着女人玩耍。</v>
      </c>
    </row>
    <row r="22194">
      <c r="A22194" s="4" t="s">
        <v>27937</v>
      </c>
      <c r="B22194" s="4" t="s">
        <v>27938</v>
      </c>
      <c r="C22194" s="5" t="str">
        <f>IFERROR(__xludf.DUMMYFUNCTION("GOOGLETRANSLATE(B22194,""en"",""zh-CN"")"),"一群驴子上的男人在泥土上发挥着一种马球形式。")</f>
        <v>一群驴子上的男人在泥土上发挥着一种马球形式。</v>
      </c>
    </row>
    <row r="22195">
      <c r="A22195" s="4" t="s">
        <v>27937</v>
      </c>
      <c r="B22195" s="4" t="s">
        <v>27939</v>
      </c>
      <c r="C22195" s="5" t="str">
        <f>IFERROR(__xludf.DUMMYFUNCTION("GOOGLETRANSLATE(B22195,""en"",""zh-CN"")"),"摄像头朝着观看游戏的人打动。")</f>
        <v>摄像头朝着观看游戏的人打动。</v>
      </c>
    </row>
    <row r="22196">
      <c r="A22196" s="4" t="s">
        <v>27937</v>
      </c>
      <c r="B22196" s="4" t="s">
        <v>27940</v>
      </c>
      <c r="C22196" s="5" t="str">
        <f>IFERROR(__xludf.DUMMYFUNCTION("GOOGLETRANSLATE(B22196,""en"",""zh-CN"")"),"相机返回骑驴的人。")</f>
        <v>相机返回骑驴的人。</v>
      </c>
    </row>
    <row r="22197">
      <c r="A22197" s="4" t="s">
        <v>27941</v>
      </c>
      <c r="B22197" s="4" t="s">
        <v>27942</v>
      </c>
      <c r="C22197" s="5" t="str">
        <f>IFERROR(__xludf.DUMMYFUNCTION("GOOGLETRANSLATE(B22197,""en"",""zh-CN"")"),"显示了分数板的特写，后面是一个男人举起一组重量。")</f>
        <v>显示了分数板的特写，后面是一个男人举起一组重量。</v>
      </c>
    </row>
    <row r="22198">
      <c r="A22198" s="4" t="s">
        <v>27941</v>
      </c>
      <c r="B22198" s="4" t="s">
        <v>27943</v>
      </c>
      <c r="C22198" s="5" t="str">
        <f>IFERROR(__xludf.DUMMYFUNCTION("GOOGLETRANSLATE(B22198,""en"",""zh-CN"")"),"该男子将其抬起头，然后他的表现得分。")</f>
        <v>该男子将其抬起头，然后他的表现得分。</v>
      </c>
    </row>
    <row r="22199">
      <c r="A22199" s="4" t="s">
        <v>27941</v>
      </c>
      <c r="B22199" s="4" t="s">
        <v>27944</v>
      </c>
      <c r="C22199" s="5" t="str">
        <f>IFERROR(__xludf.DUMMYFUNCTION("GOOGLETRANSLATE(B22199,""en"",""zh-CN"")"),"他再做几次。")</f>
        <v>他再做几次。</v>
      </c>
    </row>
    <row r="22200">
      <c r="A22200" s="4" t="s">
        <v>27945</v>
      </c>
      <c r="B22200" s="4" t="s">
        <v>27946</v>
      </c>
      <c r="C22200" s="5" t="str">
        <f>IFERROR(__xludf.DUMMYFUNCTION("GOOGLETRANSLATE(B22200,""en"",""zh-CN"")"),"几只狗在公园里。")</f>
        <v>几只狗在公园里。</v>
      </c>
    </row>
    <row r="22201">
      <c r="A22201" s="4" t="s">
        <v>27945</v>
      </c>
      <c r="B22201" s="4" t="s">
        <v>27947</v>
      </c>
      <c r="C22201" s="5" t="str">
        <f>IFERROR(__xludf.DUMMYFUNCTION("GOOGLETRANSLATE(B22201,""en"",""zh-CN"")"),"他们的主人谈论。")</f>
        <v>他们的主人谈论。</v>
      </c>
    </row>
    <row r="22202">
      <c r="A22202" s="4" t="s">
        <v>27945</v>
      </c>
      <c r="B22202" s="4" t="s">
        <v>27948</v>
      </c>
      <c r="C22202" s="5" t="str">
        <f>IFERROR(__xludf.DUMMYFUNCTION("GOOGLETRANSLATE(B22202,""en"",""zh-CN"")"),"帐篷设置了几个供应商。")</f>
        <v>帐篷设置了几个供应商。</v>
      </c>
    </row>
    <row r="22203">
      <c r="A22203" s="4" t="s">
        <v>27945</v>
      </c>
      <c r="B22203" s="4" t="s">
        <v>27949</v>
      </c>
      <c r="C22203" s="5" t="str">
        <f>IFERROR(__xludf.DUMMYFUNCTION("GOOGLETRANSLATE(B22203,""en"",""zh-CN"")"),"自己的人走到狗身边。")</f>
        <v>自己的人走到狗身边。</v>
      </c>
    </row>
    <row r="22204">
      <c r="A22204" s="4" t="s">
        <v>27950</v>
      </c>
      <c r="B22204" s="4" t="s">
        <v>27951</v>
      </c>
      <c r="C22204" s="5" t="str">
        <f>IFERROR(__xludf.DUMMYFUNCTION("GOOGLETRANSLATE(B22204,""en"",""zh-CN"")"),"一个男人坐在笔记本电脑后面。")</f>
        <v>一个男人坐在笔记本电脑后面。</v>
      </c>
    </row>
    <row r="22205">
      <c r="A22205" s="4" t="s">
        <v>27950</v>
      </c>
      <c r="B22205" s="4" t="s">
        <v>27952</v>
      </c>
      <c r="C22205" s="5" t="str">
        <f>IFERROR(__xludf.DUMMYFUNCTION("GOOGLETRANSLATE(B22205,""en"",""zh-CN"")"),"他从他的眼中取出了联系。")</f>
        <v>他从他的眼中取出了联系。</v>
      </c>
    </row>
    <row r="22206">
      <c r="A22206" s="4" t="s">
        <v>27950</v>
      </c>
      <c r="B22206" s="4" t="s">
        <v>27953</v>
      </c>
      <c r="C22206" s="5" t="str">
        <f>IFERROR(__xludf.DUMMYFUNCTION("GOOGLETRANSLATE(B22206,""en"",""zh-CN"")"),"他在将眼睛放回之前就揉了揉眼睛。")</f>
        <v>他在将眼睛放回之前就揉了揉眼睛。</v>
      </c>
    </row>
    <row r="22207">
      <c r="A22207" s="4" t="s">
        <v>27954</v>
      </c>
      <c r="B22207" s="4" t="s">
        <v>27955</v>
      </c>
      <c r="C22207" s="5" t="str">
        <f>IFERROR(__xludf.DUMMYFUNCTION("GOOGLETRANSLATE(B22207,""en"",""zh-CN"")"),"一群人正在学习如何滚石。")</f>
        <v>一群人正在学习如何滚石。</v>
      </c>
    </row>
    <row r="22208">
      <c r="A22208" s="4" t="s">
        <v>27954</v>
      </c>
      <c r="B22208" s="4" t="s">
        <v>27956</v>
      </c>
      <c r="C22208" s="5" t="str">
        <f>IFERROR(__xludf.DUMMYFUNCTION("GOOGLETRANSLATE(B22208,""en"",""zh-CN"")"),"有些人会分组，但通常它们又缓慢而尴尬。")</f>
        <v>有些人会分组，但通常它们又缓慢而尴尬。</v>
      </c>
    </row>
    <row r="22209">
      <c r="A22209" s="4" t="s">
        <v>27957</v>
      </c>
      <c r="B22209" s="4" t="s">
        <v>27958</v>
      </c>
      <c r="C22209" s="5" t="str">
        <f>IFERROR(__xludf.DUMMYFUNCTION("GOOGLETRANSLATE(B22209,""en"",""zh-CN"")"),"一个女人在她的厨房里说话。")</f>
        <v>一个女人在她的厨房里说话。</v>
      </c>
    </row>
    <row r="22210">
      <c r="A22210" s="4" t="s">
        <v>27957</v>
      </c>
      <c r="B22210" s="4" t="s">
        <v>27959</v>
      </c>
      <c r="C22210" s="5" t="str">
        <f>IFERROR(__xludf.DUMMYFUNCTION("GOOGLETRANSLATE(B22210,""en"",""zh-CN"")"),"她用黄油，面粉和糖填充一个碗，并加入鸡蛋。")</f>
        <v>她用黄油，面粉和糖填充一个碗，并加入鸡蛋。</v>
      </c>
    </row>
    <row r="22211">
      <c r="A22211" s="4" t="s">
        <v>27957</v>
      </c>
      <c r="B22211" s="4" t="s">
        <v>27960</v>
      </c>
      <c r="C22211" s="5" t="str">
        <f>IFERROR(__xludf.DUMMYFUNCTION("GOOGLETRANSLATE(B22211,""en"",""zh-CN"")"),"她创造了一个面团，然后制作并烘烤一批饼干。")</f>
        <v>她创造了一个面团，然后制作并烘烤一批饼干。</v>
      </c>
    </row>
    <row r="22212">
      <c r="A22212" s="4" t="s">
        <v>27961</v>
      </c>
      <c r="B22212" s="4" t="s">
        <v>27962</v>
      </c>
      <c r="C22212" s="5" t="str">
        <f>IFERROR(__xludf.DUMMYFUNCTION("GOOGLETRANSLATE(B22212,""en"",""zh-CN"")"),"一个女孩正在越过猴子酒吧。")</f>
        <v>一个女孩正在越过猴子酒吧。</v>
      </c>
    </row>
    <row r="22213">
      <c r="A22213" s="4" t="s">
        <v>27961</v>
      </c>
      <c r="B22213" s="4" t="s">
        <v>27963</v>
      </c>
      <c r="C22213" s="5" t="str">
        <f>IFERROR(__xludf.DUMMYFUNCTION("GOOGLETRANSLATE(B22213,""en"",""zh-CN"")"),"一件黄色衬衫的女孩站在地上看着。")</f>
        <v>一件黄色衬衫的女孩站在地上看着。</v>
      </c>
    </row>
    <row r="22214">
      <c r="A22214" s="4" t="s">
        <v>27961</v>
      </c>
      <c r="B22214" s="4" t="s">
        <v>27964</v>
      </c>
      <c r="C22214" s="5" t="str">
        <f>IFERROR(__xludf.DUMMYFUNCTION("GOOGLETRANSLATE(B22214,""en"",""zh-CN"")"),"一件蓝色衬衫的女孩站在操场上。")</f>
        <v>一件蓝色衬衫的女孩站在操场上。</v>
      </c>
    </row>
    <row r="22215">
      <c r="A22215" s="4" t="s">
        <v>27965</v>
      </c>
      <c r="B22215" s="4" t="s">
        <v>27966</v>
      </c>
      <c r="C22215" s="5" t="str">
        <f>IFERROR(__xludf.DUMMYFUNCTION("GOOGLETRANSLATE(B22215,""en"",""zh-CN"")"),"当男人推动她沿着爬进后方时，看到一个女人坐在独木舟里。")</f>
        <v>当男人推动她沿着爬进后方时，看到一个女人坐在独木舟里。</v>
      </c>
    </row>
    <row r="22216">
      <c r="A22216" s="4" t="s">
        <v>27965</v>
      </c>
      <c r="B22216" s="4" t="s">
        <v>27967</v>
      </c>
      <c r="C22216" s="5" t="str">
        <f>IFERROR(__xludf.DUMMYFUNCTION("GOOGLETRANSLATE(B22216,""en"",""zh-CN"")"),"看到这个男人四处逛逛，看着她的周围环境，而桨背后的那个人。")</f>
        <v>看到这个男人四处逛逛，看着她的周围环境，而桨背后的那个人。</v>
      </c>
    </row>
    <row r="22217">
      <c r="A22217" s="4" t="s">
        <v>27965</v>
      </c>
      <c r="B22217" s="4" t="s">
        <v>27968</v>
      </c>
      <c r="C22217" s="5" t="str">
        <f>IFERROR(__xludf.DUMMYFUNCTION("GOOGLETRANSLATE(B22217,""en"",""zh-CN"")"),"那个女人继续坐着，环顾着她的树木和景象。")</f>
        <v>那个女人继续坐着，环顾着她的树木和景象。</v>
      </c>
    </row>
    <row r="22218">
      <c r="A22218" s="4" t="s">
        <v>27969</v>
      </c>
      <c r="B22218" s="4" t="s">
        <v>27970</v>
      </c>
      <c r="C22218" s="5" t="str">
        <f>IFERROR(__xludf.DUMMYFUNCTION("GOOGLETRANSLATE(B22218,""en"",""zh-CN"")"),"一个男人的耳朵被另一个只有手中的人刺穿。")</f>
        <v>一个男人的耳朵被另一个只有手中的人刺穿。</v>
      </c>
    </row>
    <row r="22219">
      <c r="A22219" s="4" t="s">
        <v>27969</v>
      </c>
      <c r="B22219" s="4" t="s">
        <v>27971</v>
      </c>
      <c r="C22219" s="5" t="str">
        <f>IFERROR(__xludf.DUMMYFUNCTION("GOOGLETRANSLATE(B22219,""en"",""zh-CN"")"),"第二个人将推车推向第一个人。")</f>
        <v>第二个人将推车推向第一个人。</v>
      </c>
    </row>
    <row r="22220">
      <c r="A22220" s="4" t="s">
        <v>27969</v>
      </c>
      <c r="B22220" s="4" t="s">
        <v>27972</v>
      </c>
      <c r="C22220" s="5" t="str">
        <f>IFERROR(__xludf.DUMMYFUNCTION("GOOGLETRANSLATE(B22220,""en"",""zh-CN"")"),"相机专注于第一个人。")</f>
        <v>相机专注于第一个人。</v>
      </c>
    </row>
    <row r="22221">
      <c r="A22221" s="4" t="s">
        <v>27969</v>
      </c>
      <c r="B22221" s="4" t="s">
        <v>27973</v>
      </c>
      <c r="C22221" s="5" t="str">
        <f>IFERROR(__xludf.DUMMYFUNCTION("GOOGLETRANSLATE(B22221,""en"",""zh-CN"")"),"第二个人刺穿了第一个人的另一只耳朵。")</f>
        <v>第二个人刺穿了第一个人的另一只耳朵。</v>
      </c>
    </row>
    <row r="22222">
      <c r="A22222" s="4" t="s">
        <v>27974</v>
      </c>
      <c r="B22222" s="4" t="s">
        <v>1487</v>
      </c>
      <c r="C22222" s="5" t="str">
        <f>IFERROR(__xludf.DUMMYFUNCTION("GOOGLETRANSLATE(B22222,""en"",""zh-CN"")"),"我们看到一个开放标题屏幕。")</f>
        <v>我们看到一个开放标题屏幕。</v>
      </c>
    </row>
    <row r="22223">
      <c r="A22223" s="4" t="s">
        <v>27974</v>
      </c>
      <c r="B22223" s="4" t="s">
        <v>27975</v>
      </c>
      <c r="C22223" s="5" t="str">
        <f>IFERROR(__xludf.DUMMYFUNCTION("GOOGLETRANSLATE(B22223,""en"",""zh-CN"")"),"我们看到一位女士用手洗衣服。")</f>
        <v>我们看到一位女士用手洗衣服。</v>
      </c>
    </row>
    <row r="22224">
      <c r="A22224" s="4" t="s">
        <v>27974</v>
      </c>
      <c r="B22224" s="4" t="s">
        <v>27976</v>
      </c>
      <c r="C22224" s="5" t="str">
        <f>IFERROR(__xludf.DUMMYFUNCTION("GOOGLETRANSLATE(B22224,""en"",""zh-CN"")"),"那位女士将水从碗里倒在衣服上。")</f>
        <v>那位女士将水从碗里倒在衣服上。</v>
      </c>
    </row>
    <row r="22225">
      <c r="A22225" s="4" t="s">
        <v>27974</v>
      </c>
      <c r="B22225" s="4" t="s">
        <v>27977</v>
      </c>
      <c r="C22225" s="5" t="str">
        <f>IFERROR(__xludf.DUMMYFUNCTION("GOOGLETRANSLATE(B22225,""en"",""zh-CN"")"),"那位女士将头发推回去。")</f>
        <v>那位女士将头发推回去。</v>
      </c>
    </row>
    <row r="22226">
      <c r="A22226" s="4" t="s">
        <v>27974</v>
      </c>
      <c r="B22226" s="4" t="s">
        <v>27978</v>
      </c>
      <c r="C22226" s="5" t="str">
        <f>IFERROR(__xludf.DUMMYFUNCTION("GOOGLETRANSLATE(B22226,""en"",""zh-CN"")"),"那位女士在衣服上倒更多的水。")</f>
        <v>那位女士在衣服上倒更多的水。</v>
      </c>
    </row>
    <row r="22227">
      <c r="A22227" s="4" t="s">
        <v>27974</v>
      </c>
      <c r="B22227" s="4" t="s">
        <v>2892</v>
      </c>
      <c r="C22227" s="5" t="str">
        <f>IFERROR(__xludf.DUMMYFUNCTION("GOOGLETRANSLATE(B22227,""en"",""zh-CN"")"),"我们看到关闭标题屏幕。")</f>
        <v>我们看到关闭标题屏幕。</v>
      </c>
    </row>
    <row r="22228">
      <c r="A22228" s="4" t="s">
        <v>27979</v>
      </c>
      <c r="B22228" s="4" t="s">
        <v>27980</v>
      </c>
      <c r="C22228" s="5" t="str">
        <f>IFERROR(__xludf.DUMMYFUNCTION("GOOGLETRANSLATE(B22228,""en"",""zh-CN"")"),"一个男人在外面刮下车窗户的冰。")</f>
        <v>一个男人在外面刮下车窗户的冰。</v>
      </c>
    </row>
    <row r="22229">
      <c r="A22229" s="4" t="s">
        <v>27979</v>
      </c>
      <c r="B22229" s="4" t="s">
        <v>27981</v>
      </c>
      <c r="C22229" s="5" t="str">
        <f>IFERROR(__xludf.DUMMYFUNCTION("GOOGLETRANSLATE(B22229,""en"",""zh-CN"")"),"完成后，他将工具放在座椅的后面，然后上车。")</f>
        <v>完成后，他将工具放在座椅的后面，然后上车。</v>
      </c>
    </row>
    <row r="22230">
      <c r="A22230" s="4" t="s">
        <v>27982</v>
      </c>
      <c r="B22230" s="4" t="s">
        <v>27983</v>
      </c>
      <c r="C22230" s="5" t="str">
        <f>IFERROR(__xludf.DUMMYFUNCTION("GOOGLETRANSLATE(B22230,""en"",""zh-CN"")"),"看到一个人让一杯饮料交叉，然后他在山上与其他人说话。")</f>
        <v>看到一个人让一杯饮料交叉，然后他在山上与其他人说话。</v>
      </c>
    </row>
    <row r="22231">
      <c r="A22231" s="4" t="s">
        <v>27982</v>
      </c>
      <c r="B22231" s="4" t="s">
        <v>27984</v>
      </c>
      <c r="C22231" s="5" t="str">
        <f>IFERROR(__xludf.DUMMYFUNCTION("GOOGLETRANSLATE(B22231,""en"",""zh-CN"")"),"显示了该男子喝酒以及与他人说话的更多镜头。")</f>
        <v>显示了该男子喝酒以及与他人说话的更多镜头。</v>
      </c>
    </row>
    <row r="22232">
      <c r="A22232" s="4" t="s">
        <v>27982</v>
      </c>
      <c r="B22232" s="4" t="s">
        <v>27985</v>
      </c>
      <c r="C22232" s="5" t="str">
        <f>IFERROR(__xludf.DUMMYFUNCTION("GOOGLETRANSLATE(B22232,""en"",""zh-CN"")"),"该男子还有另一种饮料，然后玩游泳池，然后是他们的照片。")</f>
        <v>该男子还有另一种饮料，然后玩游泳池，然后是他们的照片。</v>
      </c>
    </row>
    <row r="22233">
      <c r="A22233" s="4" t="s">
        <v>27986</v>
      </c>
      <c r="B22233" s="4" t="s">
        <v>27987</v>
      </c>
      <c r="C22233" s="5" t="str">
        <f>IFERROR(__xludf.DUMMYFUNCTION("GOOGLETRANSLATE(B22233,""en"",""zh-CN"")"),"一位女士坐在弹钢琴。")</f>
        <v>一位女士坐在弹钢琴。</v>
      </c>
    </row>
    <row r="22234">
      <c r="A22234" s="4" t="s">
        <v>27986</v>
      </c>
      <c r="B22234" s="4" t="s">
        <v>27988</v>
      </c>
      <c r="C22234" s="5" t="str">
        <f>IFERROR(__xludf.DUMMYFUNCTION("GOOGLETRANSLATE(B22234,""en"",""zh-CN"")"),"一个人站着演奏萨克斯管。")</f>
        <v>一个人站着演奏萨克斯管。</v>
      </c>
    </row>
    <row r="22235">
      <c r="A22235" s="4" t="s">
        <v>27986</v>
      </c>
      <c r="B22235" s="4" t="s">
        <v>27989</v>
      </c>
      <c r="C22235" s="5" t="str">
        <f>IFERROR(__xludf.DUMMYFUNCTION("GOOGLETRANSLATE(B22235,""en"",""zh-CN"")"),"女士和盖伊一起在同一舞台上表演。")</f>
        <v>女士和盖伊一起在同一舞台上表演。</v>
      </c>
    </row>
    <row r="22236">
      <c r="A22236" s="4" t="s">
        <v>27986</v>
      </c>
      <c r="B22236" s="4" t="s">
        <v>27990</v>
      </c>
      <c r="C22236" s="5" t="str">
        <f>IFERROR(__xludf.DUMMYFUNCTION("GOOGLETRANSLATE(B22236,""en"",""zh-CN"")"),"女士和家伙停止玩。")</f>
        <v>女士和家伙停止玩。</v>
      </c>
    </row>
    <row r="22237">
      <c r="A22237" s="4" t="s">
        <v>27991</v>
      </c>
      <c r="B22237" s="4" t="s">
        <v>27992</v>
      </c>
      <c r="C22237" s="5" t="str">
        <f>IFERROR(__xludf.DUMMYFUNCTION("GOOGLETRANSLATE(B22237,""en"",""zh-CN"")"),"一个男人和一个小男孩在室内法庭上玩羽毛球。")</f>
        <v>一个男人和一个小男孩在室内法庭上玩羽毛球。</v>
      </c>
    </row>
    <row r="22238">
      <c r="A22238" s="4" t="s">
        <v>27991</v>
      </c>
      <c r="B22238" s="4" t="s">
        <v>27993</v>
      </c>
      <c r="C22238" s="5" t="str">
        <f>IFERROR(__xludf.DUMMYFUNCTION("GOOGLETRANSLATE(B22238,""en"",""zh-CN"")"),"小男孩服务并恢复了球。")</f>
        <v>小男孩服务并恢复了球。</v>
      </c>
    </row>
    <row r="22239">
      <c r="A22239" s="4" t="s">
        <v>27991</v>
      </c>
      <c r="B22239" s="6" t="s">
        <v>27994</v>
      </c>
      <c r="C22239" s="5" t="str">
        <f>IFERROR(__xludf.DUMMYFUNCTION("GOOGLETRANSLATE(B22239,""en"",""zh-CN"")"),"小男孩错过了一个结束网的球，然后男人恢复了球，然后继续打球。")</f>
        <v>小男孩错过了一个结束网的球，然后男人恢复了球，然后继续打球。</v>
      </c>
    </row>
    <row r="22240">
      <c r="A22240" s="4" t="s">
        <v>27995</v>
      </c>
      <c r="B22240" s="4" t="s">
        <v>27996</v>
      </c>
      <c r="C22240" s="5" t="str">
        <f>IFERROR(__xludf.DUMMYFUNCTION("GOOGLETRANSLATE(B22240,""en"",""zh-CN"")"),"两名年轻的摩托车骑手坐在自行车上，在一条土路上挥手。")</f>
        <v>两名年轻的摩托车骑手坐在自行车上，在一条土路上挥手。</v>
      </c>
    </row>
    <row r="22241">
      <c r="A22241" s="4" t="s">
        <v>27995</v>
      </c>
      <c r="B22241" s="4" t="s">
        <v>27997</v>
      </c>
      <c r="C22241" s="5" t="str">
        <f>IFERROR(__xludf.DUMMYFUNCTION("GOOGLETRANSLATE(B22241,""en"",""zh-CN"")"),"男孩们骑自行车在小径上跳跃。")</f>
        <v>男孩们骑自行车在小径上跳跃。</v>
      </c>
    </row>
    <row r="22242">
      <c r="A22242" s="4" t="s">
        <v>27995</v>
      </c>
      <c r="B22242" s="4" t="s">
        <v>27998</v>
      </c>
      <c r="C22242" s="5" t="str">
        <f>IFERROR(__xludf.DUMMYFUNCTION("GOOGLETRANSLATE(B22242,""en"",""zh-CN"")"),"一个年轻的骑手跳下坡道，用脚抓住车把。")</f>
        <v>一个年轻的骑手跳下坡道，用脚抓住车把。</v>
      </c>
    </row>
    <row r="22243">
      <c r="A22243" s="4" t="s">
        <v>27995</v>
      </c>
      <c r="B22243" s="4" t="s">
        <v>27999</v>
      </c>
      <c r="C22243" s="5" t="str">
        <f>IFERROR(__xludf.DUMMYFUNCTION("GOOGLETRANSLATE(B22243,""en"",""zh-CN"")"),"这个男孩确实可以治愈喀哒声，然后将脚踢到中空气中的汽车自行车侧。")</f>
        <v>这个男孩确实可以治愈喀哒声，然后将脚踢到中空气中的汽车自行车侧。</v>
      </c>
    </row>
    <row r="22244">
      <c r="A22244" s="4" t="s">
        <v>28000</v>
      </c>
      <c r="B22244" s="6" t="s">
        <v>28001</v>
      </c>
      <c r="C22244" s="5" t="str">
        <f>IFERROR(__xludf.DUMMYFUNCTION("GOOGLETRANSLATE(B22244,""en"",""zh-CN"")"),"一个杂乱的卷发的年轻女孩站在水槽前，用蓝色海绵清洁盘子。")</f>
        <v>一个杂乱的卷发的年轻女孩站在水槽前，用蓝色海绵清洁盘子。</v>
      </c>
    </row>
    <row r="22245">
      <c r="A22245" s="4" t="s">
        <v>28000</v>
      </c>
      <c r="B22245" s="4" t="s">
        <v>28002</v>
      </c>
      <c r="C22245" s="5" t="str">
        <f>IFERROR(__xludf.DUMMYFUNCTION("GOOGLETRANSLATE(B22245,""en"",""zh-CN"")"),"然后，她冲洗盘子的顶部，将其交给站在她身后的人。")</f>
        <v>然后，她冲洗盘子的顶部，将其交给站在她身后的人。</v>
      </c>
    </row>
    <row r="22246">
      <c r="A22246" s="4" t="s">
        <v>28000</v>
      </c>
      <c r="B22246" s="6" t="s">
        <v>28003</v>
      </c>
      <c r="C22246" s="5" t="str">
        <f>IFERROR(__xludf.DUMMYFUNCTION("GOOGLETRANSLATE(B22246,""en"",""zh-CN"")"),"当她抓住下一道菜时，有人来了，当她继续将水倒入和流出容器时，将另一道菜放在水槽里。")</f>
        <v>当她抓住下一道菜时，有人来了，当她继续将水倒入和流出容器时，将另一道菜放在水槽里。</v>
      </c>
    </row>
    <row r="22247">
      <c r="A22247" s="4" t="s">
        <v>28004</v>
      </c>
      <c r="B22247" s="4" t="s">
        <v>28005</v>
      </c>
      <c r="C22247" s="5" t="str">
        <f>IFERROR(__xludf.DUMMYFUNCTION("GOOGLETRANSLATE(B22247,""en"",""zh-CN"")"),"一个男人坐下来弹萨克斯管。")</f>
        <v>一个男人坐下来弹萨克斯管。</v>
      </c>
    </row>
    <row r="22248">
      <c r="A22248" s="4" t="s">
        <v>28004</v>
      </c>
      <c r="B22248" s="4" t="s">
        <v>28006</v>
      </c>
      <c r="C22248" s="5" t="str">
        <f>IFERROR(__xludf.DUMMYFUNCTION("GOOGLETRANSLATE(B22248,""en"",""zh-CN"")"),"他停止演奏萨克斯管和谈话。")</f>
        <v>他停止演奏萨克斯管和谈话。</v>
      </c>
    </row>
    <row r="22249">
      <c r="A22249" s="4" t="s">
        <v>28004</v>
      </c>
      <c r="B22249" s="4" t="s">
        <v>28007</v>
      </c>
      <c r="C22249" s="5" t="str">
        <f>IFERROR(__xludf.DUMMYFUNCTION("GOOGLETRANSLATE(B22249,""en"",""zh-CN"")"),"他站起来，继续演奏萨克斯管。")</f>
        <v>他站起来，继续演奏萨克斯管。</v>
      </c>
    </row>
    <row r="22250">
      <c r="A22250" s="4" t="s">
        <v>28008</v>
      </c>
      <c r="B22250" s="6" t="s">
        <v>28009</v>
      </c>
      <c r="C22250" s="5" t="str">
        <f>IFERROR(__xludf.DUMMYFUNCTION("GOOGLETRANSLATE(B22250,""en"",""zh-CN"")"),"彩色的介绍，带有许多闪烁的单词在屏幕上闪烁，徽标和横幅上写着外语。")</f>
        <v>彩色的介绍，带有许多闪烁的单词在屏幕上闪烁，徽标和横幅上写着外语。</v>
      </c>
    </row>
    <row r="22251">
      <c r="A22251" s="4" t="s">
        <v>28008</v>
      </c>
      <c r="B22251" s="6" t="s">
        <v>28010</v>
      </c>
      <c r="C22251" s="5" t="str">
        <f>IFERROR(__xludf.DUMMYFUNCTION("GOOGLETRANSLATE(B22251,""en"",""zh-CN"")"),"一个穿着橙色和红色连衣裙和围巾的女人站着，说话，她手中握着白皮书。")</f>
        <v>一个穿着橙色和红色连衣裙和围巾的女人站着，说话，她手中握着白皮书。</v>
      </c>
    </row>
    <row r="22252">
      <c r="A22252" s="4" t="s">
        <v>28008</v>
      </c>
      <c r="B22252" s="6" t="s">
        <v>28011</v>
      </c>
      <c r="C22252" s="5" t="str">
        <f>IFERROR(__xludf.DUMMYFUNCTION("GOOGLETRANSLATE(B22252,""en"",""zh-CN"")"),"该女人不再显示出来，并且有各种各样的图片闪烁，似乎与快速洗车有关。")</f>
        <v>该女人不再显示出来，并且有各种各样的图片闪烁，似乎与快速洗车有关。</v>
      </c>
    </row>
    <row r="22253">
      <c r="A22253" s="4" t="s">
        <v>28008</v>
      </c>
      <c r="B22253" s="6" t="s">
        <v>28012</v>
      </c>
      <c r="C22253" s="5" t="str">
        <f>IFERROR(__xludf.DUMMYFUNCTION("GOOGLETRANSLATE(B22253,""en"",""zh-CN"")"),"一些简短的视频片段开始，它们都在汽车驾驶的Speed洗车公司，显示产品，一个人正在洗车，各种各样的人一起交谈或单独交谈。")</f>
        <v>一些简短的视频片段开始，它们都在汽车驾驶的Speed洗车公司，显示产品，一个人正在洗车，各种各样的人一起交谈或单独交谈。</v>
      </c>
    </row>
    <row r="22254">
      <c r="A22254" s="4" t="s">
        <v>28008</v>
      </c>
      <c r="B22254" s="6" t="s">
        <v>28013</v>
      </c>
      <c r="C22254" s="5" t="str">
        <f>IFERROR(__xludf.DUMMYFUNCTION("GOOGLETRANSLATE(B22254,""en"",""zh-CN"")"),"那个穿着橙色和红色连衣裙的女人再次出现，她说话时仍在拿着白皮书。")</f>
        <v>那个穿着橙色和红色连衣裙的女人再次出现，她说话时仍在拿着白皮书。</v>
      </c>
    </row>
    <row r="22255">
      <c r="A22255" s="4" t="s">
        <v>28008</v>
      </c>
      <c r="B22255" s="4" t="s">
        <v>28014</v>
      </c>
      <c r="C22255" s="5" t="str">
        <f>IFERROR(__xludf.DUMMYFUNCTION("GOOGLETRANSLATE(B22255,""en"",""zh-CN"")"),"女人说话并继续结束后，出现了闪烁的单词。")</f>
        <v>女人说话并继续结束后，出现了闪烁的单词。</v>
      </c>
    </row>
    <row r="22256">
      <c r="A22256" s="4" t="s">
        <v>28015</v>
      </c>
      <c r="B22256" s="4" t="s">
        <v>28016</v>
      </c>
      <c r="C22256" s="5" t="str">
        <f>IFERROR(__xludf.DUMMYFUNCTION("GOOGLETRANSLATE(B22256,""en"",""zh-CN"")"),"一个码头在海滩上显示，人们在它旁边行走。")</f>
        <v>一个码头在海滩上显示，人们在它旁边行走。</v>
      </c>
    </row>
    <row r="22257">
      <c r="A22257" s="4" t="s">
        <v>28015</v>
      </c>
      <c r="B22257" s="4" t="s">
        <v>28017</v>
      </c>
      <c r="C22257" s="5" t="str">
        <f>IFERROR(__xludf.DUMMYFUNCTION("GOOGLETRANSLATE(B22257,""en"",""zh-CN"")"),"许多照片显示了一个女人绑着一双溜冰鞋。")</f>
        <v>许多照片显示了一个女人绑着一双溜冰鞋。</v>
      </c>
    </row>
    <row r="22258">
      <c r="A22258" s="4" t="s">
        <v>28015</v>
      </c>
      <c r="B22258" s="4" t="s">
        <v>28018</v>
      </c>
      <c r="C22258" s="5" t="str">
        <f>IFERROR(__xludf.DUMMYFUNCTION("GOOGLETRANSLATE(B22258,""en"",""zh-CN"")"),"她滑冰，我们看到自行车，骑着它们的人，棕榈树和摩天轮。")</f>
        <v>她滑冰，我们看到自行车，骑着它们的人，棕榈树和摩天轮。</v>
      </c>
    </row>
    <row r="22259">
      <c r="A22259" s="4" t="s">
        <v>28015</v>
      </c>
      <c r="B22259" s="4" t="s">
        <v>28019</v>
      </c>
      <c r="C22259" s="5" t="str">
        <f>IFERROR(__xludf.DUMMYFUNCTION("GOOGLETRANSLATE(B22259,""en"",""zh-CN"")"),"我们跟随那个女人，与冲浪板和其他人一起滑冰。")</f>
        <v>我们跟随那个女人，与冲浪板和其他人一起滑冰。</v>
      </c>
    </row>
    <row r="22260">
      <c r="A22260" s="4" t="s">
        <v>28020</v>
      </c>
      <c r="B22260" s="4" t="s">
        <v>28021</v>
      </c>
      <c r="C22260" s="5" t="str">
        <f>IFERROR(__xludf.DUMMYFUNCTION("GOOGLETRANSLATE(B22260,""en"",""zh-CN"")"),"一个男人和一个女人在充满人的餐厅里跳舞。")</f>
        <v>一个男人和一个女人在充满人的餐厅里跳舞。</v>
      </c>
    </row>
    <row r="22261">
      <c r="A22261" s="4" t="s">
        <v>28020</v>
      </c>
      <c r="B22261" s="6" t="s">
        <v>28022</v>
      </c>
      <c r="C22261" s="5" t="str">
        <f>IFERROR(__xludf.DUMMYFUNCTION("GOOGLETRANSLATE(B22261,""en"",""zh-CN"")"),"女人接近一名年轻男性并触摸他的脸，然后男人生气，推动那个以他的手臂结束的女人，他们继续跳舞。")</f>
        <v>女人接近一名年轻男性并触摸他的脸，然后男人生气，推动那个以他的手臂结束的女人，他们继续跳舞。</v>
      </c>
    </row>
    <row r="22262">
      <c r="A22262" s="4" t="s">
        <v>28020</v>
      </c>
      <c r="B22262" s="4" t="s">
        <v>28023</v>
      </c>
      <c r="C22262" s="5" t="str">
        <f>IFERROR(__xludf.DUMMYFUNCTION("GOOGLETRANSLATE(B22262,""en"",""zh-CN"")"),"地板上出现大火。")</f>
        <v>地板上出现大火。</v>
      </c>
    </row>
    <row r="22263">
      <c r="A22263" s="4" t="s">
        <v>28020</v>
      </c>
      <c r="B22263" s="4" t="s">
        <v>28024</v>
      </c>
      <c r="C22263" s="5" t="str">
        <f>IFERROR(__xludf.DUMMYFUNCTION("GOOGLETRANSLATE(B22263,""en"",""zh-CN"")"),"一个男人在鼻子上放了两根面包棍，一个女人惊讶地看着。")</f>
        <v>一个男人在鼻子上放了两根面包棍，一个女人惊讶地看着。</v>
      </c>
    </row>
    <row r="22264">
      <c r="A22264" s="4" t="s">
        <v>28020</v>
      </c>
      <c r="B22264" s="6" t="s">
        <v>28025</v>
      </c>
      <c r="C22264" s="5" t="str">
        <f>IFERROR(__xludf.DUMMYFUNCTION("GOOGLETRANSLATE(B22264,""en"",""zh-CN"")"),"男人帮助女人点烟，然后他翻转并用红色的桌布制作窍门，男人和女人继续跳舞，直到他们从液体出来时亲吻，然后在末端出现月亮。")</f>
        <v>男人帮助女人点烟，然后他翻转并用红色的桌布制作窍门，男人和女人继续跳舞，直到他们从液体出来时亲吻，然后在末端出现月亮。</v>
      </c>
    </row>
    <row r="22265">
      <c r="A22265" s="4" t="s">
        <v>28026</v>
      </c>
      <c r="B22265" s="4" t="s">
        <v>28027</v>
      </c>
      <c r="C22265" s="5" t="str">
        <f>IFERROR(__xludf.DUMMYFUNCTION("GOOGLETRANSLATE(B22265,""en"",""zh-CN"")"),"一个小女孩在她的脸上擦水。")</f>
        <v>一个小女孩在她的脸上擦水。</v>
      </c>
    </row>
    <row r="22266">
      <c r="A22266" s="4" t="s">
        <v>28026</v>
      </c>
      <c r="B22266" s="4" t="s">
        <v>28028</v>
      </c>
      <c r="C22266" s="5" t="str">
        <f>IFERROR(__xludf.DUMMYFUNCTION("GOOGLETRANSLATE(B22266,""en"",""zh-CN"")"),"当她继续洗脸时，她看着相机，微笑着。")</f>
        <v>当她继续洗脸时，她看着相机，微笑着。</v>
      </c>
    </row>
    <row r="22267">
      <c r="A22267" s="4" t="s">
        <v>28026</v>
      </c>
      <c r="B22267" s="4" t="s">
        <v>28029</v>
      </c>
      <c r="C22267" s="5" t="str">
        <f>IFERROR(__xludf.DUMMYFUNCTION("GOOGLETRANSLATE(B22267,""en"",""zh-CN"")"),"她将舌头稍微伸出相机。")</f>
        <v>她将舌头稍微伸出相机。</v>
      </c>
    </row>
    <row r="22268">
      <c r="A22268" s="4" t="s">
        <v>28030</v>
      </c>
      <c r="B22268" s="6" t="s">
        <v>28031</v>
      </c>
      <c r="C22268" s="5" t="str">
        <f>IFERROR(__xludf.DUMMYFUNCTION("GOOGLETRANSLATE(B22268,""en"",""zh-CN"")"),"人们以有趣的方式玩弄油漆球枪，有些人在汽车上骑行，而另一些则在地面上互相射击油漆球。")</f>
        <v>人们以有趣的方式玩弄油漆球枪，有些人在汽车上骑行，而另一些则在地面上互相射击油漆球。</v>
      </c>
    </row>
    <row r="22269">
      <c r="A22269" s="4" t="s">
        <v>28030</v>
      </c>
      <c r="B22269" s="4" t="s">
        <v>28032</v>
      </c>
      <c r="C22269" s="5" t="str">
        <f>IFERROR(__xludf.DUMMYFUNCTION("GOOGLETRANSLATE(B22269,""en"",""zh-CN"")"),"骑摩托车和降落伞的空中有很多人，这是一个愉快的一天。")</f>
        <v>骑摩托车和降落伞的空中有很多人，这是一个愉快的一天。</v>
      </c>
    </row>
    <row r="22270">
      <c r="A22270" s="4" t="s">
        <v>28030</v>
      </c>
      <c r="B22270" s="4" t="s">
        <v>28033</v>
      </c>
      <c r="C22270" s="5" t="str">
        <f>IFERROR(__xludf.DUMMYFUNCTION("GOOGLETRANSLATE(B22270,""en"",""zh-CN"")"),"一个人似乎有一个油漆球火箭发射器，并用它拍摄了一个人。")</f>
        <v>一个人似乎有一个油漆球火箭发射器，并用它拍摄了一个人。</v>
      </c>
    </row>
    <row r="22271">
      <c r="A22271" s="4" t="s">
        <v>28030</v>
      </c>
      <c r="B22271" s="4" t="s">
        <v>28034</v>
      </c>
      <c r="C22271" s="5" t="str">
        <f>IFERROR(__xludf.DUMMYFUNCTION("GOOGLETRANSLATE(B22271,""en"",""zh-CN"")"),"摩托滑板板上也有人。")</f>
        <v>摩托滑板板上也有人。</v>
      </c>
    </row>
    <row r="22272">
      <c r="A22272" s="4" t="s">
        <v>28030</v>
      </c>
      <c r="B22272" s="6" t="s">
        <v>28035</v>
      </c>
      <c r="C22272" s="5" t="str">
        <f>IFERROR(__xludf.DUMMYFUNCTION("GOOGLETRANSLATE(B22272,""en"",""zh-CN"")"),"他们表明，一群人到达了一个小山的顶部，在那儿种旗，许多队友被击败。")</f>
        <v>他们表明，一群人到达了一个小山的顶部，在那儿种旗，许多队友被击败。</v>
      </c>
    </row>
    <row r="22273">
      <c r="A22273" s="4" t="s">
        <v>28036</v>
      </c>
      <c r="B22273" s="6" t="s">
        <v>28037</v>
      </c>
      <c r="C22273" s="5" t="str">
        <f>IFERROR(__xludf.DUMMYFUNCTION("GOOGLETRANSLATE(B22273,""en"",""zh-CN"")"),"两个穿着红色衬衫和黑色Spanxs的女孩正在为射手比赛做准备。")</f>
        <v>两个穿着红色衬衫和黑色Spanxs的女孩正在为射手比赛做准备。</v>
      </c>
    </row>
    <row r="22274">
      <c r="A22274" s="4" t="s">
        <v>28036</v>
      </c>
      <c r="B22274" s="4" t="s">
        <v>28038</v>
      </c>
      <c r="C22274" s="5" t="str">
        <f>IFERROR(__xludf.DUMMYFUNCTION("GOOGLETRANSLATE(B22274,""en"",""zh-CN"")"),"另一支球队显示在网的另一侧，他们为球提供了球。")</f>
        <v>另一支球队显示在网的另一侧，他们为球提供了球。</v>
      </c>
    </row>
    <row r="22275">
      <c r="A22275" s="4" t="s">
        <v>28036</v>
      </c>
      <c r="B22275" s="4" t="s">
        <v>28039</v>
      </c>
      <c r="C22275" s="5" t="str">
        <f>IFERROR(__xludf.DUMMYFUNCTION("GOOGLETRANSLATE(B22275,""en"",""zh-CN"")"),"两个女孩都开始打球，击中球，女孩在获得观点时欢呼。")</f>
        <v>两个女孩都开始打球，击中球，女孩在获得观点时欢呼。</v>
      </c>
    </row>
    <row r="22276">
      <c r="A22276" s="4" t="s">
        <v>28040</v>
      </c>
      <c r="B22276" s="6" t="s">
        <v>28041</v>
      </c>
      <c r="C22276" s="5" t="str">
        <f>IFERROR(__xludf.DUMMYFUNCTION("GOOGLETRANSLATE(B22276,""en"",""zh-CN"")"),"有很多不同的团队在非常大的水域中非常迅速地划船，它们在户外，周围环绕着很多树木和许多建筑物。")</f>
        <v>有很多不同的团队在非常大的水域中非常迅速地划船，它们在户外，周围环绕着很多树木和许多建筑物。</v>
      </c>
    </row>
    <row r="22277">
      <c r="A22277" s="4" t="s">
        <v>28040</v>
      </c>
      <c r="B22277" s="6" t="s">
        <v>28042</v>
      </c>
      <c r="C22277" s="5" t="str">
        <f>IFERROR(__xludf.DUMMYFUNCTION("GOOGLETRANSLATE(B22277,""en"",""zh-CN"")"),"现在的重点是独木舟，只有一个女人，他们像球队一样在另一个女人身上奔跑，但他们很孤单，他们在他们身后有数字。")</f>
        <v>现在的重点是独木舟，只有一个女人，他们像球队一样在另一个女人身上奔跑，但他们很孤单，他们在他们身后有数字。</v>
      </c>
    </row>
    <row r="22278">
      <c r="A22278" s="4" t="s">
        <v>28040</v>
      </c>
      <c r="B22278" s="6" t="s">
        <v>28043</v>
      </c>
      <c r="C22278" s="5" t="str">
        <f>IFERROR(__xludf.DUMMYFUNCTION("GOOGLETRANSLATE(B22278,""en"",""zh-CN"")"),"现在，他们正在与两个男子赛车一起展示独木舟，他们也很快划船，然后由4名男子组成的球队开始比赛。")</f>
        <v>现在，他们正在与两个男子赛车一起展示独木舟，他们也很快划船，然后由4名男子组成的球队开始比赛。</v>
      </c>
    </row>
    <row r="22279">
      <c r="A22279" s="4" t="s">
        <v>28040</v>
      </c>
      <c r="B22279" s="6" t="s">
        <v>28044</v>
      </c>
      <c r="C22279" s="5" t="str">
        <f>IFERROR(__xludf.DUMMYFUNCTION("GOOGLETRANSLATE(B22279,""en"",""zh-CN"")"),"当他们完成比赛后，他们现在被展示到一个男人和一个女人，他们在围绕着走向他的男人和女人的丝带上放奖牌。")</f>
        <v>当他们完成比赛后，他们现在被展示到一个男人和一个女人，他们在围绕着走向他的男人和女人的丝带上放奖牌。</v>
      </c>
    </row>
    <row r="22280">
      <c r="A22280" s="4" t="s">
        <v>28040</v>
      </c>
      <c r="B22280" s="4" t="s">
        <v>28045</v>
      </c>
      <c r="C22280" s="5" t="str">
        <f>IFERROR(__xludf.DUMMYFUNCTION("GOOGLETRANSLATE(B22280,""en"",""zh-CN"")"),"当奖牌被授予时，获奖者的清单开始在不同的屏幕上显示。")</f>
        <v>当奖牌被授予时，获奖者的清单开始在不同的屏幕上显示。</v>
      </c>
    </row>
    <row r="22281">
      <c r="A22281" s="4" t="s">
        <v>28046</v>
      </c>
      <c r="B22281" s="4" t="s">
        <v>28047</v>
      </c>
      <c r="C22281" s="5" t="str">
        <f>IFERROR(__xludf.DUMMYFUNCTION("GOOGLETRANSLATE(B22281,""en"",""zh-CN"")"),"冬季，有两个人在一个非常寒冷的雪山坡上滑雪。")</f>
        <v>冬季，有两个人在一个非常寒冷的雪山坡上滑雪。</v>
      </c>
    </row>
    <row r="22282">
      <c r="A22282" s="4" t="s">
        <v>28046</v>
      </c>
      <c r="B22282" s="4" t="s">
        <v>28048</v>
      </c>
      <c r="C22282" s="5" t="str">
        <f>IFERROR(__xludf.DUMMYFUNCTION("GOOGLETRANSLATE(B22282,""en"",""zh-CN"")"),"向左和向右走，随着它们的发展开始增加一些速度。")</f>
        <v>向左和向右走，随着它们的发展开始增加一些速度。</v>
      </c>
    </row>
    <row r="22283">
      <c r="A22283" s="4" t="s">
        <v>28046</v>
      </c>
      <c r="B22283" s="6" t="s">
        <v>28049</v>
      </c>
      <c r="C22283" s="5" t="str">
        <f>IFERROR(__xludf.DUMMYFUNCTION("GOOGLETRANSLATE(B22283,""en"",""zh-CN"")"),"其中一个跌倒了，仍然沿着斜坡向下移动，最终撞到了另一个滑雪者，导致他也摔倒了。")</f>
        <v>其中一个跌倒了，仍然沿着斜坡向下移动，最终撞到了另一个滑雪者，导致他也摔倒了。</v>
      </c>
    </row>
    <row r="22284">
      <c r="A22284" s="4" t="s">
        <v>28046</v>
      </c>
      <c r="B22284" s="4" t="s">
        <v>28050</v>
      </c>
      <c r="C22284" s="5" t="str">
        <f>IFERROR(__xludf.DUMMYFUNCTION("GOOGLETRANSLATE(B22284,""en"",""zh-CN"")"),"他们试图抓住双手，最终终于停了下来。")</f>
        <v>他们试图抓住双手，最终终于停了下来。</v>
      </c>
    </row>
    <row r="22285">
      <c r="A22285" s="4" t="s">
        <v>28051</v>
      </c>
      <c r="B22285" s="4" t="s">
        <v>28052</v>
      </c>
      <c r="C22285" s="5" t="str">
        <f>IFERROR(__xludf.DUMMYFUNCTION("GOOGLETRANSLATE(B22285,""en"",""zh-CN"")"),"我们在黑色标题屏幕上看到绿色写作。")</f>
        <v>我们在黑色标题屏幕上看到绿色写作。</v>
      </c>
    </row>
    <row r="22286">
      <c r="A22286" s="4" t="s">
        <v>28051</v>
      </c>
      <c r="B22286" s="6" t="s">
        <v>28053</v>
      </c>
      <c r="C22286" s="5" t="str">
        <f>IFERROR(__xludf.DUMMYFUNCTION("GOOGLETRANSLATE(B22286,""en"",""zh-CN"")"),"一位穿着蕾丝黑白胸罩的女士坐在一个黑色的房间里，在亮点灯下吸烟。")</f>
        <v>一位穿着蕾丝黑白胸罩的女士坐在一个黑色的房间里，在亮点灯下吸烟。</v>
      </c>
    </row>
    <row r="22287">
      <c r="A22287" s="4" t="s">
        <v>28051</v>
      </c>
      <c r="B22287" s="4" t="s">
        <v>27977</v>
      </c>
      <c r="C22287" s="5" t="str">
        <f>IFERROR(__xludf.DUMMYFUNCTION("GOOGLETRANSLATE(B22287,""en"",""zh-CN"")"),"那位女士将头发推回去。")</f>
        <v>那位女士将头发推回去。</v>
      </c>
    </row>
    <row r="22288">
      <c r="A22288" s="4" t="s">
        <v>28051</v>
      </c>
      <c r="B22288" s="4" t="s">
        <v>28054</v>
      </c>
      <c r="C22288" s="5" t="str">
        <f>IFERROR(__xludf.DUMMYFUNCTION("GOOGLETRANSLATE(B22288,""en"",""zh-CN"")"),"这位女士调整了她在椅子上的位置，低头看。")</f>
        <v>这位女士调整了她在椅子上的位置，低头看。</v>
      </c>
    </row>
    <row r="22289">
      <c r="A22289" s="4" t="s">
        <v>28051</v>
      </c>
      <c r="B22289" s="4" t="s">
        <v>5107</v>
      </c>
      <c r="C22289" s="5" t="str">
        <f>IFERROR(__xludf.DUMMYFUNCTION("GOOGLETRANSLATE(B22289,""en"",""zh-CN"")"),"然后，我们看到结尾标题屏幕。")</f>
        <v>然后，我们看到结尾标题屏幕。</v>
      </c>
    </row>
    <row r="22290">
      <c r="A22290" s="4" t="s">
        <v>28055</v>
      </c>
      <c r="B22290" s="4" t="s">
        <v>28056</v>
      </c>
      <c r="C22290" s="5" t="str">
        <f>IFERROR(__xludf.DUMMYFUNCTION("GOOGLETRANSLATE(B22290,""en"",""zh-CN"")"),"戴着口罩的人扮演手风琴。")</f>
        <v>戴着口罩的人扮演手风琴。</v>
      </c>
    </row>
    <row r="22291">
      <c r="A22291" s="4" t="s">
        <v>28055</v>
      </c>
      <c r="B22291" s="4" t="s">
        <v>28057</v>
      </c>
      <c r="C22291" s="5" t="str">
        <f>IFERROR(__xludf.DUMMYFUNCTION("GOOGLETRANSLATE(B22291,""en"",""zh-CN"")"),"一个女人用相机向那个人挥手。")</f>
        <v>一个女人用相机向那个人挥手。</v>
      </c>
    </row>
    <row r="22292">
      <c r="A22292" s="4" t="s">
        <v>28058</v>
      </c>
      <c r="B22292" s="4" t="s">
        <v>28059</v>
      </c>
      <c r="C22292" s="5" t="str">
        <f>IFERROR(__xludf.DUMMYFUNCTION("GOOGLETRANSLATE(B22292,""en"",""zh-CN"")"),"雪的特写显示出导致一个打鼓的人。")</f>
        <v>雪的特写显示出导致一个打鼓的人。</v>
      </c>
    </row>
    <row r="22293">
      <c r="A22293" s="4" t="s">
        <v>28058</v>
      </c>
      <c r="B22293" s="4" t="s">
        <v>28060</v>
      </c>
      <c r="C22293" s="5" t="str">
        <f>IFERROR(__xludf.DUMMYFUNCTION("GOOGLETRANSLATE(B22293,""en"",""zh-CN"")"),"当摄像机周围时，该男子靠在雪中的一组鼓上。")</f>
        <v>当摄像机周围时，该男子靠在雪中的一组鼓上。</v>
      </c>
    </row>
    <row r="22294">
      <c r="A22294" s="4" t="s">
        <v>28058</v>
      </c>
      <c r="B22294" s="4" t="s">
        <v>28061</v>
      </c>
      <c r="C22294" s="5" t="str">
        <f>IFERROR(__xludf.DUMMYFUNCTION("GOOGLETRANSLATE(B22294,""en"",""zh-CN"")"),"该男子仍然打鼓，停下来走开，看着相机。")</f>
        <v>该男子仍然打鼓，停下来走开，看着相机。</v>
      </c>
    </row>
    <row r="22295">
      <c r="A22295" s="4" t="s">
        <v>28062</v>
      </c>
      <c r="B22295" s="4" t="s">
        <v>28063</v>
      </c>
      <c r="C22295" s="5" t="str">
        <f>IFERROR(__xludf.DUMMYFUNCTION("GOOGLETRANSLATE(B22295,""en"",""zh-CN"")"),"一个男人正在画一个房间。")</f>
        <v>一个男人正在画一个房间。</v>
      </c>
    </row>
    <row r="22296">
      <c r="A22296" s="4" t="s">
        <v>28062</v>
      </c>
      <c r="B22296" s="4" t="s">
        <v>28064</v>
      </c>
      <c r="C22296" s="5" t="str">
        <f>IFERROR(__xludf.DUMMYFUNCTION("GOOGLETRANSLATE(B22296,""en"",""zh-CN"")"),"他站在许多梯子上到达墙壁。")</f>
        <v>他站在许多梯子上到达墙壁。</v>
      </c>
    </row>
    <row r="22297">
      <c r="A22297" s="4" t="s">
        <v>28062</v>
      </c>
      <c r="B22297" s="4" t="s">
        <v>28065</v>
      </c>
      <c r="C22297" s="5" t="str">
        <f>IFERROR(__xludf.DUMMYFUNCTION("GOOGLETRANSLATE(B22297,""en"",""zh-CN"")"),"他摆在壁炉前。")</f>
        <v>他摆在壁炉前。</v>
      </c>
    </row>
    <row r="22298">
      <c r="A22298" s="4" t="s">
        <v>28066</v>
      </c>
      <c r="B22298" s="6" t="s">
        <v>28067</v>
      </c>
      <c r="C22298" s="5" t="str">
        <f>IFERROR(__xludf.DUMMYFUNCTION("GOOGLETRANSLATE(B22298,""en"",""zh-CN"")"),"一台相机捕获了几枪，以及站在外面喝酒和庆祝的人们。")</f>
        <v>一台相机捕获了几枪，以及站在外面喝酒和庆祝的人们。</v>
      </c>
    </row>
    <row r="22299">
      <c r="A22299" s="4" t="s">
        <v>28066</v>
      </c>
      <c r="B22299" s="4" t="s">
        <v>28068</v>
      </c>
      <c r="C22299" s="5" t="str">
        <f>IFERROR(__xludf.DUMMYFUNCTION("GOOGLETRANSLATE(B22299,""en"",""zh-CN"")"),"一个人拔出杂草，看到一架无人机在远处飞行。")</f>
        <v>一个人拔出杂草，看到一架无人机在远处飞行。</v>
      </c>
    </row>
    <row r="22300">
      <c r="A22300" s="4" t="s">
        <v>28066</v>
      </c>
      <c r="B22300" s="6" t="s">
        <v>28069</v>
      </c>
      <c r="C22300" s="5" t="str">
        <f>IFERROR(__xludf.DUMMYFUNCTION("GOOGLETRANSLATE(B22300,""en"",""zh-CN"")"),"人们试图击中无人机，然后看到在其他人周围的高尔夫球车上行驶。")</f>
        <v>人们试图击中无人机，然后看到在其他人周围的高尔夫球车上行驶。</v>
      </c>
    </row>
    <row r="22301">
      <c r="A22301" s="4" t="s">
        <v>28066</v>
      </c>
      <c r="B22301" s="6" t="s">
        <v>28070</v>
      </c>
      <c r="C22301" s="5" t="str">
        <f>IFERROR(__xludf.DUMMYFUNCTION("GOOGLETRANSLATE(B22301,""en"",""zh-CN"")"),"一个男人穿着游击西装，无人机飞越人们玩游戏和骑行。")</f>
        <v>一个男人穿着游击西装，无人机飞越人们玩游戏和骑行。</v>
      </c>
    </row>
    <row r="22302">
      <c r="A22302" s="4" t="s">
        <v>28071</v>
      </c>
      <c r="B22302" s="6" t="s">
        <v>28072</v>
      </c>
      <c r="C22302" s="5" t="str">
        <f>IFERROR(__xludf.DUMMYFUNCTION("GOOGLETRANSLATE(B22302,""en"",""zh-CN"")"),"一个穿着白色上衣和蓝色牛仔裤的女孩在一侧刷马的皮毛，然后她在另一侧移动，然后刷了他的腿。")</f>
        <v>一个穿着白色上衣和蓝色牛仔裤的女孩在一侧刷马的皮毛，然后她在另一侧移动，然后刷了他的腿。</v>
      </c>
    </row>
    <row r="22303">
      <c r="A22303" s="4" t="s">
        <v>28071</v>
      </c>
      <c r="B22303" s="6" t="s">
        <v>28073</v>
      </c>
      <c r="C22303" s="5" t="str">
        <f>IFERROR(__xludf.DUMMYFUNCTION("GOOGLETRANSLATE(B22303,""en"",""zh-CN"")"),"这位女士拿起一个黑色瓶子，喷洒马的身体，然后从马鞋上刷掉污垢，然后将抛光在马的脚上。")</f>
        <v>这位女士拿起一个黑色瓶子，喷洒马的身体，然后从马鞋上刷掉污垢，然后将抛光在马的脚上。</v>
      </c>
    </row>
    <row r="22304">
      <c r="A22304" s="4" t="s">
        <v>28074</v>
      </c>
      <c r="B22304" s="4" t="s">
        <v>28075</v>
      </c>
      <c r="C22304" s="5" t="str">
        <f>IFERROR(__xludf.DUMMYFUNCTION("GOOGLETRANSLATE(B22304,""en"",""zh-CN"")"),"一个小男孩在地板上安排一件衬衫。")</f>
        <v>一个小男孩在地板上安排一件衬衫。</v>
      </c>
    </row>
    <row r="22305">
      <c r="A22305" s="4" t="s">
        <v>28074</v>
      </c>
      <c r="B22305" s="4" t="s">
        <v>28076</v>
      </c>
      <c r="C22305" s="5" t="str">
        <f>IFERROR(__xludf.DUMMYFUNCTION("GOOGLETRANSLATE(B22305,""en"",""zh-CN"")"),"他抓住并熨烫衬衫。")</f>
        <v>他抓住并熨烫衬衫。</v>
      </c>
    </row>
    <row r="22306">
      <c r="A22306" s="4" t="s">
        <v>28074</v>
      </c>
      <c r="B22306" s="4" t="s">
        <v>28077</v>
      </c>
      <c r="C22306" s="5" t="str">
        <f>IFERROR(__xludf.DUMMYFUNCTION("GOOGLETRANSLATE(B22306,""en"",""zh-CN"")"),"他将铁放下，环顾房间。")</f>
        <v>他将铁放下，环顾房间。</v>
      </c>
    </row>
    <row r="22307">
      <c r="A22307" s="4" t="s">
        <v>28078</v>
      </c>
      <c r="B22307" s="4" t="s">
        <v>28079</v>
      </c>
      <c r="C22307" s="5" t="str">
        <f>IFERROR(__xludf.DUMMYFUNCTION("GOOGLETRANSLATE(B22307,""en"",""zh-CN"")"),"一个年轻人站在一个拿着两个马拉卡的黑暗房间里，对镜头说话。")</f>
        <v>一个年轻人站在一个拿着两个马拉卡的黑暗房间里，对镜头说话。</v>
      </c>
    </row>
    <row r="22308">
      <c r="A22308" s="4" t="s">
        <v>28078</v>
      </c>
      <c r="B22308" s="4" t="s">
        <v>28080</v>
      </c>
      <c r="C22308" s="5" t="str">
        <f>IFERROR(__xludf.DUMMYFUNCTION("GOOGLETRANSLATE(B22308,""en"",""zh-CN"")"),"另一个男人走着责骂他，然后最终脱下衬衫。")</f>
        <v>另一个男人走着责骂他，然后最终脱下衬衫。</v>
      </c>
    </row>
    <row r="22309">
      <c r="A22309" s="4" t="s">
        <v>28078</v>
      </c>
      <c r="B22309" s="4" t="s">
        <v>28081</v>
      </c>
      <c r="C22309" s="5" t="str">
        <f>IFERROR(__xludf.DUMMYFUNCTION("GOOGLETRANSLATE(B22309,""en"",""zh-CN"")"),"他们走到浴室，擦整个腿。")</f>
        <v>他们走到浴室，擦整个腿。</v>
      </c>
    </row>
    <row r="22310">
      <c r="A22310" s="4" t="s">
        <v>28078</v>
      </c>
      <c r="B22310" s="4" t="s">
        <v>28082</v>
      </c>
      <c r="C22310" s="5" t="str">
        <f>IFERROR(__xludf.DUMMYFUNCTION("GOOGLETRANSLATE(B22310,""en"",""zh-CN"")"),"他们开始剃光双腿，抬起剃须刀对相机微笑。")</f>
        <v>他们开始剃光双腿，抬起剃须刀对相机微笑。</v>
      </c>
    </row>
    <row r="22311">
      <c r="A22311" s="4" t="s">
        <v>28083</v>
      </c>
      <c r="B22311" s="4" t="s">
        <v>28084</v>
      </c>
      <c r="C22311" s="5" t="str">
        <f>IFERROR(__xludf.DUMMYFUNCTION("GOOGLETRANSLATE(B22311,""en"",""zh-CN"")"),"一个男人走到外面，插上割草机，准备割草。")</f>
        <v>一个男人走到外面，插上割草机，准备割草。</v>
      </c>
    </row>
    <row r="22312">
      <c r="A22312" s="4" t="s">
        <v>28083</v>
      </c>
      <c r="B22312" s="4" t="s">
        <v>28085</v>
      </c>
      <c r="C22312" s="5" t="str">
        <f>IFERROR(__xludf.DUMMYFUNCTION("GOOGLETRANSLATE(B22312,""en"",""zh-CN"")"),"他开始割草，随便割草。")</f>
        <v>他开始割草，随便割草。</v>
      </c>
    </row>
    <row r="22313">
      <c r="A22313" s="4" t="s">
        <v>28083</v>
      </c>
      <c r="B22313" s="4" t="s">
        <v>28086</v>
      </c>
      <c r="C22313" s="5" t="str">
        <f>IFERROR(__xludf.DUMMYFUNCTION("GOOGLETRANSLATE(B22313,""en"",""zh-CN"")"),"他的狗走到外面，在他离房子更近的时候开始跟随他。")</f>
        <v>他的狗走到外面，在他离房子更近的时候开始跟随他。</v>
      </c>
    </row>
    <row r="22314">
      <c r="A22314" s="4" t="s">
        <v>28083</v>
      </c>
      <c r="B22314" s="6" t="s">
        <v>28087</v>
      </c>
      <c r="C22314" s="5" t="str">
        <f>IFERROR(__xludf.DUMMYFUNCTION("GOOGLETRANSLATE(B22314,""en"",""zh-CN"")"),"院子逐渐开始看起来真的很棒，一旦他完全完成，院子看起来很棒，很好又光滑。")</f>
        <v>院子逐渐开始看起来真的很棒，一旦他完全完成，院子看起来很棒，很好又光滑。</v>
      </c>
    </row>
    <row r="22315">
      <c r="A22315" s="4" t="s">
        <v>28088</v>
      </c>
      <c r="B22315" s="4" t="s">
        <v>28089</v>
      </c>
      <c r="C22315" s="5" t="str">
        <f>IFERROR(__xludf.DUMMYFUNCTION("GOOGLETRANSLATE(B22315,""en"",""zh-CN"")"),"一个男人站在厨房里说话。")</f>
        <v>一个男人站在厨房里说话。</v>
      </c>
    </row>
    <row r="22316">
      <c r="A22316" s="4" t="s">
        <v>28088</v>
      </c>
      <c r="B22316" s="4" t="s">
        <v>28090</v>
      </c>
      <c r="C22316" s="5" t="str">
        <f>IFERROR(__xludf.DUMMYFUNCTION("GOOGLETRANSLATE(B22316,""en"",""zh-CN"")"),"他用真空清洁地板。")</f>
        <v>他用真空清洁地板。</v>
      </c>
    </row>
    <row r="22317">
      <c r="A22317" s="4" t="s">
        <v>28088</v>
      </c>
      <c r="B22317" s="4" t="s">
        <v>28091</v>
      </c>
      <c r="C22317" s="5" t="str">
        <f>IFERROR(__xludf.DUMMYFUNCTION("GOOGLETRANSLATE(B22317,""en"",""zh-CN"")"),"他从真空中取出过滤器。")</f>
        <v>他从真空中取出过滤器。</v>
      </c>
    </row>
    <row r="22318">
      <c r="A22318" s="4" t="s">
        <v>28088</v>
      </c>
      <c r="B22318" s="4" t="s">
        <v>28092</v>
      </c>
      <c r="C22318" s="5" t="str">
        <f>IFERROR(__xludf.DUMMYFUNCTION("GOOGLETRANSLATE(B22318,""en"",""zh-CN"")"),"此后，他再谈。")</f>
        <v>此后，他再谈。</v>
      </c>
    </row>
    <row r="22319">
      <c r="A22319" s="4" t="s">
        <v>28093</v>
      </c>
      <c r="B22319" s="4" t="s">
        <v>28094</v>
      </c>
      <c r="C22319" s="5" t="str">
        <f>IFERROR(__xludf.DUMMYFUNCTION("GOOGLETRANSLATE(B22319,""en"",""zh-CN"")"),"一个中年男子拿着拖把时说话。")</f>
        <v>一个中年男子拿着拖把时说话。</v>
      </c>
    </row>
    <row r="22320">
      <c r="A22320" s="4" t="s">
        <v>28093</v>
      </c>
      <c r="B22320" s="4" t="s">
        <v>28095</v>
      </c>
      <c r="C22320" s="5" t="str">
        <f>IFERROR(__xludf.DUMMYFUNCTION("GOOGLETRANSLATE(B22320,""en"",""zh-CN"")"),"该男子在地板上扔了一个拖把垫，然后将拖把上拿起垫子。")</f>
        <v>该男子在地板上扔了一个拖把垫，然后将拖把上拿起垫子。</v>
      </c>
    </row>
    <row r="22321">
      <c r="A22321" s="4" t="s">
        <v>28093</v>
      </c>
      <c r="B22321" s="4" t="s">
        <v>28096</v>
      </c>
      <c r="C22321" s="5" t="str">
        <f>IFERROR(__xludf.DUMMYFUNCTION("GOOGLETRANSLATE(B22321,""en"",""zh-CN"")"),"那个男人在房间里擦地板。")</f>
        <v>那个男人在房间里擦地板。</v>
      </c>
    </row>
    <row r="22322">
      <c r="A22322" s="4" t="s">
        <v>28093</v>
      </c>
      <c r="B22322" s="4" t="s">
        <v>28097</v>
      </c>
      <c r="C22322" s="5" t="str">
        <f>IFERROR(__xludf.DUMMYFUNCTION("GOOGLETRANSLATE(B22322,""en"",""zh-CN"")"),"同一个人站在厨房里。")</f>
        <v>同一个人站在厨房里。</v>
      </c>
    </row>
    <row r="22323">
      <c r="A22323" s="4" t="s">
        <v>28093</v>
      </c>
      <c r="B22323" s="4" t="s">
        <v>28098</v>
      </c>
      <c r="C22323" s="5" t="str">
        <f>IFERROR(__xludf.DUMMYFUNCTION("GOOGLETRANSLATE(B22323,""en"",""zh-CN"")"),"该男子在拖把垫上跑水，然后将其绞合。")</f>
        <v>该男子在拖把垫上跑水，然后将其绞合。</v>
      </c>
    </row>
    <row r="22324">
      <c r="A22324" s="4" t="s">
        <v>28093</v>
      </c>
      <c r="B22324" s="4" t="s">
        <v>28099</v>
      </c>
      <c r="C22324" s="5" t="str">
        <f>IFERROR(__xludf.DUMMYFUNCTION("GOOGLETRANSLATE(B22324,""en"",""zh-CN"")"),"该男子再次将拖把垫扔在地板上，然后用拖把捡起。")</f>
        <v>该男子再次将拖把垫扔在地板上，然后用拖把捡起。</v>
      </c>
    </row>
    <row r="22325">
      <c r="A22325" s="4" t="s">
        <v>28093</v>
      </c>
      <c r="B22325" s="4" t="s">
        <v>28100</v>
      </c>
      <c r="C22325" s="5" t="str">
        <f>IFERROR(__xludf.DUMMYFUNCTION("GOOGLETRANSLATE(B22325,""en"",""zh-CN"")"),"该男子在家具周围拖着地板。")</f>
        <v>该男子在家具周围拖着地板。</v>
      </c>
    </row>
    <row r="22326">
      <c r="A22326" s="4" t="s">
        <v>28101</v>
      </c>
      <c r="B22326" s="4" t="s">
        <v>28102</v>
      </c>
      <c r="C22326" s="5" t="str">
        <f>IFERROR(__xludf.DUMMYFUNCTION("GOOGLETRANSLATE(B22326,""en"",""zh-CN"")"),"一名老人正在健身房内使用椭圆教练。")</f>
        <v>一名老人正在健身房内使用椭圆教练。</v>
      </c>
    </row>
    <row r="22327">
      <c r="A22327" s="4" t="s">
        <v>28101</v>
      </c>
      <c r="B22327" s="4" t="s">
        <v>28103</v>
      </c>
      <c r="C22327" s="5" t="str">
        <f>IFERROR(__xludf.DUMMYFUNCTION("GOOGLETRANSLATE(B22327,""en"",""zh-CN"")"),"当他用相机与那个人交谈时，他踏上并来回推动。")</f>
        <v>当他用相机与那个人交谈时，他踏上并来回推动。</v>
      </c>
    </row>
    <row r="22328">
      <c r="A22328" s="4" t="s">
        <v>28104</v>
      </c>
      <c r="B22328" s="4" t="s">
        <v>28105</v>
      </c>
      <c r="C22328" s="5" t="str">
        <f>IFERROR(__xludf.DUMMYFUNCTION("GOOGLETRANSLATE(B22328,""en"",""zh-CN"")"),"一群人懒洋洋地漂浮在河中的插座上。")</f>
        <v>一群人懒洋洋地漂浮在河中的插座上。</v>
      </c>
    </row>
    <row r="22329">
      <c r="A22329" s="4" t="s">
        <v>28104</v>
      </c>
      <c r="B22329" s="4" t="s">
        <v>28106</v>
      </c>
      <c r="C22329" s="5" t="str">
        <f>IFERROR(__xludf.DUMMYFUNCTION("GOOGLETRANSLATE(B22329,""en"",""zh-CN"")"),"人们牵着手，所以他们在一起。")</f>
        <v>人们牵着手，所以他们在一起。</v>
      </c>
    </row>
    <row r="22330">
      <c r="A22330" s="4" t="s">
        <v>28104</v>
      </c>
      <c r="B22330" s="4" t="s">
        <v>28107</v>
      </c>
      <c r="C22330" s="5" t="str">
        <f>IFERROR(__xludf.DUMMYFUNCTION("GOOGLETRANSLATE(B22330,""en"",""zh-CN"")"),"他们通过急流在雨中漂浮在水中。")</f>
        <v>他们通过急流在雨中漂浮在水中。</v>
      </c>
    </row>
    <row r="22331">
      <c r="A22331" s="4" t="s">
        <v>28108</v>
      </c>
      <c r="B22331" s="4" t="s">
        <v>4448</v>
      </c>
      <c r="C22331" s="5" t="str">
        <f>IFERROR(__xludf.DUMMYFUNCTION("GOOGLETRANSLATE(B22331,""en"",""zh-CN"")"),"我们看到开头标题屏幕。")</f>
        <v>我们看到开头标题屏幕。</v>
      </c>
    </row>
    <row r="22332">
      <c r="A22332" s="4" t="s">
        <v>28108</v>
      </c>
      <c r="B22332" s="4" t="s">
        <v>28109</v>
      </c>
      <c r="C22332" s="5" t="str">
        <f>IFERROR(__xludf.DUMMYFUNCTION("GOOGLETRANSLATE(B22332,""en"",""zh-CN"")"),"我们看到水中的海洋和一个岛屿。")</f>
        <v>我们看到水中的海洋和一个岛屿。</v>
      </c>
    </row>
    <row r="22333">
      <c r="A22333" s="4" t="s">
        <v>28108</v>
      </c>
      <c r="B22333" s="4" t="s">
        <v>28110</v>
      </c>
      <c r="C22333" s="5" t="str">
        <f>IFERROR(__xludf.DUMMYFUNCTION("GOOGLETRANSLATE(B22333,""en"",""zh-CN"")"),"我们看到一个人的风筝冲浪在水中。")</f>
        <v>我们看到一个人的风筝冲浪在水中。</v>
      </c>
    </row>
    <row r="22334">
      <c r="A22334" s="4" t="s">
        <v>28108</v>
      </c>
      <c r="B22334" s="4" t="s">
        <v>28111</v>
      </c>
      <c r="C22334" s="5" t="str">
        <f>IFERROR(__xludf.DUMMYFUNCTION("GOOGLETRANSLATE(B22334,""en"",""zh-CN"")"),"然后，我们看到两个人的风筝冲浪。")</f>
        <v>然后，我们看到两个人的风筝冲浪。</v>
      </c>
    </row>
    <row r="22335">
      <c r="A22335" s="4" t="s">
        <v>28108</v>
      </c>
      <c r="B22335" s="4" t="s">
        <v>28112</v>
      </c>
      <c r="C22335" s="5" t="str">
        <f>IFERROR(__xludf.DUMMYFUNCTION("GOOGLETRANSLATE(B22335,""en"",""zh-CN"")"),"我们只回到一个人冲浪。")</f>
        <v>我们只回到一个人冲浪。</v>
      </c>
    </row>
    <row r="22336">
      <c r="A22336" s="4" t="s">
        <v>28108</v>
      </c>
      <c r="B22336" s="4" t="s">
        <v>28113</v>
      </c>
      <c r="C22336" s="5" t="str">
        <f>IFERROR(__xludf.DUMMYFUNCTION("GOOGLETRANSLATE(B22336,""en"",""zh-CN"")"),"我们从上面看到了岛屿。")</f>
        <v>我们从上面看到了岛屿。</v>
      </c>
    </row>
    <row r="22337">
      <c r="A22337" s="4" t="s">
        <v>28108</v>
      </c>
      <c r="B22337" s="4" t="s">
        <v>28114</v>
      </c>
      <c r="C22337" s="5" t="str">
        <f>IFERROR(__xludf.DUMMYFUNCTION("GOOGLETRANSLATE(B22337,""en"",""zh-CN"")"),"我们回到水中的冲浪者。")</f>
        <v>我们回到水中的冲浪者。</v>
      </c>
    </row>
    <row r="22338">
      <c r="A22338" s="4" t="s">
        <v>28108</v>
      </c>
      <c r="B22338" s="4" t="s">
        <v>10150</v>
      </c>
      <c r="C22338" s="5" t="str">
        <f>IFERROR(__xludf.DUMMYFUNCTION("GOOGLETRANSLATE(B22338,""en"",""zh-CN"")"),"然后，我们看到关闭标题屏幕。")</f>
        <v>然后，我们看到关闭标题屏幕。</v>
      </c>
    </row>
    <row r="22339">
      <c r="A22339" s="4" t="s">
        <v>28115</v>
      </c>
      <c r="B22339" s="4" t="s">
        <v>28116</v>
      </c>
      <c r="C22339" s="5" t="str">
        <f>IFERROR(__xludf.DUMMYFUNCTION("GOOGLETRANSLATE(B22339,""en"",""zh-CN"")"),"当狗跟着他时，一个男人出去家。")</f>
        <v>当狗跟着他时，一个男人出去家。</v>
      </c>
    </row>
    <row r="22340">
      <c r="A22340" s="4" t="s">
        <v>28115</v>
      </c>
      <c r="B22340" s="4" t="s">
        <v>28117</v>
      </c>
      <c r="C22340" s="5" t="str">
        <f>IFERROR(__xludf.DUMMYFUNCTION("GOOGLETRANSLATE(B22340,""en"",""zh-CN"")"),"然后，一个蹒跚学步的孩子走出家，站在游泳池的边界上，倒在水中。")</f>
        <v>然后，一个蹒跚学步的孩子走出家，站在游泳池的边界上，倒在水中。</v>
      </c>
    </row>
    <row r="22341">
      <c r="A22341" s="4" t="s">
        <v>28115</v>
      </c>
      <c r="B22341" s="4" t="s">
        <v>28118</v>
      </c>
      <c r="C22341" s="5" t="str">
        <f>IFERROR(__xludf.DUMMYFUNCTION("GOOGLETRANSLATE(B22341,""en"",""zh-CN"")"),"婴儿漂浮在面前，然后一个男人来带婴儿。")</f>
        <v>婴儿漂浮在面前，然后一个男人来带婴儿。</v>
      </c>
    </row>
    <row r="22342">
      <c r="A22342" s="4" t="s">
        <v>28115</v>
      </c>
      <c r="B22342" s="6" t="s">
        <v>28119</v>
      </c>
      <c r="C22342" s="5" t="str">
        <f>IFERROR(__xludf.DUMMYFUNCTION("GOOGLETRANSLATE(B22342,""en"",""zh-CN"")"),"一个女人把婴儿放在游泳池里，婴儿迅速游泳，到达游泳池的边界。")</f>
        <v>一个女人把婴儿放在游泳池里，婴儿迅速游泳，到达游泳池的边界。</v>
      </c>
    </row>
    <row r="22343">
      <c r="A22343" s="4" t="s">
        <v>28115</v>
      </c>
      <c r="B22343" s="4" t="s">
        <v>28120</v>
      </c>
      <c r="C22343" s="5" t="str">
        <f>IFERROR(__xludf.DUMMYFUNCTION("GOOGLETRANSLATE(B22343,""en"",""zh-CN"")"),"一个女人把婴儿放在游泳池里，摇摆和漂浮。")</f>
        <v>一个女人把婴儿放在游泳池里，摇摆和漂浮。</v>
      </c>
    </row>
    <row r="22344">
      <c r="A22344" s="4" t="s">
        <v>28121</v>
      </c>
      <c r="B22344" s="4" t="s">
        <v>28122</v>
      </c>
      <c r="C22344" s="5" t="str">
        <f>IFERROR(__xludf.DUMMYFUNCTION("GOOGLETRANSLATE(B22344,""en"",""zh-CN"")"),"两个女人在镜头前，穿着红色衬衫的女人说话。")</f>
        <v>两个女人在镜头前，穿着红色衬衫的女人说话。</v>
      </c>
    </row>
    <row r="22345">
      <c r="A22345" s="4" t="s">
        <v>28121</v>
      </c>
      <c r="B22345" s="4" t="s">
        <v>28123</v>
      </c>
      <c r="C22345" s="5" t="str">
        <f>IFERROR(__xludf.DUMMYFUNCTION("GOOGLETRANSLATE(B22345,""en"",""zh-CN"")"),"女人们都从那里的嘴里放了东西。")</f>
        <v>女人们都从那里的嘴里放了东西。</v>
      </c>
    </row>
    <row r="22346">
      <c r="A22346" s="4" t="s">
        <v>28121</v>
      </c>
      <c r="B22346" s="4" t="s">
        <v>28124</v>
      </c>
      <c r="C22346" s="5" t="str">
        <f>IFERROR(__xludf.DUMMYFUNCTION("GOOGLETRANSLATE(B22346,""en"",""zh-CN"")"),"红色的女人开始跳舞。")</f>
        <v>红色的女人开始跳舞。</v>
      </c>
    </row>
    <row r="22347">
      <c r="A22347" s="4" t="s">
        <v>28121</v>
      </c>
      <c r="B22347" s="4" t="s">
        <v>28125</v>
      </c>
      <c r="C22347" s="5" t="str">
        <f>IFERROR(__xludf.DUMMYFUNCTION("GOOGLETRANSLATE(B22347,""en"",""zh-CN"")"),"黑色的女人脸上露出了相机的脸。")</f>
        <v>黑色的女人脸上露出了相机的脸。</v>
      </c>
    </row>
    <row r="22348">
      <c r="A22348" s="4" t="s">
        <v>28121</v>
      </c>
      <c r="B22348" s="4" t="s">
        <v>28126</v>
      </c>
      <c r="C22348" s="5" t="str">
        <f>IFERROR(__xludf.DUMMYFUNCTION("GOOGLETRANSLATE(B22348,""en"",""zh-CN"")"),"两个女孩都在相机前弯腰。")</f>
        <v>两个女孩都在相机前弯腰。</v>
      </c>
    </row>
    <row r="22349">
      <c r="A22349" s="4" t="s">
        <v>28121</v>
      </c>
      <c r="B22349" s="4" t="s">
        <v>28127</v>
      </c>
      <c r="C22349" s="5" t="str">
        <f>IFERROR(__xludf.DUMMYFUNCTION("GOOGLETRANSLATE(B22349,""en"",""zh-CN"")"),"红色的女人停止跳舞，开始笑，黑色的女人也这样做。")</f>
        <v>红色的女人停止跳舞，开始笑，黑色的女人也这样做。</v>
      </c>
    </row>
    <row r="22350">
      <c r="A22350" s="4" t="s">
        <v>28121</v>
      </c>
      <c r="B22350" s="4" t="s">
        <v>28128</v>
      </c>
      <c r="C22350" s="5" t="str">
        <f>IFERROR(__xludf.DUMMYFUNCTION("GOOGLETRANSLATE(B22350,""en"",""zh-CN"")"),"看来，两个女人都吞咽或吐出嘴里的任何东西。")</f>
        <v>看来，两个女人都吞咽或吐出嘴里的任何东西。</v>
      </c>
    </row>
    <row r="22351">
      <c r="A22351" s="4" t="s">
        <v>28129</v>
      </c>
      <c r="B22351" s="4" t="s">
        <v>28130</v>
      </c>
      <c r="C22351" s="5" t="str">
        <f>IFERROR(__xludf.DUMMYFUNCTION("GOOGLETRANSLATE(B22351,""en"",""zh-CN"")"),"看到一个小孩戴着烤箱钻头并拿着棍子在相机上与镜头交谈。")</f>
        <v>看到一个小孩戴着烤箱钻头并拿着棍子在相机上与镜头交谈。</v>
      </c>
    </row>
    <row r="22352">
      <c r="A22352" s="4" t="s">
        <v>28129</v>
      </c>
      <c r="B22352" s="4" t="s">
        <v>28131</v>
      </c>
      <c r="C22352" s="5" t="str">
        <f>IFERROR(__xludf.DUMMYFUNCTION("GOOGLETRANSLATE(B22352,""en"",""zh-CN"")"),"然后，男孩打开和烤箱门，掏出一盘饼干。")</f>
        <v>然后，男孩打开和烤箱门，掏出一盘饼干。</v>
      </c>
    </row>
    <row r="22353">
      <c r="A22353" s="4" t="s">
        <v>28129</v>
      </c>
      <c r="B22353" s="4" t="s">
        <v>28132</v>
      </c>
      <c r="C22353" s="5" t="str">
        <f>IFERROR(__xludf.DUMMYFUNCTION("GOOGLETRANSLATE(B22353,""en"",""zh-CN"")"),"他用棍棒将架子向后推，并在波浪向相机上关闭烤箱。")</f>
        <v>他用棍棒将架子向后推，并在波浪向相机上关闭烤箱。</v>
      </c>
    </row>
    <row r="22354">
      <c r="A22354" s="4" t="s">
        <v>28133</v>
      </c>
      <c r="B22354" s="4" t="s">
        <v>28134</v>
      </c>
      <c r="C22354" s="5" t="str">
        <f>IFERROR(__xludf.DUMMYFUNCTION("GOOGLETRANSLATE(B22354,""en"",""zh-CN"")"),"一个穿着黄色衬衫的男人的手在头后面。")</f>
        <v>一个穿着黄色衬衫的男人的手在头后面。</v>
      </c>
    </row>
    <row r="22355">
      <c r="A22355" s="4" t="s">
        <v>28133</v>
      </c>
      <c r="B22355" s="4" t="s">
        <v>28135</v>
      </c>
      <c r="C22355" s="5" t="str">
        <f>IFERROR(__xludf.DUMMYFUNCTION("GOOGLETRANSLATE(B22355,""en"",""zh-CN"")"),"他正在沿着轨道奔跑并投掷标枪。")</f>
        <v>他正在沿着轨道奔跑并投掷标枪。</v>
      </c>
    </row>
    <row r="22356">
      <c r="A22356" s="4" t="s">
        <v>28133</v>
      </c>
      <c r="B22356" s="4" t="s">
        <v>28136</v>
      </c>
      <c r="C22356" s="5" t="str">
        <f>IFERROR(__xludf.DUMMYFUNCTION("GOOGLETRANSLATE(B22356,""en"",""zh-CN"")"),"他绊倒了。")</f>
        <v>他绊倒了。</v>
      </c>
    </row>
    <row r="22357">
      <c r="A22357" s="4" t="s">
        <v>28133</v>
      </c>
      <c r="B22357" s="4" t="s">
        <v>28137</v>
      </c>
      <c r="C22357" s="5" t="str">
        <f>IFERROR(__xludf.DUMMYFUNCTION("GOOGLETRANSLATE(B22357,""en"",""zh-CN"")"),"场上的镜头是许多人在上面行走。")</f>
        <v>场上的镜头是许多人在上面行走。</v>
      </c>
    </row>
    <row r="22358">
      <c r="A22358" s="4" t="s">
        <v>28138</v>
      </c>
      <c r="B22358" s="4" t="s">
        <v>28139</v>
      </c>
      <c r="C22358" s="5" t="str">
        <f>IFERROR(__xludf.DUMMYFUNCTION("GOOGLETRANSLATE(B22358,""en"",""zh-CN"")"),"体操运动员伸展并为例行准备。")</f>
        <v>体操运动员伸展并为例行准备。</v>
      </c>
    </row>
    <row r="22359">
      <c r="A22359" s="4" t="s">
        <v>28138</v>
      </c>
      <c r="B22359" s="4" t="s">
        <v>28140</v>
      </c>
      <c r="C22359" s="5" t="str">
        <f>IFERROR(__xludf.DUMMYFUNCTION("GOOGLETRANSLATE(B22359,""en"",""zh-CN"")"),"他们用衬衫做很多事情。")</f>
        <v>他们用衬衫做很多事情。</v>
      </c>
    </row>
    <row r="22360">
      <c r="A22360" s="4" t="s">
        <v>28141</v>
      </c>
      <c r="B22360" s="4" t="s">
        <v>28142</v>
      </c>
      <c r="C22360" s="5" t="str">
        <f>IFERROR(__xludf.DUMMYFUNCTION("GOOGLETRANSLATE(B22360,""en"",""zh-CN"")"),"看到两名摔跤手在一个戒指上看到一个摔跤手，一个摔跤手奔向另一个摔跤手。")</f>
        <v>看到两名摔跤手在一个戒指上看到一个摔跤手，一个摔跤手奔向另一个摔跤手。</v>
      </c>
    </row>
    <row r="22361">
      <c r="A22361" s="4" t="s">
        <v>28141</v>
      </c>
      <c r="B22361" s="4" t="s">
        <v>28143</v>
      </c>
      <c r="C22361" s="5" t="str">
        <f>IFERROR(__xludf.DUMMYFUNCTION("GOOGLETRANSLATE(B22361,""en"",""zh-CN"")"),"一名摔跤手抓住另一个摔跤手，将他翻转过肩膀，然后裁判击中侧面踢出。")</f>
        <v>一名摔跤手抓住另一个摔跤手，将他翻转过肩膀，然后裁判击中侧面踢出。</v>
      </c>
    </row>
    <row r="22362">
      <c r="A22362" s="4" t="s">
        <v>28144</v>
      </c>
      <c r="B22362" s="4" t="s">
        <v>28145</v>
      </c>
      <c r="C22362" s="5" t="str">
        <f>IFERROR(__xludf.DUMMYFUNCTION("GOOGLETRANSLATE(B22362,""en"",""zh-CN"")"),"一个女人坐在地板上的垫子上。")</f>
        <v>一个女人坐在地板上的垫子上。</v>
      </c>
    </row>
    <row r="22363">
      <c r="A22363" s="4" t="s">
        <v>28144</v>
      </c>
      <c r="B22363" s="4" t="s">
        <v>28146</v>
      </c>
      <c r="C22363" s="5" t="str">
        <f>IFERROR(__xludf.DUMMYFUNCTION("GOOGLETRANSLATE(B22363,""en"",""zh-CN"")"),"一个男人正在谈论如何使用弓箭。")</f>
        <v>一个男人正在谈论如何使用弓箭。</v>
      </c>
    </row>
    <row r="22364">
      <c r="A22364" s="4" t="s">
        <v>28144</v>
      </c>
      <c r="B22364" s="4" t="s">
        <v>28147</v>
      </c>
      <c r="C22364" s="5" t="str">
        <f>IFERROR(__xludf.DUMMYFUNCTION("GOOGLETRANSLATE(B22364,""en"",""zh-CN"")"),"她躺下，继续讲话时坐着坐着。")</f>
        <v>她躺下，继续讲话时坐着坐着。</v>
      </c>
    </row>
    <row r="22365">
      <c r="A22365" s="4" t="s">
        <v>28148</v>
      </c>
      <c r="B22365" s="4" t="s">
        <v>28149</v>
      </c>
      <c r="C22365" s="5" t="str">
        <f>IFERROR(__xludf.DUMMYFUNCTION("GOOGLETRANSLATE(B22365,""en"",""zh-CN"")"),"一台平板电视坐在看电视节目Raw的看台上。")</f>
        <v>一台平板电视坐在看电视节目Raw的看台上。</v>
      </c>
    </row>
    <row r="22366">
      <c r="A22366" s="4" t="s">
        <v>28148</v>
      </c>
      <c r="B22366" s="4" t="s">
        <v>28150</v>
      </c>
      <c r="C22366" s="5" t="str">
        <f>IFERROR(__xludf.DUMMYFUNCTION("GOOGLETRANSLATE(B22366,""en"",""zh-CN"")"),"在演出中，两个人在地面上摔跤。")</f>
        <v>在演出中，两个人在地面上摔跤。</v>
      </c>
    </row>
    <row r="22367">
      <c r="A22367" s="4" t="s">
        <v>28148</v>
      </c>
      <c r="B22367" s="4" t="s">
        <v>28151</v>
      </c>
      <c r="C22367" s="5" t="str">
        <f>IFERROR(__xludf.DUMMYFUNCTION("GOOGLETRANSLATE(B22367,""en"",""zh-CN"")"),"然后，胖子捡起那个瘦小的家伙，丢下他，站在他身上。")</f>
        <v>然后，胖子捡起那个瘦小的家伙，丢下他，站在他身上。</v>
      </c>
    </row>
    <row r="22368">
      <c r="A22368" s="4" t="s">
        <v>28152</v>
      </c>
      <c r="B22368" s="4" t="s">
        <v>28153</v>
      </c>
      <c r="C22368" s="5" t="str">
        <f>IFERROR(__xludf.DUMMYFUNCTION("GOOGLETRANSLATE(B22368,""en"",""zh-CN"")"),"一个人抱着一只狗被泡沫覆盖，在院子里拿着一瓶洗发水。")</f>
        <v>一个人抱着一只狗被泡沫覆盖，在院子里拿着一瓶洗发水。</v>
      </c>
    </row>
    <row r="22369">
      <c r="A22369" s="4" t="s">
        <v>28152</v>
      </c>
      <c r="B22369" s="4" t="s">
        <v>28154</v>
      </c>
      <c r="C22369" s="5" t="str">
        <f>IFERROR(__xludf.DUMMYFUNCTION("GOOGLETRANSLATE(B22369,""en"",""zh-CN"")"),"我们看到站在狗旁边的人，用洗发水洗了他。")</f>
        <v>我们看到站在狗旁边的人，用洗发水洗了他。</v>
      </c>
    </row>
    <row r="22370">
      <c r="A22370" s="4" t="s">
        <v>28152</v>
      </c>
      <c r="B22370" s="4" t="s">
        <v>28155</v>
      </c>
      <c r="C22370" s="5" t="str">
        <f>IFERROR(__xludf.DUMMYFUNCTION("GOOGLETRANSLATE(B22370,""en"",""zh-CN"")"),"一个人在狗面前挥舞着手。")</f>
        <v>一个人在狗面前挥舞着手。</v>
      </c>
    </row>
    <row r="22371">
      <c r="A22371" s="4" t="s">
        <v>28152</v>
      </c>
      <c r="B22371" s="4" t="s">
        <v>28156</v>
      </c>
      <c r="C22371" s="5" t="str">
        <f>IFERROR(__xludf.DUMMYFUNCTION("GOOGLETRANSLATE(B22371,""en"",""zh-CN"")"),"相机锅，我们看到另一只狗躺在地上。")</f>
        <v>相机锅，我们看到另一只狗躺在地上。</v>
      </c>
    </row>
    <row r="22372">
      <c r="A22372" s="4" t="s">
        <v>28157</v>
      </c>
      <c r="B22372" s="6" t="s">
        <v>28158</v>
      </c>
      <c r="C22372" s="5" t="str">
        <f>IFERROR(__xludf.DUMMYFUNCTION("GOOGLETRANSLATE(B22372,""en"",""zh-CN"")"),"白屏上有一个地球仪的图片和周围的横幅，上面饰有黄色单词，上面写着“ abada-capoeira”，随后是各种白色屏幕，每个屏幕上都有黑色写作。")</f>
        <v>白屏上有一个地球仪的图片和周围的横幅，上面饰有黄色单词，上面写着“ abada-capoeira”，随后是各种白色屏幕，每个屏幕上都有黑色写作。</v>
      </c>
    </row>
    <row r="22373">
      <c r="A22373" s="4" t="s">
        <v>28157</v>
      </c>
      <c r="B22373" s="6" t="s">
        <v>28159</v>
      </c>
      <c r="C22373" s="5" t="str">
        <f>IFERROR(__xludf.DUMMYFUNCTION("GOOGLETRANSLATE(B22373,""en"",""zh-CN"")"),"包括儿童和成人在内的人聚集在一个房间里，正在观看投影在大墙上的电影。")</f>
        <v>包括儿童和成人在内的人聚集在一个房间里，正在观看投影在大墙上的电影。</v>
      </c>
    </row>
    <row r="22374">
      <c r="A22374" s="4" t="s">
        <v>28157</v>
      </c>
      <c r="B22374" s="6" t="s">
        <v>28160</v>
      </c>
      <c r="C22374" s="5" t="str">
        <f>IFERROR(__xludf.DUMMYFUNCTION("GOOGLETRANSLATE(B22374,""en"",""zh-CN"")"),"现在有些人穿着白色，在地面上有蓝色垫子的房间里，包括成年人和孩子在内的各种不同的人都一起跳舞Capoeira风格，或者分别舞动，而有些人则在演奏乐器，有些人只是看他们。")</f>
        <v>现在有些人穿着白色，在地面上有蓝色垫子的房间里，包括成年人和孩子在内的各种不同的人都一起跳舞Capoeira风格，或者分别舞动，而有些人则在演奏乐器，有些人只是看他们。</v>
      </c>
    </row>
    <row r="22375">
      <c r="A22375" s="4" t="s">
        <v>28157</v>
      </c>
      <c r="B22375" s="6" t="s">
        <v>28161</v>
      </c>
      <c r="C22375" s="5" t="str">
        <f>IFERROR(__xludf.DUMMYFUNCTION("GOOGLETRANSLATE(B22375,""en"",""zh-CN"")"),"当他们完成跳舞时，很多孩子都会堆满成年男子，然后拍摄一张小组的照片。")</f>
        <v>当他们完成跳舞时，很多孩子都会堆满成年男子，然后拍摄一张小组的照片。</v>
      </c>
    </row>
    <row r="22376">
      <c r="A22376" s="4" t="s">
        <v>28157</v>
      </c>
      <c r="B22376" s="4" t="s">
        <v>28162</v>
      </c>
      <c r="C22376" s="5" t="str">
        <f>IFERROR(__xludf.DUMMYFUNCTION("GOOGLETRANSLATE(B22376,""en"",""zh-CN"")"),"出现了，这是全球，白色屏幕，每个屏幕上都有黑色单词，然后是徽标。")</f>
        <v>出现了，这是全球，白色屏幕，每个屏幕上都有黑色单词，然后是徽标。</v>
      </c>
    </row>
    <row r="22377">
      <c r="A22377" s="4" t="s">
        <v>28163</v>
      </c>
      <c r="B22377" s="4" t="s">
        <v>28164</v>
      </c>
      <c r="C22377" s="5" t="str">
        <f>IFERROR(__xludf.DUMMYFUNCTION("GOOGLETRANSLATE(B22377,""en"",""zh-CN"")"),"两个姐姐幼儿进入厨房，然后一个蹒跚学步的幼儿洗涤水槽中的菜肴。")</f>
        <v>两个姐姐幼儿进入厨房，然后一个蹒跚学步的幼儿洗涤水槽中的菜肴。</v>
      </c>
    </row>
    <row r="22378">
      <c r="A22378" s="4" t="s">
        <v>28163</v>
      </c>
      <c r="B22378" s="4" t="s">
        <v>28165</v>
      </c>
      <c r="C22378" s="5" t="str">
        <f>IFERROR(__xludf.DUMMYFUNCTION("GOOGLETRANSLATE(B22378,""en"",""zh-CN"")"),"母亲将碗碟放在水槽上并打开洗碗机。")</f>
        <v>母亲将碗碟放在水槽上并打开洗碗机。</v>
      </c>
    </row>
    <row r="22379">
      <c r="A22379" s="4" t="s">
        <v>28163</v>
      </c>
      <c r="B22379" s="6" t="s">
        <v>28166</v>
      </c>
      <c r="C22379" s="5" t="str">
        <f>IFERROR(__xludf.DUMMYFUNCTION("GOOGLETRANSLATE(B22379,""en"",""zh-CN"")"),"幼儿姐姐帮助洗碗机，然后爬上高椅子，并帮助洗碗，幼儿装载洗碗机。")</f>
        <v>幼儿姐姐帮助洗碗机，然后爬上高椅子，并帮助洗碗，幼儿装载洗碗机。</v>
      </c>
    </row>
    <row r="22380">
      <c r="A22380" s="4" t="s">
        <v>28163</v>
      </c>
      <c r="B22380" s="4" t="s">
        <v>28167</v>
      </c>
      <c r="C22380" s="5" t="str">
        <f>IFERROR(__xludf.DUMMYFUNCTION("GOOGLETRANSLATE(B22380,""en"",""zh-CN"")"),"母亲站在冰箱附近喝茶和发短信。")</f>
        <v>母亲站在冰箱附近喝茶和发短信。</v>
      </c>
    </row>
    <row r="22381">
      <c r="A22381" s="4" t="s">
        <v>28163</v>
      </c>
      <c r="B22381" s="4" t="s">
        <v>28168</v>
      </c>
      <c r="C22381" s="5" t="str">
        <f>IFERROR(__xludf.DUMMYFUNCTION("GOOGLETRANSLATE(B22381,""en"",""zh-CN"")"),"妹妹的孩子沿着椅子离开厨房。")</f>
        <v>妹妹的孩子沿着椅子离开厨房。</v>
      </c>
    </row>
    <row r="22382">
      <c r="A22382" s="4" t="s">
        <v>28163</v>
      </c>
      <c r="B22382" s="4" t="s">
        <v>28169</v>
      </c>
      <c r="C22382" s="5" t="str">
        <f>IFERROR(__xludf.DUMMYFUNCTION("GOOGLETRANSLATE(B22382,""en"",""zh-CN"")"),"然后，蹒跚学步的孩子沿着椅子下去，然后她靠近并打开洗碗机。")</f>
        <v>然后，蹒跚学步的孩子沿着椅子下去，然后她靠近并打开洗碗机。</v>
      </c>
    </row>
    <row r="22383">
      <c r="A22383" s="4" t="s">
        <v>28170</v>
      </c>
      <c r="B22383" s="4" t="s">
        <v>28171</v>
      </c>
      <c r="C22383" s="5" t="str">
        <f>IFERROR(__xludf.DUMMYFUNCTION("GOOGLETRANSLATE(B22383,""en"",""zh-CN"")"),"两棵树之间扎了一条绳子。")</f>
        <v>两棵树之间扎了一条绳子。</v>
      </c>
    </row>
    <row r="22384">
      <c r="A22384" s="4" t="s">
        <v>28170</v>
      </c>
      <c r="B22384" s="4" t="s">
        <v>28172</v>
      </c>
      <c r="C22384" s="5" t="str">
        <f>IFERROR(__xludf.DUMMYFUNCTION("GOOGLETRANSLATE(B22384,""en"",""zh-CN"")"),"一个男人在绳子上行走。")</f>
        <v>一个男人在绳子上行走。</v>
      </c>
    </row>
    <row r="22385">
      <c r="A22385" s="4" t="s">
        <v>28170</v>
      </c>
      <c r="B22385" s="4" t="s">
        <v>28173</v>
      </c>
      <c r="C22385" s="5" t="str">
        <f>IFERROR(__xludf.DUMMYFUNCTION("GOOGLETRANSLATE(B22385,""en"",""zh-CN"")"),"他从绳子上摔倒了几次。")</f>
        <v>他从绳子上摔倒了几次。</v>
      </c>
    </row>
    <row r="22386">
      <c r="A22386" s="4" t="s">
        <v>28170</v>
      </c>
      <c r="B22386" s="4" t="s">
        <v>28174</v>
      </c>
      <c r="C22386" s="5" t="str">
        <f>IFERROR(__xludf.DUMMYFUNCTION("GOOGLETRANSLATE(B22386,""en"",""zh-CN"")"),"最终，他能够平衡并来回走动。")</f>
        <v>最终，他能够平衡并来回走动。</v>
      </c>
    </row>
    <row r="22387">
      <c r="A22387" s="4" t="s">
        <v>28175</v>
      </c>
      <c r="B22387" s="4" t="s">
        <v>28176</v>
      </c>
      <c r="C22387" s="5" t="str">
        <f>IFERROR(__xludf.DUMMYFUNCTION("GOOGLETRANSLATE(B22387,""en"",""zh-CN"")"),"一个小男孩正在向董事会投掷飞镖。")</f>
        <v>一个小男孩正在向董事会投掷飞镖。</v>
      </c>
    </row>
    <row r="22388">
      <c r="A22388" s="4" t="s">
        <v>28175</v>
      </c>
      <c r="B22388" s="4" t="s">
        <v>28177</v>
      </c>
      <c r="C22388" s="5" t="str">
        <f>IFERROR(__xludf.DUMMYFUNCTION("GOOGLETRANSLATE(B22388,""en"",""zh-CN"")"),"他走到目标，看着飞镖击中的地方。")</f>
        <v>他走到目标，看着飞镖击中的地方。</v>
      </c>
    </row>
    <row r="22389">
      <c r="A22389" s="4" t="s">
        <v>28178</v>
      </c>
      <c r="B22389" s="6" t="s">
        <v>28179</v>
      </c>
      <c r="C22389" s="5" t="str">
        <f>IFERROR(__xludf.DUMMYFUNCTION("GOOGLETRANSLATE(B22389,""en"",""zh-CN"")"),"一个女孩站在一个房间里，从背包里取出几只箭，用箭头释放它们。")</f>
        <v>一个女孩站在一个房间里，从背包里取出几只箭，用箭头释放它们。</v>
      </c>
    </row>
    <row r="22390">
      <c r="A22390" s="4" t="s">
        <v>28178</v>
      </c>
      <c r="B22390" s="4" t="s">
        <v>28180</v>
      </c>
      <c r="C22390" s="5" t="str">
        <f>IFERROR(__xludf.DUMMYFUNCTION("GOOGLETRANSLATE(B22390,""en"",""zh-CN"")"),"然后，她绕着健身房移动，深吸一口气并继续前进。")</f>
        <v>然后，她绕着健身房移动，深吸一口气并继续前进。</v>
      </c>
    </row>
    <row r="22391">
      <c r="A22391" s="4" t="s">
        <v>28178</v>
      </c>
      <c r="B22391" s="6" t="s">
        <v>28181</v>
      </c>
      <c r="C22391" s="5" t="str">
        <f>IFERROR(__xludf.DUMMYFUNCTION("GOOGLETRANSLATE(B22391,""en"",""zh-CN"")"),"她再次移动后，从墙壁上挂着两张地毯，她继续瞄准目标，直到所有弓都消失了。")</f>
        <v>她再次移动后，从墙壁上挂着两张地毯，她继续瞄准目标，直到所有弓都消失了。</v>
      </c>
    </row>
    <row r="22392">
      <c r="A22392" s="4" t="s">
        <v>28182</v>
      </c>
      <c r="B22392" s="4" t="s">
        <v>28183</v>
      </c>
      <c r="C22392" s="5" t="str">
        <f>IFERROR(__xludf.DUMMYFUNCTION("GOOGLETRANSLATE(B22392,""en"",""zh-CN"")"),"一个女孩走到垫子上，向法官鞠躬。")</f>
        <v>一个女孩走到垫子上，向法官鞠躬。</v>
      </c>
    </row>
    <row r="22393">
      <c r="A22393" s="4" t="s">
        <v>28182</v>
      </c>
      <c r="B22393" s="4" t="s">
        <v>28184</v>
      </c>
      <c r="C22393" s="5" t="str">
        <f>IFERROR(__xludf.DUMMYFUNCTION("GOOGLETRANSLATE(B22393,""en"",""zh-CN"")"),"她使用大型木棍进行了几项武术动作。")</f>
        <v>她使用大型木棍进行了几项武术动作。</v>
      </c>
    </row>
    <row r="22394">
      <c r="A22394" s="4" t="s">
        <v>28182</v>
      </c>
      <c r="B22394" s="4" t="s">
        <v>28185</v>
      </c>
      <c r="C22394" s="5" t="str">
        <f>IFERROR(__xludf.DUMMYFUNCTION("GOOGLETRANSLATE(B22394,""en"",""zh-CN"")"),"当她完成后，一个男人吹口哨。")</f>
        <v>当她完成后，一个男人吹口哨。</v>
      </c>
    </row>
    <row r="22395">
      <c r="A22395" s="4" t="s">
        <v>28186</v>
      </c>
      <c r="B22395" s="6" t="s">
        <v>28187</v>
      </c>
      <c r="C22395" s="5" t="str">
        <f>IFERROR(__xludf.DUMMYFUNCTION("GOOGLETRANSLATE(B22395,""en"",""zh-CN"")"),"一个女人正在与拿着真空的摄像机交谈，然后以快速的速度使她的地板上的真空吸尘器。")</f>
        <v>一个女人正在与拿着真空的摄像机交谈，然后以快速的速度使她的地板上的真空吸尘器。</v>
      </c>
    </row>
    <row r="22396">
      <c r="A22396" s="4" t="s">
        <v>28186</v>
      </c>
      <c r="B22396" s="6" t="s">
        <v>28188</v>
      </c>
      <c r="C22396" s="5" t="str">
        <f>IFERROR(__xludf.DUMMYFUNCTION("GOOGLETRANSLATE(B22396,""en"",""zh-CN"")"),"她在整个地区都在与镜头交谈，并最终过渡到真空吸尘器。")</f>
        <v>她在整个地区都在与镜头交谈，并最终过渡到真空吸尘器。</v>
      </c>
    </row>
    <row r="22397">
      <c r="A22397" s="4" t="s">
        <v>28189</v>
      </c>
      <c r="B22397" s="4" t="s">
        <v>28190</v>
      </c>
      <c r="C22397" s="5" t="str">
        <f>IFERROR(__xludf.DUMMYFUNCTION("GOOGLETRANSLATE(B22397,""en"",""zh-CN"")"),"有些人在地下室里玩飞镖，墙上挂着两个飞镖板。")</f>
        <v>有些人在地下室里玩飞镖，墙上挂着两个飞镖板。</v>
      </c>
    </row>
    <row r="22398">
      <c r="A22398" s="4" t="s">
        <v>28189</v>
      </c>
      <c r="B22398" s="6" t="s">
        <v>28191</v>
      </c>
      <c r="C22398" s="5" t="str">
        <f>IFERROR(__xludf.DUMMYFUNCTION("GOOGLETRANSLATE(B22398,""en"",""zh-CN"")"),"一名穿着绿色衬衫的男人用飞镖瞄准了飞镖板，以一张木板的目光投向了公牛。")</f>
        <v>一名穿着绿色衬衫的男人用飞镖瞄准了飞镖板，以一张木板的目光投向了公牛。</v>
      </c>
    </row>
    <row r="22399">
      <c r="A22399" s="4" t="s">
        <v>28189</v>
      </c>
      <c r="B22399" s="4" t="s">
        <v>28192</v>
      </c>
      <c r="C22399" s="5" t="str">
        <f>IFERROR(__xludf.DUMMYFUNCTION("GOOGLETRANSLATE(B22399,""en"",""zh-CN"")"),"另一个人还击中了另一个飞镖板上的飞镖。")</f>
        <v>另一个人还击中了另一个飞镖板上的飞镖。</v>
      </c>
    </row>
    <row r="22400">
      <c r="A22400" s="4" t="s">
        <v>28189</v>
      </c>
      <c r="B22400" s="4" t="s">
        <v>28193</v>
      </c>
      <c r="C22400" s="5" t="str">
        <f>IFERROR(__xludf.DUMMYFUNCTION("GOOGLETRANSLATE(B22400,""en"",""zh-CN"")"),"绿色的那个人射击了另一支飞镖，然后将其从飞镖板上取出。")</f>
        <v>绿色的那个人射击了另一支飞镖，然后将其从飞镖板上取出。</v>
      </c>
    </row>
    <row r="22401">
      <c r="A22401" s="4" t="s">
        <v>28194</v>
      </c>
      <c r="B22401" s="4" t="s">
        <v>28195</v>
      </c>
      <c r="C22401" s="5" t="str">
        <f>IFERROR(__xludf.DUMMYFUNCTION("GOOGLETRANSLATE(B22401,""en"",""zh-CN"")"),"一群人聚集在一个房间里。")</f>
        <v>一群人聚集在一个房间里。</v>
      </c>
    </row>
    <row r="22402">
      <c r="A22402" s="4" t="s">
        <v>28194</v>
      </c>
      <c r="B22402" s="4" t="s">
        <v>28196</v>
      </c>
      <c r="C22402" s="5" t="str">
        <f>IFERROR(__xludf.DUMMYFUNCTION("GOOGLETRANSLATE(B22402,""en"",""zh-CN"")"),"他们正在一起向前走。")</f>
        <v>他们正在一起向前走。</v>
      </c>
    </row>
    <row r="22403">
      <c r="A22403" s="4" t="s">
        <v>28194</v>
      </c>
      <c r="B22403" s="4" t="s">
        <v>28197</v>
      </c>
      <c r="C22403" s="5" t="str">
        <f>IFERROR(__xludf.DUMMYFUNCTION("GOOGLETRANSLATE(B22403,""en"",""zh-CN"")"),"他们正在作为有氧运动的一种形式跳舞。")</f>
        <v>他们正在作为有氧运动的一种形式跳舞。</v>
      </c>
    </row>
    <row r="22404">
      <c r="A22404" s="4" t="s">
        <v>28198</v>
      </c>
      <c r="B22404" s="6" t="s">
        <v>28199</v>
      </c>
      <c r="C22404" s="5" t="str">
        <f>IFERROR(__xludf.DUMMYFUNCTION("GOOGLETRANSLATE(B22404,""en"",""zh-CN"")"),"显示了几枪，向马展示了一匹马，一匹马将一匹马与杆子联系起来，并在剃须刀上7。")</f>
        <v>显示了几枪，向马展示了一匹马，一匹马将一匹马与杆子联系起来，并在剃须刀上7。</v>
      </c>
    </row>
    <row r="22405">
      <c r="A22405" s="4" t="s">
        <v>28198</v>
      </c>
      <c r="B22405" s="6" t="s">
        <v>28200</v>
      </c>
      <c r="C22405" s="5" t="str">
        <f>IFERROR(__xludf.DUMMYFUNCTION("GOOGLETRANSLATE(B22405,""en"",""zh-CN"")"),"然后，该名女子砍下马匹鬃毛，擦了擦镜头时，摩托了马匹。")</f>
        <v>然后，该名女子砍下马匹鬃毛，擦了擦镜头时，摩托了马匹。</v>
      </c>
    </row>
    <row r="22406">
      <c r="A22406" s="4" t="s">
        <v>28198</v>
      </c>
      <c r="B22406" s="4" t="s">
        <v>28201</v>
      </c>
      <c r="C22406" s="5" t="str">
        <f>IFERROR(__xludf.DUMMYFUNCTION("GOOGLETRANSLATE(B22406,""en"",""zh-CN"")"),"女人通过与镜头说话来解开马匹并结束。")</f>
        <v>女人通过与镜头说话来解开马匹并结束。</v>
      </c>
    </row>
    <row r="22407">
      <c r="A22407" s="4" t="s">
        <v>28202</v>
      </c>
      <c r="B22407" s="6" t="s">
        <v>28203</v>
      </c>
      <c r="C22407" s="5" t="str">
        <f>IFERROR(__xludf.DUMMYFUNCTION("GOOGLETRANSLATE(B22407,""en"",""zh-CN"")"),"森林和岩石之间的户外展示了一小块水，并正在产生小波浪。")</f>
        <v>森林和岩石之间的户外展示了一小块水，并正在产生小波浪。</v>
      </c>
    </row>
    <row r="22408">
      <c r="A22408" s="4" t="s">
        <v>28202</v>
      </c>
      <c r="B22408" s="4" t="s">
        <v>28204</v>
      </c>
      <c r="C22408" s="5" t="str">
        <f>IFERROR(__xludf.DUMMYFUNCTION("GOOGLETRANSLATE(B22408,""en"",""zh-CN"")"),"一个人突然下来划皮艇。")</f>
        <v>一个人突然下来划皮艇。</v>
      </c>
    </row>
    <row r="22409">
      <c r="A22409" s="4" t="s">
        <v>28202</v>
      </c>
      <c r="B22409" s="6" t="s">
        <v>28205</v>
      </c>
      <c r="C22409" s="5" t="str">
        <f>IFERROR(__xludf.DUMMYFUNCTION("GOOGLETRANSLATE(B22409,""en"",""zh-CN"")"),"一旦他到达底部，皮划艇运动就会转动，海浪继续向上洗净岩石。")</f>
        <v>一旦他到达底部，皮划艇运动就会转动，海浪继续向上洗净岩石。</v>
      </c>
    </row>
    <row r="22410">
      <c r="A22410" s="4" t="s">
        <v>28206</v>
      </c>
      <c r="B22410" s="4" t="s">
        <v>28207</v>
      </c>
      <c r="C22410" s="5" t="str">
        <f>IFERROR(__xludf.DUMMYFUNCTION("GOOGLETRANSLATE(B22410,""en"",""zh-CN"")"),"可以看到一个没有玩家的桌子足球场，它是由乐高型块构建的。")</f>
        <v>可以看到一个没有玩家的桌子足球场，它是由乐高型块构建的。</v>
      </c>
    </row>
    <row r="22411">
      <c r="A22411" s="4" t="s">
        <v>28206</v>
      </c>
      <c r="B22411" s="4" t="s">
        <v>28208</v>
      </c>
      <c r="C22411" s="5" t="str">
        <f>IFERROR(__xludf.DUMMYFUNCTION("GOOGLETRANSLATE(B22411,""en"",""zh-CN"")"),"从围栏中分配球。")</f>
        <v>从围栏中分配球。</v>
      </c>
    </row>
    <row r="22412">
      <c r="A22412" s="4" t="s">
        <v>28206</v>
      </c>
      <c r="B22412" s="4" t="s">
        <v>28209</v>
      </c>
      <c r="C22412" s="5" t="str">
        <f>IFERROR(__xludf.DUMMYFUNCTION("GOOGLETRANSLATE(B22412,""en"",""zh-CN"")"),"两个男孩打桌足球。")</f>
        <v>两个男孩打桌足球。</v>
      </c>
    </row>
    <row r="22413">
      <c r="A22413" s="4" t="s">
        <v>28206</v>
      </c>
      <c r="B22413" s="4" t="s">
        <v>28210</v>
      </c>
      <c r="C22413" s="5" t="str">
        <f>IFERROR(__xludf.DUMMYFUNCTION("GOOGLETRANSLATE(B22413,""en"",""zh-CN"")"),"一个博伊得分，球从插槽中取回。")</f>
        <v>一个博伊得分，球从插槽中取回。</v>
      </c>
    </row>
    <row r="22414">
      <c r="A22414" s="4" t="s">
        <v>28206</v>
      </c>
      <c r="B22414" s="4" t="s">
        <v>28211</v>
      </c>
      <c r="C22414" s="5" t="str">
        <f>IFERROR(__xludf.DUMMYFUNCTION("GOOGLETRANSLATE(B22414,""en"",""zh-CN"")"),"一个球掉下了正方形的斜槽。")</f>
        <v>一个球掉下了正方形的斜槽。</v>
      </c>
    </row>
    <row r="22415">
      <c r="A22415" s="4" t="s">
        <v>28212</v>
      </c>
      <c r="B22415" s="4" t="s">
        <v>28213</v>
      </c>
      <c r="C22415" s="5" t="str">
        <f>IFERROR(__xludf.DUMMYFUNCTION("GOOGLETRANSLATE(B22415,""en"",""zh-CN"")"),"一个穿着红色的女人正在练习跳入沙滩，她跑了一点，再次跳入沙滩。")</f>
        <v>一个穿着红色的女人正在练习跳入沙滩，她跑了一点，再次跳入沙滩。</v>
      </c>
    </row>
    <row r="22416">
      <c r="A22416" s="4" t="s">
        <v>28212</v>
      </c>
      <c r="B22416" s="4" t="s">
        <v>28214</v>
      </c>
      <c r="C22416" s="5" t="str">
        <f>IFERROR(__xludf.DUMMYFUNCTION("GOOGLETRANSLATE(B22416,""en"",""zh-CN"")"),"然后，她开始从更远的背部尝试，冲刺并跳入沙子。")</f>
        <v>然后，她开始从更远的背部尝试，冲刺并跳入沙子。</v>
      </c>
    </row>
    <row r="22417">
      <c r="A22417" s="4" t="s">
        <v>28212</v>
      </c>
      <c r="B22417" s="4" t="s">
        <v>28215</v>
      </c>
      <c r="C22417" s="5" t="str">
        <f>IFERROR(__xludf.DUMMYFUNCTION("GOOGLETRANSLATE(B22417,""en"",""zh-CN"")"),"接下来，她开始跳过小摊子，然后另一个男人加入与她一起练习。")</f>
        <v>接下来，她开始跳过小摊子，然后另一个男人加入与她一起练习。</v>
      </c>
    </row>
    <row r="22418">
      <c r="A22418" s="4" t="s">
        <v>28212</v>
      </c>
      <c r="B22418" s="4" t="s">
        <v>28216</v>
      </c>
      <c r="C22418" s="5" t="str">
        <f>IFERROR(__xludf.DUMMYFUNCTION("GOOGLETRANSLATE(B22418,""en"",""zh-CN"")"),"然后，实际的比赛开始了，每个人都在竞赛。")</f>
        <v>然后，实际的比赛开始了，每个人都在竞赛。</v>
      </c>
    </row>
    <row r="22419">
      <c r="A22419" s="4" t="s">
        <v>28217</v>
      </c>
      <c r="B22419" s="4" t="s">
        <v>27016</v>
      </c>
      <c r="C22419" s="5" t="str">
        <f>IFERROR(__xludf.DUMMYFUNCTION("GOOGLETRANSLATE(B22419,""en"",""zh-CN"")"),"人们在狂欢节中骑车车。")</f>
        <v>人们在狂欢节中骑车车。</v>
      </c>
    </row>
    <row r="22420">
      <c r="A22420" s="4" t="s">
        <v>28217</v>
      </c>
      <c r="B22420" s="4" t="s">
        <v>28218</v>
      </c>
      <c r="C22420" s="5" t="str">
        <f>IFERROR(__xludf.DUMMYFUNCTION("GOOGLETRANSLATE(B22420,""en"",""zh-CN"")"),"一个穿着红杯的青少年被其他汽车击中。")</f>
        <v>一个穿着红杯的青少年被其他汽车击中。</v>
      </c>
    </row>
    <row r="22421">
      <c r="A22421" s="4" t="s">
        <v>28217</v>
      </c>
      <c r="B22421" s="4" t="s">
        <v>28219</v>
      </c>
      <c r="C22421" s="5" t="str">
        <f>IFERROR(__xludf.DUMMYFUNCTION("GOOGLETRANSLATE(B22421,""en"",""zh-CN"")"),"人们四处旋转，然后继续骑行和撞击。")</f>
        <v>人们四处旋转，然后继续骑行和撞击。</v>
      </c>
    </row>
    <row r="22422">
      <c r="A22422" s="4" t="s">
        <v>28217</v>
      </c>
      <c r="B22422" s="4" t="s">
        <v>28220</v>
      </c>
      <c r="C22422" s="5" t="str">
        <f>IFERROR(__xludf.DUMMYFUNCTION("GOOGLETRANSLATE(B22422,""en"",""zh-CN"")"),"然后，人们旋转而不会击中，然后继续骑车和撞车。")</f>
        <v>然后，人们旋转而不会击中，然后继续骑车和撞车。</v>
      </c>
    </row>
    <row r="22423">
      <c r="A22423" s="4" t="s">
        <v>28217</v>
      </c>
      <c r="B22423" s="4" t="s">
        <v>28221</v>
      </c>
      <c r="C22423" s="5" t="str">
        <f>IFERROR(__xludf.DUMMYFUNCTION("GOOGLETRANSLATE(B22423,""en"",""zh-CN"")"),"一名穿着白衬衫的男孩周围旋转并被几辆汽车击中。")</f>
        <v>一名穿着白衬衫的男孩周围旋转并被几辆汽车击中。</v>
      </c>
    </row>
    <row r="22424">
      <c r="A22424" s="4" t="s">
        <v>28222</v>
      </c>
      <c r="B22424" s="4" t="s">
        <v>22365</v>
      </c>
      <c r="C22424" s="5" t="str">
        <f>IFERROR(__xludf.DUMMYFUNCTION("GOOGLETRANSLATE(B22424,""en"",""zh-CN"")"),"介绍出现在屏幕上，以获取有关如何滑雪的视频。")</f>
        <v>介绍出现在屏幕上，以获取有关如何滑雪的视频。</v>
      </c>
    </row>
    <row r="22425">
      <c r="A22425" s="4" t="s">
        <v>28222</v>
      </c>
      <c r="B22425" s="6" t="s">
        <v>28223</v>
      </c>
      <c r="C22425" s="5" t="str">
        <f>IFERROR(__xludf.DUMMYFUNCTION("GOOGLETRANSLATE(B22425,""en"",""zh-CN"")"),"一个人向视频展示了他将要涵盖的主题以及滑雪所需的设备。")</f>
        <v>一个人向视频展示了他将要涵盖的主题以及滑雪所需的设备。</v>
      </c>
    </row>
    <row r="22426">
      <c r="A22426" s="4" t="s">
        <v>28222</v>
      </c>
      <c r="B22426" s="6" t="s">
        <v>28224</v>
      </c>
      <c r="C22426" s="5" t="str">
        <f>IFERROR(__xludf.DUMMYFUNCTION("GOOGLETRANSLATE(B22426,""en"",""zh-CN"")"),"在整个视频中，显示了几个人，展示了滑雪课的一些关键概念。")</f>
        <v>在整个视频中，显示了几个人，展示了滑雪课的一些关键概念。</v>
      </c>
    </row>
    <row r="22427">
      <c r="A22427" s="4" t="s">
        <v>28222</v>
      </c>
      <c r="B22427" s="4" t="s">
        <v>28225</v>
      </c>
      <c r="C22427" s="5" t="str">
        <f>IFERROR(__xludf.DUMMYFUNCTION("GOOGLETRANSLATE(B22427,""en"",""zh-CN"")"),"视频以该细分市场的结束学分结束。")</f>
        <v>视频以该细分市场的结束学分结束。</v>
      </c>
    </row>
    <row r="22428">
      <c r="A22428" s="4" t="s">
        <v>28226</v>
      </c>
      <c r="B22428" s="4" t="s">
        <v>28227</v>
      </c>
      <c r="C22428" s="5" t="str">
        <f>IFERROR(__xludf.DUMMYFUNCTION("GOOGLETRANSLATE(B22428,""en"",""zh-CN"")"),"看到一个女人在舞台上举着姿势，并导致另一个男人在舞台上行走。")</f>
        <v>看到一个女人在舞台上举着姿势，并导致另一个男人在舞台上行走。</v>
      </c>
    </row>
    <row r="22429">
      <c r="A22429" s="4" t="s">
        <v>28226</v>
      </c>
      <c r="B22429" s="6" t="s">
        <v>28228</v>
      </c>
      <c r="C22429" s="5" t="str">
        <f>IFERROR(__xludf.DUMMYFUNCTION("GOOGLETRANSLATE(B22429,""en"",""zh-CN"")"),"然后，男人和女人互相看着舞台，在舞台上一起表演舞蹈。")</f>
        <v>然后，男人和女人互相看着舞台，在舞台上一起表演舞蹈。</v>
      </c>
    </row>
    <row r="22430">
      <c r="A22430" s="4" t="s">
        <v>28226</v>
      </c>
      <c r="B22430" s="4" t="s">
        <v>28229</v>
      </c>
      <c r="C22430" s="5" t="str">
        <f>IFERROR(__xludf.DUMMYFUNCTION("GOOGLETRANSLATE(B22430,""en"",""zh-CN"")"),"两人继续跳舞并以弓和观众的欢迎结束。")</f>
        <v>两人继续跳舞并以弓和观众的欢迎结束。</v>
      </c>
    </row>
    <row r="22431">
      <c r="A22431" s="4" t="s">
        <v>28230</v>
      </c>
      <c r="B22431" s="4" t="s">
        <v>28231</v>
      </c>
      <c r="C22431" s="5" t="str">
        <f>IFERROR(__xludf.DUMMYFUNCTION("GOOGLETRANSLATE(B22431,""en"",""zh-CN"")"),"看到了飞镖板的特写，可导致飞镖出现。")</f>
        <v>看到了飞镖板的特写，可导致飞镖出现。</v>
      </c>
    </row>
    <row r="22432">
      <c r="A22432" s="4" t="s">
        <v>28230</v>
      </c>
      <c r="B22432" s="4" t="s">
        <v>28232</v>
      </c>
      <c r="C22432" s="5" t="str">
        <f>IFERROR(__xludf.DUMMYFUNCTION("GOOGLETRANSLATE(B22432,""en"",""zh-CN"")"),"一个人的手摘下飞镖，显示更多飞镖击中了董事会。")</f>
        <v>一个人的手摘下飞镖，显示更多飞镖击中了董事会。</v>
      </c>
    </row>
    <row r="22433">
      <c r="A22433" s="4" t="s">
        <v>28230</v>
      </c>
      <c r="B22433" s="4" t="s">
        <v>28233</v>
      </c>
      <c r="C22433" s="5" t="str">
        <f>IFERROR(__xludf.DUMMYFUNCTION("GOOGLETRANSLATE(B22433,""en"",""zh-CN"")"),"当相机捕获其动作时，这发生了几次。")</f>
        <v>当相机捕获其动作时，这发生了几次。</v>
      </c>
    </row>
    <row r="22434">
      <c r="A22434" s="4" t="s">
        <v>28234</v>
      </c>
      <c r="B22434" s="4" t="s">
        <v>28235</v>
      </c>
      <c r="C22434" s="5" t="str">
        <f>IFERROR(__xludf.DUMMYFUNCTION("GOOGLETRANSLATE(B22434,""en"",""zh-CN"")"),"有两个男人在一个客厅里和两个小男孩一起打foos ball。")</f>
        <v>有两个男人在一个客厅里和两个小男孩一起打foos ball。</v>
      </c>
    </row>
    <row r="22435">
      <c r="A22435" s="4" t="s">
        <v>28234</v>
      </c>
      <c r="B22435" s="4" t="s">
        <v>28236</v>
      </c>
      <c r="C22435" s="5" t="str">
        <f>IFERROR(__xludf.DUMMYFUNCTION("GOOGLETRANSLATE(B22435,""en"",""zh-CN"")"),"他们身后有一棵大装饰的圣诞树。")</f>
        <v>他们身后有一棵大装饰的圣诞树。</v>
      </c>
    </row>
    <row r="22436">
      <c r="A22436" s="4" t="s">
        <v>28234</v>
      </c>
      <c r="B22436" s="4" t="s">
        <v>28237</v>
      </c>
      <c r="C22436" s="5" t="str">
        <f>IFERROR(__xludf.DUMMYFUNCTION("GOOGLETRANSLATE(B22436,""en"",""zh-CN"")"),"有一个女人和一个小女孩坐在客厅里。")</f>
        <v>有一个女人和一个小女孩坐在客厅里。</v>
      </c>
    </row>
    <row r="22437">
      <c r="A22437" s="4" t="s">
        <v>28234</v>
      </c>
      <c r="B22437" s="4" t="s">
        <v>28238</v>
      </c>
      <c r="C22437" s="5" t="str">
        <f>IFERROR(__xludf.DUMMYFUNCTION("GOOGLETRANSLATE(B22437,""en"",""zh-CN"")"),"男孩们和男人一起打foos ball。")</f>
        <v>男孩们和男人一起打foos ball。</v>
      </c>
    </row>
    <row r="22438">
      <c r="A22438" s="4" t="s">
        <v>28234</v>
      </c>
      <c r="B22438" s="4" t="s">
        <v>28239</v>
      </c>
      <c r="C22438" s="5" t="str">
        <f>IFERROR(__xludf.DUMMYFUNCTION("GOOGLETRANSLATE(B22438,""en"",""zh-CN"")"),"他们在继续演奏时笑着享受自己。")</f>
        <v>他们在继续演奏时笑着享受自己。</v>
      </c>
    </row>
    <row r="22439">
      <c r="A22439" s="4" t="s">
        <v>28240</v>
      </c>
      <c r="B22439" s="4" t="s">
        <v>28241</v>
      </c>
      <c r="C22439" s="5" t="str">
        <f>IFERROR(__xludf.DUMMYFUNCTION("GOOGLETRANSLATE(B22439,""en"",""zh-CN"")"),"看到一个大型竞技场，一个人奔跑并指向相机。")</f>
        <v>看到一个大型竞技场，一个人奔跑并指向相机。</v>
      </c>
    </row>
    <row r="22440">
      <c r="A22440" s="4" t="s">
        <v>28240</v>
      </c>
      <c r="B22440" s="4" t="s">
        <v>28242</v>
      </c>
      <c r="C22440" s="5" t="str">
        <f>IFERROR(__xludf.DUMMYFUNCTION("GOOGLETRANSLATE(B22440,""en"",""zh-CN"")"),"显示了运动员踢足球并引导他站立的几张照片。")</f>
        <v>显示了运动员踢足球并引导他站立的几张照片。</v>
      </c>
    </row>
    <row r="22441">
      <c r="A22441" s="4" t="s">
        <v>28240</v>
      </c>
      <c r="B22441" s="4" t="s">
        <v>28243</v>
      </c>
      <c r="C22441" s="5" t="str">
        <f>IFERROR(__xludf.DUMMYFUNCTION("GOOGLETRANSLATE(B22441,""en"",""zh-CN"")"),"然后，该男子沿着田野跑，跳跃进入沙坑，然后再次显示他的跳跃。")</f>
        <v>然后，该男子沿着田野跑，跳跃进入沙坑，然后再次显示他的跳跃。</v>
      </c>
    </row>
    <row r="22442">
      <c r="A22442" s="4" t="s">
        <v>28244</v>
      </c>
      <c r="B22442" s="6" t="s">
        <v>28245</v>
      </c>
      <c r="C22442" s="5" t="str">
        <f>IFERROR(__xludf.DUMMYFUNCTION("GOOGLETRANSLATE(B22442,""en"",""zh-CN"")"),"当相机放大时，看到一个男人手里拿着一把锋利的刀，男人指着两个盒子。")</f>
        <v>当相机放大时，看到一个男人手里拿着一把锋利的刀，男人指着两个盒子。</v>
      </c>
    </row>
    <row r="22443">
      <c r="A22443" s="4" t="s">
        <v>28244</v>
      </c>
      <c r="B22443" s="4" t="s">
        <v>28246</v>
      </c>
      <c r="C22443" s="5" t="str">
        <f>IFERROR(__xludf.DUMMYFUNCTION("GOOGLETRANSLATE(B22443,""en"",""zh-CN"")"),"然后，他沿着盒子滑动刀，并向相机炫耀锋利的刀。")</f>
        <v>然后，他沿着盒子滑动刀，并向相机炫耀锋利的刀。</v>
      </c>
    </row>
    <row r="22444">
      <c r="A22444" s="4" t="s">
        <v>28244</v>
      </c>
      <c r="B22444" s="4" t="s">
        <v>28247</v>
      </c>
      <c r="C22444" s="5" t="str">
        <f>IFERROR(__xludf.DUMMYFUNCTION("GOOGLETRANSLATE(B22444,""en"",""zh-CN"")"),"他结束时拿着刀，对镜头微笑。")</f>
        <v>他结束时拿着刀，对镜头微笑。</v>
      </c>
    </row>
    <row r="22445">
      <c r="A22445" s="4" t="s">
        <v>28248</v>
      </c>
      <c r="B22445" s="4" t="s">
        <v>28249</v>
      </c>
      <c r="C22445" s="5" t="str">
        <f>IFERROR(__xludf.DUMMYFUNCTION("GOOGLETRANSLATE(B22445,""en"",""zh-CN"")"),"看到一个男人看着远处，并导致他对镜头说话。")</f>
        <v>看到一个男人看着远处，并导致他对镜头说话。</v>
      </c>
    </row>
    <row r="22446">
      <c r="A22446" s="4" t="s">
        <v>28248</v>
      </c>
      <c r="B22446" s="4" t="s">
        <v>28250</v>
      </c>
      <c r="C22446" s="5" t="str">
        <f>IFERROR(__xludf.DUMMYFUNCTION("GOOGLETRANSLATE(B22446,""en"",""zh-CN"")"),"该男子继续与相机说话，然后走在一组鼓后面。")</f>
        <v>该男子继续与相机说话，然后走在一组鼓后面。</v>
      </c>
    </row>
    <row r="22447">
      <c r="A22447" s="4" t="s">
        <v>28248</v>
      </c>
      <c r="B22447" s="4" t="s">
        <v>28251</v>
      </c>
      <c r="C22447" s="5" t="str">
        <f>IFERROR(__xludf.DUMMYFUNCTION("GOOGLETRANSLATE(B22447,""en"",""zh-CN"")"),"该男子连续演奏鼓，并通过与摄像机说话结束。")</f>
        <v>该男子连续演奏鼓，并通过与摄像机说话结束。</v>
      </c>
    </row>
    <row r="22448">
      <c r="A22448" s="4" t="s">
        <v>28252</v>
      </c>
      <c r="B22448" s="4" t="s">
        <v>28253</v>
      </c>
      <c r="C22448" s="5" t="str">
        <f>IFERROR(__xludf.DUMMYFUNCTION("GOOGLETRANSLATE(B22448,""en"",""zh-CN"")"),"一个年轻的女孩在旋转中向后摇摆，四分之一，然后微笑于相机。")</f>
        <v>一个年轻的女孩在旋转中向后摇摆，四分之一，然后微笑于相机。</v>
      </c>
    </row>
    <row r="22449">
      <c r="A22449" s="4" t="s">
        <v>28252</v>
      </c>
      <c r="B22449" s="4" t="s">
        <v>28254</v>
      </c>
      <c r="C22449" s="5" t="str">
        <f>IFERROR(__xludf.DUMMYFUNCTION("GOOGLETRANSLATE(B22449,""en"",""zh-CN"")"),"当相机捕捉到镜头大喊大叫时，她继续回去和第四。")</f>
        <v>当相机捕捉到镜头大喊大叫时，她继续回去和第四。</v>
      </c>
    </row>
    <row r="22450">
      <c r="A22450" s="4" t="s">
        <v>28255</v>
      </c>
      <c r="B22450" s="4" t="s">
        <v>28256</v>
      </c>
      <c r="C22450" s="5" t="str">
        <f>IFERROR(__xludf.DUMMYFUNCTION("GOOGLETRANSLATE(B22450,""en"",""zh-CN"")"),"一个人切成薄片和大蒜，切碎欧芹。")</f>
        <v>一个人切成薄片和大蒜，切碎欧芹。</v>
      </c>
    </row>
    <row r="22451">
      <c r="A22451" s="4" t="s">
        <v>28255</v>
      </c>
      <c r="B22451" s="4" t="s">
        <v>28257</v>
      </c>
      <c r="C22451" s="5" t="str">
        <f>IFERROR(__xludf.DUMMYFUNCTION("GOOGLETRANSLATE(B22451,""en"",""zh-CN"")"),"然后，该人将大蒜在锅中的热油中添加。")</f>
        <v>然后，该人将大蒜在锅中的热油中添加。</v>
      </c>
    </row>
    <row r="22452">
      <c r="A22452" s="4" t="s">
        <v>28255</v>
      </c>
      <c r="B22452" s="6" t="s">
        <v>28258</v>
      </c>
      <c r="C22452" s="5" t="str">
        <f>IFERROR(__xludf.DUMMYFUNCTION("GOOGLETRANSLATE(B22452,""en"",""zh-CN"")"),"该人煮熟并排干面食，然后将意大利面放入锅中，然后加入鸡汤，煮熟的大蒜，欧芹，盐，胡椒粉和奶酪。")</f>
        <v>该人煮熟并排干面食，然后将意大利面放入锅中，然后加入鸡汤，煮熟的大蒜，欧芹，盐，胡椒粉和奶酪。</v>
      </c>
    </row>
    <row r="22453">
      <c r="A22453" s="4" t="s">
        <v>28255</v>
      </c>
      <c r="B22453" s="4" t="s">
        <v>28259</v>
      </c>
      <c r="C22453" s="5" t="str">
        <f>IFERROR(__xludf.DUMMYFUNCTION("GOOGLETRANSLATE(B22453,""en"",""zh-CN"")"),"接下来，该人制作炸鸡，然后与鸡肉一起食用意大利面。")</f>
        <v>接下来，该人制作炸鸡，然后与鸡肉一起食用意大利面。</v>
      </c>
    </row>
    <row r="22454">
      <c r="A22454" s="4" t="s">
        <v>28260</v>
      </c>
      <c r="B22454" s="4" t="s">
        <v>28261</v>
      </c>
      <c r="C22454" s="5" t="str">
        <f>IFERROR(__xludf.DUMMYFUNCTION("GOOGLETRANSLATE(B22454,""en"",""zh-CN"")"),"不同的人喜欢一起喝杯茶。")</f>
        <v>不同的人喜欢一起喝杯茶。</v>
      </c>
    </row>
    <row r="22455">
      <c r="A22455" s="4" t="s">
        <v>28260</v>
      </c>
      <c r="B22455" s="4" t="s">
        <v>28262</v>
      </c>
      <c r="C22455" s="5" t="str">
        <f>IFERROR(__xludf.DUMMYFUNCTION("GOOGLETRANSLATE(B22455,""en"",""zh-CN"")"),"一个女人将固定的锅混合在一起，然后在碗中添加黄黄油。")</f>
        <v>一个女人将固定的锅混合在一起，然后在碗中添加黄黄油。</v>
      </c>
    </row>
    <row r="22456">
      <c r="A22456" s="4" t="s">
        <v>28260</v>
      </c>
      <c r="B22456" s="4" t="s">
        <v>28263</v>
      </c>
      <c r="C22456" s="5" t="str">
        <f>IFERROR(__xludf.DUMMYFUNCTION("GOOGLETRANSLATE(B22456,""en"",""zh-CN"")"),"面粉被添加到碗中，一切都混合在一起。")</f>
        <v>面粉被添加到碗中，一切都混合在一起。</v>
      </c>
    </row>
    <row r="22457">
      <c r="A22457" s="4" t="s">
        <v>28260</v>
      </c>
      <c r="B22457" s="4" t="s">
        <v>28264</v>
      </c>
      <c r="C22457" s="5" t="str">
        <f>IFERROR(__xludf.DUMMYFUNCTION("GOOGLETRANSLATE(B22457,""en"",""zh-CN"")"),"将鸡蛋添加到混合物中，并与搅拌器混合。")</f>
        <v>将鸡蛋添加到混合物中，并与搅拌器混合。</v>
      </c>
    </row>
    <row r="22458">
      <c r="A22458" s="4" t="s">
        <v>28260</v>
      </c>
      <c r="B22458" s="4" t="s">
        <v>28265</v>
      </c>
      <c r="C22458" s="5" t="str">
        <f>IFERROR(__xludf.DUMMYFUNCTION("GOOGLETRANSLATE(B22458,""en"",""zh-CN"")"),"该名女子在菜肴中添加液体提取物以及额外的粉状面粉。")</f>
        <v>该名女子在菜肴中添加液体提取物以及额外的粉状面粉。</v>
      </c>
    </row>
    <row r="22459">
      <c r="A22459" s="4" t="s">
        <v>28260</v>
      </c>
      <c r="B22459" s="4" t="s">
        <v>28266</v>
      </c>
      <c r="C22459" s="5" t="str">
        <f>IFERROR(__xludf.DUMMYFUNCTION("GOOGLETRANSLATE(B22459,""en"",""zh-CN"")"),"该名女子在混合物中添加了立方体的水果，并用铲子搅拌。")</f>
        <v>该名女子在混合物中添加了立方体的水果，并用铲子搅拌。</v>
      </c>
    </row>
    <row r="22460">
      <c r="A22460" s="4" t="s">
        <v>28260</v>
      </c>
      <c r="B22460" s="4" t="s">
        <v>28267</v>
      </c>
      <c r="C22460" s="5" t="str">
        <f>IFERROR(__xludf.DUMMYFUNCTION("GOOGLETRANSLATE(B22460,""en"",""zh-CN"")"),"主机将成分倒入锅中，然后将其煮在烤箱中。")</f>
        <v>主机将成分倒入锅中，然后将其煮在烤箱中。</v>
      </c>
    </row>
    <row r="22461">
      <c r="A22461" s="4" t="s">
        <v>28260</v>
      </c>
      <c r="B22461" s="4" t="s">
        <v>28268</v>
      </c>
      <c r="C22461" s="5" t="str">
        <f>IFERROR(__xludf.DUMMYFUNCTION("GOOGLETRANSLATE(B22461,""en"",""zh-CN"")"),"女人们一起享用一口菜。")</f>
        <v>女人们一起享用一口菜。</v>
      </c>
    </row>
    <row r="22462">
      <c r="A22462" s="4" t="s">
        <v>28260</v>
      </c>
      <c r="B22462" s="4" t="s">
        <v>28269</v>
      </c>
      <c r="C22462" s="5" t="str">
        <f>IFERROR(__xludf.DUMMYFUNCTION("GOOGLETRANSLATE(B22462,""en"",""zh-CN"")"),"主人倒了一杯茶来享用。")</f>
        <v>主人倒了一杯茶来享用。</v>
      </c>
    </row>
    <row r="22463">
      <c r="A22463" s="4" t="s">
        <v>28270</v>
      </c>
      <c r="B22463" s="4" t="s">
        <v>28271</v>
      </c>
      <c r="C22463" s="5" t="str">
        <f>IFERROR(__xludf.DUMMYFUNCTION("GOOGLETRANSLATE(B22463,""en"",""zh-CN"")"),"一个女人很好地揉手。")</f>
        <v>一个女人很好地揉手。</v>
      </c>
    </row>
    <row r="22464">
      <c r="A22464" s="4" t="s">
        <v>28270</v>
      </c>
      <c r="B22464" s="4" t="s">
        <v>28272</v>
      </c>
      <c r="C22464" s="5" t="str">
        <f>IFERROR(__xludf.DUMMYFUNCTION("GOOGLETRANSLATE(B22464,""en"",""zh-CN"")"),"然后，女人用水冲洗双手。")</f>
        <v>然后，女人用水冲洗双手。</v>
      </c>
    </row>
    <row r="22465">
      <c r="A22465" s="4" t="s">
        <v>28273</v>
      </c>
      <c r="B22465" s="4" t="s">
        <v>28274</v>
      </c>
      <c r="C22465" s="5" t="str">
        <f>IFERROR(__xludf.DUMMYFUNCTION("GOOGLETRANSLATE(B22465,""en"",""zh-CN"")"),"人们在冰上打曲棍球。")</f>
        <v>人们在冰上打曲棍球。</v>
      </c>
    </row>
    <row r="22466">
      <c r="A22466" s="4" t="s">
        <v>28273</v>
      </c>
      <c r="B22466" s="4" t="s">
        <v>28275</v>
      </c>
      <c r="C22466" s="5" t="str">
        <f>IFERROR(__xludf.DUMMYFUNCTION("GOOGLETRANSLATE(B22466,""en"",""zh-CN"")"),"裁判向人民滑冰。")</f>
        <v>裁判向人民滑冰。</v>
      </c>
    </row>
    <row r="22467">
      <c r="A22467" s="4" t="s">
        <v>28273</v>
      </c>
      <c r="B22467" s="4" t="s">
        <v>28276</v>
      </c>
      <c r="C22467" s="5" t="str">
        <f>IFERROR(__xludf.DUMMYFUNCTION("GOOGLETRANSLATE(B22467,""en"",""zh-CN"")"),"他们继续玩曲棍球比赛。")</f>
        <v>他们继续玩曲棍球比赛。</v>
      </c>
    </row>
    <row r="22468">
      <c r="A22468" s="4" t="s">
        <v>28277</v>
      </c>
      <c r="B22468" s="4" t="s">
        <v>28278</v>
      </c>
      <c r="C22468" s="5" t="str">
        <f>IFERROR(__xludf.DUMMYFUNCTION("GOOGLETRANSLATE(B22468,""en"",""zh-CN"")"),"两个男孩在院子里打球。")</f>
        <v>两个男孩在院子里打球。</v>
      </c>
    </row>
    <row r="22469">
      <c r="A22469" s="4" t="s">
        <v>28277</v>
      </c>
      <c r="B22469" s="4" t="s">
        <v>28279</v>
      </c>
      <c r="C22469" s="5" t="str">
        <f>IFERROR(__xludf.DUMMYFUNCTION("GOOGLETRANSLATE(B22469,""en"",""zh-CN"")"),"一个站在网的前面，并用曲棍球棒传递到另一个。")</f>
        <v>一个站在网的前面，并用曲棍球棒传递到另一个。</v>
      </c>
    </row>
    <row r="22470">
      <c r="A22470" s="4" t="s">
        <v>28277</v>
      </c>
      <c r="B22470" s="4" t="s">
        <v>28280</v>
      </c>
      <c r="C22470" s="5" t="str">
        <f>IFERROR(__xludf.DUMMYFUNCTION("GOOGLETRANSLATE(B22470,""en"",""zh-CN"")"),"男孩们继续将球浴和彼此之间的第四次传递。")</f>
        <v>男孩们继续将球浴和彼此之间的第四次传递。</v>
      </c>
    </row>
    <row r="22471">
      <c r="A22471" s="4" t="s">
        <v>28277</v>
      </c>
      <c r="B22471" s="4" t="s">
        <v>28281</v>
      </c>
      <c r="C22471" s="5" t="str">
        <f>IFERROR(__xludf.DUMMYFUNCTION("GOOGLETRANSLATE(B22471,""en"",""zh-CN"")"),"一个男孩将球扔到道路上，而另一个男孩则奔跑。")</f>
        <v>一个男孩将球扔到道路上，而另一个男孩则奔跑。</v>
      </c>
    </row>
    <row r="22472">
      <c r="A22472" s="4" t="s">
        <v>28277</v>
      </c>
      <c r="B22472" s="4" t="s">
        <v>28282</v>
      </c>
      <c r="C22472" s="5" t="str">
        <f>IFERROR(__xludf.DUMMYFUNCTION("GOOGLETRANSLATE(B22472,""en"",""zh-CN"")"),"另一个男孩带着假发，男孩开始互相搏斗。")</f>
        <v>另一个男孩带着假发，男孩开始互相搏斗。</v>
      </c>
    </row>
    <row r="22473">
      <c r="A22473" s="4" t="s">
        <v>28277</v>
      </c>
      <c r="B22473" s="4" t="s">
        <v>28283</v>
      </c>
      <c r="C22473" s="5" t="str">
        <f>IFERROR(__xludf.DUMMYFUNCTION("GOOGLETRANSLATE(B22473,""en"",""zh-CN"")"),"然后，男孩们假装戴上假发的男孩。")</f>
        <v>然后，男孩们假装戴上假发的男孩。</v>
      </c>
    </row>
    <row r="22474">
      <c r="A22474" s="4" t="s">
        <v>28277</v>
      </c>
      <c r="B22474" s="4" t="s">
        <v>28284</v>
      </c>
      <c r="C22474" s="5" t="str">
        <f>IFERROR(__xludf.DUMMYFUNCTION("GOOGLETRANSLATE(B22474,""en"",""zh-CN"")"),"男孩们都在抓住物体并逃跑的同时继续互相搏斗。")</f>
        <v>男孩们都在抓住物体并逃跑的同时继续互相搏斗。</v>
      </c>
    </row>
    <row r="22475">
      <c r="A22475" s="4" t="s">
        <v>28285</v>
      </c>
      <c r="B22475" s="4" t="s">
        <v>28286</v>
      </c>
      <c r="C22475" s="5" t="str">
        <f>IFERROR(__xludf.DUMMYFUNCTION("GOOGLETRANSLATE(B22475,""en"",""zh-CN"")"),"人们在泥土小径上骑自行车。")</f>
        <v>人们在泥土小径上骑自行车。</v>
      </c>
    </row>
    <row r="22476">
      <c r="A22476" s="4" t="s">
        <v>28285</v>
      </c>
      <c r="B22476" s="4" t="s">
        <v>28287</v>
      </c>
      <c r="C22476" s="5" t="str">
        <f>IFERROR(__xludf.DUMMYFUNCTION("GOOGLETRANSLATE(B22476,""en"",""zh-CN"")"),"他们几次过山。")</f>
        <v>他们几次过山。</v>
      </c>
    </row>
    <row r="22477">
      <c r="A22477" s="4" t="s">
        <v>28285</v>
      </c>
      <c r="B22477" s="4" t="s">
        <v>28288</v>
      </c>
      <c r="C22477" s="5" t="str">
        <f>IFERROR(__xludf.DUMMYFUNCTION("GOOGLETRANSLATE(B22477,""en"",""zh-CN"")"),"这个男孩戴了头盔。")</f>
        <v>这个男孩戴了头盔。</v>
      </c>
    </row>
    <row r="22478">
      <c r="A22478" s="4" t="s">
        <v>28289</v>
      </c>
      <c r="B22478" s="4" t="s">
        <v>28290</v>
      </c>
      <c r="C22478" s="5" t="str">
        <f>IFERROR(__xludf.DUMMYFUNCTION("GOOGLETRANSLATE(B22478,""en"",""zh-CN"")"),"一个人正在焊接一个小方形金属物体。")</f>
        <v>一个人正在焊接一个小方形金属物体。</v>
      </c>
    </row>
    <row r="22479">
      <c r="A22479" s="4" t="s">
        <v>28289</v>
      </c>
      <c r="B22479" s="4" t="s">
        <v>28291</v>
      </c>
      <c r="C22479" s="5" t="str">
        <f>IFERROR(__xludf.DUMMYFUNCTION("GOOGLETRANSLATE(B22479,""en"",""zh-CN"")"),"火焰出口管，灯光闪烁形成焊接机。")</f>
        <v>火焰出口管，灯光闪烁形成焊接机。</v>
      </c>
    </row>
    <row r="22480">
      <c r="A22480" s="4" t="s">
        <v>28289</v>
      </c>
      <c r="B22480" s="4" t="s">
        <v>28292</v>
      </c>
      <c r="C22480" s="5" t="str">
        <f>IFERROR(__xludf.DUMMYFUNCTION("GOOGLETRANSLATE(B22480,""en"",""zh-CN"")"),"两个男子焊接加入大圆柱体。")</f>
        <v>两个男子焊接加入大圆柱体。</v>
      </c>
    </row>
    <row r="22481">
      <c r="A22481" s="4" t="s">
        <v>28293</v>
      </c>
      <c r="B22481" s="4" t="s">
        <v>28294</v>
      </c>
      <c r="C22481" s="5" t="str">
        <f>IFERROR(__xludf.DUMMYFUNCTION("GOOGLETRANSLATE(B22481,""en"",""zh-CN"")"),"一个男人用雪刷在汽车上取下雪。")</f>
        <v>一个男人用雪刷在汽车上取下雪。</v>
      </c>
    </row>
    <row r="22482">
      <c r="A22482" s="4" t="s">
        <v>28293</v>
      </c>
      <c r="B22482" s="6" t="s">
        <v>28295</v>
      </c>
      <c r="C22482" s="5" t="str">
        <f>IFERROR(__xludf.DUMMYFUNCTION("GOOGLETRANSLATE(B22482,""en"",""zh-CN"")"),"然后，男人写在覆盖汽车窗户的雪上，一个穿着冬季衣服的女人微笑。")</f>
        <v>然后，男人写在覆盖汽车窗户的雪上，一个穿着冬季衣服的女人微笑。</v>
      </c>
    </row>
    <row r="22483">
      <c r="A22483" s="4" t="s">
        <v>28293</v>
      </c>
      <c r="B22483" s="4" t="s">
        <v>28296</v>
      </c>
      <c r="C22483" s="5" t="str">
        <f>IFERROR(__xludf.DUMMYFUNCTION("GOOGLETRANSLATE(B22483,""en"",""zh-CN"")"),"然后，该男子继续去除汽车上的雪。")</f>
        <v>然后，该男子继续去除汽车上的雪。</v>
      </c>
    </row>
    <row r="22484">
      <c r="A22484" s="4" t="s">
        <v>28297</v>
      </c>
      <c r="B22484" s="4" t="s">
        <v>28298</v>
      </c>
      <c r="C22484" s="5" t="str">
        <f>IFERROR(__xludf.DUMMYFUNCTION("GOOGLETRANSLATE(B22484,""en"",""zh-CN"")"),"一个穿着泳衣的男人和他的妻子在交织机上漂浮在一条河上。")</f>
        <v>一个穿着泳衣的男人和他的妻子在交织机上漂浮在一条河上。</v>
      </c>
    </row>
    <row r="22485">
      <c r="A22485" s="4" t="s">
        <v>28297</v>
      </c>
      <c r="B22485" s="4" t="s">
        <v>28299</v>
      </c>
      <c r="C22485" s="5" t="str">
        <f>IFERROR(__xludf.DUMMYFUNCTION("GOOGLETRANSLATE(B22485,""en"",""zh-CN"")"),"该男子从他的Intertube上掉下来，走到水边。")</f>
        <v>该男子从他的Intertube上掉下来，走到水边。</v>
      </c>
    </row>
    <row r="22486">
      <c r="A22486" s="4" t="s">
        <v>28297</v>
      </c>
      <c r="B22486" s="4" t="s">
        <v>28300</v>
      </c>
      <c r="C22486" s="5" t="str">
        <f>IFERROR(__xludf.DUMMYFUNCTION("GOOGLETRANSLATE(B22486,""en"",""zh-CN"")"),"这个男人现在穿着救生衣，他的妻子在一大群人中间漂浮在一条河上。")</f>
        <v>这个男人现在穿着救生衣，他的妻子在一大群人中间漂浮在一条河上。</v>
      </c>
    </row>
    <row r="22487">
      <c r="A22487" s="4" t="s">
        <v>28297</v>
      </c>
      <c r="B22487" s="6" t="s">
        <v>28301</v>
      </c>
      <c r="C22487" s="5" t="str">
        <f>IFERROR(__xludf.DUMMYFUNCTION("GOOGLETRANSLATE(B22487,""en"",""zh-CN"")"),"一群人在河边附近放慢脚步的男人和女人旁边的一群人。")</f>
        <v>一群人在河边附近放慢脚步的男人和女人旁边的一群人。</v>
      </c>
    </row>
    <row r="22488">
      <c r="A22488" s="4" t="s">
        <v>28302</v>
      </c>
      <c r="B22488" s="4" t="s">
        <v>28303</v>
      </c>
      <c r="C22488" s="5" t="str">
        <f>IFERROR(__xludf.DUMMYFUNCTION("GOOGLETRANSLATE(B22488,""en"",""zh-CN"")"),"一个女人用刀将末端切下切菜板上的地瓜。")</f>
        <v>一个女人用刀将末端切下切菜板上的地瓜。</v>
      </c>
    </row>
    <row r="22489">
      <c r="A22489" s="4" t="s">
        <v>28302</v>
      </c>
      <c r="B22489" s="4" t="s">
        <v>28304</v>
      </c>
      <c r="C22489" s="5" t="str">
        <f>IFERROR(__xludf.DUMMYFUNCTION("GOOGLETRANSLATE(B22489,""en"",""zh-CN"")"),"该名女士使用剥皮工具在切菜板上剥皮。")</f>
        <v>该名女士使用剥皮工具在切菜板上剥皮。</v>
      </c>
    </row>
    <row r="22490">
      <c r="A22490" s="4" t="s">
        <v>28305</v>
      </c>
      <c r="B22490" s="4" t="s">
        <v>28306</v>
      </c>
      <c r="C22490" s="5" t="str">
        <f>IFERROR(__xludf.DUMMYFUNCTION("GOOGLETRANSLATE(B22490,""en"",""zh-CN"")"),"我们看到一个男人和一个女人一起跳舞。")</f>
        <v>我们看到一个男人和一个女人一起跳舞。</v>
      </c>
    </row>
    <row r="22491">
      <c r="A22491" s="4" t="s">
        <v>28305</v>
      </c>
      <c r="B22491" s="4" t="s">
        <v>28307</v>
      </c>
      <c r="C22491" s="5" t="str">
        <f>IFERROR(__xludf.DUMMYFUNCTION("GOOGLETRANSLATE(B22491,""en"",""zh-CN"")"),"男人来回旋转。")</f>
        <v>男人来回旋转。</v>
      </c>
    </row>
    <row r="22492">
      <c r="A22492" s="4" t="s">
        <v>28305</v>
      </c>
      <c r="B22492" s="4" t="s">
        <v>28308</v>
      </c>
      <c r="C22492" s="5" t="str">
        <f>IFERROR(__xludf.DUMMYFUNCTION("GOOGLETRANSLATE(B22492,""en"",""zh-CN"")"),"屏幕变成了绿色阴影。")</f>
        <v>屏幕变成了绿色阴影。</v>
      </c>
    </row>
    <row r="22493">
      <c r="A22493" s="4" t="s">
        <v>28305</v>
      </c>
      <c r="B22493" s="4" t="s">
        <v>28309</v>
      </c>
      <c r="C22493" s="5" t="str">
        <f>IFERROR(__xludf.DUMMYFUNCTION("GOOGLETRANSLATE(B22493,""en"",""zh-CN"")"),"那位女士把头发从小马的尾巴上拿出来。")</f>
        <v>那位女士把头发从小马的尾巴上拿出来。</v>
      </c>
    </row>
    <row r="22494">
      <c r="A22494" s="4" t="s">
        <v>28305</v>
      </c>
      <c r="B22494" s="4" t="s">
        <v>28310</v>
      </c>
      <c r="C22494" s="5" t="str">
        <f>IFERROR(__xludf.DUMMYFUNCTION("GOOGLETRANSLATE(B22494,""en"",""zh-CN"")"),"屏幕变成蓝色阴影。")</f>
        <v>屏幕变成蓝色阴影。</v>
      </c>
    </row>
    <row r="22495">
      <c r="A22495" s="4" t="s">
        <v>28305</v>
      </c>
      <c r="B22495" s="4" t="s">
        <v>28311</v>
      </c>
      <c r="C22495" s="5" t="str">
        <f>IFERROR(__xludf.DUMMYFUNCTION("GOOGLETRANSLATE(B22495,""en"",""zh-CN"")"),"一个人进入房间，然后离开。")</f>
        <v>一个人进入房间，然后离开。</v>
      </c>
    </row>
    <row r="22496">
      <c r="A22496" s="4" t="s">
        <v>28305</v>
      </c>
      <c r="B22496" s="4" t="s">
        <v>28312</v>
      </c>
      <c r="C22496" s="5" t="str">
        <f>IFERROR(__xludf.DUMMYFUNCTION("GOOGLETRANSLATE(B22496,""en"",""zh-CN"")"),"人们再次开始吐口水。")</f>
        <v>人们再次开始吐口水。</v>
      </c>
    </row>
    <row r="22497">
      <c r="A22497" s="4" t="s">
        <v>28305</v>
      </c>
      <c r="B22497" s="4" t="s">
        <v>28313</v>
      </c>
      <c r="C22497" s="5" t="str">
        <f>IFERROR(__xludf.DUMMYFUNCTION("GOOGLETRANSLATE(B22497,""en"",""zh-CN"")"),"该人返回并向左移动。")</f>
        <v>该人返回并向左移动。</v>
      </c>
    </row>
    <row r="22498">
      <c r="A22498" s="4" t="s">
        <v>28305</v>
      </c>
      <c r="B22498" s="4" t="s">
        <v>28314</v>
      </c>
      <c r="C22498" s="5" t="str">
        <f>IFERROR(__xludf.DUMMYFUNCTION("GOOGLETRANSLATE(B22498,""en"",""zh-CN"")"),"颜色再次正常。")</f>
        <v>颜色再次正常。</v>
      </c>
    </row>
    <row r="22499">
      <c r="A22499" s="4" t="s">
        <v>28305</v>
      </c>
      <c r="B22499" s="4" t="s">
        <v>28315</v>
      </c>
      <c r="C22499" s="5" t="str">
        <f>IFERROR(__xludf.DUMMYFUNCTION("GOOGLETRANSLATE(B22499,""en"",""zh-CN"")"),"男人停下来，女人很沮丧。")</f>
        <v>男人停下来，女人很沮丧。</v>
      </c>
    </row>
    <row r="22500">
      <c r="A22500" s="4" t="s">
        <v>28316</v>
      </c>
      <c r="B22500" s="6" t="s">
        <v>28317</v>
      </c>
      <c r="C22500" s="5" t="str">
        <f>IFERROR(__xludf.DUMMYFUNCTION("GOOGLETRANSLATE(B22500,""en"",""zh-CN"")"),"一个介绍出现在带有红色和白色特殊效果的黑屏上，“密尔沃基打开”和“最佳播放”一词出现在单独的屏幕上。")</f>
        <v>一个介绍出现在带有红色和白色特殊效果的黑屏上，“密尔沃基打开”和“最佳播放”一词出现在单独的屏幕上。</v>
      </c>
    </row>
    <row r="22501">
      <c r="A22501" s="4" t="s">
        <v>28316</v>
      </c>
      <c r="B22501" s="6" t="s">
        <v>28318</v>
      </c>
      <c r="C22501" s="5" t="str">
        <f>IFERROR(__xludf.DUMMYFUNCTION("GOOGLETRANSLATE(B22501,""en"",""zh-CN"")"),"各种各样的人，男人和女人的剪辑在海滩上都在户外，穿着海滩服装在不同的比赛中打沙排球，同时许多观众看着他们并为他们加油打气。")</f>
        <v>各种各样的人，男人和女人的剪辑在海滩上都在户外，穿着海滩服装在不同的比赛中打沙排球，同时许多观众看着他们并为他们加油打气。</v>
      </c>
    </row>
    <row r="22502">
      <c r="A22502" s="4" t="s">
        <v>28316</v>
      </c>
      <c r="B22502" s="6" t="s">
        <v>28319</v>
      </c>
      <c r="C22502" s="5" t="str">
        <f>IFERROR(__xludf.DUMMYFUNCTION("GOOGLETRANSLATE(B22502,""en"",""zh-CN"")"),"剪辑结束了，拆卸出现，看起来就像介绍，并以两个不同的屏幕上的“最佳播放”和“密尔沃基打开”字样结尾。")</f>
        <v>剪辑结束了，拆卸出现，看起来就像介绍，并以两个不同的屏幕上的“最佳播放”和“密尔沃基打开”字样结尾。</v>
      </c>
    </row>
    <row r="22503">
      <c r="A22503" s="4" t="s">
        <v>28320</v>
      </c>
      <c r="B22503" s="4" t="s">
        <v>20552</v>
      </c>
      <c r="C22503" s="5" t="str">
        <f>IFERROR(__xludf.DUMMYFUNCTION("GOOGLETRANSLATE(B22503,""en"",""zh-CN"")"),"两个人在法庭上打网球。")</f>
        <v>两个人在法庭上打网球。</v>
      </c>
    </row>
    <row r="22504">
      <c r="A22504" s="4" t="s">
        <v>28320</v>
      </c>
      <c r="B22504" s="4" t="s">
        <v>28321</v>
      </c>
      <c r="C22504" s="5" t="str">
        <f>IFERROR(__xludf.DUMMYFUNCTION("GOOGLETRANSLATE(B22504,""en"",""zh-CN"")"),"穿着黄色衬衫的人站在外面看。")</f>
        <v>穿着黄色衬衫的人站在外面看。</v>
      </c>
    </row>
    <row r="22505">
      <c r="A22505" s="4" t="s">
        <v>28320</v>
      </c>
      <c r="B22505" s="4" t="s">
        <v>28322</v>
      </c>
      <c r="C22505" s="5" t="str">
        <f>IFERROR(__xludf.DUMMYFUNCTION("GOOGLETRANSLATE(B22505,""en"",""zh-CN"")"),"一个女人打开门，走了出去。")</f>
        <v>一个女人打开门，走了出去。</v>
      </c>
    </row>
    <row r="22506">
      <c r="A22506" s="4" t="s">
        <v>28323</v>
      </c>
      <c r="B22506" s="6" t="s">
        <v>28324</v>
      </c>
      <c r="C22506" s="5" t="str">
        <f>IFERROR(__xludf.DUMMYFUNCTION("GOOGLETRANSLATE(B22506,""en"",""zh-CN"")"),"看到一大批人在运动课上一起进行例程，同时在横梁上上下移动。")</f>
        <v>看到一大批人在运动课上一起进行例程，同时在横梁上上下移动。</v>
      </c>
    </row>
    <row r="22507">
      <c r="A22507" s="4" t="s">
        <v>28323</v>
      </c>
      <c r="B22507" s="6" t="s">
        <v>28325</v>
      </c>
      <c r="C22507" s="5" t="str">
        <f>IFERROR(__xludf.DUMMYFUNCTION("GOOGLETRANSLATE(B22507,""en"",""zh-CN"")"),"人们继续互相移动，同时双臂上下移动在梁上，结束并在房间里走来走去。")</f>
        <v>人们继续互相移动，同时双臂上下移动在梁上，结束并在房间里走来走去。</v>
      </c>
    </row>
    <row r="22508">
      <c r="A22508" s="4" t="s">
        <v>28326</v>
      </c>
      <c r="B22508" s="4" t="s">
        <v>28327</v>
      </c>
      <c r="C22508" s="5" t="str">
        <f>IFERROR(__xludf.DUMMYFUNCTION("GOOGLETRANSLATE(B22508,""en"",""zh-CN"")"),"人们在桌子上玩黑色千斤顶。")</f>
        <v>人们在桌子上玩黑色千斤顶。</v>
      </c>
    </row>
    <row r="22509">
      <c r="A22509" s="4" t="s">
        <v>28326</v>
      </c>
      <c r="B22509" s="4" t="s">
        <v>28328</v>
      </c>
      <c r="C22509" s="5" t="str">
        <f>IFERROR(__xludf.DUMMYFUNCTION("GOOGLETRANSLATE(B22509,""en"",""zh-CN"")"),"经销商是给妇女的卡和代币。")</f>
        <v>经销商是给妇女的卡和代币。</v>
      </c>
    </row>
    <row r="22510">
      <c r="A22510" s="4" t="s">
        <v>28326</v>
      </c>
      <c r="B22510" s="4" t="s">
        <v>28329</v>
      </c>
      <c r="C22510" s="5" t="str">
        <f>IFERROR(__xludf.DUMMYFUNCTION("GOOGLETRANSLATE(B22510,""en"",""zh-CN"")"),"人站在桌子上，走进房间。")</f>
        <v>人站在桌子上，走进房间。</v>
      </c>
    </row>
    <row r="22511">
      <c r="A22511" s="4" t="s">
        <v>28330</v>
      </c>
      <c r="B22511" s="4" t="s">
        <v>28331</v>
      </c>
      <c r="C22511" s="5" t="str">
        <f>IFERROR(__xludf.DUMMYFUNCTION("GOOGLETRANSLATE(B22511,""en"",""zh-CN"")"),"有人看到一个人在院子里放了一个院子，然后停下来将手放在口袋里。")</f>
        <v>有人看到一个人在院子里放了一个院子，然后停下来将手放在口袋里。</v>
      </c>
    </row>
    <row r="22512">
      <c r="A22512" s="4" t="s">
        <v>28330</v>
      </c>
      <c r="B22512" s="4" t="s">
        <v>28332</v>
      </c>
      <c r="C22512" s="5" t="str">
        <f>IFERROR(__xludf.DUMMYFUNCTION("GOOGLETRANSLATE(B22512,""en"",""zh-CN"")"),"另一个男人走进去，带叶吹器将叶子推到周围。")</f>
        <v>另一个男人走进去，带叶吹器将叶子推到周围。</v>
      </c>
    </row>
    <row r="22513">
      <c r="A22513" s="4" t="s">
        <v>28330</v>
      </c>
      <c r="B22513" s="4" t="s">
        <v>28333</v>
      </c>
      <c r="C22513" s="5" t="str">
        <f>IFERROR(__xludf.DUMMYFUNCTION("GOOGLETRANSLATE(B22513,""en"",""zh-CN"")"),"该男子耙更多的叶子，吹叶机男人再次进来。")</f>
        <v>该男子耙更多的叶子，吹叶机男人再次进来。</v>
      </c>
    </row>
    <row r="22514">
      <c r="A22514" s="4" t="s">
        <v>28334</v>
      </c>
      <c r="B22514" s="4" t="s">
        <v>28335</v>
      </c>
      <c r="C22514" s="5" t="str">
        <f>IFERROR(__xludf.DUMMYFUNCTION("GOOGLETRANSLATE(B22514,""en"",""zh-CN"")"),"我们看到水下海底。")</f>
        <v>我们看到水下海底。</v>
      </c>
    </row>
    <row r="22515">
      <c r="A22515" s="4" t="s">
        <v>28334</v>
      </c>
      <c r="B22515" s="4" t="s">
        <v>28336</v>
      </c>
      <c r="C22515" s="5" t="str">
        <f>IFERROR(__xludf.DUMMYFUNCTION("GOOGLETRANSLATE(B22515,""en"",""zh-CN"")"),"两个人在镜头前游泳。")</f>
        <v>两个人在镜头前游泳。</v>
      </c>
    </row>
    <row r="22516">
      <c r="A22516" s="4" t="s">
        <v>28334</v>
      </c>
      <c r="B22516" s="4" t="s">
        <v>28337</v>
      </c>
      <c r="C22516" s="5" t="str">
        <f>IFERROR(__xludf.DUMMYFUNCTION("GOOGLETRANSLATE(B22516,""en"",""zh-CN"")"),"我们看到一个男人拿着相机。")</f>
        <v>我们看到一个男人拿着相机。</v>
      </c>
    </row>
    <row r="22517">
      <c r="A22517" s="4" t="s">
        <v>28334</v>
      </c>
      <c r="B22517" s="4" t="s">
        <v>28338</v>
      </c>
      <c r="C22517" s="5" t="str">
        <f>IFERROR(__xludf.DUMMYFUNCTION("GOOGLETRANSLATE(B22517,""en"",""zh-CN"")"),"我们看到鳍进入相机。")</f>
        <v>我们看到鳍进入相机。</v>
      </c>
    </row>
    <row r="22518">
      <c r="A22518" s="4" t="s">
        <v>28334</v>
      </c>
      <c r="B22518" s="4" t="s">
        <v>28339</v>
      </c>
      <c r="C22518" s="5" t="str">
        <f>IFERROR(__xludf.DUMMYFUNCTION("GOOGLETRANSLATE(B22518,""en"",""zh-CN"")"),"相机正在疯狂旋转。")</f>
        <v>相机正在疯狂旋转。</v>
      </c>
    </row>
    <row r="22519">
      <c r="A22519" s="4" t="s">
        <v>28334</v>
      </c>
      <c r="B22519" s="4" t="s">
        <v>28340</v>
      </c>
      <c r="C22519" s="5" t="str">
        <f>IFERROR(__xludf.DUMMYFUNCTION("GOOGLETRANSLATE(B22519,""en"",""zh-CN"")"),"气泡从试管中升起。")</f>
        <v>气泡从试管中升起。</v>
      </c>
    </row>
    <row r="22520">
      <c r="A22520" s="4" t="s">
        <v>28334</v>
      </c>
      <c r="B22520" s="4" t="s">
        <v>28341</v>
      </c>
      <c r="C22520" s="5" t="str">
        <f>IFERROR(__xludf.DUMMYFUNCTION("GOOGLETRANSLATE(B22520,""en"",""zh-CN"")"),"一个人递给另一个人的喉舌。")</f>
        <v>一个人递给另一个人的喉舌。</v>
      </c>
    </row>
    <row r="22521">
      <c r="A22521" s="4" t="s">
        <v>28342</v>
      </c>
      <c r="B22521" s="4" t="s">
        <v>28343</v>
      </c>
      <c r="C22521" s="5" t="str">
        <f>IFERROR(__xludf.DUMMYFUNCTION("GOOGLETRANSLATE(B22521,""en"",""zh-CN"")"),"看到两个人在板前的院子里走来走去。")</f>
        <v>看到两个人在板前的院子里走来走去。</v>
      </c>
    </row>
    <row r="22522">
      <c r="A22522" s="4" t="s">
        <v>28342</v>
      </c>
      <c r="B22522" s="4" t="s">
        <v>28344</v>
      </c>
      <c r="C22522" s="5" t="str">
        <f>IFERROR(__xludf.DUMMYFUNCTION("GOOGLETRANSLATE(B22522,""en"",""zh-CN"")"),"另一个男人走进去，看到该小组躺在篱笆上。")</f>
        <v>另一个男人走进去，看到该小组躺在篱笆上。</v>
      </c>
    </row>
    <row r="22523">
      <c r="A22523" s="4" t="s">
        <v>28342</v>
      </c>
      <c r="B22523" s="4" t="s">
        <v>28345</v>
      </c>
      <c r="C22523" s="5" t="str">
        <f>IFERROR(__xludf.DUMMYFUNCTION("GOOGLETRANSLATE(B22523,""en"",""zh-CN"")"),"这些人继续将木板放在栅栏上，并将其呈现给相机。")</f>
        <v>这些人继续将木板放在栅栏上，并将其呈现给相机。</v>
      </c>
    </row>
    <row r="22524">
      <c r="A22524" s="4" t="s">
        <v>28346</v>
      </c>
      <c r="B22524" s="4" t="s">
        <v>28347</v>
      </c>
      <c r="C22524" s="5" t="str">
        <f>IFERROR(__xludf.DUMMYFUNCTION("GOOGLETRANSLATE(B22524,""en"",""zh-CN"")"),"一个男人坐在桌子后面，完成了魔方。")</f>
        <v>一个男人坐在桌子后面，完成了魔方。</v>
      </c>
    </row>
    <row r="22525">
      <c r="A22525" s="4" t="s">
        <v>28346</v>
      </c>
      <c r="B22525" s="4" t="s">
        <v>28348</v>
      </c>
      <c r="C22525" s="5" t="str">
        <f>IFERROR(__xludf.DUMMYFUNCTION("GOOGLETRANSLATE(B22525,""en"",""zh-CN"")"),"穿着蓝色衬衫的人站在桌子旁边，拿着停车手表。")</f>
        <v>穿着蓝色衬衫的人站在桌子旁边，拿着停车手表。</v>
      </c>
    </row>
    <row r="22526">
      <c r="A22526" s="4" t="s">
        <v>28346</v>
      </c>
      <c r="B22526" s="4" t="s">
        <v>28349</v>
      </c>
      <c r="C22526" s="5" t="str">
        <f>IFERROR(__xludf.DUMMYFUNCTION("GOOGLETRANSLATE(B22526,""en"",""zh-CN"")"),"该男子完成了魔方并将其放下。")</f>
        <v>该男子完成了魔方并将其放下。</v>
      </c>
    </row>
    <row r="22527">
      <c r="A22527" s="4" t="s">
        <v>28346</v>
      </c>
      <c r="B22527" s="4" t="s">
        <v>28350</v>
      </c>
      <c r="C22527" s="5" t="str">
        <f>IFERROR(__xludf.DUMMYFUNCTION("GOOGLETRANSLATE(B22527,""en"",""zh-CN"")"),"他拥抱一个走在他旁边的人。")</f>
        <v>他拥抱一个走在他旁边的人。</v>
      </c>
    </row>
    <row r="22528">
      <c r="A22528" s="4" t="s">
        <v>28351</v>
      </c>
      <c r="B22528" s="4" t="s">
        <v>28352</v>
      </c>
      <c r="C22528" s="5" t="str">
        <f>IFERROR(__xludf.DUMMYFUNCTION("GOOGLETRANSLATE(B22528,""en"",""zh-CN"")"),"两个男人在人行道上户外，裸露的手打鼓。")</f>
        <v>两个男人在人行道上户外，裸露的手打鼓。</v>
      </c>
    </row>
    <row r="22529">
      <c r="A22529" s="4" t="s">
        <v>28351</v>
      </c>
      <c r="B22529" s="6" t="s">
        <v>28353</v>
      </c>
      <c r="C22529" s="5" t="str">
        <f>IFERROR(__xludf.DUMMYFUNCTION("GOOGLETRANSLATE(B22529,""en"",""zh-CN"")"),"当他们完成表演时，一大群人穿越人行道，左侧的男人直立。")</f>
        <v>当他们完成表演时，一大群人穿越人行道，左侧的男人直立。</v>
      </c>
    </row>
    <row r="22530">
      <c r="A22530" s="4" t="s">
        <v>28354</v>
      </c>
      <c r="B22530" s="4" t="s">
        <v>28355</v>
      </c>
      <c r="C22530" s="5" t="str">
        <f>IFERROR(__xludf.DUMMYFUNCTION("GOOGLETRANSLATE(B22530,""en"",""zh-CN"")"),"在健身房开始比赛开始时，一群人在一组球前排成一堵墙。")</f>
        <v>在健身房开始比赛开始时，一群人在一组球前排成一堵墙。</v>
      </c>
    </row>
    <row r="22531">
      <c r="A22531" s="4" t="s">
        <v>28354</v>
      </c>
      <c r="B22531" s="4" t="s">
        <v>28356</v>
      </c>
      <c r="C22531" s="5" t="str">
        <f>IFERROR(__xludf.DUMMYFUNCTION("GOOGLETRANSLATE(B22531,""en"",""zh-CN"")"),"该小组跑来取回球。")</f>
        <v>该小组跑来取回球。</v>
      </c>
    </row>
    <row r="22532">
      <c r="A22532" s="4" t="s">
        <v>28354</v>
      </c>
      <c r="B22532" s="4" t="s">
        <v>28357</v>
      </c>
      <c r="C22532" s="5" t="str">
        <f>IFERROR(__xludf.DUMMYFUNCTION("GOOGLETRANSLATE(B22532,""en"",""zh-CN"")"),"小组在道奇球比赛中与一支对方的球队来回奔跑。")</f>
        <v>小组在道奇球比赛中与一支对方的球队来回奔跑。</v>
      </c>
    </row>
    <row r="22533">
      <c r="A22533" s="4" t="s">
        <v>28354</v>
      </c>
      <c r="B22533" s="4" t="s">
        <v>28358</v>
      </c>
      <c r="C22533" s="5" t="str">
        <f>IFERROR(__xludf.DUMMYFUNCTION("GOOGLETRANSLATE(B22533,""en"",""zh-CN"")"),"当他在球场上跑来取回球时，一个男人被击中多次。")</f>
        <v>当他在球场上跑来取回球时，一个男人被击中多次。</v>
      </c>
    </row>
    <row r="22534">
      <c r="A22534" s="4" t="s">
        <v>28359</v>
      </c>
      <c r="B22534" s="4" t="s">
        <v>28360</v>
      </c>
      <c r="C22534" s="5" t="str">
        <f>IFERROR(__xludf.DUMMYFUNCTION("GOOGLETRANSLATE(B22534,""en"",""zh-CN"")"),"当其他两个男人拍摄活动时，我们看到男人在舞台上行走的舞台上行走。")</f>
        <v>当其他两个男人拍摄活动时，我们看到男人在舞台上行走的舞台上行走。</v>
      </c>
    </row>
    <row r="22535">
      <c r="A22535" s="4" t="s">
        <v>28359</v>
      </c>
      <c r="B22535" s="4" t="s">
        <v>28361</v>
      </c>
      <c r="C22535" s="5" t="str">
        <f>IFERROR(__xludf.DUMMYFUNCTION("GOOGLETRANSLATE(B22535,""en"",""zh-CN"")"),"他们切换，另一个男人走路，然后走过松弛线的松弛线。")</f>
        <v>他们切换，另一个男人走路，然后走过松弛线的松弛线。</v>
      </c>
    </row>
    <row r="22536">
      <c r="A22536" s="4" t="s">
        <v>28359</v>
      </c>
      <c r="B22536" s="4" t="s">
        <v>28362</v>
      </c>
      <c r="C22536" s="5" t="str">
        <f>IFERROR(__xludf.DUMMYFUNCTION("GOOGLETRANSLATE(B22536,""en"",""zh-CN"")"),"男人再次切换，第一个男人在松弛线上。")</f>
        <v>男人再次切换，第一个男人在松弛线上。</v>
      </c>
    </row>
    <row r="22537">
      <c r="A22537" s="4" t="s">
        <v>28359</v>
      </c>
      <c r="B22537" s="4" t="s">
        <v>28363</v>
      </c>
      <c r="C22537" s="5" t="str">
        <f>IFERROR(__xludf.DUMMYFUNCTION("GOOGLETRANSLATE(B22537,""en"",""zh-CN"")"),"该男子从松弛线上掉到他的屁股上。")</f>
        <v>该男子从松弛线上掉到他的屁股上。</v>
      </c>
    </row>
    <row r="22538">
      <c r="A22538" s="4" t="s">
        <v>28359</v>
      </c>
      <c r="B22538" s="4" t="s">
        <v>28364</v>
      </c>
      <c r="C22538" s="5" t="str">
        <f>IFERROR(__xludf.DUMMYFUNCTION("GOOGLETRANSLATE(B22538,""en"",""zh-CN"")"),"第二个人反弹并翻转。")</f>
        <v>第二个人反弹并翻转。</v>
      </c>
    </row>
    <row r="22539">
      <c r="A22539" s="4" t="s">
        <v>28359</v>
      </c>
      <c r="B22539" s="4" t="s">
        <v>28365</v>
      </c>
      <c r="C22539" s="5" t="str">
        <f>IFERROR(__xludf.DUMMYFUNCTION("GOOGLETRANSLATE(B22539,""en"",""zh-CN"")"),"第一个人反弹并翻转。")</f>
        <v>第一个人反弹并翻转。</v>
      </c>
    </row>
    <row r="22540">
      <c r="A22540" s="4" t="s">
        <v>28359</v>
      </c>
      <c r="B22540" s="4" t="s">
        <v>28366</v>
      </c>
      <c r="C22540" s="5" t="str">
        <f>IFERROR(__xludf.DUMMYFUNCTION("GOOGLETRANSLATE(B22540,""en"",""zh-CN"")"),"这些人鼓掌并从舞台上脱颖而出。")</f>
        <v>这些人鼓掌并从舞台上脱颖而出。</v>
      </c>
    </row>
    <row r="22541">
      <c r="A22541" s="4" t="s">
        <v>28367</v>
      </c>
      <c r="B22541" s="6" t="s">
        <v>28368</v>
      </c>
      <c r="C22541" s="5" t="str">
        <f>IFERROR(__xludf.DUMMYFUNCTION("GOOGLETRANSLATE(B22541,""en"",""zh-CN"")"),"显示了一个时钟的近距离，后面是一个人制作和倒出咖啡以及建筑物的外部。")</f>
        <v>显示了一个时钟的近距离，后面是一个人制作和倒出咖啡以及建筑物的外部。</v>
      </c>
    </row>
    <row r="22542">
      <c r="A22542" s="4" t="s">
        <v>28367</v>
      </c>
      <c r="B22542" s="4" t="s">
        <v>28369</v>
      </c>
      <c r="C22542" s="5" t="str">
        <f>IFERROR(__xludf.DUMMYFUNCTION("GOOGLETRANSLATE(B22542,""en"",""zh-CN"")"),"一个妇女设置了她的钥匙，写在木板上，并导致她的美容和抚摸狗。")</f>
        <v>一个妇女设置了她的钥匙，写在木板上，并导致她的美容和抚摸狗。</v>
      </c>
    </row>
    <row r="22543">
      <c r="A22543" s="4" t="s">
        <v>28367</v>
      </c>
      <c r="B22543" s="6" t="s">
        <v>28370</v>
      </c>
      <c r="C22543" s="5" t="str">
        <f>IFERROR(__xludf.DUMMYFUNCTION("GOOGLETRANSLATE(B22543,""en"",""zh-CN"")"),"显示了几个剪辑，这些剪辑是那个女人从各种视图中修饰动物的剪辑，后来显示的动物。")</f>
        <v>显示了几个剪辑，这些剪辑是那个女人从各种视图中修饰动物的剪辑，后来显示的动物。</v>
      </c>
    </row>
    <row r="22544">
      <c r="A22544" s="4" t="s">
        <v>28371</v>
      </c>
      <c r="B22544" s="6" t="s">
        <v>28372</v>
      </c>
      <c r="C22544" s="5" t="str">
        <f>IFERROR(__xludf.DUMMYFUNCTION("GOOGLETRANSLATE(B22544,""en"",""zh-CN"")"),"看到一个戴着眼镜的女孩在摄像机上说话，这会导致她脱下并将其拿到相机。")</f>
        <v>看到一个戴着眼镜的女孩在摄像机上说话，这会导致她脱下并将其拿到相机。</v>
      </c>
    </row>
    <row r="22545">
      <c r="A22545" s="4" t="s">
        <v>28371</v>
      </c>
      <c r="B22545" s="4" t="s">
        <v>28373</v>
      </c>
      <c r="C22545" s="5" t="str">
        <f>IFERROR(__xludf.DUMMYFUNCTION("GOOGLETRANSLATE(B22545,""en"",""zh-CN"")"),"然后，她握住各种物品，并睁开眼睛，将隐形眼镜放在两只眼睛上。")</f>
        <v>然后，她握住各种物品，并睁开眼睛，将隐形眼镜放在两只眼睛上。</v>
      </c>
    </row>
    <row r="22546">
      <c r="A22546" s="4" t="s">
        <v>28374</v>
      </c>
      <c r="B22546" s="4" t="s">
        <v>1487</v>
      </c>
      <c r="C22546" s="5" t="str">
        <f>IFERROR(__xludf.DUMMYFUNCTION("GOOGLETRANSLATE(B22546,""en"",""zh-CN"")"),"我们看到一个开放标题屏幕。")</f>
        <v>我们看到一个开放标题屏幕。</v>
      </c>
    </row>
    <row r="22547">
      <c r="A22547" s="4" t="s">
        <v>28374</v>
      </c>
      <c r="B22547" s="4" t="s">
        <v>28375</v>
      </c>
      <c r="C22547" s="5" t="str">
        <f>IFERROR(__xludf.DUMMYFUNCTION("GOOGLETRANSLATE(B22547,""en"",""zh-CN"")"),"我们看到一个男人走在山脉上方的高耸的绳索。")</f>
        <v>我们看到一个男人走在山脉上方的高耸的绳索。</v>
      </c>
    </row>
    <row r="22548">
      <c r="A22548" s="4" t="s">
        <v>28374</v>
      </c>
      <c r="B22548" s="4" t="s">
        <v>28376</v>
      </c>
      <c r="C22548" s="5" t="str">
        <f>IFERROR(__xludf.DUMMYFUNCTION("GOOGLETRANSLATE(B22548,""en"",""zh-CN"")"),"我们在左上角的图片中看到一张图片。")</f>
        <v>我们在左上角的图片中看到一张图片。</v>
      </c>
    </row>
    <row r="22549">
      <c r="A22549" s="4" t="s">
        <v>28374</v>
      </c>
      <c r="B22549" s="4" t="s">
        <v>28377</v>
      </c>
      <c r="C22549" s="5" t="str">
        <f>IFERROR(__xludf.DUMMYFUNCTION("GOOGLETRANSLATE(B22549,""en"",""zh-CN"")"),"我们看到那个拿着自拍照的人。")</f>
        <v>我们看到那个拿着自拍照的人。</v>
      </c>
    </row>
    <row r="22550">
      <c r="A22550" s="4" t="s">
        <v>28374</v>
      </c>
      <c r="B22550" s="4" t="s">
        <v>28378</v>
      </c>
      <c r="C22550" s="5" t="str">
        <f>IFERROR(__xludf.DUMMYFUNCTION("GOOGLETRANSLATE(B22550,""en"",""zh-CN"")"),"该男子到达对方并转身。")</f>
        <v>该男子到达对方并转身。</v>
      </c>
    </row>
    <row r="22551">
      <c r="A22551" s="4" t="s">
        <v>28374</v>
      </c>
      <c r="B22551" s="4" t="s">
        <v>28379</v>
      </c>
      <c r="C22551" s="5" t="str">
        <f>IFERROR(__xludf.DUMMYFUNCTION("GOOGLETRANSLATE(B22551,""en"",""zh-CN"")"),"结尾标题屏幕加载。")</f>
        <v>结尾标题屏幕加载。</v>
      </c>
    </row>
    <row r="22552">
      <c r="A22552" s="4" t="s">
        <v>28380</v>
      </c>
      <c r="B22552" s="6" t="s">
        <v>28381</v>
      </c>
      <c r="C22552" s="5" t="str">
        <f>IFERROR(__xludf.DUMMYFUNCTION("GOOGLETRANSLATE(B22552,""en"",""zh-CN"")"),"几张照片显示了一个名人走红地毯，以及一个拥有新闻节目的女人，并在她旁边显示了图片。")</f>
        <v>几张照片显示了一个名人走红地毯，以及一个拥有新闻节目的女人，并在她旁边显示了图片。</v>
      </c>
    </row>
    <row r="22553">
      <c r="A22553" s="4" t="s">
        <v>28380</v>
      </c>
      <c r="B22553" s="6" t="s">
        <v>28382</v>
      </c>
      <c r="C22553" s="5" t="str">
        <f>IFERROR(__xludf.DUMMYFUNCTION("GOOGLETRANSLATE(B22553,""en"",""zh-CN"")"),"显示了更多图片，以及名人滑雪和滑雪板，最后，男人将名人护送到建筑物中，并在女人讲话时更多的图片。")</f>
        <v>显示了更多图片，以及名人滑雪和滑雪板，最后，男人将名人护送到建筑物中，并在女人讲话时更多的图片。</v>
      </c>
    </row>
    <row r="22554">
      <c r="A22554" s="4" t="s">
        <v>28383</v>
      </c>
      <c r="B22554" s="6" t="s">
        <v>28384</v>
      </c>
      <c r="C22554" s="5" t="str">
        <f>IFERROR(__xludf.DUMMYFUNCTION("GOOGLETRANSLATE(B22554,""en"",""zh-CN"")"),"看到一支大型游行乐队站在一栋大建筑物前，其他人站在周围。")</f>
        <v>看到一支大型游行乐队站在一栋大建筑物前，其他人站在周围。</v>
      </c>
    </row>
    <row r="22555">
      <c r="A22555" s="4" t="s">
        <v>28383</v>
      </c>
      <c r="B22555" s="4" t="s">
        <v>28385</v>
      </c>
      <c r="C22555" s="5" t="str">
        <f>IFERROR(__xludf.DUMMYFUNCTION("GOOGLETRANSLATE(B22555,""en"",""zh-CN"")"),"在摄像机竖起时，显示了更多的镜头。")</f>
        <v>在摄像机竖起时，显示了更多的镜头。</v>
      </c>
    </row>
    <row r="22556">
      <c r="A22556" s="4" t="s">
        <v>28386</v>
      </c>
      <c r="B22556" s="6" t="s">
        <v>28387</v>
      </c>
      <c r="C22556" s="5" t="str">
        <f>IFERROR(__xludf.DUMMYFUNCTION("GOOGLETRANSLATE(B22556,""en"",""zh-CN"")"),"一个简介导致在相机前的两个女人，一个站着和说话，另一个坐着看着。")</f>
        <v>一个简介导致在相机前的两个女人，一个站着和说话，另一个坐着看着。</v>
      </c>
    </row>
    <row r="22557">
      <c r="A22557" s="4" t="s">
        <v>28386</v>
      </c>
      <c r="B22557" s="4" t="s">
        <v>28388</v>
      </c>
      <c r="C22557" s="5" t="str">
        <f>IFERROR(__xludf.DUMMYFUNCTION("GOOGLETRANSLATE(B22557,""en"",""zh-CN"")"),"那个女人站着刷子，开始刷女人的头发。")</f>
        <v>那个女人站着刷子，开始刷女人的头发。</v>
      </c>
    </row>
    <row r="22558">
      <c r="A22558" s="4" t="s">
        <v>28386</v>
      </c>
      <c r="B22558" s="4" t="s">
        <v>28389</v>
      </c>
      <c r="C22558" s="5" t="str">
        <f>IFERROR(__xludf.DUMMYFUNCTION("GOOGLETRANSLATE(B22558,""en"",""zh-CN"")"),"她完成了刷女人的头发，然后回头看着相机微笑。")</f>
        <v>她完成了刷女人的头发，然后回头看着相机微笑。</v>
      </c>
    </row>
    <row r="22559">
      <c r="A22559" s="4" t="s">
        <v>28390</v>
      </c>
      <c r="B22559" s="4" t="s">
        <v>28391</v>
      </c>
      <c r="C22559" s="5" t="str">
        <f>IFERROR(__xludf.DUMMYFUNCTION("GOOGLETRANSLATE(B22559,""en"",""zh-CN"")"),"一个女人在踢球比赛中帮助一个小男孩踢球。")</f>
        <v>一个女人在踢球比赛中帮助一个小男孩踢球。</v>
      </c>
    </row>
    <row r="22560">
      <c r="A22560" s="4" t="s">
        <v>28390</v>
      </c>
      <c r="B22560" s="4" t="s">
        <v>28392</v>
      </c>
      <c r="C22560" s="5" t="str">
        <f>IFERROR(__xludf.DUMMYFUNCTION("GOOGLETRANSLATE(B22560,""en"",""zh-CN"")"),"每次球到达基地时，另一个孩子都会转身踢。")</f>
        <v>每次球到达基地时，另一个孩子都会转身踢。</v>
      </c>
    </row>
    <row r="22561">
      <c r="A22561" s="4" t="s">
        <v>28393</v>
      </c>
      <c r="B22561" s="4" t="s">
        <v>28394</v>
      </c>
      <c r="C22561" s="5" t="str">
        <f>IFERROR(__xludf.DUMMYFUNCTION("GOOGLETRANSLATE(B22561,""en"",""zh-CN"")"),"一个男人用杆子和跳高奔跑，然后人们跳了几次。")</f>
        <v>一个男人用杆子和跳高奔跑，然后人们跳了几次。</v>
      </c>
    </row>
    <row r="22562">
      <c r="A22562" s="4" t="s">
        <v>28393</v>
      </c>
      <c r="B22562" s="4" t="s">
        <v>28395</v>
      </c>
      <c r="C22562" s="5" t="str">
        <f>IFERROR(__xludf.DUMMYFUNCTION("GOOGLETRANSLATE(B22562,""en"",""zh-CN"")"),"两个人正在拳击，然后人们聚集，男人降落伞和一个人在水中潜水。")</f>
        <v>两个人正在拳击，然后人们聚集，男人降落伞和一个人在水中潜水。</v>
      </c>
    </row>
    <row r="22563">
      <c r="A22563" s="4" t="s">
        <v>28393</v>
      </c>
      <c r="B22563" s="4" t="s">
        <v>28396</v>
      </c>
      <c r="C22563" s="5" t="str">
        <f>IFERROR(__xludf.DUMMYFUNCTION("GOOGLETRANSLATE(B22563,""en"",""zh-CN"")"),"穿着军装的人，然后他们正在做其他活动。")</f>
        <v>穿着军装的人，然后他们正在做其他活动。</v>
      </c>
    </row>
    <row r="22564">
      <c r="A22564" s="4" t="s">
        <v>28393</v>
      </c>
      <c r="B22564" s="4" t="s">
        <v>28397</v>
      </c>
      <c r="C22564" s="5" t="str">
        <f>IFERROR(__xludf.DUMMYFUNCTION("GOOGLETRANSLATE(B22564,""en"",""zh-CN"")"),"人们练习撑杆跳，攀爬和其他活动。")</f>
        <v>人们练习撑杆跳，攀爬和其他活动。</v>
      </c>
    </row>
    <row r="22565">
      <c r="A22565" s="4" t="s">
        <v>28398</v>
      </c>
      <c r="B22565" s="4" t="s">
        <v>28399</v>
      </c>
      <c r="C22565" s="5" t="str">
        <f>IFERROR(__xludf.DUMMYFUNCTION("GOOGLETRANSLATE(B22565,""en"",""zh-CN"")"),"两名男子在赛道上奔跑，而大量观众和媒体观看。")</f>
        <v>两名男子在赛道上奔跑，而大量观众和媒体观看。</v>
      </c>
    </row>
    <row r="22566">
      <c r="A22566" s="4" t="s">
        <v>28398</v>
      </c>
      <c r="B22566" s="4" t="s">
        <v>28400</v>
      </c>
      <c r="C22566" s="5" t="str">
        <f>IFERROR(__xludf.DUMMYFUNCTION("GOOGLETRANSLATE(B22566,""en"",""zh-CN"")"),"背景中的一个男人和男人一起持续了一会儿。")</f>
        <v>背景中的一个男人和男人一起持续了一会儿。</v>
      </c>
    </row>
    <row r="22567">
      <c r="A22567" s="4" t="s">
        <v>28398</v>
      </c>
      <c r="B22567" s="4" t="s">
        <v>28401</v>
      </c>
      <c r="C22567" s="5" t="str">
        <f>IFERROR(__xludf.DUMMYFUNCTION("GOOGLETRANSLATE(B22567,""en"",""zh-CN"")"),"赛道内车道上的那个人开始非常快地运行，然后跳入沙坑。")</f>
        <v>赛道内车道上的那个人开始非常快地运行，然后跳入沙坑。</v>
      </c>
    </row>
    <row r="22568">
      <c r="A22568" s="4" t="s">
        <v>28398</v>
      </c>
      <c r="B22568" s="4" t="s">
        <v>28402</v>
      </c>
      <c r="C22568" s="5" t="str">
        <f>IFERROR(__xludf.DUMMYFUNCTION("GOOGLETRANSLATE(B22568,""en"",""zh-CN"")"),"另一个人经过沙坑。")</f>
        <v>另一个人经过沙坑。</v>
      </c>
    </row>
    <row r="22569">
      <c r="A22569" s="4" t="s">
        <v>28398</v>
      </c>
      <c r="B22569" s="4" t="s">
        <v>28403</v>
      </c>
      <c r="C22569" s="5" t="str">
        <f>IFERROR(__xludf.DUMMYFUNCTION("GOOGLETRANSLATE(B22569,""en"",""zh-CN"")"),"那个跳出沙坑的人走到侧面。")</f>
        <v>那个跳出沙坑的人走到侧面。</v>
      </c>
    </row>
    <row r="22570">
      <c r="A22570" s="4" t="s">
        <v>28404</v>
      </c>
      <c r="B22570" s="4" t="s">
        <v>28405</v>
      </c>
      <c r="C22570" s="5" t="str">
        <f>IFERROR(__xludf.DUMMYFUNCTION("GOOGLETRANSLATE(B22570,""en"",""zh-CN"")"),"在栅栏里面，男人坐在马上等着。")</f>
        <v>在栅栏里面，男人坐在马上等着。</v>
      </c>
    </row>
    <row r="22571">
      <c r="A22571" s="4" t="s">
        <v>28404</v>
      </c>
      <c r="B22571" s="4" t="s">
        <v>28406</v>
      </c>
      <c r="C22571" s="5" t="str">
        <f>IFERROR(__xludf.DUMMYFUNCTION("GOOGLETRANSLATE(B22571,""en"",""zh-CN"")"),"其中一个人开始追逐他的马公牛。")</f>
        <v>其中一个人开始追逐他的马公牛。</v>
      </c>
    </row>
    <row r="22572">
      <c r="A22572" s="4" t="s">
        <v>28404</v>
      </c>
      <c r="B22572" s="4" t="s">
        <v>28407</v>
      </c>
      <c r="C22572" s="5" t="str">
        <f>IFERROR(__xludf.DUMMYFUNCTION("GOOGLETRANSLATE(B22572,""en"",""zh-CN"")"),"他从马上下车，把公牛倒下，开始回到马。")</f>
        <v>他从马上下车，把公牛倒下，开始回到马。</v>
      </c>
    </row>
    <row r="22573">
      <c r="A22573" s="4" t="s">
        <v>28404</v>
      </c>
      <c r="B22573" s="4" t="s">
        <v>28408</v>
      </c>
      <c r="C22573" s="5" t="str">
        <f>IFERROR(__xludf.DUMMYFUNCTION("GOOGLETRANSLATE(B22573,""en"",""zh-CN"")"),"当公牛只是在地面上击败地面时，他回到马上。")</f>
        <v>当公牛只是在地面上击败地面时，他回到马上。</v>
      </c>
    </row>
    <row r="22574">
      <c r="A22574" s="4" t="s">
        <v>28409</v>
      </c>
      <c r="B22574" s="4" t="s">
        <v>28410</v>
      </c>
      <c r="C22574" s="5" t="str">
        <f>IFERROR(__xludf.DUMMYFUNCTION("GOOGLETRANSLATE(B22574,""en"",""zh-CN"")"),"这些人讨论了一个坐在桌子上的项目。")</f>
        <v>这些人讨论了一个坐在桌子上的项目。</v>
      </c>
    </row>
    <row r="22575">
      <c r="A22575" s="4" t="s">
        <v>28409</v>
      </c>
      <c r="B22575" s="4" t="s">
        <v>28411</v>
      </c>
      <c r="C22575" s="5" t="str">
        <f>IFERROR(__xludf.DUMMYFUNCTION("GOOGLETRANSLATE(B22575,""en"",""zh-CN"")"),"两个人一起坐在桌子旁，从文件中读书。")</f>
        <v>两个人一起坐在桌子旁，从文件中读书。</v>
      </c>
    </row>
    <row r="22576">
      <c r="A22576" s="4" t="s">
        <v>28409</v>
      </c>
      <c r="B22576" s="4" t="s">
        <v>28412</v>
      </c>
      <c r="C22576" s="5" t="str">
        <f>IFERROR(__xludf.DUMMYFUNCTION("GOOGLETRANSLATE(B22576,""en"",""zh-CN"")"),"这两个人玩岩石剪刀的游戏。")</f>
        <v>这两个人玩岩石剪刀的游戏。</v>
      </c>
    </row>
    <row r="22577">
      <c r="A22577" s="4" t="s">
        <v>28413</v>
      </c>
      <c r="B22577" s="4" t="s">
        <v>28414</v>
      </c>
      <c r="C22577" s="5" t="str">
        <f>IFERROR(__xludf.DUMMYFUNCTION("GOOGLETRANSLATE(B22577,""en"",""zh-CN"")"),"厨房水槽里有一个小女孩洗碗和汤匙。")</f>
        <v>厨房水槽里有一个小女孩洗碗和汤匙。</v>
      </c>
    </row>
    <row r="22578">
      <c r="A22578" s="4" t="s">
        <v>28413</v>
      </c>
      <c r="B22578" s="6" t="s">
        <v>28415</v>
      </c>
      <c r="C22578" s="5" t="str">
        <f>IFERROR(__xludf.DUMMYFUNCTION("GOOGLETRANSLATE(B22578,""en"",""zh-CN"")"),"她使用蓝色的洗碗灌木和大量洗碗皂，并在保持水龙头运行的同时洗玻璃和汤匙。")</f>
        <v>她使用蓝色的洗碗灌木和大量洗碗皂，并在保持水龙头运行的同时洗玻璃和汤匙。</v>
      </c>
    </row>
    <row r="22579">
      <c r="A22579" s="4" t="s">
        <v>28413</v>
      </c>
      <c r="B22579" s="4" t="s">
        <v>28416</v>
      </c>
      <c r="C22579" s="5" t="str">
        <f>IFERROR(__xludf.DUMMYFUNCTION("GOOGLETRANSLATE(B22579,""en"",""zh-CN"")"),"当她洗手下的汤匙和刀子时，她的手覆盖着肥皂泡沫。")</f>
        <v>当她洗手下的汤匙和刀子时，她的手覆盖着肥皂泡沫。</v>
      </c>
    </row>
    <row r="22580">
      <c r="A22580" s="4" t="s">
        <v>28413</v>
      </c>
      <c r="B22580" s="4" t="s">
        <v>28417</v>
      </c>
      <c r="C22580" s="5" t="str">
        <f>IFERROR(__xludf.DUMMYFUNCTION("GOOGLETRANSLATE(B22580,""en"",""zh-CN"")"),"然后，她用肥皂和水清洗披萨刀和汤匙。")</f>
        <v>然后，她用肥皂和水清洗披萨刀和汤匙。</v>
      </c>
    </row>
    <row r="22581">
      <c r="A22581" s="4" t="s">
        <v>28418</v>
      </c>
      <c r="B22581" s="4" t="s">
        <v>28419</v>
      </c>
      <c r="C22581" s="5" t="str">
        <f>IFERROR(__xludf.DUMMYFUNCTION("GOOGLETRANSLATE(B22581,""en"",""zh-CN"")"),"一个男人正在玩沙芬板游戏。")</f>
        <v>一个男人正在玩沙芬板游戏。</v>
      </c>
    </row>
    <row r="22582">
      <c r="A22582" s="4" t="s">
        <v>28418</v>
      </c>
      <c r="B22582" s="4" t="s">
        <v>28420</v>
      </c>
      <c r="C22582" s="5" t="str">
        <f>IFERROR(__xludf.DUMMYFUNCTION("GOOGLETRANSLATE(B22582,""en"",""zh-CN"")"),"一个男人跌倒在洗牌板上。")</f>
        <v>一个男人跌倒在洗牌板上。</v>
      </c>
    </row>
    <row r="22583">
      <c r="A22583" s="4" t="s">
        <v>28418</v>
      </c>
      <c r="B22583" s="4" t="s">
        <v>28421</v>
      </c>
      <c r="C22583" s="5" t="str">
        <f>IFERROR(__xludf.DUMMYFUNCTION("GOOGLETRANSLATE(B22583,""en"",""zh-CN"")"),"光盘被掉到地上。")</f>
        <v>光盘被掉到地上。</v>
      </c>
    </row>
    <row r="22584">
      <c r="A22584" s="4" t="s">
        <v>28422</v>
      </c>
      <c r="B22584" s="4" t="s">
        <v>28423</v>
      </c>
      <c r="C22584" s="5" t="str">
        <f>IFERROR(__xludf.DUMMYFUNCTION("GOOGLETRANSLATE(B22584,""en"",""zh-CN"")"),"一个女孩说话站在人行道上，然后她走到一个霍夫斯科。")</f>
        <v>一个女孩说话站在人行道上，然后她走到一个霍夫斯科。</v>
      </c>
    </row>
    <row r="22585">
      <c r="A22585" s="4" t="s">
        <v>28422</v>
      </c>
      <c r="B22585" s="4" t="s">
        <v>28424</v>
      </c>
      <c r="C22585" s="5" t="str">
        <f>IFERROR(__xludf.DUMMYFUNCTION("GOOGLETRANSLATE(B22585,""en"",""zh-CN"")"),"这个女孩站在霍普奇上，然后她在说话时跳跳。")</f>
        <v>这个女孩站在霍普奇上，然后她在说话时跳跳。</v>
      </c>
    </row>
    <row r="22586">
      <c r="A22586" s="4" t="s">
        <v>28425</v>
      </c>
      <c r="B22586" s="4" t="s">
        <v>28426</v>
      </c>
      <c r="C22586" s="5" t="str">
        <f>IFERROR(__xludf.DUMMYFUNCTION("GOOGLETRANSLATE(B22586,""en"",""zh-CN"")"),"一个男人提供有关户外体育锻炼的提示。")</f>
        <v>一个男人提供有关户外体育锻炼的提示。</v>
      </c>
    </row>
    <row r="22587">
      <c r="A22587" s="4" t="s">
        <v>28425</v>
      </c>
      <c r="B22587" s="4" t="s">
        <v>28427</v>
      </c>
      <c r="C22587" s="5" t="str">
        <f>IFERROR(__xludf.DUMMYFUNCTION("GOOGLETRANSLATE(B22587,""en"",""zh-CN"")"),"他在上身强度来回演示的猴子酒吧。")</f>
        <v>他在上身强度来回演示的猴子酒吧。</v>
      </c>
    </row>
    <row r="22588">
      <c r="A22588" s="4" t="s">
        <v>28428</v>
      </c>
      <c r="B22588" s="4" t="s">
        <v>28429</v>
      </c>
      <c r="C22588" s="5" t="str">
        <f>IFERROR(__xludf.DUMMYFUNCTION("GOOGLETRANSLATE(B22588,""en"",""zh-CN"")"),"给出了有关身体健康的新闻报道。")</f>
        <v>给出了有关身体健康的新闻报道。</v>
      </c>
    </row>
    <row r="22589">
      <c r="A22589" s="4" t="s">
        <v>28428</v>
      </c>
      <c r="B22589" s="4" t="s">
        <v>28430</v>
      </c>
      <c r="C22589" s="5" t="str">
        <f>IFERROR(__xludf.DUMMYFUNCTION("GOOGLETRANSLATE(B22589,""en"",""zh-CN"")"),"一些人讨论了Hulahooping的好处，然后进行示威。")</f>
        <v>一些人讨论了Hulahooping的好处，然后进行示威。</v>
      </c>
    </row>
    <row r="22590">
      <c r="A22590" s="4" t="s">
        <v>28431</v>
      </c>
      <c r="B22590" s="4" t="s">
        <v>28432</v>
      </c>
      <c r="C22590" s="5" t="str">
        <f>IFERROR(__xludf.DUMMYFUNCTION("GOOGLETRANSLATE(B22590,""en"",""zh-CN"")"),"看到一名妇女在舞台上拿着一杯饮料，又是麦克风和观众。")</f>
        <v>看到一名妇女在舞台上拿着一杯饮料，又是麦克风和观众。</v>
      </c>
    </row>
    <row r="22591">
      <c r="A22591" s="4" t="s">
        <v>28431</v>
      </c>
      <c r="B22591" s="6" t="s">
        <v>28433</v>
      </c>
      <c r="C22591" s="5" t="str">
        <f>IFERROR(__xludf.DUMMYFUNCTION("GOOGLETRANSLATE(B22591,""en"",""zh-CN"")"),"该名女士继续饮酒并放下饮料时继续讲话并环顾观众。")</f>
        <v>该名女士继续饮酒并放下饮料时继续讲话并环顾观众。</v>
      </c>
    </row>
    <row r="22592">
      <c r="A22592" s="4" t="s">
        <v>28431</v>
      </c>
      <c r="B22592" s="4" t="s">
        <v>28434</v>
      </c>
      <c r="C22592" s="5" t="str">
        <f>IFERROR(__xludf.DUMMYFUNCTION("GOOGLETRANSLATE(B22592,""en"",""zh-CN"")"),"最终，她拿起吉他，从前面抓住一张照片，走了下一步。")</f>
        <v>最终，她拿起吉他，从前面抓住一张照片，走了下一步。</v>
      </c>
    </row>
    <row r="22593">
      <c r="A22593" s="4" t="s">
        <v>28435</v>
      </c>
      <c r="B22593" s="6" t="s">
        <v>28436</v>
      </c>
      <c r="C22593" s="5" t="str">
        <f>IFERROR(__xludf.DUMMYFUNCTION("GOOGLETRANSLATE(B22593,""en"",""zh-CN"")"),"看到一大批人彼此站在彼此的身后，其他人在侧面看着，并通往沿着道路奔跑的小组。")</f>
        <v>看到一大批人彼此站在彼此的身后，其他人在侧面看着，并通往沿着道路奔跑的小组。</v>
      </c>
    </row>
    <row r="22594">
      <c r="A22594" s="4" t="s">
        <v>28435</v>
      </c>
      <c r="B22594" s="6" t="s">
        <v>28437</v>
      </c>
      <c r="C22594" s="5" t="str">
        <f>IFERROR(__xludf.DUMMYFUNCTION("GOOGLETRANSLATE(B22594,""en"",""zh-CN"")"),"大批孩子们继续互相奔跑，而人们仍然在侧面看。")</f>
        <v>大批孩子们继续互相奔跑，而人们仍然在侧面看。</v>
      </c>
    </row>
    <row r="22595">
      <c r="A22595" s="4" t="s">
        <v>28438</v>
      </c>
      <c r="B22595" s="4" t="s">
        <v>28439</v>
      </c>
      <c r="C22595" s="5" t="str">
        <f>IFERROR(__xludf.DUMMYFUNCTION("GOOGLETRANSLATE(B22595,""en"",""zh-CN"")"),"看到一个男人坐在一个开始弹钢琴的女人面前。")</f>
        <v>看到一个男人坐在一个开始弹钢琴的女人面前。</v>
      </c>
    </row>
    <row r="22596">
      <c r="A22596" s="4" t="s">
        <v>28438</v>
      </c>
      <c r="B22596" s="4" t="s">
        <v>28440</v>
      </c>
      <c r="C22596" s="5" t="str">
        <f>IFERROR(__xludf.DUMMYFUNCTION("GOOGLETRANSLATE(B22596,""en"",""zh-CN"")"),"看到另一个男人坐在她旁边的手风琴旁边。")</f>
        <v>看到另一个男人坐在她旁边的手风琴旁边。</v>
      </c>
    </row>
    <row r="22597">
      <c r="A22597" s="4" t="s">
        <v>28438</v>
      </c>
      <c r="B22597" s="6" t="s">
        <v>28441</v>
      </c>
      <c r="C22597" s="5" t="str">
        <f>IFERROR(__xludf.DUMMYFUNCTION("GOOGLETRANSLATE(B22597,""en"",""zh-CN"")"),"男人和女人在微笑，点头时一起玩耍，最后停下来，男人鼓掌。")</f>
        <v>男人和女人在微笑，点头时一起玩耍，最后停下来，男人鼓掌。</v>
      </c>
    </row>
    <row r="22598">
      <c r="A22598" s="4" t="s">
        <v>28442</v>
      </c>
      <c r="B22598" s="4" t="s">
        <v>28443</v>
      </c>
      <c r="C22598" s="5" t="str">
        <f>IFERROR(__xludf.DUMMYFUNCTION("GOOGLETRANSLATE(B22598,""en"",""zh-CN"")"),"一个男人坐在三支鼓后面。")</f>
        <v>一个男人坐在三支鼓后面。</v>
      </c>
    </row>
    <row r="22599">
      <c r="A22599" s="4" t="s">
        <v>28442</v>
      </c>
      <c r="B22599" s="4" t="s">
        <v>28444</v>
      </c>
      <c r="C22599" s="5" t="str">
        <f>IFERROR(__xludf.DUMMYFUNCTION("GOOGLETRANSLATE(B22599,""en"",""zh-CN"")"),"他开始在他面前打鼓。")</f>
        <v>他开始在他面前打鼓。</v>
      </c>
    </row>
    <row r="22600">
      <c r="A22600" s="4" t="s">
        <v>28442</v>
      </c>
      <c r="B22600" s="4" t="s">
        <v>28445</v>
      </c>
      <c r="C22600" s="5" t="str">
        <f>IFERROR(__xludf.DUMMYFUNCTION("GOOGLETRANSLATE(B22600,""en"",""zh-CN"")"),"他完成了比赛，并在屏幕上显示了图片。")</f>
        <v>他完成了比赛，并在屏幕上显示了图片。</v>
      </c>
    </row>
    <row r="22601">
      <c r="A22601" s="4" t="s">
        <v>28446</v>
      </c>
      <c r="B22601" s="6" t="s">
        <v>28447</v>
      </c>
      <c r="C22601" s="5" t="str">
        <f>IFERROR(__xludf.DUMMYFUNCTION("GOOGLETRANSLATE(B22601,""en"",""zh-CN"")"),"看到一大批人站在一个大型体育馆周围，彼此玩道奇球。")</f>
        <v>看到一大批人站在一个大型体育馆周围，彼此玩道奇球。</v>
      </c>
    </row>
    <row r="22602">
      <c r="A22602" s="4" t="s">
        <v>28446</v>
      </c>
      <c r="B22602" s="6" t="s">
        <v>28448</v>
      </c>
      <c r="C22602" s="5" t="str">
        <f>IFERROR(__xludf.DUMMYFUNCTION("GOOGLETRANSLATE(B22602,""en"",""zh-CN"")"),"一个人进行了令人印象深刻的翻转，导致一个男人在相机上说话，并显示出更多令人印象深刻的躲避球比赛。")</f>
        <v>一个人进行了令人印象深刻的翻转，导致一个男人在相机上说话，并显示出更多令人印象深刻的躲避球比赛。</v>
      </c>
    </row>
    <row r="22603">
      <c r="A22603" s="4" t="s">
        <v>28449</v>
      </c>
      <c r="B22603" s="4" t="s">
        <v>28450</v>
      </c>
      <c r="C22603" s="5" t="str">
        <f>IFERROR(__xludf.DUMMYFUNCTION("GOOGLETRANSLATE(B22603,""en"",""zh-CN"")"),"一名男运动员将粉末放在手上。")</f>
        <v>一名男运动员将粉末放在手上。</v>
      </c>
    </row>
    <row r="22604">
      <c r="A22604" s="4" t="s">
        <v>28449</v>
      </c>
      <c r="B22604" s="4" t="s">
        <v>28451</v>
      </c>
      <c r="C22604" s="5" t="str">
        <f>IFERROR(__xludf.DUMMYFUNCTION("GOOGLETRANSLATE(B22604,""en"",""zh-CN"")"),"他在健身房上安装远光灯。")</f>
        <v>他在健身房上安装远光灯。</v>
      </c>
    </row>
    <row r="22605">
      <c r="A22605" s="4" t="s">
        <v>28449</v>
      </c>
      <c r="B22605" s="4" t="s">
        <v>28452</v>
      </c>
      <c r="C22605" s="5" t="str">
        <f>IFERROR(__xludf.DUMMYFUNCTION("GOOGLETRANSLATE(B22605,""en"",""zh-CN"")"),"他旋转几次，然后卸下。")</f>
        <v>他旋转几次，然后卸下。</v>
      </c>
    </row>
    <row r="22606">
      <c r="A22606" s="4" t="s">
        <v>28453</v>
      </c>
      <c r="B22606" s="6" t="s">
        <v>28454</v>
      </c>
      <c r="C22606" s="5" t="str">
        <f>IFERROR(__xludf.DUMMYFUNCTION("GOOGLETRANSLATE(B22606,""en"",""zh-CN"")"),"从几个角度展示了一枪，并导致各种骑行滑雪板和做技巧的人的镜头。")</f>
        <v>从几个角度展示了一枪，并导致各种骑行滑雪板和做技巧的人的镜头。</v>
      </c>
    </row>
    <row r="22607">
      <c r="A22607" s="4" t="s">
        <v>28453</v>
      </c>
      <c r="B22607" s="4" t="s">
        <v>28455</v>
      </c>
      <c r="C22607" s="5" t="str">
        <f>IFERROR(__xludf.DUMMYFUNCTION("GOOGLETRANSLATE(B22607,""en"",""zh-CN"")"),"当船只在该地区围绕着船只时，显示了滑雪者的更近距离。")</f>
        <v>当船只在该地区围绕着船只时，显示了滑雪者的更近距离。</v>
      </c>
    </row>
    <row r="22608">
      <c r="A22608" s="4" t="s">
        <v>28456</v>
      </c>
      <c r="B22608" s="4" t="s">
        <v>28457</v>
      </c>
      <c r="C22608" s="5" t="str">
        <f>IFERROR(__xludf.DUMMYFUNCTION("GOOGLETRANSLATE(B22608,""en"",""zh-CN"")"),"一个人正在沿着轨道奔跑。")</f>
        <v>一个人正在沿着轨道奔跑。</v>
      </c>
    </row>
    <row r="22609">
      <c r="A22609" s="4" t="s">
        <v>28456</v>
      </c>
      <c r="B22609" s="4" t="s">
        <v>28458</v>
      </c>
      <c r="C22609" s="5" t="str">
        <f>IFERROR(__xludf.DUMMYFUNCTION("GOOGLETRANSLATE(B22609,""en"",""zh-CN"")"),"他跳到蓝色垫子上。")</f>
        <v>他跳到蓝色垫子上。</v>
      </c>
    </row>
    <row r="22610">
      <c r="A22610" s="4" t="s">
        <v>28456</v>
      </c>
      <c r="B22610" s="4" t="s">
        <v>28459</v>
      </c>
      <c r="C22610" s="5" t="str">
        <f>IFERROR(__xludf.DUMMYFUNCTION("GOOGLETRANSLATE(B22610,""en"",""zh-CN"")"),"他跳过一个高的酒吧，降落在蓝色垫子上。")</f>
        <v>他跳过一个高的酒吧，降落在蓝色垫子上。</v>
      </c>
    </row>
    <row r="22611">
      <c r="A22611" s="4" t="s">
        <v>28460</v>
      </c>
      <c r="B22611" s="4" t="s">
        <v>28461</v>
      </c>
      <c r="C22611" s="5" t="str">
        <f>IFERROR(__xludf.DUMMYFUNCTION("GOOGLETRANSLATE(B22611,""en"",""zh-CN"")"),"一个女人刷，干了头发。")</f>
        <v>一个女人刷，干了头发。</v>
      </c>
    </row>
    <row r="22612">
      <c r="A22612" s="4" t="s">
        <v>28460</v>
      </c>
      <c r="B22612" s="4" t="s">
        <v>28462</v>
      </c>
      <c r="C22612" s="5" t="str">
        <f>IFERROR(__xludf.DUMMYFUNCTION("GOOGLETRANSLATE(B22612,""en"",""zh-CN"")"),"那个女人把吹干机放下，再次刷头发。")</f>
        <v>那个女人把吹干机放下，再次刷头发。</v>
      </c>
    </row>
    <row r="22613">
      <c r="A22613" s="4" t="s">
        <v>28463</v>
      </c>
      <c r="B22613" s="4" t="s">
        <v>28464</v>
      </c>
      <c r="C22613" s="5" t="str">
        <f>IFERROR(__xludf.DUMMYFUNCTION("GOOGLETRANSLATE(B22613,""en"",""zh-CN"")"),"一个孩子对相机微笑。")</f>
        <v>一个孩子对相机微笑。</v>
      </c>
    </row>
    <row r="22614">
      <c r="A22614" s="4" t="s">
        <v>28463</v>
      </c>
      <c r="B22614" s="4" t="s">
        <v>28465</v>
      </c>
      <c r="C22614" s="5" t="str">
        <f>IFERROR(__xludf.DUMMYFUNCTION("GOOGLETRANSLATE(B22614,""en"",""zh-CN"")"),"儿童练习曲棍球，地面上有障碍物。")</f>
        <v>儿童练习曲棍球，地面上有障碍物。</v>
      </c>
    </row>
    <row r="22615">
      <c r="A22615" s="4" t="s">
        <v>28463</v>
      </c>
      <c r="B22615" s="4" t="s">
        <v>28466</v>
      </c>
      <c r="C22615" s="5" t="str">
        <f>IFERROR(__xludf.DUMMYFUNCTION("GOOGLETRANSLATE(B22615,""en"",""zh-CN"")"),"孩子离开相机。")</f>
        <v>孩子离开相机。</v>
      </c>
    </row>
    <row r="22616">
      <c r="A22616" s="4" t="s">
        <v>28467</v>
      </c>
      <c r="B22616" s="4" t="s">
        <v>28468</v>
      </c>
      <c r="C22616" s="5" t="str">
        <f>IFERROR(__xludf.DUMMYFUNCTION("GOOGLETRANSLATE(B22616,""en"",""zh-CN"")"),"我们在电视工作室里看到两个男人在谈论。")</f>
        <v>我们在电视工作室里看到两个男人在谈论。</v>
      </c>
    </row>
    <row r="22617">
      <c r="A22617" s="4" t="s">
        <v>28467</v>
      </c>
      <c r="B22617" s="4" t="s">
        <v>28469</v>
      </c>
      <c r="C22617" s="5" t="str">
        <f>IFERROR(__xludf.DUMMYFUNCTION("GOOGLETRANSLATE(B22617,""en"",""zh-CN"")"),"我们看到人们在玩室内足球比赛。")</f>
        <v>我们看到人们在玩室内足球比赛。</v>
      </c>
    </row>
    <row r="22618">
      <c r="A22618" s="4" t="s">
        <v>28467</v>
      </c>
      <c r="B22618" s="4" t="s">
        <v>28470</v>
      </c>
      <c r="C22618" s="5" t="str">
        <f>IFERROR(__xludf.DUMMYFUNCTION("GOOGLETRANSLATE(B22618,""en"",""zh-CN"")"),"一个黑色的男人的手臂在空中奔跑。")</f>
        <v>一个黑色的男人的手臂在空中奔跑。</v>
      </c>
    </row>
    <row r="22619">
      <c r="A22619" s="4" t="s">
        <v>28467</v>
      </c>
      <c r="B22619" s="4" t="s">
        <v>28471</v>
      </c>
      <c r="C22619" s="5" t="str">
        <f>IFERROR(__xludf.DUMMYFUNCTION("GOOGLETRANSLATE(B22619,""en"",""zh-CN"")"),"一个黄色滑梯的男人在地面上。")</f>
        <v>一个黄色滑梯的男人在地面上。</v>
      </c>
    </row>
    <row r="22620">
      <c r="A22620" s="4" t="s">
        <v>28467</v>
      </c>
      <c r="B22620" s="4" t="s">
        <v>28472</v>
      </c>
      <c r="C22620" s="5" t="str">
        <f>IFERROR(__xludf.DUMMYFUNCTION("GOOGLETRANSLATE(B22620,""en"",""zh-CN"")"),"10 in黄色发脾气。")</f>
        <v>10 in黄色发脾气。</v>
      </c>
    </row>
    <row r="22621">
      <c r="A22621" s="4" t="s">
        <v>28467</v>
      </c>
      <c r="B22621" s="4" t="s">
        <v>28473</v>
      </c>
      <c r="C22621" s="5" t="str">
        <f>IFERROR(__xludf.DUMMYFUNCTION("GOOGLETRANSLATE(B22621,""en"",""zh-CN"")"),"黄色团队都互相拥抱。")</f>
        <v>黄色团队都互相拥抱。</v>
      </c>
    </row>
    <row r="22622">
      <c r="A22622" s="4" t="s">
        <v>28467</v>
      </c>
      <c r="B22622" s="4" t="s">
        <v>28474</v>
      </c>
      <c r="C22622" s="5" t="str">
        <f>IFERROR(__xludf.DUMMYFUNCTION("GOOGLETRANSLATE(B22622,""en"",""zh-CN"")"),"我们回到工作室里的男人。")</f>
        <v>我们回到工作室里的男人。</v>
      </c>
    </row>
    <row r="22623">
      <c r="A22623" s="4" t="s">
        <v>28475</v>
      </c>
      <c r="B22623" s="4" t="s">
        <v>28476</v>
      </c>
      <c r="C22623" s="5" t="str">
        <f>IFERROR(__xludf.DUMMYFUNCTION("GOOGLETRANSLATE(B22623,""en"",""zh-CN"")"),"一个男人在外面有两只狗在皮带上。")</f>
        <v>一个男人在外面有两只狗在皮带上。</v>
      </c>
    </row>
    <row r="22624">
      <c r="A22624" s="4" t="s">
        <v>28475</v>
      </c>
      <c r="B22624" s="4" t="s">
        <v>28477</v>
      </c>
      <c r="C22624" s="5" t="str">
        <f>IFERROR(__xludf.DUMMYFUNCTION("GOOGLETRANSLATE(B22624,""en"",""zh-CN"")"),"他与训练有素的狗一起表演。")</f>
        <v>他与训练有素的狗一起表演。</v>
      </c>
    </row>
    <row r="22625">
      <c r="A22625" s="4" t="s">
        <v>28475</v>
      </c>
      <c r="B22625" s="4" t="s">
        <v>28478</v>
      </c>
      <c r="C22625" s="5" t="str">
        <f>IFERROR(__xludf.DUMMYFUNCTION("GOOGLETRANSLATE(B22625,""en"",""zh-CN"")"),"他扔了菜，小人群为表演狗拍了拍。")</f>
        <v>他扔了菜，小人群为表演狗拍了拍。</v>
      </c>
    </row>
    <row r="22626">
      <c r="A22626" s="4" t="s">
        <v>28479</v>
      </c>
      <c r="B22626" s="4" t="s">
        <v>28480</v>
      </c>
      <c r="C22626" s="5" t="str">
        <f>IFERROR(__xludf.DUMMYFUNCTION("GOOGLETRANSLATE(B22626,""en"",""zh-CN"")"),"一个人站在房子的屋顶上，将a踩在屋顶上。")</f>
        <v>一个人站在房子的屋顶上，将a踩在屋顶上。</v>
      </c>
    </row>
    <row r="22627">
      <c r="A22627" s="4" t="s">
        <v>28479</v>
      </c>
      <c r="B22627" s="4" t="s">
        <v>28481</v>
      </c>
      <c r="C22627" s="5" t="str">
        <f>IFERROR(__xludf.DUMMYFUNCTION("GOOGLETRANSLATE(B22627,""en"",""zh-CN"")"),"然后，该男子用一只手握住工具的手柄。")</f>
        <v>然后，该男子用一只手握住工具的手柄。</v>
      </c>
    </row>
    <row r="22628">
      <c r="A22628" s="4" t="s">
        <v>28479</v>
      </c>
      <c r="B22628" s="4" t="s">
        <v>28482</v>
      </c>
      <c r="C22628" s="5" t="str">
        <f>IFERROR(__xludf.DUMMYFUNCTION("GOOGLETRANSLATE(B22628,""en"",""zh-CN"")"),"该男子用两只手握住手柄，然后他继续用一只手握住工具。")</f>
        <v>该男子用两只手握住手柄，然后他继续用一只手握住工具。</v>
      </c>
    </row>
    <row r="22629">
      <c r="A22629" s="4" t="s">
        <v>28483</v>
      </c>
      <c r="B22629" s="4" t="s">
        <v>28484</v>
      </c>
      <c r="C22629" s="5" t="str">
        <f>IFERROR(__xludf.DUMMYFUNCTION("GOOGLETRANSLATE(B22629,""en"",""zh-CN"")"),"看到一个人的手试图在桌子的末端显示鲁rubix立方体。")</f>
        <v>看到一个人的手试图在桌子的末端显示鲁rubix立方体。</v>
      </c>
    </row>
    <row r="22630">
      <c r="A22630" s="4" t="s">
        <v>28483</v>
      </c>
      <c r="B22630" s="4" t="s">
        <v>28485</v>
      </c>
      <c r="C22630" s="5" t="str">
        <f>IFERROR(__xludf.DUMMYFUNCTION("GOOGLETRANSLATE(B22630,""en"",""zh-CN"")"),"该人一直持续到完成立方体，然后在屏幕上展示他的时间。")</f>
        <v>该人一直持续到完成立方体，然后在屏幕上展示他的时间。</v>
      </c>
    </row>
    <row r="22631">
      <c r="A22631" s="4" t="s">
        <v>28486</v>
      </c>
      <c r="B22631" s="6" t="s">
        <v>28487</v>
      </c>
      <c r="C22631" s="5" t="str">
        <f>IFERROR(__xludf.DUMMYFUNCTION("GOOGLETRANSLATE(B22631,""en"",""zh-CN"")"),"一群年轻的女孩穿着粉红色的芭蕾舞短裙，站在舞台上，做自己的芭蕾舞演员。")</f>
        <v>一群年轻的女孩穿着粉红色的芭蕾舞短裙，站在舞台上，做自己的芭蕾舞演员。</v>
      </c>
    </row>
    <row r="22632">
      <c r="A22632" s="4" t="s">
        <v>28486</v>
      </c>
      <c r="B22632" s="6" t="s">
        <v>28488</v>
      </c>
      <c r="C22632" s="5" t="str">
        <f>IFERROR(__xludf.DUMMYFUNCTION("GOOGLETRANSLATE(B22632,""en"",""zh-CN"")"),"其中一个女孩从其余的人手中脱离同步，在做例行工作时开始移动脚，而其他女孩都站在脚上并只是手臂移动。")</f>
        <v>其中一个女孩从其余的人手中脱离同步，在做例行工作时开始移动脚，而其他女孩都站在脚上并只是手臂移动。</v>
      </c>
    </row>
    <row r="22633">
      <c r="A22633" s="4" t="s">
        <v>28486</v>
      </c>
      <c r="B22633" s="6" t="s">
        <v>28489</v>
      </c>
      <c r="C22633" s="5" t="str">
        <f>IFERROR(__xludf.DUMMYFUNCTION("GOOGLETRANSLATE(B22633,""en"",""zh-CN"")"),"这些女孩现在开始唱歌，因为她们继续跳舞，而从同步进行自己的事情的那个女孩继续进行自己的舞蹈，与大多数年轻女孩不同。")</f>
        <v>这些女孩现在开始唱歌，因为她们继续跳舞，而从同步进行自己的事情的那个女孩继续进行自己的舞蹈，与大多数年轻女孩不同。</v>
      </c>
    </row>
    <row r="22634">
      <c r="A22634" s="4" t="s">
        <v>28486</v>
      </c>
      <c r="B22634" s="4" t="s">
        <v>28490</v>
      </c>
      <c r="C22634" s="5" t="str">
        <f>IFERROR(__xludf.DUMMYFUNCTION("GOOGLETRANSLATE(B22634,""en"",""zh-CN"")"),"舞蹈结束了，一些女孩屈服了，然后她们都走出舞台。")</f>
        <v>舞蹈结束了，一些女孩屈服了，然后她们都走出舞台。</v>
      </c>
    </row>
    <row r="22635">
      <c r="A22635" s="4" t="s">
        <v>28491</v>
      </c>
      <c r="B22635" s="4" t="s">
        <v>28492</v>
      </c>
      <c r="C22635" s="5" t="str">
        <f>IFERROR(__xludf.DUMMYFUNCTION("GOOGLETRANSLATE(B22635,""en"",""zh-CN"")"),"电影面具中的一个男人坐在楼梯上坐着。")</f>
        <v>电影面具中的一个男人坐在楼梯上坐着。</v>
      </c>
    </row>
    <row r="22636">
      <c r="A22636" s="4" t="s">
        <v>28491</v>
      </c>
      <c r="B22636" s="4" t="s">
        <v>28493</v>
      </c>
      <c r="C22636" s="5" t="str">
        <f>IFERROR(__xludf.DUMMYFUNCTION("GOOGLETRANSLATE(B22636,""en"",""zh-CN"")"),"他正在为经过的人们弹奏手风琴。")</f>
        <v>他正在为经过的人们弹奏手风琴。</v>
      </c>
    </row>
    <row r="22637">
      <c r="A22637" s="4" t="s">
        <v>28491</v>
      </c>
      <c r="B22637" s="4" t="s">
        <v>28494</v>
      </c>
      <c r="C22637" s="5" t="str">
        <f>IFERROR(__xludf.DUMMYFUNCTION("GOOGLETRANSLATE(B22637,""en"",""zh-CN"")"),"一些停下来聆听，然后继续前进。")</f>
        <v>一些停下来聆听，然后继续前进。</v>
      </c>
    </row>
    <row r="22638">
      <c r="A22638" s="4" t="s">
        <v>28495</v>
      </c>
      <c r="B22638" s="6" t="s">
        <v>28496</v>
      </c>
      <c r="C22638" s="5" t="str">
        <f>IFERROR(__xludf.DUMMYFUNCTION("GOOGLETRANSLATE(B22638,""en"",""zh-CN"")"),"一个女人在玩具宝宝上演示了如何用棉球和湿毛巾洗婴儿并洗脸。")</f>
        <v>一个女人在玩具宝宝上演示了如何用棉球和湿毛巾洗婴儿并洗脸。</v>
      </c>
    </row>
    <row r="22639">
      <c r="A22639" s="4" t="s">
        <v>28495</v>
      </c>
      <c r="B22639" s="4" t="s">
        <v>28497</v>
      </c>
      <c r="C22639" s="5" t="str">
        <f>IFERROR(__xludf.DUMMYFUNCTION("GOOGLETRANSLATE(B22639,""en"",""zh-CN"")"),"一个女人站在玩具婴儿的前面，与镜头说话。")</f>
        <v>一个女人站在玩具婴儿的前面，与镜头说话。</v>
      </c>
    </row>
    <row r="22640">
      <c r="A22640" s="4" t="s">
        <v>28495</v>
      </c>
      <c r="B22640" s="6" t="s">
        <v>28498</v>
      </c>
      <c r="C22640" s="5" t="str">
        <f>IFERROR(__xludf.DUMMYFUNCTION("GOOGLETRANSLATE(B22640,""en"",""zh-CN"")"),"女人用白色的毯子将婴儿缠住，然后开始涂上从附近充满水的容器到婴儿的眼睛，鼻子和脸部浸泡的棉球。")</f>
        <v>女人用白色的毯子将婴儿缠住，然后开始涂上从附近充满水的容器到婴儿的眼睛，鼻子和脸部浸泡的棉球。</v>
      </c>
    </row>
    <row r="22641">
      <c r="A22641" s="4" t="s">
        <v>28495</v>
      </c>
      <c r="B22641" s="4" t="s">
        <v>28499</v>
      </c>
      <c r="C22641" s="5" t="str">
        <f>IFERROR(__xludf.DUMMYFUNCTION("GOOGLETRANSLATE(B22641,""en"",""zh-CN"")"),"女人完成并再次与镜头交谈。")</f>
        <v>女人完成并再次与镜头交谈。</v>
      </c>
    </row>
    <row r="22642">
      <c r="A22642" s="4" t="s">
        <v>28500</v>
      </c>
      <c r="B22642" s="4" t="s">
        <v>28501</v>
      </c>
      <c r="C22642" s="5" t="str">
        <f>IFERROR(__xludf.DUMMYFUNCTION("GOOGLETRANSLATE(B22642,""en"",""zh-CN"")"),"看到一个女人在相机上说话，并开始拆箱物品。")</f>
        <v>看到一个女人在相机上说话，并开始拆箱物品。</v>
      </c>
    </row>
    <row r="22643">
      <c r="A22643" s="4" t="s">
        <v>28500</v>
      </c>
      <c r="B22643" s="6" t="s">
        <v>28502</v>
      </c>
      <c r="C22643" s="5" t="str">
        <f>IFERROR(__xludf.DUMMYFUNCTION("GOOGLETRANSLATE(B22643,""en"",""zh-CN"")"),"她拔出面板，戴上太阳镜，并在相机上展示一锅物体。")</f>
        <v>她拔出面板，戴上太阳镜，并在相机上展示一锅物体。</v>
      </c>
    </row>
    <row r="22644">
      <c r="A22644" s="4" t="s">
        <v>28500</v>
      </c>
      <c r="B22644" s="4" t="s">
        <v>28503</v>
      </c>
      <c r="C22644" s="5" t="str">
        <f>IFERROR(__xludf.DUMMYFUNCTION("GOOGLETRANSLATE(B22644,""en"",""zh-CN"")"),"她继续与相机交谈，并将物体拉出以呈现烤饼干。")</f>
        <v>她继续与相机交谈，并将物体拉出以呈现烤饼干。</v>
      </c>
    </row>
    <row r="22645">
      <c r="A22645" s="4" t="s">
        <v>28500</v>
      </c>
      <c r="B22645" s="4" t="s">
        <v>28504</v>
      </c>
      <c r="C22645" s="5" t="str">
        <f>IFERROR(__xludf.DUMMYFUNCTION("GOOGLETRANSLATE(B22645,""en"",""zh-CN"")"),"饼干再次在托盘上看到，她打开它们以欣赏。")</f>
        <v>饼干再次在托盘上看到，她打开它们以欣赏。</v>
      </c>
    </row>
    <row r="22646">
      <c r="A22646" s="4" t="s">
        <v>28505</v>
      </c>
      <c r="B22646" s="4" t="s">
        <v>28506</v>
      </c>
      <c r="C22646" s="5" t="str">
        <f>IFERROR(__xludf.DUMMYFUNCTION("GOOGLETRANSLATE(B22646,""en"",""zh-CN"")"),"一个小男孩正在将油漆刷浸入蓝色水桶中。")</f>
        <v>一个小男孩正在将油漆刷浸入蓝色水桶中。</v>
      </c>
    </row>
    <row r="22647">
      <c r="A22647" s="4" t="s">
        <v>28505</v>
      </c>
      <c r="B22647" s="4" t="s">
        <v>28507</v>
      </c>
      <c r="C22647" s="5" t="str">
        <f>IFERROR(__xludf.DUMMYFUNCTION("GOOGLETRANSLATE(B22647,""en"",""zh-CN"")"),"他在他面前画篱笆。")</f>
        <v>他在他面前画篱笆。</v>
      </c>
    </row>
    <row r="22648">
      <c r="A22648" s="4" t="s">
        <v>28505</v>
      </c>
      <c r="B22648" s="4" t="s">
        <v>28508</v>
      </c>
      <c r="C22648" s="5" t="str">
        <f>IFERROR(__xludf.DUMMYFUNCTION("GOOGLETRANSLATE(B22648,""en"",""zh-CN"")"),"他走向相机。")</f>
        <v>他走向相机。</v>
      </c>
    </row>
    <row r="22649">
      <c r="A22649" s="4" t="s">
        <v>28509</v>
      </c>
      <c r="B22649" s="6" t="s">
        <v>28510</v>
      </c>
      <c r="C22649" s="5" t="str">
        <f>IFERROR(__xludf.DUMMYFUNCTION("GOOGLETRANSLATE(B22649,""en"",""zh-CN"")"),"看到两个女孩在房间里迅速移动，同时切换地方并看着相机。")</f>
        <v>看到两个女孩在房间里迅速移动，同时切换地方并看着相机。</v>
      </c>
    </row>
    <row r="22650">
      <c r="A22650" s="4" t="s">
        <v>28509</v>
      </c>
      <c r="B22650" s="6" t="s">
        <v>28511</v>
      </c>
      <c r="C22650" s="5" t="str">
        <f>IFERROR(__xludf.DUMMYFUNCTION("GOOGLETRANSLATE(B22650,""en"",""zh-CN"")"),"年轻的女孩在化妆时笑着镜头，其他女孩很快就四处走动。")</f>
        <v>年轻的女孩在化妆时笑着镜头，其他女孩很快就四处走动。</v>
      </c>
    </row>
    <row r="22651">
      <c r="A22651" s="4" t="s">
        <v>28512</v>
      </c>
      <c r="B22651" s="6" t="s">
        <v>28513</v>
      </c>
      <c r="C22651" s="5" t="str">
        <f>IFERROR(__xludf.DUMMYFUNCTION("GOOGLETRANSLATE(B22651,""en"",""zh-CN"")"),"看到一个年轻的女孩坐在桌子旁，在镜头上拿着联系人盒时，在相机上说话。")</f>
        <v>看到一个年轻的女孩坐在桌子旁，在镜头上拿着联系人盒时，在相机上说话。</v>
      </c>
    </row>
    <row r="22652">
      <c r="A22652" s="4" t="s">
        <v>28512</v>
      </c>
      <c r="B22652" s="6" t="s">
        <v>28514</v>
      </c>
      <c r="C22652" s="5" t="str">
        <f>IFERROR(__xludf.DUMMYFUNCTION("GOOGLETRANSLATE(B22652,""en"",""zh-CN"")"),"然后，女孩睁开眼睛，拿出接触，然后将其浸入液体中，然后将其放回时仍在说话中。")</f>
        <v>然后，女孩睁开眼睛，拿出接触，然后将其浸入液体中，然后将其放回时仍在说话中。</v>
      </c>
    </row>
    <row r="22653">
      <c r="A22653" s="4" t="s">
        <v>28515</v>
      </c>
      <c r="B22653" s="4" t="s">
        <v>28516</v>
      </c>
      <c r="C22653" s="5" t="str">
        <f>IFERROR(__xludf.DUMMYFUNCTION("GOOGLETRANSLATE(B22653,""en"",""zh-CN"")"),"一个女人在街上穿过卷轴，人们在她身后越过。")</f>
        <v>一个女人在街上穿过卷轴，人们在她身后越过。</v>
      </c>
    </row>
    <row r="22654">
      <c r="A22654" s="4" t="s">
        <v>28515</v>
      </c>
      <c r="B22654" s="4" t="s">
        <v>28517</v>
      </c>
      <c r="C22654" s="5" t="str">
        <f>IFERROR(__xludf.DUMMYFUNCTION("GOOGLETRANSLATE(B22654,""en"",""zh-CN"")"),"她一个人回到马路对面。")</f>
        <v>她一个人回到马路对面。</v>
      </c>
    </row>
    <row r="22655">
      <c r="A22655" s="4" t="s">
        <v>28515</v>
      </c>
      <c r="B22655" s="4" t="s">
        <v>28518</v>
      </c>
      <c r="C22655" s="5" t="str">
        <f>IFERROR(__xludf.DUMMYFUNCTION("GOOGLETRANSLATE(B22655,""en"",""zh-CN"")"),"一名灰色毛衣的女人在人行道上与镜头说话。")</f>
        <v>一名灰色毛衣的女人在人行道上与镜头说话。</v>
      </c>
    </row>
    <row r="22656">
      <c r="A22656" s="4" t="s">
        <v>28515</v>
      </c>
      <c r="B22656" s="4" t="s">
        <v>28519</v>
      </c>
      <c r="C22656" s="5" t="str">
        <f>IFERROR(__xludf.DUMMYFUNCTION("GOOGLETRANSLATE(B22656,""en"",""zh-CN"")"),"一个戴着黑色帽子的男人在蓝色建筑物前的相机对话。")</f>
        <v>一个戴着黑色帽子的男人在蓝色建筑物前的相机对话。</v>
      </c>
    </row>
    <row r="22657">
      <c r="A22657" s="4" t="s">
        <v>28515</v>
      </c>
      <c r="B22657" s="4" t="s">
        <v>28520</v>
      </c>
      <c r="C22657" s="5" t="str">
        <f>IFERROR(__xludf.DUMMYFUNCTION("GOOGLETRANSLATE(B22657,""en"",""zh-CN"")"),"一个穿着黑色衬衫的男人坐下来聊天。")</f>
        <v>一个穿着黑色衬衫的男人坐下来聊天。</v>
      </c>
    </row>
    <row r="22658">
      <c r="A22658" s="4" t="s">
        <v>28515</v>
      </c>
      <c r="B22658" s="4" t="s">
        <v>28521</v>
      </c>
      <c r="C22658" s="5" t="str">
        <f>IFERROR(__xludf.DUMMYFUNCTION("GOOGLETRANSLATE(B22658,""en"",""zh-CN"")"),"它可以追溯到那个戴着黑帽子的人说话。")</f>
        <v>它可以追溯到那个戴着黑帽子的人说话。</v>
      </c>
    </row>
    <row r="22659">
      <c r="A22659" s="4" t="s">
        <v>28515</v>
      </c>
      <c r="B22659" s="4" t="s">
        <v>28522</v>
      </c>
      <c r="C22659" s="5" t="str">
        <f>IFERROR(__xludf.DUMMYFUNCTION("GOOGLETRANSLATE(B22659,""en"",""zh-CN"")"),"它可以追溯到黑衬衫说话的男人。")</f>
        <v>它可以追溯到黑衬衫说话的男人。</v>
      </c>
    </row>
    <row r="22660">
      <c r="A22660" s="4" t="s">
        <v>28515</v>
      </c>
      <c r="B22660" s="4" t="s">
        <v>28523</v>
      </c>
      <c r="C22660" s="5" t="str">
        <f>IFERROR(__xludf.DUMMYFUNCTION("GOOGLETRANSLATE(B22660,""en"",""zh-CN"")"),"这个女孩弯下腰，从板凳上拉出一些东西。")</f>
        <v>这个女孩弯下腰，从板凳上拉出一些东西。</v>
      </c>
    </row>
    <row r="22661">
      <c r="A22661" s="4" t="s">
        <v>28515</v>
      </c>
      <c r="B22661" s="4" t="s">
        <v>28524</v>
      </c>
      <c r="C22661" s="5" t="str">
        <f>IFERROR(__xludf.DUMMYFUNCTION("GOOGLETRANSLATE(B22661,""en"",""zh-CN"")"),"她在板凳上做技巧。")</f>
        <v>她在板凳上做技巧。</v>
      </c>
    </row>
    <row r="22662">
      <c r="A22662" s="4" t="s">
        <v>28515</v>
      </c>
      <c r="B22662" s="4" t="s">
        <v>28525</v>
      </c>
      <c r="C22662" s="5" t="str">
        <f>IFERROR(__xludf.DUMMYFUNCTION("GOOGLETRANSLATE(B22662,""en"",""zh-CN"")"),"一个戴着棕色帽子的女人在说话。")</f>
        <v>一个戴着棕色帽子的女人在说话。</v>
      </c>
    </row>
    <row r="22663">
      <c r="A22663" s="4" t="s">
        <v>28515</v>
      </c>
      <c r="B22663" s="4" t="s">
        <v>28526</v>
      </c>
      <c r="C22663" s="5" t="str">
        <f>IFERROR(__xludf.DUMMYFUNCTION("GOOGLETRANSLATE(B22663,""en"",""zh-CN"")"),"一个有莫霍克岛的男人说话。")</f>
        <v>一个有莫霍克岛的男人说话。</v>
      </c>
    </row>
    <row r="22664">
      <c r="A22664" s="4" t="s">
        <v>28515</v>
      </c>
      <c r="B22664" s="4" t="s">
        <v>28527</v>
      </c>
      <c r="C22664" s="5" t="str">
        <f>IFERROR(__xludf.DUMMYFUNCTION("GOOGLETRANSLATE(B22664,""en"",""zh-CN"")"),"这个女孩在滚子叶片上做了更多技巧。")</f>
        <v>这个女孩在滚子叶片上做了更多技巧。</v>
      </c>
    </row>
    <row r="22665">
      <c r="A22665" s="4" t="s">
        <v>28515</v>
      </c>
      <c r="B22665" s="4" t="s">
        <v>18302</v>
      </c>
      <c r="C22665" s="5" t="str">
        <f>IFERROR(__xludf.DUMMYFUNCTION("GOOGLETRANSLATE(B22665,""en"",""zh-CN"")"),"一个穿着粉红色衬衫的女人在说话。")</f>
        <v>一个穿着粉红色衬衫的女人在说话。</v>
      </c>
    </row>
    <row r="22666">
      <c r="A22666" s="4" t="s">
        <v>28515</v>
      </c>
      <c r="B22666" s="4" t="s">
        <v>28528</v>
      </c>
      <c r="C22666" s="5" t="str">
        <f>IFERROR(__xludf.DUMMYFUNCTION("GOOGLETRANSLATE(B22666,""en"",""zh-CN"")"),"三个孩子坐在溜冰鞋的长凳上说话。")</f>
        <v>三个孩子坐在溜冰鞋的长凳上说话。</v>
      </c>
    </row>
    <row r="22667">
      <c r="A22667" s="4" t="s">
        <v>28515</v>
      </c>
      <c r="B22667" s="4" t="s">
        <v>28529</v>
      </c>
      <c r="C22667" s="5" t="str">
        <f>IFERROR(__xludf.DUMMYFUNCTION("GOOGLETRANSLATE(B22667,""en"",""zh-CN"")"),"滚筒刀片上的女孩做了另一个技巧。")</f>
        <v>滚筒刀片上的女孩做了另一个技巧。</v>
      </c>
    </row>
    <row r="22668">
      <c r="A22668" s="4" t="s">
        <v>28515</v>
      </c>
      <c r="B22668" s="4" t="s">
        <v>28530</v>
      </c>
      <c r="C22668" s="5" t="str">
        <f>IFERROR(__xludf.DUMMYFUNCTION("GOOGLETRANSLATE(B22668,""en"",""zh-CN"")"),"一个年长的女人正在和镜头说话。")</f>
        <v>一个年长的女人正在和镜头说话。</v>
      </c>
    </row>
    <row r="22669">
      <c r="A22669" s="4" t="s">
        <v>28531</v>
      </c>
      <c r="B22669" s="4" t="s">
        <v>28532</v>
      </c>
      <c r="C22669" s="5" t="str">
        <f>IFERROR(__xludf.DUMMYFUNCTION("GOOGLETRANSLATE(B22669,""en"",""zh-CN"")"),"当他处理家庭生活和学校的麻烦时，一个男孩在混凝土上用粉笔绘画。")</f>
        <v>当他处理家庭生活和学校的麻烦时，一个男孩在混凝土上用粉笔绘画。</v>
      </c>
    </row>
    <row r="22670">
      <c r="A22670" s="4" t="s">
        <v>28531</v>
      </c>
      <c r="B22670" s="6" t="s">
        <v>28533</v>
      </c>
      <c r="C22670" s="5" t="str">
        <f>IFERROR(__xludf.DUMMYFUNCTION("GOOGLETRANSLATE(B22670,""en"",""zh-CN"")"),"当他开始跳上正方形并开始跳舞时，他在混凝土上绘制了啤酒花盒，然后才想起学校的欺凌行为。")</f>
        <v>当他开始跳上正方形并开始跳舞时，他在混凝土上绘制了啤酒花盒，然后才想起学校的欺凌行为。</v>
      </c>
    </row>
    <row r="22671">
      <c r="A22671" s="4" t="s">
        <v>28531</v>
      </c>
      <c r="B22671" s="4" t="s">
        <v>28534</v>
      </c>
      <c r="C22671" s="5" t="str">
        <f>IFERROR(__xludf.DUMMYFUNCTION("GOOGLETRANSLATE(B22671,""en"",""zh-CN"")"),"现在可以看到这个年轻人打破舞蹈并进行例行活动。")</f>
        <v>现在可以看到这个年轻人打破舞蹈并进行例行活动。</v>
      </c>
    </row>
    <row r="22672">
      <c r="A22672" s="4" t="s">
        <v>28531</v>
      </c>
      <c r="B22672" s="6" t="s">
        <v>28535</v>
      </c>
      <c r="C22672" s="5" t="str">
        <f>IFERROR(__xludf.DUMMYFUNCTION("GOOGLETRANSLATE(B22672,""en"",""zh-CN"")"),"与他陷入困境的家庭一起回到家里，他正在吃饭，一天梦想着跳舞，因为场景回到他跳舞。")</f>
        <v>与他陷入困境的家庭一起回到家里，他正在吃饭，一天梦想着跳舞，因为场景回到他跳舞。</v>
      </c>
    </row>
    <row r="22673">
      <c r="A22673" s="4" t="s">
        <v>28531</v>
      </c>
      <c r="B22673" s="4" t="s">
        <v>28536</v>
      </c>
      <c r="C22673" s="5" t="str">
        <f>IFERROR(__xludf.DUMMYFUNCTION("GOOGLETRANSLATE(B22673,""en"",""zh-CN"")"),"他停止跳舞，看着现在褪色和磨损的啤酒花广场。")</f>
        <v>他停止跳舞，看着现在褪色和磨损的啤酒花广场。</v>
      </c>
    </row>
    <row r="22674">
      <c r="A22674" s="4" t="s">
        <v>28531</v>
      </c>
      <c r="B22674" s="6" t="s">
        <v>28537</v>
      </c>
      <c r="C22674" s="5" t="str">
        <f>IFERROR(__xludf.DUMMYFUNCTION("GOOGLETRANSLATE(B22674,""en"",""zh-CN"")"),"在教室里，当老师穿过一排桌子时，他注意到年轻人在桌子上睡着了，因为他用统治者将他敲打他的头唤醒他。")</f>
        <v>在教室里，当老师穿过一排桌子时，他注意到年轻人在桌子上睡着了，因为他用统治者将他敲打他的头唤醒他。</v>
      </c>
    </row>
    <row r="22675">
      <c r="A22675" s="4" t="s">
        <v>28531</v>
      </c>
      <c r="B22675" s="6" t="s">
        <v>28538</v>
      </c>
      <c r="C22675" s="5" t="str">
        <f>IFERROR(__xludf.DUMMYFUNCTION("GOOGLETRANSLATE(B22675,""en"",""zh-CN"")"),"这个小男孩在他的桌子上注意到一张纸条，上面有一张霍普奇广场的照片，上面写着“教我”的脸。")</f>
        <v>这个小男孩在他的桌子上注意到一张纸条，上面有一张霍普奇广场的照片，上面写着“教我”的脸。</v>
      </c>
    </row>
    <row r="22676">
      <c r="A22676" s="4" t="s">
        <v>28531</v>
      </c>
      <c r="B22676" s="4" t="s">
        <v>28539</v>
      </c>
      <c r="C22676" s="5" t="str">
        <f>IFERROR(__xludf.DUMMYFUNCTION("GOOGLETRANSLATE(B22676,""en"",""zh-CN"")"),"显示了雪花口方正方形的混凝土和粉笔标记的信用滚动。")</f>
        <v>显示了雪花口方正方形的混凝土和粉笔标记的信用滚动。</v>
      </c>
    </row>
    <row r="22677">
      <c r="A22677" s="4" t="s">
        <v>28540</v>
      </c>
      <c r="B22677" s="4" t="s">
        <v>8286</v>
      </c>
      <c r="C22677" s="5" t="str">
        <f>IFERROR(__xludf.DUMMYFUNCTION("GOOGLETRANSLATE(B22677,""en"",""zh-CN"")"),"一个女人站在桌子后面。")</f>
        <v>一个女人站在桌子后面。</v>
      </c>
    </row>
    <row r="22678">
      <c r="A22678" s="4" t="s">
        <v>28540</v>
      </c>
      <c r="B22678" s="4" t="s">
        <v>28541</v>
      </c>
      <c r="C22678" s="5" t="str">
        <f>IFERROR(__xludf.DUMMYFUNCTION("GOOGLETRANSLATE(B22678,""en"",""zh-CN"")"),"她打开一个白垃圾箱，然后将水和肥皂倒入其中。")</f>
        <v>她打开一个白垃圾箱，然后将水和肥皂倒入其中。</v>
      </c>
    </row>
    <row r="22679">
      <c r="A22679" s="4" t="s">
        <v>28540</v>
      </c>
      <c r="B22679" s="4" t="s">
        <v>28542</v>
      </c>
      <c r="C22679" s="5" t="str">
        <f>IFERROR(__xludf.DUMMYFUNCTION("GOOGLETRANSLATE(B22679,""en"",""zh-CN"")"),"然后，她关闭它，转过顶。")</f>
        <v>然后，她关闭它，转过顶。</v>
      </c>
    </row>
    <row r="22680">
      <c r="A22680" s="4" t="s">
        <v>28540</v>
      </c>
      <c r="B22680" s="4" t="s">
        <v>28543</v>
      </c>
      <c r="C22680" s="5" t="str">
        <f>IFERROR(__xludf.DUMMYFUNCTION("GOOGLETRANSLATE(B22680,""en"",""zh-CN"")"),"她将衣服从木架上悬挂下来干燥。")</f>
        <v>她将衣服从木架上悬挂下来干燥。</v>
      </c>
    </row>
    <row r="22681">
      <c r="A22681" s="4" t="s">
        <v>28544</v>
      </c>
      <c r="B22681" s="4" t="s">
        <v>28545</v>
      </c>
      <c r="C22681" s="5" t="str">
        <f>IFERROR(__xludf.DUMMYFUNCTION("GOOGLETRANSLATE(B22681,""en"",""zh-CN"")"),"屋顶上有几名工人，正在修理屋顶。")</f>
        <v>屋顶上有几名工人，正在修理屋顶。</v>
      </c>
    </row>
    <row r="22682">
      <c r="A22682" s="4" t="s">
        <v>28544</v>
      </c>
      <c r="B22682" s="4" t="s">
        <v>28546</v>
      </c>
      <c r="C22682" s="5" t="str">
        <f>IFERROR(__xludf.DUMMYFUNCTION("GOOGLETRANSLATE(B22682,""en"",""zh-CN"")"),"他们在屋顶千斤顶的帮助下卸下了旧木瓦。")</f>
        <v>他们在屋顶千斤顶的帮助下卸下了旧木瓦。</v>
      </c>
    </row>
    <row r="22683">
      <c r="A22683" s="4" t="s">
        <v>28544</v>
      </c>
      <c r="B22683" s="4" t="s">
        <v>28547</v>
      </c>
      <c r="C22683" s="5" t="str">
        <f>IFERROR(__xludf.DUMMYFUNCTION("GOOGLETRANSLATE(B22683,""en"",""zh-CN"")"),"他们站在屋顶顶部时继续取下带状疱疹。")</f>
        <v>他们站在屋顶顶部时继续取下带状疱疹。</v>
      </c>
    </row>
    <row r="22684">
      <c r="A22684" s="4" t="s">
        <v>28548</v>
      </c>
      <c r="B22684" s="4" t="s">
        <v>28549</v>
      </c>
      <c r="C22684" s="5" t="str">
        <f>IFERROR(__xludf.DUMMYFUNCTION("GOOGLETRANSLATE(B22684,""en"",""zh-CN"")"),"一个人走到一组平行的酒吧。")</f>
        <v>一个人走到一组平行的酒吧。</v>
      </c>
    </row>
    <row r="22685">
      <c r="A22685" s="4" t="s">
        <v>28548</v>
      </c>
      <c r="B22685" s="4" t="s">
        <v>28550</v>
      </c>
      <c r="C22685" s="5" t="str">
        <f>IFERROR(__xludf.DUMMYFUNCTION("GOOGLETRANSLATE(B22685,""en"",""zh-CN"")"),"该男子在专业场地的酒吧上表演杂技。")</f>
        <v>该男子在专业场地的酒吧上表演杂技。</v>
      </c>
    </row>
    <row r="22686">
      <c r="A22686" s="4" t="s">
        <v>28548</v>
      </c>
      <c r="B22686" s="4" t="s">
        <v>28551</v>
      </c>
      <c r="C22686" s="5" t="str">
        <f>IFERROR(__xludf.DUMMYFUNCTION("GOOGLETRANSLATE(B22686,""en"",""zh-CN"")"),"那个男人成功地跳了起来，脚落在他的脚上。")</f>
        <v>那个男人成功地跳了起来，脚落在他的脚上。</v>
      </c>
    </row>
    <row r="22687">
      <c r="A22687" s="4" t="s">
        <v>28552</v>
      </c>
      <c r="B22687" s="4" t="s">
        <v>28553</v>
      </c>
      <c r="C22687" s="5" t="str">
        <f>IFERROR(__xludf.DUMMYFUNCTION("GOOGLETRANSLATE(B22687,""en"",""zh-CN"")"),"穿着白色衬衫的男人正在弹奏邦戈鼓。")</f>
        <v>穿着白色衬衫的男人正在弹奏邦戈鼓。</v>
      </c>
    </row>
    <row r="22688">
      <c r="A22688" s="4" t="s">
        <v>28552</v>
      </c>
      <c r="B22688" s="4" t="s">
        <v>28554</v>
      </c>
      <c r="C22688" s="5" t="str">
        <f>IFERROR(__xludf.DUMMYFUNCTION("GOOGLETRANSLATE(B22688,""en"",""zh-CN"")"),"在柜台，男人坐在柜台后面。")</f>
        <v>在柜台，男人坐在柜台后面。</v>
      </c>
    </row>
    <row r="22689">
      <c r="A22689" s="4" t="s">
        <v>28552</v>
      </c>
      <c r="B22689" s="4" t="s">
        <v>28555</v>
      </c>
      <c r="C22689" s="5" t="str">
        <f>IFERROR(__xludf.DUMMYFUNCTION("GOOGLETRANSLATE(B22689,""en"",""zh-CN"")"),"玩邦戈（Bongo）的那个人击中了一个鼓，然后他迅速击败鼓。")</f>
        <v>玩邦戈（Bongo）的那个人击中了一个鼓，然后他迅速击败鼓。</v>
      </c>
    </row>
    <row r="22690">
      <c r="A22690" s="4" t="s">
        <v>28556</v>
      </c>
      <c r="B22690" s="6" t="s">
        <v>28557</v>
      </c>
      <c r="C22690" s="5" t="str">
        <f>IFERROR(__xludf.DUMMYFUNCTION("GOOGLETRANSLATE(B22690,""en"",""zh-CN"")"),"一个人正在放置相机，然后穿过其中有三堵墙的玻璃墙走进一个房间。")</f>
        <v>一个人正在放置相机，然后穿过其中有三堵墙的玻璃墙走进一个房间。</v>
      </c>
    </row>
    <row r="22691">
      <c r="A22691" s="4" t="s">
        <v>28556</v>
      </c>
      <c r="B22691" s="6" t="s">
        <v>28558</v>
      </c>
      <c r="C22691" s="5" t="str">
        <f>IFERROR(__xludf.DUMMYFUNCTION("GOOGLETRANSLATE(B22691,""en"",""zh-CN"")"),"当他进入房间时，另一个男人手里拿着球拍出现，他们开始将球撞在墙上。")</f>
        <v>当他进入房间时，另一个男人手里拿着球拍出现，他们开始将球撞在墙上。</v>
      </c>
    </row>
    <row r="22692">
      <c r="A22692" s="4" t="s">
        <v>28556</v>
      </c>
      <c r="B22692" s="6" t="s">
        <v>28559</v>
      </c>
      <c r="C22692" s="5" t="str">
        <f>IFERROR(__xludf.DUMMYFUNCTION("GOOGLETRANSLATE(B22692,""en"",""zh-CN"")"),"两人来回击球，当两个人都无法拿到球时，他们最终停止了。")</f>
        <v>两人来回击球，当两个人都无法拿到球时，他们最终停止了。</v>
      </c>
    </row>
    <row r="22693">
      <c r="A22693" s="4" t="s">
        <v>28560</v>
      </c>
      <c r="B22693" s="4" t="s">
        <v>28561</v>
      </c>
      <c r="C22693" s="5" t="str">
        <f>IFERROR(__xludf.DUMMYFUNCTION("GOOGLETRANSLATE(B22693,""en"",""zh-CN"")"),"人们坐在工作室互相交谈。")</f>
        <v>人们坐在工作室互相交谈。</v>
      </c>
    </row>
    <row r="22694">
      <c r="A22694" s="4" t="s">
        <v>28560</v>
      </c>
      <c r="B22694" s="6" t="s">
        <v>28562</v>
      </c>
      <c r="C22694" s="5" t="str">
        <f>IFERROR(__xludf.DUMMYFUNCTION("GOOGLETRANSLATE(B22694,""en"",""zh-CN"")"),"男人在海滩上和一个小孩子一起做技巧，工作室里的人们正在谈论视频。")</f>
        <v>男人在海滩上和一个小孩子一起做技巧，工作室里的人们正在谈论视频。</v>
      </c>
    </row>
    <row r="22695">
      <c r="A22695" s="4" t="s">
        <v>28560</v>
      </c>
      <c r="B22695" s="4" t="s">
        <v>28563</v>
      </c>
      <c r="C22695" s="5" t="str">
        <f>IFERROR(__xludf.DUMMYFUNCTION("GOOGLETRANSLATE(B22695,""en"",""zh-CN"")"),"啦啦队的页面显示在屏幕上，海滩上的女孩的视频在做技巧。")</f>
        <v>啦啦队的页面显示在屏幕上，海滩上的女孩的视频在做技巧。</v>
      </c>
    </row>
    <row r="22696">
      <c r="A22696" s="4" t="s">
        <v>28560</v>
      </c>
      <c r="B22696" s="6" t="s">
        <v>28564</v>
      </c>
      <c r="C22696" s="5" t="str">
        <f>IFERROR(__xludf.DUMMYFUNCTION("GOOGLETRANSLATE(B22696,""en"",""zh-CN"")"),"男人和一个小女孩一起在客厅里，正在与她和海滩上做技巧，然后在斯图奥（Stuio）中的人们不断讲话和展示他们的视频时，就会显示男人和女孩与相机交谈的视频。")</f>
        <v>男人和一个小女孩一起在客厅里，正在与她和海滩上做技巧，然后在斯图奥（Stuio）中的人们不断讲话和展示他们的视频时，就会显示男人和女孩与相机交谈的视频。</v>
      </c>
    </row>
    <row r="22697">
      <c r="A22697" s="4" t="s">
        <v>28565</v>
      </c>
      <c r="B22697" s="4" t="s">
        <v>28566</v>
      </c>
      <c r="C22697" s="5" t="str">
        <f>IFERROR(__xludf.DUMMYFUNCTION("GOOGLETRANSLATE(B22697,""en"",""zh-CN"")"),"人们在舞厅展示了互动。")</f>
        <v>人们在舞厅展示了互动。</v>
      </c>
    </row>
    <row r="22698">
      <c r="A22698" s="4" t="s">
        <v>28565</v>
      </c>
      <c r="B22698" s="4" t="s">
        <v>28567</v>
      </c>
      <c r="C22698" s="5" t="str">
        <f>IFERROR(__xludf.DUMMYFUNCTION("GOOGLETRANSLATE(B22698,""en"",""zh-CN"")"),"一个女人抽烟并呼气黑烟。")</f>
        <v>一个女人抽烟并呼气黑烟。</v>
      </c>
    </row>
    <row r="22699">
      <c r="A22699" s="4" t="s">
        <v>28565</v>
      </c>
      <c r="B22699" s="4" t="s">
        <v>28568</v>
      </c>
      <c r="C22699" s="5" t="str">
        <f>IFERROR(__xludf.DUMMYFUNCTION("GOOGLETRANSLATE(B22699,""en"",""zh-CN"")"),"一个人靠近桌子，并将食物放在上面。")</f>
        <v>一个人靠近桌子，并将食物放在上面。</v>
      </c>
    </row>
    <row r="22700">
      <c r="A22700" s="4" t="s">
        <v>28565</v>
      </c>
      <c r="B22700" s="4" t="s">
        <v>28569</v>
      </c>
      <c r="C22700" s="5" t="str">
        <f>IFERROR(__xludf.DUMMYFUNCTION("GOOGLETRANSLATE(B22700,""en"",""zh-CN"")"),"两个孩子在桌子底下吃饭。")</f>
        <v>两个孩子在桌子底下吃饭。</v>
      </c>
    </row>
    <row r="22701">
      <c r="A22701" s="4" t="s">
        <v>28565</v>
      </c>
      <c r="B22701" s="4" t="s">
        <v>28570</v>
      </c>
      <c r="C22701" s="5" t="str">
        <f>IFERROR(__xludf.DUMMYFUNCTION("GOOGLETRANSLATE(B22701,""en"",""zh-CN"")"),"两个人一起跳舞亲吻。")</f>
        <v>两个人一起跳舞亲吻。</v>
      </c>
    </row>
    <row r="22702">
      <c r="A22702" s="4" t="s">
        <v>28565</v>
      </c>
      <c r="B22702" s="4" t="s">
        <v>28571</v>
      </c>
      <c r="C22702" s="5" t="str">
        <f>IFERROR(__xludf.DUMMYFUNCTION("GOOGLETRANSLATE(B22702,""en"",""zh-CN"")"),"女人抽烟，黑烟消失了。")</f>
        <v>女人抽烟，黑烟消失了。</v>
      </c>
    </row>
    <row r="22703">
      <c r="A22703" s="4" t="s">
        <v>28572</v>
      </c>
      <c r="B22703" s="4" t="s">
        <v>28573</v>
      </c>
      <c r="C22703" s="5" t="str">
        <f>IFERROR(__xludf.DUMMYFUNCTION("GOOGLETRANSLATE(B22703,""en"",""zh-CN"")"),"显示了咖啡饮料的特写，其次是一个男人从杯子里喝酒。")</f>
        <v>显示了咖啡饮料的特写，其次是一个男人从杯子里喝酒。</v>
      </c>
    </row>
    <row r="22704">
      <c r="A22704" s="4" t="s">
        <v>28572</v>
      </c>
      <c r="B22704" s="4" t="s">
        <v>28574</v>
      </c>
      <c r="C22704" s="5" t="str">
        <f>IFERROR(__xludf.DUMMYFUNCTION("GOOGLETRANSLATE(B22704,""en"",""zh-CN"")"),"摄像机朝四处晃动，手里拿着饮料的人。")</f>
        <v>摄像机朝四处晃动，手里拿着饮料的人。</v>
      </c>
    </row>
    <row r="22705">
      <c r="A22705" s="4" t="s">
        <v>28572</v>
      </c>
      <c r="B22705" s="4" t="s">
        <v>28575</v>
      </c>
      <c r="C22705" s="5" t="str">
        <f>IFERROR(__xludf.DUMMYFUNCTION("GOOGLETRANSLATE(B22705,""en"",""zh-CN"")"),"一位妈妈低头看着他的膝盖，饮料仍在他面前。")</f>
        <v>一位妈妈低头看着他的膝盖，饮料仍在他面前。</v>
      </c>
    </row>
    <row r="22706">
      <c r="A22706" s="4" t="s">
        <v>28576</v>
      </c>
      <c r="B22706" s="6" t="s">
        <v>28577</v>
      </c>
      <c r="C22706" s="5" t="str">
        <f>IFERROR(__xludf.DUMMYFUNCTION("GOOGLETRANSLATE(B22706,""en"",""zh-CN"")"),"当两支球队开始朝着球击中球的杆击球时，大绿色的田野被显示出来。")</f>
        <v>当两支球队开始朝着球击中球的杆击球时，大绿色的田野被显示出来。</v>
      </c>
    </row>
    <row r="22707">
      <c r="A22707" s="4" t="s">
        <v>28576</v>
      </c>
      <c r="B22707" s="6" t="s">
        <v>28578</v>
      </c>
      <c r="C22707" s="5" t="str">
        <f>IFERROR(__xludf.DUMMYFUNCTION("GOOGLETRANSLATE(B22707,""en"",""zh-CN"")"),"随着比赛的进行，玩家遇到了另外两个人，并在肩膀上翻转最终受伤。")</f>
        <v>随着比赛的进行，玩家遇到了另外两个人，并在肩膀上翻转最终受伤。</v>
      </c>
    </row>
    <row r="22708">
      <c r="A22708" s="4" t="s">
        <v>28576</v>
      </c>
      <c r="B22708" s="4" t="s">
        <v>28579</v>
      </c>
      <c r="C22708" s="5" t="str">
        <f>IFERROR(__xludf.DUMMYFUNCTION("GOOGLETRANSLATE(B22708,""en"",""zh-CN"")"),"他在地面上放置，并显示了几个事件的重播。")</f>
        <v>他在地面上放置，并显示了几个事件的重播。</v>
      </c>
    </row>
    <row r="22709">
      <c r="A22709" s="4" t="s">
        <v>28576</v>
      </c>
      <c r="B22709" s="6" t="s">
        <v>28580</v>
      </c>
      <c r="C22709" s="5" t="str">
        <f>IFERROR(__xludf.DUMMYFUNCTION("GOOGLETRANSLATE(B22709,""en"",""zh-CN"")"),"接下来，还显示了其他团队在各个位置玩游戏的静止图像。")</f>
        <v>接下来，还显示了其他团队在各个位置玩游戏的静止图像。</v>
      </c>
    </row>
    <row r="22710">
      <c r="A22710" s="4" t="s">
        <v>28581</v>
      </c>
      <c r="B22710" s="4" t="s">
        <v>28582</v>
      </c>
      <c r="C22710" s="5" t="str">
        <f>IFERROR(__xludf.DUMMYFUNCTION("GOOGLETRANSLATE(B22710,""en"",""zh-CN"")"),"摄像头放大了一头母牛，屏幕上显示了各种标题页。")</f>
        <v>摄像头放大了一头母牛，屏幕上显示了各种标题页。</v>
      </c>
    </row>
    <row r="22711">
      <c r="A22711" s="4" t="s">
        <v>28581</v>
      </c>
      <c r="B22711" s="4" t="s">
        <v>28583</v>
      </c>
      <c r="C22711" s="5" t="str">
        <f>IFERROR(__xludf.DUMMYFUNCTION("GOOGLETRANSLATE(B22711,""en"",""zh-CN"")"),"一群人绕着小腿跑来跑去，而其他人则将他压倒。")</f>
        <v>一群人绕着小腿跑来跑去，而其他人则将他压倒。</v>
      </c>
    </row>
    <row r="22712">
      <c r="A22712" s="4" t="s">
        <v>28581</v>
      </c>
      <c r="B22712" s="4" t="s">
        <v>28584</v>
      </c>
      <c r="C22712" s="5" t="str">
        <f>IFERROR(__xludf.DUMMYFUNCTION("GOOGLETRANSLATE(B22712,""en"",""zh-CN"")"),"一个醉汉试图与公牛互动，并翻转到空中。")</f>
        <v>一个醉汉试图与公牛互动，并翻转到空中。</v>
      </c>
    </row>
    <row r="22713">
      <c r="A22713" s="4" t="s">
        <v>28581</v>
      </c>
      <c r="B22713" s="4" t="s">
        <v>28585</v>
      </c>
      <c r="C22713" s="5" t="str">
        <f>IFERROR(__xludf.DUMMYFUNCTION("GOOGLETRANSLATE(B22713,""en"",""zh-CN"")"),"几个人将他拖出，而游客试图吸引公牛。")</f>
        <v>几个人将他拖出，而游客试图吸引公牛。</v>
      </c>
    </row>
    <row r="22714">
      <c r="A22714" s="4" t="s">
        <v>28581</v>
      </c>
      <c r="B22714" s="6" t="s">
        <v>28586</v>
      </c>
      <c r="C22714" s="5" t="str">
        <f>IFERROR(__xludf.DUMMYFUNCTION("GOOGLETRANSLATE(B22714,""en"",""zh-CN"")"),"公牛几乎抓住了他，但男孩把它放在篱笆上，将红色毯子扔在公牛上。")</f>
        <v>公牛几乎抓住了他，但男孩把它放在篱笆上，将红色毯子扔在公牛上。</v>
      </c>
    </row>
    <row r="22715">
      <c r="A22715" s="4" t="s">
        <v>28587</v>
      </c>
      <c r="B22715" s="6" t="s">
        <v>28588</v>
      </c>
      <c r="C22715" s="5" t="str">
        <f>IFERROR(__xludf.DUMMYFUNCTION("GOOGLETRANSLATE(B22715,""en"",""zh-CN"")"),"一名穿着田径裤的女人和她的女儿在露台上的水桶里洗了一只肥皂和水的小狗。")</f>
        <v>一名穿着田径裤的女人和她的女儿在露台上的水桶里洗了一只肥皂和水的小狗。</v>
      </c>
    </row>
    <row r="22716">
      <c r="A22716" s="4" t="s">
        <v>28587</v>
      </c>
      <c r="B22716" s="4" t="s">
        <v>28589</v>
      </c>
      <c r="C22716" s="5" t="str">
        <f>IFERROR(__xludf.DUMMYFUNCTION("GOOGLETRANSLATE(B22716,""en"",""zh-CN"")"),"女人用杯子将水倒在狗身上，以除去肥皂。")</f>
        <v>女人用杯子将水倒在狗身上，以除去肥皂。</v>
      </c>
    </row>
    <row r="22717">
      <c r="A22717" s="4" t="s">
        <v>28590</v>
      </c>
      <c r="B22717" s="6" t="s">
        <v>28591</v>
      </c>
      <c r="C22717" s="5" t="str">
        <f>IFERROR(__xludf.DUMMYFUNCTION("GOOGLETRANSLATE(B22717,""en"",""zh-CN"")"),"显示了一个田野，大约有十个人站在中间，一个男人逃跑，向一个拿着桨的男人扔球。")</f>
        <v>显示了一个田野，大约有十个人站在中间，一个男人逃跑，向一个拿着桨的男人扔球。</v>
      </c>
    </row>
    <row r="22718">
      <c r="A22718" s="4" t="s">
        <v>28590</v>
      </c>
      <c r="B22718" s="4" t="s">
        <v>28592</v>
      </c>
      <c r="C22718" s="5" t="str">
        <f>IFERROR(__xludf.DUMMYFUNCTION("GOOGLETRANSLATE(B22718,""en"",""zh-CN"")"),"显示了更多游戏，并且在各个团队中都重复采取相同的精确动作。")</f>
        <v>显示了更多游戏，并且在各个团队中都重复采取相同的精确动作。</v>
      </c>
    </row>
    <row r="22719">
      <c r="A22719" s="4" t="s">
        <v>28590</v>
      </c>
      <c r="B22719" s="6" t="s">
        <v>28593</v>
      </c>
      <c r="C22719" s="5" t="str">
        <f>IFERROR(__xludf.DUMMYFUNCTION("GOOGLETRANSLATE(B22719,""en"",""zh-CN"")"),"然后显示一个黑色头发短的男人，他的队友开始祝贺他，并显示了更多的球队在玩游戏。")</f>
        <v>然后显示一个黑色头发短的男人，他的队友开始祝贺他，并显示了更多的球队在玩游戏。</v>
      </c>
    </row>
    <row r="22720">
      <c r="A22720" s="4" t="s">
        <v>28594</v>
      </c>
      <c r="B22720" s="4" t="s">
        <v>28595</v>
      </c>
      <c r="C22720" s="5" t="str">
        <f>IFERROR(__xludf.DUMMYFUNCTION("GOOGLETRANSLATE(B22720,""en"",""zh-CN"")"),"男子握着锤子固定车库的屋顶。")</f>
        <v>男子握着锤子固定车库的屋顶。</v>
      </c>
    </row>
    <row r="22721">
      <c r="A22721" s="4" t="s">
        <v>28594</v>
      </c>
      <c r="B22721" s="4" t="s">
        <v>28596</v>
      </c>
      <c r="C22721" s="5" t="str">
        <f>IFERROR(__xludf.DUMMYFUNCTION("GOOGLETRANSLATE(B22721,""en"",""zh-CN"")"),"男人站在屋顶上，添加了黑色混合物。")</f>
        <v>男人站在屋顶上，添加了黑色混合物。</v>
      </c>
    </row>
    <row r="22722">
      <c r="A22722" s="4" t="s">
        <v>28597</v>
      </c>
      <c r="B22722" s="4" t="s">
        <v>28598</v>
      </c>
      <c r="C22722" s="5" t="str">
        <f>IFERROR(__xludf.DUMMYFUNCTION("GOOGLETRANSLATE(B22722,""en"",""zh-CN"")"),"男人正坐在桌子上，在rstaurant和另一个男人交谈的桌子上吃三明治。")</f>
        <v>男人正坐在桌子上，在rstaurant和另一个男人交谈的桌子上吃三明治。</v>
      </c>
    </row>
    <row r="22723">
      <c r="A22723" s="4" t="s">
        <v>28597</v>
      </c>
      <c r="B22723" s="4" t="s">
        <v>28599</v>
      </c>
      <c r="C22723" s="5" t="str">
        <f>IFERROR(__xludf.DUMMYFUNCTION("GOOGLETRANSLATE(B22723,""en"",""zh-CN"")"),"男人在吃饭和与他交谈时正在看着男人。")</f>
        <v>男人在吃饭和与他交谈时正在看着男人。</v>
      </c>
    </row>
    <row r="22724">
      <c r="A22724" s="4" t="s">
        <v>28597</v>
      </c>
      <c r="B22724" s="4" t="s">
        <v>28600</v>
      </c>
      <c r="C22724" s="5" t="str">
        <f>IFERROR(__xludf.DUMMYFUNCTION("GOOGLETRANSLATE(B22724,""en"",""zh-CN"")"),"男人都站着并玩岩石剪刀，男人今年跌落到地板上。")</f>
        <v>男人都站着并玩岩石剪刀，男人今年跌落到地板上。</v>
      </c>
    </row>
    <row r="22725">
      <c r="A22725" s="4" t="s">
        <v>28597</v>
      </c>
      <c r="B22725" s="4" t="s">
        <v>28601</v>
      </c>
      <c r="C22725" s="5" t="str">
        <f>IFERROR(__xludf.DUMMYFUNCTION("GOOGLETRANSLATE(B22725,""en"",""zh-CN"")"),"人坐在椅子上，在地板上与那个男人交谈，然后把三明治扔给他。")</f>
        <v>人坐在椅子上，在地板上与那个男人交谈，然后把三明治扔给他。</v>
      </c>
    </row>
    <row r="22726">
      <c r="A22726" s="4" t="s">
        <v>28597</v>
      </c>
      <c r="B22726" s="6" t="s">
        <v>28602</v>
      </c>
      <c r="C22726" s="5" t="str">
        <f>IFERROR(__xludf.DUMMYFUNCTION("GOOGLETRANSLATE(B22726,""en"",""zh-CN"")"),"人走到桌子上，坐在电脑饮用水前，另一个男人躺在地板上试图说话。")</f>
        <v>人走到桌子上，坐在电脑饮用水前，另一个男人躺在地板上试图说话。</v>
      </c>
    </row>
    <row r="22727">
      <c r="A22727" s="4" t="s">
        <v>28597</v>
      </c>
      <c r="B22727" s="4" t="s">
        <v>28603</v>
      </c>
      <c r="C22727" s="5" t="str">
        <f>IFERROR(__xludf.DUMMYFUNCTION("GOOGLETRANSLATE(B22727,""en"",""zh-CN"")"),"Anoher Man在前面与桌子里的男人交谈。")</f>
        <v>Anoher Man在前面与桌子里的男人交谈。</v>
      </c>
    </row>
    <row r="22728">
      <c r="A22728" s="4" t="s">
        <v>28597</v>
      </c>
      <c r="B22728" s="4" t="s">
        <v>28604</v>
      </c>
      <c r="C22728" s="5" t="str">
        <f>IFERROR(__xludf.DUMMYFUNCTION("GOOGLETRANSLATE(B22728,""en"",""zh-CN"")"),"人站在地板上和那个男人说话，再次撞到他，那个男人吐了鲜血。")</f>
        <v>人站在地板上和那个男人说话，再次撞到他，那个男人吐了鲜血。</v>
      </c>
    </row>
    <row r="22729">
      <c r="A22729" s="4" t="s">
        <v>28605</v>
      </c>
      <c r="B22729" s="4" t="s">
        <v>28606</v>
      </c>
      <c r="C22729" s="5" t="str">
        <f>IFERROR(__xludf.DUMMYFUNCTION("GOOGLETRANSLATE(B22729,""en"",""zh-CN"")"),"一个男人洗碗的工作有一种非常独特的方式，可以快速速度进行他的菜肴。")</f>
        <v>一个男人洗碗的工作有一种非常独特的方式，可以快速速度进行他的菜肴。</v>
      </c>
    </row>
    <row r="22730">
      <c r="A22730" s="4" t="s">
        <v>28605</v>
      </c>
      <c r="B22730" s="4" t="s">
        <v>28607</v>
      </c>
      <c r="C22730" s="5" t="str">
        <f>IFERROR(__xludf.DUMMYFUNCTION("GOOGLETRANSLATE(B22730,""en"",""zh-CN"")"),"他非常快地将所有盘子扔掉。")</f>
        <v>他非常快地将所有盘子扔掉。</v>
      </c>
    </row>
    <row r="22731">
      <c r="A22731" s="4" t="s">
        <v>28605</v>
      </c>
      <c r="B22731" s="6" t="s">
        <v>28608</v>
      </c>
      <c r="C22731" s="5" t="str">
        <f>IFERROR(__xludf.DUMMYFUNCTION("GOOGLETRANSLATE(B22731,""en"",""zh-CN"")"),"他们将它们擦掉后，它们都落在了水槽上，其中一些人掉了一点。")</f>
        <v>他们将它们擦掉后，它们都落在了水槽上，其中一些人掉了一点。</v>
      </c>
    </row>
    <row r="22732">
      <c r="A22732" s="4" t="s">
        <v>28605</v>
      </c>
      <c r="B22732" s="4" t="s">
        <v>28609</v>
      </c>
      <c r="C22732" s="5" t="str">
        <f>IFERROR(__xludf.DUMMYFUNCTION("GOOGLETRANSLATE(B22732,""en"",""zh-CN"")"),"他将它们全部推入水中。")</f>
        <v>他将它们全部推入水中。</v>
      </c>
    </row>
    <row r="22733">
      <c r="A22733" s="4" t="s">
        <v>28610</v>
      </c>
      <c r="B22733" s="4" t="s">
        <v>4448</v>
      </c>
      <c r="C22733" s="5" t="str">
        <f>IFERROR(__xludf.DUMMYFUNCTION("GOOGLETRANSLATE(B22733,""en"",""zh-CN"")"),"我们看到开头标题屏幕。")</f>
        <v>我们看到开头标题屏幕。</v>
      </c>
    </row>
    <row r="22734">
      <c r="A22734" s="4" t="s">
        <v>28610</v>
      </c>
      <c r="B22734" s="4" t="s">
        <v>28611</v>
      </c>
      <c r="C22734" s="5" t="str">
        <f>IFERROR(__xludf.DUMMYFUNCTION("GOOGLETRANSLATE(B22734,""en"",""zh-CN"")"),"人们正在供应物，然后骑着河上的木筏。")</f>
        <v>人们正在供应物，然后骑着河上的木筏。</v>
      </c>
    </row>
    <row r="22735">
      <c r="A22735" s="4" t="s">
        <v>28610</v>
      </c>
      <c r="B22735" s="4" t="s">
        <v>28612</v>
      </c>
      <c r="C22735" s="5" t="str">
        <f>IFERROR(__xludf.DUMMYFUNCTION("GOOGLETRANSLATE(B22735,""en"",""zh-CN"")"),"我们看到了位置名称以及餐馆，浴室等的度假胜地。")</f>
        <v>我们看到了位置名称以及餐馆，浴室等的度假胜地。</v>
      </c>
    </row>
    <row r="22736">
      <c r="A22736" s="4" t="s">
        <v>28610</v>
      </c>
      <c r="B22736" s="6" t="s">
        <v>28613</v>
      </c>
      <c r="C22736" s="5" t="str">
        <f>IFERROR(__xludf.DUMMYFUNCTION("GOOGLETRANSLATE(B22736,""en"",""zh-CN"")"),"我们看到人们在户外跳舞和玩游戏，并在一个带有气球和跳舞的人群中跳舞。")</f>
        <v>我们看到人们在户外跳舞和玩游戏，并在一个带有气球和跳舞的人群中跳舞。</v>
      </c>
    </row>
    <row r="22737">
      <c r="A22737" s="4" t="s">
        <v>28610</v>
      </c>
      <c r="B22737" s="4" t="s">
        <v>28614</v>
      </c>
      <c r="C22737" s="5" t="str">
        <f>IFERROR(__xludf.DUMMYFUNCTION("GOOGLETRANSLATE(B22737,""en"",""zh-CN"")"),"我们看到人们在丛林中拉链衬里。")</f>
        <v>我们看到人们在丛林中拉链衬里。</v>
      </c>
    </row>
    <row r="22738">
      <c r="A22738" s="4" t="s">
        <v>28615</v>
      </c>
      <c r="B22738" s="4" t="s">
        <v>28616</v>
      </c>
      <c r="C22738" s="5" t="str">
        <f>IFERROR(__xludf.DUMMYFUNCTION("GOOGLETRANSLATE(B22738,""en"",""zh-CN"")"),"一个穿着银色夹克的男人正在修理他的自行车轮胎。")</f>
        <v>一个穿着银色夹克的男人正在修理他的自行车轮胎。</v>
      </c>
    </row>
    <row r="22739">
      <c r="A22739" s="4" t="s">
        <v>28615</v>
      </c>
      <c r="B22739" s="4" t="s">
        <v>28617</v>
      </c>
      <c r="C22739" s="5" t="str">
        <f>IFERROR(__xludf.DUMMYFUNCTION("GOOGLETRANSLATE(B22739,""en"",""zh-CN"")"),"他旋转轮胎的轮子。")</f>
        <v>他旋转轮胎的轮子。</v>
      </c>
    </row>
    <row r="22740">
      <c r="A22740" s="4" t="s">
        <v>28615</v>
      </c>
      <c r="B22740" s="4" t="s">
        <v>28618</v>
      </c>
      <c r="C22740" s="5" t="str">
        <f>IFERROR(__xludf.DUMMYFUNCTION("GOOGLETRANSLATE(B22740,""en"",""zh-CN"")"),"他从自行车上拿起轮胎，将其放在建筑物上。")</f>
        <v>他从自行车上拿起轮胎，将其放在建筑物上。</v>
      </c>
    </row>
    <row r="22741">
      <c r="A22741" s="4" t="s">
        <v>28615</v>
      </c>
      <c r="B22741" s="4" t="s">
        <v>28619</v>
      </c>
      <c r="C22741" s="5" t="str">
        <f>IFERROR(__xludf.DUMMYFUNCTION("GOOGLETRANSLATE(B22741,""en"",""zh-CN"")"),"他使用工具来修复轮胎的讲话。")</f>
        <v>他使用工具来修复轮胎的讲话。</v>
      </c>
    </row>
    <row r="22742">
      <c r="A22742" s="4" t="s">
        <v>28615</v>
      </c>
      <c r="B22742" s="4" t="s">
        <v>28620</v>
      </c>
      <c r="C22742" s="5" t="str">
        <f>IFERROR(__xludf.DUMMYFUNCTION("GOOGLETRANSLATE(B22742,""en"",""zh-CN"")"),"他把轮胎放回自行车上，然后旋转。")</f>
        <v>他把轮胎放回自行车上，然后旋转。</v>
      </c>
    </row>
    <row r="22743">
      <c r="A22743" s="4" t="s">
        <v>28621</v>
      </c>
      <c r="B22743" s="4" t="s">
        <v>28622</v>
      </c>
      <c r="C22743" s="5" t="str">
        <f>IFERROR(__xludf.DUMMYFUNCTION("GOOGLETRANSLATE(B22743,""en"",""zh-CN"")"),"看到一个人跑到球场上并开枪射击。")</f>
        <v>看到一个人跑到球场上并开枪射击。</v>
      </c>
    </row>
    <row r="22744">
      <c r="A22744" s="4" t="s">
        <v>28621</v>
      </c>
      <c r="B22744" s="4" t="s">
        <v>28623</v>
      </c>
      <c r="C22744" s="5" t="str">
        <f>IFERROR(__xludf.DUMMYFUNCTION("GOOGLETRANSLATE(B22744,""en"",""zh-CN"")"),"该男子以几个剪辑的速度显示并得分篮子。")</f>
        <v>该男子以几个剪辑的速度显示并得分篮子。</v>
      </c>
    </row>
    <row r="22745">
      <c r="A22745" s="4" t="s">
        <v>28621</v>
      </c>
      <c r="B22745" s="4" t="s">
        <v>28624</v>
      </c>
      <c r="C22745" s="5" t="str">
        <f>IFERROR(__xludf.DUMMYFUNCTION("GOOGLETRANSLATE(B22745,""en"",""zh-CN"")"),"该男子继续一遍又一遍地射击。")</f>
        <v>该男子继续一遍又一遍地射击。</v>
      </c>
    </row>
    <row r="22746">
      <c r="A22746" s="4" t="s">
        <v>28625</v>
      </c>
      <c r="B22746" s="4" t="s">
        <v>28626</v>
      </c>
      <c r="C22746" s="5" t="str">
        <f>IFERROR(__xludf.DUMMYFUNCTION("GOOGLETRANSLATE(B22746,""en"",""zh-CN"")"),"一个男孩坐在厨房柜台上并调整相机。")</f>
        <v>一个男孩坐在厨房柜台上并调整相机。</v>
      </c>
    </row>
    <row r="22747">
      <c r="A22747" s="4" t="s">
        <v>28625</v>
      </c>
      <c r="B22747" s="4" t="s">
        <v>28627</v>
      </c>
      <c r="C22747" s="5" t="str">
        <f>IFERROR(__xludf.DUMMYFUNCTION("GOOGLETRANSLATE(B22747,""en"",""zh-CN"")"),"他的朋友将相机向后移动，使它们更加明显。")</f>
        <v>他的朋友将相机向后移动，使它们更加明显。</v>
      </c>
    </row>
    <row r="22748">
      <c r="A22748" s="4" t="s">
        <v>28625</v>
      </c>
      <c r="B22748" s="4" t="s">
        <v>28628</v>
      </c>
      <c r="C22748" s="5" t="str">
        <f>IFERROR(__xludf.DUMMYFUNCTION("GOOGLETRANSLATE(B22748,""en"",""zh-CN"")"),"然后，两个男孩的手臂摔跤，左男孩两次都赢了。")</f>
        <v>然后，两个男孩的手臂摔跤，左男孩两次都赢了。</v>
      </c>
    </row>
    <row r="22749">
      <c r="A22749" s="4" t="s">
        <v>28625</v>
      </c>
      <c r="B22749" s="4" t="s">
        <v>28629</v>
      </c>
      <c r="C22749" s="5" t="str">
        <f>IFERROR(__xludf.DUMMYFUNCTION("GOOGLETRANSLATE(B22749,""en"",""zh-CN"")"),"右男孩走开了，左男孩伸手去拿相机。")</f>
        <v>右男孩走开了，左男孩伸手去拿相机。</v>
      </c>
    </row>
    <row r="22750">
      <c r="A22750" s="4" t="s">
        <v>28630</v>
      </c>
      <c r="B22750" s="4" t="s">
        <v>28631</v>
      </c>
      <c r="C22750" s="5" t="str">
        <f>IFERROR(__xludf.DUMMYFUNCTION("GOOGLETRANSLATE(B22750,""en"",""zh-CN"")"),"看到两名妇女在房间里跑来跑去，并通往相机。")</f>
        <v>看到两名妇女在房间里跑来跑去，并通往相机。</v>
      </c>
    </row>
    <row r="22751">
      <c r="A22751" s="4" t="s">
        <v>28630</v>
      </c>
      <c r="B22751" s="4" t="s">
        <v>28632</v>
      </c>
      <c r="C22751" s="5" t="str">
        <f>IFERROR(__xludf.DUMMYFUNCTION("GOOGLETRANSLATE(B22751,""en"",""zh-CN"")"),"人们在跳舞和彼此欢呼时在房间周围打网球。")</f>
        <v>人们在跳舞和彼此欢呼时在房间周围打网球。</v>
      </c>
    </row>
    <row r="22752">
      <c r="A22752" s="4" t="s">
        <v>28630</v>
      </c>
      <c r="B22752" s="4" t="s">
        <v>28633</v>
      </c>
      <c r="C22752" s="5" t="str">
        <f>IFERROR(__xludf.DUMMYFUNCTION("GOOGLETRANSLATE(B22752,""en"",""zh-CN"")"),"人们在彼此比赛时继续击球。")</f>
        <v>人们在彼此比赛时继续击球。</v>
      </c>
    </row>
    <row r="22753">
      <c r="A22753" s="4" t="s">
        <v>28634</v>
      </c>
      <c r="B22753" s="4" t="s">
        <v>28635</v>
      </c>
      <c r="C22753" s="5" t="str">
        <f>IFERROR(__xludf.DUMMYFUNCTION("GOOGLETRANSLATE(B22753,""en"",""zh-CN"")"),"一个穿着焊接服装的男子将一块金属焊接到相机上的另一件金属上。")</f>
        <v>一个穿着焊接服装的男子将一块金属焊接到相机上的另一件金属上。</v>
      </c>
    </row>
    <row r="22754">
      <c r="A22754" s="4" t="s">
        <v>28634</v>
      </c>
      <c r="B22754" s="6" t="s">
        <v>28636</v>
      </c>
      <c r="C22754" s="5" t="str">
        <f>IFERROR(__xludf.DUMMYFUNCTION("GOOGLETRANSLATE(B22754,""en"",""zh-CN"")"),"一个穿着防护服和金属焊接帽子的男人站在一块金属前，脸上缺少一条长条。")</f>
        <v>一个穿着防护服和金属焊接帽子的男人站在一块金属前，脸上缺少一条长条。</v>
      </c>
    </row>
    <row r="22755">
      <c r="A22755" s="4" t="s">
        <v>28634</v>
      </c>
      <c r="B22755" s="4" t="s">
        <v>28637</v>
      </c>
      <c r="C22755" s="5" t="str">
        <f>IFERROR(__xludf.DUMMYFUNCTION("GOOGLETRANSLATE(B22755,""en"",""zh-CN"")"),"该男子开始焊接产生大量白光火花。")</f>
        <v>该男子开始焊接产生大量白光火花。</v>
      </c>
    </row>
    <row r="22756">
      <c r="A22756" s="4" t="s">
        <v>28634</v>
      </c>
      <c r="B22756" s="6" t="s">
        <v>28638</v>
      </c>
      <c r="C22756" s="5" t="str">
        <f>IFERROR(__xludf.DUMMYFUNCTION("GOOGLETRANSLATE(B22756,""en"",""zh-CN"")"),"当焊接停止时，成品揭示了一条条带焊接到以前的裸露点上，并用硬仪器对其进行了测试。")</f>
        <v>当焊接停止时，成品揭示了一条条带焊接到以前的裸露点上，并用硬仪器对其进行了测试。</v>
      </c>
    </row>
    <row r="22757">
      <c r="A22757" s="4" t="s">
        <v>28639</v>
      </c>
      <c r="B22757" s="4" t="s">
        <v>28640</v>
      </c>
      <c r="C22757" s="5" t="str">
        <f>IFERROR(__xludf.DUMMYFUNCTION("GOOGLETRANSLATE(B22757,""en"",""zh-CN"")"),"一个女人在外面骑自行车。")</f>
        <v>一个女人在外面骑自行车。</v>
      </c>
    </row>
    <row r="22758">
      <c r="A22758" s="4" t="s">
        <v>28639</v>
      </c>
      <c r="B22758" s="4" t="s">
        <v>28641</v>
      </c>
      <c r="C22758" s="5" t="str">
        <f>IFERROR(__xludf.DUMMYFUNCTION("GOOGLETRANSLATE(B22758,""en"",""zh-CN"")"),"然后，她被证明在玩小提琴。")</f>
        <v>然后，她被证明在玩小提琴。</v>
      </c>
    </row>
    <row r="22759">
      <c r="A22759" s="4" t="s">
        <v>28639</v>
      </c>
      <c r="B22759" s="4" t="s">
        <v>28642</v>
      </c>
      <c r="C22759" s="5" t="str">
        <f>IFERROR(__xludf.DUMMYFUNCTION("GOOGLETRANSLATE(B22759,""en"",""zh-CN"")"),"然后她在外面滚子刀片。")</f>
        <v>然后她在外面滚子刀片。</v>
      </c>
    </row>
    <row r="22760">
      <c r="A22760" s="4" t="s">
        <v>28639</v>
      </c>
      <c r="B22760" s="4" t="s">
        <v>28643</v>
      </c>
      <c r="C22760" s="5" t="str">
        <f>IFERROR(__xludf.DUMMYFUNCTION("GOOGLETRANSLATE(B22760,""en"",""zh-CN"")"),"然后她确实在屋顶上俯卧撑。")</f>
        <v>然后她确实在屋顶上俯卧撑。</v>
      </c>
    </row>
    <row r="22761">
      <c r="A22761" s="4" t="s">
        <v>28644</v>
      </c>
      <c r="B22761" s="4" t="s">
        <v>28645</v>
      </c>
      <c r="C22761" s="5" t="str">
        <f>IFERROR(__xludf.DUMMYFUNCTION("GOOGLETRANSLATE(B22761,""en"",""zh-CN"")"),"一个人跳跃并降落在沙滩上。")</f>
        <v>一个人跳跃并降落在沙滩上。</v>
      </c>
    </row>
    <row r="22762">
      <c r="A22762" s="4" t="s">
        <v>28644</v>
      </c>
      <c r="B22762" s="6" t="s">
        <v>28646</v>
      </c>
      <c r="C22762" s="5" t="str">
        <f>IFERROR(__xludf.DUMMYFUNCTION("GOOGLETRANSLATE(B22762,""en"",""zh-CN"")"),"一个男人跑得迅速，跳高到达沙滩上，然后站着，跳到他的坐下，而人们在体育场行走。")</f>
        <v>一个男人跑得迅速，跳高到达沙滩上，然后站着，跳到他的坐下，而人们在体育场行走。</v>
      </c>
    </row>
    <row r="22763">
      <c r="A22763" s="4" t="s">
        <v>28644</v>
      </c>
      <c r="B22763" s="4" t="s">
        <v>28647</v>
      </c>
      <c r="C22763" s="5" t="str">
        <f>IFERROR(__xludf.DUMMYFUNCTION("GOOGLETRANSLATE(B22763,""en"",""zh-CN"")"),"一个男人坐在一个优雅的房间里说话。")</f>
        <v>一个男人坐在一个优雅的房间里说话。</v>
      </c>
    </row>
    <row r="22764">
      <c r="A22764" s="4" t="s">
        <v>28644</v>
      </c>
      <c r="B22764" s="4" t="s">
        <v>28648</v>
      </c>
      <c r="C22764" s="5" t="str">
        <f>IFERROR(__xludf.DUMMYFUNCTION("GOOGLETRANSLATE(B22764,""en"",""zh-CN"")"),"一个男人在人群的前面传递，然后跳跃并弯腰庆祝。")</f>
        <v>一个男人在人群的前面传递，然后跳跃并弯腰庆祝。</v>
      </c>
    </row>
    <row r="22765">
      <c r="A22765" s="4" t="s">
        <v>28644</v>
      </c>
      <c r="B22765" s="4" t="s">
        <v>28649</v>
      </c>
      <c r="C22765" s="5" t="str">
        <f>IFERROR(__xludf.DUMMYFUNCTION("GOOGLETRANSLATE(B22765,""en"",""zh-CN"")"),"三名运动员站在领奖台上，然后一个人跑来跑去降落在沙滩上。")</f>
        <v>三名运动员站在领奖台上，然后一个人跑来跑去降落在沙滩上。</v>
      </c>
    </row>
    <row r="22766">
      <c r="A22766" s="4" t="s">
        <v>28650</v>
      </c>
      <c r="B22766" s="4" t="s">
        <v>28651</v>
      </c>
      <c r="C22766" s="5" t="str">
        <f>IFERROR(__xludf.DUMMYFUNCTION("GOOGLETRANSLATE(B22766,""en"",""zh-CN"")"),"人们坐在沙滩上的沙滩上。")</f>
        <v>人们坐在沙滩上的沙滩上。</v>
      </c>
    </row>
    <row r="22767">
      <c r="A22767" s="4" t="s">
        <v>28650</v>
      </c>
      <c r="B22767" s="4" t="s">
        <v>28652</v>
      </c>
      <c r="C22767" s="5" t="str">
        <f>IFERROR(__xludf.DUMMYFUNCTION("GOOGLETRANSLATE(B22767,""en"",""zh-CN"")"),"人们在水中的大浪上冲浪。")</f>
        <v>人们在水中的大浪上冲浪。</v>
      </c>
    </row>
    <row r="22768">
      <c r="A22768" s="4" t="s">
        <v>28650</v>
      </c>
      <c r="B22768" s="4" t="s">
        <v>28653</v>
      </c>
      <c r="C22768" s="5" t="str">
        <f>IFERROR(__xludf.DUMMYFUNCTION("GOOGLETRANSLATE(B22768,""en"",""zh-CN"")"),"一个男孩把毛巾放在海滩的沙滩上。")</f>
        <v>一个男孩把毛巾放在海滩的沙滩上。</v>
      </c>
    </row>
    <row r="22769">
      <c r="A22769" s="4" t="s">
        <v>28650</v>
      </c>
      <c r="B22769" s="4" t="s">
        <v>28654</v>
      </c>
      <c r="C22769" s="5" t="str">
        <f>IFERROR(__xludf.DUMMYFUNCTION("GOOGLETRANSLATE(B22769,""en"",""zh-CN"")"),"人们继续在水的大浪上冲浪。")</f>
        <v>人们继续在水的大浪上冲浪。</v>
      </c>
    </row>
    <row r="22770">
      <c r="A22770" s="4" t="s">
        <v>28655</v>
      </c>
      <c r="B22770" s="6" t="s">
        <v>28656</v>
      </c>
      <c r="C22770" s="5" t="str">
        <f>IFERROR(__xludf.DUMMYFUNCTION("GOOGLETRANSLATE(B22770,""en"",""zh-CN"")"),"一个穿着黑色衬衫的男人将锻炼球握在另一个穿着浅蓝色衬衫的男人上，在倾斜的长凳上表演仰卧起坐。")</f>
        <v>一个穿着黑色衬衫的男人将锻炼球握在另一个穿着浅蓝色衬衫的男人上，在倾斜的长凳上表演仰卧起坐。</v>
      </c>
    </row>
    <row r="22771">
      <c r="A22771" s="4" t="s">
        <v>28655</v>
      </c>
      <c r="B22771" s="6" t="s">
        <v>28657</v>
      </c>
      <c r="C22771" s="5" t="str">
        <f>IFERROR(__xludf.DUMMYFUNCTION("GOOGLETRANSLATE(B22771,""en"",""zh-CN"")"),"穿着黑色衬衫的那个人将球扔在地板上，蹲下并高高击球，该男子表演仰卧起坐。")</f>
        <v>穿着黑色衬衫的那个人将球扔在地板上，蹲下并高高击球，该男子表演仰卧起坐。</v>
      </c>
    </row>
    <row r="22772">
      <c r="A22772" s="4" t="s">
        <v>28658</v>
      </c>
      <c r="B22772" s="4" t="s">
        <v>28659</v>
      </c>
      <c r="C22772" s="5" t="str">
        <f>IFERROR(__xludf.DUMMYFUNCTION("GOOGLETRANSLATE(B22772,""en"",""zh-CN"")"),"一个男人坐在一条快速流动的河边的岩石上。")</f>
        <v>一个男人坐在一条快速流动的河边的岩石上。</v>
      </c>
    </row>
    <row r="22773">
      <c r="A22773" s="4" t="s">
        <v>28658</v>
      </c>
      <c r="B22773" s="4" t="s">
        <v>28660</v>
      </c>
      <c r="C22773" s="5" t="str">
        <f>IFERROR(__xludf.DUMMYFUNCTION("GOOGLETRANSLATE(B22773,""en"",""zh-CN"")"),"另一个男人在木筏上驶过他，试图跟上强烈的潮流和海浪。")</f>
        <v>另一个男人在木筏上驶过他，试图跟上强烈的潮流和海浪。</v>
      </c>
    </row>
    <row r="22774">
      <c r="A22774" s="4" t="s">
        <v>28658</v>
      </c>
      <c r="B22774" s="4" t="s">
        <v>28661</v>
      </c>
      <c r="C22774" s="5" t="str">
        <f>IFERROR(__xludf.DUMMYFUNCTION("GOOGLETRANSLATE(B22774,""en"",""zh-CN"")"),"还有其他几个人坐在岩石上，看着the脚过去。")</f>
        <v>还有其他几个人坐在岩石上，看着the脚过去。</v>
      </c>
    </row>
    <row r="22775">
      <c r="A22775" s="4" t="s">
        <v>28658</v>
      </c>
      <c r="B22775" s="4" t="s">
        <v>28662</v>
      </c>
      <c r="C22775" s="5" t="str">
        <f>IFERROR(__xludf.DUMMYFUNCTION("GOOGLETRANSLATE(B22775,""en"",""zh-CN"")"),"他们坐在岩石上，除了他们的生活背心。")</f>
        <v>他们坐在岩石上，除了他们的生活背心。</v>
      </c>
    </row>
    <row r="22776">
      <c r="A22776" s="4" t="s">
        <v>28663</v>
      </c>
      <c r="B22776" s="4" t="s">
        <v>28664</v>
      </c>
      <c r="C22776" s="5" t="str">
        <f>IFERROR(__xludf.DUMMYFUNCTION("GOOGLETRANSLATE(B22776,""en"",""zh-CN"")"),"摄像头用巧克力曲奇和牛奶搅拌，并导致一个女人说话。")</f>
        <v>摄像头用巧克力曲奇和牛奶搅拌，并导致一个女人说话。</v>
      </c>
    </row>
    <row r="22777">
      <c r="A22777" s="4" t="s">
        <v>28663</v>
      </c>
      <c r="B22777" s="6" t="s">
        <v>28665</v>
      </c>
      <c r="C22777" s="5" t="str">
        <f>IFERROR(__xludf.DUMMYFUNCTION("GOOGLETRANSLATE(B22777,""en"",""zh-CN"")"),"该名女子将各种成分混合在一起，然后将她的团块放入锅中。")</f>
        <v>该名女子将各种成分混合在一起，然后将她的团块放入锅中。</v>
      </c>
    </row>
    <row r="22778">
      <c r="A22778" s="4" t="s">
        <v>28663</v>
      </c>
      <c r="B22778" s="4" t="s">
        <v>28666</v>
      </c>
      <c r="C22778" s="5" t="str">
        <f>IFERROR(__xludf.DUMMYFUNCTION("GOOGLETRANSLATE(B22778,""en"",""zh-CN"")"),"她将锅放在烤箱中，然后将其取出以炫耀她的巧克力饼干。")</f>
        <v>她将锅放在烤箱中，然后将其取出以炫耀她的巧克力饼干。</v>
      </c>
    </row>
    <row r="22779">
      <c r="A22779" s="4" t="s">
        <v>28667</v>
      </c>
      <c r="B22779" s="4" t="s">
        <v>28668</v>
      </c>
      <c r="C22779" s="5" t="str">
        <f>IFERROR(__xludf.DUMMYFUNCTION("GOOGLETRANSLATE(B22779,""en"",""zh-CN"")"),"看到一个女人站在镜头前，着火了。")</f>
        <v>看到一个女人站在镜头前，着火了。</v>
      </c>
    </row>
    <row r="22780">
      <c r="A22780" s="4" t="s">
        <v>28667</v>
      </c>
      <c r="B22780" s="6" t="s">
        <v>28669</v>
      </c>
      <c r="C22780" s="5" t="str">
        <f>IFERROR(__xludf.DUMMYFUNCTION("GOOGLETRANSLATE(B22780,""en"",""zh-CN"")"),"另一个女人走到第一个旁边，两人开始互相表演。")</f>
        <v>另一个女人走到第一个旁边，两人开始互相表演。</v>
      </c>
    </row>
    <row r="22781">
      <c r="A22781" s="4" t="s">
        <v>28667</v>
      </c>
      <c r="B22781" s="6" t="s">
        <v>28670</v>
      </c>
      <c r="C22781" s="5" t="str">
        <f>IFERROR(__xludf.DUMMYFUNCTION("GOOGLETRANSLATE(B22781,""en"",""zh-CN"")"),"一个男人递给他们照亮的人，女人继续跳舞和旋转着火。")</f>
        <v>一个男人递给他们照亮的人，女人继续跳舞和旋转着火。</v>
      </c>
    </row>
    <row r="22782">
      <c r="A22782" s="4" t="s">
        <v>28671</v>
      </c>
      <c r="B22782" s="4" t="s">
        <v>28672</v>
      </c>
      <c r="C22782" s="5" t="str">
        <f>IFERROR(__xludf.DUMMYFUNCTION("GOOGLETRANSLATE(B22782,""en"",""zh-CN"")"),"一个男人和女人正带着菠萝站在柜台上。")</f>
        <v>一个男人和女人正带着菠萝站在柜台上。</v>
      </c>
    </row>
    <row r="22783">
      <c r="A22783" s="4" t="s">
        <v>28671</v>
      </c>
      <c r="B22783" s="4" t="s">
        <v>28673</v>
      </c>
      <c r="C22783" s="5" t="str">
        <f>IFERROR(__xludf.DUMMYFUNCTION("GOOGLETRANSLATE(B22783,""en"",""zh-CN"")"),"该男子撕开了菠萝的顶部。")</f>
        <v>该男子撕开了菠萝的顶部。</v>
      </c>
    </row>
    <row r="22784">
      <c r="A22784" s="4" t="s">
        <v>28671</v>
      </c>
      <c r="B22784" s="4" t="s">
        <v>28674</v>
      </c>
      <c r="C22784" s="5" t="str">
        <f>IFERROR(__xludf.DUMMYFUNCTION("GOOGLETRANSLATE(B22784,""en"",""zh-CN"")"),"该男子将菠萝的顶部切下来。")</f>
        <v>该男子将菠萝的顶部切下来。</v>
      </c>
    </row>
    <row r="22785">
      <c r="A22785" s="4" t="s">
        <v>28671</v>
      </c>
      <c r="B22785" s="4" t="s">
        <v>28675</v>
      </c>
      <c r="C22785" s="5" t="str">
        <f>IFERROR(__xludf.DUMMYFUNCTION("GOOGLETRANSLATE(B22785,""en"",""zh-CN"")"),"该男子将菠萝切成两半。")</f>
        <v>该男子将菠萝切成两半。</v>
      </c>
    </row>
    <row r="22786">
      <c r="A22786" s="4" t="s">
        <v>28671</v>
      </c>
      <c r="B22786" s="4" t="s">
        <v>28676</v>
      </c>
      <c r="C22786" s="5" t="str">
        <f>IFERROR(__xludf.DUMMYFUNCTION("GOOGLETRANSLATE(B22786,""en"",""zh-CN"")"),"该男子将皮肤从菠萝上切掉。")</f>
        <v>该男子将皮肤从菠萝上切掉。</v>
      </c>
    </row>
    <row r="22787">
      <c r="A22787" s="4" t="s">
        <v>28677</v>
      </c>
      <c r="B22787" s="6" t="s">
        <v>28678</v>
      </c>
      <c r="C22787" s="5" t="str">
        <f>IFERROR(__xludf.DUMMYFUNCTION("GOOGLETRANSLATE(B22787,""en"",""zh-CN"")"),"看到一个人与另一个男人一起爬进皮划艇的后部，独自划水。")</f>
        <v>看到一个人与另一个男人一起爬进皮划艇的后部，独自划水。</v>
      </c>
    </row>
    <row r="22788">
      <c r="A22788" s="4" t="s">
        <v>28677</v>
      </c>
      <c r="B22788" s="6" t="s">
        <v>28679</v>
      </c>
      <c r="C22788" s="5" t="str">
        <f>IFERROR(__xludf.DUMMYFUNCTION("GOOGLETRANSLATE(B22788,""en"",""zh-CN"")"),"摄像机在该区域周围竖起，并沿着水上放大和第四，并向海滩上的人们放大。")</f>
        <v>摄像机在该区域周围竖起，并沿着水上放大和第四，并向海滩上的人们放大。</v>
      </c>
    </row>
    <row r="22789">
      <c r="A22789" s="4" t="s">
        <v>28680</v>
      </c>
      <c r="B22789" s="4" t="s">
        <v>28681</v>
      </c>
      <c r="C22789" s="5" t="str">
        <f>IFERROR(__xludf.DUMMYFUNCTION("GOOGLETRANSLATE(B22789,""en"",""zh-CN"")"),"显示了一个停车场，滚筒上的一个男子从山上脱下来。")</f>
        <v>显示了一个停车场，滚筒上的一个男子从山上脱下来。</v>
      </c>
    </row>
    <row r="22790">
      <c r="A22790" s="4" t="s">
        <v>28680</v>
      </c>
      <c r="B22790" s="4" t="s">
        <v>28682</v>
      </c>
      <c r="C22790" s="5" t="str">
        <f>IFERROR(__xludf.DUMMYFUNCTION("GOOGLETRANSLATE(B22790,""en"",""zh-CN"")"),"他绕着溜冰鞋尖锐的曲线。")</f>
        <v>他绕着溜冰鞋尖锐的曲线。</v>
      </c>
    </row>
    <row r="22791">
      <c r="A22791" s="4" t="s">
        <v>28680</v>
      </c>
      <c r="B22791" s="4" t="s">
        <v>28683</v>
      </c>
      <c r="C22791" s="5" t="str">
        <f>IFERROR(__xludf.DUMMYFUNCTION("GOOGLETRANSLATE(B22791,""en"",""zh-CN"")"),"他沿着几个国家和树木繁茂的道路驶入停车场停下来。")</f>
        <v>他沿着几个国家和树木繁茂的道路驶入停车场停下来。</v>
      </c>
    </row>
    <row r="22792">
      <c r="A22792" s="4" t="s">
        <v>28684</v>
      </c>
      <c r="B22792" s="6" t="s">
        <v>28685</v>
      </c>
      <c r="C22792" s="5" t="str">
        <f>IFERROR(__xludf.DUMMYFUNCTION("GOOGLETRANSLATE(B22792,""en"",""zh-CN"")"),"一个女孩在客厅和一条带有一系列住宅的房屋作为背景的绿色草坪上展示了几个体操和不倒翁。")</f>
        <v>一个女孩在客厅和一条带有一系列住宅的房屋作为背景的绿色草坪上展示了几个体操和不倒翁。</v>
      </c>
    </row>
    <row r="22793">
      <c r="A22793" s="4" t="s">
        <v>28684</v>
      </c>
      <c r="B22793" s="4" t="s">
        <v>28686</v>
      </c>
      <c r="C22793" s="5" t="str">
        <f>IFERROR(__xludf.DUMMYFUNCTION("GOOGLETRANSLATE(B22793,""en"",""zh-CN"")"),"一个女孩在两个沙发前的客厅里展示了翻筋斗的动作。")</f>
        <v>一个女孩在两个沙发前的客厅里展示了翻筋斗的动作。</v>
      </c>
    </row>
    <row r="22794">
      <c r="A22794" s="4" t="s">
        <v>28684</v>
      </c>
      <c r="B22794" s="6" t="s">
        <v>28687</v>
      </c>
      <c r="C22794" s="5" t="str">
        <f>IFERROR(__xludf.DUMMYFUNCTION("GOOGLETRANSLATE(B22794,""en"",""zh-CN"")"),"然后，该女孩展示了更先进的背面浮雕体操运动，在草地上，在居民区作为背景的房屋。")</f>
        <v>然后，该女孩展示了更先进的背面浮雕体操运动，在草地上，在居民区作为背景的房屋。</v>
      </c>
    </row>
    <row r="22795">
      <c r="A22795" s="4" t="s">
        <v>28688</v>
      </c>
      <c r="B22795" s="6" t="s">
        <v>28689</v>
      </c>
      <c r="C22795" s="5" t="str">
        <f>IFERROR(__xludf.DUMMYFUNCTION("GOOGLETRANSLATE(B22795,""en"",""zh-CN"")"),"看到一小群人在游泳池里游泳，并陷入各种儿童学习如何游泳的剪辑。")</f>
        <v>看到一小群人在游泳池里游泳，并陷入各种儿童学习如何游泳的剪辑。</v>
      </c>
    </row>
    <row r="22796">
      <c r="A22796" s="4" t="s">
        <v>28688</v>
      </c>
      <c r="B22796" s="4" t="s">
        <v>28690</v>
      </c>
      <c r="C22796" s="5" t="str">
        <f>IFERROR(__xludf.DUMMYFUNCTION("GOOGLETRANSLATE(B22796,""en"",""zh-CN"")"),"一个人帮助他们在水中练习，并跳下潜水板。")</f>
        <v>一个人帮助他们在水中练习，并跳下潜水板。</v>
      </c>
    </row>
    <row r="22797">
      <c r="A22797" s="4" t="s">
        <v>28688</v>
      </c>
      <c r="B22797" s="6" t="s">
        <v>28691</v>
      </c>
      <c r="C22797" s="5" t="str">
        <f>IFERROR(__xludf.DUMMYFUNCTION("GOOGLETRANSLATE(B22797,""en"",""zh-CN"")"),"显示了更多孩子游泳的镜头，并导致一个女孩抓住水下的物体并与另一个人一起游泳。")</f>
        <v>显示了更多孩子游泳的镜头，并导致一个女孩抓住水下的物体并与另一个人一起游泳。</v>
      </c>
    </row>
    <row r="22798">
      <c r="A22798" s="4" t="s">
        <v>28692</v>
      </c>
      <c r="B22798" s="4" t="s">
        <v>28693</v>
      </c>
      <c r="C22798" s="5" t="str">
        <f>IFERROR(__xludf.DUMMYFUNCTION("GOOGLETRANSLATE(B22798,""en"",""zh-CN"")"),"这个小男孩为Suthtlecock提供服务，但它击中了网。")</f>
        <v>这个小男孩为Suthtlecock提供服务，但它击中了网。</v>
      </c>
    </row>
    <row r="22799">
      <c r="A22799" s="4" t="s">
        <v>28692</v>
      </c>
      <c r="B22799" s="4" t="s">
        <v>28694</v>
      </c>
      <c r="C22799" s="5" t="str">
        <f>IFERROR(__xludf.DUMMYFUNCTION("GOOGLETRANSLATE(B22799,""en"",""zh-CN"")"),"老人为球服务，孩子错过了。")</f>
        <v>老人为球服务，孩子错过了。</v>
      </c>
    </row>
    <row r="22800">
      <c r="A22800" s="4" t="s">
        <v>28692</v>
      </c>
      <c r="B22800" s="4" t="s">
        <v>28695</v>
      </c>
      <c r="C22800" s="5" t="str">
        <f>IFERROR(__xludf.DUMMYFUNCTION("GOOGLETRANSLATE(B22800,""en"",""zh-CN"")"),"一位穿着灰色衬衫的老妇为球服务，红色的女孩击中了它。")</f>
        <v>一位穿着灰色衬衫的老妇为球服务，红色的女孩击中了它。</v>
      </c>
    </row>
    <row r="22801">
      <c r="A22801" s="4" t="s">
        <v>28696</v>
      </c>
      <c r="B22801" s="4" t="s">
        <v>28697</v>
      </c>
      <c r="C22801" s="5" t="str">
        <f>IFERROR(__xludf.DUMMYFUNCTION("GOOGLETRANSLATE(B22801,""en"",""zh-CN"")"),"一个男人正在滑板，他跳上了更高的水平。")</f>
        <v>一个男人正在滑板，他跳上了更高的水平。</v>
      </c>
    </row>
    <row r="22802">
      <c r="A22802" s="4" t="s">
        <v>28696</v>
      </c>
      <c r="B22802" s="4" t="s">
        <v>28698</v>
      </c>
      <c r="C22802" s="5" t="str">
        <f>IFERROR(__xludf.DUMMYFUNCTION("GOOGLETRANSLATE(B22802,""en"",""zh-CN"")"),"他踢了一定的速度，并做了一些很酷的技巧。")</f>
        <v>他踢了一定的速度，并做了一些很酷的技巧。</v>
      </c>
    </row>
    <row r="22803">
      <c r="A22803" s="4" t="s">
        <v>28696</v>
      </c>
      <c r="B22803" s="4" t="s">
        <v>28699</v>
      </c>
      <c r="C22803" s="5" t="str">
        <f>IFERROR(__xludf.DUMMYFUNCTION("GOOGLETRANSLATE(B22803,""en"",""zh-CN"")"),"他下车，然后跳回董事会，并在周围做更多的技巧。")</f>
        <v>他下车，然后跳回董事会，并在周围做更多的技巧。</v>
      </c>
    </row>
    <row r="22804">
      <c r="A22804" s="4" t="s">
        <v>28696</v>
      </c>
      <c r="B22804" s="4" t="s">
        <v>28700</v>
      </c>
      <c r="C22804" s="5" t="str">
        <f>IFERROR(__xludf.DUMMYFUNCTION("GOOGLETRANSLATE(B22804,""en"",""zh-CN"")"),"他跳上轨道，然后退后，坐在板上并挥手。")</f>
        <v>他跳上轨道，然后退后，坐在板上并挥手。</v>
      </c>
    </row>
    <row r="22805">
      <c r="A22805" s="4" t="s">
        <v>28701</v>
      </c>
      <c r="B22805" s="4" t="s">
        <v>28702</v>
      </c>
      <c r="C22805" s="5" t="str">
        <f>IFERROR(__xludf.DUMMYFUNCTION("GOOGLETRANSLATE(B22805,""en"",""zh-CN"")"),"看到一名棒球运动员站在一块泥土上，另一个人身后。")</f>
        <v>看到一名棒球运动员站在一块泥土上，另一个人身后。</v>
      </c>
    </row>
    <row r="22806">
      <c r="A22806" s="4" t="s">
        <v>28701</v>
      </c>
      <c r="B22806" s="4" t="s">
        <v>28703</v>
      </c>
      <c r="C22806" s="5" t="str">
        <f>IFERROR(__xludf.DUMMYFUNCTION("GOOGLETRANSLATE(B22806,""en"",""zh-CN"")"),"然后，该男子开始击球。")</f>
        <v>然后，该男子开始击球。</v>
      </c>
    </row>
    <row r="22807">
      <c r="A22807" s="4" t="s">
        <v>28701</v>
      </c>
      <c r="B22807" s="4" t="s">
        <v>28704</v>
      </c>
      <c r="C22807" s="5" t="str">
        <f>IFERROR(__xludf.DUMMYFUNCTION("GOOGLETRANSLATE(B22807,""en"",""zh-CN"")"),"该男子以慢动作击球。")</f>
        <v>该男子以慢动作击球。</v>
      </c>
    </row>
    <row r="22808">
      <c r="A22808" s="4" t="s">
        <v>28705</v>
      </c>
      <c r="B22808" s="4" t="s">
        <v>28706</v>
      </c>
      <c r="C22808" s="5" t="str">
        <f>IFERROR(__xludf.DUMMYFUNCTION("GOOGLETRANSLATE(B22808,""en"",""zh-CN"")"),"一个人用面粉，鸡蛋，搅拌器和面食压榨机从刮擦中制作意大利面条。")</f>
        <v>一个人用面粉，鸡蛋，搅拌器和面食压榨机从刮擦中制作意大利面条。</v>
      </c>
    </row>
    <row r="22809">
      <c r="A22809" s="4" t="s">
        <v>28705</v>
      </c>
      <c r="B22809" s="4" t="s">
        <v>28707</v>
      </c>
      <c r="C22809" s="5" t="str">
        <f>IFERROR(__xludf.DUMMYFUNCTION("GOOGLETRANSLATE(B22809,""en"",""zh-CN"")"),"手将面粉混合在碗中，加入鸡蛋并将两种成分与搅拌机混合。")</f>
        <v>手将面粉混合在碗中，加入鸡蛋并将两种成分与搅拌机混合。</v>
      </c>
    </row>
    <row r="22810">
      <c r="A22810" s="4" t="s">
        <v>28705</v>
      </c>
      <c r="B22810" s="6" t="s">
        <v>28708</v>
      </c>
      <c r="C22810" s="5" t="str">
        <f>IFERROR(__xludf.DUMMYFUNCTION("GOOGLETRANSLATE(B22810,""en"",""zh-CN"")"),"然后，双手将产生的面团球揉成揉捏，用莎兰包裹盖住它，然后用滚动销滚动，然后将其切成碎片。")</f>
        <v>然后，双手将产生的面团球揉成揉捏，用莎兰包裹盖住它，然后用滚动销滚动，然后将其切成碎片。</v>
      </c>
    </row>
    <row r="22811">
      <c r="A22811" s="4" t="s">
        <v>28705</v>
      </c>
      <c r="B22811" s="6" t="s">
        <v>28709</v>
      </c>
      <c r="C22811" s="5" t="str">
        <f>IFERROR(__xludf.DUMMYFUNCTION("GOOGLETRANSLATE(B22811,""en"",""zh-CN"")"),"然后，该人将扁平的面团拿到压榨机中，用面粉将其撒在容器中，然后将意大利面条压在容器中，然后产生许多意大利面条。")</f>
        <v>然后，该人将扁平的面团拿到压榨机中，用面粉将其撒在容器中，然后将意大利面条压在容器中，然后产生许多意大利面条。</v>
      </c>
    </row>
    <row r="22812">
      <c r="A22812" s="4" t="s">
        <v>28710</v>
      </c>
      <c r="B22812" s="4" t="s">
        <v>28711</v>
      </c>
      <c r="C22812" s="5" t="str">
        <f>IFERROR(__xludf.DUMMYFUNCTION("GOOGLETRANSLATE(B22812,""en"",""zh-CN"")"),"一个男人和一个女人站在雪中说话。")</f>
        <v>一个男人和一个女人站在雪中说话。</v>
      </c>
    </row>
    <row r="22813">
      <c r="A22813" s="4" t="s">
        <v>28710</v>
      </c>
      <c r="B22813" s="4" t="s">
        <v>28712</v>
      </c>
      <c r="C22813" s="5" t="str">
        <f>IFERROR(__xludf.DUMMYFUNCTION("GOOGLETRANSLATE(B22813,""en"",""zh-CN"")"),"该男子正在清理汽车的雪。")</f>
        <v>该男子正在清理汽车的雪。</v>
      </c>
    </row>
    <row r="22814">
      <c r="A22814" s="4" t="s">
        <v>28710</v>
      </c>
      <c r="B22814" s="4" t="s">
        <v>28713</v>
      </c>
      <c r="C22814" s="5" t="str">
        <f>IFERROR(__xludf.DUMMYFUNCTION("GOOGLETRANSLATE(B22814,""en"",""zh-CN"")"),"女孩穿着皮大衣，与镜头说话。")</f>
        <v>女孩穿着皮大衣，与镜头说话。</v>
      </c>
    </row>
    <row r="22815">
      <c r="A22815" s="4" t="s">
        <v>28710</v>
      </c>
      <c r="B22815" s="4" t="s">
        <v>28714</v>
      </c>
      <c r="C22815" s="5" t="str">
        <f>IFERROR(__xludf.DUMMYFUNCTION("GOOGLETRANSLATE(B22815,""en"",""zh-CN"")"),"该男子继续刷车上的雪。")</f>
        <v>该男子继续刷车上的雪。</v>
      </c>
    </row>
    <row r="22816">
      <c r="A22816" s="4" t="s">
        <v>28710</v>
      </c>
      <c r="B22816" s="4" t="s">
        <v>28715</v>
      </c>
      <c r="C22816" s="5" t="str">
        <f>IFERROR(__xludf.DUMMYFUNCTION("GOOGLETRANSLATE(B22816,""en"",""zh-CN"")"),"他们坐在车内说话。")</f>
        <v>他们坐在车内说话。</v>
      </c>
    </row>
    <row r="22817">
      <c r="A22817" s="4" t="s">
        <v>28716</v>
      </c>
      <c r="B22817" s="4" t="s">
        <v>28717</v>
      </c>
      <c r="C22817" s="5" t="str">
        <f>IFERROR(__xludf.DUMMYFUNCTION("GOOGLETRANSLATE(B22817,""en"",""zh-CN"")"),"有一些剧本在害怕在舞台上唱歌。")</f>
        <v>有一些剧本在害怕在舞台上唱歌。</v>
      </c>
    </row>
    <row r="22818">
      <c r="A22818" s="4" t="s">
        <v>28716</v>
      </c>
      <c r="B22818" s="4" t="s">
        <v>28718</v>
      </c>
      <c r="C22818" s="5" t="str">
        <f>IFERROR(__xludf.DUMMYFUNCTION("GOOGLETRANSLATE(B22818,""en"",""zh-CN"")"),"一件穿着绿色衬衫的女人在她的厨房水槽里洗碗时正在唱歌。")</f>
        <v>一件穿着绿色衬衫的女人在她的厨房水槽里洗碗时正在唱歌。</v>
      </c>
    </row>
    <row r="22819">
      <c r="A22819" s="4" t="s">
        <v>28716</v>
      </c>
      <c r="B22819" s="6" t="s">
        <v>28719</v>
      </c>
      <c r="C22819" s="5" t="str">
        <f>IFERROR(__xludf.DUMMYFUNCTION("GOOGLETRANSLATE(B22819,""en"",""zh-CN"")"),"当她以高音调和音调唱歌时，她继续用蓝色磨砂膏和肥皂洗汤匙和叉子。")</f>
        <v>当她以高音调和音调唱歌时，她继续用蓝色磨砂膏和肥皂洗汤匙和叉子。</v>
      </c>
    </row>
    <row r="22820">
      <c r="A22820" s="4" t="s">
        <v>28716</v>
      </c>
      <c r="B22820" s="4" t="s">
        <v>28720</v>
      </c>
      <c r="C22820" s="5" t="str">
        <f>IFERROR(__xludf.DUMMYFUNCTION("GOOGLETRANSLATE(B22820,""en"",""zh-CN"")"),"她继续洗一把大刀，然后将湿的餐具放在干燥的架子上。")</f>
        <v>她继续洗一把大刀，然后将湿的餐具放在干燥的架子上。</v>
      </c>
    </row>
    <row r="22821">
      <c r="A22821" s="4" t="s">
        <v>28716</v>
      </c>
      <c r="B22821" s="4" t="s">
        <v>28721</v>
      </c>
      <c r="C22821" s="5" t="str">
        <f>IFERROR(__xludf.DUMMYFUNCTION("GOOGLETRANSLATE(B22821,""en"",""zh-CN"")"),"她洗了一些眼镜，并用同一海绵彻底擦洗它们。")</f>
        <v>她洗了一些眼镜，并用同一海绵彻底擦洗它们。</v>
      </c>
    </row>
    <row r="22822">
      <c r="A22822" s="4" t="s">
        <v>28716</v>
      </c>
      <c r="B22822" s="4" t="s">
        <v>28722</v>
      </c>
      <c r="C22822" s="5" t="str">
        <f>IFERROR(__xludf.DUMMYFUNCTION("GOOGLETRANSLATE(B22822,""en"",""zh-CN"")"),"然后将玻璃放在干燥架上。")</f>
        <v>然后将玻璃放在干燥架上。</v>
      </c>
    </row>
    <row r="22823">
      <c r="A22823" s="4" t="s">
        <v>28723</v>
      </c>
      <c r="B22823" s="4" t="s">
        <v>28724</v>
      </c>
      <c r="C22823" s="5" t="str">
        <f>IFERROR(__xludf.DUMMYFUNCTION("GOOGLETRANSLATE(B22823,""en"",""zh-CN"")"),"一个男人和一首歌一起说唱。")</f>
        <v>一个男人和一首歌一起说唱。</v>
      </c>
    </row>
    <row r="22824">
      <c r="A22824" s="4" t="s">
        <v>28723</v>
      </c>
      <c r="B22824" s="4" t="s">
        <v>28725</v>
      </c>
      <c r="C22824" s="5" t="str">
        <f>IFERROR(__xludf.DUMMYFUNCTION("GOOGLETRANSLATE(B22824,""en"",""zh-CN"")"),"这个家伙也得到了纹身。")</f>
        <v>这个家伙也得到了纹身。</v>
      </c>
    </row>
    <row r="22825">
      <c r="A22825" s="4" t="s">
        <v>28726</v>
      </c>
      <c r="B22825" s="4" t="s">
        <v>28727</v>
      </c>
      <c r="C22825" s="5" t="str">
        <f>IFERROR(__xludf.DUMMYFUNCTION("GOOGLETRANSLATE(B22825,""en"",""zh-CN"")"),"看到一大批人在一个大的沙滩上踢足球比赛。")</f>
        <v>看到一大批人在一个大的沙滩上踢足球比赛。</v>
      </c>
    </row>
    <row r="22826">
      <c r="A22826" s="4" t="s">
        <v>28726</v>
      </c>
      <c r="B22826" s="4" t="s">
        <v>28728</v>
      </c>
      <c r="C22826" s="5" t="str">
        <f>IFERROR(__xludf.DUMMYFUNCTION("GOOGLETRANSLATE(B22826,""en"",""zh-CN"")"),"当孩子们向后传球时，许多人在场外观看，彼此传球。")</f>
        <v>当孩子们向后传球时，许多人在场外观看，彼此传球。</v>
      </c>
    </row>
    <row r="22827">
      <c r="A22827" s="4" t="s">
        <v>28726</v>
      </c>
      <c r="B22827" s="6" t="s">
        <v>28729</v>
      </c>
      <c r="C22827" s="5" t="str">
        <f>IFERROR(__xludf.DUMMYFUNCTION("GOOGLETRANSLATE(B22827,""en"",""zh-CN"")"),"随着孩子们上下赛场，比赛继续进行，并尝试了几个最终错过的进球。")</f>
        <v>随着孩子们上下赛场，比赛继续进行，并尝试了几个最终错过的进球。</v>
      </c>
    </row>
    <row r="22828">
      <c r="A22828" s="4" t="s">
        <v>28730</v>
      </c>
      <c r="B22828" s="4" t="s">
        <v>28731</v>
      </c>
      <c r="C22828" s="5" t="str">
        <f>IFERROR(__xludf.DUMMYFUNCTION("GOOGLETRANSLATE(B22828,""en"",""zh-CN"")"),"一个年轻的金发女孩跳到外面。")</f>
        <v>一个年轻的金发女孩跳到外面。</v>
      </c>
    </row>
    <row r="22829">
      <c r="A22829" s="4" t="s">
        <v>28730</v>
      </c>
      <c r="B22829" s="4" t="s">
        <v>28732</v>
      </c>
      <c r="C22829" s="5" t="str">
        <f>IFERROR(__xludf.DUMMYFUNCTION("GOOGLETRANSLATE(B22829,""en"",""zh-CN"")"),"她握着跳绳，将跳绳在她面前转。")</f>
        <v>她握着跳绳，将跳绳在她面前转。</v>
      </c>
    </row>
    <row r="22830">
      <c r="A22830" s="4" t="s">
        <v>28730</v>
      </c>
      <c r="B22830" s="4" t="s">
        <v>28733</v>
      </c>
      <c r="C22830" s="5" t="str">
        <f>IFERROR(__xludf.DUMMYFUNCTION("GOOGLETRANSLATE(B22830,""en"",""zh-CN"")"),"她再次表演同样的事情。")</f>
        <v>她再次表演同样的事情。</v>
      </c>
    </row>
    <row r="22831">
      <c r="A22831" s="4" t="s">
        <v>28730</v>
      </c>
      <c r="B22831" s="4" t="s">
        <v>28734</v>
      </c>
      <c r="C22831" s="5" t="str">
        <f>IFERROR(__xludf.DUMMYFUNCTION("GOOGLETRANSLATE(B22831,""en"",""zh-CN"")"),"她再次将跳绳转动，用脚抓住它。")</f>
        <v>她再次将跳绳转动，用脚抓住它。</v>
      </c>
    </row>
    <row r="22832">
      <c r="A22832" s="4" t="s">
        <v>28730</v>
      </c>
      <c r="B22832" s="4" t="s">
        <v>28735</v>
      </c>
      <c r="C22832" s="5" t="str">
        <f>IFERROR(__xludf.DUMMYFUNCTION("GOOGLETRANSLATE(B22832,""en"",""zh-CN"")"),"她再次做。")</f>
        <v>她再次做。</v>
      </c>
    </row>
    <row r="22833">
      <c r="A22833" s="4" t="s">
        <v>28730</v>
      </c>
      <c r="B22833" s="4" t="s">
        <v>28736</v>
      </c>
      <c r="C22833" s="5" t="str">
        <f>IFERROR(__xludf.DUMMYFUNCTION("GOOGLETRANSLATE(B22833,""en"",""zh-CN"")"),"她翻转跳绳，完成了全面的跳跃。")</f>
        <v>她翻转跳绳，完成了全面的跳跃。</v>
      </c>
    </row>
    <row r="22834">
      <c r="A22834" s="4" t="s">
        <v>28730</v>
      </c>
      <c r="B22834" s="4" t="s">
        <v>28737</v>
      </c>
      <c r="C22834" s="5" t="str">
        <f>IFERROR(__xludf.DUMMYFUNCTION("GOOGLETRANSLATE(B22834,""en"",""zh-CN"")"),"她去了一次。")</f>
        <v>她去了一次。</v>
      </c>
    </row>
    <row r="22835">
      <c r="A22835" s="4" t="s">
        <v>28730</v>
      </c>
      <c r="B22835" s="4" t="s">
        <v>28738</v>
      </c>
      <c r="C22835" s="5" t="str">
        <f>IFERROR(__xludf.DUMMYFUNCTION("GOOGLETRANSLATE(B22835,""en"",""zh-CN"")"),"她跳了多次。")</f>
        <v>她跳了多次。</v>
      </c>
    </row>
    <row r="22836">
      <c r="A22836" s="4" t="s">
        <v>28730</v>
      </c>
      <c r="B22836" s="4" t="s">
        <v>28739</v>
      </c>
      <c r="C22836" s="5" t="str">
        <f>IFERROR(__xludf.DUMMYFUNCTION("GOOGLETRANSLATE(B22836,""en"",""zh-CN"")"),"她做了一次，一遍又一遍地跳跃。")</f>
        <v>她做了一次，一遍又一遍地跳跃。</v>
      </c>
    </row>
    <row r="22837">
      <c r="A22837" s="4" t="s">
        <v>28730</v>
      </c>
      <c r="B22837" s="4" t="s">
        <v>28740</v>
      </c>
      <c r="C22837" s="5" t="str">
        <f>IFERROR(__xludf.DUMMYFUNCTION("GOOGLETRANSLATE(B22837,""en"",""zh-CN"")"),"她在相机上说话。")</f>
        <v>她在相机上说话。</v>
      </c>
    </row>
    <row r="22838">
      <c r="A22838" s="4" t="s">
        <v>28741</v>
      </c>
      <c r="B22838" s="4" t="s">
        <v>28742</v>
      </c>
      <c r="C22838" s="5" t="str">
        <f>IFERROR(__xludf.DUMMYFUNCTION("GOOGLETRANSLATE(B22838,""en"",""zh-CN"")"),"一个黑色男性专业人士开始和他的指挥棒穿过鼓线。")</f>
        <v>一个黑色男性专业人士开始和他的指挥棒穿过鼓线。</v>
      </c>
    </row>
    <row r="22839">
      <c r="A22839" s="4" t="s">
        <v>28741</v>
      </c>
      <c r="B22839" s="6" t="s">
        <v>28743</v>
      </c>
      <c r="C22839" s="5" t="str">
        <f>IFERROR(__xludf.DUMMYFUNCTION("GOOGLETRANSLATE(B22839,""en"",""zh-CN"")"),"当他前往乐队的前面时，他Bgeins旋转着警棍，穿过田野并脱下裤子。")</f>
        <v>当他前往乐队的前面时，他Bgeins旋转着警棍，穿过田野并脱下裤子。</v>
      </c>
    </row>
    <row r="22840">
      <c r="A22840" s="4" t="s">
        <v>28741</v>
      </c>
      <c r="B22840" s="6" t="s">
        <v>28744</v>
      </c>
      <c r="C22840" s="5" t="str">
        <f>IFERROR(__xludf.DUMMYFUNCTION("GOOGLETRANSLATE(B22840,""en"",""zh-CN"")"),"在他的裤子下面是一条闪闪发光的短裤，他继续跳舞，转弯，窍门，踢脚，分裂和弹出，就像乐队一起演奏。")</f>
        <v>在他的裤子下面是一条闪闪发光的短裤，他继续跳舞，转弯，窍门，踢脚，分裂和弹出，就像乐队一起演奏。</v>
      </c>
    </row>
    <row r="22841">
      <c r="A22841" s="4" t="s">
        <v>28745</v>
      </c>
      <c r="B22841" s="4" t="s">
        <v>28746</v>
      </c>
      <c r="C22841" s="5" t="str">
        <f>IFERROR(__xludf.DUMMYFUNCTION("GOOGLETRANSLATE(B22841,""en"",""zh-CN"")"),"一个穿着粉红色背心和灰色紧身裤的女人正在健身体育馆里旋转。")</f>
        <v>一个穿着粉红色背心和灰色紧身裤的女人正在健身体育馆里旋转。</v>
      </c>
    </row>
    <row r="22842">
      <c r="A22842" s="4" t="s">
        <v>28745</v>
      </c>
      <c r="B22842" s="4" t="s">
        <v>28747</v>
      </c>
      <c r="C22842" s="5" t="str">
        <f>IFERROR(__xludf.DUMMYFUNCTION("GOOGLETRANSLATE(B22842,""en"",""zh-CN"")"),"她使用自行车展示了各种练习。")</f>
        <v>她使用自行车展示了各种练习。</v>
      </c>
    </row>
    <row r="22843">
      <c r="A22843" s="4" t="s">
        <v>28745</v>
      </c>
      <c r="B22843" s="4" t="s">
        <v>28748</v>
      </c>
      <c r="C22843" s="5" t="str">
        <f>IFERROR(__xludf.DUMMYFUNCTION("GOOGLETRANSLATE(B22843,""en"",""zh-CN"")"),"她还表现出胃紧缩和伸展，同时躺在地板上。")</f>
        <v>她还表现出胃紧缩和伸展，同时躺在地板上。</v>
      </c>
    </row>
    <row r="22844">
      <c r="A22844" s="4" t="s">
        <v>28745</v>
      </c>
      <c r="B22844" s="4" t="s">
        <v>28749</v>
      </c>
      <c r="C22844" s="5" t="str">
        <f>IFERROR(__xludf.DUMMYFUNCTION("GOOGLETRANSLATE(B22844,""en"",""zh-CN"")"),"她激励自己的团队继续骑自行车，因为她鼓励他们走得更快。")</f>
        <v>她激励自己的团队继续骑自行车，因为她鼓励他们走得更快。</v>
      </c>
    </row>
    <row r="22845">
      <c r="A22845" s="4" t="s">
        <v>28750</v>
      </c>
      <c r="B22845" s="6" t="s">
        <v>28751</v>
      </c>
      <c r="C22845" s="5" t="str">
        <f>IFERROR(__xludf.DUMMYFUNCTION("GOOGLETRANSLATE(B22845,""en"",""zh-CN"")"),"一个男人和一个女人介绍自己的相机，并在男人坐在四套邦戈套装后面开始互相交谈，而女人则在另一侧拿着水瓶。")</f>
        <v>一个男人和一个女人介绍自己的相机，并在男人坐在四套邦戈套装后面开始互相交谈，而女人则在另一侧拿着水瓶。</v>
      </c>
    </row>
    <row r="22846">
      <c r="A22846" s="4" t="s">
        <v>28750</v>
      </c>
      <c r="B22846" s="6" t="s">
        <v>28752</v>
      </c>
      <c r="C22846" s="5" t="str">
        <f>IFERROR(__xludf.DUMMYFUNCTION("GOOGLETRANSLATE(B22846,""en"",""zh-CN"")"),"随着谈话的随之而来，另一个女人接近这位女人，并拿走了她的水瓶。")</f>
        <v>随着谈话的随之而来，另一个女人接近这位女人，并拿走了她的水瓶。</v>
      </c>
    </row>
    <row r="22847">
      <c r="A22847" s="4" t="s">
        <v>28750</v>
      </c>
      <c r="B22847" s="4" t="s">
        <v>28753</v>
      </c>
      <c r="C22847" s="5" t="str">
        <f>IFERROR(__xludf.DUMMYFUNCTION("GOOGLETRANSLATE(B22847,""en"",""zh-CN"")"),"之后，男人开始扮演Bongos，女人开始跳舞。")</f>
        <v>之后，男人开始扮演Bongos，女人开始跳舞。</v>
      </c>
    </row>
    <row r="22848">
      <c r="A22848" s="4" t="s">
        <v>28750</v>
      </c>
      <c r="B22848" s="4" t="s">
        <v>28754</v>
      </c>
      <c r="C22848" s="5" t="str">
        <f>IFERROR(__xludf.DUMMYFUNCTION("GOOGLETRANSLATE(B22848,""en"",""zh-CN"")"),"当女人骑着自行车上的男人跳舞时，并开始观察发生了什么。")</f>
        <v>当女人骑着自行车上的男人跳舞时，并开始观察发生了什么。</v>
      </c>
    </row>
    <row r="22849">
      <c r="A22849" s="4" t="s">
        <v>28750</v>
      </c>
      <c r="B22849" s="6" t="s">
        <v>28755</v>
      </c>
      <c r="C22849" s="5" t="str">
        <f>IFERROR(__xludf.DUMMYFUNCTION("GOOGLETRANSLATE(B22849,""en"",""zh-CN"")"),"最后，当女人停止跳舞并开始拍手时，扮演Bongos的男人停止演奏并做出最后的拍手。")</f>
        <v>最后，当女人停止跳舞并开始拍手时，扮演Bongos的男人停止演奏并做出最后的拍手。</v>
      </c>
    </row>
    <row r="22850">
      <c r="A22850" s="4" t="s">
        <v>28756</v>
      </c>
      <c r="B22850" s="4" t="s">
        <v>28757</v>
      </c>
      <c r="C22850" s="5" t="str">
        <f>IFERROR(__xludf.DUMMYFUNCTION("GOOGLETRANSLATE(B22850,""en"",""zh-CN"")"),"我们看到一个男人在广场上表演卡波埃拉。")</f>
        <v>我们看到一个男人在广场上表演卡波埃拉。</v>
      </c>
    </row>
    <row r="22851">
      <c r="A22851" s="4" t="s">
        <v>28756</v>
      </c>
      <c r="B22851" s="4" t="s">
        <v>28758</v>
      </c>
      <c r="C22851" s="5" t="str">
        <f>IFERROR(__xludf.DUMMYFUNCTION("GOOGLETRANSLATE(B22851,""en"",""zh-CN"")"),"该男子与第二个人和练习一起加入。")</f>
        <v>该男子与第二个人和练习一起加入。</v>
      </c>
    </row>
    <row r="22852">
      <c r="A22852" s="4" t="s">
        <v>28756</v>
      </c>
      <c r="B22852" s="4" t="s">
        <v>28759</v>
      </c>
      <c r="C22852" s="5" t="str">
        <f>IFERROR(__xludf.DUMMYFUNCTION("GOOGLETRANSLATE(B22852,""en"",""zh-CN"")"),"第一个男人离开，另一个男人跳进去。")</f>
        <v>第一个男人离开，另一个男人跳进去。</v>
      </c>
    </row>
    <row r="22853">
      <c r="A22853" s="4" t="s">
        <v>28756</v>
      </c>
      <c r="B22853" s="4" t="s">
        <v>28760</v>
      </c>
      <c r="C22853" s="5" t="str">
        <f>IFERROR(__xludf.DUMMYFUNCTION("GOOGLETRANSLATE(B22853,""en"",""zh-CN"")"),"两个人结束了双手，拥抱。")</f>
        <v>两个人结束了双手，拥抱。</v>
      </c>
    </row>
    <row r="22854">
      <c r="A22854" s="4" t="s">
        <v>28756</v>
      </c>
      <c r="B22854" s="4" t="s">
        <v>28761</v>
      </c>
      <c r="C22854" s="5" t="str">
        <f>IFERROR(__xludf.DUMMYFUNCTION("GOOGLETRANSLATE(B22854,""en"",""zh-CN"")"),"两个人都退出了戒指，一个新人进入。")</f>
        <v>两个人都退出了戒指，一个新人进入。</v>
      </c>
    </row>
    <row r="22855">
      <c r="A22855" s="4" t="s">
        <v>28762</v>
      </c>
      <c r="B22855" s="4" t="s">
        <v>28763</v>
      </c>
      <c r="C22855" s="5" t="str">
        <f>IFERROR(__xludf.DUMMYFUNCTION("GOOGLETRANSLATE(B22855,""en"",""zh-CN"")"),"一个小男孩在房屋的厨房里推了一个真空吸尘器。")</f>
        <v>一个小男孩在房屋的厨房里推了一个真空吸尘器。</v>
      </c>
    </row>
    <row r="22856">
      <c r="A22856" s="4" t="s">
        <v>28762</v>
      </c>
      <c r="B22856" s="4" t="s">
        <v>28764</v>
      </c>
      <c r="C22856" s="5" t="str">
        <f>IFERROR(__xludf.DUMMYFUNCTION("GOOGLETRANSLATE(B22856,""en"",""zh-CN"")"),"母亲用手指着家具下方，然后踏上指导男孩。")</f>
        <v>母亲用手指着家具下方，然后踏上指导男孩。</v>
      </c>
    </row>
    <row r="22857">
      <c r="A22857" s="4" t="s">
        <v>28762</v>
      </c>
      <c r="B22857" s="4" t="s">
        <v>28765</v>
      </c>
      <c r="C22857" s="5" t="str">
        <f>IFERROR(__xludf.DUMMYFUNCTION("GOOGLETRANSLATE(B22857,""en"",""zh-CN"")"),"这个男孩将真空吸尘器推入走廊，并吸尘器对该区域进行了真空。")</f>
        <v>这个男孩将真空吸尘器推入走廊，并吸尘器对该区域进行了真空。</v>
      </c>
    </row>
    <row r="22858">
      <c r="A22858" s="4" t="s">
        <v>28766</v>
      </c>
      <c r="B22858" s="4" t="s">
        <v>28767</v>
      </c>
      <c r="C22858" s="5" t="str">
        <f>IFERROR(__xludf.DUMMYFUNCTION("GOOGLETRANSLATE(B22858,""en"",""zh-CN"")"),"一个人解释并展示了如何进行雪地山坡转弯。")</f>
        <v>一个人解释并展示了如何进行雪地山坡转弯。</v>
      </c>
    </row>
    <row r="22859">
      <c r="A22859" s="4" t="s">
        <v>28766</v>
      </c>
      <c r="B22859" s="4" t="s">
        <v>28768</v>
      </c>
      <c r="C22859" s="5" t="str">
        <f>IFERROR(__xludf.DUMMYFUNCTION("GOOGLETRANSLATE(B22859,""en"",""zh-CN"")"),"然后，该男子使用滑雪板表演脚趾旁。")</f>
        <v>然后，该男子使用滑雪板表演脚趾旁。</v>
      </c>
    </row>
    <row r="22860">
      <c r="A22860" s="4" t="s">
        <v>28766</v>
      </c>
      <c r="B22860" s="4" t="s">
        <v>28769</v>
      </c>
      <c r="C22860" s="5" t="str">
        <f>IFERROR(__xludf.DUMMYFUNCTION("GOOGLETRANSLATE(B22860,""en"",""zh-CN"")"),"该男子继续解释并进行转弯。")</f>
        <v>该男子继续解释并进行转弯。</v>
      </c>
    </row>
    <row r="22861">
      <c r="A22861" s="4" t="s">
        <v>28766</v>
      </c>
      <c r="B22861" s="4" t="s">
        <v>28770</v>
      </c>
      <c r="C22861" s="5" t="str">
        <f>IFERROR(__xludf.DUMMYFUNCTION("GOOGLETRANSLATE(B22861,""en"",""zh-CN"")"),"雪地上的蹒跚学步的滑雪。")</f>
        <v>雪地上的蹒跚学步的滑雪。</v>
      </c>
    </row>
    <row r="22862">
      <c r="A22862" s="4" t="s">
        <v>28771</v>
      </c>
      <c r="B22862" s="4" t="s">
        <v>28772</v>
      </c>
      <c r="C22862" s="5" t="str">
        <f>IFERROR(__xludf.DUMMYFUNCTION("GOOGLETRANSLATE(B22862,""en"",""zh-CN"")"),"一个女人站在厨房里说话。")</f>
        <v>一个女人站在厨房里说话。</v>
      </c>
    </row>
    <row r="22863">
      <c r="A22863" s="4" t="s">
        <v>28771</v>
      </c>
      <c r="B22863" s="4" t="s">
        <v>28773</v>
      </c>
      <c r="C22863" s="5" t="str">
        <f>IFERROR(__xludf.DUMMYFUNCTION("GOOGLETRANSLATE(B22863,""en"",""zh-CN"")"),"她正在使用一个小的真空吸尘器。")</f>
        <v>她正在使用一个小的真空吸尘器。</v>
      </c>
    </row>
    <row r="22864">
      <c r="A22864" s="4" t="s">
        <v>28771</v>
      </c>
      <c r="B22864" s="4" t="s">
        <v>28774</v>
      </c>
      <c r="C22864" s="5" t="str">
        <f>IFERROR(__xludf.DUMMYFUNCTION("GOOGLETRANSLATE(B22864,""en"",""zh-CN"")"),"她演示了如何在说话时使用真空。")</f>
        <v>她演示了如何在说话时使用真空。</v>
      </c>
    </row>
    <row r="22865">
      <c r="A22865" s="4" t="s">
        <v>28775</v>
      </c>
      <c r="B22865" s="6" t="s">
        <v>28776</v>
      </c>
      <c r="C22865" s="5" t="str">
        <f>IFERROR(__xludf.DUMMYFUNCTION("GOOGLETRANSLATE(B22865,""en"",""zh-CN"")"),"女人在厨房里聊天，将切达干酪切成厚的碎片，切面包，然后将黄油放入锅中，然后将面包在锅上放在锅上，上面放在奶酪上，以便将奶酪融化在锅中，女人说这是这样。是错的。")</f>
        <v>女人在厨房里聊天，将切达干酪切成厚的碎片，切面包，然后将黄油放入锅中，然后将面包在锅上放在锅上，上面放在奶酪上，以便将奶酪融化在锅中，女人说这是这样。是错的。</v>
      </c>
    </row>
    <row r="22866">
      <c r="A22866" s="4" t="s">
        <v>28775</v>
      </c>
      <c r="B22866" s="6" t="s">
        <v>28777</v>
      </c>
      <c r="C22866" s="5" t="str">
        <f>IFERROR(__xludf.DUMMYFUNCTION("GOOGLETRANSLATE(B22866,""en"",""zh-CN"")"),"女人展示一个干净的锅，将黄油放在面包上，然后将奶酪磨碎，然后将其作为三明治，然后用盖子盖上锅里，直到面包好吃。")</f>
        <v>女人展示一个干净的锅，将黄油放在面包上，然后将奶酪磨碎，然后将其作为三明治，然后用盖子盖上锅里，直到面包好吃。</v>
      </c>
    </row>
    <row r="22867">
      <c r="A22867" s="4" t="s">
        <v>28775</v>
      </c>
      <c r="B22867" s="4" t="s">
        <v>28778</v>
      </c>
      <c r="C22867" s="5" t="str">
        <f>IFERROR(__xludf.DUMMYFUNCTION("GOOGLETRANSLATE(B22867,""en"",""zh-CN"")"),"女人将面包放在蓝色的盘子里，将面包切成一分。")</f>
        <v>女人将面包放在蓝色的盘子里，将面包切成一分。</v>
      </c>
    </row>
    <row r="22868">
      <c r="A22868" s="4" t="s">
        <v>28779</v>
      </c>
      <c r="B22868" s="4" t="s">
        <v>28780</v>
      </c>
      <c r="C22868" s="5" t="str">
        <f>IFERROR(__xludf.DUMMYFUNCTION("GOOGLETRANSLATE(B22868,""en"",""zh-CN"")"),"看到一个男人站在大火前站着斧头，开始切碎一块木头。")</f>
        <v>看到一个男人站在大火前站着斧头，开始切碎一块木头。</v>
      </c>
    </row>
    <row r="22869">
      <c r="A22869" s="4" t="s">
        <v>28779</v>
      </c>
      <c r="B22869" s="6" t="s">
        <v>28781</v>
      </c>
      <c r="C22869" s="5" t="str">
        <f>IFERROR(__xludf.DUMMYFUNCTION("GOOGLETRANSLATE(B22869,""en"",""zh-CN"")"),"当男人继续砍伐木头时，另一个男人举起木头的碎片，另一个人移动木头。")</f>
        <v>当男人继续砍伐木头时，另一个男人举起木头的碎片，另一个人移动木头。</v>
      </c>
    </row>
    <row r="22870">
      <c r="A22870" s="4" t="s">
        <v>28782</v>
      </c>
      <c r="B22870" s="4" t="s">
        <v>28783</v>
      </c>
      <c r="C22870" s="5" t="str">
        <f>IFERROR(__xludf.DUMMYFUNCTION("GOOGLETRANSLATE(B22870,""en"",""zh-CN"")"),"白人的一个人奔向第一垒打踢球。")</f>
        <v>白人的一个人奔向第一垒打踢球。</v>
      </c>
    </row>
    <row r="22871">
      <c r="A22871" s="4" t="s">
        <v>28782</v>
      </c>
      <c r="B22871" s="4" t="s">
        <v>28784</v>
      </c>
      <c r="C22871" s="5" t="str">
        <f>IFERROR(__xludf.DUMMYFUNCTION("GOOGLETRANSLATE(B22871,""en"",""zh-CN"")"),"这个男人被一个穿着红色的女人标记了。")</f>
        <v>这个男人被一个穿着红色的女人标记了。</v>
      </c>
    </row>
    <row r="22872">
      <c r="A22872" s="4" t="s">
        <v>28785</v>
      </c>
      <c r="B22872" s="4" t="s">
        <v>28786</v>
      </c>
      <c r="C22872" s="5" t="str">
        <f>IFERROR(__xludf.DUMMYFUNCTION("GOOGLETRANSLATE(B22872,""en"",""zh-CN"")"),"我们看到一个开头的屏幕，一个男人从杯子里喝酒。")</f>
        <v>我们看到一个开头的屏幕，一个男人从杯子里喝酒。</v>
      </c>
    </row>
    <row r="22873">
      <c r="A22873" s="4" t="s">
        <v>28785</v>
      </c>
      <c r="B22873" s="4" t="s">
        <v>28787</v>
      </c>
      <c r="C22873" s="5" t="str">
        <f>IFERROR(__xludf.DUMMYFUNCTION("GOOGLETRANSLATE(B22873,""en"",""zh-CN"")"),"该男子在饭厅里画了一位女士的指甲。")</f>
        <v>该男子在饭厅里画了一位女士的指甲。</v>
      </c>
    </row>
    <row r="22874">
      <c r="A22874" s="4" t="s">
        <v>28785</v>
      </c>
      <c r="B22874" s="4" t="s">
        <v>28788</v>
      </c>
      <c r="C22874" s="5" t="str">
        <f>IFERROR(__xludf.DUMMYFUNCTION("GOOGLETRANSLATE(B22874,""en"",""zh-CN"")"),"这位女士向我们展示了她的指甲。")</f>
        <v>这位女士向我们展示了她的指甲。</v>
      </c>
    </row>
    <row r="22875">
      <c r="A22875" s="4" t="s">
        <v>28785</v>
      </c>
      <c r="B22875" s="4" t="s">
        <v>28789</v>
      </c>
      <c r="C22875" s="5" t="str">
        <f>IFERROR(__xludf.DUMMYFUNCTION("GOOGLETRANSLATE(B22875,""en"",""zh-CN"")"),"该男子从杯子里喝酒。")</f>
        <v>该男子从杯子里喝酒。</v>
      </c>
    </row>
    <row r="22876">
      <c r="A22876" s="4" t="s">
        <v>28785</v>
      </c>
      <c r="B22876" s="4" t="s">
        <v>28790</v>
      </c>
      <c r="C22876" s="5" t="str">
        <f>IFERROR(__xludf.DUMMYFUNCTION("GOOGLETRANSLATE(B22876,""en"",""zh-CN"")"),"那个人向后笑着笑。")</f>
        <v>那个人向后笑着笑。</v>
      </c>
    </row>
    <row r="22877">
      <c r="A22877" s="4" t="s">
        <v>28785</v>
      </c>
      <c r="B22877" s="4" t="s">
        <v>28791</v>
      </c>
      <c r="C22877" s="5" t="str">
        <f>IFERROR(__xludf.DUMMYFUNCTION("GOOGLETRANSLATE(B22877,""en"",""zh-CN"")"),"我们看到一个结局信用屏幕。")</f>
        <v>我们看到一个结局信用屏幕。</v>
      </c>
    </row>
    <row r="22878">
      <c r="A22878" s="4" t="s">
        <v>28792</v>
      </c>
      <c r="B22878" s="4" t="s">
        <v>28793</v>
      </c>
      <c r="C22878" s="5" t="str">
        <f>IFERROR(__xludf.DUMMYFUNCTION("GOOGLETRANSLATE(B22878,""en"",""zh-CN"")"),"看到一个运动员举行讨论，并开始慢动作。")</f>
        <v>看到一个运动员举行讨论，并开始慢动作。</v>
      </c>
    </row>
    <row r="22879">
      <c r="A22879" s="4" t="s">
        <v>28792</v>
      </c>
      <c r="B22879" s="6" t="s">
        <v>28794</v>
      </c>
      <c r="C22879" s="5" t="str">
        <f>IFERROR(__xludf.DUMMYFUNCTION("GOOGLETRANSLATE(B22879,""en"",""zh-CN"")"),"然后，该男子将物体从远处扔到远处，并以慢动作移动时向后走。")</f>
        <v>然后，该男子将物体从远处扔到远处，并以慢动作移动时向后走。</v>
      </c>
    </row>
    <row r="22880">
      <c r="A22880" s="4" t="s">
        <v>28795</v>
      </c>
      <c r="B22880" s="4" t="s">
        <v>28796</v>
      </c>
      <c r="C22880" s="5" t="str">
        <f>IFERROR(__xludf.DUMMYFUNCTION("GOOGLETRANSLATE(B22880,""en"",""zh-CN"")"),"割草机与白色的绳子绑在一起。")</f>
        <v>割草机与白色的绳子绑在一起。</v>
      </c>
    </row>
    <row r="22881">
      <c r="A22881" s="4" t="s">
        <v>28795</v>
      </c>
      <c r="B22881" s="4" t="s">
        <v>28797</v>
      </c>
      <c r="C22881" s="5" t="str">
        <f>IFERROR(__xludf.DUMMYFUNCTION("GOOGLETRANSLATE(B22881,""en"",""zh-CN"")"),"它被打开，开始围绕草坪修剪的绳子旋转。")</f>
        <v>它被打开，开始围绕草坪修剪的绳子旋转。</v>
      </c>
    </row>
    <row r="22882">
      <c r="A22882" s="4" t="s">
        <v>28798</v>
      </c>
      <c r="B22882" s="6" t="s">
        <v>28799</v>
      </c>
      <c r="C22882" s="5" t="str">
        <f>IFERROR(__xludf.DUMMYFUNCTION("GOOGLETRANSLATE(B22882,""en"",""zh-CN"")"),"展示了一个游乐场的照片，各种各样的孩子在操场上玩耍并沿着滑梯骑行。")</f>
        <v>展示了一个游乐场的照片，各种各样的孩子在操场上玩耍并沿着滑梯骑行。</v>
      </c>
    </row>
    <row r="22883">
      <c r="A22883" s="4" t="s">
        <v>28798</v>
      </c>
      <c r="B22883" s="6" t="s">
        <v>28800</v>
      </c>
      <c r="C22883" s="5" t="str">
        <f>IFERROR(__xludf.DUMMYFUNCTION("GOOGLETRANSLATE(B22883,""en"",""zh-CN"")"),"显示了更多的镜头，这些镜头是摇摆和向下悬挂的孩子，以及移动方向盘并爬到顶部的镜头。")</f>
        <v>显示了更多的镜头，这些镜头是摇摆和向下悬挂的孩子，以及移动方向盘并爬到顶部的镜头。</v>
      </c>
    </row>
    <row r="22884">
      <c r="A22884" s="4" t="s">
        <v>28801</v>
      </c>
      <c r="B22884" s="4" t="s">
        <v>28802</v>
      </c>
      <c r="C22884" s="5" t="str">
        <f>IFERROR(__xludf.DUMMYFUNCTION("GOOGLETRANSLATE(B22884,""en"",""zh-CN"")"),"一群游泳者被挤进去。")</f>
        <v>一群游泳者被挤进去。</v>
      </c>
    </row>
    <row r="22885">
      <c r="A22885" s="4" t="s">
        <v>28801</v>
      </c>
      <c r="B22885" s="4" t="s">
        <v>28803</v>
      </c>
      <c r="C22885" s="5" t="str">
        <f>IFERROR(__xludf.DUMMYFUNCTION("GOOGLETRANSLATE(B22885,""en"",""zh-CN"")"),"团队进入游泳池。")</f>
        <v>团队进入游泳池。</v>
      </c>
    </row>
    <row r="22886">
      <c r="A22886" s="4" t="s">
        <v>28801</v>
      </c>
      <c r="B22886" s="4" t="s">
        <v>28804</v>
      </c>
      <c r="C22886" s="5" t="str">
        <f>IFERROR(__xludf.DUMMYFUNCTION("GOOGLETRANSLATE(B22886,""en"",""zh-CN"")"),"两支球队互相打水球。")</f>
        <v>两支球队互相打水球。</v>
      </c>
    </row>
    <row r="22887">
      <c r="A22887" s="4" t="s">
        <v>28801</v>
      </c>
      <c r="B22887" s="4" t="s">
        <v>28805</v>
      </c>
      <c r="C22887" s="5" t="str">
        <f>IFERROR(__xludf.DUMMYFUNCTION("GOOGLETRANSLATE(B22887,""en"",""zh-CN"")"),"一群人看着看台。")</f>
        <v>一群人看着看台。</v>
      </c>
    </row>
    <row r="22888">
      <c r="A22888" s="4" t="s">
        <v>28806</v>
      </c>
      <c r="B22888" s="4" t="s">
        <v>28807</v>
      </c>
      <c r="C22888" s="5" t="str">
        <f>IFERROR(__xludf.DUMMYFUNCTION("GOOGLETRANSLATE(B22888,""en"",""zh-CN"")"),"我们在游戏中看到了一个记分牌。")</f>
        <v>我们在游戏中看到了一个记分牌。</v>
      </c>
    </row>
    <row r="22889">
      <c r="A22889" s="4" t="s">
        <v>28806</v>
      </c>
      <c r="B22889" s="4" t="s">
        <v>28808</v>
      </c>
      <c r="C22889" s="5" t="str">
        <f>IFERROR(__xludf.DUMMYFUNCTION("GOOGLETRANSLATE(B22889,""en"",""zh-CN"")"),"女孩跑到场上，与另一支球队握手。")</f>
        <v>女孩跑到场上，与另一支球队握手。</v>
      </c>
    </row>
    <row r="22890">
      <c r="A22890" s="4" t="s">
        <v>28806</v>
      </c>
      <c r="B22890" s="4" t="s">
        <v>28809</v>
      </c>
      <c r="C22890" s="5" t="str">
        <f>IFERROR(__xludf.DUMMYFUNCTION("GOOGLETRANSLATE(B22890,""en"",""zh-CN"")"),"我们看到女孩在室内打排球。")</f>
        <v>我们看到女孩在室内打排球。</v>
      </c>
    </row>
    <row r="22891">
      <c r="A22891" s="4" t="s">
        <v>28806</v>
      </c>
      <c r="B22891" s="4" t="s">
        <v>28810</v>
      </c>
      <c r="C22891" s="5" t="str">
        <f>IFERROR(__xludf.DUMMYFUNCTION("GOOGLETRANSLATE(B22891,""en"",""zh-CN"")"),"左边的女孩开枪，团队拥抱。")</f>
        <v>左边的女孩开枪，团队拥抱。</v>
      </c>
    </row>
    <row r="22892">
      <c r="A22892" s="4" t="s">
        <v>28806</v>
      </c>
      <c r="B22892" s="4" t="s">
        <v>28811</v>
      </c>
      <c r="C22892" s="5" t="str">
        <f>IFERROR(__xludf.DUMMYFUNCTION("GOOGLETRANSLATE(B22892,""en"",""zh-CN"")"),"我们看到记分牌和场边的人在谈论。")</f>
        <v>我们看到记分牌和场边的人在谈论。</v>
      </c>
    </row>
    <row r="22893">
      <c r="A22893" s="4" t="s">
        <v>28806</v>
      </c>
      <c r="B22893" s="4" t="s">
        <v>28812</v>
      </c>
      <c r="C22893" s="5" t="str">
        <f>IFERROR(__xludf.DUMMYFUNCTION("GOOGLETRANSLATE(B22893,""en"",""zh-CN"")"),"我们看到慢动作的镜头，女孩们拥抱。")</f>
        <v>我们看到慢动作的镜头，女孩们拥抱。</v>
      </c>
    </row>
    <row r="22894">
      <c r="A22894" s="4" t="s">
        <v>28806</v>
      </c>
      <c r="B22894" s="4" t="s">
        <v>28813</v>
      </c>
      <c r="C22894" s="5" t="str">
        <f>IFERROR(__xludf.DUMMYFUNCTION("GOOGLETRANSLATE(B22894,""en"",""zh-CN"")"),"比赛结束了，女孩们都握手。")</f>
        <v>比赛结束了，女孩们都握手。</v>
      </c>
    </row>
    <row r="22895">
      <c r="A22895" s="4" t="s">
        <v>28814</v>
      </c>
      <c r="B22895" s="4" t="s">
        <v>28815</v>
      </c>
      <c r="C22895" s="5" t="str">
        <f>IFERROR(__xludf.DUMMYFUNCTION("GOOGLETRANSLATE(B22895,""en"",""zh-CN"")"),"两个男人在一个游泳池里穿着潜水装备。")</f>
        <v>两个男人在一个游泳池里穿着潜水装备。</v>
      </c>
    </row>
    <row r="22896">
      <c r="A22896" s="4" t="s">
        <v>28814</v>
      </c>
      <c r="B22896" s="4" t="s">
        <v>28816</v>
      </c>
      <c r="C22896" s="5" t="str">
        <f>IFERROR(__xludf.DUMMYFUNCTION("GOOGLETRANSLATE(B22896,""en"",""zh-CN"")"),"红色的男人将呼吸器放在嘴里，然后向后漂浮在他的背上。")</f>
        <v>红色的男人将呼吸器放在嘴里，然后向后漂浮在他的背上。</v>
      </c>
    </row>
    <row r="22897">
      <c r="A22897" s="4" t="s">
        <v>28814</v>
      </c>
      <c r="B22897" s="4" t="s">
        <v>28817</v>
      </c>
      <c r="C22897" s="5" t="str">
        <f>IFERROR(__xludf.DUMMYFUNCTION("GOOGLETRANSLATE(B22897,""en"",""zh-CN"")"),"我们看到那个穿着红色和蓝色的人在尝试之前，在他们的护目镜上放了解决方案。")</f>
        <v>我们看到那个穿着红色和蓝色的人在尝试之前，在他们的护目镜上放了解决方案。</v>
      </c>
    </row>
    <row r="22898">
      <c r="A22898" s="4" t="s">
        <v>28814</v>
      </c>
      <c r="B22898" s="4" t="s">
        <v>28818</v>
      </c>
      <c r="C22898" s="5" t="str">
        <f>IFERROR(__xludf.DUMMYFUNCTION("GOOGLETRANSLATE(B22898,""en"",""zh-CN"")"),"红色的男人将管子放在他的嘴里，然后在水下喘口气。")</f>
        <v>红色的男人将管子放在他的嘴里，然后在水下喘口气。</v>
      </c>
    </row>
    <row r="22899">
      <c r="A22899" s="4" t="s">
        <v>28814</v>
      </c>
      <c r="B22899" s="4" t="s">
        <v>28819</v>
      </c>
      <c r="C22899" s="5" t="str">
        <f>IFERROR(__xludf.DUMMYFUNCTION("GOOGLETRANSLATE(B22899,""en"",""zh-CN"")"),"然后，我们看到一个倒置在水中的注册。")</f>
        <v>然后，我们看到一个倒置在水中的注册。</v>
      </c>
    </row>
    <row r="22900">
      <c r="A22900" s="4" t="s">
        <v>28820</v>
      </c>
      <c r="B22900" s="4" t="s">
        <v>28821</v>
      </c>
      <c r="C22900" s="5" t="str">
        <f>IFERROR(__xludf.DUMMYFUNCTION("GOOGLETRANSLATE(B22900,""en"",""zh-CN"")"),"一个女婴坐在她所有的玩具旁边吃冰淇淋。")</f>
        <v>一个女婴坐在她所有的玩具旁边吃冰淇淋。</v>
      </c>
    </row>
    <row r="22901">
      <c r="A22901" s="4" t="s">
        <v>28820</v>
      </c>
      <c r="B22901" s="4" t="s">
        <v>28822</v>
      </c>
      <c r="C22901" s="5" t="str">
        <f>IFERROR(__xludf.DUMMYFUNCTION("GOOGLETRANSLATE(B22901,""en"",""zh-CN"")"),"她的妈妈把冰淇淋从她身上带走，她开始哭泣。")</f>
        <v>她的妈妈把冰淇淋从她身上带走，她开始哭泣。</v>
      </c>
    </row>
    <row r="22902">
      <c r="A22902" s="4" t="s">
        <v>28820</v>
      </c>
      <c r="B22902" s="4" t="s">
        <v>28823</v>
      </c>
      <c r="C22902" s="5" t="str">
        <f>IFERROR(__xludf.DUMMYFUNCTION("GOOGLETRANSLATE(B22902,""en"",""zh-CN"")"),"她的妈妈把冰淇淋还给她，她又快乐了，回到吃它。")</f>
        <v>她的妈妈把冰淇淋还给她，她又快乐了，回到吃它。</v>
      </c>
    </row>
    <row r="22903">
      <c r="A22903" s="4" t="s">
        <v>28820</v>
      </c>
      <c r="B22903" s="4" t="s">
        <v>28824</v>
      </c>
      <c r="C22903" s="5" t="str">
        <f>IFERROR(__xludf.DUMMYFUNCTION("GOOGLETRANSLATE(B22903,""en"",""zh-CN"")"),"另一方面，她用粘性冰淇淋手指和冰淇淋玩玩具。")</f>
        <v>另一方面，她用粘性冰淇淋手指和冰淇淋玩玩具。</v>
      </c>
    </row>
    <row r="22904">
      <c r="A22904" s="4" t="s">
        <v>28825</v>
      </c>
      <c r="B22904" s="4" t="s">
        <v>28826</v>
      </c>
      <c r="C22904" s="5" t="str">
        <f>IFERROR(__xludf.DUMMYFUNCTION("GOOGLETRANSLATE(B22904,""en"",""zh-CN"")"),"我们看到一个男人在办公室广场上跳舞。")</f>
        <v>我们看到一个男人在办公室广场上跳舞。</v>
      </c>
    </row>
    <row r="22905">
      <c r="A22905" s="4" t="s">
        <v>28825</v>
      </c>
      <c r="B22905" s="4" t="s">
        <v>28827</v>
      </c>
      <c r="C22905" s="5" t="str">
        <f>IFERROR(__xludf.DUMMYFUNCTION("GOOGLETRANSLATE(B22905,""en"",""zh-CN"")"),"我们切换并看到不同的人在办公室广场和大厅中打破跳舞。")</f>
        <v>我们切换并看到不同的人在办公室广场和大厅中打破跳舞。</v>
      </c>
    </row>
    <row r="22906">
      <c r="A22906" s="4" t="s">
        <v>28825</v>
      </c>
      <c r="B22906" s="4" t="s">
        <v>28828</v>
      </c>
      <c r="C22906" s="5" t="str">
        <f>IFERROR(__xludf.DUMMYFUNCTION("GOOGLETRANSLATE(B22906,""en"",""zh-CN"")"),"我们看到男人倒立。")</f>
        <v>我们看到男人倒立。</v>
      </c>
    </row>
    <row r="22907">
      <c r="A22907" s="4" t="s">
        <v>28825</v>
      </c>
      <c r="B22907" s="4" t="s">
        <v>28829</v>
      </c>
      <c r="C22907" s="5" t="str">
        <f>IFERROR(__xludf.DUMMYFUNCTION("GOOGLETRANSLATE(B22907,""en"",""zh-CN"")"),"我们看到一个男人起飞并把夹克扔在相机上。")</f>
        <v>我们看到一个男人起飞并把夹克扔在相机上。</v>
      </c>
    </row>
    <row r="22908">
      <c r="A22908" s="4" t="s">
        <v>28825</v>
      </c>
      <c r="B22908" s="4" t="s">
        <v>28830</v>
      </c>
      <c r="C22908" s="5" t="str">
        <f>IFERROR(__xludf.DUMMYFUNCTION("GOOGLETRANSLATE(B22908,""en"",""zh-CN"")"),"我们看到了黑色关闭屏幕。")</f>
        <v>我们看到了黑色关闭屏幕。</v>
      </c>
    </row>
    <row r="22909">
      <c r="A22909" s="4" t="s">
        <v>28831</v>
      </c>
      <c r="B22909" s="4" t="s">
        <v>28832</v>
      </c>
      <c r="C22909" s="5" t="str">
        <f>IFERROR(__xludf.DUMMYFUNCTION("GOOGLETRANSLATE(B22909,""en"",""zh-CN"")"),"一个戴着黑色棒球帽和黑色衬衫的男人正在弹吉他。")</f>
        <v>一个戴着黑色棒球帽和黑色衬衫的男人正在弹吉他。</v>
      </c>
    </row>
    <row r="22910">
      <c r="A22910" s="4" t="s">
        <v>28831</v>
      </c>
      <c r="B22910" s="4" t="s">
        <v>28833</v>
      </c>
      <c r="C22910" s="5" t="str">
        <f>IFERROR(__xludf.DUMMYFUNCTION("GOOGLETRANSLATE(B22910,""en"",""zh-CN"")"),"他昨天用吉他演奏甲壳虫乐队的歌。")</f>
        <v>他昨天用吉他演奏甲壳虫乐队的歌。</v>
      </c>
    </row>
    <row r="22911">
      <c r="A22911" s="4" t="s">
        <v>28831</v>
      </c>
      <c r="B22911" s="4" t="s">
        <v>28834</v>
      </c>
      <c r="C22911" s="5" t="str">
        <f>IFERROR(__xludf.DUMMYFUNCTION("GOOGLETRANSLATE(B22911,""en"",""zh-CN"")"),"他演奏直到整首歌结束，然后停下来并在镜头上微笑。")</f>
        <v>他演奏直到整首歌结束，然后停下来并在镜头上微笑。</v>
      </c>
    </row>
    <row r="22912">
      <c r="A22912" s="4" t="s">
        <v>28835</v>
      </c>
      <c r="B22912" s="4" t="s">
        <v>28836</v>
      </c>
      <c r="C22912" s="5" t="str">
        <f>IFERROR(__xludf.DUMMYFUNCTION("GOOGLETRANSLATE(B22912,""en"",""zh-CN"")"),"一群人在头上运送一条船。")</f>
        <v>一群人在头上运送一条船。</v>
      </c>
    </row>
    <row r="22913">
      <c r="A22913" s="4" t="s">
        <v>28835</v>
      </c>
      <c r="B22913" s="4" t="s">
        <v>28837</v>
      </c>
      <c r="C22913" s="5" t="str">
        <f>IFERROR(__xludf.DUMMYFUNCTION("GOOGLETRANSLATE(B22913,""en"",""zh-CN"")"),"人们向后跳，浮在河上。")</f>
        <v>人们向后跳，浮在河上。</v>
      </c>
    </row>
    <row r="22914">
      <c r="A22914" s="4" t="s">
        <v>28835</v>
      </c>
      <c r="B22914" s="4" t="s">
        <v>28838</v>
      </c>
      <c r="C22914" s="5" t="str">
        <f>IFERROR(__xludf.DUMMYFUNCTION("GOOGLETRANSLATE(B22914,""en"",""zh-CN"")"),"然后，在划船时，人们乘船乘船筏从河流的波涛汹涌的水域沿着河流。")</f>
        <v>然后，在划船时，人们乘船乘船筏从河流的波涛汹涌的水域沿着河流。</v>
      </c>
    </row>
    <row r="22915">
      <c r="A22915" s="4" t="s">
        <v>28835</v>
      </c>
      <c r="B22915" s="6" t="s">
        <v>28839</v>
      </c>
      <c r="C22915" s="5" t="str">
        <f>IFERROR(__xludf.DUMMYFUNCTION("GOOGLETRANSLATE(B22915,""en"",""zh-CN"")"),"两艘船上的人们见面，开始使用桨互相扔水，然后一些afters跳进入水中。")</f>
        <v>两艘船上的人们见面，开始使用桨互相扔水，然后一些afters跳进入水中。</v>
      </c>
    </row>
    <row r="22916">
      <c r="A22916" s="4" t="s">
        <v>28835</v>
      </c>
      <c r="B22916" s="4" t="s">
        <v>28840</v>
      </c>
      <c r="C22916" s="5" t="str">
        <f>IFERROR(__xludf.DUMMYFUNCTION("GOOGLETRANSLATE(B22916,""en"",""zh-CN"")"),"人们从岩石上的阳台跳到水中，而其他人则继续漂流。")</f>
        <v>人们从岩石上的阳台跳到水中，而其他人则继续漂流。</v>
      </c>
    </row>
    <row r="22917">
      <c r="A22917" s="4" t="s">
        <v>28841</v>
      </c>
      <c r="B22917" s="4" t="s">
        <v>28842</v>
      </c>
      <c r="C22917" s="5" t="str">
        <f>IFERROR(__xludf.DUMMYFUNCTION("GOOGLETRANSLATE(B22917,""en"",""zh-CN"")"),"一个小女孩站在一个站在水槽里的浴室里的男人后面。")</f>
        <v>一个小女孩站在一个站在水槽里的浴室里的男人后面。</v>
      </c>
    </row>
    <row r="22918">
      <c r="A22918" s="4" t="s">
        <v>28841</v>
      </c>
      <c r="B22918" s="6" t="s">
        <v>28843</v>
      </c>
      <c r="C22918" s="5" t="str">
        <f>IFERROR(__xludf.DUMMYFUNCTION("GOOGLETRANSLATE(B22918,""en"",""zh-CN"")"),"该男子转过身，抓住毛巾，在女孩仍然站在地上开始干燥自己，然后在完成后将毛巾放回。")</f>
        <v>该男子转过身，抓住毛巾，在女孩仍然站在地上开始干燥自己，然后在完成后将毛巾放回。</v>
      </c>
    </row>
    <row r="22919">
      <c r="A22919" s="4" t="s">
        <v>28841</v>
      </c>
      <c r="B22919" s="6" t="s">
        <v>28844</v>
      </c>
      <c r="C22919" s="5" t="str">
        <f>IFERROR(__xludf.DUMMYFUNCTION("GOOGLETRANSLATE(B22919,""en"",""zh-CN"")"),"然后，那个男人捡起小女孩，开始洗脸，而小女孩在清洁脸时刷牙。")</f>
        <v>然后，那个男人捡起小女孩，开始洗脸，而小女孩在清洁脸时刷牙。</v>
      </c>
    </row>
    <row r="22920">
      <c r="A22920" s="4" t="s">
        <v>28845</v>
      </c>
      <c r="B22920" s="4" t="s">
        <v>28846</v>
      </c>
      <c r="C22920" s="5" t="str">
        <f>IFERROR(__xludf.DUMMYFUNCTION("GOOGLETRANSLATE(B22920,""en"",""zh-CN"")"),"一个男人在两个大窗户面前说话。")</f>
        <v>一个男人在两个大窗户面前说话。</v>
      </c>
    </row>
    <row r="22921">
      <c r="A22921" s="4" t="s">
        <v>28845</v>
      </c>
      <c r="B22921" s="4" t="s">
        <v>28847</v>
      </c>
      <c r="C22921" s="5" t="str">
        <f>IFERROR(__xludf.DUMMYFUNCTION("GOOGLETRANSLATE(B22921,""en"",""zh-CN"")"),"两个人跪在地上。")</f>
        <v>两个人跪在地上。</v>
      </c>
    </row>
    <row r="22922">
      <c r="A22922" s="4" t="s">
        <v>28845</v>
      </c>
      <c r="B22922" s="4" t="s">
        <v>28848</v>
      </c>
      <c r="C22922" s="5" t="str">
        <f>IFERROR(__xludf.DUMMYFUNCTION("GOOGLETRANSLATE(B22922,""en"",""zh-CN"")"),"该男子回到窗户前面说话。")</f>
        <v>该男子回到窗户前面说话。</v>
      </c>
    </row>
    <row r="22923">
      <c r="A22923" s="4" t="s">
        <v>28845</v>
      </c>
      <c r="B22923" s="4" t="s">
        <v>28849</v>
      </c>
      <c r="C22923" s="5" t="str">
        <f>IFERROR(__xludf.DUMMYFUNCTION("GOOGLETRANSLATE(B22923,""en"",""zh-CN"")"),"两个人坐在火车上说话。")</f>
        <v>两个人坐在火车上说话。</v>
      </c>
    </row>
    <row r="22924">
      <c r="A22924" s="4" t="s">
        <v>28845</v>
      </c>
      <c r="B22924" s="4" t="s">
        <v>28850</v>
      </c>
      <c r="C22924" s="5" t="str">
        <f>IFERROR(__xludf.DUMMYFUNCTION("GOOGLETRANSLATE(B22924,""en"",""zh-CN"")"),"一个穿着黑色外套的男人正在街上走。")</f>
        <v>一个穿着黑色外套的男人正在街上走。</v>
      </c>
    </row>
    <row r="22925">
      <c r="A22925" s="4" t="s">
        <v>28845</v>
      </c>
      <c r="B22925" s="4" t="s">
        <v>28851</v>
      </c>
      <c r="C22925" s="5" t="str">
        <f>IFERROR(__xludf.DUMMYFUNCTION("GOOGLETRANSLATE(B22925,""en"",""zh-CN"")"),"他手里拿着一张白皮书，写着。")</f>
        <v>他手里拿着一张白皮书，写着。</v>
      </c>
    </row>
    <row r="22926">
      <c r="A22926" s="4" t="s">
        <v>28845</v>
      </c>
      <c r="B22926" s="4" t="s">
        <v>28852</v>
      </c>
      <c r="C22926" s="5" t="str">
        <f>IFERROR(__xludf.DUMMYFUNCTION("GOOGLETRANSLATE(B22926,""en"",""zh-CN"")"),"然后，他和其他人一起在桥上走一些楼梯。")</f>
        <v>然后，他和其他人一起在桥上走一些楼梯。</v>
      </c>
    </row>
    <row r="22927">
      <c r="A22927" s="4" t="s">
        <v>28845</v>
      </c>
      <c r="B22927" s="4" t="s">
        <v>28853</v>
      </c>
      <c r="C22927" s="5" t="str">
        <f>IFERROR(__xludf.DUMMYFUNCTION("GOOGLETRANSLATE(B22927,""en"",""zh-CN"")"),"他正在桥上束缚。")</f>
        <v>他正在桥上束缚。</v>
      </c>
    </row>
    <row r="22928">
      <c r="A22928" s="4" t="s">
        <v>28845</v>
      </c>
      <c r="B22928" s="4" t="s">
        <v>28854</v>
      </c>
      <c r="C22928" s="5" t="str">
        <f>IFERROR(__xludf.DUMMYFUNCTION("GOOGLETRANSLATE(B22928,""en"",""zh-CN"")"),"他跳下桥，蹦极跳。")</f>
        <v>他跳下桥，蹦极跳。</v>
      </c>
    </row>
    <row r="22929">
      <c r="A22929" s="4" t="s">
        <v>28845</v>
      </c>
      <c r="B22929" s="4" t="s">
        <v>28855</v>
      </c>
      <c r="C22929" s="5" t="str">
        <f>IFERROR(__xludf.DUMMYFUNCTION("GOOGLETRANSLATE(B22929,""en"",""zh-CN"")"),"一个穿着橙色背心的男人把他放进船上。")</f>
        <v>一个穿着橙色背心的男人把他放进船上。</v>
      </c>
    </row>
    <row r="22930">
      <c r="A22930" s="4" t="s">
        <v>28845</v>
      </c>
      <c r="B22930" s="6" t="s">
        <v>28856</v>
      </c>
      <c r="C22930" s="5" t="str">
        <f>IFERROR(__xludf.DUMMYFUNCTION("GOOGLETRANSLATE(B22930,""en"",""zh-CN"")"),"一个拿着相机的男人站在人行道上，看着另一个男人跌倒，跑过去帮助他。")</f>
        <v>一个拿着相机的男人站在人行道上，看着另一个男人跌倒，跑过去帮助他。</v>
      </c>
    </row>
    <row r="22931">
      <c r="A22931" s="4" t="s">
        <v>28857</v>
      </c>
      <c r="B22931" s="4" t="s">
        <v>28858</v>
      </c>
      <c r="C22931" s="5" t="str">
        <f>IFERROR(__xludf.DUMMYFUNCTION("GOOGLETRANSLATE(B22931,""en"",""zh-CN"")"),"一个人在水中显示，戴着头盔，拿着桨，坐在皮划艇中。")</f>
        <v>一个人在水中显示，戴着头盔，拿着桨，坐在皮划艇中。</v>
      </c>
    </row>
    <row r="22932">
      <c r="A22932" s="4" t="s">
        <v>28857</v>
      </c>
      <c r="B22932" s="4" t="s">
        <v>28859</v>
      </c>
      <c r="C22932" s="5" t="str">
        <f>IFERROR(__xludf.DUMMYFUNCTION("GOOGLETRANSLATE(B22932,""en"",""zh-CN"")"),"他正在与相机谈论如何使用皮划艇。")</f>
        <v>他正在与相机谈论如何使用皮划艇。</v>
      </c>
    </row>
    <row r="22933">
      <c r="A22933" s="4" t="s">
        <v>28857</v>
      </c>
      <c r="B22933" s="4" t="s">
        <v>28860</v>
      </c>
      <c r="C22933" s="5" t="str">
        <f>IFERROR(__xludf.DUMMYFUNCTION("GOOGLETRANSLATE(B22933,""en"",""zh-CN"")"),"他展示了几种摇摆和划桨动作，最后一次翻转皮划艇。")</f>
        <v>他展示了几种摇摆和划桨动作，最后一次翻转皮划艇。</v>
      </c>
    </row>
    <row r="22934">
      <c r="A22934" s="4" t="s">
        <v>28861</v>
      </c>
      <c r="B22934" s="4" t="s">
        <v>28862</v>
      </c>
      <c r="C22934" s="5" t="str">
        <f>IFERROR(__xludf.DUMMYFUNCTION("GOOGLETRANSLATE(B22934,""en"",""zh-CN"")"),"一个小组在球场上踢足球。")</f>
        <v>一个小组在球场上踢足球。</v>
      </c>
    </row>
    <row r="22935">
      <c r="A22935" s="4" t="s">
        <v>28861</v>
      </c>
      <c r="B22935" s="4" t="s">
        <v>28863</v>
      </c>
      <c r="C22935" s="5" t="str">
        <f>IFERROR(__xludf.DUMMYFUNCTION("GOOGLETRANSLATE(B22935,""en"",""zh-CN"")"),"女孩们追逐球，用棍子击中球，试图将球击中进球。")</f>
        <v>女孩们追逐球，用棍子击中球，试图将球击中进球。</v>
      </c>
    </row>
    <row r="22936">
      <c r="A22936" s="4" t="s">
        <v>28864</v>
      </c>
      <c r="B22936" s="6" t="s">
        <v>28865</v>
      </c>
      <c r="C22936" s="5" t="str">
        <f>IFERROR(__xludf.DUMMYFUNCTION("GOOGLETRANSLATE(B22936,""en"",""zh-CN"")"),"一个男人用海绵和一瓶黑白广告清洁厨房水槽中的一个景点。")</f>
        <v>一个男人用海绵和一瓶黑白广告清洁厨房水槽中的一个景点。</v>
      </c>
    </row>
    <row r="22937">
      <c r="A22937" s="4" t="s">
        <v>28864</v>
      </c>
      <c r="B22937" s="4" t="s">
        <v>28866</v>
      </c>
      <c r="C22937" s="5" t="str">
        <f>IFERROR(__xludf.DUMMYFUNCTION("GOOGLETRANSLATE(B22937,""en"",""zh-CN"")"),"显示了一个郊区小镇的镜头，并在城镇标志上的城市名称近距离展示。")</f>
        <v>显示了一个郊区小镇的镜头，并在城镇标志上的城市名称近距离展示。</v>
      </c>
    </row>
    <row r="22938">
      <c r="A22938" s="4" t="s">
        <v>28864</v>
      </c>
      <c r="B22938" s="4" t="s">
        <v>28867</v>
      </c>
      <c r="C22938" s="5" t="str">
        <f>IFERROR(__xludf.DUMMYFUNCTION("GOOGLETRANSLATE(B22938,""en"",""zh-CN"")"),"一个围裙里的男人站在厨房水槽前，将盘子放在排水液中。")</f>
        <v>一个围裙里的男人站在厨房水槽前，将盘子放在排水液中。</v>
      </c>
    </row>
    <row r="22939">
      <c r="A22939" s="4" t="s">
        <v>28864</v>
      </c>
      <c r="B22939" s="6" t="s">
        <v>28868</v>
      </c>
      <c r="C22939" s="5" t="str">
        <f>IFERROR(__xludf.DUMMYFUNCTION("GOOGLETRANSLATE(B22939,""en"",""zh-CN"")"),"该男子用一瓶克洛克斯（Clorox）和一块海绵在水槽中清理了一个斑点，然后出现了一瓶Clorox的刻字和特写。")</f>
        <v>该男子用一瓶克洛克斯（Clorox）和一块海绵在水槽中清理了一个斑点，然后出现了一瓶Clorox的刻字和特写。</v>
      </c>
    </row>
    <row r="22940">
      <c r="A22940" s="4" t="s">
        <v>28869</v>
      </c>
      <c r="B22940" s="6" t="s">
        <v>28870</v>
      </c>
      <c r="C22940" s="5" t="str">
        <f>IFERROR(__xludf.DUMMYFUNCTION("GOOGLETRANSLATE(B22940,""en"",""zh-CN"")"),"一个女人握着在海洋中航行的游艇的轮子，一只海豚在游艇附近游泳。")</f>
        <v>一个女人握着在海洋中航行的游艇的轮子，一只海豚在游艇附近游泳。</v>
      </c>
    </row>
    <row r="22941">
      <c r="A22941" s="4" t="s">
        <v>28869</v>
      </c>
      <c r="B22941" s="4" t="s">
        <v>28871</v>
      </c>
      <c r="C22941" s="5" t="str">
        <f>IFERROR(__xludf.DUMMYFUNCTION("GOOGLETRANSLATE(B22941,""en"",""zh-CN"")"),"然后，一个年轻人说话，从时间开始，时间就会显示日落。")</f>
        <v>然后，一个年轻人说话，从时间开始，时间就会显示日落。</v>
      </c>
    </row>
    <row r="22942">
      <c r="A22942" s="4" t="s">
        <v>28869</v>
      </c>
      <c r="B22942" s="4" t="s">
        <v>28872</v>
      </c>
      <c r="C22942" s="5" t="str">
        <f>IFERROR(__xludf.DUMMYFUNCTION("GOOGLETRANSLATE(B22942,""en"",""zh-CN"")"),"四人开始在游艇上跳舞，一个男孩与帆跳舞。")</f>
        <v>四人开始在游艇上跳舞，一个男孩与帆跳舞。</v>
      </c>
    </row>
    <row r="22943">
      <c r="A22943" s="4" t="s">
        <v>28869</v>
      </c>
      <c r="B22943" s="4" t="s">
        <v>28873</v>
      </c>
      <c r="C22943" s="5" t="str">
        <f>IFERROR(__xludf.DUMMYFUNCTION("GOOGLETRANSLATE(B22943,""en"",""zh-CN"")"),"游艇继续航行时，这四个人用双手握住一条大鱼。")</f>
        <v>游艇继续航行时，这四个人用双手握住一条大鱼。</v>
      </c>
    </row>
    <row r="22944">
      <c r="A22944" s="4" t="s">
        <v>28874</v>
      </c>
      <c r="B22944" s="4" t="s">
        <v>28875</v>
      </c>
      <c r="C22944" s="5" t="str">
        <f>IFERROR(__xludf.DUMMYFUNCTION("GOOGLETRANSLATE(B22944,""en"",""zh-CN"")"),"一个穿着非常舒适的女人在膝盖上进行锻炼。")</f>
        <v>一个穿着非常舒适的女人在膝盖上进行锻炼。</v>
      </c>
    </row>
    <row r="22945">
      <c r="A22945" s="4" t="s">
        <v>28874</v>
      </c>
      <c r="B22945" s="4" t="s">
        <v>28876</v>
      </c>
      <c r="C22945" s="5" t="str">
        <f>IFERROR(__xludf.DUMMYFUNCTION("GOOGLETRANSLATE(B22945,""en"",""zh-CN"")"),"她将手臂放在空中，凝视着将其固定在适当的远处。")</f>
        <v>她将手臂放在空中，凝视着将其固定在适当的远处。</v>
      </c>
    </row>
    <row r="22946">
      <c r="A22946" s="4" t="s">
        <v>28874</v>
      </c>
      <c r="B22946" s="4" t="s">
        <v>28877</v>
      </c>
      <c r="C22946" s="5" t="str">
        <f>IFERROR(__xludf.DUMMYFUNCTION("GOOGLETRANSLATE(B22946,""en"",""zh-CN"")"),"将其放置在位几分钟后，她将手臂放下，然后向前朝前。")</f>
        <v>将其放置在位几分钟后，她将手臂放下，然后向前朝前。</v>
      </c>
    </row>
    <row r="22947">
      <c r="A22947" s="4" t="s">
        <v>28874</v>
      </c>
      <c r="B22947" s="4" t="s">
        <v>28878</v>
      </c>
      <c r="C22947" s="5" t="str">
        <f>IFERROR(__xludf.DUMMYFUNCTION("GOOGLETRANSLATE(B22947,""en"",""zh-CN"")"),"她继续只留在那个位置。")</f>
        <v>她继续只留在那个位置。</v>
      </c>
    </row>
    <row r="22948">
      <c r="A22948" s="4" t="s">
        <v>28879</v>
      </c>
      <c r="B22948" s="4" t="s">
        <v>28880</v>
      </c>
      <c r="C22948" s="5" t="str">
        <f>IFERROR(__xludf.DUMMYFUNCTION("GOOGLETRANSLATE(B22948,""en"",""zh-CN"")"),"第一人称视角是一个人骑着骑马割草机的人。")</f>
        <v>第一人称视角是一个人骑着骑马割草机的人。</v>
      </c>
    </row>
    <row r="22949">
      <c r="A22949" s="4" t="s">
        <v>28879</v>
      </c>
      <c r="B22949" s="4" t="s">
        <v>28881</v>
      </c>
      <c r="C22949" s="5" t="str">
        <f>IFERROR(__xludf.DUMMYFUNCTION("GOOGLETRANSLATE(B22949,""en"",""zh-CN"")"),"他迅速转弯，修剪草坪。")</f>
        <v>他迅速转弯，修剪草坪。</v>
      </c>
    </row>
    <row r="22950">
      <c r="A22950" s="4" t="s">
        <v>28879</v>
      </c>
      <c r="B22950" s="4" t="s">
        <v>28882</v>
      </c>
      <c r="C22950" s="5" t="str">
        <f>IFERROR(__xludf.DUMMYFUNCTION("GOOGLETRANSLATE(B22950,""en"",""zh-CN"")"),"他一直持续到整个院子被割伤。")</f>
        <v>他一直持续到整个院子被割伤。</v>
      </c>
    </row>
    <row r="22951">
      <c r="A22951" s="4" t="s">
        <v>28883</v>
      </c>
      <c r="B22951" s="4" t="s">
        <v>28884</v>
      </c>
      <c r="C22951" s="5" t="str">
        <f>IFERROR(__xludf.DUMMYFUNCTION("GOOGLETRANSLATE(B22951,""en"",""zh-CN"")"),"一个女孩在平衡梁上表演。")</f>
        <v>一个女孩在平衡梁上表演。</v>
      </c>
    </row>
    <row r="22952">
      <c r="A22952" s="4" t="s">
        <v>28883</v>
      </c>
      <c r="B22952" s="4" t="s">
        <v>28885</v>
      </c>
      <c r="C22952" s="5" t="str">
        <f>IFERROR(__xludf.DUMMYFUNCTION("GOOGLETRANSLATE(B22952,""en"",""zh-CN"")"),"这个女孩站着并进行两次翻转。")</f>
        <v>这个女孩站着并进行两次翻转。</v>
      </c>
    </row>
    <row r="22953">
      <c r="A22953" s="4" t="s">
        <v>28883</v>
      </c>
      <c r="B22953" s="4" t="s">
        <v>28886</v>
      </c>
      <c r="C22953" s="5" t="str">
        <f>IFERROR(__xludf.DUMMYFUNCTION("GOOGLETRANSLATE(B22953,""en"",""zh-CN"")"),"这个女孩在空中跳了两次。")</f>
        <v>这个女孩在空中跳了两次。</v>
      </c>
    </row>
    <row r="22954">
      <c r="A22954" s="4" t="s">
        <v>28883</v>
      </c>
      <c r="B22954" s="4" t="s">
        <v>28887</v>
      </c>
      <c r="C22954" s="5" t="str">
        <f>IFERROR(__xludf.DUMMYFUNCTION("GOOGLETRANSLATE(B22954,""en"",""zh-CN"")"),"女孩坐下，然后回到她的脚上。")</f>
        <v>女孩坐下，然后回到她的脚上。</v>
      </c>
    </row>
    <row r="22955">
      <c r="A22955" s="4" t="s">
        <v>28883</v>
      </c>
      <c r="B22955" s="4" t="s">
        <v>28888</v>
      </c>
      <c r="C22955" s="5" t="str">
        <f>IFERROR(__xludf.DUMMYFUNCTION("GOOGLETRANSLATE(B22955,""en"",""zh-CN"")"),"女孩两次翻转横梁，卸下光束。")</f>
        <v>女孩两次翻转横梁，卸下光束。</v>
      </c>
    </row>
    <row r="22956">
      <c r="A22956" s="4" t="s">
        <v>28883</v>
      </c>
      <c r="B22956" s="4" t="s">
        <v>28889</v>
      </c>
      <c r="C22956" s="5" t="str">
        <f>IFERROR(__xludf.DUMMYFUNCTION("GOOGLETRANSLATE(B22956,""en"",""zh-CN"")"),"女孩举起手臂，转向高五，拥抱一位站在附近的女士。")</f>
        <v>女孩举起手臂，转向高五，拥抱一位站在附近的女士。</v>
      </c>
    </row>
    <row r="22957">
      <c r="A22957" s="4" t="s">
        <v>28890</v>
      </c>
      <c r="B22957" s="4" t="s">
        <v>28891</v>
      </c>
      <c r="C22957" s="5" t="str">
        <f>IFERROR(__xludf.DUMMYFUNCTION("GOOGLETRANSLATE(B22957,""en"",""zh-CN"")"),"看到一小群儿童在碰碰车中骑车骑着撞车。")</f>
        <v>看到一小群儿童在碰碰车中骑车骑着撞车。</v>
      </c>
    </row>
    <row r="22958">
      <c r="A22958" s="4" t="s">
        <v>28890</v>
      </c>
      <c r="B22958" s="4" t="s">
        <v>28892</v>
      </c>
      <c r="C22958" s="5" t="str">
        <f>IFERROR(__xludf.DUMMYFUNCTION("GOOGLETRANSLATE(B22958,""en"",""zh-CN"")"),"孩子们四处奔波，互相击打。")</f>
        <v>孩子们四处奔波，互相击打。</v>
      </c>
    </row>
    <row r="22959">
      <c r="A22959" s="4" t="s">
        <v>28890</v>
      </c>
      <c r="B22959" s="4" t="s">
        <v>28893</v>
      </c>
      <c r="C22959" s="5" t="str">
        <f>IFERROR(__xludf.DUMMYFUNCTION("GOOGLETRANSLATE(B22959,""en"",""zh-CN"")"),"游戏继续进行，孩子们玩耍并互相撞击。")</f>
        <v>游戏继续进行，孩子们玩耍并互相撞击。</v>
      </c>
    </row>
    <row r="22960">
      <c r="A22960" s="4" t="s">
        <v>28894</v>
      </c>
      <c r="B22960" s="4" t="s">
        <v>28895</v>
      </c>
      <c r="C22960" s="5" t="str">
        <f>IFERROR(__xludf.DUMMYFUNCTION("GOOGLETRANSLATE(B22960,""en"",""zh-CN"")"),"一个年轻人跳舞时干锅盖。")</f>
        <v>一个年轻人跳舞时干锅盖。</v>
      </c>
    </row>
    <row r="22961">
      <c r="A22961" s="4" t="s">
        <v>28894</v>
      </c>
      <c r="B22961" s="4" t="s">
        <v>28896</v>
      </c>
      <c r="C22961" s="5" t="str">
        <f>IFERROR(__xludf.DUMMYFUNCTION("GOOGLETRANSLATE(B22961,""en"",""zh-CN"")"),"另外，一个青少年洗了一杯钢和跳舞。")</f>
        <v>另外，一个青少年洗了一杯钢和跳舞。</v>
      </c>
    </row>
    <row r="22962">
      <c r="A22962" s="4" t="s">
        <v>28894</v>
      </c>
      <c r="B22962" s="4" t="s">
        <v>28897</v>
      </c>
      <c r="C22962" s="5" t="str">
        <f>IFERROR(__xludf.DUMMYFUNCTION("GOOGLETRANSLATE(B22962,""en"",""zh-CN"")"),"一个女人进入，然后离开厨房。")</f>
        <v>一个女人进入，然后离开厨房。</v>
      </c>
    </row>
    <row r="22963">
      <c r="A22963" s="4" t="s">
        <v>28898</v>
      </c>
      <c r="B22963" s="4" t="s">
        <v>28899</v>
      </c>
      <c r="C22963" s="5" t="str">
        <f>IFERROR(__xludf.DUMMYFUNCTION("GOOGLETRANSLATE(B22963,""en"",""zh-CN"")"),"一个年轻人坐在砖砌建筑物前的一个种植者身上。")</f>
        <v>一个年轻人坐在砖砌建筑物前的一个种植者身上。</v>
      </c>
    </row>
    <row r="22964">
      <c r="A22964" s="4" t="s">
        <v>28898</v>
      </c>
      <c r="B22964" s="4" t="s">
        <v>28900</v>
      </c>
      <c r="C22964" s="5" t="str">
        <f>IFERROR(__xludf.DUMMYFUNCTION("GOOGLETRANSLATE(B22964,""en"",""zh-CN"")"),"可以看到带有动画片的图形。")</f>
        <v>可以看到带有动画片的图形。</v>
      </c>
    </row>
    <row r="22965">
      <c r="A22965" s="4" t="s">
        <v>28898</v>
      </c>
      <c r="B22965" s="6" t="s">
        <v>28901</v>
      </c>
      <c r="C22965" s="5" t="str">
        <f>IFERROR(__xludf.DUMMYFUNCTION("GOOGLETRANSLATE(B22965,""en"",""zh-CN"")"),"这位年轻人坐在一个播种机上，腿上有滑板，年轻人旋转木板，并在沥青上骑滑板窍门。")</f>
        <v>这位年轻人坐在一个播种机上，腿上有滑板，年轻人旋转木板，并在沥青上骑滑板窍门。</v>
      </c>
    </row>
    <row r="22966">
      <c r="A22966" s="4" t="s">
        <v>28898</v>
      </c>
      <c r="B22966" s="4" t="s">
        <v>28902</v>
      </c>
      <c r="C22966" s="5" t="str">
        <f>IFERROR(__xludf.DUMMYFUNCTION("GOOGLETRANSLATE(B22966,""en"",""zh-CN"")"),"这个年轻人确实在橙色的安全锥上欺骗。")</f>
        <v>这个年轻人确实在橙色的安全锥上欺骗。</v>
      </c>
    </row>
    <row r="22967">
      <c r="A22967" s="4" t="s">
        <v>28898</v>
      </c>
      <c r="B22967" s="4" t="s">
        <v>28903</v>
      </c>
      <c r="C22967" s="5" t="str">
        <f>IFERROR(__xludf.DUMMYFUNCTION("GOOGLETRANSLATE(B22967,""en"",""zh-CN"")"),"滑板手从壁架上站起来，站在他的滑板上。")</f>
        <v>滑板手从壁架上站起来，站在他的滑板上。</v>
      </c>
    </row>
    <row r="22968">
      <c r="A22968" s="4" t="s">
        <v>28904</v>
      </c>
      <c r="B22968" s="4" t="s">
        <v>28905</v>
      </c>
      <c r="C22968" s="5" t="str">
        <f>IFERROR(__xludf.DUMMYFUNCTION("GOOGLETRANSLATE(B22968,""en"",""zh-CN"")"),"看到一个男人站在铲子旁边的海滩上，在镜头上说话。")</f>
        <v>看到一个男人站在铲子旁边的海滩上，在镜头上说话。</v>
      </c>
    </row>
    <row r="22969">
      <c r="A22969" s="4" t="s">
        <v>28904</v>
      </c>
      <c r="B22969" s="4" t="s">
        <v>28906</v>
      </c>
      <c r="C22969" s="5" t="str">
        <f>IFERROR(__xludf.DUMMYFUNCTION("GOOGLETRANSLATE(B22969,""en"",""zh-CN"")"),"然后，该男子开始铲一堆污垢​​，然后走到水中以填满水桶。")</f>
        <v>然后，该男子开始铲一堆污垢​​，然后走到水中以填满水桶。</v>
      </c>
    </row>
    <row r="22970">
      <c r="A22970" s="4" t="s">
        <v>28904</v>
      </c>
      <c r="B22970" s="4" t="s">
        <v>28907</v>
      </c>
      <c r="C22970" s="5" t="str">
        <f>IFERROR(__xludf.DUMMYFUNCTION("GOOGLETRANSLATE(B22970,""en"",""zh-CN"")"),"该名男子堆叠了水桶，开始在它周围放沙，然后将其雕刻成城堡。")</f>
        <v>该名男子堆叠了水桶，开始在它周围放沙，然后将其雕刻成城堡。</v>
      </c>
    </row>
    <row r="22971">
      <c r="A22971" s="4" t="s">
        <v>28904</v>
      </c>
      <c r="B22971" s="4" t="s">
        <v>28908</v>
      </c>
      <c r="C22971" s="5" t="str">
        <f>IFERROR(__xludf.DUMMYFUNCTION("GOOGLETRANSLATE(B22971,""en"",""zh-CN"")"),"他最终走开，展示了他制造的城堡。")</f>
        <v>他最终走开，展示了他制造的城堡。</v>
      </c>
    </row>
    <row r="22972">
      <c r="A22972" s="4" t="s">
        <v>28909</v>
      </c>
      <c r="B22972" s="6" t="s">
        <v>28910</v>
      </c>
      <c r="C22972" s="5" t="str">
        <f>IFERROR(__xludf.DUMMYFUNCTION("GOOGLETRANSLATE(B22972,""en"",""zh-CN"")"),"介绍导致几次镜头骑着滑板在各个区域骑滑板，并在玉米田中结束。")</f>
        <v>介绍导致几次镜头骑着滑板在各个区域骑滑板，并在玉米田中结束。</v>
      </c>
    </row>
    <row r="22973">
      <c r="A22973" s="4" t="s">
        <v>28909</v>
      </c>
      <c r="B22973" s="4" t="s">
        <v>28911</v>
      </c>
      <c r="C22973" s="5" t="str">
        <f>IFERROR(__xludf.DUMMYFUNCTION("GOOGLETRANSLATE(B22973,""en"",""zh-CN"")"),"他们最终在房子里游泳，在水下木板上做技巧。")</f>
        <v>他们最终在房子里游泳，在水下木板上做技巧。</v>
      </c>
    </row>
    <row r="22974">
      <c r="A22974" s="4" t="s">
        <v>28909</v>
      </c>
      <c r="B22974" s="6" t="s">
        <v>28912</v>
      </c>
      <c r="C22974" s="5" t="str">
        <f>IFERROR(__xludf.DUMMYFUNCTION("GOOGLETRANSLATE(B22974,""en"",""zh-CN"")"),"然后看到他们再次沿着一条道路骑行，一个寄宿生将污垢撞到相机中。")</f>
        <v>然后看到他们再次沿着一条道路骑行，一个寄宿生将污垢撞到相机中。</v>
      </c>
    </row>
    <row r="22975">
      <c r="A22975" s="4" t="s">
        <v>28913</v>
      </c>
      <c r="B22975" s="4" t="s">
        <v>28914</v>
      </c>
      <c r="C22975" s="5" t="str">
        <f>IFERROR(__xludf.DUMMYFUNCTION("GOOGLETRANSLATE(B22975,""en"",""zh-CN"")"),"一个小孩被推到公园的室外游乐场上。")</f>
        <v>一个小孩被推到公园的室外游乐场上。</v>
      </c>
    </row>
    <row r="22976">
      <c r="A22976" s="4" t="s">
        <v>28913</v>
      </c>
      <c r="B22976" s="4" t="s">
        <v>28915</v>
      </c>
      <c r="C22976" s="5" t="str">
        <f>IFERROR(__xludf.DUMMYFUNCTION("GOOGLETRANSLATE(B22976,""en"",""zh-CN"")"),"孩子伸出手。")</f>
        <v>孩子伸出手。</v>
      </c>
    </row>
    <row r="22977">
      <c r="A22977" s="4" t="s">
        <v>28916</v>
      </c>
      <c r="B22977" s="4" t="s">
        <v>28917</v>
      </c>
      <c r="C22977" s="5" t="str">
        <f>IFERROR(__xludf.DUMMYFUNCTION("GOOGLETRANSLATE(B22977,""en"",""zh-CN"")"),"看到三个人站在草坪上开始进行武术动作。")</f>
        <v>看到三个人站在草坪上开始进行武术动作。</v>
      </c>
    </row>
    <row r="22978">
      <c r="A22978" s="4" t="s">
        <v>28916</v>
      </c>
      <c r="B22978" s="4" t="s">
        <v>28918</v>
      </c>
      <c r="C22978" s="5" t="str">
        <f>IFERROR(__xludf.DUMMYFUNCTION("GOOGLETRANSLATE(B22978,""en"",""zh-CN"")"),"小组同时远离相机。")</f>
        <v>小组同时远离相机。</v>
      </c>
    </row>
    <row r="22979">
      <c r="A22979" s="4" t="s">
        <v>28916</v>
      </c>
      <c r="B22979" s="4" t="s">
        <v>28919</v>
      </c>
      <c r="C22979" s="5" t="str">
        <f>IFERROR(__xludf.DUMMYFUNCTION("GOOGLETRANSLATE(B22979,""en"",""zh-CN"")"),"他们继续将胳膊和腿一起四处移动，并通过举行S姿势结束。")</f>
        <v>他们继续将胳膊和腿一起四处移动，并通过举行S姿势结束。</v>
      </c>
    </row>
    <row r="22980">
      <c r="A22980" s="4" t="s">
        <v>28920</v>
      </c>
      <c r="B22980" s="4" t="s">
        <v>28921</v>
      </c>
      <c r="C22980" s="5" t="str">
        <f>IFERROR(__xludf.DUMMYFUNCTION("GOOGLETRANSLATE(B22980,""en"",""zh-CN"")"),"人们在内管上雪橇雪橇。")</f>
        <v>人们在内管上雪橇雪橇。</v>
      </c>
    </row>
    <row r="22981">
      <c r="A22981" s="4" t="s">
        <v>28920</v>
      </c>
      <c r="B22981" s="4" t="s">
        <v>28922</v>
      </c>
      <c r="C22981" s="5" t="str">
        <f>IFERROR(__xludf.DUMMYFUNCTION("GOOGLETRANSLATE(B22981,""en"",""zh-CN"")"),"他们停在山下。")</f>
        <v>他们停在山下。</v>
      </c>
    </row>
    <row r="22982">
      <c r="A22982" s="4" t="s">
        <v>28920</v>
      </c>
      <c r="B22982" s="4" t="s">
        <v>28923</v>
      </c>
      <c r="C22982" s="5" t="str">
        <f>IFERROR(__xludf.DUMMYFUNCTION("GOOGLETRANSLATE(B22982,""en"",""zh-CN"")"),"绳子上有几根管子上的山丘。")</f>
        <v>绳子上有几根管子上的山丘。</v>
      </c>
    </row>
    <row r="22983">
      <c r="A22983" s="4" t="s">
        <v>28920</v>
      </c>
      <c r="B22983" s="4" t="s">
        <v>28924</v>
      </c>
      <c r="C22983" s="5" t="str">
        <f>IFERROR(__xludf.DUMMYFUNCTION("GOOGLETRANSLATE(B22983,""en"",""zh-CN"")"),"人们再次在内管上雪橇。")</f>
        <v>人们再次在内管上雪橇。</v>
      </c>
    </row>
    <row r="22984">
      <c r="A22984" s="4" t="s">
        <v>28925</v>
      </c>
      <c r="B22984" s="4" t="s">
        <v>28926</v>
      </c>
      <c r="C22984" s="5" t="str">
        <f>IFERROR(__xludf.DUMMYFUNCTION("GOOGLETRANSLATE(B22984,""en"",""zh-CN"")"),"孩子们坐在摩托车上，父母在他们旁边。")</f>
        <v>孩子们坐在摩托车上，父母在他们旁边。</v>
      </c>
    </row>
    <row r="22985">
      <c r="A22985" s="4" t="s">
        <v>28925</v>
      </c>
      <c r="B22985" s="4" t="s">
        <v>28927</v>
      </c>
      <c r="C22985" s="5" t="str">
        <f>IFERROR(__xludf.DUMMYFUNCTION("GOOGLETRANSLATE(B22985,""en"",""zh-CN"")"),"一个男人抱着孩子，一个女人鼓掌，男人拍照。")</f>
        <v>一个男人抱着孩子，一个女人鼓掌，男人拍照。</v>
      </c>
    </row>
    <row r="22986">
      <c r="A22986" s="4" t="s">
        <v>28925</v>
      </c>
      <c r="B22986" s="4" t="s">
        <v>28928</v>
      </c>
      <c r="C22986" s="5" t="str">
        <f>IFERROR(__xludf.DUMMYFUNCTION("GOOGLETRANSLATE(B22986,""en"",""zh-CN"")"),"一个小孩站在干草上，抓住一个女人的腿。")</f>
        <v>一个小孩站在干草上，抓住一个女人的腿。</v>
      </c>
    </row>
    <row r="22987">
      <c r="A22987" s="4" t="s">
        <v>28925</v>
      </c>
      <c r="B22987" s="4" t="s">
        <v>28929</v>
      </c>
      <c r="C22987" s="5" t="str">
        <f>IFERROR(__xludf.DUMMYFUNCTION("GOOGLETRANSLATE(B22987,""en"",""zh-CN"")"),"然后，男人和孩子们一起推动摩托车，而男人则记得。")</f>
        <v>然后，男人和孩子们一起推动摩托车，而男人则记得。</v>
      </c>
    </row>
    <row r="22988">
      <c r="A22988" s="4" t="s">
        <v>28925</v>
      </c>
      <c r="B22988" s="4" t="s">
        <v>28930</v>
      </c>
      <c r="C22988" s="5" t="str">
        <f>IFERROR(__xludf.DUMMYFUNCTION("GOOGLETRANSLATE(B22988,""en"",""zh-CN"")"),"然后，孩子们在起跑线上排队，然后运行。")</f>
        <v>然后，孩子们在起跑线上排队，然后运行。</v>
      </c>
    </row>
    <row r="22989">
      <c r="A22989" s="4" t="s">
        <v>28931</v>
      </c>
      <c r="B22989" s="4" t="s">
        <v>28932</v>
      </c>
      <c r="C22989" s="5" t="str">
        <f>IFERROR(__xludf.DUMMYFUNCTION("GOOGLETRANSLATE(B22989,""en"",""zh-CN"")"),"一个男人坐在沙发上，扮演口琴。")</f>
        <v>一个男人坐在沙发上，扮演口琴。</v>
      </c>
    </row>
    <row r="22990">
      <c r="A22990" s="4" t="s">
        <v>28931</v>
      </c>
      <c r="B22990" s="4" t="s">
        <v>28933</v>
      </c>
      <c r="C22990" s="5" t="str">
        <f>IFERROR(__xludf.DUMMYFUNCTION("GOOGLETRANSLATE(B22990,""en"",""zh-CN"")"),"完成后，他将其从嘴里降低。")</f>
        <v>完成后，他将其从嘴里降低。</v>
      </c>
    </row>
    <row r="22991">
      <c r="A22991" s="4" t="s">
        <v>28934</v>
      </c>
      <c r="B22991" s="4" t="s">
        <v>25231</v>
      </c>
      <c r="C22991" s="5" t="str">
        <f>IFERROR(__xludf.DUMMYFUNCTION("GOOGLETRANSLATE(B22991,""en"",""zh-CN"")"),"一个穿着黑色衬衫的男人在说话。")</f>
        <v>一个穿着黑色衬衫的男人在说话。</v>
      </c>
    </row>
    <row r="22992">
      <c r="A22992" s="4" t="s">
        <v>28934</v>
      </c>
      <c r="B22992" s="4" t="s">
        <v>28935</v>
      </c>
      <c r="C22992" s="5" t="str">
        <f>IFERROR(__xludf.DUMMYFUNCTION("GOOGLETRANSLATE(B22992,""en"",""zh-CN"")"),"几个人跪在红色垫子上做拉伸。")</f>
        <v>几个人跪在红色垫子上做拉伸。</v>
      </c>
    </row>
    <row r="22993">
      <c r="A22993" s="4" t="s">
        <v>28936</v>
      </c>
      <c r="B22993" s="4" t="s">
        <v>28937</v>
      </c>
      <c r="C22993" s="5" t="str">
        <f>IFERROR(__xludf.DUMMYFUNCTION("GOOGLETRANSLATE(B22993,""en"",""zh-CN"")"),"一个女孩跪在垫子上，空中的手臂。")</f>
        <v>一个女孩跪在垫子上，空中的手臂。</v>
      </c>
    </row>
    <row r="22994">
      <c r="A22994" s="4" t="s">
        <v>28936</v>
      </c>
      <c r="B22994" s="4" t="s">
        <v>28938</v>
      </c>
      <c r="C22994" s="5" t="str">
        <f>IFERROR(__xludf.DUMMYFUNCTION("GOOGLETRANSLATE(B22994,""en"",""zh-CN"")"),"她向后倾斜，让她的手臂碰到墙。")</f>
        <v>她向后倾斜，让她的手臂碰到墙。</v>
      </c>
    </row>
    <row r="22995">
      <c r="A22995" s="4" t="s">
        <v>28936</v>
      </c>
      <c r="B22995" s="4" t="s">
        <v>28939</v>
      </c>
      <c r="C22995" s="5" t="str">
        <f>IFERROR(__xludf.DUMMYFUNCTION("GOOGLETRANSLATE(B22995,""en"",""zh-CN"")"),"她再重复一次动作。")</f>
        <v>她再重复一次动作。</v>
      </c>
    </row>
    <row r="22996">
      <c r="A22996" s="4" t="s">
        <v>28940</v>
      </c>
      <c r="B22996" s="4" t="s">
        <v>28941</v>
      </c>
      <c r="C22996" s="5" t="str">
        <f>IFERROR(__xludf.DUMMYFUNCTION("GOOGLETRANSLATE(B22996,""en"",""zh-CN"")"),"看到一个人跪在屋顶的顶部，将物体握在适当的位置以锤击。")</f>
        <v>看到一个人跪在屋顶的顶部，将物体握在适当的位置以锤击。</v>
      </c>
    </row>
    <row r="22997">
      <c r="A22997" s="4" t="s">
        <v>28940</v>
      </c>
      <c r="B22997" s="6" t="s">
        <v>28942</v>
      </c>
      <c r="C22997" s="5" t="str">
        <f>IFERROR(__xludf.DUMMYFUNCTION("GOOGLETRANSLATE(B22997,""en"",""zh-CN"")"),"然后，该男子放下更多的瓷砖，同时将侧面锤击并将瓷砖呈现给相机。")</f>
        <v>然后，该男子放下更多的瓷砖，同时将侧面锤击并将瓷砖呈现给相机。</v>
      </c>
    </row>
    <row r="22998">
      <c r="A22998" s="4" t="s">
        <v>28943</v>
      </c>
      <c r="B22998" s="6" t="s">
        <v>28944</v>
      </c>
      <c r="C22998" s="5" t="str">
        <f>IFERROR(__xludf.DUMMYFUNCTION("GOOGLETRANSLATE(B22998,""en"",""zh-CN"")"),"一个穿着健身衣服的女人和一件夹克正走在大厅里，停下来谈论门后面的东西。")</f>
        <v>一个穿着健身衣服的女人和一件夹克正走在大厅里，停下来谈论门后面的东西。</v>
      </c>
    </row>
    <row r="22999">
      <c r="A22999" s="4" t="s">
        <v>28943</v>
      </c>
      <c r="B22999" s="6" t="s">
        <v>28945</v>
      </c>
      <c r="C22999" s="5" t="str">
        <f>IFERROR(__xludf.DUMMYFUNCTION("GOOGLETRANSLATE(B22999,""en"",""zh-CN"")"),"一旦她打开门，相机就会刷许多锻炼机，女人开始与计划主管交谈。")</f>
        <v>一旦她打开门，相机就会刷许多锻炼机，女人开始与计划主管交谈。</v>
      </c>
    </row>
    <row r="23000">
      <c r="A23000" s="4" t="s">
        <v>28943</v>
      </c>
      <c r="B23000" s="6" t="s">
        <v>28946</v>
      </c>
      <c r="C23000" s="5" t="str">
        <f>IFERROR(__xludf.DUMMYFUNCTION("GOOGLETRANSLATE(B23000,""en"",""zh-CN"")"),"结束后，年轻女子开始与其他班级的成员一起锻炼，因为培训师走路走路，确保自己做得好。")</f>
        <v>结束后，年轻女子开始与其他班级的成员一起锻炼，因为培训师走路走路，确保自己做得好。</v>
      </c>
    </row>
    <row r="23001">
      <c r="A23001" s="4" t="s">
        <v>28943</v>
      </c>
      <c r="B23001" s="6" t="s">
        <v>28947</v>
      </c>
      <c r="C23001" s="5" t="str">
        <f>IFERROR(__xludf.DUMMYFUNCTION("GOOGLETRANSLATE(B23001,""en"",""zh-CN"")"),"最后，锻炼完成了，每个人都开始互相高击，女人开始再次交谈。")</f>
        <v>最后，锻炼完成了，每个人都开始互相高击，女人开始再次交谈。</v>
      </c>
    </row>
    <row r="23002">
      <c r="A23002" s="4" t="s">
        <v>28948</v>
      </c>
      <c r="B23002" s="4" t="s">
        <v>28949</v>
      </c>
      <c r="C23002" s="5" t="str">
        <f>IFERROR(__xludf.DUMMYFUNCTION("GOOGLETRANSLATE(B23002,""en"",""zh-CN"")"),"一个摄像头绕着一群人彼此站在一起，一个圆圈旋转。")</f>
        <v>一个摄像头绕着一群人彼此站在一起，一个圆圈旋转。</v>
      </c>
    </row>
    <row r="23003">
      <c r="A23003" s="4" t="s">
        <v>28948</v>
      </c>
      <c r="B23003" s="4" t="s">
        <v>28950</v>
      </c>
      <c r="C23003" s="5" t="str">
        <f>IFERROR(__xludf.DUMMYFUNCTION("GOOGLETRANSLATE(B23003,""en"",""zh-CN"")"),"一个男人将旋转的女孩推到周围，并放大了皮纳塔。")</f>
        <v>一个男人将旋转的女孩推到周围，并放大了皮纳塔。</v>
      </c>
    </row>
    <row r="23004">
      <c r="A23004" s="4" t="s">
        <v>28948</v>
      </c>
      <c r="B23004" s="4" t="s">
        <v>28951</v>
      </c>
      <c r="C23004" s="5" t="str">
        <f>IFERROR(__xludf.DUMMYFUNCTION("GOOGLETRANSLATE(B23004,""en"",""zh-CN"")"),"那个女孩在皮纳塔（Pinata）挥动着，一个男人跳下来抓起一块掉落的糖果。")</f>
        <v>那个女孩在皮纳塔（Pinata）挥动着，一个男人跳下来抓起一块掉落的糖果。</v>
      </c>
    </row>
    <row r="23005">
      <c r="A23005" s="4" t="s">
        <v>28948</v>
      </c>
      <c r="B23005" s="4" t="s">
        <v>28952</v>
      </c>
      <c r="C23005" s="5" t="str">
        <f>IFERROR(__xludf.DUMMYFUNCTION("GOOGLETRANSLATE(B23005,""en"",""zh-CN"")"),"女孩打破了皮纳塔，几个人跑了下来抓住糖果。")</f>
        <v>女孩打破了皮纳塔，几个人跑了下来抓住糖果。</v>
      </c>
    </row>
    <row r="23006">
      <c r="A23006" s="4" t="s">
        <v>28953</v>
      </c>
      <c r="B23006" s="4" t="s">
        <v>28954</v>
      </c>
      <c r="C23006" s="5" t="str">
        <f>IFERROR(__xludf.DUMMYFUNCTION("GOOGLETRANSLATE(B23006,""en"",""zh-CN"")"),"一个女人在画布上画一张照片。")</f>
        <v>一个女人在画布上画一张照片。</v>
      </c>
    </row>
    <row r="23007">
      <c r="A23007" s="4" t="s">
        <v>28953</v>
      </c>
      <c r="B23007" s="4" t="s">
        <v>28955</v>
      </c>
      <c r="C23007" s="5" t="str">
        <f>IFERROR(__xludf.DUMMYFUNCTION("GOOGLETRANSLATE(B23007,""en"",""zh-CN"")"),"她面前的木板上有橙色和黄色油漆。")</f>
        <v>她面前的木板上有橙色和黄色油漆。</v>
      </c>
    </row>
    <row r="23008">
      <c r="A23008" s="4" t="s">
        <v>28953</v>
      </c>
      <c r="B23008" s="4" t="s">
        <v>28956</v>
      </c>
      <c r="C23008" s="5" t="str">
        <f>IFERROR(__xludf.DUMMYFUNCTION("GOOGLETRANSLATE(B23008,""en"",""zh-CN"")"),"她在画布上画了两朵花。")</f>
        <v>她在画布上画了两朵花。</v>
      </c>
    </row>
    <row r="23009">
      <c r="A23009" s="4" t="s">
        <v>28957</v>
      </c>
      <c r="B23009" s="4" t="s">
        <v>28958</v>
      </c>
      <c r="C23009" s="5" t="str">
        <f>IFERROR(__xludf.DUMMYFUNCTION("GOOGLETRANSLATE(B23009,""en"",""zh-CN"")"),"一个男人和女人正在和摄像机聊天。")</f>
        <v>一个男人和女人正在和摄像机聊天。</v>
      </c>
    </row>
    <row r="23010">
      <c r="A23010" s="4" t="s">
        <v>28957</v>
      </c>
      <c r="B23010" s="4" t="s">
        <v>28959</v>
      </c>
      <c r="C23010" s="5" t="str">
        <f>IFERROR(__xludf.DUMMYFUNCTION("GOOGLETRANSLATE(B23010,""en"",""zh-CN"")"),"女孩谈论设备以及如何使用它。")</f>
        <v>女孩谈论设备以及如何使用它。</v>
      </c>
    </row>
    <row r="23011">
      <c r="A23011" s="4" t="s">
        <v>28957</v>
      </c>
      <c r="B23011" s="4" t="s">
        <v>28960</v>
      </c>
      <c r="C23011" s="5" t="str">
        <f>IFERROR(__xludf.DUMMYFUNCTION("GOOGLETRANSLATE(B23011,""en"",""zh-CN"")"),"她准备了设备，并帮助该男子进行锻炼。")</f>
        <v>她准备了设备，并帮助该男子进行锻炼。</v>
      </c>
    </row>
    <row r="23012">
      <c r="A23012" s="4" t="s">
        <v>28961</v>
      </c>
      <c r="B23012" s="4" t="s">
        <v>28962</v>
      </c>
      <c r="C23012" s="5" t="str">
        <f>IFERROR(__xludf.DUMMYFUNCTION("GOOGLETRANSLATE(B23012,""en"",""zh-CN"")"),"人们站在滑板上的路边，一边有停放的汽车。")</f>
        <v>人们站在滑板上的路边，一边有停放的汽车。</v>
      </c>
    </row>
    <row r="23013">
      <c r="A23013" s="4" t="s">
        <v>28961</v>
      </c>
      <c r="B23013" s="4" t="s">
        <v>28963</v>
      </c>
      <c r="C23013" s="5" t="str">
        <f>IFERROR(__xludf.DUMMYFUNCTION("GOOGLETRANSLATE(B23013,""en"",""zh-CN"")"),"男孩们正在骑着潮湿的沥青沿着山上骑滑板板的技巧。")</f>
        <v>男孩们正在骑着潮湿的沥青沿着山上骑滑板板的技巧。</v>
      </c>
    </row>
    <row r="23014">
      <c r="A23014" s="4" t="s">
        <v>28961</v>
      </c>
      <c r="B23014" s="6" t="s">
        <v>28964</v>
      </c>
      <c r="C23014" s="5" t="str">
        <f>IFERROR(__xludf.DUMMYFUNCTION("GOOGLETRANSLATE(B23014,""en"",""zh-CN"")"),"男孩聚集在人行道上的帐篷下，在滑板上做技巧，展示了韦伊沥青和湿草。")</f>
        <v>男孩聚集在人行道上的帐篷下，在滑板上做技巧，展示了韦伊沥青和湿草。</v>
      </c>
    </row>
    <row r="23015">
      <c r="A23015" s="4" t="s">
        <v>28965</v>
      </c>
      <c r="B23015" s="4" t="s">
        <v>28966</v>
      </c>
      <c r="C23015" s="5" t="str">
        <f>IFERROR(__xludf.DUMMYFUNCTION("GOOGLETRANSLATE(B23015,""en"",""zh-CN"")"),"显示带有标题的相机，并导致几个人从桥上跳下来。")</f>
        <v>显示带有标题的相机，并导致几个人从桥上跳下来。</v>
      </c>
    </row>
    <row r="23016">
      <c r="A23016" s="4" t="s">
        <v>28965</v>
      </c>
      <c r="B23016" s="6" t="s">
        <v>28967</v>
      </c>
      <c r="C23016" s="5" t="str">
        <f>IFERROR(__xludf.DUMMYFUNCTION("GOOGLETRANSLATE(B23016,""en"",""zh-CN"")"),"显示了另一张人在管子上沿着河上骑的人的镜头，后面是沙洲上的大量人。")</f>
        <v>显示了另一张人在管子上沿着河上骑的人的镜头，后面是沙洲上的大量人。</v>
      </c>
    </row>
    <row r="23017">
      <c r="A23017" s="4" t="s">
        <v>28965</v>
      </c>
      <c r="B23017" s="6" t="s">
        <v>28968</v>
      </c>
      <c r="C23017" s="5" t="str">
        <f>IFERROR(__xludf.DUMMYFUNCTION("GOOGLETRANSLATE(B23017,""en"",""zh-CN"")"),"摄影师抓住另一只管子在水中跳动，同时仍漂浮着并抓住一个弹出的气球。")</f>
        <v>摄影师抓住另一只管子在水中跳动，同时仍漂浮着并抓住一个弹出的气球。</v>
      </c>
    </row>
    <row r="23018">
      <c r="A23018" s="4" t="s">
        <v>28969</v>
      </c>
      <c r="B23018" s="4" t="s">
        <v>28970</v>
      </c>
      <c r="C23018" s="5" t="str">
        <f>IFERROR(__xludf.DUMMYFUNCTION("GOOGLETRANSLATE(B23018,""en"",""zh-CN"")"),"男人正坐在阿卡亚克（Akayak）上，握着一排，展示了划船方式。")</f>
        <v>男人正坐在阿卡亚克（Akayak）上，握着一排，展示了划船方式。</v>
      </c>
    </row>
    <row r="23019">
      <c r="A23019" s="4" t="s">
        <v>28969</v>
      </c>
      <c r="B23019" s="4" t="s">
        <v>28971</v>
      </c>
      <c r="C23019" s="5" t="str">
        <f>IFERROR(__xludf.DUMMYFUNCTION("GOOGLETRANSLATE(B23019,""en"",""zh-CN"")"),"人们在湖边的皮划艇上。")</f>
        <v>人们在湖边的皮划艇上。</v>
      </c>
    </row>
    <row r="23020">
      <c r="A23020" s="4" t="s">
        <v>28969</v>
      </c>
      <c r="B23020" s="4" t="s">
        <v>28972</v>
      </c>
      <c r="C23020" s="5" t="str">
        <f>IFERROR(__xludf.DUMMYFUNCTION("GOOGLETRANSLATE(B23020,""en"",""zh-CN"")"),"人们正在急流皮划艇。")</f>
        <v>人们正在急流皮划艇。</v>
      </c>
    </row>
    <row r="23021">
      <c r="A23021" s="4" t="s">
        <v>28969</v>
      </c>
      <c r="B23021" s="4" t="s">
        <v>28973</v>
      </c>
      <c r="C23021" s="5" t="str">
        <f>IFERROR(__xludf.DUMMYFUNCTION("GOOGLETRANSLATE(B23021,""en"",""zh-CN"")"),"男子在皮划艇沿着湖上游泳，然后在湖边拿着皮划艇的湖边行走。")</f>
        <v>男子在皮划艇沿着湖上游泳，然后在湖边拿着皮划艇的湖边行走。</v>
      </c>
    </row>
    <row r="23022">
      <c r="A23022" s="4" t="s">
        <v>28974</v>
      </c>
      <c r="B23022" s="4" t="s">
        <v>28975</v>
      </c>
      <c r="C23022" s="5" t="str">
        <f>IFERROR(__xludf.DUMMYFUNCTION("GOOGLETRANSLATE(B23022,""en"",""zh-CN"")"),"一个女人被显示在椭圆机上锻炼，并朝远处微笑。")</f>
        <v>一个女人被显示在椭圆机上锻炼，并朝远处微笑。</v>
      </c>
    </row>
    <row r="23023">
      <c r="A23023" s="4" t="s">
        <v>28974</v>
      </c>
      <c r="B23023" s="4" t="s">
        <v>28976</v>
      </c>
      <c r="C23023" s="5" t="str">
        <f>IFERROR(__xludf.DUMMYFUNCTION("GOOGLETRANSLATE(B23023,""en"",""zh-CN"")"),"视频显示，当女士继续工作时，机器可以做到的几种不同的特权。")</f>
        <v>视频显示，当女士继续工作时，机器可以做到的几种不同的特权。</v>
      </c>
    </row>
    <row r="23024">
      <c r="A23024" s="4" t="s">
        <v>28974</v>
      </c>
      <c r="B23024" s="4" t="s">
        <v>28977</v>
      </c>
      <c r="C23024" s="5" t="str">
        <f>IFERROR(__xludf.DUMMYFUNCTION("GOOGLETRANSLATE(B23024,""en"",""zh-CN"")"),"她最终再次踩在机器上，并继续在机器上锻炼。")</f>
        <v>她最终再次踩在机器上，并继续在机器上锻炼。</v>
      </c>
    </row>
    <row r="23025">
      <c r="A23025" s="4" t="s">
        <v>28978</v>
      </c>
      <c r="B23025" s="4" t="s">
        <v>28979</v>
      </c>
      <c r="C23025" s="5" t="str">
        <f>IFERROR(__xludf.DUMMYFUNCTION("GOOGLETRANSLATE(B23025,""en"",""zh-CN"")"),"我们看到一位女士走在楼梯上。")</f>
        <v>我们看到一位女士走在楼梯上。</v>
      </c>
    </row>
    <row r="23026">
      <c r="A23026" s="4" t="s">
        <v>28978</v>
      </c>
      <c r="B23026" s="4" t="s">
        <v>28980</v>
      </c>
      <c r="C23026" s="5" t="str">
        <f>IFERROR(__xludf.DUMMYFUNCTION("GOOGLETRANSLATE(B23026,""en"",""zh-CN"")"),"她带着孩子们进入一个房间，脱下外套，开始跳舞。")</f>
        <v>她带着孩子们进入一个房间，脱下外套，开始跳舞。</v>
      </c>
    </row>
    <row r="23027">
      <c r="A23027" s="4" t="s">
        <v>28978</v>
      </c>
      <c r="B23027" s="4" t="s">
        <v>28981</v>
      </c>
      <c r="C23027" s="5" t="str">
        <f>IFERROR(__xludf.DUMMYFUNCTION("GOOGLETRANSLATE(B23027,""en"",""zh-CN"")"),"一个男人进入，女士和男人在孩子们观看时表演了花哨的舞蹈。")</f>
        <v>一个男人进入，女士和男人在孩子们观看时表演了花哨的舞蹈。</v>
      </c>
    </row>
    <row r="23028">
      <c r="A23028" s="4" t="s">
        <v>28978</v>
      </c>
      <c r="B23028" s="4" t="s">
        <v>28982</v>
      </c>
      <c r="C23028" s="5" t="str">
        <f>IFERROR(__xludf.DUMMYFUNCTION("GOOGLETRANSLATE(B23028,""en"",""zh-CN"")"),"那个男人把外套扔在整个房间里。")</f>
        <v>那个男人把外套扔在整个房间里。</v>
      </c>
    </row>
    <row r="23029">
      <c r="A23029" s="4" t="s">
        <v>28978</v>
      </c>
      <c r="B23029" s="4" t="s">
        <v>28983</v>
      </c>
      <c r="C23029" s="5" t="str">
        <f>IFERROR(__xludf.DUMMYFUNCTION("GOOGLETRANSLATE(B23029,""en"",""zh-CN"")"),"那位女士从后面拥抱那个男人。")</f>
        <v>那位女士从后面拥抱那个男人。</v>
      </c>
    </row>
    <row r="23030">
      <c r="A23030" s="4" t="s">
        <v>28978</v>
      </c>
      <c r="B23030" s="4" t="s">
        <v>28984</v>
      </c>
      <c r="C23030" s="5" t="str">
        <f>IFERROR(__xludf.DUMMYFUNCTION("GOOGLETRANSLATE(B23030,""en"",""zh-CN"")"),"那位女士试图离开，男人抓住她，将她拉回去。")</f>
        <v>那位女士试图离开，男人抓住她，将她拉回去。</v>
      </c>
    </row>
    <row r="23031">
      <c r="A23031" s="4" t="s">
        <v>28978</v>
      </c>
      <c r="B23031" s="4" t="s">
        <v>28985</v>
      </c>
      <c r="C23031" s="5" t="str">
        <f>IFERROR(__xludf.DUMMYFUNCTION("GOOGLETRANSLATE(B23031,""en"",""zh-CN"")"),"他们结束了，男人握着孩子的手。")</f>
        <v>他们结束了，男人握着孩子的手。</v>
      </c>
    </row>
    <row r="23032">
      <c r="A23032" s="4" t="s">
        <v>28978</v>
      </c>
      <c r="B23032" s="4" t="s">
        <v>28986</v>
      </c>
      <c r="C23032" s="5" t="str">
        <f>IFERROR(__xludf.DUMMYFUNCTION("GOOGLETRANSLATE(B23032,""en"",""zh-CN"")"),"当女孩和她说话时，这位女士穿上外套，离开了房间。")</f>
        <v>当女孩和她说话时，这位女士穿上外套，离开了房间。</v>
      </c>
    </row>
    <row r="23033">
      <c r="A23033" s="4" t="s">
        <v>28987</v>
      </c>
      <c r="B23033" s="6" t="s">
        <v>28988</v>
      </c>
      <c r="C23033" s="5" t="str">
        <f>IFERROR(__xludf.DUMMYFUNCTION("GOOGLETRANSLATE(B23033,""en"",""zh-CN"")"),"看到一个男人在相机上说话，并拿着一张纸和两个物体进入他。")</f>
        <v>看到一个男人在相机上说话，并拿着一张纸和两个物体进入他。</v>
      </c>
    </row>
    <row r="23034">
      <c r="A23034" s="4" t="s">
        <v>28987</v>
      </c>
      <c r="B23034" s="4" t="s">
        <v>28989</v>
      </c>
      <c r="C23034" s="5" t="str">
        <f>IFERROR(__xludf.DUMMYFUNCTION("GOOGLETRANSLATE(B23034,""en"",""zh-CN"")"),"他将物体放在板上，并沿着物体磨刀。")</f>
        <v>他将物体放在板上，并沿着物体磨刀。</v>
      </c>
    </row>
    <row r="23035">
      <c r="A23035" s="4" t="s">
        <v>28987</v>
      </c>
      <c r="B23035" s="4" t="s">
        <v>28990</v>
      </c>
      <c r="C23035" s="5" t="str">
        <f>IFERROR(__xludf.DUMMYFUNCTION("GOOGLETRANSLATE(B23035,""en"",""zh-CN"")"),"他继续对镜头说话，同时锐化刀片并指向物体。")</f>
        <v>他继续对镜头说话，同时锐化刀片并指向物体。</v>
      </c>
    </row>
    <row r="23036">
      <c r="A23036" s="4" t="s">
        <v>28991</v>
      </c>
      <c r="B23036" s="6" t="s">
        <v>28992</v>
      </c>
      <c r="C23036" s="5" t="str">
        <f>IFERROR(__xludf.DUMMYFUNCTION("GOOGLETRANSLATE(B23036,""en"",""zh-CN"")"),"一个蹒跚学步的人拿着一根曲棍球棒，然后他用曲棍球棍子接球，然后扔到地板上。")</f>
        <v>一个蹒跚学步的人拿着一根曲棍球棒，然后他用曲棍球棍子接球，然后扔到地板上。</v>
      </c>
    </row>
    <row r="23037">
      <c r="A23037" s="4" t="s">
        <v>28991</v>
      </c>
      <c r="B23037" s="4" t="s">
        <v>28993</v>
      </c>
      <c r="C23037" s="5" t="str">
        <f>IFERROR(__xludf.DUMMYFUNCTION("GOOGLETRANSLATE(B23037,""en"",""zh-CN"")"),"然后，孩子试图抓住另一个球，但它在椅子下滚动。")</f>
        <v>然后，孩子试图抓住另一个球，但它在椅子下滚动。</v>
      </c>
    </row>
    <row r="23038">
      <c r="A23038" s="4" t="s">
        <v>28991</v>
      </c>
      <c r="B23038" s="4" t="s">
        <v>28994</v>
      </c>
      <c r="C23038" s="5" t="str">
        <f>IFERROR(__xludf.DUMMYFUNCTION("GOOGLETRANSLATE(B23038,""en"",""zh-CN"")"),"接下来，蹒跚学步的人抓住球，扔到地板上，球弹跳。")</f>
        <v>接下来，蹒跚学步的人抓住球，扔到地板上，球弹跳。</v>
      </c>
    </row>
    <row r="23039">
      <c r="A23039" s="4" t="s">
        <v>28991</v>
      </c>
      <c r="B23039" s="6" t="s">
        <v>28995</v>
      </c>
      <c r="C23039" s="5" t="str">
        <f>IFERROR(__xludf.DUMMYFUNCTION("GOOGLETRANSLATE(B23039,""en"",""zh-CN"")"),"之后，蹒跚学步的人抓住了弹跳的球并扔到后院，然后小孩逐步走了一步。")</f>
        <v>之后，蹒跚学步的人抓住了弹跳的球并扔到后院，然后小孩逐步走了一步。</v>
      </c>
    </row>
    <row r="23040">
      <c r="A23040" s="4" t="s">
        <v>28996</v>
      </c>
      <c r="B23040" s="4" t="s">
        <v>28997</v>
      </c>
      <c r="C23040" s="5" t="str">
        <f>IFERROR(__xludf.DUMMYFUNCTION("GOOGLETRANSLATE(B23040,""en"",""zh-CN"")"),"我们看到一位女士剥了小土豆。")</f>
        <v>我们看到一位女士剥了小土豆。</v>
      </c>
    </row>
    <row r="23041">
      <c r="A23041" s="4" t="s">
        <v>28996</v>
      </c>
      <c r="B23041" s="4" t="s">
        <v>28998</v>
      </c>
      <c r="C23041" s="5" t="str">
        <f>IFERROR(__xludf.DUMMYFUNCTION("GOOGLETRANSLATE(B23041,""en"",""zh-CN"")"),"那位女士剥了她的第二个土豆。")</f>
        <v>那位女士剥了她的第二个土豆。</v>
      </c>
    </row>
    <row r="23042">
      <c r="A23042" s="4" t="s">
        <v>28996</v>
      </c>
      <c r="B23042" s="4" t="s">
        <v>28999</v>
      </c>
      <c r="C23042" s="5" t="str">
        <f>IFERROR(__xludf.DUMMYFUNCTION("GOOGLETRANSLATE(B23042,""en"",""zh-CN"")"),"女士移到她的第三个土豆上。")</f>
        <v>女士移到她的第三个土豆上。</v>
      </c>
    </row>
    <row r="23043">
      <c r="A23043" s="4" t="s">
        <v>28996</v>
      </c>
      <c r="B23043" s="4" t="s">
        <v>29000</v>
      </c>
      <c r="C23043" s="5" t="str">
        <f>IFERROR(__xludf.DUMMYFUNCTION("GOOGLETRANSLATE(B23043,""en"",""zh-CN"")"),"我们放大，看到女士的脸。")</f>
        <v>我们放大，看到女士的脸。</v>
      </c>
    </row>
    <row r="23044">
      <c r="A23044" s="4" t="s">
        <v>28996</v>
      </c>
      <c r="B23044" s="4" t="s">
        <v>29001</v>
      </c>
      <c r="C23044" s="5" t="str">
        <f>IFERROR(__xludf.DUMMYFUNCTION("GOOGLETRANSLATE(B23044,""en"",""zh-CN"")"),"这位女士剥离了她的第四和第五马铃薯。")</f>
        <v>这位女士剥离了她的第四和第五马铃薯。</v>
      </c>
    </row>
    <row r="23045">
      <c r="A23045" s="4" t="s">
        <v>29002</v>
      </c>
      <c r="B23045" s="4" t="s">
        <v>29003</v>
      </c>
      <c r="C23045" s="5" t="str">
        <f>IFERROR(__xludf.DUMMYFUNCTION("GOOGLETRANSLATE(B23045,""en"",""zh-CN"")"),"当有人用摄像机记录他们时，有两个人在玩羽毛球。")</f>
        <v>当有人用摄像机记录他们时，有两个人在玩羽毛球。</v>
      </c>
    </row>
    <row r="23046">
      <c r="A23046" s="4" t="s">
        <v>29002</v>
      </c>
      <c r="B23046" s="4" t="s">
        <v>29004</v>
      </c>
      <c r="C23046" s="5" t="str">
        <f>IFERROR(__xludf.DUMMYFUNCTION("GOOGLETRANSLATE(B23046,""en"",""zh-CN"")"),"当其他人看着他嘲笑他时，一个人伤害了自己。")</f>
        <v>当其他人看着他嘲笑他时，一个人伤害了自己。</v>
      </c>
    </row>
    <row r="23047">
      <c r="A23047" s="4" t="s">
        <v>29002</v>
      </c>
      <c r="B23047" s="6" t="s">
        <v>29005</v>
      </c>
      <c r="C23047" s="5" t="str">
        <f>IFERROR(__xludf.DUMMYFUNCTION("GOOGLETRANSLATE(B23047,""en"",""zh-CN"")"),"玩羽毛球的人走过去，与坐在草坪椅子上的其他人交谈。")</f>
        <v>玩羽毛球的人走过去，与坐在草坪椅子上的其他人交谈。</v>
      </c>
    </row>
    <row r="23048">
      <c r="A23048" s="4" t="s">
        <v>29002</v>
      </c>
      <c r="B23048" s="4" t="s">
        <v>29006</v>
      </c>
      <c r="C23048" s="5" t="str">
        <f>IFERROR(__xludf.DUMMYFUNCTION("GOOGLETRANSLATE(B23048,""en"",""zh-CN"")"),"当人们继续笑时，男孩进入了房子。")</f>
        <v>当人们继续笑时，男孩进入了房子。</v>
      </c>
    </row>
    <row r="23049">
      <c r="A23049" s="4" t="s">
        <v>29007</v>
      </c>
      <c r="B23049" s="4" t="s">
        <v>29008</v>
      </c>
      <c r="C23049" s="5" t="str">
        <f>IFERROR(__xludf.DUMMYFUNCTION("GOOGLETRANSLATE(B23049,""en"",""zh-CN"")"),"我们看到一个带有图像的开幕场景。")</f>
        <v>我们看到一个带有图像的开幕场景。</v>
      </c>
    </row>
    <row r="23050">
      <c r="A23050" s="4" t="s">
        <v>29007</v>
      </c>
      <c r="B23050" s="4" t="s">
        <v>29009</v>
      </c>
      <c r="C23050" s="5" t="str">
        <f>IFERROR(__xludf.DUMMYFUNCTION("GOOGLETRANSLATE(B23050,""en"",""zh-CN"")"),"然后，我们看到一个带有鸭子和岩石的湖。")</f>
        <v>然后，我们看到一个带有鸭子和岩石的湖。</v>
      </c>
    </row>
    <row r="23051">
      <c r="A23051" s="4" t="s">
        <v>29007</v>
      </c>
      <c r="B23051" s="4" t="s">
        <v>29010</v>
      </c>
      <c r="C23051" s="5" t="str">
        <f>IFERROR(__xludf.DUMMYFUNCTION("GOOGLETRANSLATE(B23051,""en"",""zh-CN"")"),"人们在独木舟上划在湖中。")</f>
        <v>人们在独木舟上划在湖中。</v>
      </c>
    </row>
    <row r="23052">
      <c r="A23052" s="4" t="s">
        <v>29007</v>
      </c>
      <c r="B23052" s="4" t="s">
        <v>29011</v>
      </c>
      <c r="C23052" s="5" t="str">
        <f>IFERROR(__xludf.DUMMYFUNCTION("GOOGLETRANSLATE(B23052,""en"",""zh-CN"")"),"我们看到一座桥，人们经过桥下。")</f>
        <v>我们看到一座桥，人们经过桥下。</v>
      </c>
    </row>
    <row r="23053">
      <c r="A23053" s="4" t="s">
        <v>29007</v>
      </c>
      <c r="B23053" s="4" t="s">
        <v>29012</v>
      </c>
      <c r="C23053" s="5" t="str">
        <f>IFERROR(__xludf.DUMMYFUNCTION("GOOGLETRANSLATE(B23053,""en"",""zh-CN"")"),"当划船者经过时，我们看到微风中的高草在微风中吹。")</f>
        <v>当划船者经过时，我们看到微风中的高草在微风中吹。</v>
      </c>
    </row>
    <row r="23054">
      <c r="A23054" s="4" t="s">
        <v>29007</v>
      </c>
      <c r="B23054" s="4" t="s">
        <v>29013</v>
      </c>
      <c r="C23054" s="5" t="str">
        <f>IFERROR(__xludf.DUMMYFUNCTION("GOOGLETRANSLATE(B23054,""en"",""zh-CN"")"),"划船者到达岸边。")</f>
        <v>划船者到达岸边。</v>
      </c>
    </row>
    <row r="23055">
      <c r="A23055" s="4" t="s">
        <v>29007</v>
      </c>
      <c r="B23055" s="4" t="s">
        <v>10150</v>
      </c>
      <c r="C23055" s="5" t="str">
        <f>IFERROR(__xludf.DUMMYFUNCTION("GOOGLETRANSLATE(B23055,""en"",""zh-CN"")"),"然后，我们看到关闭标题屏幕。")</f>
        <v>然后，我们看到关闭标题屏幕。</v>
      </c>
    </row>
    <row r="23056">
      <c r="A23056" s="4" t="s">
        <v>29014</v>
      </c>
      <c r="B23056" s="4" t="s">
        <v>29015</v>
      </c>
      <c r="C23056" s="5" t="str">
        <f>IFERROR(__xludf.DUMMYFUNCTION("GOOGLETRANSLATE(B23056,""en"",""zh-CN"")"),"显示了记分牌和大型视频屏幕。")</f>
        <v>显示了记分牌和大型视频屏幕。</v>
      </c>
    </row>
    <row r="23057">
      <c r="A23057" s="4" t="s">
        <v>29014</v>
      </c>
      <c r="B23057" s="4" t="s">
        <v>29016</v>
      </c>
      <c r="C23057" s="5" t="str">
        <f>IFERROR(__xludf.DUMMYFUNCTION("GOOGLETRANSLATE(B23057,""en"",""zh-CN"")"),"骑自行车的人向一条非常高的坡道推出了一条泥土自行车轨道。")</f>
        <v>骑自行车的人向一条非常高的坡道推出了一条泥土自行车轨道。</v>
      </c>
    </row>
    <row r="23058">
      <c r="A23058" s="4" t="s">
        <v>29014</v>
      </c>
      <c r="B23058" s="4" t="s">
        <v>29017</v>
      </c>
      <c r="C23058" s="5" t="str">
        <f>IFERROR(__xludf.DUMMYFUNCTION("GOOGLETRANSLATE(B23058,""en"",""zh-CN"")"),"骑自行车的人围绕着颠簸的赛道比赛。")</f>
        <v>骑自行车的人围绕着颠簸的赛道比赛。</v>
      </c>
    </row>
    <row r="23059">
      <c r="A23059" s="4" t="s">
        <v>29018</v>
      </c>
      <c r="B23059" s="4" t="s">
        <v>29019</v>
      </c>
      <c r="C23059" s="5" t="str">
        <f>IFERROR(__xludf.DUMMYFUNCTION("GOOGLETRANSLATE(B23059,""en"",""zh-CN"")"),"看到一个人的脚关闭沿着管子沿着河的骑行。")</f>
        <v>看到一个人的脚关闭沿着管子沿着河的骑行。</v>
      </c>
    </row>
    <row r="23060">
      <c r="A23060" s="4" t="s">
        <v>29018</v>
      </c>
      <c r="B23060" s="4" t="s">
        <v>29020</v>
      </c>
      <c r="C23060" s="5" t="str">
        <f>IFERROR(__xludf.DUMMYFUNCTION("GOOGLETRANSLATE(B23060,""en"",""zh-CN"")"),"看到更多的人骑在河下的试管中，而另一些人则在侧面看。")</f>
        <v>看到更多的人骑在河下的试管中，而另一些人则在侧面看。</v>
      </c>
    </row>
    <row r="23061">
      <c r="A23061" s="4" t="s">
        <v>29018</v>
      </c>
      <c r="B23061" s="4" t="s">
        <v>29021</v>
      </c>
      <c r="C23061" s="5" t="str">
        <f>IFERROR(__xludf.DUMMYFUNCTION("GOOGLETRANSLATE(B23061,""en"",""zh-CN"")"),"该人继续沿着其他人骑河。")</f>
        <v>该人继续沿着其他人骑河。</v>
      </c>
    </row>
    <row r="23062">
      <c r="A23062" s="4" t="s">
        <v>29022</v>
      </c>
      <c r="B23062" s="4" t="s">
        <v>29023</v>
      </c>
      <c r="C23062" s="5" t="str">
        <f>IFERROR(__xludf.DUMMYFUNCTION("GOOGLETRANSLATE(B23062,""en"",""zh-CN"")"),"看到一个男人站在一个被蒙住眼睛的小孩后面。")</f>
        <v>看到一个男人站在一个被蒙住眼睛的小孩后面。</v>
      </c>
    </row>
    <row r="23063">
      <c r="A23063" s="4" t="s">
        <v>29022</v>
      </c>
      <c r="B23063" s="4" t="s">
        <v>29024</v>
      </c>
      <c r="C23063" s="5" t="str">
        <f>IFERROR(__xludf.DUMMYFUNCTION("GOOGLETRANSLATE(B23063,""en"",""zh-CN"")"),"然后显示了几个剪辑，这些剪辑在Pinatas上四处摆动并惨败。")</f>
        <v>然后显示了几个剪辑，这些剪辑在Pinatas上四处摆动并惨败。</v>
      </c>
    </row>
    <row r="23064">
      <c r="A23064" s="4" t="s">
        <v>29022</v>
      </c>
      <c r="B23064" s="6" t="s">
        <v>29025</v>
      </c>
      <c r="C23064" s="5" t="str">
        <f>IFERROR(__xludf.DUMMYFUNCTION("GOOGLETRANSLATE(B23064,""en"",""zh-CN"")"),"显示了更多人在皮纳塔斯（Pinatas）四处奔波的剪辑，并以击中其他人结束。")</f>
        <v>显示了更多人在皮纳塔斯（Pinatas）四处奔波的剪辑，并以击中其他人结束。</v>
      </c>
    </row>
    <row r="23065">
      <c r="A23065" s="4" t="s">
        <v>29026</v>
      </c>
      <c r="B23065" s="4" t="s">
        <v>29027</v>
      </c>
      <c r="C23065" s="5" t="str">
        <f>IFERROR(__xludf.DUMMYFUNCTION("GOOGLETRANSLATE(B23065,""en"",""zh-CN"")"),"明亮的阳光在天空中，展示了一座白雪皑皑的山和许多被雪覆盖的松树。")</f>
        <v>明亮的阳光在天空中，展示了一座白雪皑皑的山和许多被雪覆盖的松树。</v>
      </c>
    </row>
    <row r="23066">
      <c r="A23066" s="4" t="s">
        <v>29026</v>
      </c>
      <c r="B23066" s="4" t="s">
        <v>29028</v>
      </c>
      <c r="C23066" s="5" t="str">
        <f>IFERROR(__xludf.DUMMYFUNCTION("GOOGLETRANSLATE(B23066,""en"",""zh-CN"")"),"一名滑雪板在雪中行走，拿着两根杆子。")</f>
        <v>一名滑雪板在雪中行走，拿着两根杆子。</v>
      </c>
    </row>
    <row r="23067">
      <c r="A23067" s="4" t="s">
        <v>29026</v>
      </c>
      <c r="B23067" s="6" t="s">
        <v>29029</v>
      </c>
      <c r="C23067" s="5" t="str">
        <f>IFERROR(__xludf.DUMMYFUNCTION("GOOGLETRANSLATE(B23067,""en"",""zh-CN"")"),"隔间悬挂在电线上，滑雪者正在下雪的斜坡上，其他滑雪者站在后面。")</f>
        <v>隔间悬挂在电线上，滑雪者正在下雪的斜坡上，其他滑雪者站在后面。</v>
      </c>
    </row>
    <row r="23068">
      <c r="A23068" s="4" t="s">
        <v>29026</v>
      </c>
      <c r="B23068" s="4" t="s">
        <v>29030</v>
      </c>
      <c r="C23068" s="5" t="str">
        <f>IFERROR(__xludf.DUMMYFUNCTION("GOOGLETRANSLATE(B23068,""en"",""zh-CN"")"),"男人在靠着杆子的雪地上行走，其他滑雪者在后面滑动。")</f>
        <v>男人在靠着杆子的雪地上行走，其他滑雪者在后面滑动。</v>
      </c>
    </row>
    <row r="23069">
      <c r="A23069" s="4" t="s">
        <v>29026</v>
      </c>
      <c r="B23069" s="6" t="s">
        <v>29031</v>
      </c>
      <c r="C23069" s="5" t="str">
        <f>IFERROR(__xludf.DUMMYFUNCTION("GOOGLETRANSLATE(B23069,""en"",""zh-CN"")"),"妇女在悬挂的椅子上，孩子们下面骑着滑雪板，在雪城堡里玩耍。")</f>
        <v>妇女在悬挂的椅子上，孩子们下面骑着滑雪板，在雪城堡里玩耍。</v>
      </c>
    </row>
    <row r="23070">
      <c r="A23070" s="4" t="s">
        <v>29026</v>
      </c>
      <c r="B23070" s="4" t="s">
        <v>29032</v>
      </c>
      <c r="C23070" s="5" t="str">
        <f>IFERROR(__xludf.DUMMYFUNCTION("GOOGLETRANSLATE(B23070,""en"",""zh-CN"")"),"人们正在雪山和滑雪板上行走。")</f>
        <v>人们正在雪山和滑雪板上行走。</v>
      </c>
    </row>
    <row r="23071">
      <c r="A23071" s="4" t="s">
        <v>29026</v>
      </c>
      <c r="B23071" s="4" t="s">
        <v>29033</v>
      </c>
      <c r="C23071" s="5" t="str">
        <f>IFERROR(__xludf.DUMMYFUNCTION("GOOGLETRANSLATE(B23071,""en"",""zh-CN"")"),"Wmoan与一个男人一起进入一个山洞，正在供应葡萄酒，一对老年夫妇正在敬酒。")</f>
        <v>Wmoan与一个男人一起进入一个山洞，正在供应葡萄酒，一对老年夫妇正在敬酒。</v>
      </c>
    </row>
    <row r="23072">
      <c r="A23072" s="4" t="s">
        <v>29026</v>
      </c>
      <c r="B23072" s="6" t="s">
        <v>29034</v>
      </c>
      <c r="C23072" s="5" t="str">
        <f>IFERROR(__xludf.DUMMYFUNCTION("GOOGLETRANSLATE(B23072,""en"",""zh-CN"")"),"很多人在等着滑雪板，坐在旁边，人们在过去的日子里走下山。")</f>
        <v>很多人在等着滑雪板，坐在旁边，人们在过去的日子里走下山。</v>
      </c>
    </row>
    <row r="23073">
      <c r="A23073" s="4" t="s">
        <v>29035</v>
      </c>
      <c r="B23073" s="4" t="s">
        <v>29036</v>
      </c>
      <c r="C23073" s="5" t="str">
        <f>IFERROR(__xludf.DUMMYFUNCTION("GOOGLETRANSLATE(B23073,""en"",""zh-CN"")"),"几个专业人士都在所有类型的滑雪板上放上蜡。")</f>
        <v>几个专业人士都在所有类型的滑雪板上放上蜡。</v>
      </c>
    </row>
    <row r="23074">
      <c r="A23074" s="4" t="s">
        <v>29035</v>
      </c>
      <c r="B23074" s="4" t="s">
        <v>29037</v>
      </c>
      <c r="C23074" s="5" t="str">
        <f>IFERROR(__xludf.DUMMYFUNCTION("GOOGLETRANSLATE(B23074,""en"",""zh-CN"")"),"当他们继续放置蜡时，他们使用工具来磨削和光滑滑雪板。")</f>
        <v>当他们继续放置蜡时，他们使用工具来磨削和光滑滑雪板。</v>
      </c>
    </row>
    <row r="23075">
      <c r="A23075" s="4" t="s">
        <v>29035</v>
      </c>
      <c r="B23075" s="4" t="s">
        <v>29038</v>
      </c>
      <c r="C23075" s="5" t="str">
        <f>IFERROR(__xludf.DUMMYFUNCTION("GOOGLETRANSLATE(B23075,""en"",""zh-CN"")"),"最后，工人使用布的使用使滑雪板光滑并照亮了滑雪板。")</f>
        <v>最后，工人使用布的使用使滑雪板光滑并照亮了滑雪板。</v>
      </c>
    </row>
    <row r="23076">
      <c r="A23076" s="4" t="s">
        <v>29039</v>
      </c>
      <c r="B23076" s="4" t="s">
        <v>29040</v>
      </c>
      <c r="C23076" s="5" t="str">
        <f>IFERROR(__xludf.DUMMYFUNCTION("GOOGLETRANSLATE(B23076,""en"",""zh-CN"")"),"军事游行带有棺材，并举行了葬礼。")</f>
        <v>军事游行带有棺材，并举行了葬礼。</v>
      </c>
    </row>
    <row r="23077">
      <c r="A23077" s="4" t="s">
        <v>29039</v>
      </c>
      <c r="B23077" s="4" t="s">
        <v>29041</v>
      </c>
      <c r="C23077" s="5" t="str">
        <f>IFERROR(__xludf.DUMMYFUNCTION("GOOGLETRANSLATE(B23077,""en"",""zh-CN"")"),"新闻主播在新闻编辑室讲座。")</f>
        <v>新闻主播在新闻编辑室讲座。</v>
      </c>
    </row>
    <row r="23078">
      <c r="A23078" s="4" t="s">
        <v>29039</v>
      </c>
      <c r="B23078" s="4" t="s">
        <v>29042</v>
      </c>
      <c r="C23078" s="5" t="str">
        <f>IFERROR(__xludf.DUMMYFUNCTION("GOOGLETRANSLATE(B23078,""en"",""zh-CN"")"),"棺材，由一辆马车和军人一起携带。")</f>
        <v>棺材，由一辆马车和军人一起携带。</v>
      </c>
    </row>
    <row r="23079">
      <c r="A23079" s="4" t="s">
        <v>29039</v>
      </c>
      <c r="B23079" s="4" t="s">
        <v>29043</v>
      </c>
      <c r="C23079" s="5" t="str">
        <f>IFERROR(__xludf.DUMMYFUNCTION("GOOGLETRANSLATE(B23079,""en"",""zh-CN"")"),"一名军人向客人展示旗帜。")</f>
        <v>一名军人向客人展示旗帜。</v>
      </c>
    </row>
    <row r="23080">
      <c r="A23080" s="4" t="s">
        <v>29039</v>
      </c>
      <c r="B23080" s="4" t="s">
        <v>29044</v>
      </c>
      <c r="C23080" s="5" t="str">
        <f>IFERROR(__xludf.DUMMYFUNCTION("GOOGLETRANSLATE(B23080,""en"",""zh-CN"")"),"一个有假肢的男人，一个女人和训练师一起骑马，并与教练一起。")</f>
        <v>一个有假肢的男人，一个女人和训练师一起骑马，并与教练一起。</v>
      </c>
    </row>
    <row r="23081">
      <c r="A23081" s="4" t="s">
        <v>29039</v>
      </c>
      <c r="B23081" s="4" t="s">
        <v>29045</v>
      </c>
      <c r="C23081" s="5" t="str">
        <f>IFERROR(__xludf.DUMMYFUNCTION("GOOGLETRANSLATE(B23081,""en"",""zh-CN"")"),"一名记者沿着人行道上的一名男子穿着足球球衣骑车。")</f>
        <v>一名记者沿着人行道上的一名男子穿着足球球衣骑车。</v>
      </c>
    </row>
    <row r="23082">
      <c r="A23082" s="4" t="s">
        <v>29039</v>
      </c>
      <c r="B23082" s="4" t="s">
        <v>29046</v>
      </c>
      <c r="C23082" s="5" t="str">
        <f>IFERROR(__xludf.DUMMYFUNCTION("GOOGLETRANSLATE(B23082,""en"",""zh-CN"")"),"一名训练师在森林区附近进行交谈。")</f>
        <v>一名训练师在森林区附近进行交谈。</v>
      </c>
    </row>
    <row r="23083">
      <c r="A23083" s="4" t="s">
        <v>29039</v>
      </c>
      <c r="B23083" s="4" t="s">
        <v>29047</v>
      </c>
      <c r="C23083" s="5" t="str">
        <f>IFERROR(__xludf.DUMMYFUNCTION("GOOGLETRANSLATE(B23083,""en"",""zh-CN"")"),"当他接近葬礼队伍时，穿着球衣的男人停在马上。")</f>
        <v>当他接近葬礼队伍时，穿着球衣的男人停在马上。</v>
      </c>
    </row>
    <row r="23084">
      <c r="A23084" s="4" t="s">
        <v>29048</v>
      </c>
      <c r="B23084" s="4" t="s">
        <v>29049</v>
      </c>
      <c r="C23084" s="5" t="str">
        <f>IFERROR(__xludf.DUMMYFUNCTION("GOOGLETRANSLATE(B23084,""en"",""zh-CN"")"),"有男人在麦克风上发表讲话，宣布谁来了。")</f>
        <v>有男人在麦克风上发表讲话，宣布谁来了。</v>
      </c>
    </row>
    <row r="23085">
      <c r="A23085" s="4" t="s">
        <v>29048</v>
      </c>
      <c r="B23085" s="4" t="s">
        <v>29050</v>
      </c>
      <c r="C23085" s="5" t="str">
        <f>IFERROR(__xludf.DUMMYFUNCTION("GOOGLETRANSLATE(B23085,""en"",""zh-CN"")"),"接下来，许多不同的人上舞台跳舞。")</f>
        <v>接下来，许多不同的人上舞台跳舞。</v>
      </c>
    </row>
    <row r="23086">
      <c r="A23086" s="4" t="s">
        <v>29051</v>
      </c>
      <c r="B23086" s="4" t="s">
        <v>29052</v>
      </c>
      <c r="C23086" s="5" t="str">
        <f>IFERROR(__xludf.DUMMYFUNCTION("GOOGLETRANSLATE(B23086,""en"",""zh-CN"")"),"几个剪辑的剪辑显示，一个人沿着城市街道上骑着滚筒。")</f>
        <v>几个剪辑的剪辑显示，一个人沿着城市街道上骑着滚筒。</v>
      </c>
    </row>
    <row r="23087">
      <c r="A23087" s="4" t="s">
        <v>29051</v>
      </c>
      <c r="B23087" s="4" t="s">
        <v>29053</v>
      </c>
      <c r="C23087" s="5" t="str">
        <f>IFERROR(__xludf.DUMMYFUNCTION("GOOGLETRANSLATE(B23087,""en"",""zh-CN"")"),"该人继续沿着街道骑行，然后在屏幕上出现文字。")</f>
        <v>该人继续沿着街道骑行，然后在屏幕上出现文字。</v>
      </c>
    </row>
    <row r="23088">
      <c r="A23088" s="4" t="s">
        <v>29054</v>
      </c>
      <c r="B23088" s="6" t="s">
        <v>29055</v>
      </c>
      <c r="C23088" s="5" t="str">
        <f>IFERROR(__xludf.DUMMYFUNCTION("GOOGLETRANSLATE(B23088,""en"",""zh-CN"")"),"一个年轻的女孩在一个大的健身房地板上显示，用警棍和几名法官看着她，在一个大的健身房地板上显示。")</f>
        <v>一个年轻的女孩在一个大的健身房地板上显示，用警棍和几名法官看着她，在一个大的健身房地板上显示。</v>
      </c>
    </row>
    <row r="23089">
      <c r="A23089" s="4" t="s">
        <v>29054</v>
      </c>
      <c r="B23089" s="4" t="s">
        <v>29056</v>
      </c>
      <c r="C23089" s="5" t="str">
        <f>IFERROR(__xludf.DUMMYFUNCTION("GOOGLETRANSLATE(B23089,""en"",""zh-CN"")"),"当她沿着女孩练习时，她继续沿着地板移动。")</f>
        <v>当她沿着女孩练习时，她继续沿着地板移动。</v>
      </c>
    </row>
    <row r="23090">
      <c r="A23090" s="4" t="s">
        <v>29054</v>
      </c>
      <c r="B23090" s="4" t="s">
        <v>29057</v>
      </c>
      <c r="C23090" s="5" t="str">
        <f>IFERROR(__xludf.DUMMYFUNCTION("GOOGLETRANSLATE(B23090,""en"",""zh-CN"")"),"她完成了例行工作，站在法官面前，听到了她的成绩。")</f>
        <v>她完成了例行工作，站在法官面前，听到了她的成绩。</v>
      </c>
    </row>
    <row r="23091">
      <c r="A23091" s="4" t="s">
        <v>29058</v>
      </c>
      <c r="B23091" s="4" t="s">
        <v>29059</v>
      </c>
      <c r="C23091" s="5" t="str">
        <f>IFERROR(__xludf.DUMMYFUNCTION("GOOGLETRANSLATE(B23091,""en"",""zh-CN"")"),"穿着湿衣服的冲浪者脱下来，在海洋中挥舞着一波。")</f>
        <v>穿着湿衣服的冲浪者脱下来，在海洋中挥舞着一波。</v>
      </c>
    </row>
    <row r="23092">
      <c r="A23092" s="4" t="s">
        <v>29058</v>
      </c>
      <c r="B23092" s="4" t="s">
        <v>29060</v>
      </c>
      <c r="C23092" s="5" t="str">
        <f>IFERROR(__xludf.DUMMYFUNCTION("GOOGLETRANSLATE(B23092,""en"",""zh-CN"")"),"海洋中的一条海豹突击在他的木板上并与他们一起玩，向两名冲浪者打招呼。")</f>
        <v>海洋中的一条海豹突击在他的木板上并与他们一起玩，向两名冲浪者打招呼。</v>
      </c>
    </row>
    <row r="23093">
      <c r="A23093" s="4" t="s">
        <v>29058</v>
      </c>
      <c r="B23093" s="4" t="s">
        <v>29061</v>
      </c>
      <c r="C23093" s="5" t="str">
        <f>IFERROR(__xludf.DUMMYFUNCTION("GOOGLETRANSLATE(B23093,""en"",""zh-CN"")"),"穿着湿衣服的冲浪者在波浪上起飞，留下了印章。")</f>
        <v>穿着湿衣服的冲浪者在波浪上起飞，留下了印章。</v>
      </c>
    </row>
    <row r="23094">
      <c r="A23094" s="4" t="s">
        <v>29062</v>
      </c>
      <c r="B23094" s="4" t="s">
        <v>29063</v>
      </c>
      <c r="C23094" s="5" t="str">
        <f>IFERROR(__xludf.DUMMYFUNCTION("GOOGLETRANSLATE(B23094,""en"",""zh-CN"")"),"一个男人在一个房间里，指着并谈论瓷砖。")</f>
        <v>一个男人在一个房间里，指着并谈论瓷砖。</v>
      </c>
    </row>
    <row r="23095">
      <c r="A23095" s="4" t="s">
        <v>29062</v>
      </c>
      <c r="B23095" s="4" t="s">
        <v>29064</v>
      </c>
      <c r="C23095" s="5" t="str">
        <f>IFERROR(__xludf.DUMMYFUNCTION("GOOGLETRANSLATE(B23095,""en"",""zh-CN"")"),"他一次将瓷砖放入墙壁上。")</f>
        <v>他一次将瓷砖放入墙壁上。</v>
      </c>
    </row>
    <row r="23096">
      <c r="A23096" s="4" t="s">
        <v>29062</v>
      </c>
      <c r="B23096" s="4" t="s">
        <v>29065</v>
      </c>
      <c r="C23096" s="5" t="str">
        <f>IFERROR(__xludf.DUMMYFUNCTION("GOOGLETRANSLATE(B23096,""en"",""zh-CN"")"),"该男子完成了结构，然后关闭相机。")</f>
        <v>该男子完成了结构，然后关闭相机。</v>
      </c>
    </row>
    <row r="23097">
      <c r="A23097" s="4" t="s">
        <v>29066</v>
      </c>
      <c r="B23097" s="4" t="s">
        <v>29067</v>
      </c>
      <c r="C23097" s="5" t="str">
        <f>IFERROR(__xludf.DUMMYFUNCTION("GOOGLETRANSLATE(B23097,""en"",""zh-CN"")"),"显示了一个带有视频的页面，该页面构成了与YouTube相似的视频。")</f>
        <v>显示了一个带有视频的页面，该页面构成了与YouTube相似的视频。</v>
      </c>
    </row>
    <row r="23098">
      <c r="A23098" s="4" t="s">
        <v>29066</v>
      </c>
      <c r="B23098" s="4" t="s">
        <v>29068</v>
      </c>
      <c r="C23098" s="5" t="str">
        <f>IFERROR(__xludf.DUMMYFUNCTION("GOOGLETRANSLATE(B23098,""en"",""zh-CN"")"),"一个坐着的女人与相机说话，并被显示的焊接的个体场景散布。")</f>
        <v>一个坐着的女人与相机说话，并被显示的焊接的个体场景散布。</v>
      </c>
    </row>
    <row r="23099">
      <c r="A23099" s="4" t="s">
        <v>29066</v>
      </c>
      <c r="B23099" s="4" t="s">
        <v>17268</v>
      </c>
      <c r="C23099" s="5" t="str">
        <f>IFERROR(__xludf.DUMMYFUNCTION("GOOGLETRANSLATE(B23099,""en"",""zh-CN"")"),"一个男人与镜头说话。")</f>
        <v>一个男人与镜头说话。</v>
      </c>
    </row>
    <row r="23100">
      <c r="A23100" s="4" t="s">
        <v>29066</v>
      </c>
      <c r="B23100" s="4" t="s">
        <v>29069</v>
      </c>
      <c r="C23100" s="5" t="str">
        <f>IFERROR(__xludf.DUMMYFUNCTION("GOOGLETRANSLATE(B23100,""en"",""zh-CN"")"),"再次显示带有视频的YouTube外观类似页面。")</f>
        <v>再次显示带有视频的YouTube外观类似页面。</v>
      </c>
    </row>
    <row r="23101">
      <c r="A23101" s="4" t="s">
        <v>29070</v>
      </c>
      <c r="B23101" s="4" t="s">
        <v>29071</v>
      </c>
      <c r="C23101" s="5" t="str">
        <f>IFERROR(__xludf.DUMMYFUNCTION("GOOGLETRANSLATE(B23101,""en"",""zh-CN"")"),"中东新闻施法者正在谈论最近用另一种语言的事件。")</f>
        <v>中东新闻施法者正在谈论最近用另一种语言的事件。</v>
      </c>
    </row>
    <row r="23102">
      <c r="A23102" s="4" t="s">
        <v>29070</v>
      </c>
      <c r="B23102" s="4" t="s">
        <v>29072</v>
      </c>
      <c r="C23102" s="5" t="str">
        <f>IFERROR(__xludf.DUMMYFUNCTION("GOOGLETRANSLATE(B23102,""en"",""zh-CN"")"),"场景切换为在某种事件中展示一群人。")</f>
        <v>场景切换为在某种事件中展示一群人。</v>
      </c>
    </row>
    <row r="23103">
      <c r="A23103" s="4" t="s">
        <v>29070</v>
      </c>
      <c r="B23103" s="4" t="s">
        <v>29073</v>
      </c>
      <c r="C23103" s="5" t="str">
        <f>IFERROR(__xludf.DUMMYFUNCTION("GOOGLETRANSLATE(B23103,""en"",""zh-CN"")"),"活动中的人们显示了抛光鞋。")</f>
        <v>活动中的人们显示了抛光鞋。</v>
      </c>
    </row>
    <row r="23104">
      <c r="A23104" s="4" t="s">
        <v>29070</v>
      </c>
      <c r="B23104" s="4" t="s">
        <v>29074</v>
      </c>
      <c r="C23104" s="5" t="str">
        <f>IFERROR(__xludf.DUMMYFUNCTION("GOOGLETRANSLATE(B23104,""en"",""zh-CN"")"),"一名穿着红色衬衫的男人正在接受采访，而在分屏上展示了其他人。")</f>
        <v>一名穿着红色衬衫的男人正在接受采访，而在分屏上展示了其他人。</v>
      </c>
    </row>
    <row r="23105">
      <c r="A23105" s="4" t="s">
        <v>29070</v>
      </c>
      <c r="B23105" s="4" t="s">
        <v>29075</v>
      </c>
      <c r="C23105" s="5" t="str">
        <f>IFERROR(__xludf.DUMMYFUNCTION("GOOGLETRANSLATE(B23105,""en"",""zh-CN"")"),"现场切换回活动，随着新闻社上的录像对话。")</f>
        <v>现场切换回活动，随着新闻社上的录像对话。</v>
      </c>
    </row>
    <row r="23106">
      <c r="A23106" s="4" t="s">
        <v>29076</v>
      </c>
      <c r="B23106" s="4" t="s">
        <v>29077</v>
      </c>
      <c r="C23106" s="5" t="str">
        <f>IFERROR(__xludf.DUMMYFUNCTION("GOOGLETRANSLATE(B23106,""en"",""zh-CN"")"),"女人站在一匹马旁边，握着刷子梳理马的头发。")</f>
        <v>女人站在一匹马旁边，握着刷子梳理马的头发。</v>
      </c>
    </row>
    <row r="23107">
      <c r="A23107" s="4" t="s">
        <v>29076</v>
      </c>
      <c r="B23107" s="4" t="s">
        <v>29078</v>
      </c>
      <c r="C23107" s="5" t="str">
        <f>IFERROR(__xludf.DUMMYFUNCTION("GOOGLETRANSLATE(B23107,""en"",""zh-CN"")"),"Litle Kid正在爱抚马。")</f>
        <v>Litle Kid正在爱抚马。</v>
      </c>
    </row>
    <row r="23108">
      <c r="A23108" s="4" t="s">
        <v>29076</v>
      </c>
      <c r="B23108" s="4" t="s">
        <v>29079</v>
      </c>
      <c r="C23108" s="5" t="str">
        <f>IFERROR(__xludf.DUMMYFUNCTION("GOOGLETRANSLATE(B23108,""en"",""zh-CN"")"),"女人走到赛道上。")</f>
        <v>女人走到赛道上。</v>
      </c>
    </row>
    <row r="23109">
      <c r="A23109" s="4" t="s">
        <v>29080</v>
      </c>
      <c r="B23109" s="4" t="s">
        <v>29081</v>
      </c>
      <c r="C23109" s="5" t="str">
        <f>IFERROR(__xludf.DUMMYFUNCTION("GOOGLETRANSLATE(B23109,""en"",""zh-CN"")"),"看到一个女孩交叉双臂，呼啦圈一遍又一遍地徘徊。")</f>
        <v>看到一个女孩交叉双臂，呼啦圈一遍又一遍地徘徊。</v>
      </c>
    </row>
    <row r="23110">
      <c r="A23110" s="4" t="s">
        <v>29080</v>
      </c>
      <c r="B23110" s="4" t="s">
        <v>29082</v>
      </c>
      <c r="C23110" s="5" t="str">
        <f>IFERROR(__xludf.DUMMYFUNCTION("GOOGLETRANSLATE(B23110,""en"",""zh-CN"")"),"她在四周四处移动双腿时不断地呼吸圈，并进行各种跳跃和窍门。")</f>
        <v>她在四周四处移动双腿时不断地呼吸圈，并进行各种跳跃和窍门。</v>
      </c>
    </row>
    <row r="23111">
      <c r="A23111" s="4" t="s">
        <v>29083</v>
      </c>
      <c r="B23111" s="4" t="s">
        <v>29084</v>
      </c>
      <c r="C23111" s="5" t="str">
        <f>IFERROR(__xludf.DUMMYFUNCTION("GOOGLETRANSLATE(B23111,""en"",""zh-CN"")"),"一个叫安德烈（Andrei）的人接近舞台。")</f>
        <v>一个叫安德烈（Andrei）的人接近舞台。</v>
      </c>
    </row>
    <row r="23112">
      <c r="A23112" s="4" t="s">
        <v>29083</v>
      </c>
      <c r="B23112" s="4" t="s">
        <v>29085</v>
      </c>
      <c r="C23112" s="5" t="str">
        <f>IFERROR(__xludf.DUMMYFUNCTION("GOOGLETRANSLATE(B23112,""en"",""zh-CN"")"),"他准备好动手。")</f>
        <v>他准备好动手。</v>
      </c>
    </row>
    <row r="23113">
      <c r="A23113" s="4" t="s">
        <v>29083</v>
      </c>
      <c r="B23113" s="4" t="s">
        <v>29086</v>
      </c>
      <c r="C23113" s="5" t="str">
        <f>IFERROR(__xludf.DUMMYFUNCTION("GOOGLETRANSLATE(B23113,""en"",""zh-CN"")"),"他把手放在体重上。")</f>
        <v>他把手放在体重上。</v>
      </c>
    </row>
    <row r="23114">
      <c r="A23114" s="4" t="s">
        <v>29083</v>
      </c>
      <c r="B23114" s="4" t="s">
        <v>29087</v>
      </c>
      <c r="C23114" s="5" t="str">
        <f>IFERROR(__xludf.DUMMYFUNCTION("GOOGLETRANSLATE(B23114,""en"",""zh-CN"")"),"他准备身体以举重。")</f>
        <v>他准备身体以举重。</v>
      </c>
    </row>
    <row r="23115">
      <c r="A23115" s="4" t="s">
        <v>29083</v>
      </c>
      <c r="B23115" s="4" t="s">
        <v>29088</v>
      </c>
      <c r="C23115" s="5" t="str">
        <f>IFERROR(__xludf.DUMMYFUNCTION("GOOGLETRANSLATE(B23115,""en"",""zh-CN"")"),"他拉起，但减轻了体重，跌倒了。")</f>
        <v>他拉起，但减轻了体重，跌倒了。</v>
      </c>
    </row>
    <row r="23116">
      <c r="A23116" s="4" t="s">
        <v>29083</v>
      </c>
      <c r="B23116" s="4" t="s">
        <v>29089</v>
      </c>
      <c r="C23116" s="5" t="str">
        <f>IFERROR(__xludf.DUMMYFUNCTION("GOOGLETRANSLATE(B23116,""en"",""zh-CN"")"),"另一个竞争对手为他们的胜利而欢欣鼓舞。")</f>
        <v>另一个竞争对手为他们的胜利而欢欣鼓舞。</v>
      </c>
    </row>
    <row r="23117">
      <c r="A23117" s="4" t="s">
        <v>29090</v>
      </c>
      <c r="B23117" s="4" t="s">
        <v>29091</v>
      </c>
      <c r="C23117" s="5" t="str">
        <f>IFERROR(__xludf.DUMMYFUNCTION("GOOGLETRANSLATE(B23117,""en"",""zh-CN"")"),"晴朗的天空显示在一群女孩出现在玩曲棍球比赛之前。")</f>
        <v>晴朗的天空显示在一群女孩出现在玩曲棍球比赛之前。</v>
      </c>
    </row>
    <row r="23118">
      <c r="A23118" s="4" t="s">
        <v>29090</v>
      </c>
      <c r="B23118" s="6" t="s">
        <v>29092</v>
      </c>
      <c r="C23118" s="5" t="str">
        <f>IFERROR(__xludf.DUMMYFUNCTION("GOOGLETRANSLATE(B23118,""en"",""zh-CN"")"),"两支球队在建筑物中相互竞争，因为静止图像在戏剧之间显示。")</f>
        <v>两支球队在建筑物中相互竞争，因为静止图像在戏剧之间显示。</v>
      </c>
    </row>
    <row r="23119">
      <c r="A23119" s="4" t="s">
        <v>29090</v>
      </c>
      <c r="B23119" s="6" t="s">
        <v>29093</v>
      </c>
      <c r="C23119" s="5" t="str">
        <f>IFERROR(__xludf.DUMMYFUNCTION("GOOGLETRANSLATE(B23119,""en"",""zh-CN"")"),"随着一个团队接近目标，一名男性摄影师被显示在目标的角落，然后在视频的末尾出现了一个女孩，这是一个有趣的面孔。")</f>
        <v>随着一个团队接近目标，一名男性摄影师被显示在目标的角落，然后在视频的末尾出现了一个女孩，这是一个有趣的面孔。</v>
      </c>
    </row>
    <row r="23120">
      <c r="A23120" s="4" t="s">
        <v>29094</v>
      </c>
      <c r="B23120" s="4" t="s">
        <v>29095</v>
      </c>
      <c r="C23120" s="5" t="str">
        <f>IFERROR(__xludf.DUMMYFUNCTION("GOOGLETRANSLATE(B23120,""en"",""zh-CN"")"),"两个人在一个人的圈子中间表演胶囊。")</f>
        <v>两个人在一个人的圈子中间表演胶囊。</v>
      </c>
    </row>
    <row r="23121">
      <c r="A23121" s="4" t="s">
        <v>29094</v>
      </c>
      <c r="B23121" s="4" t="s">
        <v>29096</v>
      </c>
      <c r="C23121" s="5" t="str">
        <f>IFERROR(__xludf.DUMMYFUNCTION("GOOGLETRANSLATE(B23121,""en"",""zh-CN"")"),"他们在大家拍手时表演。")</f>
        <v>他们在大家拍手时表演。</v>
      </c>
    </row>
    <row r="23122">
      <c r="A23122" s="4" t="s">
        <v>29094</v>
      </c>
      <c r="B23122" s="4" t="s">
        <v>29097</v>
      </c>
      <c r="C23122" s="5" t="str">
        <f>IFERROR(__xludf.DUMMYFUNCTION("GOOGLETRANSLATE(B23122,""en"",""zh-CN"")"),"他们休息了一小段时间，然后再开始表演。")</f>
        <v>他们休息了一小段时间，然后再开始表演。</v>
      </c>
    </row>
    <row r="23123">
      <c r="A23123" s="4" t="s">
        <v>29094</v>
      </c>
      <c r="B23123" s="4" t="s">
        <v>29098</v>
      </c>
      <c r="C23123" s="5" t="str">
        <f>IFERROR(__xludf.DUMMYFUNCTION("GOOGLETRANSLATE(B23123,""en"",""zh-CN"")"),"人们正在鼓掌节奏。")</f>
        <v>人们正在鼓掌节奏。</v>
      </c>
    </row>
    <row r="23124">
      <c r="A23124" s="4" t="s">
        <v>29094</v>
      </c>
      <c r="B23124" s="4" t="s">
        <v>29099</v>
      </c>
      <c r="C23124" s="5" t="str">
        <f>IFERROR(__xludf.DUMMYFUNCTION("GOOGLETRANSLATE(B23124,""en"",""zh-CN"")"),"这持续了很长时间。")</f>
        <v>这持续了很长时间。</v>
      </c>
    </row>
    <row r="23125">
      <c r="A23125" s="4" t="s">
        <v>29100</v>
      </c>
      <c r="B23125" s="4" t="s">
        <v>29101</v>
      </c>
      <c r="C23125" s="5" t="str">
        <f>IFERROR(__xludf.DUMMYFUNCTION("GOOGLETRANSLATE(B23125,""en"",""zh-CN"")"),"明亮的文字出现在屏幕上。")</f>
        <v>明亮的文字出现在屏幕上。</v>
      </c>
    </row>
    <row r="23126">
      <c r="A23126" s="4" t="s">
        <v>29100</v>
      </c>
      <c r="B23126" s="4" t="s">
        <v>29102</v>
      </c>
      <c r="C23126" s="5" t="str">
        <f>IFERROR(__xludf.DUMMYFUNCTION("GOOGLETRANSLATE(B23126,""en"",""zh-CN"")"),"墙上展示了一件艺术品，并向我们展示了几个涂料的特写镜头。")</f>
        <v>墙上展示了一件艺术品，并向我们展示了几个涂料的特写镜头。</v>
      </c>
    </row>
    <row r="23127">
      <c r="A23127" s="4" t="s">
        <v>29100</v>
      </c>
      <c r="B23127" s="4" t="s">
        <v>29103</v>
      </c>
      <c r="C23127" s="5" t="str">
        <f>IFERROR(__xludf.DUMMYFUNCTION("GOOGLETRANSLATE(B23127,""en"",""zh-CN"")"),"艺术的用户在画廊中散步，看着这幅画。")</f>
        <v>艺术的用户在画廊中散步，看着这幅画。</v>
      </c>
    </row>
    <row r="23128">
      <c r="A23128" s="4" t="s">
        <v>29100</v>
      </c>
      <c r="B23128" s="4" t="s">
        <v>29104</v>
      </c>
      <c r="C23128" s="5" t="str">
        <f>IFERROR(__xludf.DUMMYFUNCTION("GOOGLETRANSLATE(B23128,""en"",""zh-CN"")"),"然后，我们结论一下有人拍照并走开。")</f>
        <v>然后，我们结论一下有人拍照并走开。</v>
      </c>
    </row>
    <row r="23129">
      <c r="A23129" s="4" t="s">
        <v>29105</v>
      </c>
      <c r="B23129" s="4" t="s">
        <v>29106</v>
      </c>
      <c r="C23129" s="5" t="str">
        <f>IFERROR(__xludf.DUMMYFUNCTION("GOOGLETRANSLATE(B23129,""en"",""zh-CN"")"),"一个男人正在展示cross，刀和其他狩猎装备。")</f>
        <v>一个男人正在展示cross，刀和其他狩猎装备。</v>
      </c>
    </row>
    <row r="23130">
      <c r="A23130" s="4" t="s">
        <v>29105</v>
      </c>
      <c r="B23130" s="4" t="s">
        <v>29107</v>
      </c>
      <c r="C23130" s="5" t="str">
        <f>IFERROR(__xludf.DUMMYFUNCTION("GOOGLETRANSLATE(B23130,""en"",""zh-CN"")"),"该男子正在与摄像机交谈，显示狩猎弓。")</f>
        <v>该男子正在与摄像机交谈，显示狩猎弓。</v>
      </c>
    </row>
    <row r="23131">
      <c r="A23131" s="4" t="s">
        <v>29105</v>
      </c>
      <c r="B23131" s="4" t="s">
        <v>29108</v>
      </c>
      <c r="C23131" s="5" t="str">
        <f>IFERROR(__xludf.DUMMYFUNCTION("GOOGLETRANSLATE(B23131,""en"",""zh-CN"")"),"弓详细显示。")</f>
        <v>弓详细显示。</v>
      </c>
    </row>
    <row r="23132">
      <c r="A23132" s="4" t="s">
        <v>29105</v>
      </c>
      <c r="B23132" s="4" t="s">
        <v>29109</v>
      </c>
      <c r="C23132" s="5" t="str">
        <f>IFERROR(__xludf.DUMMYFUNCTION("GOOGLETRANSLATE(B23132,""en"",""zh-CN"")"),"另一个人用狩猎弓在户外展示射击目标。")</f>
        <v>另一个人用狩猎弓在户外展示射击目标。</v>
      </c>
    </row>
    <row r="23133">
      <c r="A23133" s="4" t="s">
        <v>29105</v>
      </c>
      <c r="B23133" s="4" t="s">
        <v>29110</v>
      </c>
      <c r="C23133" s="5" t="str">
        <f>IFERROR(__xludf.DUMMYFUNCTION("GOOGLETRANSLATE(B23133,""en"",""zh-CN"")"),"该男子在室内再次与摄像机交谈，显示狩猎弓。")</f>
        <v>该男子在室内再次与摄像机交谈，显示狩猎弓。</v>
      </c>
    </row>
    <row r="23134">
      <c r="A23134" s="4" t="s">
        <v>29111</v>
      </c>
      <c r="B23134" s="4" t="s">
        <v>29112</v>
      </c>
      <c r="C23134" s="5" t="str">
        <f>IFERROR(__xludf.DUMMYFUNCTION("GOOGLETRANSLATE(B23134,""en"",""zh-CN"")"),"一个人在潜水板上，开始一次跳上板。")</f>
        <v>一个人在潜水板上，开始一次跳上板。</v>
      </c>
    </row>
    <row r="23135">
      <c r="A23135" s="4" t="s">
        <v>29111</v>
      </c>
      <c r="B23135" s="4" t="s">
        <v>29113</v>
      </c>
      <c r="C23135" s="5" t="str">
        <f>IFERROR(__xludf.DUMMYFUNCTION("GOOGLETRANSLATE(B23135,""en"",""zh-CN"")"),"该男子上空，向前滚动。")</f>
        <v>该男子上空，向前滚动。</v>
      </c>
    </row>
    <row r="23136">
      <c r="A23136" s="4" t="s">
        <v>29111</v>
      </c>
      <c r="B23136" s="4" t="s">
        <v>29114</v>
      </c>
      <c r="C23136" s="5" t="str">
        <f>IFERROR(__xludf.DUMMYFUNCTION("GOOGLETRANSLATE(B23136,""en"",""zh-CN"")"),"然后，该男子开始从跳高的顶部下降到水中。")</f>
        <v>然后，该男子开始从跳高的顶部下降到水中。</v>
      </c>
    </row>
    <row r="23137">
      <c r="A23137" s="4" t="s">
        <v>29111</v>
      </c>
      <c r="B23137" s="4" t="s">
        <v>29115</v>
      </c>
      <c r="C23137" s="5" t="str">
        <f>IFERROR(__xludf.DUMMYFUNCTION("GOOGLETRANSLATE(B23137,""en"",""zh-CN"")"),"该男子在溅出时降落在水中，然后移动回到表面。")</f>
        <v>该男子在溅出时降落在水中，然后移动回到表面。</v>
      </c>
    </row>
    <row r="23138">
      <c r="A23138" s="4" t="s">
        <v>29116</v>
      </c>
      <c r="B23138" s="6" t="s">
        <v>29117</v>
      </c>
      <c r="C23138" s="5" t="str">
        <f>IFERROR(__xludf.DUMMYFUNCTION("GOOGLETRANSLATE(B23138,""en"",""zh-CN"")"),"蓝色外套的那个戴着太阳镜的女人将圆形救生合在雪上推了，然后跳上了它。")</f>
        <v>蓝色外套的那个戴着太阳镜的女人将圆形救生合在雪上推了，然后跳上了它。</v>
      </c>
    </row>
    <row r="23139">
      <c r="A23139" s="4" t="s">
        <v>29116</v>
      </c>
      <c r="B23139" s="6" t="s">
        <v>29118</v>
      </c>
      <c r="C23139" s="5" t="str">
        <f>IFERROR(__xludf.DUMMYFUNCTION("GOOGLETRANSLATE(B23139,""en"",""zh-CN"")"),"Lifebuoy继续在雪地上滑动，女人看着相机，她经过了橙色的旗帜，几个站在小径侧面的人。")</f>
        <v>Lifebuoy继续在雪地上滑动，女人看着相机，她经过了橙色的旗帜，几个站在小径侧面的人。</v>
      </c>
    </row>
    <row r="23140">
      <c r="A23140" s="4" t="s">
        <v>29119</v>
      </c>
      <c r="B23140" s="4" t="s">
        <v>1251</v>
      </c>
      <c r="C23140" s="5" t="str">
        <f>IFERROR(__xludf.DUMMYFUNCTION("GOOGLETRANSLATE(B23140,""en"",""zh-CN"")"),"显示了剪辑的信用。")</f>
        <v>显示了剪辑的信用。</v>
      </c>
    </row>
    <row r="23141">
      <c r="A23141" s="4" t="s">
        <v>29119</v>
      </c>
      <c r="B23141" s="4" t="s">
        <v>29120</v>
      </c>
      <c r="C23141" s="5" t="str">
        <f>IFERROR(__xludf.DUMMYFUNCTION("GOOGLETRANSLATE(B23141,""en"",""zh-CN"")"),"一个家伙在示意时说话。")</f>
        <v>一个家伙在示意时说话。</v>
      </c>
    </row>
    <row r="23142">
      <c r="A23142" s="4" t="s">
        <v>29119</v>
      </c>
      <c r="B23142" s="4" t="s">
        <v>29121</v>
      </c>
      <c r="C23142" s="5" t="str">
        <f>IFERROR(__xludf.DUMMYFUNCTION("GOOGLETRANSLATE(B23142,""en"",""zh-CN"")"),"显示了制作盘子的成分。")</f>
        <v>显示了制作盘子的成分。</v>
      </c>
    </row>
    <row r="23143">
      <c r="A23143" s="4" t="s">
        <v>29119</v>
      </c>
      <c r="B23143" s="4" t="s">
        <v>29122</v>
      </c>
      <c r="C23143" s="5" t="str">
        <f>IFERROR(__xludf.DUMMYFUNCTION("GOOGLETRANSLATE(B23143,""en"",""zh-CN"")"),"那家伙将黄油，油和干成分放入锅中。")</f>
        <v>那家伙将黄油，油和干成分放入锅中。</v>
      </c>
    </row>
    <row r="23144">
      <c r="A23144" s="4" t="s">
        <v>29119</v>
      </c>
      <c r="B23144" s="4" t="s">
        <v>29123</v>
      </c>
      <c r="C23144" s="5" t="str">
        <f>IFERROR(__xludf.DUMMYFUNCTION("GOOGLETRANSLATE(B23144,""en"",""zh-CN"")"),"这个家伙在锅中添加了面食。")</f>
        <v>这个家伙在锅中添加了面食。</v>
      </c>
    </row>
    <row r="23145">
      <c r="A23145" s="4" t="s">
        <v>29119</v>
      </c>
      <c r="B23145" s="4" t="s">
        <v>573</v>
      </c>
      <c r="C23145" s="5" t="str">
        <f>IFERROR(__xludf.DUMMYFUNCTION("GOOGLETRANSLATE(B23145,""en"",""zh-CN"")"),"显示了视频的积分。")</f>
        <v>显示了视频的积分。</v>
      </c>
    </row>
    <row r="23146">
      <c r="A23146" s="4" t="s">
        <v>29124</v>
      </c>
      <c r="B23146" s="6" t="s">
        <v>29125</v>
      </c>
      <c r="C23146" s="5" t="str">
        <f>IFERROR(__xludf.DUMMYFUNCTION("GOOGLETRANSLATE(B23146,""en"",""zh-CN"")"),"当一个人击球时，看到一群人站在院子里，另一个人近距离观看。")</f>
        <v>当一个人击球时，看到一群人站在院子里，另一个人近距离观看。</v>
      </c>
    </row>
    <row r="23147">
      <c r="A23147" s="4" t="s">
        <v>29124</v>
      </c>
      <c r="B23147" s="4" t="s">
        <v>29126</v>
      </c>
      <c r="C23147" s="5" t="str">
        <f>IFERROR(__xludf.DUMMYFUNCTION("GOOGLETRANSLATE(B23147,""en"",""zh-CN"")"),"另一个男人走进框架，击球，他身后的其他人继续打球。")</f>
        <v>另一个男人走进框架，击球，他身后的其他人继续打球。</v>
      </c>
    </row>
    <row r="23148">
      <c r="A23148" s="4" t="s">
        <v>29127</v>
      </c>
      <c r="B23148" s="4" t="s">
        <v>29128</v>
      </c>
      <c r="C23148" s="5" t="str">
        <f>IFERROR(__xludf.DUMMYFUNCTION("GOOGLETRANSLATE(B23148,""en"",""zh-CN"")"),"一个摄像头在屋顶上摇晃，显示了几个人在工作，一个男人正在接受采访。")</f>
        <v>一个摄像头在屋顶上摇晃，显示了几个人在工作，一个男人正在接受采访。</v>
      </c>
    </row>
    <row r="23149">
      <c r="A23149" s="4" t="s">
        <v>29127</v>
      </c>
      <c r="B23149" s="4" t="s">
        <v>29129</v>
      </c>
      <c r="C23149" s="5" t="str">
        <f>IFERROR(__xludf.DUMMYFUNCTION("GOOGLETRANSLATE(B23149,""en"",""zh-CN"")"),"一个人喷出屋顶，显示该产品使用了几次和屋顶的顶部。")</f>
        <v>一个人喷出屋顶，显示该产品使用了几次和屋顶的顶部。</v>
      </c>
    </row>
    <row r="23150">
      <c r="A23150" s="4" t="s">
        <v>29127</v>
      </c>
      <c r="B23150" s="4" t="s">
        <v>29130</v>
      </c>
      <c r="C23150" s="5" t="str">
        <f>IFERROR(__xludf.DUMMYFUNCTION("GOOGLETRANSLATE(B23150,""en"",""zh-CN"")"),"另一个男人接受了采访，并显示更多的男人在屋顶上工作。")</f>
        <v>另一个男人接受了采访，并显示更多的男人在屋顶上工作。</v>
      </c>
    </row>
    <row r="23151">
      <c r="A23151" s="4" t="s">
        <v>29131</v>
      </c>
      <c r="B23151" s="4" t="s">
        <v>29132</v>
      </c>
      <c r="C23151" s="5" t="str">
        <f>IFERROR(__xludf.DUMMYFUNCTION("GOOGLETRANSLATE(B23151,""en"",""zh-CN"")"),"一个人把衣服放在桶里，然后加入洗涤剂和水。")</f>
        <v>一个人把衣服放在桶里，然后加入洗涤剂和水。</v>
      </c>
    </row>
    <row r="23152">
      <c r="A23152" s="4" t="s">
        <v>29131</v>
      </c>
      <c r="B23152" s="4" t="s">
        <v>29133</v>
      </c>
      <c r="C23152" s="5" t="str">
        <f>IFERROR(__xludf.DUMMYFUNCTION("GOOGLETRANSLATE(B23152,""en"",""zh-CN"")"),"然后，该男子用手洗布，然后倒水并冲洗几次。")</f>
        <v>然后，该男子用手洗布，然后倒水并冲洗几次。</v>
      </c>
    </row>
    <row r="23153">
      <c r="A23153" s="4" t="s">
        <v>29131</v>
      </c>
      <c r="B23153" s="4" t="s">
        <v>29134</v>
      </c>
      <c r="C23153" s="5" t="str">
        <f>IFERROR(__xludf.DUMMYFUNCTION("GOOGLETRANSLATE(B23153,""en"",""zh-CN"")"),"接下来，该人携带服装悬挂在绳子上并干燥。")</f>
        <v>接下来，该人携带服装悬挂在绳子上并干燥。</v>
      </c>
    </row>
    <row r="23154">
      <c r="A23154" s="4" t="s">
        <v>29135</v>
      </c>
      <c r="B23154" s="4" t="s">
        <v>29136</v>
      </c>
      <c r="C23154" s="5" t="str">
        <f>IFERROR(__xludf.DUMMYFUNCTION("GOOGLETRANSLATE(B23154,""en"",""zh-CN"")"),"看到一条大河，接着是一个骑着管子的人。")</f>
        <v>看到一条大河，接着是一个骑着管子的人。</v>
      </c>
    </row>
    <row r="23155">
      <c r="A23155" s="4" t="s">
        <v>29135</v>
      </c>
      <c r="B23155" s="4" t="s">
        <v>29137</v>
      </c>
      <c r="C23155" s="5" t="str">
        <f>IFERROR(__xludf.DUMMYFUNCTION("GOOGLETRANSLATE(B23155,""en"",""zh-CN"")"),"还看到另一个人骑在管子里。")</f>
        <v>还看到另一个人骑在管子里。</v>
      </c>
    </row>
    <row r="23156">
      <c r="A23156" s="4" t="s">
        <v>29135</v>
      </c>
      <c r="B23156" s="4" t="s">
        <v>29138</v>
      </c>
      <c r="C23156" s="5" t="str">
        <f>IFERROR(__xludf.DUMMYFUNCTION("GOOGLETRANSLATE(B23156,""en"",""zh-CN"")"),"两人一起沿着河边骑行，经过坐在河边的其他人。")</f>
        <v>两人一起沿着河边骑行，经过坐在河边的其他人。</v>
      </c>
    </row>
    <row r="23157">
      <c r="A23157" s="4" t="s">
        <v>29139</v>
      </c>
      <c r="B23157" s="4" t="s">
        <v>29140</v>
      </c>
      <c r="C23157" s="5" t="str">
        <f>IFERROR(__xludf.DUMMYFUNCTION("GOOGLETRANSLATE(B23157,""en"",""zh-CN"")"),"看到一个男人在手中握着大手风琴时在相机上说话。")</f>
        <v>看到一个男人在手中握着大手风琴时在相机上说话。</v>
      </c>
    </row>
    <row r="23158">
      <c r="A23158" s="4" t="s">
        <v>29139</v>
      </c>
      <c r="B23158" s="6" t="s">
        <v>29141</v>
      </c>
      <c r="C23158" s="5" t="str">
        <f>IFERROR(__xludf.DUMMYFUNCTION("GOOGLETRANSLATE(B23158,""en"",""zh-CN"")"),"然后，该男子演示了如何在上下移动手动时正确弹奏乐器。")</f>
        <v>然后，该男子演示了如何在上下移动手动时正确弹奏乐器。</v>
      </c>
    </row>
    <row r="23159">
      <c r="A23159" s="4" t="s">
        <v>29142</v>
      </c>
      <c r="B23159" s="4" t="s">
        <v>29143</v>
      </c>
      <c r="C23159" s="5" t="str">
        <f>IFERROR(__xludf.DUMMYFUNCTION("GOOGLETRANSLATE(B23159,""en"",""zh-CN"")"),"一个白头发的男人坐在一把直立的钢琴上，当人们走过时，开始在大厅里弹奏。")</f>
        <v>一个白头发的男人坐在一把直立的钢琴上，当人们走过时，开始在大厅里弹奏。</v>
      </c>
    </row>
    <row r="23160">
      <c r="A23160" s="4" t="s">
        <v>29142</v>
      </c>
      <c r="B23160" s="4" t="s">
        <v>29144</v>
      </c>
      <c r="C23160" s="5" t="str">
        <f>IFERROR(__xludf.DUMMYFUNCTION("GOOGLETRANSLATE(B23160,""en"",""zh-CN"")"),"摄影师在演奏时放大了男人的手，并放大了。")</f>
        <v>摄影师在演奏时放大了男人的手，并放大了。</v>
      </c>
    </row>
    <row r="23161">
      <c r="A23161" s="4" t="s">
        <v>29145</v>
      </c>
      <c r="B23161" s="6" t="s">
        <v>29146</v>
      </c>
      <c r="C23161" s="5" t="str">
        <f>IFERROR(__xludf.DUMMYFUNCTION("GOOGLETRANSLATE(B23161,""en"",""zh-CN"")"),"一个简介导致一个穿着圣诞老人服装的高个子男人，在人之间的一条长街上滑冰。")</f>
        <v>一个简介导致一个穿着圣诞老人服装的高个子男人，在人之间的一条长街上滑冰。</v>
      </c>
    </row>
    <row r="23162">
      <c r="A23162" s="4" t="s">
        <v>29145</v>
      </c>
      <c r="B23162" s="6" t="s">
        <v>29147</v>
      </c>
      <c r="C23162" s="5" t="str">
        <f>IFERROR(__xludf.DUMMYFUNCTION("GOOGLETRANSLATE(B23162,""en"",""zh-CN"")"),"相机跟随他在城市周围骑行，并在汽车和人身上进行各种技巧和操纵。")</f>
        <v>相机跟随他在城市周围骑行，并在汽车和人身上进行各种技巧和操纵。</v>
      </c>
    </row>
    <row r="23163">
      <c r="A23163" s="4" t="s">
        <v>29148</v>
      </c>
      <c r="B23163" s="4" t="s">
        <v>29149</v>
      </c>
      <c r="C23163" s="5" t="str">
        <f>IFERROR(__xludf.DUMMYFUNCTION("GOOGLETRANSLATE(B23163,""en"",""zh-CN"")"),"两个男人走过足球桌，一个人数数在侧面。")</f>
        <v>两个男人走过足球桌，一个人数数在侧面。</v>
      </c>
    </row>
    <row r="23164">
      <c r="A23164" s="4" t="s">
        <v>29148</v>
      </c>
      <c r="B23164" s="4" t="s">
        <v>29150</v>
      </c>
      <c r="C23164" s="5" t="str">
        <f>IFERROR(__xludf.DUMMYFUNCTION("GOOGLETRANSLATE(B23164,""en"",""zh-CN"")"),"玩家在桌子上踢球时扭曲，推动杆子。")</f>
        <v>玩家在桌子上踢球时扭曲，推动杆子。</v>
      </c>
    </row>
    <row r="23165">
      <c r="A23165" s="4" t="s">
        <v>29148</v>
      </c>
      <c r="B23165" s="4" t="s">
        <v>29151</v>
      </c>
      <c r="C23165" s="5" t="str">
        <f>IFERROR(__xludf.DUMMYFUNCTION("GOOGLETRANSLATE(B23165,""en"",""zh-CN"")"),"相机的人在他们身后拍照。")</f>
        <v>相机的人在他们身后拍照。</v>
      </c>
    </row>
    <row r="23166">
      <c r="A23166" s="4" t="s">
        <v>29152</v>
      </c>
      <c r="B23166" s="4" t="s">
        <v>29153</v>
      </c>
      <c r="C23166" s="5" t="str">
        <f>IFERROR(__xludf.DUMMYFUNCTION("GOOGLETRANSLATE(B23166,""en"",""zh-CN"")"),"观众观看时，有几名男子被显示出保龄球。")</f>
        <v>观众观看时，有几名男子被显示出保龄球。</v>
      </c>
    </row>
    <row r="23167">
      <c r="A23167" s="4" t="s">
        <v>29152</v>
      </c>
      <c r="B23167" s="4" t="s">
        <v>29154</v>
      </c>
      <c r="C23167" s="5" t="str">
        <f>IFERROR(__xludf.DUMMYFUNCTION("GOOGLETRANSLATE(B23167,""en"",""zh-CN"")"),"投球手依次一次，一次。")</f>
        <v>投球手依次一次，一次。</v>
      </c>
    </row>
    <row r="23168">
      <c r="A23168" s="4" t="s">
        <v>29152</v>
      </c>
      <c r="B23168" s="4" t="s">
        <v>29155</v>
      </c>
      <c r="C23168" s="5" t="str">
        <f>IFERROR(__xludf.DUMMYFUNCTION("GOOGLETRANSLATE(B23168,""en"",""zh-CN"")"),"球员和观众为其中一位球员加油打气。")</f>
        <v>球员和观众为其中一位球员加油打气。</v>
      </c>
    </row>
    <row r="23169">
      <c r="A23169" s="4" t="s">
        <v>29156</v>
      </c>
      <c r="B23169" s="4" t="s">
        <v>29157</v>
      </c>
      <c r="C23169" s="5" t="str">
        <f>IFERROR(__xludf.DUMMYFUNCTION("GOOGLETRANSLATE(B23169,""en"",""zh-CN"")"),"一个人在树上使用一对树篱修剪器。")</f>
        <v>一个人在树上使用一对树篱修剪器。</v>
      </c>
    </row>
    <row r="23170">
      <c r="A23170" s="4" t="s">
        <v>29156</v>
      </c>
      <c r="B23170" s="4" t="s">
        <v>29158</v>
      </c>
      <c r="C23170" s="5" t="str">
        <f>IFERROR(__xludf.DUMMYFUNCTION("GOOGLETRANSLATE(B23170,""en"",""zh-CN"")"),"他正在和镜头说话。")</f>
        <v>他正在和镜头说话。</v>
      </c>
    </row>
    <row r="23171">
      <c r="A23171" s="4" t="s">
        <v>29156</v>
      </c>
      <c r="B23171" s="4" t="s">
        <v>29159</v>
      </c>
      <c r="C23171" s="5" t="str">
        <f>IFERROR(__xludf.DUMMYFUNCTION("GOOGLETRANSLATE(B23171,""en"",""zh-CN"")"),"他用剪剪下树木。")</f>
        <v>他用剪剪下树木。</v>
      </c>
    </row>
    <row r="23172">
      <c r="A23172" s="4" t="s">
        <v>29160</v>
      </c>
      <c r="B23172" s="4" t="s">
        <v>29161</v>
      </c>
      <c r="C23172" s="5" t="str">
        <f>IFERROR(__xludf.DUMMYFUNCTION("GOOGLETRANSLATE(B23172,""en"",""zh-CN"")"),"一个人在硬地板上收集拖把和清洁材料。")</f>
        <v>一个人在硬地板上收集拖把和清洁材料。</v>
      </c>
    </row>
    <row r="23173">
      <c r="A23173" s="4" t="s">
        <v>29160</v>
      </c>
      <c r="B23173" s="4" t="s">
        <v>29162</v>
      </c>
      <c r="C23173" s="5" t="str">
        <f>IFERROR(__xludf.DUMMYFUNCTION("GOOGLETRANSLATE(B23173,""en"",""zh-CN"")"),"该人使用灰尘拖把清洁硬地板。")</f>
        <v>该人使用灰尘拖把清洁硬地板。</v>
      </c>
    </row>
    <row r="23174">
      <c r="A23174" s="4" t="s">
        <v>29160</v>
      </c>
      <c r="B23174" s="6" t="s">
        <v>29163</v>
      </c>
      <c r="C23174" s="5" t="str">
        <f>IFERROR(__xludf.DUMMYFUNCTION("GOOGLETRANSLATE(B23174,""en"",""zh-CN"")"),"然后，该人将一杯洗涤剂放在水中，然后弄湿一块布，然后固定在手柄上以擦地板。")</f>
        <v>然后，该人将一杯洗涤剂放在水中，然后弄湿一块布，然后固定在手柄上以擦地板。</v>
      </c>
    </row>
    <row r="23175">
      <c r="A23175" s="4" t="s">
        <v>29160</v>
      </c>
      <c r="B23175" s="4" t="s">
        <v>29164</v>
      </c>
      <c r="C23175" s="5" t="str">
        <f>IFERROR(__xludf.DUMMYFUNCTION("GOOGLETRANSLATE(B23175,""en"",""zh-CN"")"),"该人使用带有特殊溶液的布去除地板上的污渍。")</f>
        <v>该人使用带有特殊溶液的布去除地板上的污渍。</v>
      </c>
    </row>
    <row r="23176">
      <c r="A23176" s="4" t="s">
        <v>29165</v>
      </c>
      <c r="B23176" s="6" t="s">
        <v>29166</v>
      </c>
      <c r="C23176" s="5" t="str">
        <f>IFERROR(__xludf.DUMMYFUNCTION("GOOGLETRANSLATE(B23176,""en"",""zh-CN"")"),"一个人在鼓上拿着两根棍子，一根棍子握着一只手，另一只棍子握着他的脚，然后一个人用一只手演奏，鼓掉了。")</f>
        <v>一个人在鼓上拿着两根棍子，一根棍子握着一只手，另一只棍子握着他的脚，然后一个人用一只手演奏，鼓掉了。</v>
      </c>
    </row>
    <row r="23177">
      <c r="A23177" s="4" t="s">
        <v>29165</v>
      </c>
      <c r="B23177" s="4" t="s">
        <v>29167</v>
      </c>
      <c r="C23177" s="5" t="str">
        <f>IFERROR(__xludf.DUMMYFUNCTION("GOOGLETRANSLATE(B23177,""en"",""zh-CN"")"),"该人用手和脚玩耍，脸上出现了大猩猩。")</f>
        <v>该人用手和脚玩耍，脸上出现了大猩猩。</v>
      </c>
    </row>
    <row r="23178">
      <c r="A23178" s="4" t="s">
        <v>29165</v>
      </c>
      <c r="B23178" s="4" t="s">
        <v>29168</v>
      </c>
      <c r="C23178" s="5" t="str">
        <f>IFERROR(__xludf.DUMMYFUNCTION("GOOGLETRANSLATE(B23178,""en"",""zh-CN"")"),"然后，该人将芥末放在一个鼓中，然后将一个鸡蛋放在另一个鼓上和鼓上。")</f>
        <v>然后，该人将芥末放在一个鼓中，然后将一个鸡蛋放在另一个鼓上和鼓上。</v>
      </c>
    </row>
    <row r="23179">
      <c r="A23179" s="4" t="s">
        <v>29165</v>
      </c>
      <c r="B23179" s="4" t="s">
        <v>29169</v>
      </c>
      <c r="C23179" s="5" t="str">
        <f>IFERROR(__xludf.DUMMYFUNCTION("GOOGLETRANSLATE(B23179,""en"",""zh-CN"")"),"之后，该人放了一个玉米饼和鼓，然后油炸和鸡蛋。")</f>
        <v>之后，该人放了一个玉米饼和鼓，然后油炸和鸡蛋。</v>
      </c>
    </row>
    <row r="23180">
      <c r="A23180" s="4" t="s">
        <v>29165</v>
      </c>
      <c r="B23180" s="4" t="s">
        <v>29170</v>
      </c>
      <c r="C23180" s="5" t="str">
        <f>IFERROR(__xludf.DUMMYFUNCTION("GOOGLETRANSLATE(B23180,""en"",""zh-CN"")"),"接下来，这个人摧毁了鼓。")</f>
        <v>接下来，这个人摧毁了鼓。</v>
      </c>
    </row>
    <row r="23181">
      <c r="A23181" s="4" t="s">
        <v>29171</v>
      </c>
      <c r="B23181" s="6" t="s">
        <v>29172</v>
      </c>
      <c r="C23181" s="5" t="str">
        <f>IFERROR(__xludf.DUMMYFUNCTION("GOOGLETRANSLATE(B23181,""en"",""zh-CN"")"),"视频始于一个人在滑板上做技巧的几张照片，而许多人在侧面看着他。")</f>
        <v>视频始于一个人在滑板上做技巧的几张照片，而许多人在侧面看着他。</v>
      </c>
    </row>
    <row r="23182">
      <c r="A23182" s="4" t="s">
        <v>29171</v>
      </c>
      <c r="B23182" s="6" t="s">
        <v>29173</v>
      </c>
      <c r="C23182" s="5" t="str">
        <f>IFERROR(__xludf.DUMMYFUNCTION("GOOGLETRANSLATE(B23182,""en"",""zh-CN"")"),"他尝试了更多的技巧，这些技巧无法使他登陆董事会，并且每次都会在碗里走来走去。")</f>
        <v>他尝试了更多的技巧，这些技巧无法使他登陆董事会，并且每次都会在碗里走来走去。</v>
      </c>
    </row>
    <row r="23183">
      <c r="A23183" s="4" t="s">
        <v>29174</v>
      </c>
      <c r="B23183" s="6" t="s">
        <v>29175</v>
      </c>
      <c r="C23183" s="5" t="str">
        <f>IFERROR(__xludf.DUMMYFUNCTION("GOOGLETRANSLATE(B23183,""en"",""zh-CN"")"),"看到一个女人站在一个舞台上，显示了一个灯，并开始表演舞蹈例程。")</f>
        <v>看到一个女人站在一个舞台上，显示了一个灯，并开始表演舞蹈例程。</v>
      </c>
    </row>
    <row r="23184">
      <c r="A23184" s="4" t="s">
        <v>29174</v>
      </c>
      <c r="B23184" s="4" t="s">
        <v>29176</v>
      </c>
      <c r="C23184" s="5" t="str">
        <f>IFERROR(__xludf.DUMMYFUNCTION("GOOGLETRANSLATE(B23184,""en"",""zh-CN"")"),"在女人身上看到的光线在她的腹部舞蹈舞台上被带到她身上。")</f>
        <v>在女人身上看到的光线在她的腹部舞蹈舞台上被带到她身上。</v>
      </c>
    </row>
    <row r="23185">
      <c r="A23185" s="4" t="s">
        <v>29174</v>
      </c>
      <c r="B23185" s="6" t="s">
        <v>29177</v>
      </c>
      <c r="C23185" s="5" t="str">
        <f>IFERROR(__xludf.DUMMYFUNCTION("GOOGLETRANSLATE(B23185,""en"",""zh-CN"")"),"舞台再次变黑，女人继续在舞台上跳舞并举起姿势。")</f>
        <v>舞台再次变黑，女人继续在舞台上跳舞并举起姿势。</v>
      </c>
    </row>
    <row r="23186">
      <c r="A23186" s="4" t="s">
        <v>29178</v>
      </c>
      <c r="B23186" s="4" t="s">
        <v>29179</v>
      </c>
      <c r="C23186" s="5" t="str">
        <f>IFERROR(__xludf.DUMMYFUNCTION("GOOGLETRANSLATE(B23186,""en"",""zh-CN"")"),"一个孩子将雪地塞入院子中，然后将其扔进车道。")</f>
        <v>一个孩子将雪地塞入院子中，然后将其扔进车道。</v>
      </c>
    </row>
    <row r="23187">
      <c r="A23187" s="4" t="s">
        <v>29178</v>
      </c>
      <c r="B23187" s="4" t="s">
        <v>29180</v>
      </c>
      <c r="C23187" s="5" t="str">
        <f>IFERROR(__xludf.DUMMYFUNCTION("GOOGLETRANSLATE(B23187,""en"",""zh-CN"")"),"那个女孩把铲子和铲在雪中。")</f>
        <v>那个女孩把铲子和铲在雪中。</v>
      </c>
    </row>
    <row r="23188">
      <c r="A23188" s="4" t="s">
        <v>29178</v>
      </c>
      <c r="B23188" s="4" t="s">
        <v>29181</v>
      </c>
      <c r="C23188" s="5" t="str">
        <f>IFERROR(__xludf.DUMMYFUNCTION("GOOGLETRANSLATE(B23188,""en"",""zh-CN"")"),"孩子在院子里走到她的家人。")</f>
        <v>孩子在院子里走到她的家人。</v>
      </c>
    </row>
    <row r="23189">
      <c r="A23189" s="4" t="s">
        <v>29182</v>
      </c>
      <c r="B23189" s="4" t="s">
        <v>29183</v>
      </c>
      <c r="C23189" s="5" t="str">
        <f>IFERROR(__xludf.DUMMYFUNCTION("GOOGLETRANSLATE(B23189,""en"",""zh-CN"")"),"几个人在牛仔竞技比赛中骑马。")</f>
        <v>几个人在牛仔竞技比赛中骑马。</v>
      </c>
    </row>
    <row r="23190">
      <c r="A23190" s="4" t="s">
        <v>29182</v>
      </c>
      <c r="B23190" s="4" t="s">
        <v>29184</v>
      </c>
      <c r="C23190" s="5" t="str">
        <f>IFERROR(__xludf.DUMMYFUNCTION("GOOGLETRANSLATE(B23190,""en"",""zh-CN"")"),"一个人从大门出来，绳子了。")</f>
        <v>一个人从大门出来，绳子了。</v>
      </c>
    </row>
    <row r="23191">
      <c r="A23191" s="4" t="s">
        <v>29182</v>
      </c>
      <c r="B23191" s="4" t="s">
        <v>29185</v>
      </c>
      <c r="C23191" s="5" t="str">
        <f>IFERROR(__xludf.DUMMYFUNCTION("GOOGLETRANSLATE(B23191,""en"",""zh-CN"")"),"小牛被绳子扎成到位时，小牛掉到了地上。")</f>
        <v>小牛被绳子扎成到位时，小牛掉到了地上。</v>
      </c>
    </row>
    <row r="23192">
      <c r="A23192" s="4" t="s">
        <v>29182</v>
      </c>
      <c r="B23192" s="4" t="s">
        <v>29186</v>
      </c>
      <c r="C23192" s="5" t="str">
        <f>IFERROR(__xludf.DUMMYFUNCTION("GOOGLETRANSLATE(B23192,""en"",""zh-CN"")"),"他试图站起来，但另一个男人抓住了他。")</f>
        <v>他试图站起来，但另一个男人抓住了他。</v>
      </c>
    </row>
    <row r="23193">
      <c r="A23193" s="4" t="s">
        <v>29187</v>
      </c>
      <c r="B23193" s="4" t="s">
        <v>29188</v>
      </c>
      <c r="C23193" s="5" t="str">
        <f>IFERROR(__xludf.DUMMYFUNCTION("GOOGLETRANSLATE(B23193,""en"",""zh-CN"")"),"许多人穿着红色救生衣，坐在公共汽车上并拿着木筏。")</f>
        <v>许多人穿着红色救生衣，坐在公共汽车上并拿着木筏。</v>
      </c>
    </row>
    <row r="23194">
      <c r="A23194" s="4" t="s">
        <v>29187</v>
      </c>
      <c r="B23194" s="4" t="s">
        <v>29189</v>
      </c>
      <c r="C23194" s="5" t="str">
        <f>IFERROR(__xludf.DUMMYFUNCTION("GOOGLETRANSLATE(B23194,""en"",""zh-CN"")"),"人们在河里划水中。")</f>
        <v>人们在河里划水中。</v>
      </c>
    </row>
    <row r="23195">
      <c r="A23195" s="4" t="s">
        <v>29190</v>
      </c>
      <c r="B23195" s="4" t="s">
        <v>29191</v>
      </c>
      <c r="C23195" s="5" t="str">
        <f>IFERROR(__xludf.DUMMYFUNCTION("GOOGLETRANSLATE(B23195,""en"",""zh-CN"")"),"然后，男运动员弓举起手臂，然后走到两极。")</f>
        <v>然后，男运动员弓举起手臂，然后走到两极。</v>
      </c>
    </row>
    <row r="23196">
      <c r="A23196" s="4" t="s">
        <v>29190</v>
      </c>
      <c r="B23196" s="6" t="s">
        <v>29192</v>
      </c>
      <c r="C23196" s="5" t="str">
        <f>IFERROR(__xludf.DUMMYFUNCTION("GOOGLETRANSLATE(B23196,""en"",""zh-CN"")"),"运动员跳到杆上，在两极上保持平衡，站在他的手臂上，然后跌落并旋转。")</f>
        <v>运动员跳到杆上，在两极上保持平衡，站在他的手臂上，然后跌落并旋转。</v>
      </c>
    </row>
    <row r="23197">
      <c r="A23197" s="4" t="s">
        <v>29190</v>
      </c>
      <c r="B23197" s="6" t="s">
        <v>29193</v>
      </c>
      <c r="C23197" s="5" t="str">
        <f>IFERROR(__xludf.DUMMYFUNCTION("GOOGLETRANSLATE(B23197,""en"",""zh-CN"")"),"当运动员用他的电话号码完成时，他从杆子跳下来，落在垫子上。")</f>
        <v>当运动员用他的电话号码完成时，他从杆子跳下来，落在垫子上。</v>
      </c>
    </row>
    <row r="23198">
      <c r="A23198" s="4" t="s">
        <v>29194</v>
      </c>
      <c r="B23198" s="4" t="s">
        <v>29195</v>
      </c>
      <c r="C23198" s="5" t="str">
        <f>IFERROR(__xludf.DUMMYFUNCTION("GOOGLETRANSLATE(B23198,""en"",""zh-CN"")"),"一排鼓手站在乐团前。")</f>
        <v>一排鼓手站在乐团前。</v>
      </c>
    </row>
    <row r="23199">
      <c r="A23199" s="4" t="s">
        <v>29194</v>
      </c>
      <c r="B23199" s="4" t="s">
        <v>29196</v>
      </c>
      <c r="C23199" s="5" t="str">
        <f>IFERROR(__xludf.DUMMYFUNCTION("GOOGLETRANSLATE(B23199,""en"",""zh-CN"")"),"鼓手将鼓槌握在脸前。")</f>
        <v>鼓手将鼓槌握在脸前。</v>
      </c>
    </row>
    <row r="23200">
      <c r="A23200" s="4" t="s">
        <v>29194</v>
      </c>
      <c r="B23200" s="4" t="s">
        <v>29197</v>
      </c>
      <c r="C23200" s="5" t="str">
        <f>IFERROR(__xludf.DUMMYFUNCTION("GOOGLETRANSLATE(B23200,""en"",""zh-CN"")"),"他们每个人都打鼓。")</f>
        <v>他们每个人都打鼓。</v>
      </c>
    </row>
    <row r="23201">
      <c r="A23201" s="4" t="s">
        <v>29194</v>
      </c>
      <c r="B23201" s="4" t="s">
        <v>29198</v>
      </c>
      <c r="C23201" s="5" t="str">
        <f>IFERROR(__xludf.DUMMYFUNCTION("GOOGLETRANSLATE(B23201,""en"",""zh-CN"")"),"每条音符之后，鼓手将鼓槌抬回脸前。")</f>
        <v>每条音符之后，鼓手将鼓槌抬回脸前。</v>
      </c>
    </row>
    <row r="23202">
      <c r="A23202" s="4" t="s">
        <v>29199</v>
      </c>
      <c r="B23202" s="4" t="s">
        <v>29200</v>
      </c>
      <c r="C23202" s="5" t="str">
        <f>IFERROR(__xludf.DUMMYFUNCTION("GOOGLETRANSLATE(B23202,""en"",""zh-CN"")"),"看到一个男人站在梯子上，在镜头上说话。")</f>
        <v>看到一个男人站在梯子上，在镜头上说话。</v>
      </c>
    </row>
    <row r="23203">
      <c r="A23203" s="4" t="s">
        <v>29199</v>
      </c>
      <c r="B23203" s="4" t="s">
        <v>29201</v>
      </c>
      <c r="C23203" s="5" t="str">
        <f>IFERROR(__xludf.DUMMYFUNCTION("GOOGLETRANSLATE(B23203,""en"",""zh-CN"")"),"他保留了各种工具，并开始将它们拼凑在一起。")</f>
        <v>他保留了各种工具，并开始将它们拼凑在一起。</v>
      </c>
    </row>
    <row r="23204">
      <c r="A23204" s="4" t="s">
        <v>29199</v>
      </c>
      <c r="B23204" s="4" t="s">
        <v>29202</v>
      </c>
      <c r="C23204" s="5" t="str">
        <f>IFERROR(__xludf.DUMMYFUNCTION("GOOGLETRANSLATE(B23204,""en"",""zh-CN"")"),"然后，他使用工具清理窗户并拧紧梯子。")</f>
        <v>然后，他使用工具清理窗户并拧紧梯子。</v>
      </c>
    </row>
    <row r="23205">
      <c r="A23205" s="4" t="s">
        <v>29203</v>
      </c>
      <c r="B23205" s="4" t="s">
        <v>29204</v>
      </c>
      <c r="C23205" s="5" t="str">
        <f>IFERROR(__xludf.DUMMYFUNCTION("GOOGLETRANSLATE(B23205,""en"",""zh-CN"")"),"一个戴着蓝色外套和橙色头盔的人在水中倾覆的筏子上。")</f>
        <v>一个戴着蓝色外套和橙色头盔的人在水中倾覆的筏子上。</v>
      </c>
    </row>
    <row r="23206">
      <c r="A23206" s="4" t="s">
        <v>29203</v>
      </c>
      <c r="B23206" s="4" t="s">
        <v>29205</v>
      </c>
      <c r="C23206" s="5" t="str">
        <f>IFERROR(__xludf.DUMMYFUNCTION("GOOGLETRANSLATE(B23206,""en"",""zh-CN"")"),"当他试图向上走时，筏子完全倾覆。")</f>
        <v>当他试图向上走时，筏子完全倾覆。</v>
      </c>
    </row>
    <row r="23207">
      <c r="A23207" s="4" t="s">
        <v>29203</v>
      </c>
      <c r="B23207" s="4" t="s">
        <v>29206</v>
      </c>
      <c r="C23207" s="5" t="str">
        <f>IFERROR(__xludf.DUMMYFUNCTION("GOOGLETRANSLATE(B23207,""en"",""zh-CN"")"),"然后，该男子拉直木筏，直接坐在木筏中。")</f>
        <v>然后，该男子拉直木筏，直接坐在木筏中。</v>
      </c>
    </row>
    <row r="23208">
      <c r="A23208" s="4" t="s">
        <v>29207</v>
      </c>
      <c r="B23208" s="4" t="s">
        <v>29208</v>
      </c>
      <c r="C23208" s="5" t="str">
        <f>IFERROR(__xludf.DUMMYFUNCTION("GOOGLETRANSLATE(B23208,""en"",""zh-CN"")"),"看到一个男人在挥舞绳索并抓住小腿时骑着马骑着马。")</f>
        <v>看到一个男人在挥舞绳索并抓住小腿时骑着马骑着马。</v>
      </c>
    </row>
    <row r="23209">
      <c r="A23209" s="4" t="s">
        <v>29207</v>
      </c>
      <c r="B23209" s="4" t="s">
        <v>29209</v>
      </c>
      <c r="C23209" s="5" t="str">
        <f>IFERROR(__xludf.DUMMYFUNCTION("GOOGLETRANSLATE(B23209,""en"",""zh-CN"")"),"这个人绑住小牛，而其他人则骑马，而男人则解开了动物。")</f>
        <v>这个人绑住小牛，而其他人则骑马，而男人则解开了动物。</v>
      </c>
    </row>
    <row r="23210">
      <c r="A23210" s="4" t="s">
        <v>29210</v>
      </c>
      <c r="B23210" s="4" t="s">
        <v>29211</v>
      </c>
      <c r="C23210" s="5" t="str">
        <f>IFERROR(__xludf.DUMMYFUNCTION("GOOGLETRANSLATE(B23210,""en"",""zh-CN"")"),"一个女人在海滩上抱着婴儿。")</f>
        <v>一个女人在海滩上抱着婴儿。</v>
      </c>
    </row>
    <row r="23211">
      <c r="A23211" s="4" t="s">
        <v>29210</v>
      </c>
      <c r="B23211" s="4" t="s">
        <v>29212</v>
      </c>
      <c r="C23211" s="5" t="str">
        <f>IFERROR(__xludf.DUMMYFUNCTION("GOOGLETRANSLATE(B23211,""en"",""zh-CN"")"),"她把婴儿放在毛巾上，开始在婴儿身上摩擦防晒霜。")</f>
        <v>她把婴儿放在毛巾上，开始在婴儿身上摩擦防晒霜。</v>
      </c>
    </row>
    <row r="23212">
      <c r="A23212" s="4" t="s">
        <v>29210</v>
      </c>
      <c r="B23212" s="4" t="s">
        <v>29213</v>
      </c>
      <c r="C23212" s="5" t="str">
        <f>IFERROR(__xludf.DUMMYFUNCTION("GOOGLETRANSLATE(B23212,""en"",""zh-CN"")"),"她捡起婴儿，给它一个吻。")</f>
        <v>她捡起婴儿，给它一个吻。</v>
      </c>
    </row>
    <row r="23213">
      <c r="A23213" s="4" t="s">
        <v>29214</v>
      </c>
      <c r="B23213" s="4" t="s">
        <v>29215</v>
      </c>
      <c r="C23213" s="5" t="str">
        <f>IFERROR(__xludf.DUMMYFUNCTION("GOOGLETRANSLATE(B23213,""en"",""zh-CN"")"),"墙上显示一个广告牌。")</f>
        <v>墙上显示一个广告牌。</v>
      </c>
    </row>
    <row r="23214">
      <c r="A23214" s="4" t="s">
        <v>29214</v>
      </c>
      <c r="B23214" s="4" t="s">
        <v>29216</v>
      </c>
      <c r="C23214" s="5" t="str">
        <f>IFERROR(__xludf.DUMMYFUNCTION("GOOGLETRANSLATE(B23214,""en"",""zh-CN"")"),"孩子们跑到舞台上并进行了编队。")</f>
        <v>孩子们跑到舞台上并进行了编队。</v>
      </c>
    </row>
    <row r="23215">
      <c r="A23215" s="4" t="s">
        <v>29214</v>
      </c>
      <c r="B23215" s="4" t="s">
        <v>29217</v>
      </c>
      <c r="C23215" s="5" t="str">
        <f>IFERROR(__xludf.DUMMYFUNCTION("GOOGLETRANSLATE(B23215,""en"",""zh-CN"")"),"横幅放在舞台的前面。")</f>
        <v>横幅放在舞台的前面。</v>
      </c>
    </row>
    <row r="23216">
      <c r="A23216" s="4" t="s">
        <v>29214</v>
      </c>
      <c r="B23216" s="4" t="s">
        <v>29218</v>
      </c>
      <c r="C23216" s="5" t="str">
        <f>IFERROR(__xludf.DUMMYFUNCTION("GOOGLETRANSLATE(B23216,""en"",""zh-CN"")"),"孩子们开始在舞台上啦啦队。")</f>
        <v>孩子们开始在舞台上啦啦队。</v>
      </c>
    </row>
    <row r="23217">
      <c r="A23217" s="4" t="s">
        <v>29214</v>
      </c>
      <c r="B23217" s="4" t="s">
        <v>29219</v>
      </c>
      <c r="C23217" s="5" t="str">
        <f>IFERROR(__xludf.DUMMYFUNCTION("GOOGLETRANSLATE(B23217,""en"",""zh-CN"")"),"前面的孩子们举起横幅。")</f>
        <v>前面的孩子们举起横幅。</v>
      </c>
    </row>
    <row r="23218">
      <c r="A23218" s="4" t="s">
        <v>29214</v>
      </c>
      <c r="B23218" s="4" t="s">
        <v>29220</v>
      </c>
      <c r="C23218" s="5" t="str">
        <f>IFERROR(__xludf.DUMMYFUNCTION("GOOGLETRANSLATE(B23218,""en"",""zh-CN"")"),"他们从舞台上逃跑。")</f>
        <v>他们从舞台上逃跑。</v>
      </c>
    </row>
    <row r="23219">
      <c r="A23219" s="4" t="s">
        <v>29221</v>
      </c>
      <c r="B23219" s="4" t="s">
        <v>29222</v>
      </c>
      <c r="C23219" s="5" t="str">
        <f>IFERROR(__xludf.DUMMYFUNCTION("GOOGLETRANSLATE(B23219,""en"",""zh-CN"")"),"一个男婴坐在餐厅桌上。")</f>
        <v>一个男婴坐在餐厅桌上。</v>
      </c>
    </row>
    <row r="23220">
      <c r="A23220" s="4" t="s">
        <v>29221</v>
      </c>
      <c r="B23220" s="4" t="s">
        <v>29223</v>
      </c>
      <c r="C23220" s="5" t="str">
        <f>IFERROR(__xludf.DUMMYFUNCTION("GOOGLETRANSLATE(B23220,""en"",""zh-CN"")"),"他正在吃香草冰淇淋蛋筒。")</f>
        <v>他正在吃香草冰淇淋蛋筒。</v>
      </c>
    </row>
    <row r="23221">
      <c r="A23221" s="4" t="s">
        <v>29221</v>
      </c>
      <c r="B23221" s="4" t="s">
        <v>29224</v>
      </c>
      <c r="C23221" s="5" t="str">
        <f>IFERROR(__xludf.DUMMYFUNCTION("GOOGLETRANSLATE(B23221,""en"",""zh-CN"")"),"他拿着餐巾纸擦嘴，然后将餐巾纸交给并继续吃饭。")</f>
        <v>他拿着餐巾纸擦嘴，然后将餐巾纸交给并继续吃饭。</v>
      </c>
    </row>
    <row r="23222">
      <c r="A23222" s="4" t="s">
        <v>29225</v>
      </c>
      <c r="B23222" s="4" t="s">
        <v>29226</v>
      </c>
      <c r="C23222" s="5" t="str">
        <f>IFERROR(__xludf.DUMMYFUNCTION("GOOGLETRANSLATE(B23222,""en"",""zh-CN"")"),"一个小女孩在车站上安装骆驼时受到指导。")</f>
        <v>一个小女孩在车站上安装骆驼时受到指导。</v>
      </c>
    </row>
    <row r="23223">
      <c r="A23223" s="4" t="s">
        <v>29225</v>
      </c>
      <c r="B23223" s="4" t="s">
        <v>29227</v>
      </c>
      <c r="C23223" s="5" t="str">
        <f>IFERROR(__xludf.DUMMYFUNCTION("GOOGLETRANSLATE(B23223,""en"",""zh-CN"")"),"一个男人在带领骆驼的时候帮助她。")</f>
        <v>一个男人在带领骆驼的时候帮助她。</v>
      </c>
    </row>
    <row r="23224">
      <c r="A23224" s="4" t="s">
        <v>29225</v>
      </c>
      <c r="B23224" s="4" t="s">
        <v>29228</v>
      </c>
      <c r="C23224" s="5" t="str">
        <f>IFERROR(__xludf.DUMMYFUNCTION("GOOGLETRANSLATE(B23224,""en"",""zh-CN"")"),"当她骑着笔骑着骆驼时，女孩微笑着。")</f>
        <v>当她骑着笔骑着骆驼时，女孩微笑着。</v>
      </c>
    </row>
    <row r="23225">
      <c r="A23225" s="4" t="s">
        <v>29229</v>
      </c>
      <c r="B23225" s="4" t="s">
        <v>29230</v>
      </c>
      <c r="C23225" s="5" t="str">
        <f>IFERROR(__xludf.DUMMYFUNCTION("GOOGLETRANSLATE(B23225,""en"",""zh-CN"")"),"这个年轻的女孩正在和镜头说话。")</f>
        <v>这个年轻的女孩正在和镜头说话。</v>
      </c>
    </row>
    <row r="23226">
      <c r="A23226" s="4" t="s">
        <v>29229</v>
      </c>
      <c r="B23226" s="4" t="s">
        <v>29231</v>
      </c>
      <c r="C23226" s="5" t="str">
        <f>IFERROR(__xludf.DUMMYFUNCTION("GOOGLETRANSLATE(B23226,""en"",""zh-CN"")"),"这个女孩拿着头发卷发器。")</f>
        <v>这个女孩拿着头发卷发器。</v>
      </c>
    </row>
    <row r="23227">
      <c r="A23227" s="4" t="s">
        <v>29229</v>
      </c>
      <c r="B23227" s="4" t="s">
        <v>29232</v>
      </c>
      <c r="C23227" s="5" t="str">
        <f>IFERROR(__xludf.DUMMYFUNCTION("GOOGLETRANSLATE(B23227,""en"",""zh-CN"")"),"这位年轻女子正在向其他女孩提供有关如何卷发头发的提示。")</f>
        <v>这位年轻女子正在向其他女孩提供有关如何卷发头发的提示。</v>
      </c>
    </row>
    <row r="23228">
      <c r="A23228" s="4" t="s">
        <v>29229</v>
      </c>
      <c r="B23228" s="4" t="s">
        <v>29233</v>
      </c>
      <c r="C23228" s="5" t="str">
        <f>IFERROR(__xludf.DUMMYFUNCTION("GOOGLETRANSLATE(B23228,""en"",""zh-CN"")"),"在视频结束时，女孩要求喜欢视频。")</f>
        <v>在视频结束时，女孩要求喜欢视频。</v>
      </c>
    </row>
    <row r="23229">
      <c r="A23229" s="4" t="s">
        <v>29234</v>
      </c>
      <c r="B23229" s="4" t="s">
        <v>29235</v>
      </c>
      <c r="C23229" s="5" t="str">
        <f>IFERROR(__xludf.DUMMYFUNCTION("GOOGLETRANSLATE(B23229,""en"",""zh-CN"")"),"相机显示一个人以快速速度移动的自行车上的泥土轨道骑行。")</f>
        <v>相机显示一个人以快速速度移动的自行车上的泥土轨道骑行。</v>
      </c>
    </row>
    <row r="23230">
      <c r="A23230" s="4" t="s">
        <v>29234</v>
      </c>
      <c r="B23230" s="6" t="s">
        <v>29236</v>
      </c>
      <c r="C23230" s="5" t="str">
        <f>IFERROR(__xludf.DUMMYFUNCTION("GOOGLETRANSLATE(B23230,""en"",""zh-CN"")"),"摄像机从几个角度捕获它们的同时，还显示了骑自行车的泥土轨道的人。")</f>
        <v>摄像机从几个角度捕获它们的同时，还显示了骑自行车的泥土轨道的人。</v>
      </c>
    </row>
    <row r="23231">
      <c r="A23231" s="4" t="s">
        <v>29237</v>
      </c>
      <c r="B23231" s="6" t="s">
        <v>29238</v>
      </c>
      <c r="C23231" s="5" t="str">
        <f>IFERROR(__xludf.DUMMYFUNCTION("GOOGLETRANSLATE(B23231,""en"",""zh-CN"")"),"看到一个年轻人从各个角度与相机交谈，然后用剃刀剪头发。")</f>
        <v>看到一个年轻人从各个角度与相机交谈，然后用剃刀剪头发。</v>
      </c>
    </row>
    <row r="23232">
      <c r="A23232" s="4" t="s">
        <v>29237</v>
      </c>
      <c r="B23232" s="4" t="s">
        <v>29239</v>
      </c>
      <c r="C23232" s="5" t="str">
        <f>IFERROR(__xludf.DUMMYFUNCTION("GOOGLETRANSLATE(B23232,""en"",""zh-CN"")"),"他在与镜头说话并大笑时继续剪头发。")</f>
        <v>他在与镜头说话并大笑时继续剪头发。</v>
      </c>
    </row>
    <row r="23233">
      <c r="A23233" s="4" t="s">
        <v>29237</v>
      </c>
      <c r="B23233" s="6" t="s">
        <v>29240</v>
      </c>
      <c r="C23233" s="5" t="str">
        <f>IFERROR(__xludf.DUMMYFUNCTION("GOOGLETRANSLATE(B23233,""en"",""zh-CN"")"),"他看着相机时完成了头发，然后在浴帘后面显示了他的反射。")</f>
        <v>他看着相机时完成了头发，然后在浴帘后面显示了他的反射。</v>
      </c>
    </row>
    <row r="23234">
      <c r="A23234" s="4" t="s">
        <v>29241</v>
      </c>
      <c r="B23234" s="4" t="s">
        <v>29242</v>
      </c>
      <c r="C23234" s="5" t="str">
        <f>IFERROR(__xludf.DUMMYFUNCTION("GOOGLETRANSLATE(B23234,""en"",""zh-CN"")"),"两个人拳击拳击。")</f>
        <v>两个人拳击拳击。</v>
      </c>
    </row>
    <row r="23235">
      <c r="A23235" s="4" t="s">
        <v>29241</v>
      </c>
      <c r="B23235" s="4" t="s">
        <v>29243</v>
      </c>
      <c r="C23235" s="5" t="str">
        <f>IFERROR(__xludf.DUMMYFUNCTION("GOOGLETRANSLATE(B23235,""en"",""zh-CN"")"),"穿着黑色衬衫的男人正在裁判这场战斗。")</f>
        <v>穿着黑色衬衫的男人正在裁判这场战斗。</v>
      </c>
    </row>
    <row r="23236">
      <c r="A23236" s="4" t="s">
        <v>29241</v>
      </c>
      <c r="B23236" s="4" t="s">
        <v>29244</v>
      </c>
      <c r="C23236" s="5" t="str">
        <f>IFERROR(__xludf.DUMMYFUNCTION("GOOGLETRANSLATE(B23236,""en"",""zh-CN"")"),"一个女人拿着照相机为他们的战斗拍照。")</f>
        <v>一个女人拿着照相机为他们的战斗拍照。</v>
      </c>
    </row>
    <row r="23237">
      <c r="A23237" s="4" t="s">
        <v>29245</v>
      </c>
      <c r="B23237" s="6" t="s">
        <v>29246</v>
      </c>
      <c r="C23237" s="5" t="str">
        <f>IFERROR(__xludf.DUMMYFUNCTION("GOOGLETRANSLATE(B23237,""en"",""zh-CN"")"),"这些视频过渡到各种人因公牛袭击而受伤的倒计时。")</f>
        <v>这些视频过渡到各种人因公牛袭击而受伤的倒计时。</v>
      </c>
    </row>
    <row r="23238">
      <c r="A23238" s="4" t="s">
        <v>29245</v>
      </c>
      <c r="B23238" s="4" t="s">
        <v>29247</v>
      </c>
      <c r="C23238" s="5" t="str">
        <f>IFERROR(__xludf.DUMMYFUNCTION("GOOGLETRANSLATE(B23238,""en"",""zh-CN"")"),"看到许多不同的人沿着街道奔跑，而公牛将他们翻倒并伤害了他们。")</f>
        <v>看到许多不同的人沿着街道奔跑，而公牛将他们翻倒并伤害了他们。</v>
      </c>
    </row>
    <row r="23239">
      <c r="A23239" s="4" t="s">
        <v>29248</v>
      </c>
      <c r="B23239" s="4" t="s">
        <v>29249</v>
      </c>
      <c r="C23239" s="5" t="str">
        <f>IFERROR(__xludf.DUMMYFUNCTION("GOOGLETRANSLATE(B23239,""en"",""zh-CN"")"),"有一个女人在谈论成为1967年第一个参加马拉松比赛的女人。")</f>
        <v>有一个女人在谈论成为1967年第一个参加马拉松比赛的女人。</v>
      </c>
    </row>
    <row r="23240">
      <c r="A23240" s="4" t="s">
        <v>29248</v>
      </c>
      <c r="B23240" s="4" t="s">
        <v>29250</v>
      </c>
      <c r="C23240" s="5" t="str">
        <f>IFERROR(__xludf.DUMMYFUNCTION("GOOGLETRANSLATE(B23240,""en"",""zh-CN"")"),"参与者年轻时的照片显示出来。")</f>
        <v>参与者年轻时的照片显示出来。</v>
      </c>
    </row>
    <row r="23241">
      <c r="A23241" s="4" t="s">
        <v>29248</v>
      </c>
      <c r="B23241" s="6" t="s">
        <v>29251</v>
      </c>
      <c r="C23241" s="5" t="str">
        <f>IFERROR(__xludf.DUMMYFUNCTION("GOOGLETRANSLATE(B23241,""en"",""zh-CN"")"),"她谈到了至少在50年前，她在马拉松比赛中展示了从马拉松比赛的那一天，马拉松曾经有何不同。")</f>
        <v>她谈到了至少在50年前，她在马拉松比赛中展示了从马拉松比赛的那一天，马拉松曾经有何不同。</v>
      </c>
    </row>
    <row r="23242">
      <c r="A23242" s="4" t="s">
        <v>29248</v>
      </c>
      <c r="B23242" s="6" t="s">
        <v>29252</v>
      </c>
      <c r="C23242" s="5" t="str">
        <f>IFERROR(__xludf.DUMMYFUNCTION("GOOGLETRANSLATE(B23242,""en"",""zh-CN"")"),"有一些男性参与者的照片在她是唯一的女性参与者的场景中占主导地位。")</f>
        <v>有一些男性参与者的照片在她是唯一的女性参与者的场景中占主导地位。</v>
      </c>
    </row>
    <row r="23243">
      <c r="A23243" s="4" t="s">
        <v>29248</v>
      </c>
      <c r="B23243" s="4" t="s">
        <v>29253</v>
      </c>
      <c r="C23243" s="5" t="str">
        <f>IFERROR(__xludf.DUMMYFUNCTION("GOOGLETRANSLATE(B23243,""en"",""zh-CN"")"),"她谈论自己的经历，因为她展示了更多有关她们参与的图片。")</f>
        <v>她谈论自己的经历，因为她展示了更多有关她们参与的图片。</v>
      </c>
    </row>
    <row r="23244">
      <c r="A23244" s="4" t="s">
        <v>29248</v>
      </c>
      <c r="B23244" s="6" t="s">
        <v>29254</v>
      </c>
      <c r="C23244" s="5" t="str">
        <f>IFERROR(__xludf.DUMMYFUNCTION("GOOGLETRANSLATE(B23244,""en"",""zh-CN"")"),"她还分享了有关稍后终于被允许自由参与时发生变化的信息。")</f>
        <v>她还分享了有关稍后终于被允许自由参与时发生变化的信息。</v>
      </c>
    </row>
    <row r="23245">
      <c r="A23245" s="4" t="s">
        <v>29255</v>
      </c>
      <c r="B23245" s="4" t="s">
        <v>29256</v>
      </c>
      <c r="C23245" s="5" t="str">
        <f>IFERROR(__xludf.DUMMYFUNCTION("GOOGLETRANSLATE(B23245,""en"",""zh-CN"")"),"一个女人站在桌子上，将食物放在盘子上的大皮塔饼中。")</f>
        <v>一个女人站在桌子上，将食物放在盘子上的大皮塔饼中。</v>
      </c>
    </row>
    <row r="23246">
      <c r="A23246" s="4" t="s">
        <v>29255</v>
      </c>
      <c r="B23246" s="6" t="s">
        <v>29257</v>
      </c>
      <c r="C23246" s="5" t="str">
        <f>IFERROR(__xludf.DUMMYFUNCTION("GOOGLETRANSLATE(B23246,""en"",""zh-CN"")"),"一位年长的女人展示了如何将洋葱，胡椒，生菜，胡萝卜，西红柿等切成大块。")</f>
        <v>一位年长的女人展示了如何将洋葱，胡椒，生菜，胡萝卜，西红柿等切成大块。</v>
      </c>
    </row>
    <row r="23247">
      <c r="A23247" s="4" t="s">
        <v>29255</v>
      </c>
      <c r="B23247" s="4" t="s">
        <v>29258</v>
      </c>
      <c r="C23247" s="5" t="str">
        <f>IFERROR(__xludf.DUMMYFUNCTION("GOOGLETRANSLATE(B23247,""en"",""zh-CN"")"),"蔬菜是处理器中的地方，并将其泥入碗中。")</f>
        <v>蔬菜是处理器中的地方，并将其泥入碗中。</v>
      </c>
    </row>
    <row r="23248">
      <c r="A23248" s="4" t="s">
        <v>29255</v>
      </c>
      <c r="B23248" s="4" t="s">
        <v>29259</v>
      </c>
      <c r="C23248" s="5" t="str">
        <f>IFERROR(__xludf.DUMMYFUNCTION("GOOGLETRANSLATE(B23248,""en"",""zh-CN"")"),"将混合物混合在一起，并将其放在桌子上放在玉米饼上。")</f>
        <v>将混合物混合在一起，并将其放在桌子上放在玉米饼上。</v>
      </c>
    </row>
    <row r="23249">
      <c r="A23249" s="4" t="s">
        <v>29255</v>
      </c>
      <c r="B23249" s="4" t="s">
        <v>29260</v>
      </c>
      <c r="C23249" s="5" t="str">
        <f>IFERROR(__xludf.DUMMYFUNCTION("GOOGLETRANSLATE(B23249,""en"",""zh-CN"")"),"女人坐在桌子旁说话。")</f>
        <v>女人坐在桌子旁说话。</v>
      </c>
    </row>
    <row r="23250">
      <c r="A23250" s="4" t="s">
        <v>29261</v>
      </c>
      <c r="B23250" s="4" t="s">
        <v>29262</v>
      </c>
      <c r="C23250" s="5" t="str">
        <f>IFERROR(__xludf.DUMMYFUNCTION("GOOGLETRANSLATE(B23250,""en"",""zh-CN"")"),"一群学生在体育课上伸出。")</f>
        <v>一群学生在体育课上伸出。</v>
      </c>
    </row>
    <row r="23251">
      <c r="A23251" s="4" t="s">
        <v>29261</v>
      </c>
      <c r="B23251" s="4" t="s">
        <v>29263</v>
      </c>
      <c r="C23251" s="5" t="str">
        <f>IFERROR(__xludf.DUMMYFUNCTION("GOOGLETRANSLATE(B23251,""en"",""zh-CN"")"),"一群乐队的学生在教室和健身房内练习。")</f>
        <v>一群乐队的学生在教室和健身房内练习。</v>
      </c>
    </row>
    <row r="23252">
      <c r="A23252" s="4" t="s">
        <v>29261</v>
      </c>
      <c r="B23252" s="4" t="s">
        <v>29264</v>
      </c>
      <c r="C23252" s="5" t="str">
        <f>IFERROR(__xludf.DUMMYFUNCTION("GOOGLETRANSLATE(B23252,""en"",""zh-CN"")"),"学校乐队在户外活动和体育比赛中演奏。")</f>
        <v>学校乐队在户外活动和体育比赛中演奏。</v>
      </c>
    </row>
    <row r="23253">
      <c r="A23253" s="4" t="s">
        <v>29265</v>
      </c>
      <c r="B23253" s="4" t="s">
        <v>29266</v>
      </c>
      <c r="C23253" s="5" t="str">
        <f>IFERROR(__xludf.DUMMYFUNCTION("GOOGLETRANSLATE(B23253,""en"",""zh-CN"")"),"我们在工作室里看到新闻社。")</f>
        <v>我们在工作室里看到新闻社。</v>
      </c>
    </row>
    <row r="23254">
      <c r="A23254" s="4" t="s">
        <v>29265</v>
      </c>
      <c r="B23254" s="4" t="s">
        <v>29267</v>
      </c>
      <c r="C23254" s="5" t="str">
        <f>IFERROR(__xludf.DUMMYFUNCTION("GOOGLETRANSLATE(B23254,""en"",""zh-CN"")"),"我们看到一名男子操作2个手动真空吸尘器。")</f>
        <v>我们看到一名男子操作2个手动真空吸尘器。</v>
      </c>
    </row>
    <row r="23255">
      <c r="A23255" s="4" t="s">
        <v>29265</v>
      </c>
      <c r="B23255" s="4" t="s">
        <v>29268</v>
      </c>
      <c r="C23255" s="5" t="str">
        <f>IFERROR(__xludf.DUMMYFUNCTION("GOOGLETRANSLATE(B23255,""en"",""zh-CN"")"),"我们看到一些旧式的真空吸尘器。")</f>
        <v>我们看到一些旧式的真空吸尘器。</v>
      </c>
    </row>
    <row r="23256">
      <c r="A23256" s="4" t="s">
        <v>29265</v>
      </c>
      <c r="B23256" s="4" t="s">
        <v>29269</v>
      </c>
      <c r="C23256" s="5" t="str">
        <f>IFERROR(__xludf.DUMMYFUNCTION("GOOGLETRANSLATE(B23256,""en"",""zh-CN"")"),"我们看到一个黑白电视剪辑。")</f>
        <v>我们看到一个黑白电视剪辑。</v>
      </c>
    </row>
    <row r="23257">
      <c r="A23257" s="4" t="s">
        <v>29265</v>
      </c>
      <c r="B23257" s="4" t="s">
        <v>29270</v>
      </c>
      <c r="C23257" s="5" t="str">
        <f>IFERROR(__xludf.DUMMYFUNCTION("GOOGLETRANSLATE(B23257,""en"",""zh-CN"")"),"我们看到了那个人真空，仍然来自博物馆。")</f>
        <v>我们看到了那个人真空，仍然来自博物馆。</v>
      </c>
    </row>
    <row r="23258">
      <c r="A23258" s="4" t="s">
        <v>29265</v>
      </c>
      <c r="B23258" s="4" t="s">
        <v>29271</v>
      </c>
      <c r="C23258" s="5" t="str">
        <f>IFERROR(__xludf.DUMMYFUNCTION("GOOGLETRANSLATE(B23258,""en"",""zh-CN"")"),"我们看到一位黑白和颜色的女士。")</f>
        <v>我们看到一位黑白和颜色的女士。</v>
      </c>
    </row>
    <row r="23259">
      <c r="A23259" s="4" t="s">
        <v>29265</v>
      </c>
      <c r="B23259" s="4" t="s">
        <v>29272</v>
      </c>
      <c r="C23259" s="5" t="str">
        <f>IFERROR(__xludf.DUMMYFUNCTION("GOOGLETRANSLATE(B23259,""en"",""zh-CN"")"),"然后，我们看到一个工厂和一个男人在聊天。")</f>
        <v>然后，我们看到一个工厂和一个男人在聊天。</v>
      </c>
    </row>
    <row r="23260">
      <c r="A23260" s="4" t="s">
        <v>29265</v>
      </c>
      <c r="B23260" s="4" t="s">
        <v>29273</v>
      </c>
      <c r="C23260" s="5" t="str">
        <f>IFERROR(__xludf.DUMMYFUNCTION("GOOGLETRANSLATE(B23260,""en"",""zh-CN"")"),"我们看到男人在说话，看到他在真空中。")</f>
        <v>我们看到男人在说话，看到他在真空中。</v>
      </c>
    </row>
    <row r="23261">
      <c r="A23261" s="4" t="s">
        <v>29265</v>
      </c>
      <c r="B23261" s="4" t="s">
        <v>29274</v>
      </c>
      <c r="C23261" s="5" t="str">
        <f>IFERROR(__xludf.DUMMYFUNCTION("GOOGLETRANSLATE(B23261,""en"",""zh-CN"")"),"我们看到一个旧的印刷广告。")</f>
        <v>我们看到一个旧的印刷广告。</v>
      </c>
    </row>
    <row r="23262">
      <c r="A23262" s="4" t="s">
        <v>29265</v>
      </c>
      <c r="B23262" s="4" t="s">
        <v>29275</v>
      </c>
      <c r="C23262" s="5" t="str">
        <f>IFERROR(__xludf.DUMMYFUNCTION("GOOGLETRANSLATE(B23262,""en"",""zh-CN"")"),"我们返回工作室的新闻社。")</f>
        <v>我们返回工作室的新闻社。</v>
      </c>
    </row>
    <row r="23263">
      <c r="A23263" s="4" t="s">
        <v>29276</v>
      </c>
      <c r="B23263" s="6" t="s">
        <v>29277</v>
      </c>
      <c r="C23263" s="5" t="str">
        <f>IFERROR(__xludf.DUMMYFUNCTION("GOOGLETRANSLATE(B23263,""en"",""zh-CN"")"),"看到一个女人在镜头上说话，并导致她和另一匹森林和海滩上的另一匹马的剪辑。")</f>
        <v>看到一个女人在镜头上说话，并导致她和另一匹森林和海滩上的另一匹马的剪辑。</v>
      </c>
    </row>
    <row r="23264">
      <c r="A23264" s="4" t="s">
        <v>29276</v>
      </c>
      <c r="B23264" s="6" t="s">
        <v>29278</v>
      </c>
      <c r="C23264" s="5" t="str">
        <f>IFERROR(__xludf.DUMMYFUNCTION("GOOGLETRANSLATE(B23264,""en"",""zh-CN"")"),"然后，妇女沿着海滩跑马，而相机则从几个角度捕获它们。")</f>
        <v>然后，妇女沿着海滩跑马，而相机则从几个角度捕获它们。</v>
      </c>
    </row>
    <row r="23265">
      <c r="A23265" s="4" t="s">
        <v>29279</v>
      </c>
      <c r="B23265" s="4" t="s">
        <v>29280</v>
      </c>
      <c r="C23265" s="5" t="str">
        <f>IFERROR(__xludf.DUMMYFUNCTION("GOOGLETRANSLATE(B23265,""en"",""zh-CN"")"),"看到两个男人在一个被其他人包围的大圆圈中行动。")</f>
        <v>看到两个男人在一个被其他人包围的大圆圈中行动。</v>
      </c>
    </row>
    <row r="23266">
      <c r="A23266" s="4" t="s">
        <v>29279</v>
      </c>
      <c r="B23266" s="4" t="s">
        <v>29281</v>
      </c>
      <c r="C23266" s="5" t="str">
        <f>IFERROR(__xludf.DUMMYFUNCTION("GOOGLETRANSLATE(B23266,""en"",""zh-CN"")"),"一个人假装与相扑摔跤手作战，并很容易被推到一边。")</f>
        <v>一个人假装与相扑摔跤手作战，并很容易被推到一边。</v>
      </c>
    </row>
    <row r="23267">
      <c r="A23267" s="4" t="s">
        <v>29279</v>
      </c>
      <c r="B23267" s="6" t="s">
        <v>29282</v>
      </c>
      <c r="C23267" s="5" t="str">
        <f>IFERROR(__xludf.DUMMYFUNCTION("GOOGLETRANSLATE(B23267,""en"",""zh-CN"")"),"另一个人试图再次以慢动作显示他的射门，并与他们的手臂一起站起来。")</f>
        <v>另一个人试图再次以慢动作显示他的射门，并与他们的手臂一起站起来。</v>
      </c>
    </row>
    <row r="23268">
      <c r="A23268" s="4" t="s">
        <v>29283</v>
      </c>
      <c r="B23268" s="4" t="s">
        <v>29284</v>
      </c>
      <c r="C23268" s="5" t="str">
        <f>IFERROR(__xludf.DUMMYFUNCTION("GOOGLETRANSLATE(B23268,""en"",""zh-CN"")"),"当男人在镜头里说话时，一个男人和女人站在柜台上。")</f>
        <v>当男人在镜头里说话时，一个男人和女人站在柜台上。</v>
      </c>
    </row>
    <row r="23269">
      <c r="A23269" s="4" t="s">
        <v>29283</v>
      </c>
      <c r="B23269" s="6" t="s">
        <v>29285</v>
      </c>
      <c r="C23269" s="5" t="str">
        <f>IFERROR(__xludf.DUMMYFUNCTION("GOOGLETRANSLATE(B23269,""en"",""zh-CN"")"),"一盘切割的菠萝在桌子上的一块盘子上，因为男人得到了一些葡萄，将其放在切碎的板上，将其切成两半，然后将它们放在菠萝切割的顶部，然后他擦了擦手并展示了板到相机。")</f>
        <v>一盘切割的菠萝在桌子上的一块盘子上，因为男人得到了一些葡萄，将其放在切碎的板上，将其切成两半，然后将它们放在菠萝切割的顶部，然后他擦了擦手并展示了板到相机。</v>
      </c>
    </row>
    <row r="23270">
      <c r="A23270" s="4" t="s">
        <v>29286</v>
      </c>
      <c r="B23270" s="4" t="s">
        <v>29287</v>
      </c>
      <c r="C23270" s="5" t="str">
        <f>IFERROR(__xludf.DUMMYFUNCTION("GOOGLETRANSLATE(B23270,""en"",""zh-CN"")"),"一个孩子在户外铲雪时在窗户看着窗户。")</f>
        <v>一个孩子在户外铲雪时在窗户看着窗户。</v>
      </c>
    </row>
    <row r="23271">
      <c r="A23271" s="4" t="s">
        <v>29286</v>
      </c>
      <c r="B23271" s="4" t="s">
        <v>29288</v>
      </c>
      <c r="C23271" s="5" t="str">
        <f>IFERROR(__xludf.DUMMYFUNCTION("GOOGLETRANSLATE(B23271,""en"",""zh-CN"")"),"他来回移动，捡起雪，将其从门上移开。")</f>
        <v>他来回移动，捡起雪，将其从门上移开。</v>
      </c>
    </row>
    <row r="23272">
      <c r="A23272" s="4" t="s">
        <v>29289</v>
      </c>
      <c r="B23272" s="4" t="s">
        <v>29290</v>
      </c>
      <c r="C23272" s="5" t="str">
        <f>IFERROR(__xludf.DUMMYFUNCTION("GOOGLETRANSLATE(B23272,""en"",""zh-CN"")"),"我们看到窗户上的百叶窗。")</f>
        <v>我们看到窗户上的百叶窗。</v>
      </c>
    </row>
    <row r="23273">
      <c r="A23273" s="4" t="s">
        <v>29289</v>
      </c>
      <c r="B23273" s="4" t="s">
        <v>29291</v>
      </c>
      <c r="C23273" s="5" t="str">
        <f>IFERROR(__xludf.DUMMYFUNCTION("GOOGLETRANSLATE(B23273,""en"",""zh-CN"")"),"一个人躺在纹身的纹身店里。")</f>
        <v>一个人躺在纹身的纹身店里。</v>
      </c>
    </row>
    <row r="23274">
      <c r="A23274" s="4" t="s">
        <v>29289</v>
      </c>
      <c r="B23274" s="4" t="s">
        <v>29292</v>
      </c>
      <c r="C23274" s="5" t="str">
        <f>IFERROR(__xludf.DUMMYFUNCTION("GOOGLETRANSLATE(B23274,""en"",""zh-CN"")"),"我们备份并看到纹身艺术家。")</f>
        <v>我们备份并看到纹身艺术家。</v>
      </c>
    </row>
    <row r="23275">
      <c r="A23275" s="4" t="s">
        <v>29289</v>
      </c>
      <c r="B23275" s="4" t="s">
        <v>29293</v>
      </c>
      <c r="C23275" s="5" t="str">
        <f>IFERROR(__xludf.DUMMYFUNCTION("GOOGLETRANSLATE(B23275,""en"",""zh-CN"")"),"那位女士看着手机，微笑着镜头。")</f>
        <v>那位女士看着手机，微笑着镜头。</v>
      </c>
    </row>
    <row r="23276">
      <c r="A23276" s="4" t="s">
        <v>29289</v>
      </c>
      <c r="B23276" s="4" t="s">
        <v>29294</v>
      </c>
      <c r="C23276" s="5" t="str">
        <f>IFERROR(__xludf.DUMMYFUNCTION("GOOGLETRANSLATE(B23276,""en"",""zh-CN"")"),"我们向下看，看到纹身艺术家的作品。")</f>
        <v>我们向下看，看到纹身艺术家的作品。</v>
      </c>
    </row>
    <row r="23277">
      <c r="A23277" s="4" t="s">
        <v>29295</v>
      </c>
      <c r="B23277" s="4" t="s">
        <v>29296</v>
      </c>
      <c r="C23277" s="5" t="str">
        <f>IFERROR(__xludf.DUMMYFUNCTION("GOOGLETRANSLATE(B23277,""en"",""zh-CN"")"),"看到一大批人骑马并开始四处走动。")</f>
        <v>看到一大批人骑马并开始四处走动。</v>
      </c>
    </row>
    <row r="23278">
      <c r="A23278" s="4" t="s">
        <v>29295</v>
      </c>
      <c r="B23278" s="4" t="s">
        <v>29297</v>
      </c>
      <c r="C23278" s="5" t="str">
        <f>IFERROR(__xludf.DUMMYFUNCTION("GOOGLETRANSLATE(B23278,""en"",""zh-CN"")"),"人们在追逐球的同时，在马上玩游戏。")</f>
        <v>人们在追逐球的同时，在马上玩游戏。</v>
      </c>
    </row>
    <row r="23279">
      <c r="A23279" s="4" t="s">
        <v>29295</v>
      </c>
      <c r="B23279" s="4" t="s">
        <v>29298</v>
      </c>
      <c r="C23279" s="5" t="str">
        <f>IFERROR(__xludf.DUMMYFUNCTION("GOOGLETRANSLATE(B23279,""en"",""zh-CN"")"),"这些人继续踢球并以一匹马跳下来结束。")</f>
        <v>这些人继续踢球并以一匹马跳下来结束。</v>
      </c>
    </row>
    <row r="23280">
      <c r="A23280" s="4" t="s">
        <v>29299</v>
      </c>
      <c r="B23280" s="4" t="s">
        <v>29300</v>
      </c>
      <c r="C23280" s="5" t="str">
        <f>IFERROR(__xludf.DUMMYFUNCTION("GOOGLETRANSLATE(B23280,""en"",""zh-CN"")"),"一件白衬衫的女人正在和镜头说话。")</f>
        <v>一件白衬衫的女人正在和镜头说话。</v>
      </c>
    </row>
    <row r="23281">
      <c r="A23281" s="4" t="s">
        <v>29299</v>
      </c>
      <c r="B23281" s="4" t="s">
        <v>29301</v>
      </c>
      <c r="C23281" s="5" t="str">
        <f>IFERROR(__xludf.DUMMYFUNCTION("GOOGLETRANSLATE(B23281,""en"",""zh-CN"")"),"一个男人和女人开始一起跳舞。")</f>
        <v>一个男人和女人开始一起跳舞。</v>
      </c>
    </row>
    <row r="23282">
      <c r="A23282" s="4" t="s">
        <v>29299</v>
      </c>
      <c r="B23282" s="4" t="s">
        <v>29302</v>
      </c>
      <c r="C23282" s="5" t="str">
        <f>IFERROR(__xludf.DUMMYFUNCTION("GOOGLETRANSLATE(B23282,""en"",""zh-CN"")"),"她举起手臂，他扭动了她。")</f>
        <v>她举起手臂，他扭动了她。</v>
      </c>
    </row>
    <row r="23283">
      <c r="A23283" s="4" t="s">
        <v>29303</v>
      </c>
      <c r="B23283" s="4" t="s">
        <v>29304</v>
      </c>
      <c r="C23283" s="5" t="str">
        <f>IFERROR(__xludf.DUMMYFUNCTION("GOOGLETRANSLATE(B23283,""en"",""zh-CN"")"),"两名穿着蓝色的男人在里面玩Ping Ping游戏。")</f>
        <v>两名穿着蓝色的男人在里面玩Ping Ping游戏。</v>
      </c>
    </row>
    <row r="23284">
      <c r="A23284" s="4" t="s">
        <v>29303</v>
      </c>
      <c r="B23284" s="4" t="s">
        <v>29305</v>
      </c>
      <c r="C23284" s="5" t="str">
        <f>IFERROR(__xludf.DUMMYFUNCTION("GOOGLETRANSLATE(B23284,""en"",""zh-CN"")"),"他们在不停止的情况下很快来回击球。")</f>
        <v>他们在不停止的情况下很快来回击球。</v>
      </c>
    </row>
    <row r="23285">
      <c r="A23285" s="4" t="s">
        <v>29303</v>
      </c>
      <c r="B23285" s="4" t="s">
        <v>29306</v>
      </c>
      <c r="C23285" s="5" t="str">
        <f>IFERROR(__xludf.DUMMYFUNCTION("GOOGLETRANSLATE(B23285,""en"",""zh-CN"")"),"他们中的一个击中球并停止进步，他们必须重新开始。")</f>
        <v>他们中的一个击中球并停止进步，他们必须重新开始。</v>
      </c>
    </row>
    <row r="23286">
      <c r="A23286" s="4" t="s">
        <v>29303</v>
      </c>
      <c r="B23286" s="4" t="s">
        <v>29307</v>
      </c>
      <c r="C23286" s="5" t="str">
        <f>IFERROR(__xludf.DUMMYFUNCTION("GOOGLETRANSLATE(B23286,""en"",""zh-CN"")"),"他们回到比赛中，几乎没有错过任何节奏。")</f>
        <v>他们回到比赛中，几乎没有错过任何节奏。</v>
      </c>
    </row>
    <row r="23287">
      <c r="A23287" s="4" t="s">
        <v>29308</v>
      </c>
      <c r="B23287" s="4" t="s">
        <v>29309</v>
      </c>
      <c r="C23287" s="5" t="str">
        <f>IFERROR(__xludf.DUMMYFUNCTION("GOOGLETRANSLATE(B23287,""en"",""zh-CN"")"),"介绍一个介绍，后面是两个人，一个男人在与镜头交谈。")</f>
        <v>介绍一个介绍，后面是两个人，一个男人在与镜头交谈。</v>
      </c>
    </row>
    <row r="23288">
      <c r="A23288" s="4" t="s">
        <v>29308</v>
      </c>
      <c r="B23288" s="6" t="s">
        <v>29310</v>
      </c>
      <c r="C23288" s="5" t="str">
        <f>IFERROR(__xludf.DUMMYFUNCTION("GOOGLETRANSLATE(B23288,""en"",""zh-CN"")"),"摄像机向更多的人扔掉，并向他们展示了一项锻炼，使他们的双腿向后和第四次摆动。")</f>
        <v>摄像机向更多的人扔掉，并向他们展示了一项锻炼，使他们的双腿向后和第四次摆动。</v>
      </c>
    </row>
    <row r="23289">
      <c r="A23289" s="4" t="s">
        <v>29308</v>
      </c>
      <c r="B23289" s="6" t="s">
        <v>29311</v>
      </c>
      <c r="C23289" s="5" t="str">
        <f>IFERROR(__xludf.DUMMYFUNCTION("GOOGLETRANSLATE(B23289,""en"",""zh-CN"")"),"人们在练习中带领他们的同时，继续跟随讲师进行各种运动。")</f>
        <v>人们在练习中带领他们的同时，继续跟随讲师进行各种运动。</v>
      </c>
    </row>
    <row r="23290">
      <c r="A23290" s="4" t="s">
        <v>29312</v>
      </c>
      <c r="B23290" s="6" t="s">
        <v>29313</v>
      </c>
      <c r="C23290" s="5" t="str">
        <f>IFERROR(__xludf.DUMMYFUNCTION("GOOGLETRANSLATE(B23290,""en"",""zh-CN"")"),"一个男人穿着黑色制服，接近一个小圆圈，该圆圈在田野中间，周围环绕着绿网。")</f>
        <v>一个男人穿着黑色制服，接近一个小圆圈，该圆圈在田野中间，周围环绕着绿网。</v>
      </c>
    </row>
    <row r="23291">
      <c r="A23291" s="4" t="s">
        <v>29312</v>
      </c>
      <c r="B23291" s="6" t="s">
        <v>29314</v>
      </c>
      <c r="C23291" s="5" t="str">
        <f>IFERROR(__xludf.DUMMYFUNCTION("GOOGLETRANSLATE(B23291,""en"",""zh-CN"")"),"人群被扑灭，然后显示出该男子扔了他的铁饼，因为多人用尽了他的距离。")</f>
        <v>人群被扑灭，然后显示出该男子扔了他的铁饼，因为多人用尽了他的距离。</v>
      </c>
    </row>
    <row r="23292">
      <c r="A23292" s="4" t="s">
        <v>29312</v>
      </c>
      <c r="B23292" s="4" t="s">
        <v>29315</v>
      </c>
      <c r="C23292" s="5" t="str">
        <f>IFERROR(__xludf.DUMMYFUNCTION("GOOGLETRANSLATE(B23292,""en"",""zh-CN"")"),"弹奏即时重播，男人脸的前部是可见的。")</f>
        <v>弹奏即时重播，男人脸的前部是可见的。</v>
      </c>
    </row>
    <row r="23293">
      <c r="A23293" s="4" t="s">
        <v>29316</v>
      </c>
      <c r="B23293" s="4" t="s">
        <v>24280</v>
      </c>
      <c r="C23293" s="5" t="str">
        <f>IFERROR(__xludf.DUMMYFUNCTION("GOOGLETRANSLATE(B23293,""en"",""zh-CN"")"),"我们看到一系列标题屏幕。")</f>
        <v>我们看到一系列标题屏幕。</v>
      </c>
    </row>
    <row r="23294">
      <c r="A23294" s="4" t="s">
        <v>29316</v>
      </c>
      <c r="B23294" s="4" t="s">
        <v>29317</v>
      </c>
      <c r="C23294" s="5" t="str">
        <f>IFERROR(__xludf.DUMMYFUNCTION("GOOGLETRANSLATE(B23294,""en"",""zh-CN"")"),"我们看到一块冰壶和一张图。")</f>
        <v>我们看到一块冰壶和一张图。</v>
      </c>
    </row>
    <row r="23295">
      <c r="A23295" s="4" t="s">
        <v>29316</v>
      </c>
      <c r="B23295" s="4" t="s">
        <v>29318</v>
      </c>
      <c r="C23295" s="5" t="str">
        <f>IFERROR(__xludf.DUMMYFUNCTION("GOOGLETRANSLATE(B23295,""en"",""zh-CN"")"),"我们看到一个人在推石。")</f>
        <v>我们看到一个人在推石。</v>
      </c>
    </row>
    <row r="23296">
      <c r="A23296" s="4" t="s">
        <v>29316</v>
      </c>
      <c r="B23296" s="4" t="s">
        <v>29319</v>
      </c>
      <c r="C23296" s="5" t="str">
        <f>IFERROR(__xludf.DUMMYFUNCTION("GOOGLETRANSLATE(B23296,""en"",""zh-CN"")"),"我们在另一个图上看到石头。")</f>
        <v>我们在另一个图上看到石头。</v>
      </c>
    </row>
    <row r="23297">
      <c r="A23297" s="4" t="s">
        <v>29316</v>
      </c>
      <c r="B23297" s="4" t="s">
        <v>29320</v>
      </c>
      <c r="C23297" s="5" t="str">
        <f>IFERROR(__xludf.DUMMYFUNCTION("GOOGLETRANSLATE(B23297,""en"",""zh-CN"")"),"我们看到一个男人推了石头，人们扫过它的前面。")</f>
        <v>我们看到一个男人推了石头，人们扫过它的前面。</v>
      </c>
    </row>
    <row r="23298">
      <c r="A23298" s="4" t="s">
        <v>29321</v>
      </c>
      <c r="B23298" s="4" t="s">
        <v>29322</v>
      </c>
      <c r="C23298" s="5" t="str">
        <f>IFERROR(__xludf.DUMMYFUNCTION("GOOGLETRANSLATE(B23298,""en"",""zh-CN"")"),"一个人的脚关闭坐在椅子上。")</f>
        <v>一个人的脚关闭坐在椅子上。</v>
      </c>
    </row>
    <row r="23299">
      <c r="A23299" s="4" t="s">
        <v>29321</v>
      </c>
      <c r="B23299" s="4" t="s">
        <v>29323</v>
      </c>
      <c r="C23299" s="5" t="str">
        <f>IFERROR(__xludf.DUMMYFUNCTION("GOOGLETRANSLATE(B23299,""en"",""zh-CN"")"),"然后，该人向前弯曲并开始穿鞋。")</f>
        <v>然后，该人向前弯曲并开始穿鞋。</v>
      </c>
    </row>
    <row r="23300">
      <c r="A23300" s="4" t="s">
        <v>29321</v>
      </c>
      <c r="B23300" s="4" t="s">
        <v>29324</v>
      </c>
      <c r="C23300" s="5" t="str">
        <f>IFERROR(__xludf.DUMMYFUNCTION("GOOGLETRANSLATE(B23300,""en"",""zh-CN"")"),"他完成穿鞋，站起来走开。")</f>
        <v>他完成穿鞋，站起来走开。</v>
      </c>
    </row>
    <row r="23301">
      <c r="A23301" s="4" t="s">
        <v>29325</v>
      </c>
      <c r="B23301" s="4" t="s">
        <v>29326</v>
      </c>
      <c r="C23301" s="5" t="str">
        <f>IFERROR(__xludf.DUMMYFUNCTION("GOOGLETRANSLATE(B23301,""en"",""zh-CN"")"),"一个人站在田野上。")</f>
        <v>一个人站在田野上。</v>
      </c>
    </row>
    <row r="23302">
      <c r="A23302" s="4" t="s">
        <v>29325</v>
      </c>
      <c r="B23302" s="4" t="s">
        <v>29327</v>
      </c>
      <c r="C23302" s="5" t="str">
        <f>IFERROR(__xludf.DUMMYFUNCTION("GOOGLETRANSLATE(B23302,""en"",""zh-CN"")"),"他将球踢向空中。")</f>
        <v>他将球踢向空中。</v>
      </c>
    </row>
    <row r="23303">
      <c r="A23303" s="4" t="s">
        <v>29325</v>
      </c>
      <c r="B23303" s="4" t="s">
        <v>29328</v>
      </c>
      <c r="C23303" s="5" t="str">
        <f>IFERROR(__xludf.DUMMYFUNCTION("GOOGLETRANSLATE(B23303,""en"",""zh-CN"")"),"他跑到一垒。")</f>
        <v>他跑到一垒。</v>
      </c>
    </row>
    <row r="23304">
      <c r="A23304" s="4" t="s">
        <v>29329</v>
      </c>
      <c r="B23304" s="4" t="s">
        <v>29330</v>
      </c>
      <c r="C23304" s="5" t="str">
        <f>IFERROR(__xludf.DUMMYFUNCTION("GOOGLETRANSLATE(B23304,""en"",""zh-CN"")"),"一个女人站在桌子后面，上面有几个南瓜雕刻套件。")</f>
        <v>一个女人站在桌子后面，上面有几个南瓜雕刻套件。</v>
      </c>
    </row>
    <row r="23305">
      <c r="A23305" s="4" t="s">
        <v>29329</v>
      </c>
      <c r="B23305" s="4" t="s">
        <v>29331</v>
      </c>
      <c r="C23305" s="5" t="str">
        <f>IFERROR(__xludf.DUMMYFUNCTION("GOOGLETRANSLATE(B23305,""en"",""zh-CN"")"),"她展示了书的内容。")</f>
        <v>她展示了书的内容。</v>
      </c>
    </row>
    <row r="23306">
      <c r="A23306" s="4" t="s">
        <v>29329</v>
      </c>
      <c r="B23306" s="4" t="s">
        <v>29332</v>
      </c>
      <c r="C23306" s="5" t="str">
        <f>IFERROR(__xludf.DUMMYFUNCTION("GOOGLETRANSLATE(B23306,""en"",""zh-CN"")"),"女人选择了设计，将其雕刻成南瓜。")</f>
        <v>女人选择了设计，将其雕刻成南瓜。</v>
      </c>
    </row>
    <row r="23307">
      <c r="A23307" s="4" t="s">
        <v>29329</v>
      </c>
      <c r="B23307" s="4" t="s">
        <v>29333</v>
      </c>
      <c r="C23307" s="5" t="str">
        <f>IFERROR(__xludf.DUMMYFUNCTION("GOOGLETRANSLATE(B23307,""en"",""zh-CN"")"),"然后，她将电池放在茶灯中进入内部，然后将南瓜黑色涂成黑色。")</f>
        <v>然后，她将电池放在茶灯中进入内部，然后将南瓜黑色涂成黑色。</v>
      </c>
    </row>
    <row r="23308">
      <c r="A23308" s="4" t="s">
        <v>29334</v>
      </c>
      <c r="B23308" s="4" t="s">
        <v>29335</v>
      </c>
      <c r="C23308" s="5" t="str">
        <f>IFERROR(__xludf.DUMMYFUNCTION("GOOGLETRANSLATE(B23308,""en"",""zh-CN"")"),"我们看到一个人滑到木桌上。")</f>
        <v>我们看到一个人滑到木桌上。</v>
      </c>
    </row>
    <row r="23309">
      <c r="A23309" s="4" t="s">
        <v>29334</v>
      </c>
      <c r="B23309" s="4" t="s">
        <v>29336</v>
      </c>
      <c r="C23309" s="5" t="str">
        <f>IFERROR(__xludf.DUMMYFUNCTION("GOOGLETRANSLATE(B23309,""en"",""zh-CN"")"),"该人移到桌子的另一端，相机从末端移动。")</f>
        <v>该人移到桌子的另一端，相机从末端移动。</v>
      </c>
    </row>
    <row r="23310">
      <c r="A23310" s="4" t="s">
        <v>29334</v>
      </c>
      <c r="B23310" s="4" t="s">
        <v>29337</v>
      </c>
      <c r="C23310" s="5" t="str">
        <f>IFERROR(__xludf.DUMMYFUNCTION("GOOGLETRANSLATE(B23310,""en"",""zh-CN"")"),"我们让这个人滑动所有的蓝色，然后将红色的圆盘从桌子上滑落。")</f>
        <v>我们让这个人滑动所有的蓝色，然后将红色的圆盘从桌子上滑落。</v>
      </c>
    </row>
    <row r="23311">
      <c r="A23311" s="4" t="s">
        <v>29334</v>
      </c>
      <c r="B23311" s="4" t="s">
        <v>29338</v>
      </c>
      <c r="C23311" s="5" t="str">
        <f>IFERROR(__xludf.DUMMYFUNCTION("GOOGLETRANSLATE(B23311,""en"",""zh-CN"")"),"我们看到一只手出现了。")</f>
        <v>我们看到一只手出现了。</v>
      </c>
    </row>
    <row r="23312">
      <c r="A23312" s="4" t="s">
        <v>29334</v>
      </c>
      <c r="B23312" s="4" t="s">
        <v>29339</v>
      </c>
      <c r="C23312" s="5" t="str">
        <f>IFERROR(__xludf.DUMMYFUNCTION("GOOGLETRANSLATE(B23312,""en"",""zh-CN"")"),"该人抓住蓝色的光盘并滑两次。")</f>
        <v>该人抓住蓝色的光盘并滑两次。</v>
      </c>
    </row>
    <row r="23313">
      <c r="A23313" s="4" t="s">
        <v>29340</v>
      </c>
      <c r="B23313" s="4" t="s">
        <v>29341</v>
      </c>
      <c r="C23313" s="5" t="str">
        <f>IFERROR(__xludf.DUMMYFUNCTION("GOOGLETRANSLATE(B23313,""en"",""zh-CN"")"),"一名雄性站在森林前的道路上，脚踩在滑板上。")</f>
        <v>一名雄性站在森林前的道路上，脚踩在滑板上。</v>
      </c>
    </row>
    <row r="23314">
      <c r="A23314" s="4" t="s">
        <v>29340</v>
      </c>
      <c r="B23314" s="4" t="s">
        <v>29342</v>
      </c>
      <c r="C23314" s="5" t="str">
        <f>IFERROR(__xludf.DUMMYFUNCTION("GOOGLETRANSLATE(B23314,""en"",""zh-CN"")"),"然后，雄性在滑板上开始平衡自己。")</f>
        <v>然后，雄性在滑板上开始平衡自己。</v>
      </c>
    </row>
    <row r="23315">
      <c r="A23315" s="4" t="s">
        <v>29340</v>
      </c>
      <c r="B23315" s="4" t="s">
        <v>29343</v>
      </c>
      <c r="C23315" s="5" t="str">
        <f>IFERROR(__xludf.DUMMYFUNCTION("GOOGLETRANSLATE(B23315,""en"",""zh-CN"")"),"之后，他拿起滑板，向后移动几英尺，开始滑板。")</f>
        <v>之后，他拿起滑板，向后移动几英尺，开始滑板。</v>
      </c>
    </row>
    <row r="23316">
      <c r="A23316" s="4" t="s">
        <v>29340</v>
      </c>
      <c r="B23316" s="4" t="s">
        <v>29344</v>
      </c>
      <c r="C23316" s="5" t="str">
        <f>IFERROR(__xludf.DUMMYFUNCTION("GOOGLETRANSLATE(B23316,""en"",""zh-CN"")"),"完成后，他拿起滑板，将其握在身边。")</f>
        <v>完成后，他拿起滑板，将其握在身边。</v>
      </c>
    </row>
    <row r="23317">
      <c r="A23317" s="4" t="s">
        <v>29345</v>
      </c>
      <c r="B23317" s="4" t="s">
        <v>29346</v>
      </c>
      <c r="C23317" s="5" t="str">
        <f>IFERROR(__xludf.DUMMYFUNCTION("GOOGLETRANSLATE(B23317,""en"",""zh-CN"")"),"一个女人走出厨房，和她的女儿身后走到轮船上。")</f>
        <v>一个女人走出厨房，和她的女儿身后走到轮船上。</v>
      </c>
    </row>
    <row r="23318">
      <c r="A23318" s="4" t="s">
        <v>29345</v>
      </c>
      <c r="B23318" s="6" t="s">
        <v>29347</v>
      </c>
      <c r="C23318" s="5" t="str">
        <f>IFERROR(__xludf.DUMMYFUNCTION("GOOGLETRANSLATE(B23318,""en"",""zh-CN"")"),"她捡起铁，开始用一条连衣裙扮演一条裤子，开始熨烫一条裤子，女人把铁放在衣服上。")</f>
        <v>她捡起铁，开始用一条连衣裙扮演一条裤子，开始熨烫一条裤子，女人把铁放在衣服上。</v>
      </c>
    </row>
    <row r="23319">
      <c r="A23319" s="4" t="s">
        <v>29345</v>
      </c>
      <c r="B23319" s="4" t="s">
        <v>29348</v>
      </c>
      <c r="C23319" s="5" t="str">
        <f>IFERROR(__xludf.DUMMYFUNCTION("GOOGLETRANSLATE(B23319,""en"",""zh-CN"")"),"当她看着女孩时，她为那个女孩屈服了。")</f>
        <v>当她看着女孩时，她为那个女孩屈服了。</v>
      </c>
    </row>
    <row r="23320">
      <c r="A23320" s="4" t="s">
        <v>29349</v>
      </c>
      <c r="B23320" s="4" t="s">
        <v>29350</v>
      </c>
      <c r="C23320" s="5" t="str">
        <f>IFERROR(__xludf.DUMMYFUNCTION("GOOGLETRANSLATE(B23320,""en"",""zh-CN"")"),"看到三个女孩站在悬崖上，互相击中小鸟。")</f>
        <v>看到三个女孩站在悬崖上，互相击中小鸟。</v>
      </c>
    </row>
    <row r="23321">
      <c r="A23321" s="4" t="s">
        <v>29349</v>
      </c>
      <c r="B23321" s="4" t="s">
        <v>29351</v>
      </c>
      <c r="C23321" s="5" t="str">
        <f>IFERROR(__xludf.DUMMYFUNCTION("GOOGLETRANSLATE(B23321,""en"",""zh-CN"")"),"当他们撞到小鸟时，相机在动作周围摇摆。")</f>
        <v>当他们撞到小鸟时，相机在动作周围摇摆。</v>
      </c>
    </row>
    <row r="23322">
      <c r="A23322" s="4" t="s">
        <v>29349</v>
      </c>
      <c r="B23322" s="4" t="s">
        <v>29352</v>
      </c>
      <c r="C23322" s="5" t="str">
        <f>IFERROR(__xludf.DUMMYFUNCTION("GOOGLETRANSLATE(B23322,""en"",""zh-CN"")"),"女孩们继续撞到周围的小鸟，最后炫耀自己的屁股。")</f>
        <v>女孩们继续撞到周围的小鸟，最后炫耀自己的屁股。</v>
      </c>
    </row>
    <row r="23323">
      <c r="A23323" s="4" t="s">
        <v>29353</v>
      </c>
      <c r="B23323" s="4" t="s">
        <v>29354</v>
      </c>
      <c r="C23323" s="5" t="str">
        <f>IFERROR(__xludf.DUMMYFUNCTION("GOOGLETRANSLATE(B23323,""en"",""zh-CN"")"),"一个女人编织并展示她的作品。")</f>
        <v>一个女人编织并展示她的作品。</v>
      </c>
    </row>
    <row r="23324">
      <c r="A23324" s="4" t="s">
        <v>29353</v>
      </c>
      <c r="B23324" s="4" t="s">
        <v>29355</v>
      </c>
      <c r="C23324" s="5" t="str">
        <f>IFERROR(__xludf.DUMMYFUNCTION("GOOGLETRANSLATE(B23324,""en"",""zh-CN"")"),"妇女坐在圈子互相交谈时在编织。")</f>
        <v>妇女坐在圈子互相交谈时在编织。</v>
      </c>
    </row>
    <row r="23325">
      <c r="A23325" s="4" t="s">
        <v>29353</v>
      </c>
      <c r="B23325" s="4" t="s">
        <v>29356</v>
      </c>
      <c r="C23325" s="5" t="str">
        <f>IFERROR(__xludf.DUMMYFUNCTION("GOOGLETRANSLATE(B23325,""en"",""zh-CN"")"),"一名记者在妇女编织的房间里谈论。")</f>
        <v>一名记者在妇女编织的房间里谈论。</v>
      </c>
    </row>
    <row r="23326">
      <c r="A23326" s="4" t="s">
        <v>29357</v>
      </c>
      <c r="B23326" s="4" t="s">
        <v>29358</v>
      </c>
      <c r="C23326" s="5" t="str">
        <f>IFERROR(__xludf.DUMMYFUNCTION("GOOGLETRANSLATE(B23326,""en"",""zh-CN"")"),"一个女人在熨衣板上熨烫棕色衬衫。")</f>
        <v>一个女人在熨衣板上熨烫棕色衬衫。</v>
      </c>
    </row>
    <row r="23327">
      <c r="A23327" s="4" t="s">
        <v>29357</v>
      </c>
      <c r="B23327" s="4" t="s">
        <v>29359</v>
      </c>
      <c r="C23327" s="5" t="str">
        <f>IFERROR(__xludf.DUMMYFUNCTION("GOOGLETRANSLATE(B23327,""en"",""zh-CN"")"),"她看着衬衫上的标签。")</f>
        <v>她看着衬衫上的标签。</v>
      </c>
    </row>
    <row r="23328">
      <c r="A23328" s="4" t="s">
        <v>29357</v>
      </c>
      <c r="B23328" s="4" t="s">
        <v>29360</v>
      </c>
      <c r="C23328" s="5" t="str">
        <f>IFERROR(__xludf.DUMMYFUNCTION("GOOGLETRANSLATE(B23328,""en"",""zh-CN"")"),"她继续在熨衣板上熨烫衬衫。")</f>
        <v>她继续在熨衣板上熨烫衬衫。</v>
      </c>
    </row>
    <row r="23329">
      <c r="A23329" s="4" t="s">
        <v>29357</v>
      </c>
      <c r="B23329" s="4" t="s">
        <v>29361</v>
      </c>
      <c r="C23329" s="5" t="str">
        <f>IFERROR(__xludf.DUMMYFUNCTION("GOOGLETRANSLATE(B23329,""en"",""zh-CN"")"),"她抬起衬衫，将其放在熨衣板上。")</f>
        <v>她抬起衬衫，将其放在熨衣板上。</v>
      </c>
    </row>
    <row r="23330">
      <c r="A23330" s="4" t="s">
        <v>29357</v>
      </c>
      <c r="B23330" s="4" t="s">
        <v>29362</v>
      </c>
      <c r="C23330" s="5" t="str">
        <f>IFERROR(__xludf.DUMMYFUNCTION("GOOGLETRANSLATE(B23330,""en"",""zh-CN"")"),"她将衬衫从内而外转，然后握住它。")</f>
        <v>她将衬衫从内而外转，然后握住它。</v>
      </c>
    </row>
    <row r="23331">
      <c r="A23331" s="4" t="s">
        <v>29363</v>
      </c>
      <c r="B23331" s="6" t="s">
        <v>29364</v>
      </c>
      <c r="C23331" s="5" t="str">
        <f>IFERROR(__xludf.DUMMYFUNCTION("GOOGLETRANSLATE(B23331,""en"",""zh-CN"")"),"一个男人与摄像机说话，微笑着，向他过渡，拿着锅并将黄油撒入其中。")</f>
        <v>一个男人与摄像机说话，微笑着，向他过渡，拿着锅并将黄油撒入其中。</v>
      </c>
    </row>
    <row r="23332">
      <c r="A23332" s="4" t="s">
        <v>29363</v>
      </c>
      <c r="B23332" s="4" t="s">
        <v>29365</v>
      </c>
      <c r="C23332" s="5" t="str">
        <f>IFERROR(__xludf.DUMMYFUNCTION("GOOGLETRANSLATE(B23332,""en"",""zh-CN"")"),"他将鸡蛋倒入锅中，然后用几种蔬菜将其推到四处。")</f>
        <v>他将鸡蛋倒入锅中，然后用几种蔬菜将其推到四处。</v>
      </c>
    </row>
    <row r="23333">
      <c r="A23333" s="4" t="s">
        <v>29363</v>
      </c>
      <c r="B23333" s="4" t="s">
        <v>29366</v>
      </c>
      <c r="C23333" s="5" t="str">
        <f>IFERROR(__xludf.DUMMYFUNCTION("GOOGLETRANSLATE(B23333,""en"",""zh-CN"")"),"他通过将煎蛋卷放在盘子上并吃了一口大口结束。")</f>
        <v>他通过将煎蛋卷放在盘子上并吃了一口大口结束。</v>
      </c>
    </row>
    <row r="23334">
      <c r="A23334" s="4" t="s">
        <v>29367</v>
      </c>
      <c r="B23334" s="6" t="s">
        <v>29368</v>
      </c>
      <c r="C23334" s="5" t="str">
        <f>IFERROR(__xludf.DUMMYFUNCTION("GOOGLETRANSLATE(B23334,""en"",""zh-CN"")"),"动画介绍屏幕上有许多小圣诞节图片在上面移动，而白色的单词则显示“装饰圣诞树”。")</f>
        <v>动画介绍屏幕上有许多小圣诞节图片在上面移动，而白色的单词则显示“装饰圣诞树”。</v>
      </c>
    </row>
    <row r="23335">
      <c r="A23335" s="4" t="s">
        <v>29367</v>
      </c>
      <c r="B23335" s="6" t="s">
        <v>29369</v>
      </c>
      <c r="C23335" s="5" t="str">
        <f>IFERROR(__xludf.DUMMYFUNCTION("GOOGLETRANSLATE(B23335,""en"",""zh-CN"")"),"同样的动画继续播放，现在出现的白色单词是“与我，我的姐姐，妈妈和克里斯在一起”。")</f>
        <v>同样的动画继续播放，现在出现的白色单词是“与我，我的姐姐，妈妈和克里斯在一起”。</v>
      </c>
    </row>
    <row r="23336">
      <c r="A23336" s="4" t="s">
        <v>29367</v>
      </c>
      <c r="B23336" s="6" t="s">
        <v>29370</v>
      </c>
      <c r="C23336" s="5" t="str">
        <f>IFERROR(__xludf.DUMMYFUNCTION("GOOGLETRANSLATE(B23336,""en"",""zh-CN"")"),"快速动作，有些人在一个住宅中，他们在一棵非常完整的树木周围缠绕着白色的圣诞树灯。")</f>
        <v>快速动作，有些人在一个住宅中，他们在一棵非常完整的树木周围缠绕着白色的圣诞树灯。</v>
      </c>
    </row>
    <row r="23337">
      <c r="A23337" s="4" t="s">
        <v>29367</v>
      </c>
      <c r="B23337" s="6" t="s">
        <v>29371</v>
      </c>
      <c r="C23337" s="5" t="str">
        <f>IFERROR(__xludf.DUMMYFUNCTION("GOOGLETRANSLATE(B23337,""en"",""zh-CN"")"),"当它们用灯光完成时，开始用装饰品装饰树，直到所有装饰品都充满。")</f>
        <v>当它们用灯光完成时，开始用装饰品装饰树，直到所有装饰品都充满。</v>
      </c>
    </row>
    <row r="23338">
      <c r="A23338" s="4" t="s">
        <v>29367</v>
      </c>
      <c r="B23338" s="6" t="s">
        <v>29372</v>
      </c>
      <c r="C23338" s="5" t="str">
        <f>IFERROR(__xludf.DUMMYFUNCTION("GOOGLETRANSLATE(B23338,""en"",""zh-CN"")"),"相机被捡起，这个人现在试图在孩子们闲逛并说话时将一颗白色的星星放在树的顶部。")</f>
        <v>相机被捡起，这个人现在试图在孩子们闲逛并说话时将一颗白色的星星放在树的顶部。</v>
      </c>
    </row>
    <row r="23339">
      <c r="A23339" s="4" t="s">
        <v>29367</v>
      </c>
      <c r="B23339" s="4" t="s">
        <v>29373</v>
      </c>
      <c r="C23339" s="5" t="str">
        <f>IFERROR(__xludf.DUMMYFUNCTION("GOOGLETRANSLATE(B23339,""en"",""zh-CN"")"),"星星现在在树上，相机放回原处，一个女孩拥抱树。")</f>
        <v>星星现在在树上，相机放回原处，一个女孩拥抱树。</v>
      </c>
    </row>
    <row r="23340">
      <c r="A23340" s="4" t="s">
        <v>29374</v>
      </c>
      <c r="B23340" s="4" t="s">
        <v>29375</v>
      </c>
      <c r="C23340" s="5" t="str">
        <f>IFERROR(__xludf.DUMMYFUNCTION("GOOGLETRANSLATE(B23340,""en"",""zh-CN"")"),"当他在相机上说话时，一个男人正站在健身房里。")</f>
        <v>当他在相机上说话时，一个男人正站在健身房里。</v>
      </c>
    </row>
    <row r="23341">
      <c r="A23341" s="4" t="s">
        <v>29374</v>
      </c>
      <c r="B23341" s="4" t="s">
        <v>29376</v>
      </c>
      <c r="C23341" s="5" t="str">
        <f>IFERROR(__xludf.DUMMYFUNCTION("GOOGLETRANSLATE(B23341,""en"",""zh-CN"")"),"他在地面上指示蓝色块，然后踩在上面并跪在上面。")</f>
        <v>他在地面上指示蓝色块，然后踩在上面并跪在上面。</v>
      </c>
    </row>
    <row r="23342">
      <c r="A23342" s="4" t="s">
        <v>29374</v>
      </c>
      <c r="B23342" s="4" t="s">
        <v>29377</v>
      </c>
      <c r="C23342" s="5" t="str">
        <f>IFERROR(__xludf.DUMMYFUNCTION("GOOGLETRANSLATE(B23342,""en"",""zh-CN"")"),"他开始在设备上拉电线，显示其使用方式。")</f>
        <v>他开始在设备上拉电线，显示其使用方式。</v>
      </c>
    </row>
    <row r="23343">
      <c r="A23343" s="4" t="s">
        <v>29378</v>
      </c>
      <c r="B23343" s="4" t="s">
        <v>29379</v>
      </c>
      <c r="C23343" s="5" t="str">
        <f>IFERROR(__xludf.DUMMYFUNCTION("GOOGLETRANSLATE(B23343,""en"",""zh-CN"")"),"一个男人在酒吧后面说话，站在众多酒精瓶前。")</f>
        <v>一个男人在酒吧后面说话，站在众多酒精瓶前。</v>
      </c>
    </row>
    <row r="23344">
      <c r="A23344" s="4" t="s">
        <v>29378</v>
      </c>
      <c r="B23344" s="4" t="s">
        <v>29380</v>
      </c>
      <c r="C23344" s="5" t="str">
        <f>IFERROR(__xludf.DUMMYFUNCTION("GOOGLETRANSLATE(B23344,""en"",""zh-CN"")"),"他将液体倒在装满冰的玻璃杯上。")</f>
        <v>他将液体倒在装满冰的玻璃杯上。</v>
      </c>
    </row>
    <row r="23345">
      <c r="A23345" s="4" t="s">
        <v>29378</v>
      </c>
      <c r="B23345" s="4" t="s">
        <v>29381</v>
      </c>
      <c r="C23345" s="5" t="str">
        <f>IFERROR(__xludf.DUMMYFUNCTION("GOOGLETRANSLATE(B23345,""en"",""zh-CN"")"),"然后，他为服务的最终产品装饰。")</f>
        <v>然后，他为服务的最终产品装饰。</v>
      </c>
    </row>
    <row r="23346">
      <c r="A23346" s="4" t="s">
        <v>29382</v>
      </c>
      <c r="B23346" s="4" t="s">
        <v>29383</v>
      </c>
      <c r="C23346" s="5" t="str">
        <f>IFERROR(__xludf.DUMMYFUNCTION("GOOGLETRANSLATE(B23346,""en"",""zh-CN"")"),"空手道学生在工作室里演奏和手持鼓。")</f>
        <v>空手道学生在工作室里演奏和手持鼓。</v>
      </c>
    </row>
    <row r="23347">
      <c r="A23347" s="4" t="s">
        <v>29382</v>
      </c>
      <c r="B23347" s="4" t="s">
        <v>29384</v>
      </c>
      <c r="C23347" s="5" t="str">
        <f>IFERROR(__xludf.DUMMYFUNCTION("GOOGLETRANSLATE(B23347,""en"",""zh-CN"")"),"空手道学生跳过其他学生在垫子上握着的绳子的顶部。")</f>
        <v>空手道学生跳过其他学生在垫子上握着的绳子的顶部。</v>
      </c>
    </row>
    <row r="23348">
      <c r="A23348" s="4" t="s">
        <v>29382</v>
      </c>
      <c r="B23348" s="4" t="s">
        <v>29385</v>
      </c>
      <c r="C23348" s="5" t="str">
        <f>IFERROR(__xludf.DUMMYFUNCTION("GOOGLETRANSLATE(B23348,""en"",""zh-CN"")"),"一群空手道学生练习拳头站在一条线上。")</f>
        <v>一群空手道学生练习拳头站在一条线上。</v>
      </c>
    </row>
    <row r="23349">
      <c r="A23349" s="4" t="s">
        <v>29382</v>
      </c>
      <c r="B23349" s="4" t="s">
        <v>29386</v>
      </c>
      <c r="C23349" s="5" t="str">
        <f>IFERROR(__xludf.DUMMYFUNCTION("GOOGLETRANSLATE(B23349,""en"",""zh-CN"")"),"一群年轻的学生练习与对手争吵。")</f>
        <v>一群年轻的学生练习与对手争吵。</v>
      </c>
    </row>
    <row r="23350">
      <c r="A23350" s="4" t="s">
        <v>29382</v>
      </c>
      <c r="B23350" s="4" t="s">
        <v>29387</v>
      </c>
      <c r="C23350" s="5" t="str">
        <f>IFERROR(__xludf.DUMMYFUNCTION("GOOGLETRANSLATE(B23350,""en"",""zh-CN"")"),"小组互相旋转彼此旋转。")</f>
        <v>小组互相旋转彼此旋转。</v>
      </c>
    </row>
    <row r="23351">
      <c r="A23351" s="4" t="s">
        <v>29382</v>
      </c>
      <c r="B23351" s="4" t="s">
        <v>29388</v>
      </c>
      <c r="C23351" s="5" t="str">
        <f>IFERROR(__xludf.DUMMYFUNCTION("GOOGLETRANSLATE(B23351,""en"",""zh-CN"")"),"该小组围成一圈，同时观看教练时一起跳来跳去。")</f>
        <v>该小组围成一圈，同时观看教练时一起跳来跳去。</v>
      </c>
    </row>
    <row r="23352">
      <c r="A23352" s="4" t="s">
        <v>29389</v>
      </c>
      <c r="B23352" s="4" t="s">
        <v>29390</v>
      </c>
      <c r="C23352" s="5" t="str">
        <f>IFERROR(__xludf.DUMMYFUNCTION("GOOGLETRANSLATE(B23352,""en"",""zh-CN"")"),"一个女人站在马匹外面说话。")</f>
        <v>一个女人站在马匹外面说话。</v>
      </c>
    </row>
    <row r="23353">
      <c r="A23353" s="4" t="s">
        <v>29389</v>
      </c>
      <c r="B23353" s="4" t="s">
        <v>29391</v>
      </c>
      <c r="C23353" s="5" t="str">
        <f>IFERROR(__xludf.DUMMYFUNCTION("GOOGLETRANSLATE(B23353,""en"",""zh-CN"")"),"她说的是客户在泥土中骑马之一。")</f>
        <v>她说的是客户在泥土中骑马之一。</v>
      </c>
    </row>
    <row r="23354">
      <c r="A23354" s="4" t="s">
        <v>29389</v>
      </c>
      <c r="B23354" s="4" t="s">
        <v>29392</v>
      </c>
      <c r="C23354" s="5" t="str">
        <f>IFERROR(__xludf.DUMMYFUNCTION("GOOGLETRANSLATE(B23354,""en"",""zh-CN"")"),"她讨论了骑手的形式和定位。")</f>
        <v>她讨论了骑手的形式和定位。</v>
      </c>
    </row>
    <row r="23355">
      <c r="A23355" s="4" t="s">
        <v>29389</v>
      </c>
      <c r="B23355" s="4" t="s">
        <v>29393</v>
      </c>
      <c r="C23355" s="5" t="str">
        <f>IFERROR(__xludf.DUMMYFUNCTION("GOOGLETRANSLATE(B23355,""en"",""zh-CN"")"),"女人看着时，骑手带着马到四处走动。")</f>
        <v>女人看着时，骑手带着马到四处走动。</v>
      </c>
    </row>
    <row r="23356">
      <c r="A23356" s="4" t="s">
        <v>29394</v>
      </c>
      <c r="B23356" s="4" t="s">
        <v>29395</v>
      </c>
      <c r="C23356" s="5" t="str">
        <f>IFERROR(__xludf.DUMMYFUNCTION("GOOGLETRANSLATE(B23356,""en"",""zh-CN"")"),"一个金发女郎在大屏幕前的新闻室里讲话。")</f>
        <v>一个金发女郎在大屏幕前的新闻室里讲话。</v>
      </c>
    </row>
    <row r="23357">
      <c r="A23357" s="4" t="s">
        <v>29394</v>
      </c>
      <c r="B23357" s="4" t="s">
        <v>29396</v>
      </c>
      <c r="C23357" s="5" t="str">
        <f>IFERROR(__xludf.DUMMYFUNCTION("GOOGLETRANSLATE(B23357,""en"",""zh-CN"")"),"看到船在滑雪板上拉动人们。")</f>
        <v>看到船在滑雪板上拉动人们。</v>
      </c>
    </row>
    <row r="23358">
      <c r="A23358" s="4" t="s">
        <v>29394</v>
      </c>
      <c r="B23358" s="4" t="s">
        <v>29397</v>
      </c>
      <c r="C23358" s="5" t="str">
        <f>IFERROR(__xludf.DUMMYFUNCTION("GOOGLETRANSLATE(B23358,""en"",""zh-CN"")"),"一个人被显示为准备然后在水中滑雪。")</f>
        <v>一个人被显示为准备然后在水中滑雪。</v>
      </c>
    </row>
    <row r="23359">
      <c r="A23359" s="4" t="s">
        <v>29398</v>
      </c>
      <c r="B23359" s="4" t="s">
        <v>29399</v>
      </c>
      <c r="C23359" s="5" t="str">
        <f>IFERROR(__xludf.DUMMYFUNCTION("GOOGLETRANSLATE(B23359,""en"",""zh-CN"")"),"看到几个人在一个室内田地徘徊，一根杆子在酒吧上围着。")</f>
        <v>看到几个人在一个室内田地徘徊，一根杆子在酒吧上围着。</v>
      </c>
    </row>
    <row r="23360">
      <c r="A23360" s="4" t="s">
        <v>29398</v>
      </c>
      <c r="B23360" s="4" t="s">
        <v>29400</v>
      </c>
      <c r="C23360" s="5" t="str">
        <f>IFERROR(__xludf.DUMMYFUNCTION("GOOGLETRANSLATE(B23360,""en"",""zh-CN"")"),"同一镜头再次以慢动作以及男孩的其他尝试。")</f>
        <v>同一镜头再次以慢动作以及男孩的其他尝试。</v>
      </c>
    </row>
    <row r="23361">
      <c r="A23361" s="4" t="s">
        <v>29398</v>
      </c>
      <c r="B23361" s="4" t="s">
        <v>29401</v>
      </c>
      <c r="C23361" s="5" t="str">
        <f>IFERROR(__xludf.DUMMYFUNCTION("GOOGLETRANSLATE(B23361,""en"",""zh-CN"")"),"当人们看着他的侧面时，他尝试了几次跳跃。")</f>
        <v>当人们看着他的侧面时，他尝试了几次跳跃。</v>
      </c>
    </row>
    <row r="23362">
      <c r="A23362" s="4" t="s">
        <v>29402</v>
      </c>
      <c r="B23362" s="4" t="s">
        <v>29403</v>
      </c>
      <c r="C23362" s="5" t="str">
        <f>IFERROR(__xludf.DUMMYFUNCTION("GOOGLETRANSLATE(B23362,""en"",""zh-CN"")"),"一个男人站在池塘旁边。")</f>
        <v>一个男人站在池塘旁边。</v>
      </c>
    </row>
    <row r="23363">
      <c r="A23363" s="4" t="s">
        <v>29402</v>
      </c>
      <c r="B23363" s="4" t="s">
        <v>29404</v>
      </c>
      <c r="C23363" s="5" t="str">
        <f>IFERROR(__xludf.DUMMYFUNCTION("GOOGLETRANSLATE(B23363,""en"",""zh-CN"")"),"他在弓上装载了箭。")</f>
        <v>他在弓上装载了箭。</v>
      </c>
    </row>
    <row r="23364">
      <c r="A23364" s="4" t="s">
        <v>29402</v>
      </c>
      <c r="B23364" s="6" t="s">
        <v>29405</v>
      </c>
      <c r="C23364" s="5" t="str">
        <f>IFERROR(__xludf.DUMMYFUNCTION("GOOGLETRANSLATE(B23364,""en"",""zh-CN"")"),"他在陶瓷猫上射击箭，将其撞到水中，然后再进入其他目标。")</f>
        <v>他在陶瓷猫上射击箭，将其撞到水中，然后再进入其他目标。</v>
      </c>
    </row>
    <row r="23365">
      <c r="A23365" s="4" t="s">
        <v>29406</v>
      </c>
      <c r="B23365" s="4" t="s">
        <v>29407</v>
      </c>
      <c r="C23365" s="5" t="str">
        <f>IFERROR(__xludf.DUMMYFUNCTION("GOOGLETRANSLATE(B23365,""en"",""zh-CN"")"),"看到一个女人走进框架并与镜头说话。")</f>
        <v>看到一个女人走进框架并与镜头说话。</v>
      </c>
    </row>
    <row r="23366">
      <c r="A23366" s="4" t="s">
        <v>29406</v>
      </c>
      <c r="B23366" s="4" t="s">
        <v>29408</v>
      </c>
      <c r="C23366" s="5" t="str">
        <f>IFERROR(__xludf.DUMMYFUNCTION("GOOGLETRANSLATE(B23366,""en"",""zh-CN"")"),"她坐在盒子上，一边抬起别人，开始将瓷砖放在地板上。")</f>
        <v>她坐在盒子上，一边抬起别人，开始将瓷砖放在地板上。</v>
      </c>
    </row>
    <row r="23367">
      <c r="A23367" s="4" t="s">
        <v>29406</v>
      </c>
      <c r="B23367" s="6" t="s">
        <v>29409</v>
      </c>
      <c r="C23367" s="5" t="str">
        <f>IFERROR(__xludf.DUMMYFUNCTION("GOOGLETRANSLATE(B23367,""en"",""zh-CN"")"),"她在与摄像机交谈时捡起别人，然后吸尘地板和一个孩子一起玩。")</f>
        <v>她在与摄像机交谈时捡起别人，然后吸尘地板和一个孩子一起玩。</v>
      </c>
    </row>
    <row r="23368">
      <c r="A23368" s="4" t="s">
        <v>29410</v>
      </c>
      <c r="B23368" s="4" t="s">
        <v>29411</v>
      </c>
      <c r="C23368" s="5" t="str">
        <f>IFERROR(__xludf.DUMMYFUNCTION("GOOGLETRANSLATE(B23368,""en"",""zh-CN"")"),"看到一个幼儿在一个大型高跷上绕着后院跑来跑去。")</f>
        <v>看到一个幼儿在一个大型高跷上绕着后院跑来跑去。</v>
      </c>
    </row>
    <row r="23369">
      <c r="A23369" s="4" t="s">
        <v>29410</v>
      </c>
      <c r="B23369" s="4" t="s">
        <v>29412</v>
      </c>
      <c r="C23369" s="5" t="str">
        <f>IFERROR(__xludf.DUMMYFUNCTION("GOOGLETRANSLATE(B23369,""en"",""zh-CN"")"),"当摄像机捕捉他并跑步时，男孩继续弹跳。")</f>
        <v>当摄像机捕捉他并跑步时，男孩继续弹跳。</v>
      </c>
    </row>
    <row r="23370">
      <c r="A23370" s="4" t="s">
        <v>29413</v>
      </c>
      <c r="B23370" s="4" t="s">
        <v>29414</v>
      </c>
      <c r="C23370" s="5" t="str">
        <f>IFERROR(__xludf.DUMMYFUNCTION("GOOGLETRANSLATE(B23370,""en"",""zh-CN"")"),"男孩在踢足球比赛的场地上跑步。")</f>
        <v>男孩在踢足球比赛的场地上跑步。</v>
      </c>
    </row>
    <row r="23371">
      <c r="A23371" s="4" t="s">
        <v>29413</v>
      </c>
      <c r="B23371" s="4" t="s">
        <v>29415</v>
      </c>
      <c r="C23371" s="5" t="str">
        <f>IFERROR(__xludf.DUMMYFUNCTION("GOOGLETRANSLATE(B23371,""en"",""zh-CN"")"),"然后，当观众观看时，他们正在室内球场上玩专业人士。")</f>
        <v>然后，当观众观看时，他们正在室内球场上玩专业人士。</v>
      </c>
    </row>
    <row r="23372">
      <c r="A23372" s="4" t="s">
        <v>29413</v>
      </c>
      <c r="B23372" s="4" t="s">
        <v>29416</v>
      </c>
      <c r="C23372" s="5" t="str">
        <f>IFERROR(__xludf.DUMMYFUNCTION("GOOGLETRANSLATE(B23372,""en"",""zh-CN"")"),"他们显示了许多不同游戏中的许多不同剪辑，例如视频回忆录。")</f>
        <v>他们显示了许多不同游戏中的许多不同剪辑，例如视频回忆录。</v>
      </c>
    </row>
    <row r="23373">
      <c r="A23373" s="4" t="s">
        <v>29413</v>
      </c>
      <c r="B23373" s="4" t="s">
        <v>29417</v>
      </c>
      <c r="C23373" s="5" t="str">
        <f>IFERROR(__xludf.DUMMYFUNCTION("GOOGLETRANSLATE(B23373,""en"",""zh-CN"")"),"12号是所有人的基础，他似乎是一名出色的足球运动员。")</f>
        <v>12号是所有人的基础，他似乎是一名出色的足球运动员。</v>
      </c>
    </row>
    <row r="23374">
      <c r="A23374" s="4" t="s">
        <v>29418</v>
      </c>
      <c r="B23374" s="4" t="s">
        <v>29419</v>
      </c>
      <c r="C23374" s="5" t="str">
        <f>IFERROR(__xludf.DUMMYFUNCTION("GOOGLETRANSLATE(B23374,""en"",""zh-CN"")"),"看到一个年轻的女孩在镜头说话并望向远处。")</f>
        <v>看到一个年轻的女孩在镜头说话并望向远处。</v>
      </c>
    </row>
    <row r="23375">
      <c r="A23375" s="4" t="s">
        <v>29418</v>
      </c>
      <c r="B23375" s="4" t="s">
        <v>29420</v>
      </c>
      <c r="C23375" s="5" t="str">
        <f>IFERROR(__xludf.DUMMYFUNCTION("GOOGLETRANSLATE(B23375,""en"",""zh-CN"")"),"她继续讲话，并导致一个女人剪头发。")</f>
        <v>她继续讲话，并导致一个女人剪头发。</v>
      </c>
    </row>
    <row r="23376">
      <c r="A23376" s="4" t="s">
        <v>29418</v>
      </c>
      <c r="B23376" s="4" t="s">
        <v>29421</v>
      </c>
      <c r="C23376" s="5" t="str">
        <f>IFERROR(__xludf.DUMMYFUNCTION("GOOGLETRANSLATE(B23376,""en"",""zh-CN"")"),"她递给女孩头发，最后露出割伤。")</f>
        <v>她递给女孩头发，最后露出割伤。</v>
      </c>
    </row>
    <row r="23377">
      <c r="A23377" s="4" t="s">
        <v>29422</v>
      </c>
      <c r="B23377" s="4" t="s">
        <v>29423</v>
      </c>
      <c r="C23377" s="5" t="str">
        <f>IFERROR(__xludf.DUMMYFUNCTION("GOOGLETRANSLATE(B23377,""en"",""zh-CN"")"),"多种颜色和设计在屏幕上闪烁。")</f>
        <v>多种颜色和设计在屏幕上闪烁。</v>
      </c>
    </row>
    <row r="23378">
      <c r="A23378" s="4" t="s">
        <v>29422</v>
      </c>
      <c r="B23378" s="4" t="s">
        <v>29424</v>
      </c>
      <c r="C23378" s="5" t="str">
        <f>IFERROR(__xludf.DUMMYFUNCTION("GOOGLETRANSLATE(B23378,""en"",""zh-CN"")"),"妇女在即将表演时在舞台上聚集。")</f>
        <v>妇女在即将表演时在舞台上聚集。</v>
      </c>
    </row>
    <row r="23379">
      <c r="A23379" s="4" t="s">
        <v>29422</v>
      </c>
      <c r="B23379" s="4" t="s">
        <v>29425</v>
      </c>
      <c r="C23379" s="5" t="str">
        <f>IFERROR(__xludf.DUMMYFUNCTION("GOOGLETRANSLATE(B23379,""en"",""zh-CN"")"),"妇女跳舞和跳跃，带领尊巴舞例行。")</f>
        <v>妇女跳舞和跳跃，带领尊巴舞例行。</v>
      </c>
    </row>
    <row r="23380">
      <c r="A23380" s="4" t="s">
        <v>29426</v>
      </c>
      <c r="B23380" s="6" t="s">
        <v>29427</v>
      </c>
      <c r="C23380" s="5" t="str">
        <f>IFERROR(__xludf.DUMMYFUNCTION("GOOGLETRANSLATE(B23380,""en"",""zh-CN"")"),"显示了各种迹象的镜头，以及在田野里走来走去并为活动做准备的人们。")</f>
        <v>显示了各种迹象的镜头，以及在田野里走来走去并为活动做准备的人们。</v>
      </c>
    </row>
    <row r="23381">
      <c r="A23381" s="4" t="s">
        <v>29426</v>
      </c>
      <c r="B23381" s="6" t="s">
        <v>29428</v>
      </c>
      <c r="C23381" s="5" t="str">
        <f>IFERROR(__xludf.DUMMYFUNCTION("GOOGLETRANSLATE(B23381,""en"",""zh-CN"")"),"许多人接受了摄像机的采访，并显示人们在旁边挥手和准备。")</f>
        <v>许多人接受了摄像机的采访，并显示人们在旁边挥手和准备。</v>
      </c>
    </row>
    <row r="23382">
      <c r="A23382" s="4" t="s">
        <v>29426</v>
      </c>
      <c r="B23382" s="6" t="s">
        <v>29429</v>
      </c>
      <c r="C23382" s="5" t="str">
        <f>IFERROR(__xludf.DUMMYFUNCTION("GOOGLETRANSLATE(B23382,""en"",""zh-CN"")"),"人们挥舞着相机，站着握住标志，同时更多地与相机交谈并展示Hopscotch的游戏。")</f>
        <v>人们挥舞着相机，站着握住标志，同时更多地与相机交谈并展示Hopscotch的游戏。</v>
      </c>
    </row>
    <row r="23383">
      <c r="A23383" s="4" t="s">
        <v>29430</v>
      </c>
      <c r="B23383" s="4" t="s">
        <v>29431</v>
      </c>
      <c r="C23383" s="5" t="str">
        <f>IFERROR(__xludf.DUMMYFUNCTION("GOOGLETRANSLATE(B23383,""en"",""zh-CN"")"),"狗将婴儿车推到人行道上。")</f>
        <v>狗将婴儿车推到人行道上。</v>
      </c>
    </row>
    <row r="23384">
      <c r="A23384" s="4" t="s">
        <v>29430</v>
      </c>
      <c r="B23384" s="4" t="s">
        <v>29432</v>
      </c>
      <c r="C23384" s="5" t="str">
        <f>IFERROR(__xludf.DUMMYFUNCTION("GOOGLETRANSLATE(B23384,""en"",""zh-CN"")"),"怀特的一个人经过树。")</f>
        <v>怀特的一个人经过树。</v>
      </c>
    </row>
    <row r="23385">
      <c r="A23385" s="4" t="s">
        <v>29430</v>
      </c>
      <c r="B23385" s="4" t="s">
        <v>29433</v>
      </c>
      <c r="C23385" s="5" t="str">
        <f>IFERROR(__xludf.DUMMYFUNCTION("GOOGLETRANSLATE(B23385,""en"",""zh-CN"")"),"狗经过一棵树。")</f>
        <v>狗经过一棵树。</v>
      </c>
    </row>
    <row r="23386">
      <c r="A23386" s="4" t="s">
        <v>29434</v>
      </c>
      <c r="B23386" s="4" t="s">
        <v>29435</v>
      </c>
      <c r="C23386" s="5" t="str">
        <f>IFERROR(__xludf.DUMMYFUNCTION("GOOGLETRANSLATE(B23386,""en"",""zh-CN"")"),"一个人开始用斧头切碎一块木头。")</f>
        <v>一个人开始用斧头切碎一块木头。</v>
      </c>
    </row>
    <row r="23387">
      <c r="A23387" s="4" t="s">
        <v>29434</v>
      </c>
      <c r="B23387" s="4" t="s">
        <v>29436</v>
      </c>
      <c r="C23387" s="5" t="str">
        <f>IFERROR(__xludf.DUMMYFUNCTION("GOOGLETRANSLATE(B23387,""en"",""zh-CN"")"),"他把木头捡起来，把它扔进一堆。")</f>
        <v>他把木头捡起来，把它扔进一堆。</v>
      </c>
    </row>
    <row r="23388">
      <c r="A23388" s="4" t="s">
        <v>29434</v>
      </c>
      <c r="B23388" s="4" t="s">
        <v>29437</v>
      </c>
      <c r="C23388" s="5" t="str">
        <f>IFERROR(__xludf.DUMMYFUNCTION("GOOGLETRANSLATE(B23388,""en"",""zh-CN"")"),"他捡起一块新的木头和排骨。")</f>
        <v>他捡起一块新的木头和排骨。</v>
      </c>
    </row>
    <row r="23389">
      <c r="A23389" s="4" t="s">
        <v>29438</v>
      </c>
      <c r="B23389" s="4" t="s">
        <v>29439</v>
      </c>
      <c r="C23389" s="5" t="str">
        <f>IFERROR(__xludf.DUMMYFUNCTION("GOOGLETRANSLATE(B23389,""en"",""zh-CN"")"),"当相机看着她时，看到一个女人坐在椅子编织线上。")</f>
        <v>当相机看着她时，看到一个女人坐在椅子编织线上。</v>
      </c>
    </row>
    <row r="23390">
      <c r="A23390" s="4" t="s">
        <v>29438</v>
      </c>
      <c r="B23390" s="4" t="s">
        <v>29440</v>
      </c>
      <c r="C23390" s="5" t="str">
        <f>IFERROR(__xludf.DUMMYFUNCTION("GOOGLETRANSLATE(B23390,""en"",""zh-CN"")"),"该名女子继续编织时，停下来看着相机并制作脸。")</f>
        <v>该名女子继续编织时，停下来看着相机并制作脸。</v>
      </c>
    </row>
    <row r="23391">
      <c r="A23391" s="4" t="s">
        <v>29441</v>
      </c>
      <c r="B23391" s="4" t="s">
        <v>29442</v>
      </c>
      <c r="C23391" s="5" t="str">
        <f>IFERROR(__xludf.DUMMYFUNCTION("GOOGLETRANSLATE(B23391,""en"",""zh-CN"")"),"悍马将一条船靠在坡道上。")</f>
        <v>悍马将一条船靠在坡道上。</v>
      </c>
    </row>
    <row r="23392">
      <c r="A23392" s="4" t="s">
        <v>29441</v>
      </c>
      <c r="B23392" s="4" t="s">
        <v>29443</v>
      </c>
      <c r="C23392" s="5" t="str">
        <f>IFERROR(__xludf.DUMMYFUNCTION("GOOGLETRANSLATE(B23392,""en"",""zh-CN"")"),"一个人在船后登机。")</f>
        <v>一个人在船后登机。</v>
      </c>
    </row>
    <row r="23393">
      <c r="A23393" s="4" t="s">
        <v>29441</v>
      </c>
      <c r="B23393" s="4" t="s">
        <v>29444</v>
      </c>
      <c r="C23393" s="5" t="str">
        <f>IFERROR(__xludf.DUMMYFUNCTION("GOOGLETRANSLATE(B23393,""en"",""zh-CN"")"),"人们坐在船上。")</f>
        <v>人们坐在船上。</v>
      </c>
    </row>
    <row r="23394">
      <c r="A23394" s="4" t="s">
        <v>29445</v>
      </c>
      <c r="B23394" s="4" t="s">
        <v>29446</v>
      </c>
      <c r="C23394" s="5" t="str">
        <f>IFERROR(__xludf.DUMMYFUNCTION("GOOGLETRANSLATE(B23394,""en"",""zh-CN"")"),"一个女人坐在滑梯的底部。")</f>
        <v>一个女人坐在滑梯的底部。</v>
      </c>
    </row>
    <row r="23395">
      <c r="A23395" s="4" t="s">
        <v>29445</v>
      </c>
      <c r="B23395" s="4" t="s">
        <v>29447</v>
      </c>
      <c r="C23395" s="5" t="str">
        <f>IFERROR(__xludf.DUMMYFUNCTION("GOOGLETRANSLATE(B23395,""en"",""zh-CN"")"),"她正在调整相机。")</f>
        <v>她正在调整相机。</v>
      </c>
    </row>
    <row r="23396">
      <c r="A23396" s="4" t="s">
        <v>29445</v>
      </c>
      <c r="B23396" s="4" t="s">
        <v>29448</v>
      </c>
      <c r="C23396" s="5" t="str">
        <f>IFERROR(__xludf.DUMMYFUNCTION("GOOGLETRANSLATE(B23396,""en"",""zh-CN"")"),"一个孩子从幻灯片下滑动，从后面撞到她。")</f>
        <v>一个孩子从幻灯片下滑动，从后面撞到她。</v>
      </c>
    </row>
    <row r="23397">
      <c r="A23397" s="4" t="s">
        <v>29449</v>
      </c>
      <c r="B23397" s="4" t="s">
        <v>29450</v>
      </c>
      <c r="C23397" s="5" t="str">
        <f>IFERROR(__xludf.DUMMYFUNCTION("GOOGLETRANSLATE(B23397,""en"",""zh-CN"")"),"看到一个幼儿爬上游乐场，然后沿着滑梯沿着滑梯往下走。")</f>
        <v>看到一个幼儿爬上游乐场，然后沿着滑梯沿着滑梯往下走。</v>
      </c>
    </row>
    <row r="23398">
      <c r="A23398" s="4" t="s">
        <v>29449</v>
      </c>
      <c r="B23398" s="6" t="s">
        <v>29451</v>
      </c>
      <c r="C23398" s="5" t="str">
        <f>IFERROR(__xludf.DUMMYFUNCTION("GOOGLETRANSLATE(B23398,""en"",""zh-CN"")"),"她再次回到顶部，然后再沿着滑梯，再次回到楼梯。")</f>
        <v>她再次回到顶部，然后再沿着滑梯，再次回到楼梯。</v>
      </c>
    </row>
    <row r="23399">
      <c r="A23399" s="4" t="s">
        <v>29452</v>
      </c>
      <c r="B23399" s="4" t="s">
        <v>29453</v>
      </c>
      <c r="C23399" s="5" t="str">
        <f>IFERROR(__xludf.DUMMYFUNCTION("GOOGLETRANSLATE(B23399,""en"",""zh-CN"")"),"一个人站在山丘上的雪地上，然后人滑到山上并跌倒。")</f>
        <v>一个人站在山丘上的雪地上，然后人滑到山上并跌倒。</v>
      </c>
    </row>
    <row r="23400">
      <c r="A23400" s="4" t="s">
        <v>29452</v>
      </c>
      <c r="B23400" s="4" t="s">
        <v>29454</v>
      </c>
      <c r="C23400" s="5" t="str">
        <f>IFERROR(__xludf.DUMMYFUNCTION("GOOGLETRANSLATE(B23400,""en"",""zh-CN"")"),"滑雪者从山上走下来，跳过石头，跌倒并在雪地上滚动。")</f>
        <v>滑雪者从山上走下来，跳过石头，跌倒并在雪地上滚动。</v>
      </c>
    </row>
    <row r="23401">
      <c r="A23401" s="4" t="s">
        <v>29452</v>
      </c>
      <c r="B23401" s="4" t="s">
        <v>29455</v>
      </c>
      <c r="C23401" s="5" t="str">
        <f>IFERROR(__xludf.DUMMYFUNCTION("GOOGLETRANSLATE(B23401,""en"",""zh-CN"")"),"然后，其他人的天空在山上和平坦的区域覆盖着雪。")</f>
        <v>然后，其他人的天空在山上和平坦的区域覆盖着雪。</v>
      </c>
    </row>
    <row r="23402">
      <c r="A23402" s="4" t="s">
        <v>29452</v>
      </c>
      <c r="B23402" s="4" t="s">
        <v>29456</v>
      </c>
      <c r="C23402" s="5" t="str">
        <f>IFERROR(__xludf.DUMMYFUNCTION("GOOGLETRANSLATE(B23402,""en"",""zh-CN"")"),"另外，滑雪者在空气中翻转，而其他人看着。")</f>
        <v>另外，滑雪者在空气中翻转，而其他人看着。</v>
      </c>
    </row>
    <row r="23403">
      <c r="A23403" s="4" t="s">
        <v>29457</v>
      </c>
      <c r="B23403" s="4" t="s">
        <v>29458</v>
      </c>
      <c r="C23403" s="5" t="str">
        <f>IFERROR(__xludf.DUMMYFUNCTION("GOOGLETRANSLATE(B23403,""en"",""zh-CN"")"),"两名男子在室内球场上比赛。")</f>
        <v>两名男子在室内球场上比赛。</v>
      </c>
    </row>
    <row r="23404">
      <c r="A23404" s="4" t="s">
        <v>29457</v>
      </c>
      <c r="B23404" s="4" t="s">
        <v>29459</v>
      </c>
      <c r="C23404" s="5" t="str">
        <f>IFERROR(__xludf.DUMMYFUNCTION("GOOGLETRANSLATE(B23404,""en"",""zh-CN"")"),"白衬衫的左男子错过了球，开始了球。")</f>
        <v>白衬衫的左男子错过了球，开始了球。</v>
      </c>
    </row>
    <row r="23405">
      <c r="A23405" s="4" t="s">
        <v>29457</v>
      </c>
      <c r="B23405" s="6" t="s">
        <v>29460</v>
      </c>
      <c r="C23405" s="5" t="str">
        <f>IFERROR(__xludf.DUMMYFUNCTION("GOOGLETRANSLATE(B23405,""en"",""zh-CN"")"),"我们看到那个穿着灰色衬衫的男人想念球的土地站起来，在看上去很失望的同时抽出拳头。")</f>
        <v>我们看到那个穿着灰色衬衫的男人想念球的土地站起来，在看上去很失望的同时抽出拳头。</v>
      </c>
    </row>
    <row r="23406">
      <c r="A23406" s="4" t="s">
        <v>29461</v>
      </c>
      <c r="B23406" s="6" t="s">
        <v>29462</v>
      </c>
      <c r="C23406" s="5" t="str">
        <f>IFERROR(__xludf.DUMMYFUNCTION("GOOGLETRANSLATE(B23406,""en"",""zh-CN"")"),"一个小女孩正和父亲一起坐在门廊的地板上，因为他为她放了一个蓝色的蝴蝶风筝。")</f>
        <v>一个小女孩正和父亲一起坐在门廊的地板上，因为他为她放了一个蓝色的蝴蝶风筝。</v>
      </c>
    </row>
    <row r="23407">
      <c r="A23407" s="4" t="s">
        <v>29461</v>
      </c>
      <c r="B23407" s="4" t="s">
        <v>29463</v>
      </c>
      <c r="C23407" s="5" t="str">
        <f>IFERROR(__xludf.DUMMYFUNCTION("GOOGLETRANSLATE(B23407,""en"",""zh-CN"")"),"完成风筝后，他们公开出去驾驶风筝。")</f>
        <v>完成风筝后，他们公开出去驾驶风筝。</v>
      </c>
    </row>
    <row r="23408">
      <c r="A23408" s="4" t="s">
        <v>29461</v>
      </c>
      <c r="B23408" s="4" t="s">
        <v>29464</v>
      </c>
      <c r="C23408" s="5" t="str">
        <f>IFERROR(__xludf.DUMMYFUNCTION("GOOGLETRANSLATE(B23408,""en"",""zh-CN"")"),"当风强烈吹动时，父亲手里拿着风筝。")</f>
        <v>当风强烈吹动时，父亲手里拿着风筝。</v>
      </c>
    </row>
    <row r="23409">
      <c r="A23409" s="4" t="s">
        <v>29461</v>
      </c>
      <c r="B23409" s="4" t="s">
        <v>29465</v>
      </c>
      <c r="C23409" s="5" t="str">
        <f>IFERROR(__xludf.DUMMYFUNCTION("GOOGLETRANSLATE(B23409,""en"",""zh-CN"")"),"女孩握着风筝的绳子，开始在空气中高高地飞行风筝。")</f>
        <v>女孩握着风筝的绳子，开始在空气中高高地飞行风筝。</v>
      </c>
    </row>
    <row r="23410">
      <c r="A23410" s="4" t="s">
        <v>29466</v>
      </c>
      <c r="B23410" s="6" t="s">
        <v>29467</v>
      </c>
      <c r="C23410" s="5" t="str">
        <f>IFERROR(__xludf.DUMMYFUNCTION("GOOGLETRANSLATE(B23410,""en"",""zh-CN"")"),"一位厨师解释了如何用蔬菜和香料煮煎蛋，然后，厨师拿起菜，用生菜和柠檬煮熟。")</f>
        <v>一位厨师解释了如何用蔬菜和香料煮煎蛋，然后，厨师拿起菜，用生菜和柠檬煮熟。</v>
      </c>
    </row>
    <row r="23411">
      <c r="A23411" s="4" t="s">
        <v>29466</v>
      </c>
      <c r="B23411" s="4" t="s">
        <v>29468</v>
      </c>
      <c r="C23411" s="5" t="str">
        <f>IFERROR(__xludf.DUMMYFUNCTION("GOOGLETRANSLATE(B23411,""en"",""zh-CN"")"),"一个男人和一个女人在餐厅的厨师后面经过。")</f>
        <v>一个男人和一个女人在餐厅的厨师后面经过。</v>
      </c>
    </row>
    <row r="23412">
      <c r="A23412" s="4" t="s">
        <v>29466</v>
      </c>
      <c r="B23412" s="4" t="s">
        <v>29469</v>
      </c>
      <c r="C23412" s="5" t="str">
        <f>IFERROR(__xludf.DUMMYFUNCTION("GOOGLETRANSLATE(B23412,""en"",""zh-CN"")"),"另一个男人坐在桌子里，站着走开。")</f>
        <v>另一个男人坐在桌子里，站着走开。</v>
      </c>
    </row>
    <row r="23413">
      <c r="A23413" s="4" t="s">
        <v>29466</v>
      </c>
      <c r="B23413" s="4" t="s">
        <v>29470</v>
      </c>
      <c r="C23413" s="5" t="str">
        <f>IFERROR(__xludf.DUMMYFUNCTION("GOOGLETRANSLATE(B23413,""en"",""zh-CN"")"),"另一个人进入餐厅，向左转。")</f>
        <v>另一个人进入餐厅，向左转。</v>
      </c>
    </row>
    <row r="23414">
      <c r="A23414" s="4" t="s">
        <v>29471</v>
      </c>
      <c r="B23414" s="4" t="s">
        <v>29472</v>
      </c>
      <c r="C23414" s="5" t="str">
        <f>IFERROR(__xludf.DUMMYFUNCTION("GOOGLETRANSLATE(B23414,""en"",""zh-CN"")"),"一个小男孩在院子里，使用叶子鼓风机。")</f>
        <v>一个小男孩在院子里，使用叶子鼓风机。</v>
      </c>
    </row>
    <row r="23415">
      <c r="A23415" s="4" t="s">
        <v>29471</v>
      </c>
      <c r="B23415" s="4" t="s">
        <v>29473</v>
      </c>
      <c r="C23415" s="5" t="str">
        <f>IFERROR(__xludf.DUMMYFUNCTION("GOOGLETRANSLATE(B23415,""en"",""zh-CN"")"),"一个小女孩很快就加入了他的行列，离开了。")</f>
        <v>一个小女孩很快就加入了他的行列，离开了。</v>
      </c>
    </row>
    <row r="23416">
      <c r="A23416" s="4" t="s">
        <v>29474</v>
      </c>
      <c r="B23416" s="4" t="s">
        <v>29475</v>
      </c>
      <c r="C23416" s="5" t="str">
        <f>IFERROR(__xludf.DUMMYFUNCTION("GOOGLETRANSLATE(B23416,""en"",""zh-CN"")"),"当另一个男人走出去和他说话时，看到一个男人弯腰洗手。")</f>
        <v>当另一个男人走出去和他说话时，看到一个男人弯腰洗手。</v>
      </c>
    </row>
    <row r="23417">
      <c r="A23417" s="4" t="s">
        <v>29474</v>
      </c>
      <c r="B23417" s="6" t="s">
        <v>29476</v>
      </c>
      <c r="C23417" s="5" t="str">
        <f>IFERROR(__xludf.DUMMYFUNCTION("GOOGLETRANSLATE(B23417,""en"",""zh-CN"")"),"然后，另一个男人开始用肥皂洗手，而另一个人则看着。")</f>
        <v>然后，另一个男人开始用肥皂洗手，而另一个人则看着。</v>
      </c>
    </row>
    <row r="23418">
      <c r="A23418" s="4" t="s">
        <v>29474</v>
      </c>
      <c r="B23418" s="4" t="s">
        <v>29477</v>
      </c>
      <c r="C23418" s="5" t="str">
        <f>IFERROR(__xludf.DUMMYFUNCTION("GOOGLETRANSLATE(B23418,""en"",""zh-CN"")"),"他完成洗涤，而另一个男人离开并提示第三个人走出摊位。")</f>
        <v>他完成洗涤，而另一个男人离开并提示第三个人走出摊位。</v>
      </c>
    </row>
    <row r="23419">
      <c r="A23419" s="4" t="s">
        <v>29478</v>
      </c>
      <c r="B23419" s="4" t="s">
        <v>29479</v>
      </c>
      <c r="C23419" s="5" t="str">
        <f>IFERROR(__xludf.DUMMYFUNCTION("GOOGLETRANSLATE(B23419,""en"",""zh-CN"")"),"人们在聚会上玩啤酒乒乓球。")</f>
        <v>人们在聚会上玩啤酒乒乓球。</v>
      </c>
    </row>
    <row r="23420">
      <c r="A23420" s="4" t="s">
        <v>29478</v>
      </c>
      <c r="B23420" s="4" t="s">
        <v>29480</v>
      </c>
      <c r="C23420" s="5" t="str">
        <f>IFERROR(__xludf.DUMMYFUNCTION("GOOGLETRANSLATE(B23420,""en"",""zh-CN"")"),"人们在桌上喝酒。")</f>
        <v>人们在桌上喝酒。</v>
      </c>
    </row>
    <row r="23421">
      <c r="A23421" s="4" t="s">
        <v>29478</v>
      </c>
      <c r="B23421" s="4" t="s">
        <v>29481</v>
      </c>
      <c r="C23421" s="5" t="str">
        <f>IFERROR(__xludf.DUMMYFUNCTION("GOOGLETRANSLATE(B23421,""en"",""zh-CN"")"),"显示了一杯啤酒。")</f>
        <v>显示了一杯啤酒。</v>
      </c>
    </row>
    <row r="23422">
      <c r="A23422" s="4" t="s">
        <v>29482</v>
      </c>
      <c r="B23422" s="4" t="s">
        <v>29483</v>
      </c>
      <c r="C23422" s="5" t="str">
        <f>IFERROR(__xludf.DUMMYFUNCTION("GOOGLETRANSLATE(B23422,""en"",""zh-CN"")"),"看到一个男人把飞镖扔到木板上，并导致一个女人说话。")</f>
        <v>看到一个男人把飞镖扔到木板上，并导致一个女人说话。</v>
      </c>
    </row>
    <row r="23423">
      <c r="A23423" s="4" t="s">
        <v>29482</v>
      </c>
      <c r="B23423" s="4" t="s">
        <v>29484</v>
      </c>
      <c r="C23423" s="5" t="str">
        <f>IFERROR(__xludf.DUMMYFUNCTION("GOOGLETRANSLATE(B23423,""en"",""zh-CN"")"),"男人在抽出时间与女人说话时扔了几个飞镖。")</f>
        <v>男人在抽出时间与女人说话时扔了几个飞镖。</v>
      </c>
    </row>
    <row r="23424">
      <c r="A23424" s="4" t="s">
        <v>29482</v>
      </c>
      <c r="B23424" s="6" t="s">
        <v>29485</v>
      </c>
      <c r="C23424" s="5" t="str">
        <f>IFERROR(__xludf.DUMMYFUNCTION("GOOGLETRANSLATE(B23424,""en"",""zh-CN"")"),"越来越多的人投掷飞镖，而两人继续讲话，男人指向董事会。")</f>
        <v>越来越多的人投掷飞镖，而两人继续讲话，男人指向董事会。</v>
      </c>
    </row>
    <row r="23425">
      <c r="A23425" s="4" t="s">
        <v>29486</v>
      </c>
      <c r="B23425" s="6" t="s">
        <v>29487</v>
      </c>
      <c r="C23425" s="5" t="str">
        <f>IFERROR(__xludf.DUMMYFUNCTION("GOOGLETRANSLATE(B23425,""en"",""zh-CN"")"),"看到围绕几组人的摄像机锅，彼此之间表演武术，以及四处走动和观看的人。")</f>
        <v>看到围绕几组人的摄像机锅，彼此之间表演武术，以及四处走动和观看的人。</v>
      </c>
    </row>
    <row r="23426">
      <c r="A23426" s="4" t="s">
        <v>29486</v>
      </c>
      <c r="B23426" s="6" t="s">
        <v>29488</v>
      </c>
      <c r="C23426" s="5" t="str">
        <f>IFERROR(__xludf.DUMMYFUNCTION("GOOGLETRANSLATE(B23426,""en"",""zh-CN"")"),"许多人在街上跳舞和唱歌以及在街上表演武术并互相帮助。")</f>
        <v>许多人在街上跳舞和唱歌以及在街上表演武术并互相帮助。</v>
      </c>
    </row>
    <row r="23427">
      <c r="A23427" s="4" t="s">
        <v>29486</v>
      </c>
      <c r="B23427" s="6" t="s">
        <v>29489</v>
      </c>
      <c r="C23427" s="5" t="str">
        <f>IFERROR(__xludf.DUMMYFUNCTION("GOOGLETRANSLATE(B23427,""en"",""zh-CN"")"),"人们看到人们弹奏乐器，阅读新闻，并在街上进行武术。")</f>
        <v>人们看到人们弹奏乐器，阅读新闻，并在街上进行武术。</v>
      </c>
    </row>
    <row r="23428">
      <c r="A23428" s="4" t="s">
        <v>29490</v>
      </c>
      <c r="B23428" s="4" t="s">
        <v>29491</v>
      </c>
      <c r="C23428" s="5" t="str">
        <f>IFERROR(__xludf.DUMMYFUNCTION("GOOGLETRANSLATE(B23428,""en"",""zh-CN"")"),"一个人在房间里扮演Tam-tam，该男子主要在前嗡嗡声上扮演Tamtam。")</f>
        <v>一个人在房间里扮演Tam-tam，该男子主要在前嗡嗡声上扮演Tamtam。</v>
      </c>
    </row>
    <row r="23429">
      <c r="A23429" s="4" t="s">
        <v>29490</v>
      </c>
      <c r="B23429" s="4" t="s">
        <v>29492</v>
      </c>
      <c r="C23429" s="5" t="str">
        <f>IFERROR(__xludf.DUMMYFUNCTION("GOOGLETRANSLATE(B23429,""en"",""zh-CN"")"),"手在屏幕前传递。")</f>
        <v>手在屏幕前传递。</v>
      </c>
    </row>
    <row r="23430">
      <c r="A23430" s="4" t="s">
        <v>29490</v>
      </c>
      <c r="B23430" s="4" t="s">
        <v>29493</v>
      </c>
      <c r="C23430" s="5" t="str">
        <f>IFERROR(__xludf.DUMMYFUNCTION("GOOGLETRANSLATE(B23430,""en"",""zh-CN"")"),"该人将手臂伸到tam-tam上。")</f>
        <v>该人将手臂伸到tam-tam上。</v>
      </c>
    </row>
    <row r="23431">
      <c r="A23431" s="4" t="s">
        <v>29494</v>
      </c>
      <c r="B23431" s="4" t="s">
        <v>29495</v>
      </c>
      <c r="C23431" s="5" t="str">
        <f>IFERROR(__xludf.DUMMYFUNCTION("GOOGLETRANSLATE(B23431,""en"",""zh-CN"")"),"一个男人从棕色马跳下来，他一开始就把公牛拖到了地上。")</f>
        <v>一个男人从棕色马跳下来，他一开始就把公牛拖到了地上。</v>
      </c>
    </row>
    <row r="23432">
      <c r="A23432" s="4" t="s">
        <v>29494</v>
      </c>
      <c r="B23432" s="4" t="s">
        <v>29496</v>
      </c>
      <c r="C23432" s="5" t="str">
        <f>IFERROR(__xludf.DUMMYFUNCTION("GOOGLETRANSLATE(B23432,""en"",""zh-CN"")"),"然后他抓住了另一匹马，他抚摸着比最后一头马大的公牛。")</f>
        <v>然后他抓住了另一匹马，他抚摸着比最后一头马大的公牛。</v>
      </c>
    </row>
    <row r="23433">
      <c r="A23433" s="4" t="s">
        <v>29494</v>
      </c>
      <c r="B23433" s="4" t="s">
        <v>29497</v>
      </c>
      <c r="C23433" s="5" t="str">
        <f>IFERROR(__xludf.DUMMYFUNCTION("GOOGLETRANSLATE(B23433,""en"",""zh-CN"")"),"当他把公牛的腿绑在一起时，他站起来走开。")</f>
        <v>当他把公牛的腿绑在一起时，他站起来走开。</v>
      </c>
    </row>
    <row r="23434">
      <c r="A23434" s="4" t="s">
        <v>29498</v>
      </c>
      <c r="B23434" s="4" t="s">
        <v>29499</v>
      </c>
      <c r="C23434" s="5" t="str">
        <f>IFERROR(__xludf.DUMMYFUNCTION("GOOGLETRANSLATE(B23434,""en"",""zh-CN"")"),"在一群人面前，两支球队之间正在玩一场板球比赛。")</f>
        <v>在一群人面前，两支球队之间正在玩一场板球比赛。</v>
      </c>
    </row>
    <row r="23435">
      <c r="A23435" s="4" t="s">
        <v>29498</v>
      </c>
      <c r="B23435" s="4" t="s">
        <v>29500</v>
      </c>
      <c r="C23435" s="5" t="str">
        <f>IFERROR(__xludf.DUMMYFUNCTION("GOOGLETRANSLATE(B23435,""en"",""zh-CN"")"),"第一部剧本是制作的，评论员叙述了这部戏。")</f>
        <v>第一部剧本是制作的，评论员叙述了这部戏。</v>
      </c>
    </row>
    <row r="23436">
      <c r="A23436" s="4" t="s">
        <v>29498</v>
      </c>
      <c r="B23436" s="4" t="s">
        <v>29501</v>
      </c>
      <c r="C23436" s="5" t="str">
        <f>IFERROR(__xludf.DUMMYFUNCTION("GOOGLETRANSLATE(B23436,""en"",""zh-CN"")"),"然后，在评论员叙述它的同时，开始了先前的剧本。")</f>
        <v>然后，在评论员叙述它的同时，开始了先前的剧本。</v>
      </c>
    </row>
    <row r="23437">
      <c r="A23437" s="4" t="s">
        <v>29498</v>
      </c>
      <c r="B23437" s="4" t="s">
        <v>29502</v>
      </c>
      <c r="C23437" s="5" t="str">
        <f>IFERROR(__xludf.DUMMYFUNCTION("GOOGLETRANSLATE(B23437,""en"",""zh-CN"")"),"相机切成一个男人，嘲笑戏剧中犯的错误。")</f>
        <v>相机切成一个男人，嘲笑戏剧中犯的错误。</v>
      </c>
    </row>
    <row r="23438">
      <c r="A23438" s="4" t="s">
        <v>29503</v>
      </c>
      <c r="B23438" s="4" t="s">
        <v>29504</v>
      </c>
      <c r="C23438" s="5" t="str">
        <f>IFERROR(__xludf.DUMMYFUNCTION("GOOGLETRANSLATE(B23438,""en"",""zh-CN"")"),"该视频导致了几个在公共场所进行滑板技巧的人的剪辑。")</f>
        <v>该视频导致了几个在公共场所进行滑板技巧的人的剪辑。</v>
      </c>
    </row>
    <row r="23439">
      <c r="A23439" s="4" t="s">
        <v>29503</v>
      </c>
      <c r="B23439" s="4" t="s">
        <v>29505</v>
      </c>
      <c r="C23439" s="5" t="str">
        <f>IFERROR(__xludf.DUMMYFUNCTION("GOOGLETRANSLATE(B23439,""en"",""zh-CN"")"),"还有更多的剪辑显示，人们在滑板上骑行进行翻转和技巧。")</f>
        <v>还有更多的剪辑显示，人们在滑板上骑行进行翻转和技巧。</v>
      </c>
    </row>
    <row r="23440">
      <c r="A23440" s="4" t="s">
        <v>29506</v>
      </c>
      <c r="B23440" s="4" t="s">
        <v>29507</v>
      </c>
      <c r="C23440" s="5" t="str">
        <f>IFERROR(__xludf.DUMMYFUNCTION("GOOGLETRANSLATE(B23440,""en"",""zh-CN"")"),"大象在一个小水井中行走，玩球。")</f>
        <v>大象在一个小水井中行走，玩球。</v>
      </c>
    </row>
    <row r="23441">
      <c r="A23441" s="4" t="s">
        <v>29506</v>
      </c>
      <c r="B23441" s="4" t="s">
        <v>29508</v>
      </c>
      <c r="C23441" s="5" t="str">
        <f>IFERROR(__xludf.DUMMYFUNCTION("GOOGLETRANSLATE(B23441,""en"",""zh-CN"")"),"女人在镜头里说话，大象再次在水里玩球。")</f>
        <v>女人在镜头里说话，大象再次在水里玩球。</v>
      </c>
    </row>
    <row r="23442">
      <c r="A23442" s="4" t="s">
        <v>29506</v>
      </c>
      <c r="B23442" s="4" t="s">
        <v>29509</v>
      </c>
      <c r="C23442" s="5" t="str">
        <f>IFERROR(__xludf.DUMMYFUNCTION("GOOGLETRANSLATE(B23442,""en"",""zh-CN"")"),"小象在玩蓝色的大球。")</f>
        <v>小象在玩蓝色的大球。</v>
      </c>
    </row>
    <row r="23443">
      <c r="A23443" s="4" t="s">
        <v>29510</v>
      </c>
      <c r="B23443" s="4" t="s">
        <v>29511</v>
      </c>
      <c r="C23443" s="5" t="str">
        <f>IFERROR(__xludf.DUMMYFUNCTION("GOOGLETRANSLATE(B23443,""en"",""zh-CN"")"),"一个女孩站在水槽里，洗碗并在水中玩耍。")</f>
        <v>一个女孩站在水槽里，洗碗并在水中玩耍。</v>
      </c>
    </row>
    <row r="23444">
      <c r="A23444" s="4" t="s">
        <v>29510</v>
      </c>
      <c r="B23444" s="4" t="s">
        <v>29512</v>
      </c>
      <c r="C23444" s="5" t="str">
        <f>IFERROR(__xludf.DUMMYFUNCTION("GOOGLETRANSLATE(B23444,""en"",""zh-CN"")"),"当她冲洗一个塑料碗时，她微笑着。")</f>
        <v>当她冲洗一个塑料碗时，她微笑着。</v>
      </c>
    </row>
    <row r="23445">
      <c r="A23445" s="4" t="s">
        <v>29510</v>
      </c>
      <c r="B23445" s="4" t="s">
        <v>29513</v>
      </c>
      <c r="C23445" s="5" t="str">
        <f>IFERROR(__xludf.DUMMYFUNCTION("GOOGLETRANSLATE(B23445,""en"",""zh-CN"")"),"她走到相机聊天和笑着，然后和她的兄弟离开房间。")</f>
        <v>她走到相机聊天和笑着，然后和她的兄弟离开房间。</v>
      </c>
    </row>
    <row r="23446">
      <c r="A23446" s="4" t="s">
        <v>29514</v>
      </c>
      <c r="B23446" s="4" t="s">
        <v>1487</v>
      </c>
      <c r="C23446" s="5" t="str">
        <f>IFERROR(__xludf.DUMMYFUNCTION("GOOGLETRANSLATE(B23446,""en"",""zh-CN"")"),"我们看到一个开放标题屏幕。")</f>
        <v>我们看到一个开放标题屏幕。</v>
      </c>
    </row>
    <row r="23447">
      <c r="A23447" s="4" t="s">
        <v>29514</v>
      </c>
      <c r="B23447" s="4" t="s">
        <v>29515</v>
      </c>
      <c r="C23447" s="5" t="str">
        <f>IFERROR(__xludf.DUMMYFUNCTION("GOOGLETRANSLATE(B23447,""en"",""zh-CN"")"),"一个男人把一堆棉花糖放在嘴里。")</f>
        <v>一个男人把一堆棉花糖放在嘴里。</v>
      </c>
    </row>
    <row r="23448">
      <c r="A23448" s="4" t="s">
        <v>29514</v>
      </c>
      <c r="B23448" s="4" t="s">
        <v>29516</v>
      </c>
      <c r="C23448" s="5" t="str">
        <f>IFERROR(__xludf.DUMMYFUNCTION("GOOGLETRANSLATE(B23448,""en"",""zh-CN"")"),"一个男人在屏幕上做篝火，提示闪烁。")</f>
        <v>一个男人在屏幕上做篝火，提示闪烁。</v>
      </c>
    </row>
    <row r="23449">
      <c r="A23449" s="4" t="s">
        <v>29514</v>
      </c>
      <c r="B23449" s="4" t="s">
        <v>29517</v>
      </c>
      <c r="C23449" s="5" t="str">
        <f>IFERROR(__xludf.DUMMYFUNCTION("GOOGLETRANSLATE(B23449,""en"",""zh-CN"")"),"该男子挖一个洞，将岩石围绕在上面，收集柴火。")</f>
        <v>该男子挖一个洞，将岩石围绕在上面，收集柴火。</v>
      </c>
    </row>
    <row r="23450">
      <c r="A23450" s="4" t="s">
        <v>29514</v>
      </c>
      <c r="B23450" s="4" t="s">
        <v>29518</v>
      </c>
      <c r="C23450" s="5" t="str">
        <f>IFERROR(__xludf.DUMMYFUNCTION("GOOGLETRANSLATE(B23450,""en"",""zh-CN"")"),"他将木头放在坑里的三角形中，并在外面木头。")</f>
        <v>他将木头放在坑里的三角形中，并在外面木头。</v>
      </c>
    </row>
    <row r="23451">
      <c r="A23451" s="4" t="s">
        <v>29514</v>
      </c>
      <c r="B23451" s="4" t="s">
        <v>29519</v>
      </c>
      <c r="C23451" s="5" t="str">
        <f>IFERROR(__xludf.DUMMYFUNCTION("GOOGLETRANSLATE(B23451,""en"",""zh-CN"")"),"该男子点燃火，增加了几块木头。")</f>
        <v>该男子点燃火，增加了几块木头。</v>
      </c>
    </row>
    <row r="23452">
      <c r="A23452" s="4" t="s">
        <v>29514</v>
      </c>
      <c r="B23452" s="4" t="s">
        <v>777</v>
      </c>
      <c r="C23452" s="5" t="str">
        <f>IFERROR(__xludf.DUMMYFUNCTION("GOOGLETRANSLATE(B23452,""en"",""zh-CN"")"),"我们看到结尾标题屏幕。")</f>
        <v>我们看到结尾标题屏幕。</v>
      </c>
    </row>
    <row r="23453">
      <c r="A23453" s="4" t="s">
        <v>29520</v>
      </c>
      <c r="B23453" s="4" t="s">
        <v>29521</v>
      </c>
      <c r="C23453" s="5" t="str">
        <f>IFERROR(__xludf.DUMMYFUNCTION("GOOGLETRANSLATE(B23453,""en"",""zh-CN"")"),"人站在拿着相机的镜子前。")</f>
        <v>人站在拿着相机的镜子前。</v>
      </c>
    </row>
    <row r="23454">
      <c r="A23454" s="4" t="s">
        <v>29520</v>
      </c>
      <c r="B23454" s="6" t="s">
        <v>29522</v>
      </c>
      <c r="C23454" s="5" t="str">
        <f>IFERROR(__xludf.DUMMYFUNCTION("GOOGLETRANSLATE(B23454,""en"",""zh-CN"")"),"女人进入浴室里狂奔的白猫，男人跪下，这样猫就可以站在他的背上。")</f>
        <v>女人进入浴室里狂奔的白猫，男人跪下，这样猫就可以站在他的背上。</v>
      </c>
    </row>
    <row r="23455">
      <c r="A23455" s="4" t="s">
        <v>29520</v>
      </c>
      <c r="B23455" s="6" t="s">
        <v>29523</v>
      </c>
      <c r="C23455" s="5" t="str">
        <f>IFERROR(__xludf.DUMMYFUNCTION("GOOGLETRANSLATE(B23455,""en"",""zh-CN"")"),"女人离开浴室，男人不断记录自己在镜头前做姿势，并在镜子里说话。")</f>
        <v>女人离开浴室，男人不断记录自己在镜头前做姿势，并在镜子里说话。</v>
      </c>
    </row>
    <row r="23456">
      <c r="A23456" s="4" t="s">
        <v>29520</v>
      </c>
      <c r="B23456" s="4" t="s">
        <v>29524</v>
      </c>
      <c r="C23456" s="5" t="str">
        <f>IFERROR(__xludf.DUMMYFUNCTION("GOOGLETRANSLATE(B23456,""en"",""zh-CN"")"),"男人进入卧室，女人坐在床上抱着猫。")</f>
        <v>男人进入卧室，女人坐在床上抱着猫。</v>
      </c>
    </row>
    <row r="23457">
      <c r="A23457" s="4" t="s">
        <v>29520</v>
      </c>
      <c r="B23457" s="6" t="s">
        <v>29525</v>
      </c>
      <c r="C23457" s="5" t="str">
        <f>IFERROR(__xludf.DUMMYFUNCTION("GOOGLETRANSLATE(B23457,""en"",""zh-CN"")"),"男人再次拿着刀在浴室里，女人在她的头上戴着背面围巾进入房间。")</f>
        <v>男人再次拿着刀在浴室里，女人在她的头上戴着背面围巾进入房间。</v>
      </c>
    </row>
    <row r="23458">
      <c r="A23458" s="4" t="s">
        <v>29520</v>
      </c>
      <c r="B23458" s="4" t="s">
        <v>29526</v>
      </c>
      <c r="C23458" s="5" t="str">
        <f>IFERROR(__xludf.DUMMYFUNCTION("GOOGLETRANSLATE(B23458,""en"",""zh-CN"")"),"他们正在开车，并停在白雪皑皑的停车场中。")</f>
        <v>他们正在开车，并停在白雪皑皑的停车场中。</v>
      </c>
    </row>
    <row r="23459">
      <c r="A23459" s="4" t="s">
        <v>29520</v>
      </c>
      <c r="B23459" s="4" t="s">
        <v>29527</v>
      </c>
      <c r="C23459" s="5" t="str">
        <f>IFERROR(__xludf.DUMMYFUNCTION("GOOGLETRANSLATE(B23459,""en"",""zh-CN"")"),"他们在一家餐厅里融入，离开并再次走上汽车。")</f>
        <v>他们在一家餐厅里融入，离开并再次走上汽车。</v>
      </c>
    </row>
    <row r="23460">
      <c r="A23460" s="4" t="s">
        <v>29520</v>
      </c>
      <c r="B23460" s="6" t="s">
        <v>29528</v>
      </c>
      <c r="C23460" s="5" t="str">
        <f>IFERROR(__xludf.DUMMYFUNCTION("GOOGLETRANSLATE(B23460,""en"",""zh-CN"")"),"那个女人上车，男人打开门，抓住刷子，清洗挡风玻璃，女人也这样做，并与男人一起玩。")</f>
        <v>那个女人上车，男人打开门，抓住刷子，清洗挡风玻璃，女人也这样做，并与男人一起玩。</v>
      </c>
    </row>
    <row r="23461">
      <c r="A23461" s="4" t="s">
        <v>29529</v>
      </c>
      <c r="B23461" s="6" t="s">
        <v>29530</v>
      </c>
      <c r="C23461" s="5" t="str">
        <f>IFERROR(__xludf.DUMMYFUNCTION("GOOGLETRANSLATE(B23461,""en"",""zh-CN"")"),"看到一个女人和其他人一起推一根冰球，然后一个男人在镜头上说话。")</f>
        <v>看到一个女人和其他人一起推一根冰球，然后一个男人在镜头上说话。</v>
      </c>
    </row>
    <row r="23462">
      <c r="A23462" s="4" t="s">
        <v>29529</v>
      </c>
      <c r="B23462" s="6" t="s">
        <v>29531</v>
      </c>
      <c r="C23462" s="5" t="str">
        <f>IFERROR(__xludf.DUMMYFUNCTION("GOOGLETRANSLATE(B23462,""en"",""zh-CN"")"),"当男人继续与镜头说话时，有更多的剪辑显示人们在冰上卷曲，并且游戏以慢动作显示。")</f>
        <v>当男人继续与镜头说话时，有更多的剪辑显示人们在冰上卷曲，并且游戏以慢动作显示。</v>
      </c>
    </row>
    <row r="23463">
      <c r="A23463" s="4" t="s">
        <v>29532</v>
      </c>
      <c r="B23463" s="4" t="s">
        <v>29533</v>
      </c>
      <c r="C23463" s="5" t="str">
        <f>IFERROR(__xludf.DUMMYFUNCTION("GOOGLETRANSLATE(B23463,""en"",""zh-CN"")"),"女人穿着红色衬衫，正站在白色房间里的镜头说话。")</f>
        <v>女人穿着红色衬衫，正站在白色房间里的镜头说话。</v>
      </c>
    </row>
    <row r="23464">
      <c r="A23464" s="4" t="s">
        <v>29532</v>
      </c>
      <c r="B23464" s="4" t="s">
        <v>29534</v>
      </c>
      <c r="C23464" s="5" t="str">
        <f>IFERROR(__xludf.DUMMYFUNCTION("GOOGLETRANSLATE(B23464,""en"",""zh-CN"")"),"女人开始在木制法庭上跳舞莎莎舞。")</f>
        <v>女人开始在木制法庭上跳舞莎莎舞。</v>
      </c>
    </row>
    <row r="23465">
      <c r="A23465" s="4" t="s">
        <v>29532</v>
      </c>
      <c r="B23465" s="4" t="s">
        <v>29535</v>
      </c>
      <c r="C23465" s="5" t="str">
        <f>IFERROR(__xludf.DUMMYFUNCTION("GOOGLETRANSLATE(B23465,""en"",""zh-CN"")"),"那个女人正在做桑巴台阶，摇晃她的身体一侧。")</f>
        <v>那个女人正在做桑巴台阶，摇晃她的身体一侧。</v>
      </c>
    </row>
    <row r="23466">
      <c r="A23466" s="4" t="s">
        <v>29536</v>
      </c>
      <c r="B23466" s="4" t="s">
        <v>29537</v>
      </c>
      <c r="C23466" s="5" t="str">
        <f>IFERROR(__xludf.DUMMYFUNCTION("GOOGLETRANSLATE(B23466,""en"",""zh-CN"")"),"简介展示了树篱修剪器。")</f>
        <v>简介展示了树篱修剪器。</v>
      </c>
    </row>
    <row r="23467">
      <c r="A23467" s="4" t="s">
        <v>29536</v>
      </c>
      <c r="B23467" s="4" t="s">
        <v>29538</v>
      </c>
      <c r="C23467" s="5" t="str">
        <f>IFERROR(__xludf.DUMMYFUNCTION("GOOGLETRANSLATE(B23467,""en"",""zh-CN"")"),"一个女人来谈论树篱修剪器。")</f>
        <v>一个女人来谈论树篱修剪器。</v>
      </c>
    </row>
    <row r="23468">
      <c r="A23468" s="4" t="s">
        <v>29536</v>
      </c>
      <c r="B23468" s="4" t="s">
        <v>29539</v>
      </c>
      <c r="C23468" s="5" t="str">
        <f>IFERROR(__xludf.DUMMYFUNCTION("GOOGLETRANSLATE(B23468,""en"",""zh-CN"")"),"该产品在作用中显示，修剪灌木丛。")</f>
        <v>该产品在作用中显示，修剪灌木丛。</v>
      </c>
    </row>
    <row r="23469">
      <c r="A23469" s="4" t="s">
        <v>29536</v>
      </c>
      <c r="B23469" s="4" t="s">
        <v>29540</v>
      </c>
      <c r="C23469" s="5" t="str">
        <f>IFERROR(__xludf.DUMMYFUNCTION("GOOGLETRANSLATE(B23469,""en"",""zh-CN"")"),"女人炫耀刀片和充电器。")</f>
        <v>女人炫耀刀片和充电器。</v>
      </c>
    </row>
    <row r="23470">
      <c r="A23470" s="4" t="s">
        <v>29536</v>
      </c>
      <c r="B23470" s="4" t="s">
        <v>29541</v>
      </c>
      <c r="C23470" s="5" t="str">
        <f>IFERROR(__xludf.DUMMYFUNCTION("GOOGLETRANSLATE(B23470,""en"",""zh-CN"")"),"我们再次看到使用的产品。")</f>
        <v>我们再次看到使用的产品。</v>
      </c>
    </row>
    <row r="23471">
      <c r="A23471" s="4" t="s">
        <v>29536</v>
      </c>
      <c r="B23471" s="4" t="s">
        <v>29542</v>
      </c>
      <c r="C23471" s="5" t="str">
        <f>IFERROR(__xludf.DUMMYFUNCTION("GOOGLETRANSLATE(B23471,""en"",""zh-CN"")"),"女人表现出舒适的抓地力。")</f>
        <v>女人表现出舒适的抓地力。</v>
      </c>
    </row>
    <row r="23472">
      <c r="A23472" s="4" t="s">
        <v>29536</v>
      </c>
      <c r="B23472" s="4" t="s">
        <v>29543</v>
      </c>
      <c r="C23472" s="5" t="str">
        <f>IFERROR(__xludf.DUMMYFUNCTION("GOOGLETRANSLATE(B23472,""en"",""zh-CN"")"),"女人谈论如何订购产品。")</f>
        <v>女人谈论如何订购产品。</v>
      </c>
    </row>
    <row r="23473">
      <c r="A23473" s="4" t="s">
        <v>29544</v>
      </c>
      <c r="B23473" s="4" t="s">
        <v>29545</v>
      </c>
      <c r="C23473" s="5" t="str">
        <f>IFERROR(__xludf.DUMMYFUNCTION("GOOGLETRANSLATE(B23473,""en"",""zh-CN"")"),"看到一个人站在水边，一只手拿着斧头，另一只手拿着一块木头。")</f>
        <v>看到一个人站在水边，一只手拿着斧头，另一只手拿着一块木头。</v>
      </c>
    </row>
    <row r="23474">
      <c r="A23474" s="4" t="s">
        <v>29544</v>
      </c>
      <c r="B23474" s="6" t="s">
        <v>29546</v>
      </c>
      <c r="C23474" s="5" t="str">
        <f>IFERROR(__xludf.DUMMYFUNCTION("GOOGLETRANSLATE(B23474,""en"",""zh-CN"")"),"该男子继续切木头，而相机向房间里的其他人摇晃，一个女人在相机上说话。")</f>
        <v>该男子继续切木头，而相机向房间里的其他人摇晃，一个女人在相机上说话。</v>
      </c>
    </row>
    <row r="23475">
      <c r="A23475" s="4" t="s">
        <v>29547</v>
      </c>
      <c r="B23475" s="4" t="s">
        <v>29548</v>
      </c>
      <c r="C23475" s="5" t="str">
        <f>IFERROR(__xludf.DUMMYFUNCTION("GOOGLETRANSLATE(B23475,""en"",""zh-CN"")"),"一名女运动员在田野里，她开始投掷铅球。")</f>
        <v>一名女运动员在田野里，她开始投掷铅球。</v>
      </c>
    </row>
    <row r="23476">
      <c r="A23476" s="4" t="s">
        <v>29547</v>
      </c>
      <c r="B23476" s="6" t="s">
        <v>29549</v>
      </c>
      <c r="C23476" s="5" t="str">
        <f>IFERROR(__xludf.DUMMYFUNCTION("GOOGLETRANSLATE(B23476,""en"",""zh-CN"")"),"女士旋转慢动作和旋转，因为在顶部显示了单词，描述了成功投篮所需的每个阶段。")</f>
        <v>女士旋转慢动作和旋转，因为在顶部显示了单词，描述了成功投篮所需的每个阶段。</v>
      </c>
    </row>
    <row r="23477">
      <c r="A23477" s="4" t="s">
        <v>29550</v>
      </c>
      <c r="B23477" s="4" t="s">
        <v>29551</v>
      </c>
      <c r="C23477" s="5" t="str">
        <f>IFERROR(__xludf.DUMMYFUNCTION("GOOGLETRANSLATE(B23477,""en"",""zh-CN"")"),"我们看到一个男人慢慢表演太极拳。")</f>
        <v>我们看到一个男人慢慢表演太极拳。</v>
      </c>
    </row>
    <row r="23478">
      <c r="A23478" s="4" t="s">
        <v>29550</v>
      </c>
      <c r="B23478" s="4" t="s">
        <v>29552</v>
      </c>
      <c r="C23478" s="5" t="str">
        <f>IFERROR(__xludf.DUMMYFUNCTION("GOOGLETRANSLATE(B23478,""en"",""zh-CN"")"),"底部的白色横幅流在底部。")</f>
        <v>底部的白色横幅流在底部。</v>
      </c>
    </row>
    <row r="23479">
      <c r="A23479" s="4" t="s">
        <v>29550</v>
      </c>
      <c r="B23479" s="4" t="s">
        <v>29553</v>
      </c>
      <c r="C23479" s="5" t="str">
        <f>IFERROR(__xludf.DUMMYFUNCTION("GOOGLETRANSLATE(B23479,""en"",""zh-CN"")"),"该男子将双腿抬起在他面前，然后踢出。")</f>
        <v>该男子将双腿抬起在他面前，然后踢出。</v>
      </c>
    </row>
    <row r="23480">
      <c r="A23480" s="4" t="s">
        <v>29550</v>
      </c>
      <c r="B23480" s="4" t="s">
        <v>29554</v>
      </c>
      <c r="C23480" s="5" t="str">
        <f>IFERROR(__xludf.DUMMYFUNCTION("GOOGLETRANSLATE(B23480,""en"",""zh-CN"")"),"该男子停下来站着。")</f>
        <v>该男子停下来站着。</v>
      </c>
    </row>
    <row r="23481">
      <c r="A23481" s="4" t="s">
        <v>29555</v>
      </c>
      <c r="B23481" s="4" t="s">
        <v>29556</v>
      </c>
      <c r="C23481" s="5" t="str">
        <f>IFERROR(__xludf.DUMMYFUNCTION("GOOGLETRANSLATE(B23481,""en"",""zh-CN"")"),"看到一名妇女在努力使其移动的同时拉动一块运动器材。")</f>
        <v>看到一名妇女在努力使其移动的同时拉动一块运动器材。</v>
      </c>
    </row>
    <row r="23482">
      <c r="A23482" s="4" t="s">
        <v>29555</v>
      </c>
      <c r="B23482" s="4" t="s">
        <v>29557</v>
      </c>
      <c r="C23482" s="5" t="str">
        <f>IFERROR(__xludf.DUMMYFUNCTION("GOOGLETRANSLATE(B23482,""en"",""zh-CN"")"),"她将垫子移到她下面的垫子，然后能够将酒吧向后拉，向她拉第四。")</f>
        <v>她将垫子移到她下面的垫子，然后能够将酒吧向后拉，向她拉第四。</v>
      </c>
    </row>
    <row r="23483">
      <c r="A23483" s="4" t="s">
        <v>29558</v>
      </c>
      <c r="B23483" s="4" t="s">
        <v>29559</v>
      </c>
      <c r="C23483" s="5" t="str">
        <f>IFERROR(__xludf.DUMMYFUNCTION("GOOGLETRANSLATE(B23483,""en"",""zh-CN"")"),"一个在户外音乐节上的年轻人正在人群面前做绳索技巧。")</f>
        <v>一个在户外音乐节上的年轻人正在人群面前做绳索技巧。</v>
      </c>
    </row>
    <row r="23484">
      <c r="A23484" s="4" t="s">
        <v>29558</v>
      </c>
      <c r="B23484" s="6" t="s">
        <v>29560</v>
      </c>
      <c r="C23484" s="5" t="str">
        <f>IFERROR(__xludf.DUMMYFUNCTION("GOOGLETRANSLATE(B23484,""en"",""zh-CN"")"),"这位年轻人在黑色垫子上方几英尺的紧身绳索上进行了各种弹跳和平衡的技巧。")</f>
        <v>这位年轻人在黑色垫子上方几英尺的紧身绳索上进行了各种弹跳和平衡的技巧。</v>
      </c>
    </row>
    <row r="23485">
      <c r="A23485" s="4" t="s">
        <v>29558</v>
      </c>
      <c r="B23485" s="4" t="s">
        <v>29561</v>
      </c>
      <c r="C23485" s="5" t="str">
        <f>IFERROR(__xludf.DUMMYFUNCTION("GOOGLETRANSLATE(B23485,""en"",""zh-CN"")"),"从绳子上脱下绳索，沿着地板上的垫子走向他的团队。")</f>
        <v>从绳子上脱下绳索，沿着地板上的垫子走向他的团队。</v>
      </c>
    </row>
    <row r="23486">
      <c r="A23486" s="4" t="s">
        <v>29562</v>
      </c>
      <c r="B23486" s="4" t="s">
        <v>29563</v>
      </c>
      <c r="C23486" s="5" t="str">
        <f>IFERROR(__xludf.DUMMYFUNCTION("GOOGLETRANSLATE(B23486,""en"",""zh-CN"")"),"看到一个女人坐在椅子上，而男人则使用各种工具刺穿她的耳朵。")</f>
        <v>看到一个女人坐在椅子上，而男人则使用各种工具刺穿她的耳朵。</v>
      </c>
    </row>
    <row r="23487">
      <c r="A23487" s="4" t="s">
        <v>29562</v>
      </c>
      <c r="B23487" s="4" t="s">
        <v>29564</v>
      </c>
      <c r="C23487" s="5" t="str">
        <f>IFERROR(__xludf.DUMMYFUNCTION("GOOGLETRANSLATE(B23487,""en"",""zh-CN"")"),"该男子完成了刺穿，女孩开始终结。")</f>
        <v>该男子完成了刺穿，女孩开始终结。</v>
      </c>
    </row>
    <row r="23488">
      <c r="A23488" s="4" t="s">
        <v>29565</v>
      </c>
      <c r="B23488" s="4" t="s">
        <v>29566</v>
      </c>
      <c r="C23488" s="5" t="str">
        <f>IFERROR(__xludf.DUMMYFUNCTION("GOOGLETRANSLATE(B23488,""en"",""zh-CN"")"),"男人正站在孩子们面前的球场上，正在散步展示如何得分篮子。")</f>
        <v>男人正站在孩子们面前的球场上，正在散步展示如何得分篮子。</v>
      </c>
    </row>
    <row r="23489">
      <c r="A23489" s="4" t="s">
        <v>29565</v>
      </c>
      <c r="B23489" s="6" t="s">
        <v>29567</v>
      </c>
      <c r="C23489" s="5" t="str">
        <f>IFERROR(__xludf.DUMMYFUNCTION("GOOGLETRANSLATE(B23489,""en"",""zh-CN"")"),"人与球场另一侧的某人一起扔球，躺下来，在球场上的孩子们也这样做。")</f>
        <v>人与球场另一侧的某人一起扔球，躺下来，在球场上的孩子们也这样做。</v>
      </c>
    </row>
    <row r="23490">
      <c r="A23490" s="4" t="s">
        <v>29565</v>
      </c>
      <c r="B23490" s="4" t="s">
        <v>29568</v>
      </c>
      <c r="C23490" s="5" t="str">
        <f>IFERROR(__xludf.DUMMYFUNCTION("GOOGLETRANSLATE(B23490,""en"",""zh-CN"")"),"教练OS抬起女孩接球并跑步。")</f>
        <v>教练OS抬起女孩接球并跑步。</v>
      </c>
    </row>
    <row r="23491">
      <c r="A23491" s="4" t="s">
        <v>29565</v>
      </c>
      <c r="B23491" s="4" t="s">
        <v>29569</v>
      </c>
      <c r="C23491" s="5" t="str">
        <f>IFERROR(__xludf.DUMMYFUNCTION("GOOGLETRANSLATE(B23491,""en"",""zh-CN"")"),"这个孩子投掷了，然后为孩子们身后的孩子们打个篮子。")</f>
        <v>这个孩子投掷了，然后为孩子们身后的孩子们打个篮子。</v>
      </c>
    </row>
    <row r="23492">
      <c r="A23492" s="4" t="s">
        <v>29570</v>
      </c>
      <c r="B23492" s="4" t="s">
        <v>29571</v>
      </c>
      <c r="C23492" s="5" t="str">
        <f>IFERROR(__xludf.DUMMYFUNCTION("GOOGLETRANSLATE(B23492,""en"",""zh-CN"")"),"太阳在山上升起。")</f>
        <v>太阳在山上升起。</v>
      </c>
    </row>
    <row r="23493">
      <c r="A23493" s="4" t="s">
        <v>29570</v>
      </c>
      <c r="B23493" s="4" t="s">
        <v>29572</v>
      </c>
      <c r="C23493" s="5" t="str">
        <f>IFERROR(__xludf.DUMMYFUNCTION("GOOGLETRANSLATE(B23493,""en"",""zh-CN"")"),"一个短裤的男人四处走动。")</f>
        <v>一个短裤的男人四处走动。</v>
      </c>
    </row>
    <row r="23494">
      <c r="A23494" s="4" t="s">
        <v>29570</v>
      </c>
      <c r="B23494" s="4" t="s">
        <v>29573</v>
      </c>
      <c r="C23494" s="5" t="str">
        <f>IFERROR(__xludf.DUMMYFUNCTION("GOOGLETRANSLATE(B23494,""en"",""zh-CN"")"),"他抓住木板并将其放入水中。")</f>
        <v>他抓住木板并将其放入水中。</v>
      </c>
    </row>
    <row r="23495">
      <c r="A23495" s="4" t="s">
        <v>29570</v>
      </c>
      <c r="B23495" s="4" t="s">
        <v>29574</v>
      </c>
      <c r="C23495" s="5" t="str">
        <f>IFERROR(__xludf.DUMMYFUNCTION("GOOGLETRANSLATE(B23495,""en"",""zh-CN"")"),"该男子爬上董事会和冲浪。")</f>
        <v>该男子爬上董事会和冲浪。</v>
      </c>
    </row>
    <row r="23496">
      <c r="A23496" s="4" t="s">
        <v>29575</v>
      </c>
      <c r="B23496" s="4" t="s">
        <v>29576</v>
      </c>
      <c r="C23496" s="5" t="str">
        <f>IFERROR(__xludf.DUMMYFUNCTION("GOOGLETRANSLATE(B23496,""en"",""zh-CN"")"),"一个男人在头上捡起一个重量，将其丢在地上。")</f>
        <v>一个男人在头上捡起一个重量，将其丢在地上。</v>
      </c>
    </row>
    <row r="23497">
      <c r="A23497" s="4" t="s">
        <v>29575</v>
      </c>
      <c r="B23497" s="4" t="s">
        <v>29577</v>
      </c>
      <c r="C23497" s="5" t="str">
        <f>IFERROR(__xludf.DUMMYFUNCTION("GOOGLETRANSLATE(B23497,""en"",""zh-CN"")"),"一个男人拿起酒吧，抬起了几次。")</f>
        <v>一个男人拿起酒吧，抬起了几次。</v>
      </c>
    </row>
    <row r="23498">
      <c r="A23498" s="4" t="s">
        <v>29575</v>
      </c>
      <c r="B23498" s="4" t="s">
        <v>29578</v>
      </c>
      <c r="C23498" s="5" t="str">
        <f>IFERROR(__xludf.DUMMYFUNCTION("GOOGLETRANSLATE(B23498,""en"",""zh-CN"")"),"一个穿着黑色衬衫的男人站在他旁边。")</f>
        <v>一个穿着黑色衬衫的男人站在他旁边。</v>
      </c>
    </row>
    <row r="23499">
      <c r="A23499" s="4" t="s">
        <v>29575</v>
      </c>
      <c r="B23499" s="4" t="s">
        <v>29579</v>
      </c>
      <c r="C23499" s="5" t="str">
        <f>IFERROR(__xludf.DUMMYFUNCTION("GOOGLETRANSLATE(B23499,""en"",""zh-CN"")"),"另一个男人站在他旁边，和他一起抬起酒吧。")</f>
        <v>另一个男人站在他旁边，和他一起抬起酒吧。</v>
      </c>
    </row>
    <row r="23500">
      <c r="A23500" s="4" t="s">
        <v>29580</v>
      </c>
      <c r="B23500" s="6" t="s">
        <v>29581</v>
      </c>
      <c r="C23500" s="5" t="str">
        <f>IFERROR(__xludf.DUMMYFUNCTION("GOOGLETRANSLATE(B23500,""en"",""zh-CN"")"),"她第一次摔倒时，有一个小女孩慢慢地滑落在侧面。")</f>
        <v>她第一次摔倒时，有一个小女孩慢慢地滑落在侧面。</v>
      </c>
    </row>
    <row r="23501">
      <c r="A23501" s="4" t="s">
        <v>29580</v>
      </c>
      <c r="B23501" s="4" t="s">
        <v>29582</v>
      </c>
      <c r="C23501" s="5" t="str">
        <f>IFERROR(__xludf.DUMMYFUNCTION("GOOGLETRANSLATE(B23501,""en"",""zh-CN"")"),"她第二次在没有帮助的情况下跌倒了肚子。")</f>
        <v>她第二次在没有帮助的情况下跌倒了肚子。</v>
      </c>
    </row>
    <row r="23502">
      <c r="A23502" s="4" t="s">
        <v>29583</v>
      </c>
      <c r="B23502" s="4" t="s">
        <v>29584</v>
      </c>
      <c r="C23502" s="5" t="str">
        <f>IFERROR(__xludf.DUMMYFUNCTION("GOOGLETRANSLATE(B23502,""en"",""zh-CN"")"),"冬季有两个露营的冰钓之旅。")</f>
        <v>冬季有两个露营的冰钓之旅。</v>
      </c>
    </row>
    <row r="23503">
      <c r="A23503" s="4" t="s">
        <v>29583</v>
      </c>
      <c r="B23503" s="4" t="s">
        <v>29585</v>
      </c>
      <c r="C23503" s="5" t="str">
        <f>IFERROR(__xludf.DUMMYFUNCTION("GOOGLETRANSLATE(B23503,""en"",""zh-CN"")"),"其中一名男子从他的手里拿着一条鱼从他的露营帐篷里出来。")</f>
        <v>其中一名男子从他的手里拿着一条鱼从他的露营帐篷里出来。</v>
      </c>
    </row>
    <row r="23504">
      <c r="A23504" s="4" t="s">
        <v>29583</v>
      </c>
      <c r="B23504" s="4" t="s">
        <v>29586</v>
      </c>
      <c r="C23504" s="5" t="str">
        <f>IFERROR(__xludf.DUMMYFUNCTION("GOOGLETRANSLATE(B23504,""en"",""zh-CN"")"),"这两个人坐在他们的换班帐篷里，穿过冷冻湖中的一个洞钓鱼。")</f>
        <v>这两个人坐在他们的换班帐篷里，穿过冷冻湖中的一个洞钓鱼。</v>
      </c>
    </row>
    <row r="23505">
      <c r="A23505" s="4" t="s">
        <v>29583</v>
      </c>
      <c r="B23505" s="4" t="s">
        <v>29587</v>
      </c>
      <c r="C23505" s="5" t="str">
        <f>IFERROR(__xludf.DUMMYFUNCTION("GOOGLETRANSLATE(B23505,""en"",""zh-CN"")"),"他们耐心地用钓鱼竿坐着，直到他们从孔中钓出来。")</f>
        <v>他们耐心地用钓鱼竿坐着，直到他们从孔中钓出来。</v>
      </c>
    </row>
    <row r="23506">
      <c r="A23506" s="4" t="s">
        <v>29583</v>
      </c>
      <c r="B23506" s="4" t="s">
        <v>29588</v>
      </c>
      <c r="C23506" s="5" t="str">
        <f>IFERROR(__xludf.DUMMYFUNCTION("GOOGLETRANSLATE(B23506,""en"",""zh-CN"")"),"他们展示了他们在冷冻地面上铺设的那种鱼类。")</f>
        <v>他们展示了他们在冷冻地面上铺设的那种鱼类。</v>
      </c>
    </row>
    <row r="23507">
      <c r="A23507" s="4" t="s">
        <v>29583</v>
      </c>
      <c r="B23507" s="4" t="s">
        <v>29589</v>
      </c>
      <c r="C23507" s="5" t="str">
        <f>IFERROR(__xludf.DUMMYFUNCTION("GOOGLETRANSLATE(B23507,""en"",""zh-CN"")"),"其中一名男子清洗鱼鳞。")</f>
        <v>其中一名男子清洗鱼鳞。</v>
      </c>
    </row>
    <row r="23508">
      <c r="A23508" s="4" t="s">
        <v>29583</v>
      </c>
      <c r="B23508" s="4" t="s">
        <v>29590</v>
      </c>
      <c r="C23508" s="5" t="str">
        <f>IFERROR(__xludf.DUMMYFUNCTION("GOOGLETRANSLATE(B23508,""en"",""zh-CN"")"),"然后，他们将鱼切成小块，然后将它们清洗在车库外。")</f>
        <v>然后，他们将鱼切成小块，然后将它们清洗在车库外。</v>
      </c>
    </row>
    <row r="23509">
      <c r="A23509" s="4" t="s">
        <v>29583</v>
      </c>
      <c r="B23509" s="4" t="s">
        <v>29591</v>
      </c>
      <c r="C23509" s="5" t="str">
        <f>IFERROR(__xludf.DUMMYFUNCTION("GOOGLETRANSLATE(B23509,""en"",""zh-CN"")"),"他们将刀削成切片，以制备面糊覆盖的炸鱼。")</f>
        <v>他们将刀削成切片，以制备面糊覆盖的炸鱼。</v>
      </c>
    </row>
    <row r="23510">
      <c r="A23510" s="4" t="s">
        <v>29583</v>
      </c>
      <c r="B23510" s="4" t="s">
        <v>29592</v>
      </c>
      <c r="C23510" s="5" t="str">
        <f>IFERROR(__xludf.DUMMYFUNCTION("GOOGLETRANSLATE(B23510,""en"",""zh-CN"")"),"整个家庭都坐在一张大餐桌上，享用美味的炸鱼餐。")</f>
        <v>整个家庭都坐在一张大餐桌上，享用美味的炸鱼餐。</v>
      </c>
    </row>
    <row r="23511">
      <c r="A23511" s="4" t="s">
        <v>29593</v>
      </c>
      <c r="B23511" s="6" t="s">
        <v>29594</v>
      </c>
      <c r="C23511" s="5" t="str">
        <f>IFERROR(__xludf.DUMMYFUNCTION("GOOGLETRANSLATE(B23511,""en"",""zh-CN"")"),"男孩和女孩在法庭上踩着啦啦队编舞，一个女人在新闻工作室里聊天。")</f>
        <v>男孩和女孩在法庭上踩着啦啦队编舞，一个女人在新闻工作室里聊天。</v>
      </c>
    </row>
    <row r="23512">
      <c r="A23512" s="4" t="s">
        <v>29593</v>
      </c>
      <c r="B23512" s="6" t="s">
        <v>29595</v>
      </c>
      <c r="C23512" s="5" t="str">
        <f>IFERROR(__xludf.DUMMYFUNCTION("GOOGLETRANSLATE(B23512,""en"",""zh-CN"")"),"High Scoo音乐界正在表演，并且正在采访一个男人的练习，并展示了带来的场景。")</f>
        <v>High Scoo音乐界正在表演，并且正在采访一个男人的练习，并展示了带来的场景。</v>
      </c>
    </row>
    <row r="23513">
      <c r="A23513" s="4" t="s">
        <v>29596</v>
      </c>
      <c r="B23513" s="4" t="s">
        <v>29597</v>
      </c>
      <c r="C23513" s="5" t="str">
        <f>IFERROR(__xludf.DUMMYFUNCTION("GOOGLETRANSLATE(B23513,""en"",""zh-CN"")"),"一个男人在几个图表面前说话。")</f>
        <v>一个男人在几个图表面前说话。</v>
      </c>
    </row>
    <row r="23514">
      <c r="A23514" s="4" t="s">
        <v>29596</v>
      </c>
      <c r="B23514" s="4" t="s">
        <v>29598</v>
      </c>
      <c r="C23514" s="5" t="str">
        <f>IFERROR(__xludf.DUMMYFUNCTION("GOOGLETRANSLATE(B23514,""en"",""zh-CN"")"),"她用他的球拍展示了这种技术。")</f>
        <v>她用他的球拍展示了这种技术。</v>
      </c>
    </row>
    <row r="23515">
      <c r="A23515" s="4" t="s">
        <v>29596</v>
      </c>
      <c r="B23515" s="4" t="s">
        <v>29599</v>
      </c>
      <c r="C23515" s="5" t="str">
        <f>IFERROR(__xludf.DUMMYFUNCTION("GOOGLETRANSLATE(B23515,""en"",""zh-CN"")"),"然后，他进入一个房间，与一个男人打壁球比赛。")</f>
        <v>然后，他进入一个房间，与一个男人打壁球比赛。</v>
      </c>
    </row>
    <row r="23516">
      <c r="A23516" s="4" t="s">
        <v>29596</v>
      </c>
      <c r="B23516" s="4" t="s">
        <v>2779</v>
      </c>
      <c r="C23516" s="5" t="str">
        <f>IFERROR(__xludf.DUMMYFUNCTION("GOOGLETRANSLATE(B23516,""en"",""zh-CN"")"),"他们来回撞到墙上。")</f>
        <v>他们来回撞到墙上。</v>
      </c>
    </row>
    <row r="23517">
      <c r="A23517" s="4" t="s">
        <v>29596</v>
      </c>
      <c r="B23517" s="4" t="s">
        <v>29600</v>
      </c>
      <c r="C23517" s="5" t="str">
        <f>IFERROR(__xludf.DUMMYFUNCTION("GOOGLETRANSLATE(B23517,""en"",""zh-CN"")"),"完成后，他走出去讨论了一些。")</f>
        <v>完成后，他走出去讨论了一些。</v>
      </c>
    </row>
    <row r="23518">
      <c r="A23518" s="4" t="s">
        <v>29601</v>
      </c>
      <c r="B23518" s="6" t="s">
        <v>29602</v>
      </c>
      <c r="C23518" s="5" t="str">
        <f>IFERROR(__xludf.DUMMYFUNCTION("GOOGLETRANSLATE(B23518,""en"",""zh-CN"")"),"看到一个芭蕾舞演员在房间里旋转，并通往那个女人在相机上说话，并进行了几次芭蕾舞动作。")</f>
        <v>看到一个芭蕾舞演员在房间里旋转，并通往那个女人在相机上说话，并进行了几次芭蕾舞动作。</v>
      </c>
    </row>
    <row r="23519">
      <c r="A23519" s="4" t="s">
        <v>29601</v>
      </c>
      <c r="B23519" s="6" t="s">
        <v>29603</v>
      </c>
      <c r="C23519" s="5" t="str">
        <f>IFERROR(__xludf.DUMMYFUNCTION("GOOGLETRANSLATE(B23519,""en"",""zh-CN"")"),"她站在巴雷（Barre），然后独自一人演示如何正确执行芭蕾舞动作。")</f>
        <v>她站在巴雷（Barre），然后独自一人演示如何正确执行芭蕾舞动作。</v>
      </c>
    </row>
    <row r="23520">
      <c r="A23520" s="4" t="s">
        <v>29601</v>
      </c>
      <c r="B23520" s="4" t="s">
        <v>29604</v>
      </c>
      <c r="C23520" s="5" t="str">
        <f>IFERROR(__xludf.DUMMYFUNCTION("GOOGLETRANSLATE(B23520,""en"",""zh-CN"")"),"她上下移动手臂，双腿，并不断向相机说话。")</f>
        <v>她上下移动手臂，双腿，并不断向相机说话。</v>
      </c>
    </row>
    <row r="23521">
      <c r="A23521" s="4" t="s">
        <v>29605</v>
      </c>
      <c r="B23521" s="4" t="s">
        <v>29606</v>
      </c>
      <c r="C23521" s="5" t="str">
        <f>IFERROR(__xludf.DUMMYFUNCTION("GOOGLETRANSLATE(B23521,""en"",""zh-CN"")"),"看到一组手将刷子放入一堆棍子中，然后将棉花放入堆中。")</f>
        <v>看到一组手将刷子放入一堆棍子中，然后将棉花放入堆中。</v>
      </c>
    </row>
    <row r="23522">
      <c r="A23522" s="4" t="s">
        <v>29605</v>
      </c>
      <c r="B23522" s="4" t="s">
        <v>29607</v>
      </c>
      <c r="C23522" s="5" t="str">
        <f>IFERROR(__xludf.DUMMYFUNCTION("GOOGLETRANSLATE(B23522,""en"",""zh-CN"")"),"然后，他点燃了一场火柴，造成火灾，然后弯腰燃烧更多。")</f>
        <v>然后，他点燃了一场火柴，造成火灾，然后弯腰燃烧更多。</v>
      </c>
    </row>
    <row r="23523">
      <c r="A23523" s="4" t="s">
        <v>29605</v>
      </c>
      <c r="B23523" s="4" t="s">
        <v>29608</v>
      </c>
      <c r="C23523" s="5" t="str">
        <f>IFERROR(__xludf.DUMMYFUNCTION("GOOGLETRANSLATE(B23523,""en"",""zh-CN"")"),"摄像机在坑中关闭，并在侧面放置原木。")</f>
        <v>摄像机在坑中关闭，并在侧面放置原木。</v>
      </c>
    </row>
    <row r="23524">
      <c r="A23524" s="4" t="s">
        <v>29609</v>
      </c>
      <c r="B23524" s="4" t="s">
        <v>29610</v>
      </c>
      <c r="C23524" s="5" t="str">
        <f>IFERROR(__xludf.DUMMYFUNCTION("GOOGLETRANSLATE(B23524,""en"",""zh-CN"")"),"两个男人在黑暗的房间里打野蛮。")</f>
        <v>两个男人在黑暗的房间里打野蛮。</v>
      </c>
    </row>
    <row r="23525">
      <c r="A23525" s="4" t="s">
        <v>29609</v>
      </c>
      <c r="B23525" s="4" t="s">
        <v>29611</v>
      </c>
      <c r="C23525" s="5" t="str">
        <f>IFERROR(__xludf.DUMMYFUNCTION("GOOGLETRANSLATE(B23525,""en"",""zh-CN"")"),"他们以快速的速度竞争。")</f>
        <v>他们以快速的速度竞争。</v>
      </c>
    </row>
    <row r="23526">
      <c r="A23526" s="4" t="s">
        <v>29609</v>
      </c>
      <c r="B23526" s="4" t="s">
        <v>29612</v>
      </c>
      <c r="C23526" s="5" t="str">
        <f>IFERROR(__xludf.DUMMYFUNCTION("GOOGLETRANSLATE(B23526,""en"",""zh-CN"")"),"红队的人四次获胜。")</f>
        <v>红队的人四次获胜。</v>
      </c>
    </row>
    <row r="23527">
      <c r="A23527" s="4" t="s">
        <v>29609</v>
      </c>
      <c r="B23527" s="4" t="s">
        <v>29613</v>
      </c>
      <c r="C23527" s="5" t="str">
        <f>IFERROR(__xludf.DUMMYFUNCTION("GOOGLETRANSLATE(B23527,""en"",""zh-CN"")"),"每次获胜时，他都会做一点欢呼的舞蹈。")</f>
        <v>每次获胜时，他都会做一点欢呼的舞蹈。</v>
      </c>
    </row>
    <row r="23528">
      <c r="A23528" s="4" t="s">
        <v>29614</v>
      </c>
      <c r="B23528" s="4" t="s">
        <v>29615</v>
      </c>
      <c r="C23528" s="5" t="str">
        <f>IFERROR(__xludf.DUMMYFUNCTION("GOOGLETRANSLATE(B23528,""en"",""zh-CN"")"),"一个人在摊位中使用厕所。")</f>
        <v>一个人在摊位中使用厕所。</v>
      </c>
    </row>
    <row r="23529">
      <c r="A23529" s="4" t="s">
        <v>29614</v>
      </c>
      <c r="B23529" s="4" t="s">
        <v>29616</v>
      </c>
      <c r="C23529" s="5" t="str">
        <f>IFERROR(__xludf.DUMMYFUNCTION("GOOGLETRANSLATE(B23529,""en"",""zh-CN"")"),"该男子不洗手离开浴室。")</f>
        <v>该男子不洗手离开浴室。</v>
      </c>
    </row>
    <row r="23530">
      <c r="A23530" s="4" t="s">
        <v>29614</v>
      </c>
      <c r="B23530" s="4" t="s">
        <v>29617</v>
      </c>
      <c r="C23530" s="5" t="str">
        <f>IFERROR(__xludf.DUMMYFUNCTION("GOOGLETRANSLATE(B23530,""en"",""zh-CN"")"),"该男子用手从食物中吃饭。")</f>
        <v>该男子用手从食物中吃饭。</v>
      </c>
    </row>
    <row r="23531">
      <c r="A23531" s="4" t="s">
        <v>29614</v>
      </c>
      <c r="B23531" s="4" t="s">
        <v>29618</v>
      </c>
      <c r="C23531" s="5" t="str">
        <f>IFERROR(__xludf.DUMMYFUNCTION("GOOGLETRANSLATE(B23531,""en"",""zh-CN"")"),"女人和狗一起玩。")</f>
        <v>女人和狗一起玩。</v>
      </c>
    </row>
    <row r="23532">
      <c r="A23532" s="4" t="s">
        <v>29614</v>
      </c>
      <c r="B23532" s="4" t="s">
        <v>29619</v>
      </c>
      <c r="C23532" s="5" t="str">
        <f>IFERROR(__xludf.DUMMYFUNCTION("GOOGLETRANSLATE(B23532,""en"",""zh-CN"")"),"一个人用泡沫肥皂在水槽里洗手。")</f>
        <v>一个人用泡沫肥皂在水槽里洗手。</v>
      </c>
    </row>
    <row r="23533">
      <c r="A23533" s="4" t="s">
        <v>29614</v>
      </c>
      <c r="B23533" s="4" t="s">
        <v>29620</v>
      </c>
      <c r="C23533" s="5" t="str">
        <f>IFERROR(__xludf.DUMMYFUNCTION("GOOGLETRANSLATE(B23533,""en"",""zh-CN"")"),"该人用纸巾将手从手上干燥。")</f>
        <v>该人用纸巾将手从手上干燥。</v>
      </c>
    </row>
    <row r="23534">
      <c r="A23534" s="4" t="s">
        <v>29614</v>
      </c>
      <c r="B23534" s="4" t="s">
        <v>29621</v>
      </c>
      <c r="C23534" s="5" t="str">
        <f>IFERROR(__xludf.DUMMYFUNCTION("GOOGLETRANSLATE(B23534,""en"",""zh-CN"")"),"一个人在不锈钢水槽中洗手。")</f>
        <v>一个人在不锈钢水槽中洗手。</v>
      </c>
    </row>
    <row r="23535">
      <c r="A23535" s="4" t="s">
        <v>29622</v>
      </c>
      <c r="B23535" s="4" t="s">
        <v>29623</v>
      </c>
      <c r="C23535" s="5" t="str">
        <f>IFERROR(__xludf.DUMMYFUNCTION("GOOGLETRANSLATE(B23535,""en"",""zh-CN"")"),"一个混乱的孩子正在吃一个冰淇淋蛋筒。")</f>
        <v>一个混乱的孩子正在吃一个冰淇淋蛋筒。</v>
      </c>
    </row>
    <row r="23536">
      <c r="A23536" s="4" t="s">
        <v>29622</v>
      </c>
      <c r="B23536" s="4" t="s">
        <v>29624</v>
      </c>
      <c r="C23536" s="5" t="str">
        <f>IFERROR(__xludf.DUMMYFUNCTION("GOOGLETRANSLATE(B23536,""en"",""zh-CN"")"),"他咬了父母冰淇淋锥。")</f>
        <v>他咬了父母冰淇淋锥。</v>
      </c>
    </row>
    <row r="23537">
      <c r="A23537" s="4" t="s">
        <v>29622</v>
      </c>
      <c r="B23537" s="4" t="s">
        <v>29625</v>
      </c>
      <c r="C23537" s="5" t="str">
        <f>IFERROR(__xludf.DUMMYFUNCTION("GOOGLETRANSLATE(B23537,""en"",""zh-CN"")"),"父母调整孩子的锥体。")</f>
        <v>父母调整孩子的锥体。</v>
      </c>
    </row>
    <row r="23538">
      <c r="A23538" s="4" t="s">
        <v>29622</v>
      </c>
      <c r="B23538" s="4" t="s">
        <v>29626</v>
      </c>
      <c r="C23538" s="5" t="str">
        <f>IFERROR(__xludf.DUMMYFUNCTION("GOOGLETRANSLATE(B23538,""en"",""zh-CN"")"),"父母从孩子的脸上擦拭冰淇淋。")</f>
        <v>父母从孩子的脸上擦拭冰淇淋。</v>
      </c>
    </row>
    <row r="23539">
      <c r="A23539" s="4" t="s">
        <v>29627</v>
      </c>
      <c r="B23539" s="4" t="s">
        <v>29628</v>
      </c>
      <c r="C23539" s="5" t="str">
        <f>IFERROR(__xludf.DUMMYFUNCTION("GOOGLETRANSLATE(B23539,""en"",""zh-CN"")"),"海滩巡逻队的一名员工正在谈论如何在海滩度过安全的一天。")</f>
        <v>海滩巡逻队的一名员工正在谈论如何在海滩度过安全的一天。</v>
      </c>
    </row>
    <row r="23540">
      <c r="A23540" s="4" t="s">
        <v>29627</v>
      </c>
      <c r="B23540" s="4" t="s">
        <v>29629</v>
      </c>
      <c r="C23540" s="5" t="str">
        <f>IFERROR(__xludf.DUMMYFUNCTION("GOOGLETRANSLATE(B23540,""en"",""zh-CN"")"),"介绍了防晒霜，他概述了如何以及为什么正确涂抹防晒霜。")</f>
        <v>介绍了防晒霜，他概述了如何以及为什么正确涂抹防晒霜。</v>
      </c>
    </row>
    <row r="23541">
      <c r="A23541" s="4" t="s">
        <v>29627</v>
      </c>
      <c r="B23541" s="4" t="s">
        <v>29630</v>
      </c>
      <c r="C23541" s="5" t="str">
        <f>IFERROR(__xludf.DUMMYFUNCTION("GOOGLETRANSLATE(B23541,""en"",""zh-CN"")"),"Sunscreen SPF值以幻灯片的方式解决了如何注意适当的SPF。")</f>
        <v>Sunscreen SPF值以幻灯片的方式解决了如何注意适当的SPF。</v>
      </c>
    </row>
    <row r="23542">
      <c r="A23542" s="4" t="s">
        <v>29627</v>
      </c>
      <c r="B23542" s="4" t="s">
        <v>29631</v>
      </c>
      <c r="C23542" s="5" t="str">
        <f>IFERROR(__xludf.DUMMYFUNCTION("GOOGLETRANSLATE(B23542,""en"",""zh-CN"")"),"他解决了晒伤的负面影响，尤其是在儿童中。")</f>
        <v>他解决了晒伤的负面影响，尤其是在儿童中。</v>
      </c>
    </row>
    <row r="23543">
      <c r="A23543" s="4" t="s">
        <v>29627</v>
      </c>
      <c r="B23543" s="4" t="s">
        <v>29632</v>
      </c>
      <c r="C23543" s="5" t="str">
        <f>IFERROR(__xludf.DUMMYFUNCTION("GOOGLETRANSLATE(B23543,""en"",""zh-CN"")"),"然后，他谈论了不同类型的特殊防晒霜，以确保您安全覆盖。")</f>
        <v>然后，他谈论了不同类型的特殊防晒霜，以确保您安全覆盖。</v>
      </c>
    </row>
    <row r="23544">
      <c r="A23544" s="4" t="s">
        <v>29627</v>
      </c>
      <c r="B23544" s="4" t="s">
        <v>29633</v>
      </c>
      <c r="C23544" s="5" t="str">
        <f>IFERROR(__xludf.DUMMYFUNCTION("GOOGLETRANSLATE(B23544,""en"",""zh-CN"")"),"然后谈论儿童防晒霜的安全以及如何正确保护您的孩子。")</f>
        <v>然后谈论儿童防晒霜的安全以及如何正确保护您的孩子。</v>
      </c>
    </row>
    <row r="23545">
      <c r="A23545" s="4" t="s">
        <v>29627</v>
      </c>
      <c r="B23545" s="6" t="s">
        <v>29634</v>
      </c>
      <c r="C23545" s="5" t="str">
        <f>IFERROR(__xludf.DUMMYFUNCTION("GOOGLETRANSLATE(B23545,""en"",""zh-CN"")"),"然后，他讨论当晒伤发生时该怎么做，如何处理它来照顾您的皮肤。")</f>
        <v>然后，他讨论当晒伤发生时该怎么做，如何处理它来照顾您的皮肤。</v>
      </c>
    </row>
    <row r="23546">
      <c r="A23546" s="4" t="s">
        <v>29627</v>
      </c>
      <c r="B23546" s="4" t="s">
        <v>29635</v>
      </c>
      <c r="C23546" s="5" t="str">
        <f>IFERROR(__xludf.DUMMYFUNCTION("GOOGLETRANSLATE(B23546,""en"",""zh-CN"")"),"显示幻灯片使我们意识到何时晒伤何时不好并且需要医疗护理。")</f>
        <v>显示幻灯片使我们意识到何时晒伤何时不好并且需要医疗护理。</v>
      </c>
    </row>
    <row r="23547">
      <c r="A23547" s="4" t="s">
        <v>29627</v>
      </c>
      <c r="B23547" s="4" t="s">
        <v>29636</v>
      </c>
      <c r="C23547" s="5" t="str">
        <f>IFERROR(__xludf.DUMMYFUNCTION("GOOGLETRANSLATE(B23547,""en"",""zh-CN"")"),"然后，他又一次概述了如何使用防晒霜使您的一天愉快。")</f>
        <v>然后，他又一次概述了如何使用防晒霜使您的一天愉快。</v>
      </c>
    </row>
    <row r="23548">
      <c r="A23548" s="4" t="s">
        <v>29637</v>
      </c>
      <c r="B23548" s="6" t="s">
        <v>29638</v>
      </c>
      <c r="C23548" s="5" t="str">
        <f>IFERROR(__xludf.DUMMYFUNCTION("GOOGLETRANSLATE(B23548,""en"",""zh-CN"")"),"显示了几个盒子的剪辑，以及人们在舞台上移动和观众观看。")</f>
        <v>显示了几个盒子的剪辑，以及人们在舞台上移动和观众观看。</v>
      </c>
    </row>
    <row r="23549">
      <c r="A23549" s="4" t="s">
        <v>29637</v>
      </c>
      <c r="B23549" s="6" t="s">
        <v>29639</v>
      </c>
      <c r="C23549" s="5" t="str">
        <f>IFERROR(__xludf.DUMMYFUNCTION("GOOGLETRANSLATE(B23549,""en"",""zh-CN"")"),"该视频会导致几个人尽快清洗窗户，而许多人则在旁边观看它们。")</f>
        <v>该视频会导致几个人尽快清洗窗户，而许多人则在旁边观看它们。</v>
      </c>
    </row>
    <row r="23550">
      <c r="A23550" s="4" t="s">
        <v>29637</v>
      </c>
      <c r="B23550" s="6" t="s">
        <v>29640</v>
      </c>
      <c r="C23550" s="5" t="str">
        <f>IFERROR(__xludf.DUMMYFUNCTION("GOOGLETRANSLATE(B23550,""en"",""zh-CN"")"),"许多男人在相机上讲话，以及宣布分数和更多窗户清洗的人。")</f>
        <v>许多男人在相机上讲话，以及宣布分数和更多窗户清洗的人。</v>
      </c>
    </row>
    <row r="23551">
      <c r="A23551" s="4" t="s">
        <v>29641</v>
      </c>
      <c r="B23551" s="4" t="s">
        <v>29642</v>
      </c>
      <c r="C23551" s="5" t="str">
        <f>IFERROR(__xludf.DUMMYFUNCTION("GOOGLETRANSLATE(B23551,""en"",""zh-CN"")"),"女人用可爱的修指甲和手后的一些抛光剂展示了指甲。")</f>
        <v>女人用可爱的修指甲和手后的一些抛光剂展示了指甲。</v>
      </c>
    </row>
    <row r="23552">
      <c r="A23552" s="4" t="s">
        <v>29641</v>
      </c>
      <c r="B23552" s="4" t="s">
        <v>29643</v>
      </c>
      <c r="C23552" s="5" t="str">
        <f>IFERROR(__xludf.DUMMYFUNCTION("GOOGLETRANSLATE(B23552,""en"",""zh-CN"")"),"女人正在拿着粉红色的抛光剂，开始绘画指甲。")</f>
        <v>女人正在拿着粉红色的抛光剂，开始绘画指甲。</v>
      </c>
    </row>
    <row r="23553">
      <c r="A23553" s="4" t="s">
        <v>29641</v>
      </c>
      <c r="B23553" s="4" t="s">
        <v>29644</v>
      </c>
      <c r="C23553" s="5" t="str">
        <f>IFERROR(__xludf.DUMMYFUNCTION("GOOGLETRANSLATE(B23553,""en"",""zh-CN"")"),"并带有一点海绵，然后用白色的蓝色和紫色油漆将指甲涂成钉子。")</f>
        <v>并带有一点海绵，然后用白色的蓝色和紫色油漆将指甲涂成钉子。</v>
      </c>
    </row>
    <row r="23554">
      <c r="A23554" s="4" t="s">
        <v>29641</v>
      </c>
      <c r="B23554" s="4" t="s">
        <v>29645</v>
      </c>
      <c r="C23554" s="5" t="str">
        <f>IFERROR(__xludf.DUMMYFUNCTION("GOOGLETRANSLATE(B23554,""en"",""zh-CN"")"),"用一个小灌木丛放置som wwhite点并清洁指甲。")</f>
        <v>用一个小灌木丛放置som wwhite点并清洁指甲。</v>
      </c>
    </row>
    <row r="23555">
      <c r="A23555" s="4" t="s">
        <v>29641</v>
      </c>
      <c r="B23555" s="4" t="s">
        <v>29646</v>
      </c>
      <c r="C23555" s="5" t="str">
        <f>IFERROR(__xludf.DUMMYFUNCTION("GOOGLETRANSLATE(B23555,""en"",""zh-CN"")"),"女人用霜灰色的抛光剂切成红色纸和油漆。")</f>
        <v>女人用霜灰色的抛光剂切成红色纸和油漆。</v>
      </c>
    </row>
    <row r="23556">
      <c r="A23556" s="4" t="s">
        <v>29647</v>
      </c>
      <c r="B23556" s="4" t="s">
        <v>29648</v>
      </c>
      <c r="C23556" s="5" t="str">
        <f>IFERROR(__xludf.DUMMYFUNCTION("GOOGLETRANSLATE(B23556,""en"",""zh-CN"")"),"厨房柜台上有一个水烟。")</f>
        <v>厨房柜台上有一个水烟。</v>
      </c>
    </row>
    <row r="23557">
      <c r="A23557" s="4" t="s">
        <v>29647</v>
      </c>
      <c r="B23557" s="6" t="s">
        <v>29649</v>
      </c>
      <c r="C23557" s="5" t="str">
        <f>IFERROR(__xludf.DUMMYFUNCTION("GOOGLETRANSLATE(B23557,""en"",""zh-CN"")"),"一个穿着黑色无袖衬衫的男人来到那里，跪下来抽烟。")</f>
        <v>一个穿着黑色无袖衬衫的男人来到那里，跪下来抽烟。</v>
      </c>
    </row>
    <row r="23558">
      <c r="A23558" s="4" t="s">
        <v>29647</v>
      </c>
      <c r="B23558" s="4" t="s">
        <v>29650</v>
      </c>
      <c r="C23558" s="5" t="str">
        <f>IFERROR(__xludf.DUMMYFUNCTION("GOOGLETRANSLATE(B23558,""en"",""zh-CN"")"),"他抽烟，吹烟。")</f>
        <v>他抽烟，吹烟。</v>
      </c>
    </row>
    <row r="23559">
      <c r="A23559" s="4" t="s">
        <v>29647</v>
      </c>
      <c r="B23559" s="4" t="s">
        <v>29651</v>
      </c>
      <c r="C23559" s="5" t="str">
        <f>IFERROR(__xludf.DUMMYFUNCTION("GOOGLETRANSLATE(B23559,""en"",""zh-CN"")"),"他抽了几烟，然后呼出烟雾。")</f>
        <v>他抽了几烟，然后呼出烟雾。</v>
      </c>
    </row>
    <row r="23560">
      <c r="A23560" s="4" t="s">
        <v>29647</v>
      </c>
      <c r="B23560" s="4" t="s">
        <v>29652</v>
      </c>
      <c r="C23560" s="5" t="str">
        <f>IFERROR(__xludf.DUMMYFUNCTION("GOOGLETRANSLATE(B23560,""en"",""zh-CN"")"),"他继续抽烟，然后离开水烟，然后离开。")</f>
        <v>他继续抽烟，然后离开水烟，然后离开。</v>
      </c>
    </row>
    <row r="23561">
      <c r="A23561" s="4" t="s">
        <v>29653</v>
      </c>
      <c r="B23561" s="4" t="s">
        <v>29654</v>
      </c>
      <c r="C23561" s="5" t="str">
        <f>IFERROR(__xludf.DUMMYFUNCTION("GOOGLETRANSLATE(B23561,""en"",""zh-CN"")"),"看到一个袋子的近距离，接着是一个看着镜头的女人。")</f>
        <v>看到一个袋子的近距离，接着是一个看着镜头的女人。</v>
      </c>
    </row>
    <row r="23562">
      <c r="A23562" s="4" t="s">
        <v>29653</v>
      </c>
      <c r="B23562" s="4" t="s">
        <v>29655</v>
      </c>
      <c r="C23562" s="5" t="str">
        <f>IFERROR(__xludf.DUMMYFUNCTION("GOOGLETRANSLATE(B23562,""en"",""zh-CN"")"),"她举起电话，向镜子说话。")</f>
        <v>她举起电话，向镜子说话。</v>
      </c>
    </row>
    <row r="23563">
      <c r="A23563" s="4" t="s">
        <v>29653</v>
      </c>
      <c r="B23563" s="4" t="s">
        <v>29656</v>
      </c>
      <c r="C23563" s="5" t="str">
        <f>IFERROR(__xludf.DUMMYFUNCTION("GOOGLETRANSLATE(B23563,""en"",""zh-CN"")"),"最终，她通过关闭相机来跳来跳去，结束。")</f>
        <v>最终，她通过关闭相机来跳来跳去，结束。</v>
      </c>
    </row>
    <row r="23564">
      <c r="A23564" s="4" t="s">
        <v>29657</v>
      </c>
      <c r="B23564" s="4" t="s">
        <v>29658</v>
      </c>
      <c r="C23564" s="5" t="str">
        <f>IFERROR(__xludf.DUMMYFUNCTION("GOOGLETRANSLATE(B23564,""en"",""zh-CN"")"),"一个装有许多工具的人在拥挤的车库里的男人在拿着一张纸时说话。")</f>
        <v>一个装有许多工具的人在拥挤的车库里的男人在拿着一张纸时说话。</v>
      </c>
    </row>
    <row r="23565">
      <c r="A23565" s="4" t="s">
        <v>29657</v>
      </c>
      <c r="B23565" s="6" t="s">
        <v>29659</v>
      </c>
      <c r="C23565" s="5" t="str">
        <f>IFERROR(__xludf.DUMMYFUNCTION("GOOGLETRANSLATE(B23565,""en"",""zh-CN"")"),"他连续地用铁型工具轻拍一张纸，然后将纸刷在一块木头上。")</f>
        <v>他连续地用铁型工具轻拍一张纸，然后将纸刷在一块木头上。</v>
      </c>
    </row>
    <row r="23566">
      <c r="A23566" s="4" t="s">
        <v>29657</v>
      </c>
      <c r="B23566" s="4" t="s">
        <v>29660</v>
      </c>
      <c r="C23566" s="5" t="str">
        <f>IFERROR(__xludf.DUMMYFUNCTION("GOOGLETRANSLATE(B23566,""en"",""zh-CN"")"),"他放下纸，将铁工具直接放在木头上。")</f>
        <v>他放下纸，将铁工具直接放在木头上。</v>
      </c>
    </row>
    <row r="23567">
      <c r="A23567" s="4" t="s">
        <v>29657</v>
      </c>
      <c r="B23567" s="6" t="s">
        <v>29661</v>
      </c>
      <c r="C23567" s="5" t="str">
        <f>IFERROR(__xludf.DUMMYFUNCTION("GOOGLETRANSLATE(B23567,""en"",""zh-CN"")"),"他拿起纸巾，用一只手将铁压在一块木头上，同时用另一只手将纸巾拖到木板的熨烫区域上。")</f>
        <v>他拿起纸巾，用一只手将铁压在一块木头上，同时用另一只手将纸巾拖到木板的熨烫区域上。</v>
      </c>
    </row>
    <row r="23568">
      <c r="A23568" s="4" t="s">
        <v>29657</v>
      </c>
      <c r="B23568" s="4" t="s">
        <v>29662</v>
      </c>
      <c r="C23568" s="5" t="str">
        <f>IFERROR(__xludf.DUMMYFUNCTION("GOOGLETRANSLATE(B23568,""en"",""zh-CN"")"),"他将铁放下。")</f>
        <v>他将铁放下。</v>
      </c>
    </row>
    <row r="23569">
      <c r="A23569" s="4" t="s">
        <v>29657</v>
      </c>
      <c r="B23569" s="4" t="s">
        <v>29663</v>
      </c>
      <c r="C23569" s="5" t="str">
        <f>IFERROR(__xludf.DUMMYFUNCTION("GOOGLETRANSLATE(B23569,""en"",""zh-CN"")"),"他拿起纸巾，迅速清洗了一块木头。")</f>
        <v>他拿起纸巾，迅速清洗了一块木头。</v>
      </c>
    </row>
    <row r="23570">
      <c r="A23570" s="4" t="s">
        <v>29664</v>
      </c>
      <c r="B23570" s="4" t="s">
        <v>29665</v>
      </c>
      <c r="C23570" s="5" t="str">
        <f>IFERROR(__xludf.DUMMYFUNCTION("GOOGLETRANSLATE(B23570,""en"",""zh-CN"")"),"一个人将液体倒在桌子上。")</f>
        <v>一个人将液体倒在桌子上。</v>
      </c>
    </row>
    <row r="23571">
      <c r="A23571" s="4" t="s">
        <v>29664</v>
      </c>
      <c r="B23571" s="4" t="s">
        <v>29666</v>
      </c>
      <c r="C23571" s="5" t="str">
        <f>IFERROR(__xludf.DUMMYFUNCTION("GOOGLETRANSLATE(B23571,""en"",""zh-CN"")"),"通过使用画笔，他用液体覆盖桌子。")</f>
        <v>通过使用画笔，他用液体覆盖桌子。</v>
      </c>
    </row>
    <row r="23572">
      <c r="A23572" s="4" t="s">
        <v>29664</v>
      </c>
      <c r="B23572" s="4" t="s">
        <v>29667</v>
      </c>
      <c r="C23572" s="5" t="str">
        <f>IFERROR(__xludf.DUMMYFUNCTION("GOOGLETRANSLATE(B23572,""en"",""zh-CN"")"),"他从桌子的顶部清除了清漆。")</f>
        <v>他从桌子的顶部清除了清漆。</v>
      </c>
    </row>
    <row r="23573">
      <c r="A23573" s="4" t="s">
        <v>29664</v>
      </c>
      <c r="B23573" s="4" t="s">
        <v>29668</v>
      </c>
      <c r="C23573" s="5" t="str">
        <f>IFERROR(__xludf.DUMMYFUNCTION("GOOGLETRANSLATE(B23573,""en"",""zh-CN"")"),"之后，他对桌子进行了轻微的打磨。")</f>
        <v>之后，他对桌子进行了轻微的打磨。</v>
      </c>
    </row>
    <row r="23574">
      <c r="A23574" s="4" t="s">
        <v>29664</v>
      </c>
      <c r="B23574" s="4" t="s">
        <v>29669</v>
      </c>
      <c r="C23574" s="5" t="str">
        <f>IFERROR(__xludf.DUMMYFUNCTION("GOOGLETRANSLATE(B23574,""en"",""zh-CN"")"),"他用大头钉地毯去除灰尘。")</f>
        <v>他用大头钉地毯去除灰尘。</v>
      </c>
    </row>
    <row r="23575">
      <c r="A23575" s="4" t="s">
        <v>29664</v>
      </c>
      <c r="B23575" s="4" t="s">
        <v>29670</v>
      </c>
      <c r="C23575" s="5" t="str">
        <f>IFERROR(__xludf.DUMMYFUNCTION("GOOGLETRANSLATE(B23575,""en"",""zh-CN"")"),"戴上手套，他在桌子上涂了污渍。")</f>
        <v>戴上手套，他在桌子上涂了污渍。</v>
      </c>
    </row>
    <row r="23576">
      <c r="A23576" s="4" t="s">
        <v>29664</v>
      </c>
      <c r="B23576" s="4" t="s">
        <v>29671</v>
      </c>
      <c r="C23576" s="5" t="str">
        <f>IFERROR(__xludf.DUMMYFUNCTION("GOOGLETRANSLATE(B23576,""en"",""zh-CN"")"),"最后，他抛光了桌子，展示了自己的最终结果。")</f>
        <v>最后，他抛光了桌子，展示了自己的最终结果。</v>
      </c>
    </row>
    <row r="23577">
      <c r="A23577" s="4" t="s">
        <v>29672</v>
      </c>
      <c r="B23577" s="6" t="s">
        <v>29673</v>
      </c>
      <c r="C23577" s="5" t="str">
        <f>IFERROR(__xludf.DUMMYFUNCTION("GOOGLETRANSLATE(B23577,""en"",""zh-CN"")"),"史密斯女士正在接受一次谈论举重的采访，她谈到了她如何开始12。")</f>
        <v>史密斯女士正在接受一次谈论举重的采访，她谈到了她如何开始12。</v>
      </c>
    </row>
    <row r="23578">
      <c r="A23578" s="4" t="s">
        <v>29672</v>
      </c>
      <c r="B23578" s="4" t="s">
        <v>29674</v>
      </c>
      <c r="C23578" s="5" t="str">
        <f>IFERROR(__xludf.DUMMYFUNCTION("GOOGLETRANSLATE(B23578,""en"",""zh-CN"")"),"教练简要地谈到了在每场比赛之前如何让他们休息。")</f>
        <v>教练简要地谈到了在每场比赛之前如何让他们休息。</v>
      </c>
    </row>
    <row r="23579">
      <c r="A23579" s="4" t="s">
        <v>29672</v>
      </c>
      <c r="B23579" s="4" t="s">
        <v>29675</v>
      </c>
      <c r="C23579" s="5" t="str">
        <f>IFERROR(__xludf.DUMMYFUNCTION("GOOGLETRANSLATE(B23579,""en"",""zh-CN"")"),"她将重物抬起头顶，并穿着制服将其掉落。")</f>
        <v>她将重物抬起头顶，并穿着制服将其掉落。</v>
      </c>
    </row>
    <row r="23580">
      <c r="A23580" s="4" t="s">
        <v>29672</v>
      </c>
      <c r="B23580" s="6" t="s">
        <v>29676</v>
      </c>
      <c r="C23580" s="5" t="str">
        <f>IFERROR(__xludf.DUMMYFUNCTION("GOOGLETRANSLATE(B23580,""en"",""zh-CN"")"),"每个人都为她鼓掌，然后您在面试结束之前再次听到她和教练的消息。")</f>
        <v>每个人都为她鼓掌，然后您在面试结束之前再次听到她和教练的消息。</v>
      </c>
    </row>
    <row r="23581">
      <c r="A23581" s="4" t="s">
        <v>29677</v>
      </c>
      <c r="B23581" s="4" t="s">
        <v>29678</v>
      </c>
      <c r="C23581" s="5" t="str">
        <f>IFERROR(__xludf.DUMMYFUNCTION("GOOGLETRANSLATE(B23581,""en"",""zh-CN"")"),"通过窗户展示了城市的夜间景观。")</f>
        <v>通过窗户展示了城市的夜间景观。</v>
      </c>
    </row>
    <row r="23582">
      <c r="A23582" s="4" t="s">
        <v>29677</v>
      </c>
      <c r="B23582" s="4" t="s">
        <v>29679</v>
      </c>
      <c r="C23582" s="5" t="str">
        <f>IFERROR(__xludf.DUMMYFUNCTION("GOOGLETRANSLATE(B23582,""en"",""zh-CN"")"),"一个穿着厨师外套的男人站在厨房里和镜头说话。")</f>
        <v>一个穿着厨师外套的男人站在厨房里和镜头说话。</v>
      </c>
    </row>
    <row r="23583">
      <c r="A23583" s="4" t="s">
        <v>29677</v>
      </c>
      <c r="B23583" s="4" t="s">
        <v>29680</v>
      </c>
      <c r="C23583" s="5" t="str">
        <f>IFERROR(__xludf.DUMMYFUNCTION("GOOGLETRANSLATE(B23583,""en"",""zh-CN"")"),"显示煎饼，糖浆倒在上面。")</f>
        <v>显示煎饼，糖浆倒在上面。</v>
      </c>
    </row>
    <row r="23584">
      <c r="A23584" s="4" t="s">
        <v>29677</v>
      </c>
      <c r="B23584" s="4" t="s">
        <v>29681</v>
      </c>
      <c r="C23584" s="5" t="str">
        <f>IFERROR(__xludf.DUMMYFUNCTION("GOOGLETRANSLATE(B23584,""en"",""zh-CN"")"),"成分放在碗中。")</f>
        <v>成分放在碗中。</v>
      </c>
    </row>
    <row r="23585">
      <c r="A23585" s="4" t="s">
        <v>29677</v>
      </c>
      <c r="B23585" s="4" t="s">
        <v>29682</v>
      </c>
      <c r="C23585" s="5" t="str">
        <f>IFERROR(__xludf.DUMMYFUNCTION("GOOGLETRANSLATE(B23585,""en"",""zh-CN"")"),"该男子裂开一个鸡蛋，然后在碗中搅拌食材。")</f>
        <v>该男子裂开一个鸡蛋，然后在碗中搅拌食材。</v>
      </c>
    </row>
    <row r="23586">
      <c r="A23586" s="4" t="s">
        <v>29677</v>
      </c>
      <c r="B23586" s="4" t="s">
        <v>29683</v>
      </c>
      <c r="C23586" s="5" t="str">
        <f>IFERROR(__xludf.DUMMYFUNCTION("GOOGLETRANSLATE(B23586,""en"",""zh-CN"")"),"碗旁边显示了一个钢包。")</f>
        <v>碗旁边显示了一个钢包。</v>
      </c>
    </row>
    <row r="23587">
      <c r="A23587" s="4" t="s">
        <v>29677</v>
      </c>
      <c r="B23587" s="4" t="s">
        <v>29684</v>
      </c>
      <c r="C23587" s="5" t="str">
        <f>IFERROR(__xludf.DUMMYFUNCTION("GOOGLETRANSLATE(B23587,""en"",""zh-CN"")"),"该男子将薄煎饼糊涂到烤肉上。")</f>
        <v>该男子将薄煎饼糊涂到烤肉上。</v>
      </c>
    </row>
    <row r="23588">
      <c r="A23588" s="4" t="s">
        <v>29677</v>
      </c>
      <c r="B23588" s="4" t="s">
        <v>29685</v>
      </c>
      <c r="C23588" s="5" t="str">
        <f>IFERROR(__xludf.DUMMYFUNCTION("GOOGLETRANSLATE(B23588,""en"",""zh-CN"")"),"该男子翻转煎饼。")</f>
        <v>该男子翻转煎饼。</v>
      </c>
    </row>
    <row r="23589">
      <c r="A23589" s="4" t="s">
        <v>29677</v>
      </c>
      <c r="B23589" s="4" t="s">
        <v>29686</v>
      </c>
      <c r="C23589" s="5" t="str">
        <f>IFERROR(__xludf.DUMMYFUNCTION("GOOGLETRANSLATE(B23589,""en"",""zh-CN"")"),"将煎饼放在盘子上，然后将糖浆倒在上面。")</f>
        <v>将煎饼放在盘子上，然后将糖浆倒在上面。</v>
      </c>
    </row>
    <row r="23590">
      <c r="A23590" s="4" t="s">
        <v>29677</v>
      </c>
      <c r="B23590" s="4" t="s">
        <v>29687</v>
      </c>
      <c r="C23590" s="5" t="str">
        <f>IFERROR(__xludf.DUMMYFUNCTION("GOOGLETRANSLATE(B23590,""en"",""zh-CN"")"),"该男子在吃一块煎饼。")</f>
        <v>该男子在吃一块煎饼。</v>
      </c>
    </row>
    <row r="23591">
      <c r="A23591" s="4" t="s">
        <v>29677</v>
      </c>
      <c r="B23591" s="4" t="s">
        <v>29688</v>
      </c>
      <c r="C23591" s="5" t="str">
        <f>IFERROR(__xludf.DUMMYFUNCTION("GOOGLETRANSLATE(B23591,""en"",""zh-CN"")"),"该男子在拿着一块煎饼的同时继续与镜头说话。")</f>
        <v>该男子在拿着一块煎饼的同时继续与镜头说话。</v>
      </c>
    </row>
    <row r="23592">
      <c r="A23592" s="4" t="s">
        <v>29677</v>
      </c>
      <c r="B23592" s="4" t="s">
        <v>29689</v>
      </c>
      <c r="C23592" s="5" t="str">
        <f>IFERROR(__xludf.DUMMYFUNCTION("GOOGLETRANSLATE(B23592,""en"",""zh-CN"")"),"显示了电视工作室。")</f>
        <v>显示了电视工作室。</v>
      </c>
    </row>
    <row r="23593">
      <c r="A23593" s="4" t="s">
        <v>29690</v>
      </c>
      <c r="B23593" s="4" t="s">
        <v>29691</v>
      </c>
      <c r="C23593" s="5" t="str">
        <f>IFERROR(__xludf.DUMMYFUNCTION("GOOGLETRANSLATE(B23593,""en"",""zh-CN"")"),"一个有唐氏综合症碗的年轻人。")</f>
        <v>一个有唐氏综合症碗的年轻人。</v>
      </c>
    </row>
    <row r="23594">
      <c r="A23594" s="4" t="s">
        <v>29690</v>
      </c>
      <c r="B23594" s="4" t="s">
        <v>29692</v>
      </c>
      <c r="C23594" s="5" t="str">
        <f>IFERROR(__xludf.DUMMYFUNCTION("GOOGLETRANSLATE(B23594,""en"",""zh-CN"")"),"另一个年轻人投掷保龄球。")</f>
        <v>另一个年轻人投掷保龄球。</v>
      </c>
    </row>
    <row r="23595">
      <c r="A23595" s="4" t="s">
        <v>29690</v>
      </c>
      <c r="B23595" s="4" t="s">
        <v>29693</v>
      </c>
      <c r="C23595" s="5" t="str">
        <f>IFERROR(__xludf.DUMMYFUNCTION("GOOGLETRANSLATE(B23595,""en"",""zh-CN"")"),"第一个年轻人在成功的投掷后庆祝。")</f>
        <v>第一个年轻人在成功的投掷后庆祝。</v>
      </c>
    </row>
    <row r="23596">
      <c r="A23596" s="4" t="s">
        <v>29694</v>
      </c>
      <c r="B23596" s="6" t="s">
        <v>29695</v>
      </c>
      <c r="C23596" s="5" t="str">
        <f>IFERROR(__xludf.DUMMYFUNCTION("GOOGLETRANSLATE(B23596,""en"",""zh-CN"")"),"男子正站在车间里的灰色汽车前，改变了汽车轮，并与TE相机交谈。")</f>
        <v>男子正站在车间里的灰色汽车前，改变了汽车轮，并与TE相机交谈。</v>
      </c>
    </row>
    <row r="23597">
      <c r="A23597" s="4" t="s">
        <v>29694</v>
      </c>
      <c r="B23597" s="6" t="s">
        <v>29696</v>
      </c>
      <c r="C23597" s="5" t="str">
        <f>IFERROR(__xludf.DUMMYFUNCTION("GOOGLETRANSLATE(B23597,""en"",""zh-CN"")"),"首先，该男子抓住一个hi肌的插孔，将其放在汽车下，拧开螺栓戴轮支架，拉出轮子并安装新的螺栓，然后用轮支架再次将螺丝放回原处。")</f>
        <v>首先，该男子抓住一个hi肌的插孔，将其放在汽车下，拧开螺栓戴轮支架，拉出轮子并安装新的螺栓，然后用轮支架再次将螺丝放回原处。</v>
      </c>
    </row>
    <row r="23598">
      <c r="A23598" s="4" t="s">
        <v>29694</v>
      </c>
      <c r="B23598" s="4" t="s">
        <v>29697</v>
      </c>
      <c r="C23598" s="5" t="str">
        <f>IFERROR(__xludf.DUMMYFUNCTION("GOOGLETRANSLATE(B23598,""en"",""zh-CN"")"),"男人在车前说话并提议。")</f>
        <v>男人在车前说话并提议。</v>
      </c>
    </row>
    <row r="23599">
      <c r="A23599" s="4" t="s">
        <v>29698</v>
      </c>
      <c r="B23599" s="4" t="s">
        <v>1251</v>
      </c>
      <c r="C23599" s="5" t="str">
        <f>IFERROR(__xludf.DUMMYFUNCTION("GOOGLETRANSLATE(B23599,""en"",""zh-CN"")"),"显示了剪辑的信用。")</f>
        <v>显示了剪辑的信用。</v>
      </c>
    </row>
    <row r="23600">
      <c r="A23600" s="4" t="s">
        <v>29698</v>
      </c>
      <c r="B23600" s="4" t="s">
        <v>29699</v>
      </c>
      <c r="C23600" s="5" t="str">
        <f>IFERROR(__xludf.DUMMYFUNCTION("GOOGLETRANSLATE(B23600,""en"",""zh-CN"")"),"一个人坐在地板上说话。")</f>
        <v>一个人坐在地板上说话。</v>
      </c>
    </row>
    <row r="23601">
      <c r="A23601" s="4" t="s">
        <v>29698</v>
      </c>
      <c r="B23601" s="4" t="s">
        <v>29700</v>
      </c>
      <c r="C23601" s="5" t="str">
        <f>IFERROR(__xludf.DUMMYFUNCTION("GOOGLETRANSLATE(B23601,""en"",""zh-CN"")"),"那个家伙躺下来坐着。")</f>
        <v>那个家伙躺下来坐着。</v>
      </c>
    </row>
    <row r="23602">
      <c r="A23602" s="4" t="s">
        <v>29698</v>
      </c>
      <c r="B23602" s="4" t="s">
        <v>29701</v>
      </c>
      <c r="C23602" s="5" t="str">
        <f>IFERROR(__xludf.DUMMYFUNCTION("GOOGLETRANSLATE(B23602,""en"",""zh-CN"")"),"那家伙回到了坐姿。")</f>
        <v>那家伙回到了坐姿。</v>
      </c>
    </row>
    <row r="23603">
      <c r="A23603" s="4" t="s">
        <v>29698</v>
      </c>
      <c r="B23603" s="4" t="s">
        <v>29702</v>
      </c>
      <c r="C23603" s="5" t="str">
        <f>IFERROR(__xludf.DUMMYFUNCTION("GOOGLETRANSLATE(B23603,""en"",""zh-CN"")"),"显示了视频和图像的信用。")</f>
        <v>显示了视频和图像的信用。</v>
      </c>
    </row>
    <row r="23604">
      <c r="A23604" s="4" t="s">
        <v>29703</v>
      </c>
      <c r="B23604" s="6" t="s">
        <v>29704</v>
      </c>
      <c r="C23604" s="5" t="str">
        <f>IFERROR(__xludf.DUMMYFUNCTION("GOOGLETRANSLATE(B23604,""en"",""zh-CN"")"),"一位女性高加索人正坐在椅子上旋转着炫耀她长长的金发风格，右侧固定在右侧，底部有卷发。")</f>
        <v>一位女性高加索人正坐在椅子上旋转着炫耀她长长的金发风格，右侧固定在右侧，底部有卷发。</v>
      </c>
    </row>
    <row r="23605">
      <c r="A23605" s="4" t="s">
        <v>29703</v>
      </c>
      <c r="B23605" s="6" t="s">
        <v>29705</v>
      </c>
      <c r="C23605" s="5" t="str">
        <f>IFERROR(__xludf.DUMMYFUNCTION("GOOGLETRANSLATE(B23605,""en"",""zh-CN"")"),"在下一个屏幕上，一个女人开始抓住底部并将其从底部滚动到约三英寸，并用一块箔纸将其密封。")</f>
        <v>在下一个屏幕上，一个女人开始抓住底部并将其从底部滚动到约三英寸，并用一块箔纸将其密封。</v>
      </c>
    </row>
    <row r="23606">
      <c r="A23606" s="4" t="s">
        <v>29703</v>
      </c>
      <c r="B23606" s="4" t="s">
        <v>29706</v>
      </c>
      <c r="C23606" s="5" t="str">
        <f>IFERROR(__xludf.DUMMYFUNCTION("GOOGLETRANSLATE(B23606,""en"",""zh-CN"")"),"一旦将头发折叠成箔纸，女士就拿起扁铁并将其运到箔上。")</f>
        <v>一旦将头发折叠成箔纸，女士就拿起扁铁并将其运到箔上。</v>
      </c>
    </row>
    <row r="23607">
      <c r="A23607" s="4" t="s">
        <v>29703</v>
      </c>
      <c r="B23607" s="6" t="s">
        <v>29707</v>
      </c>
      <c r="C23607" s="5" t="str">
        <f>IFERROR(__xludf.DUMMYFUNCTION("GOOGLETRANSLATE(B23607,""en"",""zh-CN"")"),"下一个场景到来时，这位女士的头上挂着八个箔卷曲，上面贴着长发钉。")</f>
        <v>下一个场景到来时，这位女士的头上挂着八个箔卷曲，上面贴着长发钉。</v>
      </c>
    </row>
    <row r="23608">
      <c r="A23608" s="4" t="s">
        <v>29703</v>
      </c>
      <c r="B23608" s="4" t="s">
        <v>29708</v>
      </c>
      <c r="C23608" s="5" t="str">
        <f>IFERROR(__xludf.DUMMYFUNCTION("GOOGLETRANSLATE(B23608,""en"",""zh-CN"")"),"下一步是卸下销钉，然后释放箔纸并释放卷发。")</f>
        <v>下一步是卸下销钉，然后释放箔纸并释放卷发。</v>
      </c>
    </row>
    <row r="23609">
      <c r="A23609" s="4" t="s">
        <v>29703</v>
      </c>
      <c r="B23609" s="4" t="s">
        <v>29709</v>
      </c>
      <c r="C23609" s="5" t="str">
        <f>IFERROR(__xludf.DUMMYFUNCTION("GOOGLETRANSLATE(B23609,""en"",""zh-CN"")"),"最后，样式完成了，她再次旋转以展示成品。")</f>
        <v>最后，样式完成了，她再次旋转以展示成品。</v>
      </c>
    </row>
    <row r="23610">
      <c r="A23610" s="4" t="s">
        <v>29710</v>
      </c>
      <c r="B23610" s="4" t="s">
        <v>29711</v>
      </c>
      <c r="C23610" s="5" t="str">
        <f>IFERROR(__xludf.DUMMYFUNCTION("GOOGLETRANSLATE(B23610,""en"",""zh-CN"")"),"一个女人走到蓝色的舞台上。")</f>
        <v>一个女人走到蓝色的舞台上。</v>
      </c>
    </row>
    <row r="23611">
      <c r="A23611" s="4" t="s">
        <v>29710</v>
      </c>
      <c r="B23611" s="4" t="s">
        <v>29712</v>
      </c>
      <c r="C23611" s="5" t="str">
        <f>IFERROR(__xludf.DUMMYFUNCTION("GOOGLETRANSLATE(B23611,""en"",""zh-CN"")"),"她开始在舞台上来回翻转。")</f>
        <v>她开始在舞台上来回翻转。</v>
      </c>
    </row>
    <row r="23612">
      <c r="A23612" s="4" t="s">
        <v>29710</v>
      </c>
      <c r="B23612" s="4" t="s">
        <v>29713</v>
      </c>
      <c r="C23612" s="5" t="str">
        <f>IFERROR(__xludf.DUMMYFUNCTION("GOOGLETRANSLATE(B23612,""en"",""zh-CN"")"),"她在表演之前旋转和旋转了一名警棍。")</f>
        <v>她在表演之前旋转和旋转了一名警棍。</v>
      </c>
    </row>
    <row r="23613">
      <c r="A23613" s="4" t="s">
        <v>29714</v>
      </c>
      <c r="B23613" s="4" t="s">
        <v>29715</v>
      </c>
      <c r="C23613" s="5" t="str">
        <f>IFERROR(__xludf.DUMMYFUNCTION("GOOGLETRANSLATE(B23613,""en"",""zh-CN"")"),"一个女人用手刷头发。")</f>
        <v>一个女人用手刷头发。</v>
      </c>
    </row>
    <row r="23614">
      <c r="A23614" s="4" t="s">
        <v>29714</v>
      </c>
      <c r="B23614" s="4" t="s">
        <v>29716</v>
      </c>
      <c r="C23614" s="5" t="str">
        <f>IFERROR(__xludf.DUMMYFUNCTION("GOOGLETRANSLATE(B23614,""en"",""zh-CN"")"),"女人用梳子梳理头发。")</f>
        <v>女人用梳子梳理头发。</v>
      </c>
    </row>
    <row r="23615">
      <c r="A23615" s="4" t="s">
        <v>29714</v>
      </c>
      <c r="B23615" s="4" t="s">
        <v>29717</v>
      </c>
      <c r="C23615" s="5" t="str">
        <f>IFERROR(__xludf.DUMMYFUNCTION("GOOGLETRANSLATE(B23615,""en"",""zh-CN"")"),"梳子以慢动作显示。")</f>
        <v>梳子以慢动作显示。</v>
      </c>
    </row>
    <row r="23616">
      <c r="A23616" s="4" t="s">
        <v>29718</v>
      </c>
      <c r="B23616" s="6" t="s">
        <v>29719</v>
      </c>
      <c r="C23616" s="5" t="str">
        <f>IFERROR(__xludf.DUMMYFUNCTION("GOOGLETRANSLATE(B23616,""en"",""zh-CN"")"),"男孩和女孩在竞争中在舞台上进行啦啦队编排，而在看台的人看着他们。")</f>
        <v>男孩和女孩在竞争中在舞台上进行啦啦队编排，而在看台的人看着他们。</v>
      </c>
    </row>
    <row r="23617">
      <c r="A23617" s="4" t="s">
        <v>29718</v>
      </c>
      <c r="B23617" s="4" t="s">
        <v>29720</v>
      </c>
      <c r="C23617" s="5" t="str">
        <f>IFERROR(__xludf.DUMMYFUNCTION("GOOGLETRANSLATE(B23617,""en"",""zh-CN"")"),"穿着黑色制服的男人站在欢呼队后面。")</f>
        <v>穿着黑色制服的男人站在欢呼队后面。</v>
      </c>
    </row>
    <row r="23618">
      <c r="A23618" s="4" t="s">
        <v>29721</v>
      </c>
      <c r="B23618" s="4" t="s">
        <v>29722</v>
      </c>
      <c r="C23618" s="5" t="str">
        <f>IFERROR(__xludf.DUMMYFUNCTION("GOOGLETRANSLATE(B23618,""en"",""zh-CN"")"),"一个男人在办公大楼前进行交谈。")</f>
        <v>一个男人在办公大楼前进行交谈。</v>
      </c>
    </row>
    <row r="23619">
      <c r="A23619" s="4" t="s">
        <v>29721</v>
      </c>
      <c r="B23619" s="4" t="s">
        <v>29723</v>
      </c>
      <c r="C23619" s="5" t="str">
        <f>IFERROR(__xludf.DUMMYFUNCTION("GOOGLETRANSLATE(B23619,""en"",""zh-CN"")"),"该男子进入建筑物并走上楼梯。")</f>
        <v>该男子进入建筑物并走上楼梯。</v>
      </c>
    </row>
    <row r="23620">
      <c r="A23620" s="4" t="s">
        <v>29721</v>
      </c>
      <c r="B23620" s="4" t="s">
        <v>29724</v>
      </c>
      <c r="C23620" s="5" t="str">
        <f>IFERROR(__xludf.DUMMYFUNCTION("GOOGLETRANSLATE(B23620,""en"",""zh-CN"")"),"该男子进入健身房。")</f>
        <v>该男子进入健身房。</v>
      </c>
    </row>
    <row r="23621">
      <c r="A23621" s="4" t="s">
        <v>29721</v>
      </c>
      <c r="B23621" s="4" t="s">
        <v>29725</v>
      </c>
      <c r="C23621" s="5" t="str">
        <f>IFERROR(__xludf.DUMMYFUNCTION("GOOGLETRANSLATE(B23621,""en"",""zh-CN"")"),"人们骑着固定的自行车，在健身房看电视。")</f>
        <v>人们骑着固定的自行车，在健身房看电视。</v>
      </c>
    </row>
    <row r="23622">
      <c r="A23622" s="4" t="s">
        <v>29726</v>
      </c>
      <c r="B23622" s="4" t="s">
        <v>29727</v>
      </c>
      <c r="C23622" s="5" t="str">
        <f>IFERROR(__xludf.DUMMYFUNCTION("GOOGLETRANSLATE(B23622,""en"",""zh-CN"")"),"鞋抛光在商店中提供，然后在教室里的人们获得有关鞋油的说明。")</f>
        <v>鞋抛光在商店中提供，然后在教室里的人们获得有关鞋油的说明。</v>
      </c>
    </row>
    <row r="23623">
      <c r="A23623" s="4" t="s">
        <v>29726</v>
      </c>
      <c r="B23623" s="4" t="s">
        <v>29728</v>
      </c>
      <c r="C23623" s="5" t="str">
        <f>IFERROR(__xludf.DUMMYFUNCTION("GOOGLETRANSLATE(B23623,""en"",""zh-CN"")"),"老师证明使用纸巾抛光靴子。")</f>
        <v>老师证明使用纸巾抛光靴子。</v>
      </c>
    </row>
    <row r="23624">
      <c r="A23624" s="4" t="s">
        <v>29726</v>
      </c>
      <c r="B23624" s="4" t="s">
        <v>29729</v>
      </c>
      <c r="C23624" s="5" t="str">
        <f>IFERROR(__xludf.DUMMYFUNCTION("GOOGLETRANSLATE(B23624,""en"",""zh-CN"")"),"然后，一个女孩用布抛光女人的鞋子。")</f>
        <v>然后，一个女孩用布抛光女人的鞋子。</v>
      </c>
    </row>
    <row r="23625">
      <c r="A23625" s="4" t="s">
        <v>29726</v>
      </c>
      <c r="B23625" s="4" t="s">
        <v>29730</v>
      </c>
      <c r="C23625" s="5" t="str">
        <f>IFERROR(__xludf.DUMMYFUNCTION("GOOGLETRANSLATE(B23625,""en"",""zh-CN"")"),"一个人拍照和摄影师电影。")</f>
        <v>一个人拍照和摄影师电影。</v>
      </c>
    </row>
    <row r="23626">
      <c r="A23626" s="4" t="s">
        <v>29726</v>
      </c>
      <c r="B23626" s="4" t="s">
        <v>29731</v>
      </c>
      <c r="C23626" s="5" t="str">
        <f>IFERROR(__xludf.DUMMYFUNCTION("GOOGLETRANSLATE(B23626,""en"",""zh-CN"")"),"之后，人们在小组中练习鞋抛光。")</f>
        <v>之后，人们在小组中练习鞋抛光。</v>
      </c>
    </row>
    <row r="23627">
      <c r="A23627" s="4" t="s">
        <v>29732</v>
      </c>
      <c r="B23627" s="4" t="s">
        <v>29733</v>
      </c>
      <c r="C23627" s="5" t="str">
        <f>IFERROR(__xludf.DUMMYFUNCTION("GOOGLETRANSLATE(B23627,""en"",""zh-CN"")"),"我们在橙色上看到开头屏幕。")</f>
        <v>我们在橙色上看到开头屏幕。</v>
      </c>
    </row>
    <row r="23628">
      <c r="A23628" s="4" t="s">
        <v>29732</v>
      </c>
      <c r="B23628" s="4" t="s">
        <v>29734</v>
      </c>
      <c r="C23628" s="5" t="str">
        <f>IFERROR(__xludf.DUMMYFUNCTION("GOOGLETRANSLATE(B23628,""en"",""zh-CN"")"),"一位女士在厨房里做饭。")</f>
        <v>一位女士在厨房里做饭。</v>
      </c>
    </row>
    <row r="23629">
      <c r="A23629" s="4" t="s">
        <v>29732</v>
      </c>
      <c r="B23629" s="4" t="s">
        <v>29735</v>
      </c>
      <c r="C23629" s="5" t="str">
        <f>IFERROR(__xludf.DUMMYFUNCTION("GOOGLETRANSLATE(B23629,""en"",""zh-CN"")"),"女士将食材倒入碗中并搅拌。")</f>
        <v>女士将食材倒入碗中并搅拌。</v>
      </c>
    </row>
    <row r="23630">
      <c r="A23630" s="4" t="s">
        <v>29732</v>
      </c>
      <c r="B23630" s="4" t="s">
        <v>29736</v>
      </c>
      <c r="C23630" s="5" t="str">
        <f>IFERROR(__xludf.DUMMYFUNCTION("GOOGLETRANSLATE(B23630,""en"",""zh-CN"")"),"这位女士搅拌了鸡蛋混合物，并将其与原始弓混合在一起。")</f>
        <v>这位女士搅拌了鸡蛋混合物，并将其与原始弓混合在一起。</v>
      </c>
    </row>
    <row r="23631">
      <c r="A23631" s="4" t="s">
        <v>29732</v>
      </c>
      <c r="B23631" s="4" t="s">
        <v>29737</v>
      </c>
      <c r="C23631" s="5" t="str">
        <f>IFERROR(__xludf.DUMMYFUNCTION("GOOGLETRANSLATE(B23631,""en"",""zh-CN"")"),"她把它放在玻璃锅中，将锅放在烤箱中。")</f>
        <v>她把它放在玻璃锅中，将锅放在烤箱中。</v>
      </c>
    </row>
    <row r="23632">
      <c r="A23632" s="4" t="s">
        <v>29732</v>
      </c>
      <c r="B23632" s="4" t="s">
        <v>14638</v>
      </c>
      <c r="C23632" s="5" t="str">
        <f>IFERROR(__xludf.DUMMYFUNCTION("GOOGLETRANSLATE(B23632,""en"",""zh-CN"")"),"然后，我们看到成品。")</f>
        <v>然后，我们看到成品。</v>
      </c>
    </row>
    <row r="23633">
      <c r="A23633" s="4" t="s">
        <v>29738</v>
      </c>
      <c r="B23633" s="4" t="s">
        <v>5833</v>
      </c>
      <c r="C23633" s="5" t="str">
        <f>IFERROR(__xludf.DUMMYFUNCTION("GOOGLETRANSLATE(B23633,""en"",""zh-CN"")"),"一个女人站在厨房里。")</f>
        <v>一个女人站在厨房里。</v>
      </c>
    </row>
    <row r="23634">
      <c r="A23634" s="4" t="s">
        <v>29738</v>
      </c>
      <c r="B23634" s="4" t="s">
        <v>29739</v>
      </c>
      <c r="C23634" s="5" t="str">
        <f>IFERROR(__xludf.DUMMYFUNCTION("GOOGLETRANSLATE(B23634,""en"",""zh-CN"")"),"她开始在厨房里跳舞。")</f>
        <v>她开始在厨房里跳舞。</v>
      </c>
    </row>
    <row r="23635">
      <c r="A23635" s="4" t="s">
        <v>29738</v>
      </c>
      <c r="B23635" s="4" t="s">
        <v>29740</v>
      </c>
      <c r="C23635" s="5" t="str">
        <f>IFERROR(__xludf.DUMMYFUNCTION("GOOGLETRANSLATE(B23635,""en"",""zh-CN"")"),"她跳舞时开始擦地板。")</f>
        <v>她跳舞时开始擦地板。</v>
      </c>
    </row>
    <row r="23636">
      <c r="A23636" s="4" t="s">
        <v>29741</v>
      </c>
      <c r="B23636" s="4" t="s">
        <v>29742</v>
      </c>
      <c r="C23636" s="5" t="str">
        <f>IFERROR(__xludf.DUMMYFUNCTION("GOOGLETRANSLATE(B23636,""en"",""zh-CN"")"),"人们在健身房里锻炼。")</f>
        <v>人们在健身房里锻炼。</v>
      </c>
    </row>
    <row r="23637">
      <c r="A23637" s="4" t="s">
        <v>29741</v>
      </c>
      <c r="B23637" s="4" t="s">
        <v>29743</v>
      </c>
      <c r="C23637" s="5" t="str">
        <f>IFERROR(__xludf.DUMMYFUNCTION("GOOGLETRANSLATE(B23637,""en"",""zh-CN"")"),"他们正在从黑色的脚凳上上下滑动。")</f>
        <v>他们正在从黑色的脚凳上上下滑动。</v>
      </c>
    </row>
    <row r="23638">
      <c r="A23638" s="4" t="s">
        <v>29741</v>
      </c>
      <c r="B23638" s="4" t="s">
        <v>29744</v>
      </c>
      <c r="C23638" s="5" t="str">
        <f>IFERROR(__xludf.DUMMYFUNCTION("GOOGLETRANSLATE(B23638,""en"",""zh-CN"")"),"他们举手，停止跳舞。")</f>
        <v>他们举手，停止跳舞。</v>
      </c>
    </row>
    <row r="23639">
      <c r="A23639" s="4" t="s">
        <v>29745</v>
      </c>
      <c r="B23639" s="4" t="s">
        <v>29746</v>
      </c>
      <c r="C23639" s="5" t="str">
        <f>IFERROR(__xludf.DUMMYFUNCTION("GOOGLETRANSLATE(B23639,""en"",""zh-CN"")"),"展示了叶子的近距离，后面是一个女人耙开并在相机上说话。")</f>
        <v>展示了叶子的近距离，后面是一个女人耙开并在相机上说话。</v>
      </c>
    </row>
    <row r="23640">
      <c r="A23640" s="4" t="s">
        <v>29745</v>
      </c>
      <c r="B23640" s="4" t="s">
        <v>29747</v>
      </c>
      <c r="C23640" s="5" t="str">
        <f>IFERROR(__xludf.DUMMYFUNCTION("GOOGLETRANSLATE(B23640,""en"",""zh-CN"")"),"该名女子在向相机交谈时继续耙开，第四次。")</f>
        <v>该名女子在向相机交谈时继续耙开，第四次。</v>
      </c>
    </row>
    <row r="23641">
      <c r="A23641" s="4" t="s">
        <v>29745</v>
      </c>
      <c r="B23641" s="4" t="s">
        <v>29748</v>
      </c>
      <c r="C23641" s="5" t="str">
        <f>IFERROR(__xludf.DUMMYFUNCTION("GOOGLETRANSLATE(B23641,""en"",""zh-CN"")"),"她还向相机说话时，她展示了堆和干净的草坪。")</f>
        <v>她还向相机说话时，她展示了堆和干净的草坪。</v>
      </c>
    </row>
    <row r="23642">
      <c r="A23642" s="4" t="s">
        <v>29749</v>
      </c>
      <c r="B23642" s="4" t="s">
        <v>29750</v>
      </c>
      <c r="C23642" s="5" t="str">
        <f>IFERROR(__xludf.DUMMYFUNCTION("GOOGLETRANSLATE(B23642,""en"",""zh-CN"")"),"一名戴着头饰的中年妇女在用勺子搅拌时对相机说话。")</f>
        <v>一名戴着头饰的中年妇女在用勺子搅拌时对相机说话。</v>
      </c>
    </row>
    <row r="23643">
      <c r="A23643" s="4" t="s">
        <v>29749</v>
      </c>
      <c r="B23643" s="4" t="s">
        <v>29751</v>
      </c>
      <c r="C23643" s="5" t="str">
        <f>IFERROR(__xludf.DUMMYFUNCTION("GOOGLETRANSLATE(B23643,""en"",""zh-CN"")"),"她还从杯子里喝了几口，同时仍在与镜头说话。")</f>
        <v>她还从杯子里喝了几口，同时仍在与镜头说话。</v>
      </c>
    </row>
    <row r="23644">
      <c r="A23644" s="4" t="s">
        <v>29749</v>
      </c>
      <c r="B23644" s="4" t="s">
        <v>29752</v>
      </c>
      <c r="C23644" s="5" t="str">
        <f>IFERROR(__xludf.DUMMYFUNCTION("GOOGLETRANSLATE(B23644,""en"",""zh-CN"")"),"她在关闭相机之前再做一次。")</f>
        <v>她在关闭相机之前再做一次。</v>
      </c>
    </row>
    <row r="23645">
      <c r="A23645" s="4" t="s">
        <v>29753</v>
      </c>
      <c r="B23645" s="4" t="s">
        <v>29754</v>
      </c>
      <c r="C23645" s="5" t="str">
        <f>IFERROR(__xludf.DUMMYFUNCTION("GOOGLETRANSLATE(B23645,""en"",""zh-CN"")"),"人们独自在工作室和情侣中练习芭蕾舞。")</f>
        <v>人们独自在工作室和情侣中练习芭蕾舞。</v>
      </c>
    </row>
    <row r="23646">
      <c r="A23646" s="4" t="s">
        <v>29753</v>
      </c>
      <c r="B23646" s="4" t="s">
        <v>29755</v>
      </c>
      <c r="C23646" s="5" t="str">
        <f>IFERROR(__xludf.DUMMYFUNCTION("GOOGLETRANSLATE(B23646,""en"",""zh-CN"")"),"然后，一个男孩和一个女孩舞蹈芭蕾舞，然后一个男人与女孩一起跳舞。")</f>
        <v>然后，一个男孩和一个女孩舞蹈芭蕾舞，然后一个男人与女孩一起跳舞。</v>
      </c>
    </row>
    <row r="23647">
      <c r="A23647" s="4" t="s">
        <v>29753</v>
      </c>
      <c r="B23647" s="4" t="s">
        <v>29756</v>
      </c>
      <c r="C23647" s="5" t="str">
        <f>IFERROR(__xludf.DUMMYFUNCTION("GOOGLETRANSLATE(B23647,""en"",""zh-CN"")"),"之后，几对夫妇跳舞芭蕾舞，而其他人观察。")</f>
        <v>之后，几对夫妇跳舞芭蕾舞，而其他人观察。</v>
      </c>
    </row>
    <row r="23648">
      <c r="A23648" s="4" t="s">
        <v>29757</v>
      </c>
      <c r="B23648" s="6" t="s">
        <v>29758</v>
      </c>
      <c r="C23648" s="5" t="str">
        <f>IFERROR(__xludf.DUMMYFUNCTION("GOOGLETRANSLATE(B23648,""en"",""zh-CN"")"),"一个男孩坐在水中，他的滑雪板在他面前，而他则握住双腿之间的绳索。")</f>
        <v>一个男孩坐在水中，他的滑雪板在他面前，而他则握住双腿之间的绳索。</v>
      </c>
    </row>
    <row r="23649">
      <c r="A23649" s="4" t="s">
        <v>29757</v>
      </c>
      <c r="B23649" s="6" t="s">
        <v>29759</v>
      </c>
      <c r="C23649" s="5" t="str">
        <f>IFERROR(__xludf.DUMMYFUNCTION("GOOGLETRANSLATE(B23649,""en"",""zh-CN"")"),"当我们在船上看到他在水中的水上滑雪时，我们看到了短暂的闪回。")</f>
        <v>当我们在船上看到他在水中的水上滑雪时，我们看到了短暂的闪回。</v>
      </c>
    </row>
    <row r="23650">
      <c r="A23650" s="4" t="s">
        <v>29757</v>
      </c>
      <c r="B23650" s="6" t="s">
        <v>29760</v>
      </c>
      <c r="C23650" s="5" t="str">
        <f>IFERROR(__xludf.DUMMYFUNCTION("GOOGLETRANSLATE(B23650,""en"",""zh-CN"")"),"他再次在水里，船慢慢地升高了速度，将年轻人直立拉直到他在船后全速滑雪。")</f>
        <v>他再次在水里，船慢慢地升高了速度，将年轻人直立拉直到他在船后全速滑雪。</v>
      </c>
    </row>
    <row r="23651">
      <c r="A23651" s="4" t="s">
        <v>29757</v>
      </c>
      <c r="B23651" s="6" t="s">
        <v>29761</v>
      </c>
      <c r="C23651" s="5" t="str">
        <f>IFERROR(__xludf.DUMMYFUNCTION("GOOGLETRANSLATE(B23651,""en"",""zh-CN"")"),"一个男人坐在他旁边，拿着相机的手臂伸出，然后与其他几个男人一起表演。")</f>
        <v>一个男人坐在他旁边，拿着相机的手臂伸出，然后与其他几个男人一起表演。</v>
      </c>
    </row>
    <row r="23652">
      <c r="A23652" s="4" t="s">
        <v>29757</v>
      </c>
      <c r="B23652" s="6" t="s">
        <v>29762</v>
      </c>
      <c r="C23652" s="5" t="str">
        <f>IFERROR(__xludf.DUMMYFUNCTION("GOOGLETRANSLATE(B23652,""en"",""zh-CN"")"),"我们很快就再次看到该男子在男孩的肩膀上，在他成功骑行后胜利。")</f>
        <v>我们很快就再次看到该男子在男孩的肩膀上，在他成功骑行后胜利。</v>
      </c>
    </row>
    <row r="23653">
      <c r="A23653" s="4" t="s">
        <v>29757</v>
      </c>
      <c r="B23653" s="4" t="s">
        <v>29763</v>
      </c>
      <c r="C23653" s="5" t="str">
        <f>IFERROR(__xludf.DUMMYFUNCTION("GOOGLETRANSLATE(B23653,""en"",""zh-CN"")"),"总而言之，每个人似乎都在户外度过美好的一天，无论是在船上还是滑雪。")</f>
        <v>总而言之，每个人似乎都在户外度过美好的一天，无论是在船上还是滑雪。</v>
      </c>
    </row>
    <row r="23654">
      <c r="A23654" s="4" t="s">
        <v>29764</v>
      </c>
      <c r="B23654" s="4" t="s">
        <v>29765</v>
      </c>
      <c r="C23654" s="5" t="str">
        <f>IFERROR(__xludf.DUMMYFUNCTION("GOOGLETRANSLATE(B23654,""en"",""zh-CN"")"),"看到一大批人站在一个广场上，人们打排球。")</f>
        <v>看到一大批人站在一个广场上，人们打排球。</v>
      </c>
    </row>
    <row r="23655">
      <c r="A23655" s="4" t="s">
        <v>29764</v>
      </c>
      <c r="B23655" s="6" t="s">
        <v>29766</v>
      </c>
      <c r="C23655" s="5" t="str">
        <f>IFERROR(__xludf.DUMMYFUNCTION("GOOGLETRANSLATE(B23655,""en"",""zh-CN"")"),"当摄像机在他们周围播放时，人们不断地击中沙质田地。")</f>
        <v>当摄像机在他们周围播放时，人们不断地击中沙质田地。</v>
      </c>
    </row>
    <row r="23656">
      <c r="A23656" s="4" t="s">
        <v>29764</v>
      </c>
      <c r="B23656" s="4" t="s">
        <v>29767</v>
      </c>
      <c r="C23656" s="5" t="str">
        <f>IFERROR(__xludf.DUMMYFUNCTION("GOOGLETRANSLATE(B23656,""en"",""zh-CN"")"),"当他们继续演奏时，摄像机在小组周围竖起。")</f>
        <v>当他们继续演奏时，摄像机在小组周围竖起。</v>
      </c>
    </row>
    <row r="23657">
      <c r="A23657" s="4" t="s">
        <v>29768</v>
      </c>
      <c r="B23657" s="6" t="s">
        <v>29769</v>
      </c>
      <c r="C23657" s="5" t="str">
        <f>IFERROR(__xludf.DUMMYFUNCTION("GOOGLETRANSLATE(B23657,""en"",""zh-CN"")"),"相机在建筑物和周围区域的外部周围摇晃，并导致几次骑自行车在赛道上骑自行车的镜头。")</f>
        <v>相机在建筑物和周围区域的外部周围摇晃，并导致几次骑自行车在赛道上骑自行车的镜头。</v>
      </c>
    </row>
    <row r="23658">
      <c r="A23658" s="4" t="s">
        <v>29768</v>
      </c>
      <c r="B23658" s="6" t="s">
        <v>29770</v>
      </c>
      <c r="C23658" s="5" t="str">
        <f>IFERROR(__xludf.DUMMYFUNCTION("GOOGLETRANSLATE(B23658,""en"",""zh-CN"")"),"当人们继续走上赛道时，许多人在场外观看比赛，而其他人则记录了自己的时间。")</f>
        <v>当人们继续走上赛道时，许多人在场外观看比赛，而其他人则记录了自己的时间。</v>
      </c>
    </row>
    <row r="23659">
      <c r="A23659" s="4" t="s">
        <v>29768</v>
      </c>
      <c r="B23659" s="4" t="s">
        <v>29771</v>
      </c>
      <c r="C23659" s="5" t="str">
        <f>IFERROR(__xludf.DUMMYFUNCTION("GOOGLETRANSLATE(B23659,""en"",""zh-CN"")"),"许多人坐在周围与一个男人交谈，与一群人交谈。")</f>
        <v>许多人坐在周围与一个男人交谈，与一群人交谈。</v>
      </c>
    </row>
    <row r="23660">
      <c r="A23660" s="4" t="s">
        <v>29768</v>
      </c>
      <c r="B23660" s="6" t="s">
        <v>29772</v>
      </c>
      <c r="C23660" s="5" t="str">
        <f>IFERROR(__xludf.DUMMYFUNCTION("GOOGLETRANSLATE(B23660,""en"",""zh-CN"")"),"展示了更多的讲话和骑行的人，观众在看台上为他们加油打气。")</f>
        <v>展示了更多的讲话和骑行的人，观众在看台上为他们加油打气。</v>
      </c>
    </row>
    <row r="23661">
      <c r="A23661" s="4" t="s">
        <v>29773</v>
      </c>
      <c r="B23661" s="4" t="s">
        <v>29774</v>
      </c>
      <c r="C23661" s="5" t="str">
        <f>IFERROR(__xludf.DUMMYFUNCTION("GOOGLETRANSLATE(B23661,""en"",""zh-CN"")"),"一个穿着黄色T恤的老人站在一个开放的车库和停在外面的白色汽车上。")</f>
        <v>一个穿着黄色T恤的老人站在一个开放的车库和停在外面的白色汽车上。</v>
      </c>
    </row>
    <row r="23662">
      <c r="A23662" s="4" t="s">
        <v>29773</v>
      </c>
      <c r="B23662" s="4" t="s">
        <v>29775</v>
      </c>
      <c r="C23662" s="5" t="str">
        <f>IFERROR(__xludf.DUMMYFUNCTION("GOOGLETRANSLATE(B23662,""en"",""zh-CN"")"),"该男子将水和溶液倒入水桶和魔杖喷雾器罐中。")</f>
        <v>该男子将水和溶液倒入水桶和魔杖喷雾器罐中。</v>
      </c>
    </row>
    <row r="23663">
      <c r="A23663" s="4" t="s">
        <v>29773</v>
      </c>
      <c r="B23663" s="4" t="s">
        <v>29776</v>
      </c>
      <c r="C23663" s="5" t="str">
        <f>IFERROR(__xludf.DUMMYFUNCTION("GOOGLETRANSLATE(B23663,""en"",""zh-CN"")"),"该男子开始用喷雾器洗净日产叶车，然后用布擦拭。")</f>
        <v>该男子开始用喷雾器洗净日产叶车，然后用布擦拭。</v>
      </c>
    </row>
    <row r="23664">
      <c r="A23664" s="4" t="s">
        <v>29777</v>
      </c>
      <c r="B23664" s="4" t="s">
        <v>29778</v>
      </c>
      <c r="C23664" s="5" t="str">
        <f>IFERROR(__xludf.DUMMYFUNCTION("GOOGLETRANSLATE(B23664,""en"",""zh-CN"")"),"婚礼派对站在过道的前面。")</f>
        <v>婚礼派对站在过道的前面。</v>
      </c>
    </row>
    <row r="23665">
      <c r="A23665" s="4" t="s">
        <v>29777</v>
      </c>
      <c r="B23665" s="6" t="s">
        <v>29779</v>
      </c>
      <c r="C23665" s="5" t="str">
        <f>IFERROR(__xludf.DUMMYFUNCTION("GOOGLETRANSLATE(B23665,""en"",""zh-CN"")"),"一对玩风笛的男人在新娘和父亲进入新娘之前进入房间。")</f>
        <v>一对玩风笛的男人在新娘和父亲进入新娘之前进入房间。</v>
      </c>
    </row>
    <row r="23666">
      <c r="A23666" s="4" t="s">
        <v>29777</v>
      </c>
      <c r="B23666" s="4" t="s">
        <v>29780</v>
      </c>
      <c r="C23666" s="5" t="str">
        <f>IFERROR(__xludf.DUMMYFUNCTION("GOOGLETRANSLATE(B23666,""en"",""zh-CN"")"),"每个人都看着游行队伍。")</f>
        <v>每个人都看着游行队伍。</v>
      </c>
    </row>
    <row r="23667">
      <c r="A23667" s="4" t="s">
        <v>29777</v>
      </c>
      <c r="B23667" s="6" t="s">
        <v>29781</v>
      </c>
      <c r="C23667" s="5" t="str">
        <f>IFERROR(__xludf.DUMMYFUNCTION("GOOGLETRANSLATE(B23667,""en"",""zh-CN"")"),"该男子与新郎握手，我们看到这对夫妇站在祭坛上，彼此面对。")</f>
        <v>该男子与新郎握手，我们看到这对夫妇站在祭坛上，彼此面对。</v>
      </c>
    </row>
    <row r="23668">
      <c r="A23668" s="4" t="s">
        <v>29782</v>
      </c>
      <c r="B23668" s="4" t="s">
        <v>29783</v>
      </c>
      <c r="C23668" s="5" t="str">
        <f>IFERROR(__xludf.DUMMYFUNCTION("GOOGLETRANSLATE(B23668,""en"",""zh-CN"")"),"一个年轻人在滑水和跌倒。")</f>
        <v>一个年轻人在滑水和跌倒。</v>
      </c>
    </row>
    <row r="23669">
      <c r="A23669" s="4" t="s">
        <v>29782</v>
      </c>
      <c r="B23669" s="4" t="s">
        <v>29784</v>
      </c>
      <c r="C23669" s="5" t="str">
        <f>IFERROR(__xludf.DUMMYFUNCTION("GOOGLETRANSLATE(B23669,""en"",""zh-CN"")"),"观看湖泊和开车的视频。")</f>
        <v>观看湖泊和开车的视频。</v>
      </c>
    </row>
    <row r="23670">
      <c r="A23670" s="4" t="s">
        <v>29782</v>
      </c>
      <c r="B23670" s="4" t="s">
        <v>29785</v>
      </c>
      <c r="C23670" s="5" t="str">
        <f>IFERROR(__xludf.DUMMYFUNCTION("GOOGLETRANSLATE(B23670,""en"",""zh-CN"")"),"您可以看到一个男人从几个不同的角度滑雪。")</f>
        <v>您可以看到一个男人从几个不同的角度滑雪。</v>
      </c>
    </row>
    <row r="23671">
      <c r="A23671" s="4" t="s">
        <v>29782</v>
      </c>
      <c r="B23671" s="4" t="s">
        <v>29786</v>
      </c>
      <c r="C23671" s="5" t="str">
        <f>IFERROR(__xludf.DUMMYFUNCTION("GOOGLETRANSLATE(B23671,""en"",""zh-CN"")"),"斯托尼公园滑水的冬季。")</f>
        <v>斯托尼公园滑水的冬季。</v>
      </c>
    </row>
    <row r="23672">
      <c r="A23672" s="4" t="s">
        <v>29787</v>
      </c>
      <c r="B23672" s="6" t="s">
        <v>29788</v>
      </c>
      <c r="C23672" s="5" t="str">
        <f>IFERROR(__xludf.DUMMYFUNCTION("GOOGLETRANSLATE(B23672,""en"",""zh-CN"")"),"那个女人试图耙树，但后来她跌倒了，拿着耙子，一个男人从她身上拿走。")</f>
        <v>那个女人试图耙树，但后来她跌倒了，拿着耙子，一个男人从她身上拿走。</v>
      </c>
    </row>
    <row r="23673">
      <c r="A23673" s="4" t="s">
        <v>29787</v>
      </c>
      <c r="B23673" s="4" t="s">
        <v>29789</v>
      </c>
      <c r="C23673" s="5" t="str">
        <f>IFERROR(__xludf.DUMMYFUNCTION("GOOGLETRANSLATE(B23673,""en"",""zh-CN"")"),"然后她走开了，再次回来，他把叶子耙在她身上。")</f>
        <v>然后她走开了，再次回来，他把叶子耙在她身上。</v>
      </c>
    </row>
    <row r="23674">
      <c r="A23674" s="4" t="s">
        <v>29790</v>
      </c>
      <c r="B23674" s="6" t="s">
        <v>29791</v>
      </c>
      <c r="C23674" s="5" t="str">
        <f>IFERROR(__xludf.DUMMYFUNCTION("GOOGLETRANSLATE(B23674,""en"",""zh-CN"")"),"看到两个人在做各种武术，而一群人为之鼓掌和鼓掌。")</f>
        <v>看到两个人在做各种武术，而一群人为之鼓掌和鼓掌。</v>
      </c>
    </row>
    <row r="23675">
      <c r="A23675" s="4" t="s">
        <v>29790</v>
      </c>
      <c r="B23675" s="4" t="s">
        <v>29792</v>
      </c>
      <c r="C23675" s="5" t="str">
        <f>IFERROR(__xludf.DUMMYFUNCTION("GOOGLETRANSLATE(B23675,""en"",""zh-CN"")"),"这些人继续互相踢，最后他们抓住双手并微笑。")</f>
        <v>这些人继续互相踢，最后他们抓住双手并微笑。</v>
      </c>
    </row>
    <row r="23676">
      <c r="A23676" s="4" t="s">
        <v>29793</v>
      </c>
      <c r="B23676" s="4" t="s">
        <v>29794</v>
      </c>
      <c r="C23676" s="5" t="str">
        <f>IFERROR(__xludf.DUMMYFUNCTION("GOOGLETRANSLATE(B23676,""en"",""zh-CN"")"),"一个女孩正在抽烟。")</f>
        <v>一个女孩正在抽烟。</v>
      </c>
    </row>
    <row r="23677">
      <c r="A23677" s="4" t="s">
        <v>29793</v>
      </c>
      <c r="B23677" s="4" t="s">
        <v>29795</v>
      </c>
      <c r="C23677" s="5" t="str">
        <f>IFERROR(__xludf.DUMMYFUNCTION("GOOGLETRANSLATE(B23677,""en"",""zh-CN"")"),"一个女孩吹烟。")</f>
        <v>一个女孩吹烟。</v>
      </c>
    </row>
    <row r="23678">
      <c r="A23678" s="4" t="s">
        <v>29793</v>
      </c>
      <c r="B23678" s="4" t="s">
        <v>29796</v>
      </c>
      <c r="C23678" s="5" t="str">
        <f>IFERROR(__xludf.DUMMYFUNCTION("GOOGLETRANSLATE(B23678,""en"",""zh-CN"")"),"一个人坐着，手势和讨论。")</f>
        <v>一个人坐着，手势和讨论。</v>
      </c>
    </row>
    <row r="23679">
      <c r="A23679" s="4" t="s">
        <v>29793</v>
      </c>
      <c r="B23679" s="4" t="s">
        <v>29797</v>
      </c>
      <c r="C23679" s="5" t="str">
        <f>IFERROR(__xludf.DUMMYFUNCTION("GOOGLETRANSLATE(B23679,""en"",""zh-CN"")"),"那个家伙手势吸烟。")</f>
        <v>那个家伙手势吸烟。</v>
      </c>
    </row>
    <row r="23680">
      <c r="A23680" s="4" t="s">
        <v>29793</v>
      </c>
      <c r="B23680" s="4" t="s">
        <v>1251</v>
      </c>
      <c r="C23680" s="5" t="str">
        <f>IFERROR(__xludf.DUMMYFUNCTION("GOOGLETRANSLATE(B23680,""en"",""zh-CN"")"),"显示了剪辑的信用。")</f>
        <v>显示了剪辑的信用。</v>
      </c>
    </row>
    <row r="23681">
      <c r="A23681" s="4" t="s">
        <v>29798</v>
      </c>
      <c r="B23681" s="4" t="s">
        <v>29799</v>
      </c>
      <c r="C23681" s="5" t="str">
        <f>IFERROR(__xludf.DUMMYFUNCTION("GOOGLETRANSLATE(B23681,""en"",""zh-CN"")"),"一个小女孩为自己演奏小提琴的视频进行了介绍。")</f>
        <v>一个小女孩为自己演奏小提琴的视频进行了介绍。</v>
      </c>
    </row>
    <row r="23682">
      <c r="A23682" s="4" t="s">
        <v>29798</v>
      </c>
      <c r="B23682" s="4" t="s">
        <v>29800</v>
      </c>
      <c r="C23682" s="5" t="str">
        <f>IFERROR(__xludf.DUMMYFUNCTION("GOOGLETRANSLATE(B23682,""en"",""zh-CN"")"),"她开始以快乐而专业的方式演奏小提琴。")</f>
        <v>她开始以快乐而专业的方式演奏小提琴。</v>
      </c>
    </row>
    <row r="23683">
      <c r="A23683" s="4" t="s">
        <v>29798</v>
      </c>
      <c r="B23683" s="4" t="s">
        <v>29801</v>
      </c>
      <c r="C23683" s="5" t="str">
        <f>IFERROR(__xludf.DUMMYFUNCTION("GOOGLETRANSLATE(B23683,""en"",""zh-CN"")"),"她开始拿起歌曲的速度。")</f>
        <v>她开始拿起歌曲的速度。</v>
      </c>
    </row>
    <row r="23684">
      <c r="A23684" s="4" t="s">
        <v>29798</v>
      </c>
      <c r="B23684" s="4" t="s">
        <v>29802</v>
      </c>
      <c r="C23684" s="5" t="str">
        <f>IFERROR(__xludf.DUMMYFUNCTION("GOOGLETRANSLATE(B23684,""en"",""zh-CN"")"),"当她完成比赛时，她解释说她刚刚演奏的作品。")</f>
        <v>当她完成比赛时，她解释说她刚刚演奏的作品。</v>
      </c>
    </row>
    <row r="23685">
      <c r="A23685" s="4" t="s">
        <v>29803</v>
      </c>
      <c r="B23685" s="4" t="s">
        <v>29804</v>
      </c>
      <c r="C23685" s="5" t="str">
        <f>IFERROR(__xludf.DUMMYFUNCTION("GOOGLETRANSLATE(B23685,""en"",""zh-CN"")"),"显示了如何在小提琴上演奏和弦的说明。")</f>
        <v>显示了如何在小提琴上演奏和弦的说明。</v>
      </c>
    </row>
    <row r="23686">
      <c r="A23686" s="4" t="s">
        <v>29803</v>
      </c>
      <c r="B23686" s="4" t="s">
        <v>29805</v>
      </c>
      <c r="C23686" s="5" t="str">
        <f>IFERROR(__xludf.DUMMYFUNCTION("GOOGLETRANSLATE(B23686,""en"",""zh-CN"")"),"女人在一个弹小提琴的房间里。")</f>
        <v>女人在一个弹小提琴的房间里。</v>
      </c>
    </row>
    <row r="23687">
      <c r="A23687" s="4" t="s">
        <v>29803</v>
      </c>
      <c r="B23687" s="4" t="s">
        <v>29806</v>
      </c>
      <c r="C23687" s="5" t="str">
        <f>IFERROR(__xludf.DUMMYFUNCTION("GOOGLETRANSLATE(B23687,""en"",""zh-CN"")"),"女人正在展示如何在木制小提琴上演奏和弦。")</f>
        <v>女人正在展示如何在木制小提琴上演奏和弦。</v>
      </c>
    </row>
    <row r="23688">
      <c r="A23688" s="4" t="s">
        <v>29807</v>
      </c>
      <c r="B23688" s="4" t="s">
        <v>29808</v>
      </c>
      <c r="C23688" s="5" t="str">
        <f>IFERROR(__xludf.DUMMYFUNCTION("GOOGLETRANSLATE(B23688,""en"",""zh-CN"")"),"孩子们在碰碰车上开车。")</f>
        <v>孩子们在碰碰车上开车。</v>
      </c>
    </row>
    <row r="23689">
      <c r="A23689" s="4" t="s">
        <v>29807</v>
      </c>
      <c r="B23689" s="4" t="s">
        <v>29809</v>
      </c>
      <c r="C23689" s="5" t="str">
        <f>IFERROR(__xludf.DUMMYFUNCTION("GOOGLETRANSLATE(B23689,""en"",""zh-CN"")"),"汽车互相坠毁。")</f>
        <v>汽车互相坠毁。</v>
      </c>
    </row>
    <row r="23690">
      <c r="A23690" s="4" t="s">
        <v>29807</v>
      </c>
      <c r="B23690" s="4" t="s">
        <v>29810</v>
      </c>
      <c r="C23690" s="5" t="str">
        <f>IFERROR(__xludf.DUMMYFUNCTION("GOOGLETRANSLATE(B23690,""en"",""zh-CN"")"),"绿色汽车中的孩子坠入墙壁。")</f>
        <v>绿色汽车中的孩子坠入墙壁。</v>
      </c>
    </row>
    <row r="23691">
      <c r="A23691" s="4" t="s">
        <v>29811</v>
      </c>
      <c r="B23691" s="4" t="s">
        <v>29812</v>
      </c>
      <c r="C23691" s="5" t="str">
        <f>IFERROR(__xludf.DUMMYFUNCTION("GOOGLETRANSLATE(B23691,""en"",""zh-CN"")"),"女人穿着卷发显示如何将织物包裹在滚筒上。")</f>
        <v>女人穿着卷发显示如何将织物包裹在滚筒上。</v>
      </c>
    </row>
    <row r="23692">
      <c r="A23692" s="4" t="s">
        <v>29811</v>
      </c>
      <c r="B23692" s="4" t="s">
        <v>29813</v>
      </c>
      <c r="C23692" s="5" t="str">
        <f>IFERROR(__xludf.DUMMYFUNCTION("GOOGLETRANSLATE(B23692,""en"",""zh-CN"")"),"女人从头发上展开卷发。")</f>
        <v>女人从头发上展开卷发。</v>
      </c>
    </row>
    <row r="23693">
      <c r="A23693" s="4" t="s">
        <v>29811</v>
      </c>
      <c r="B23693" s="4" t="s">
        <v>29814</v>
      </c>
      <c r="C23693" s="5" t="str">
        <f>IFERROR(__xludf.DUMMYFUNCTION("GOOGLETRANSLATE(B23693,""en"",""zh-CN"")"),"那个女人用手梳理头发。")</f>
        <v>那个女人用手梳理头发。</v>
      </c>
    </row>
    <row r="23694">
      <c r="A23694" s="4" t="s">
        <v>29815</v>
      </c>
      <c r="B23694" s="4" t="s">
        <v>29816</v>
      </c>
      <c r="C23694" s="5" t="str">
        <f>IFERROR(__xludf.DUMMYFUNCTION("GOOGLETRANSLATE(B23694,""en"",""zh-CN"")"),"人们在竞技场上骑马。")</f>
        <v>人们在竞技场上骑马。</v>
      </c>
    </row>
    <row r="23695">
      <c r="A23695" s="4" t="s">
        <v>29815</v>
      </c>
      <c r="B23695" s="4" t="s">
        <v>29817</v>
      </c>
      <c r="C23695" s="5" t="str">
        <f>IFERROR(__xludf.DUMMYFUNCTION("GOOGLETRANSLATE(B23695,""en"",""zh-CN"")"),"人们站在舞台外看着他们。")</f>
        <v>人们站在舞台外看着他们。</v>
      </c>
    </row>
    <row r="23696">
      <c r="A23696" s="4" t="s">
        <v>29815</v>
      </c>
      <c r="B23696" s="4" t="s">
        <v>29818</v>
      </c>
      <c r="C23696" s="5" t="str">
        <f>IFERROR(__xludf.DUMMYFUNCTION("GOOGLETRANSLATE(B23696,""en"",""zh-CN"")"),"人们看着转身看着他们。")</f>
        <v>人们看着转身看着他们。</v>
      </c>
    </row>
    <row r="23697">
      <c r="A23697" s="4" t="s">
        <v>29819</v>
      </c>
      <c r="B23697" s="4" t="s">
        <v>29820</v>
      </c>
      <c r="C23697" s="5" t="str">
        <f>IFERROR(__xludf.DUMMYFUNCTION("GOOGLETRANSLATE(B23697,""en"",""zh-CN"")"),"一个男人正在客厅做体操。")</f>
        <v>一个男人正在客厅做体操。</v>
      </c>
    </row>
    <row r="23698">
      <c r="A23698" s="4" t="s">
        <v>29819</v>
      </c>
      <c r="B23698" s="4" t="s">
        <v>29821</v>
      </c>
      <c r="C23698" s="5" t="str">
        <f>IFERROR(__xludf.DUMMYFUNCTION("GOOGLETRANSLATE(B23698,""en"",""zh-CN"")"),"他在地面上的几个酒吧做手架。")</f>
        <v>他在地面上的几个酒吧做手架。</v>
      </c>
    </row>
    <row r="23699">
      <c r="A23699" s="4" t="s">
        <v>29819</v>
      </c>
      <c r="B23699" s="4" t="s">
        <v>29822</v>
      </c>
      <c r="C23699" s="5" t="str">
        <f>IFERROR(__xludf.DUMMYFUNCTION("GOOGLETRANSLATE(B23699,""en"",""zh-CN"")"),"条由PVC管制成。")</f>
        <v>条由PVC管制成。</v>
      </c>
    </row>
    <row r="23700">
      <c r="A23700" s="4" t="s">
        <v>29823</v>
      </c>
      <c r="B23700" s="4" t="s">
        <v>29824</v>
      </c>
      <c r="C23700" s="5" t="str">
        <f>IFERROR(__xludf.DUMMYFUNCTION("GOOGLETRANSLATE(B23700,""en"",""zh-CN"")"),"一个炊具在厨房里说话，并展示里面有圆盘的磨刀刀的内部。")</f>
        <v>一个炊具在厨房里说话，并展示里面有圆盘的磨刀刀的内部。</v>
      </c>
    </row>
    <row r="23701">
      <c r="A23701" s="4" t="s">
        <v>29823</v>
      </c>
      <c r="B23701" s="4" t="s">
        <v>29825</v>
      </c>
      <c r="C23701" s="5" t="str">
        <f>IFERROR(__xludf.DUMMYFUNCTION("GOOGLETRANSLATE(B23701,""en"",""zh-CN"")"),"然后，该男子将刀子戴在锐化刀上。")</f>
        <v>然后，该男子将刀子戴在锐化刀上。</v>
      </c>
    </row>
    <row r="23702">
      <c r="A23702" s="4" t="s">
        <v>29823</v>
      </c>
      <c r="B23702" s="4" t="s">
        <v>29826</v>
      </c>
      <c r="C23702" s="5" t="str">
        <f>IFERROR(__xludf.DUMMYFUNCTION("GOOGLETRANSLATE(B23702,""en"",""zh-CN"")"),"之后，男人洗并干刀。")</f>
        <v>之后，男人洗并干刀。</v>
      </c>
    </row>
    <row r="23703">
      <c r="A23703" s="4" t="s">
        <v>29827</v>
      </c>
      <c r="B23703" s="4" t="s">
        <v>29828</v>
      </c>
      <c r="C23703" s="5" t="str">
        <f>IFERROR(__xludf.DUMMYFUNCTION("GOOGLETRANSLATE(B23703,""en"",""zh-CN"")"),"一个小男孩玩的大鼓游戏集中在相机看着他玩耍的时候。")</f>
        <v>一个小男孩玩的大鼓游戏集中在相机看着他玩耍的时候。</v>
      </c>
    </row>
    <row r="23704">
      <c r="A23704" s="4" t="s">
        <v>29827</v>
      </c>
      <c r="B23704" s="6" t="s">
        <v>29829</v>
      </c>
      <c r="C23704" s="5" t="str">
        <f>IFERROR(__xludf.DUMMYFUNCTION("GOOGLETRANSLATE(B23704,""en"",""zh-CN"")"),"其他人在男孩不断地在鼓上玩游戏时，从男孩进出框架。")</f>
        <v>其他人在男孩不断地在鼓上玩游戏时，从男孩进出框架。</v>
      </c>
    </row>
    <row r="23705">
      <c r="A23705" s="4" t="s">
        <v>29827</v>
      </c>
      <c r="B23705" s="4" t="s">
        <v>29830</v>
      </c>
      <c r="C23705" s="5" t="str">
        <f>IFERROR(__xludf.DUMMYFUNCTION("GOOGLETRANSLATE(B23705,""en"",""zh-CN"")"),"另一个拿着饮料的男孩走进框架，看着男孩玩游戏。")</f>
        <v>另一个拿着饮料的男孩走进框架，看着男孩玩游戏。</v>
      </c>
    </row>
    <row r="23706">
      <c r="A23706" s="4" t="s">
        <v>29831</v>
      </c>
      <c r="B23706" s="6" t="s">
        <v>29832</v>
      </c>
      <c r="C23706" s="5" t="str">
        <f>IFERROR(__xludf.DUMMYFUNCTION("GOOGLETRANSLATE(B23706,""en"",""zh-CN"")"),"一大批人正朝相机走去，看上去就像他们在一个小村庄里。")</f>
        <v>一大批人正朝相机走去，看上去就像他们在一个小村庄里。</v>
      </c>
    </row>
    <row r="23707">
      <c r="A23707" s="4" t="s">
        <v>29831</v>
      </c>
      <c r="B23707" s="6" t="s">
        <v>29833</v>
      </c>
      <c r="C23707" s="5" t="str">
        <f>IFERROR(__xludf.DUMMYFUNCTION("GOOGLETRANSLATE(B23707,""en"",""zh-CN"")"),"当人们越来越近时，我们看到一个男人和一个孩子抓住与骆驼的鞍座，骑着马鞍，而另一个男人则拿着皮带牵引并引导骆驼。")</f>
        <v>当人们越来越近时，我们看到一个男人和一个孩子抓住与骆驼的鞍座，骑着马鞍，而另一个男人则拿着皮带牵引并引导骆驼。</v>
      </c>
    </row>
    <row r="23708">
      <c r="A23708" s="4" t="s">
        <v>29831</v>
      </c>
      <c r="B23708" s="6" t="s">
        <v>29834</v>
      </c>
      <c r="C23708" s="5" t="str">
        <f>IFERROR(__xludf.DUMMYFUNCTION("GOOGLETRANSLATE(B23708,""en"",""zh-CN"")"),"骆驼经过相机的人，我们可以看到骆驼走开的景色，并可以欣赏看起来像村庄的区域的不同一面。")</f>
        <v>骆驼经过相机的人，我们可以看到骆驼走开的景色，并可以欣赏看起来像村庄的区域的不同一面。</v>
      </c>
    </row>
    <row r="23709">
      <c r="A23709" s="4" t="s">
        <v>29835</v>
      </c>
      <c r="B23709" s="6" t="s">
        <v>29836</v>
      </c>
      <c r="C23709" s="5" t="str">
        <f>IFERROR(__xludf.DUMMYFUNCTION("GOOGLETRANSLATE(B23709,""en"",""zh-CN"")"),"显示了一个雪地区域的镜头，后面是两个希望在该区域沿着相机讲话的人。")</f>
        <v>显示了一个雪地区域的镜头，后面是两个希望在该区域沿着相机讲话的人。</v>
      </c>
    </row>
    <row r="23710">
      <c r="A23710" s="4" t="s">
        <v>29835</v>
      </c>
      <c r="B23710" s="6" t="s">
        <v>29837</v>
      </c>
      <c r="C23710" s="5" t="str">
        <f>IFERROR(__xludf.DUMMYFUNCTION("GOOGLETRANSLATE(B23710,""en"",""zh-CN"")"),"显示了更多的镜头，这些人在各个地方的滑雪板上跳来跳去，并与相机交谈，展示人们的照片以及他们周围的镜头。")</f>
        <v>显示了更多的镜头，这些人在各个地方的滑雪板上跳来跳去，并与相机交谈，展示人们的照片以及他们周围的镜头。</v>
      </c>
    </row>
    <row r="23711">
      <c r="A23711" s="4" t="s">
        <v>29838</v>
      </c>
      <c r="B23711" s="4" t="s">
        <v>29839</v>
      </c>
      <c r="C23711" s="5" t="str">
        <f>IFERROR(__xludf.DUMMYFUNCTION("GOOGLETRANSLATE(B23711,""en"",""zh-CN"")"),"许多人在一栋建筑物中，互相打冰冰球。")</f>
        <v>许多人在一栋建筑物中，互相打冰冰球。</v>
      </c>
    </row>
    <row r="23712">
      <c r="A23712" s="4" t="s">
        <v>29838</v>
      </c>
      <c r="B23712" s="4" t="s">
        <v>29840</v>
      </c>
      <c r="C23712" s="5" t="str">
        <f>IFERROR(__xludf.DUMMYFUNCTION("GOOGLETRANSLATE(B23712,""en"",""zh-CN"")"),"当他们继续比赛时，裁判开始在圈子里来回滑动。")</f>
        <v>当他们继续比赛时，裁判开始在圈子里来回滑动。</v>
      </c>
    </row>
    <row r="23713">
      <c r="A23713" s="4" t="s">
        <v>29838</v>
      </c>
      <c r="B23713" s="6" t="s">
        <v>29841</v>
      </c>
      <c r="C23713" s="5" t="str">
        <f>IFERROR(__xludf.DUMMYFUNCTION("GOOGLETRANSLATE(B23713,""en"",""zh-CN"")"),"经过几次开始和结束，比赛不断前进，守门员每次都成功地阻止了冰球。")</f>
        <v>经过几次开始和结束，比赛不断前进，守门员每次都成功地阻止了冰球。</v>
      </c>
    </row>
    <row r="23714">
      <c r="A23714" s="4" t="s">
        <v>29842</v>
      </c>
      <c r="B23714" s="4" t="s">
        <v>29843</v>
      </c>
      <c r="C23714" s="5" t="str">
        <f>IFERROR(__xludf.DUMMYFUNCTION("GOOGLETRANSLATE(B23714,""en"",""zh-CN"")"),"我们看到一个婴儿在一个成人观看的房间里旋转。")</f>
        <v>我们看到一个婴儿在一个成人观看的房间里旋转。</v>
      </c>
    </row>
    <row r="23715">
      <c r="A23715" s="4" t="s">
        <v>29842</v>
      </c>
      <c r="B23715" s="4" t="s">
        <v>29844</v>
      </c>
      <c r="C23715" s="5" t="str">
        <f>IFERROR(__xludf.DUMMYFUNCTION("GOOGLETRANSLATE(B23715,""en"",""zh-CN"")"),"成人与婴儿跳舞。")</f>
        <v>成人与婴儿跳舞。</v>
      </c>
    </row>
    <row r="23716">
      <c r="A23716" s="4" t="s">
        <v>29842</v>
      </c>
      <c r="B23716" s="4" t="s">
        <v>29845</v>
      </c>
      <c r="C23716" s="5" t="str">
        <f>IFERROR(__xludf.DUMMYFUNCTION("GOOGLETRANSLATE(B23716,""en"",""zh-CN"")"),"两个成年人握住婴儿的手和跳舞。")</f>
        <v>两个成年人握住婴儿的手和跳舞。</v>
      </c>
    </row>
    <row r="23717">
      <c r="A23717" s="4" t="s">
        <v>29842</v>
      </c>
      <c r="B23717" s="4" t="s">
        <v>29846</v>
      </c>
      <c r="C23717" s="5" t="str">
        <f>IFERROR(__xludf.DUMMYFUNCTION("GOOGLETRANSLATE(B23717,""en"",""zh-CN"")"),"婴儿被圈出一个圆圈。")</f>
        <v>婴儿被圈出一个圆圈。</v>
      </c>
    </row>
    <row r="23718">
      <c r="A23718" s="4" t="s">
        <v>29842</v>
      </c>
      <c r="B23718" s="4" t="s">
        <v>29847</v>
      </c>
      <c r="C23718" s="5" t="str">
        <f>IFERROR(__xludf.DUMMYFUNCTION("GOOGLETRANSLATE(B23718,""en"",""zh-CN"")"),"婴儿再次旋转。")</f>
        <v>婴儿再次旋转。</v>
      </c>
    </row>
    <row r="23719">
      <c r="A23719" s="4" t="s">
        <v>29842</v>
      </c>
      <c r="B23719" s="4" t="s">
        <v>29848</v>
      </c>
      <c r="C23719" s="5" t="str">
        <f>IFERROR(__xludf.DUMMYFUNCTION("GOOGLETRANSLATE(B23719,""en"",""zh-CN"")"),"婴儿再次跳舞。")</f>
        <v>婴儿再次跳舞。</v>
      </c>
    </row>
    <row r="23720">
      <c r="A23720" s="4" t="s">
        <v>29842</v>
      </c>
      <c r="B23720" s="4" t="s">
        <v>29849</v>
      </c>
      <c r="C23720" s="5" t="str">
        <f>IFERROR(__xludf.DUMMYFUNCTION("GOOGLETRANSLATE(B23720,""en"",""zh-CN"")"),"婴儿捡起玩具狗，然后跳舞。")</f>
        <v>婴儿捡起玩具狗，然后跳舞。</v>
      </c>
    </row>
    <row r="23721">
      <c r="A23721" s="4" t="s">
        <v>29850</v>
      </c>
      <c r="B23721" s="4" t="s">
        <v>29851</v>
      </c>
      <c r="C23721" s="5" t="str">
        <f>IFERROR(__xludf.DUMMYFUNCTION("GOOGLETRANSLATE(B23721,""en"",""zh-CN"")"),"孩子们在赛道上骑小型污垢自行车。")</f>
        <v>孩子们在赛道上骑小型污垢自行车。</v>
      </c>
    </row>
    <row r="23722">
      <c r="A23722" s="4" t="s">
        <v>29850</v>
      </c>
      <c r="B23722" s="4" t="s">
        <v>29852</v>
      </c>
      <c r="C23722" s="5" t="str">
        <f>IFERROR(__xludf.DUMMYFUNCTION("GOOGLETRANSLATE(B23722,""en"",""zh-CN"")"),"一个孩子跌倒了，人们帮助他们。")</f>
        <v>一个孩子跌倒了，人们帮助他们。</v>
      </c>
    </row>
    <row r="23723">
      <c r="A23723" s="4" t="s">
        <v>29853</v>
      </c>
      <c r="B23723" s="4" t="s">
        <v>29854</v>
      </c>
      <c r="C23723" s="5" t="str">
        <f>IFERROR(__xludf.DUMMYFUNCTION("GOOGLETRANSLATE(B23723,""en"",""zh-CN"")"),"一群人在筏店开会。")</f>
        <v>一群人在筏店开会。</v>
      </c>
    </row>
    <row r="23724">
      <c r="A23724" s="4" t="s">
        <v>29853</v>
      </c>
      <c r="B23724" s="4" t="s">
        <v>29855</v>
      </c>
      <c r="C23724" s="5" t="str">
        <f>IFERROR(__xludf.DUMMYFUNCTION("GOOGLETRANSLATE(B23724,""en"",""zh-CN"")"),"他们都在一个房间里相遇，戴上头盔并聚集他们的设备。")</f>
        <v>他们都在一个房间里相遇，戴上头盔并聚集他们的设备。</v>
      </c>
    </row>
    <row r="23725">
      <c r="A23725" s="4" t="s">
        <v>29853</v>
      </c>
      <c r="B23725" s="4" t="s">
        <v>29856</v>
      </c>
      <c r="C23725" s="5" t="str">
        <f>IFERROR(__xludf.DUMMYFUNCTION("GOOGLETRANSLATE(B23725,""en"",""zh-CN"")"),"他们都一起走了很长一段路，包括沿着大楼梯走。")</f>
        <v>他们都一起走了很长一段路，包括沿着大楼梯走。</v>
      </c>
    </row>
    <row r="23726">
      <c r="A23726" s="4" t="s">
        <v>29853</v>
      </c>
      <c r="B23726" s="4" t="s">
        <v>29857</v>
      </c>
      <c r="C23726" s="5" t="str">
        <f>IFERROR(__xludf.DUMMYFUNCTION("GOOGLETRANSLATE(B23726,""en"",""zh-CN"")"),"他们到达水边的一长串木筏，然后开始漂流。")</f>
        <v>他们到达水边的一长串木筏，然后开始漂流。</v>
      </c>
    </row>
    <row r="23727">
      <c r="A23727" s="4" t="s">
        <v>29853</v>
      </c>
      <c r="B23727" s="6" t="s">
        <v>29858</v>
      </c>
      <c r="C23727" s="5" t="str">
        <f>IFERROR(__xludf.DUMMYFUNCTION("GOOGLETRANSLATE(B23727,""en"",""zh-CN"")"),"人们是白水漂流到一条湍流的河流中，一致地沿着小瀑布掉下来。")</f>
        <v>人们是白水漂流到一条湍流的河流中，一致地沿着小瀑布掉下来。</v>
      </c>
    </row>
    <row r="23728">
      <c r="A23728" s="4" t="s">
        <v>29853</v>
      </c>
      <c r="B23728" s="4" t="s">
        <v>29859</v>
      </c>
      <c r="C23728" s="5" t="str">
        <f>IFERROR(__xludf.DUMMYFUNCTION("GOOGLETRANSLATE(B23728,""en"",""zh-CN"")"),"他们都停下来在冒险结束时在户外亭子下享用午餐。")</f>
        <v>他们都停下来在冒险结束时在户外亭子下享用午餐。</v>
      </c>
    </row>
    <row r="23729">
      <c r="A23729" s="4" t="s">
        <v>29860</v>
      </c>
      <c r="B23729" s="6" t="s">
        <v>29861</v>
      </c>
      <c r="C23729" s="5" t="str">
        <f>IFERROR(__xludf.DUMMYFUNCTION("GOOGLETRANSLATE(B23729,""en"",""zh-CN"")"),"一名青少年表演鞍马旋转，然后跳到地板上，从容器中获得电源。")</f>
        <v>一名青少年表演鞍马旋转，然后跳到地板上，从容器中获得电源。</v>
      </c>
    </row>
    <row r="23730">
      <c r="A23730" s="4" t="s">
        <v>29860</v>
      </c>
      <c r="B23730" s="4" t="s">
        <v>29862</v>
      </c>
      <c r="C23730" s="5" t="str">
        <f>IFERROR(__xludf.DUMMYFUNCTION("GOOGLETRANSLATE(B23730,""en"",""zh-CN"")"),"之后，这名少年再次骑着鞍马，并多次旋转，而陪审团观察到。")</f>
        <v>之后，这名少年再次骑着鞍马，并多次旋转，而陪审团观察到。</v>
      </c>
    </row>
    <row r="23731">
      <c r="A23731" s="4" t="s">
        <v>29860</v>
      </c>
      <c r="B23731" s="4" t="s">
        <v>29863</v>
      </c>
      <c r="C23731" s="5" t="str">
        <f>IFERROR(__xludf.DUMMYFUNCTION("GOOGLETRANSLATE(B23731,""en"",""zh-CN"")"),"人们走在陪审团后面。")</f>
        <v>人们走在陪审团后面。</v>
      </c>
    </row>
    <row r="23732">
      <c r="A23732" s="4" t="s">
        <v>29860</v>
      </c>
      <c r="B23732" s="4" t="s">
        <v>29864</v>
      </c>
      <c r="C23732" s="5" t="str">
        <f>IFERROR(__xludf.DUMMYFUNCTION("GOOGLETRANSLATE(B23732,""en"",""zh-CN"")"),"接下来，这名少年站在他的手上，跳到垫子上。")</f>
        <v>接下来，这名少年站在他的手上，跳到垫子上。</v>
      </c>
    </row>
    <row r="23733">
      <c r="A23733" s="4" t="s">
        <v>29865</v>
      </c>
      <c r="B23733" s="4" t="s">
        <v>29866</v>
      </c>
      <c r="C23733" s="5" t="str">
        <f>IFERROR(__xludf.DUMMYFUNCTION("GOOGLETRANSLATE(B23733,""en"",""zh-CN"")"),"看到一个戴着假发的女人蒙住另一个女孩，而其他女孩则在侧面看。")</f>
        <v>看到一个戴着假发的女人蒙住另一个女孩，而其他女孩则在侧面看。</v>
      </c>
    </row>
    <row r="23734">
      <c r="A23734" s="4" t="s">
        <v>29865</v>
      </c>
      <c r="B23734" s="4" t="s">
        <v>29867</v>
      </c>
      <c r="C23734" s="5" t="str">
        <f>IFERROR(__xludf.DUMMYFUNCTION("GOOGLETRANSLATE(B23734,""en"",""zh-CN"")"),"孩子们在跳动室玩耍，一个女人在蒙住眼睛的女孩周围旋转。")</f>
        <v>孩子们在跳动室玩耍，一个女人在蒙住眼睛的女孩周围旋转。</v>
      </c>
    </row>
    <row r="23735">
      <c r="A23735" s="4" t="s">
        <v>29865</v>
      </c>
      <c r="B23735" s="4" t="s">
        <v>29868</v>
      </c>
      <c r="C23735" s="5" t="str">
        <f>IFERROR(__xludf.DUMMYFUNCTION("GOOGLETRANSLATE(B23735,""en"",""zh-CN"")"),"女孩在皮纳塔（Pinata）摇摆，然后击中，然后走开。")</f>
        <v>女孩在皮纳塔（Pinata）摇摆，然后击中，然后走开。</v>
      </c>
    </row>
    <row r="23736">
      <c r="A23736" s="4" t="s">
        <v>29869</v>
      </c>
      <c r="B23736" s="4" t="s">
        <v>29870</v>
      </c>
      <c r="C23736" s="5" t="str">
        <f>IFERROR(__xludf.DUMMYFUNCTION("GOOGLETRANSLATE(B23736,""en"",""zh-CN"")"),"一个人坐在健身机上。")</f>
        <v>一个人坐在健身机上。</v>
      </c>
    </row>
    <row r="23737">
      <c r="A23737" s="4" t="s">
        <v>29869</v>
      </c>
      <c r="B23737" s="4" t="s">
        <v>29871</v>
      </c>
      <c r="C23737" s="5" t="str">
        <f>IFERROR(__xludf.DUMMYFUNCTION("GOOGLETRANSLATE(B23737,""en"",""zh-CN"")"),"他开始在机器上锻炼。")</f>
        <v>他开始在机器上锻炼。</v>
      </c>
    </row>
    <row r="23738">
      <c r="A23738" s="4" t="s">
        <v>29869</v>
      </c>
      <c r="B23738" s="4" t="s">
        <v>29872</v>
      </c>
      <c r="C23738" s="5" t="str">
        <f>IFERROR(__xludf.DUMMYFUNCTION("GOOGLETRANSLATE(B23738,""en"",""zh-CN"")"),"一个穿着棕褐色衬衫的男人站在他身后。")</f>
        <v>一个穿着棕褐色衬衫的男人站在他身后。</v>
      </c>
    </row>
    <row r="23739">
      <c r="A23739" s="4" t="s">
        <v>29873</v>
      </c>
      <c r="B23739" s="4" t="s">
        <v>29874</v>
      </c>
      <c r="C23739" s="5" t="str">
        <f>IFERROR(__xludf.DUMMYFUNCTION("GOOGLETRANSLATE(B23739,""en"",""zh-CN"")"),"三个人迅速下水。")</f>
        <v>三个人迅速下水。</v>
      </c>
    </row>
    <row r="23740">
      <c r="A23740" s="4" t="s">
        <v>29873</v>
      </c>
      <c r="B23740" s="4" t="s">
        <v>29875</v>
      </c>
      <c r="C23740" s="5" t="str">
        <f>IFERROR(__xludf.DUMMYFUNCTION("GOOGLETRANSLATE(B23740,""en"",""zh-CN"")"),"他们被困在岩石上，然后推开并继续漂浮。")</f>
        <v>他们被困在岩石上，然后推开并继续漂浮。</v>
      </c>
    </row>
    <row r="23741">
      <c r="A23741" s="4" t="s">
        <v>29876</v>
      </c>
      <c r="B23741" s="4" t="s">
        <v>29877</v>
      </c>
      <c r="C23741" s="5" t="str">
        <f>IFERROR(__xludf.DUMMYFUNCTION("GOOGLETRANSLATE(B23741,""en"",""zh-CN"")"),"有一个年轻人在旷野里戴着黑色连帽衫和帽子。")</f>
        <v>有一个年轻人在旷野里戴着黑色连帽衫和帽子。</v>
      </c>
    </row>
    <row r="23742">
      <c r="A23742" s="4" t="s">
        <v>29876</v>
      </c>
      <c r="B23742" s="4" t="s">
        <v>29878</v>
      </c>
      <c r="C23742" s="5" t="str">
        <f>IFERROR(__xludf.DUMMYFUNCTION("GOOGLETRANSLATE(B23742,""en"",""zh-CN"")"),"他手里拿着雨伞，然后将其扔在他身后。")</f>
        <v>他手里拿着雨伞，然后将其扔在他身后。</v>
      </c>
    </row>
    <row r="23743">
      <c r="A23743" s="4" t="s">
        <v>29876</v>
      </c>
      <c r="B23743" s="4" t="s">
        <v>29879</v>
      </c>
      <c r="C23743" s="5" t="str">
        <f>IFERROR(__xludf.DUMMYFUNCTION("GOOGLETRANSLATE(B23743,""en"",""zh-CN"")"),"然后，他扎着一根紧紧的绳子，试图平衡自己。")</f>
        <v>然后，他扎着一根紧紧的绳子，试图平衡自己。</v>
      </c>
    </row>
    <row r="23744">
      <c r="A23744" s="4" t="s">
        <v>29876</v>
      </c>
      <c r="B23744" s="6" t="s">
        <v>29880</v>
      </c>
      <c r="C23744" s="5" t="str">
        <f>IFERROR(__xludf.DUMMYFUNCTION("GOOGLETRANSLATE(B23744,""en"",""zh-CN"")"),"还有其他一些人在旷野做同样的事情，试图平衡自己并在紧身的绳索上行走。")</f>
        <v>还有其他一些人在旷野做同样的事情，试图平衡自己并在紧身的绳索上行走。</v>
      </c>
    </row>
    <row r="23745">
      <c r="A23745" s="4" t="s">
        <v>29881</v>
      </c>
      <c r="B23745" s="4" t="s">
        <v>29882</v>
      </c>
      <c r="C23745" s="5" t="str">
        <f>IFERROR(__xludf.DUMMYFUNCTION("GOOGLETRANSLATE(B23745,""en"",""zh-CN"")"),"一对老年夫妇在体育馆的地板上独自跳舞，而一群人在桌上手表上。")</f>
        <v>一对老年夫妇在体育馆的地板上独自跳舞，而一群人在桌上手表上。</v>
      </c>
    </row>
    <row r="23746">
      <c r="A23746" s="4" t="s">
        <v>29881</v>
      </c>
      <c r="B23746" s="4" t="s">
        <v>29883</v>
      </c>
      <c r="C23746" s="5" t="str">
        <f>IFERROR(__xludf.DUMMYFUNCTION("GOOGLETRANSLATE(B23746,""en"",""zh-CN"")"),"他们快乐地旋转着跳舞，当他们结束并走开时，人群拍了拍。")</f>
        <v>他们快乐地旋转着跳舞，当他们结束并走开时，人群拍了拍。</v>
      </c>
    </row>
    <row r="23747">
      <c r="A23747" s="4" t="s">
        <v>29884</v>
      </c>
      <c r="B23747" s="4" t="s">
        <v>29885</v>
      </c>
      <c r="C23747" s="5" t="str">
        <f>IFERROR(__xludf.DUMMYFUNCTION("GOOGLETRANSLATE(B23747,""en"",""zh-CN"")"),"三名男子在打壁球比赛的比赛中被白色的墙壁包围。")</f>
        <v>三名男子在打壁球比赛的比赛中被白色的墙壁包围。</v>
      </c>
    </row>
    <row r="23748">
      <c r="A23748" s="4" t="s">
        <v>29884</v>
      </c>
      <c r="B23748" s="4" t="s">
        <v>29886</v>
      </c>
      <c r="C23748" s="5" t="str">
        <f>IFERROR(__xludf.DUMMYFUNCTION("GOOGLETRANSLATE(B23748,""en"",""zh-CN"")"),"白色的男人服役，接着是戴着帽子的人在发球中得分。")</f>
        <v>白色的男人服役，接着是戴着帽子的人在发球中得分。</v>
      </c>
    </row>
    <row r="23749">
      <c r="A23749" s="4" t="s">
        <v>29884</v>
      </c>
      <c r="B23749" s="6" t="s">
        <v>29887</v>
      </c>
      <c r="C23749" s="5" t="str">
        <f>IFERROR(__xludf.DUMMYFUNCTION("GOOGLETRANSLATE(B23749,""en"",""zh-CN"")"),"接下来是黄色短裤中的那个人，设法将游戏结束，多次服务以关闭视频。")</f>
        <v>接下来是黄色短裤中的那个人，设法将游戏结束，多次服务以关闭视频。</v>
      </c>
    </row>
    <row r="23750">
      <c r="A23750" s="4" t="s">
        <v>29888</v>
      </c>
      <c r="B23750" s="4" t="s">
        <v>29889</v>
      </c>
      <c r="C23750" s="5" t="str">
        <f>IFERROR(__xludf.DUMMYFUNCTION("GOOGLETRANSLATE(B23750,""en"",""zh-CN"")"),"一群四人在镜头前说话。")</f>
        <v>一群四人在镜头前说话。</v>
      </c>
    </row>
    <row r="23751">
      <c r="A23751" s="4" t="s">
        <v>29888</v>
      </c>
      <c r="B23751" s="4" t="s">
        <v>29890</v>
      </c>
      <c r="C23751" s="5" t="str">
        <f>IFERROR(__xludf.DUMMYFUNCTION("GOOGLETRANSLATE(B23751,""en"",""zh-CN"")"),"有一个动画序列。")</f>
        <v>有一个动画序列。</v>
      </c>
    </row>
    <row r="23752">
      <c r="A23752" s="4" t="s">
        <v>29888</v>
      </c>
      <c r="B23752" s="4" t="s">
        <v>29891</v>
      </c>
      <c r="C23752" s="5" t="str">
        <f>IFERROR(__xludf.DUMMYFUNCTION("GOOGLETRANSLATE(B23752,""en"",""zh-CN"")"),"他们继续在镜头前说话。")</f>
        <v>他们继续在镜头前说话。</v>
      </c>
    </row>
    <row r="23753">
      <c r="A23753" s="4" t="s">
        <v>29888</v>
      </c>
      <c r="B23753" s="4" t="s">
        <v>29892</v>
      </c>
      <c r="C23753" s="5" t="str">
        <f>IFERROR(__xludf.DUMMYFUNCTION("GOOGLETRANSLATE(B23753,""en"",""zh-CN"")"),"他们中的两个握着耙子，他们玩岩石剪刀。")</f>
        <v>他们中的两个握着耙子，他们玩岩石剪刀。</v>
      </c>
    </row>
    <row r="23754">
      <c r="A23754" s="4" t="s">
        <v>29888</v>
      </c>
      <c r="B23754" s="4" t="s">
        <v>29893</v>
      </c>
      <c r="C23754" s="5" t="str">
        <f>IFERROR(__xludf.DUMMYFUNCTION("GOOGLETRANSLATE(B23754,""en"",""zh-CN"")"),"一个人失去了比赛，跳上了耙子。")</f>
        <v>一个人失去了比赛，跳上了耙子。</v>
      </c>
    </row>
    <row r="23755">
      <c r="A23755" s="4" t="s">
        <v>29888</v>
      </c>
      <c r="B23755" s="4" t="s">
        <v>29894</v>
      </c>
      <c r="C23755" s="5" t="str">
        <f>IFERROR(__xludf.DUMMYFUNCTION("GOOGLETRANSLATE(B23755,""en"",""zh-CN"")"),"他的重播跳上了耙子。")</f>
        <v>他的重播跳上了耙子。</v>
      </c>
    </row>
    <row r="23756">
      <c r="A23756" s="4" t="s">
        <v>29888</v>
      </c>
      <c r="B23756" s="4" t="s">
        <v>29895</v>
      </c>
      <c r="C23756" s="5" t="str">
        <f>IFERROR(__xludf.DUMMYFUNCTION("GOOGLETRANSLATE(B23756,""en"",""zh-CN"")"),"另外两个握住耙子并播放岩石剪刀。")</f>
        <v>另外两个握住耙子并播放岩石剪刀。</v>
      </c>
    </row>
    <row r="23757">
      <c r="A23757" s="4" t="s">
        <v>29888</v>
      </c>
      <c r="B23757" s="4" t="s">
        <v>29896</v>
      </c>
      <c r="C23757" s="5" t="str">
        <f>IFERROR(__xludf.DUMMYFUNCTION("GOOGLETRANSLATE(B23757,""en"",""zh-CN"")"),"另一个人失去并跳上耙子。")</f>
        <v>另一个人失去并跳上耙子。</v>
      </c>
    </row>
    <row r="23758">
      <c r="A23758" s="4" t="s">
        <v>29888</v>
      </c>
      <c r="B23758" s="4" t="s">
        <v>29897</v>
      </c>
      <c r="C23758" s="5" t="str">
        <f>IFERROR(__xludf.DUMMYFUNCTION("GOOGLETRANSLATE(B23758,""en"",""zh-CN"")"),"他们再次显示他跳上它的重播。")</f>
        <v>他们再次显示他跳上它的重播。</v>
      </c>
    </row>
    <row r="23759">
      <c r="A23759" s="4" t="s">
        <v>29888</v>
      </c>
      <c r="B23759" s="4" t="s">
        <v>29898</v>
      </c>
      <c r="C23759" s="5" t="str">
        <f>IFERROR(__xludf.DUMMYFUNCTION("GOOGLETRANSLATE(B23759,""en"",""zh-CN"")"),"另一组家伙握住耙子，再次播放岩石剪刀。")</f>
        <v>另一组家伙握住耙子，再次播放岩石剪刀。</v>
      </c>
    </row>
    <row r="23760">
      <c r="A23760" s="4" t="s">
        <v>29888</v>
      </c>
      <c r="B23760" s="4" t="s">
        <v>29899</v>
      </c>
      <c r="C23760" s="5" t="str">
        <f>IFERROR(__xludf.DUMMYFUNCTION("GOOGLETRANSLATE(B23760,""en"",""zh-CN"")"),"一个人失去并再次跳上耙子。")</f>
        <v>一个人失去并再次跳上耙子。</v>
      </c>
    </row>
    <row r="23761">
      <c r="A23761" s="4" t="s">
        <v>29888</v>
      </c>
      <c r="B23761" s="4" t="s">
        <v>29900</v>
      </c>
      <c r="C23761" s="5" t="str">
        <f>IFERROR(__xludf.DUMMYFUNCTION("GOOGLETRANSLATE(B23761,""en"",""zh-CN"")"),"他们显示他跳上耙子的重播。")</f>
        <v>他们显示他跳上耙子的重播。</v>
      </c>
    </row>
    <row r="23762">
      <c r="A23762" s="4" t="s">
        <v>29888</v>
      </c>
      <c r="B23762" s="4" t="s">
        <v>29901</v>
      </c>
      <c r="C23762" s="5" t="str">
        <f>IFERROR(__xludf.DUMMYFUNCTION("GOOGLETRANSLATE(B23762,""en"",""zh-CN"")"),"另一个人然后跳上耙子。")</f>
        <v>另一个人然后跳上耙子。</v>
      </c>
    </row>
    <row r="23763">
      <c r="A23763" s="4" t="s">
        <v>29888</v>
      </c>
      <c r="B23763" s="4" t="s">
        <v>29902</v>
      </c>
      <c r="C23763" s="5" t="str">
        <f>IFERROR(__xludf.DUMMYFUNCTION("GOOGLETRANSLATE(B23763,""en"",""zh-CN"")"),"他们再次显示重播。")</f>
        <v>他们再次显示重播。</v>
      </c>
    </row>
    <row r="23764">
      <c r="A23764" s="4" t="s">
        <v>29888</v>
      </c>
      <c r="B23764" s="4" t="s">
        <v>29903</v>
      </c>
      <c r="C23764" s="5" t="str">
        <f>IFERROR(__xludf.DUMMYFUNCTION("GOOGLETRANSLATE(B23764,""en"",""zh-CN"")"),"这四个人再次在镜头前说话。")</f>
        <v>这四个人再次在镜头前说话。</v>
      </c>
    </row>
    <row r="23765">
      <c r="A23765" s="4" t="s">
        <v>29888</v>
      </c>
      <c r="B23765" s="4" t="s">
        <v>29904</v>
      </c>
      <c r="C23765" s="5" t="str">
        <f>IFERROR(__xludf.DUMMYFUNCTION("GOOGLETRANSLATE(B23765,""en"",""zh-CN"")"),"它以他们的You Tube频道的其他视频结束。")</f>
        <v>它以他们的You Tube频道的其他视频结束。</v>
      </c>
    </row>
    <row r="23766">
      <c r="A23766" s="4" t="s">
        <v>29905</v>
      </c>
      <c r="B23766" s="4" t="s">
        <v>29906</v>
      </c>
      <c r="C23766" s="5" t="str">
        <f>IFERROR(__xludf.DUMMYFUNCTION("GOOGLETRANSLATE(B23766,""en"",""zh-CN"")"),"一个人在下方，正在摇摆织物并将其撞到东西上。")</f>
        <v>一个人在下方，正在摇摆织物并将其撞到东西上。</v>
      </c>
    </row>
    <row r="23767">
      <c r="A23767" s="4" t="s">
        <v>29905</v>
      </c>
      <c r="B23767" s="4" t="s">
        <v>29907</v>
      </c>
      <c r="C23767" s="5" t="str">
        <f>IFERROR(__xludf.DUMMYFUNCTION("GOOGLETRANSLATE(B23767,""en"",""zh-CN"")"),"从上方展示了一个城市的广阔镜头。")</f>
        <v>从上方展示了一个城市的广阔镜头。</v>
      </c>
    </row>
    <row r="23768">
      <c r="A23768" s="4" t="s">
        <v>29905</v>
      </c>
      <c r="B23768" s="6" t="s">
        <v>29908</v>
      </c>
      <c r="C23768" s="5" t="str">
        <f>IFERROR(__xludf.DUMMYFUNCTION("GOOGLETRANSLATE(B23768,""en"",""zh-CN"")"),"视图到城市其他地方，然后放大其他人也将织物撞到物体上。")</f>
        <v>视图到城市其他地方，然后放大其他人也将织物撞到物体上。</v>
      </c>
    </row>
    <row r="23769">
      <c r="A23769" s="4" t="s">
        <v>29909</v>
      </c>
      <c r="B23769" s="4" t="s">
        <v>29910</v>
      </c>
      <c r="C23769" s="5" t="str">
        <f>IFERROR(__xludf.DUMMYFUNCTION("GOOGLETRANSLATE(B23769,""en"",""zh-CN"")"),"一个人正在将磁盘扔下一条土地。")</f>
        <v>一个人正在将磁盘扔下一条土地。</v>
      </c>
    </row>
    <row r="23770">
      <c r="A23770" s="4" t="s">
        <v>29909</v>
      </c>
      <c r="B23770" s="4" t="s">
        <v>29911</v>
      </c>
      <c r="C23770" s="5" t="str">
        <f>IFERROR(__xludf.DUMMYFUNCTION("GOOGLETRANSLATE(B23770,""en"",""zh-CN"")"),"一件穿着棕色衬衫的女人拿着红杯。")</f>
        <v>一件穿着棕色衬衫的女人拿着红杯。</v>
      </c>
    </row>
    <row r="23771">
      <c r="A23771" s="4" t="s">
        <v>29909</v>
      </c>
      <c r="B23771" s="4" t="s">
        <v>29912</v>
      </c>
      <c r="C23771" s="5" t="str">
        <f>IFERROR(__xludf.DUMMYFUNCTION("GOOGLETRANSLATE(B23771,""en"",""zh-CN"")"),"一个男孩用棍子推球。")</f>
        <v>一个男孩用棍子推球。</v>
      </c>
    </row>
    <row r="23772">
      <c r="A23772" s="4" t="s">
        <v>29909</v>
      </c>
      <c r="B23772" s="4" t="s">
        <v>29913</v>
      </c>
      <c r="C23772" s="5" t="str">
        <f>IFERROR(__xludf.DUMMYFUNCTION("GOOGLETRANSLATE(B23772,""en"",""zh-CN"")"),"穿着黑色衬衫的男人拿着棍子。")</f>
        <v>穿着黑色衬衫的男人拿着棍子。</v>
      </c>
    </row>
    <row r="23773">
      <c r="A23773" s="4" t="s">
        <v>29909</v>
      </c>
      <c r="B23773" s="4" t="s">
        <v>29914</v>
      </c>
      <c r="C23773" s="5" t="str">
        <f>IFERROR(__xludf.DUMMYFUNCTION("GOOGLETRANSLATE(B23773,""en"",""zh-CN"")"),"一件白衬衫的男孩对镜头微笑。")</f>
        <v>一件白衬衫的男孩对镜头微笑。</v>
      </c>
    </row>
    <row r="23774">
      <c r="A23774" s="4" t="s">
        <v>29915</v>
      </c>
      <c r="B23774" s="4" t="s">
        <v>29916</v>
      </c>
      <c r="C23774" s="5" t="str">
        <f>IFERROR(__xludf.DUMMYFUNCTION("GOOGLETRANSLATE(B23774,""en"",""zh-CN"")"),"看到一个男人在拿着工具时向相机说话。")</f>
        <v>看到一个男人在拿着工具时向相机说话。</v>
      </c>
    </row>
    <row r="23775">
      <c r="A23775" s="4" t="s">
        <v>29915</v>
      </c>
      <c r="B23775" s="4" t="s">
        <v>29917</v>
      </c>
      <c r="C23775" s="5" t="str">
        <f>IFERROR(__xludf.DUMMYFUNCTION("GOOGLETRANSLATE(B23775,""en"",""zh-CN"")"),"然后看到一个人用屋顶剥离屋顶，大声说出来。")</f>
        <v>然后看到一个人用屋顶剥离屋顶，大声说出来。</v>
      </c>
    </row>
    <row r="23776">
      <c r="A23776" s="4" t="s">
        <v>29915</v>
      </c>
      <c r="B23776" s="4" t="s">
        <v>29918</v>
      </c>
      <c r="C23776" s="5" t="str">
        <f>IFERROR(__xludf.DUMMYFUNCTION("GOOGLETRANSLATE(B23776,""en"",""zh-CN"")"),"该男子继续拆开屋顶。")</f>
        <v>该男子继续拆开屋顶。</v>
      </c>
    </row>
    <row r="23777">
      <c r="A23777" s="4" t="s">
        <v>29919</v>
      </c>
      <c r="B23777" s="4" t="s">
        <v>29920</v>
      </c>
      <c r="C23777" s="5" t="str">
        <f>IFERROR(__xludf.DUMMYFUNCTION("GOOGLETRANSLATE(B23777,""en"",""zh-CN"")"),"一群人在白水皮划艇上玩。")</f>
        <v>一群人在白水皮划艇上玩。</v>
      </c>
    </row>
    <row r="23778">
      <c r="A23778" s="4" t="s">
        <v>29919</v>
      </c>
      <c r="B23778" s="4" t="s">
        <v>29921</v>
      </c>
      <c r="C23778" s="5" t="str">
        <f>IFERROR(__xludf.DUMMYFUNCTION("GOOGLETRANSLATE(B23778,""en"",""zh-CN"")"),"红色的人试图翻转。")</f>
        <v>红色的人试图翻转。</v>
      </c>
    </row>
    <row r="23779">
      <c r="A23779" s="4" t="s">
        <v>29919</v>
      </c>
      <c r="B23779" s="4" t="s">
        <v>29922</v>
      </c>
      <c r="C23779" s="5" t="str">
        <f>IFERROR(__xludf.DUMMYFUNCTION("GOOGLETRANSLATE(B23779,""en"",""zh-CN"")"),"一个绿色的人尝试了同一件事。")</f>
        <v>一个绿色的人尝试了同一件事。</v>
      </c>
    </row>
    <row r="23780">
      <c r="A23780" s="4" t="s">
        <v>29919</v>
      </c>
      <c r="B23780" s="4" t="s">
        <v>29923</v>
      </c>
      <c r="C23780" s="5" t="str">
        <f>IFERROR(__xludf.DUMMYFUNCTION("GOOGLETRANSLATE(B23780,""en"",""zh-CN"")"),"然后，红色的人在空中持续很长时间。")</f>
        <v>然后，红色的人在空中持续很长时间。</v>
      </c>
    </row>
    <row r="23781">
      <c r="A23781" s="4" t="s">
        <v>29924</v>
      </c>
      <c r="B23781" s="4" t="s">
        <v>29925</v>
      </c>
      <c r="C23781" s="5" t="str">
        <f>IFERROR(__xludf.DUMMYFUNCTION("GOOGLETRANSLATE(B23781,""en"",""zh-CN"")"),"看到一大批人走到一个田野上，在他们身后欢呼。")</f>
        <v>看到一大批人走到一个田野上，在他们身后欢呼。</v>
      </c>
    </row>
    <row r="23782">
      <c r="A23782" s="4" t="s">
        <v>29924</v>
      </c>
      <c r="B23782" s="4" t="s">
        <v>29926</v>
      </c>
      <c r="C23782" s="5" t="str">
        <f>IFERROR(__xludf.DUMMYFUNCTION("GOOGLETRANSLATE(B23782,""en"",""zh-CN"")"),"然后，这些人开始踢足球比赛，并在场上踢球。")</f>
        <v>然后，这些人开始踢足球比赛，并在场上踢球。</v>
      </c>
    </row>
    <row r="23783">
      <c r="A23783" s="4" t="s">
        <v>29924</v>
      </c>
      <c r="B23783" s="6" t="s">
        <v>29927</v>
      </c>
      <c r="C23783" s="5" t="str">
        <f>IFERROR(__xludf.DUMMYFUNCTION("GOOGLETRANSLATE(B23783,""en"",""zh-CN"")"),"显示了一些人的进球，以及其他人互相庆祝和举行的镜头。")</f>
        <v>显示了一些人的进球，以及其他人互相庆祝和举行的镜头。</v>
      </c>
    </row>
    <row r="23784">
      <c r="A23784" s="4" t="s">
        <v>29928</v>
      </c>
      <c r="B23784" s="4" t="s">
        <v>29929</v>
      </c>
      <c r="C23784" s="5" t="str">
        <f>IFERROR(__xludf.DUMMYFUNCTION("GOOGLETRANSLATE(B23784,""en"",""zh-CN"")"),"几个观众看着一个人确实田径。")</f>
        <v>几个观众看着一个人确实田径。</v>
      </c>
    </row>
    <row r="23785">
      <c r="A23785" s="4" t="s">
        <v>29928</v>
      </c>
      <c r="B23785" s="4" t="s">
        <v>29930</v>
      </c>
      <c r="C23785" s="5" t="str">
        <f>IFERROR(__xludf.DUMMYFUNCTION("GOOGLETRANSLATE(B23785,""en"",""zh-CN"")"),"与一个开始沿着赛道奔跑的男人的视频。")</f>
        <v>与一个开始沿着赛道奔跑的男人的视频。</v>
      </c>
    </row>
    <row r="23786">
      <c r="A23786" s="4" t="s">
        <v>29928</v>
      </c>
      <c r="B23786" s="4" t="s">
        <v>29931</v>
      </c>
      <c r="C23786" s="5" t="str">
        <f>IFERROR(__xludf.DUMMYFUNCTION("GOOGLETRANSLATE(B23786,""en"",""zh-CN"")"),"当他到达泥土区域时，他进行了三跳。")</f>
        <v>当他到达泥土区域时，他进行了三跳。</v>
      </c>
    </row>
    <row r="23787">
      <c r="A23787" s="4" t="s">
        <v>29928</v>
      </c>
      <c r="B23787" s="4" t="s">
        <v>29932</v>
      </c>
      <c r="C23787" s="5" t="str">
        <f>IFERROR(__xludf.DUMMYFUNCTION("GOOGLETRANSLATE(B23787,""en"",""zh-CN"")"),"在最后的跳跃中，他伸出双腿尝试尽可能地跳跃。")</f>
        <v>在最后的跳跃中，他伸出双腿尝试尽可能地跳跃。</v>
      </c>
    </row>
    <row r="23788">
      <c r="A23788" s="4" t="s">
        <v>29928</v>
      </c>
      <c r="B23788" s="4" t="s">
        <v>29933</v>
      </c>
      <c r="C23788" s="5" t="str">
        <f>IFERROR(__xludf.DUMMYFUNCTION("GOOGLETRANSLATE(B23788,""en"",""zh-CN"")"),"视频在他着陆后结束，并向他展示了地面。")</f>
        <v>视频在他着陆后结束，并向他展示了地面。</v>
      </c>
    </row>
    <row r="23789">
      <c r="A23789" s="4" t="s">
        <v>29934</v>
      </c>
      <c r="B23789" s="6" t="s">
        <v>29935</v>
      </c>
      <c r="C23789" s="5" t="str">
        <f>IFERROR(__xludf.DUMMYFUNCTION("GOOGLETRANSLATE(B23789,""en"",""zh-CN"")"),"摄像头绕着一个站在乒乓球桌前的男人周围，开始与另一个男人进行比赛。")</f>
        <v>摄像头绕着一个站在乒乓球桌前的男人周围，开始与另一个男人进行比赛。</v>
      </c>
    </row>
    <row r="23790">
      <c r="A23790" s="4" t="s">
        <v>29934</v>
      </c>
      <c r="B23790" s="4" t="s">
        <v>29936</v>
      </c>
      <c r="C23790" s="5" t="str">
        <f>IFERROR(__xludf.DUMMYFUNCTION("GOOGLETRANSLATE(B23790,""en"",""zh-CN"")"),"这些人继续向后打球，而各种各样的人看着他在侧面。")</f>
        <v>这些人继续向后打球，而各种各样的人看着他在侧面。</v>
      </c>
    </row>
    <row r="23791">
      <c r="A23791" s="4" t="s">
        <v>29937</v>
      </c>
      <c r="B23791" s="4" t="s">
        <v>29938</v>
      </c>
      <c r="C23791" s="5" t="str">
        <f>IFERROR(__xludf.DUMMYFUNCTION("GOOGLETRANSLATE(B23791,""en"",""zh-CN"")"),"看到一名体操运动员看着远处，站在一组不均匀的酒吧之前。")</f>
        <v>看到一名体操运动员看着远处，站在一组不均匀的酒吧之前。</v>
      </c>
    </row>
    <row r="23792">
      <c r="A23792" s="4" t="s">
        <v>29937</v>
      </c>
      <c r="B23792" s="4" t="s">
        <v>29939</v>
      </c>
      <c r="C23792" s="5" t="str">
        <f>IFERROR(__xludf.DUMMYFUNCTION("GOOGLETRANSLATE(B23792,""en"",""zh-CN"")"),"然后，该男子跳到酒吧上，开始向后摇摆第四。")</f>
        <v>然后，该男子跳到酒吧上，开始向后摇摆第四。</v>
      </c>
    </row>
    <row r="23793">
      <c r="A23793" s="4" t="s">
        <v>29937</v>
      </c>
      <c r="B23793" s="4" t="s">
        <v>29940</v>
      </c>
      <c r="C23793" s="5" t="str">
        <f>IFERROR(__xludf.DUMMYFUNCTION("GOOGLETRANSLATE(B23793,""en"",""zh-CN"")"),"该男子继续四处奔波，然后跳下来结束。")</f>
        <v>该男子继续四处奔波，然后跳下来结束。</v>
      </c>
    </row>
    <row r="23794">
      <c r="A23794" s="4" t="s">
        <v>29941</v>
      </c>
      <c r="B23794" s="4" t="s">
        <v>29942</v>
      </c>
      <c r="C23794" s="5" t="str">
        <f>IFERROR(__xludf.DUMMYFUNCTION("GOOGLETRANSLATE(B23794,""en"",""zh-CN"")"),"一个女人在水槽上洗手。")</f>
        <v>一个女人在水槽上洗手。</v>
      </c>
    </row>
    <row r="23795">
      <c r="A23795" s="4" t="s">
        <v>29941</v>
      </c>
      <c r="B23795" s="4" t="s">
        <v>29943</v>
      </c>
      <c r="C23795" s="5" t="str">
        <f>IFERROR(__xludf.DUMMYFUNCTION("GOOGLETRANSLATE(B23795,""en"",""zh-CN"")"),"女人毛巾毛巾干了。")</f>
        <v>女人毛巾毛巾干了。</v>
      </c>
    </row>
    <row r="23796">
      <c r="A23796" s="4" t="s">
        <v>29941</v>
      </c>
      <c r="B23796" s="4" t="s">
        <v>29944</v>
      </c>
      <c r="C23796" s="5" t="str">
        <f>IFERROR(__xludf.DUMMYFUNCTION("GOOGLETRANSLATE(B23796,""en"",""zh-CN"")"),"相机显示她的液体液体特写镜头进入隐形眼镜。")</f>
        <v>相机显示她的液体液体特写镜头进入隐形眼镜。</v>
      </c>
    </row>
    <row r="23797">
      <c r="A23797" s="4" t="s">
        <v>29941</v>
      </c>
      <c r="B23797" s="4" t="s">
        <v>29945</v>
      </c>
      <c r="C23797" s="5" t="str">
        <f>IFERROR(__xludf.DUMMYFUNCTION("GOOGLETRANSLATE(B23797,""en"",""zh-CN"")"),"隐形眼镜被固定以进行检查。")</f>
        <v>隐形眼镜被固定以进行检查。</v>
      </c>
    </row>
    <row r="23798">
      <c r="A23798" s="4" t="s">
        <v>29941</v>
      </c>
      <c r="B23798" s="4" t="s">
        <v>29946</v>
      </c>
      <c r="C23798" s="5" t="str">
        <f>IFERROR(__xludf.DUMMYFUNCTION("GOOGLETRANSLATE(B23798,""en"",""zh-CN"")"),"女人用液体摩擦隐形眼镜。")</f>
        <v>女人用液体摩擦隐形眼镜。</v>
      </c>
    </row>
    <row r="23799">
      <c r="A23799" s="4" t="s">
        <v>29941</v>
      </c>
      <c r="B23799" s="4" t="s">
        <v>29947</v>
      </c>
      <c r="C23799" s="5" t="str">
        <f>IFERROR(__xludf.DUMMYFUNCTION("GOOGLETRANSLATE(B23799,""en"",""zh-CN"")"),"女人戴上镜头。")</f>
        <v>女人戴上镜头。</v>
      </c>
    </row>
    <row r="23800">
      <c r="A23800" s="4" t="s">
        <v>29941</v>
      </c>
      <c r="B23800" s="4" t="s">
        <v>29948</v>
      </c>
      <c r="C23800" s="5" t="str">
        <f>IFERROR(__xludf.DUMMYFUNCTION("GOOGLETRANSLATE(B23800,""en"",""zh-CN"")"),"女人去除镜头。")</f>
        <v>女人去除镜头。</v>
      </c>
    </row>
    <row r="23801">
      <c r="A23801" s="4" t="s">
        <v>29941</v>
      </c>
      <c r="B23801" s="4" t="s">
        <v>29949</v>
      </c>
      <c r="C23801" s="5" t="str">
        <f>IFERROR(__xludf.DUMMYFUNCTION("GOOGLETRANSLATE(B23801,""en"",""zh-CN"")"),"镜头被固定在检查。")</f>
        <v>镜头被固定在检查。</v>
      </c>
    </row>
    <row r="23802">
      <c r="A23802" s="4" t="s">
        <v>29941</v>
      </c>
      <c r="B23802" s="4" t="s">
        <v>29950</v>
      </c>
      <c r="C23802" s="5" t="str">
        <f>IFERROR(__xludf.DUMMYFUNCTION("GOOGLETRANSLATE(B23802,""en"",""zh-CN"")"),"那个女人再次从她的眼睛上移走了镜头。")</f>
        <v>那个女人再次从她的眼睛上移走了镜头。</v>
      </c>
    </row>
    <row r="23803">
      <c r="A23803" s="4" t="s">
        <v>29941</v>
      </c>
      <c r="B23803" s="4" t="s">
        <v>29951</v>
      </c>
      <c r="C23803" s="5" t="str">
        <f>IFERROR(__xludf.DUMMYFUNCTION("GOOGLETRANSLATE(B23803,""en"",""zh-CN"")"),"女人用溶液清洁镜头。")</f>
        <v>女人用溶液清洁镜头。</v>
      </c>
    </row>
    <row r="23804">
      <c r="A23804" s="4" t="s">
        <v>29941</v>
      </c>
      <c r="B23804" s="4" t="s">
        <v>29952</v>
      </c>
      <c r="C23804" s="5" t="str">
        <f>IFERROR(__xludf.DUMMYFUNCTION("GOOGLETRANSLATE(B23804,""en"",""zh-CN"")"),"女人将镜头放入容器中。")</f>
        <v>女人将镜头放入容器中。</v>
      </c>
    </row>
    <row r="23805">
      <c r="A23805" s="4" t="s">
        <v>29953</v>
      </c>
      <c r="B23805" s="4" t="s">
        <v>29954</v>
      </c>
      <c r="C23805" s="5" t="str">
        <f>IFERROR(__xludf.DUMMYFUNCTION("GOOGLETRANSLATE(B23805,""en"",""zh-CN"")"),"看到一个年轻女子看着摄像机抽烟，然后向相机笑。")</f>
        <v>看到一个年轻女子看着摄像机抽烟，然后向相机笑。</v>
      </c>
    </row>
    <row r="23806">
      <c r="A23806" s="4" t="s">
        <v>29953</v>
      </c>
      <c r="B23806" s="4" t="s">
        <v>29955</v>
      </c>
      <c r="C23806" s="5" t="str">
        <f>IFERROR(__xludf.DUMMYFUNCTION("GOOGLETRANSLATE(B23806,""en"",""zh-CN"")"),"她继续看着镜头并吹烟，继续从香烟上抽水。")</f>
        <v>她继续看着镜头并吹烟，继续从香烟上抽水。</v>
      </c>
    </row>
    <row r="23807">
      <c r="A23807" s="4" t="s">
        <v>29956</v>
      </c>
      <c r="B23807" s="4" t="s">
        <v>29957</v>
      </c>
      <c r="C23807" s="5" t="str">
        <f>IFERROR(__xludf.DUMMYFUNCTION("GOOGLETRANSLATE(B23807,""en"",""zh-CN"")"),"在家庭宠物美容师中展示了如何修饰宠物。")</f>
        <v>在家庭宠物美容师中展示了如何修饰宠物。</v>
      </c>
    </row>
    <row r="23808">
      <c r="A23808" s="4" t="s">
        <v>29956</v>
      </c>
      <c r="B23808" s="6" t="s">
        <v>29958</v>
      </c>
      <c r="C23808" s="5" t="str">
        <f>IFERROR(__xludf.DUMMYFUNCTION("GOOGLETRANSLATE(B23808,""en"",""zh-CN"")"),"该人正在展示狗的头发如何在美容沙龙上用电剪来修剪。")</f>
        <v>该人正在展示狗的头发如何在美容沙龙上用电剪来修剪。</v>
      </c>
    </row>
    <row r="23809">
      <c r="A23809" s="4" t="s">
        <v>29959</v>
      </c>
      <c r="B23809" s="4" t="s">
        <v>29960</v>
      </c>
      <c r="C23809" s="5" t="str">
        <f>IFERROR(__xludf.DUMMYFUNCTION("GOOGLETRANSLATE(B23809,""en"",""zh-CN"")"),"两个人站在啤酒乒乓球桌的左边。")</f>
        <v>两个人站在啤酒乒乓球桌的左边。</v>
      </c>
    </row>
    <row r="23810">
      <c r="A23810" s="4" t="s">
        <v>29959</v>
      </c>
      <c r="B23810" s="4" t="s">
        <v>29961</v>
      </c>
      <c r="C23810" s="5" t="str">
        <f>IFERROR(__xludf.DUMMYFUNCTION("GOOGLETRANSLATE(B23810,""en"",""zh-CN"")"),"其中一名男子将啤酒乒乓球在桌子上扔进杯子。")</f>
        <v>其中一名男子将啤酒乒乓球在桌子上扔进杯子。</v>
      </c>
    </row>
    <row r="23811">
      <c r="A23811" s="4" t="s">
        <v>29959</v>
      </c>
      <c r="B23811" s="4" t="s">
        <v>29962</v>
      </c>
      <c r="C23811" s="5" t="str">
        <f>IFERROR(__xludf.DUMMYFUNCTION("GOOGLETRANSLATE(B23811,""en"",""zh-CN"")"),"另一个与他的男人也把球扔在桌子上。")</f>
        <v>另一个与他的男人也把球扔在桌子上。</v>
      </c>
    </row>
    <row r="23812">
      <c r="A23812" s="4" t="s">
        <v>29959</v>
      </c>
      <c r="B23812" s="6" t="s">
        <v>29963</v>
      </c>
      <c r="C23812" s="5" t="str">
        <f>IFERROR(__xludf.DUMMYFUNCTION("GOOGLETRANSLATE(B23812,""en"",""zh-CN"")"),"另外两名男子站在啤酒乒乓球桌的最右边，其中一名男子伸手抓住球落入的杯子，另一个男人弯下腰捕捉到落在地板上的球。")</f>
        <v>另外两名男子站在啤酒乒乓球桌的最右边，其中一名男子伸手抓住球落入的杯子，另一个男人弯下腰捕捉到落在地板上的球。</v>
      </c>
    </row>
    <row r="23813">
      <c r="A23813" s="4" t="s">
        <v>29964</v>
      </c>
      <c r="B23813" s="4" t="s">
        <v>29965</v>
      </c>
      <c r="C23813" s="5" t="str">
        <f>IFERROR(__xludf.DUMMYFUNCTION("GOOGLETRANSLATE(B23813,""en"",""zh-CN"")"),"一个女孩靠在水槽上，一个男孩走上去和她说话。")</f>
        <v>一个女孩靠在水槽上，一个男孩走上去和她说话。</v>
      </c>
    </row>
    <row r="23814">
      <c r="A23814" s="4" t="s">
        <v>29964</v>
      </c>
      <c r="B23814" s="4" t="s">
        <v>29966</v>
      </c>
      <c r="C23814" s="5" t="str">
        <f>IFERROR(__xludf.DUMMYFUNCTION("GOOGLETRANSLATE(B23814,""en"",""zh-CN"")"),"她开始大笑，跳来跳去。")</f>
        <v>她开始大笑，跳来跳去。</v>
      </c>
    </row>
    <row r="23815">
      <c r="A23815" s="4" t="s">
        <v>29964</v>
      </c>
      <c r="B23815" s="4" t="s">
        <v>29967</v>
      </c>
      <c r="C23815" s="5" t="str">
        <f>IFERROR(__xludf.DUMMYFUNCTION("GOOGLETRANSLATE(B23815,""en"",""zh-CN"")"),"这个男孩似乎同样兴奋，她对镜头微笑。")</f>
        <v>这个男孩似乎同样兴奋，她对镜头微笑。</v>
      </c>
    </row>
    <row r="23816">
      <c r="A23816" s="4" t="s">
        <v>29968</v>
      </c>
      <c r="B23816" s="4" t="s">
        <v>29969</v>
      </c>
      <c r="C23816" s="5" t="str">
        <f>IFERROR(__xludf.DUMMYFUNCTION("GOOGLETRANSLATE(B23816,""en"",""zh-CN"")"),"一个有马尾辫的年轻女孩扮演了鼓声，她看上去是一位受过训练的音乐家。")</f>
        <v>一个有马尾辫的年轻女孩扮演了鼓声，她看上去是一位受过训练的音乐家。</v>
      </c>
    </row>
    <row r="23817">
      <c r="A23817" s="4" t="s">
        <v>29968</v>
      </c>
      <c r="B23817" s="4" t="s">
        <v>29970</v>
      </c>
      <c r="C23817" s="5" t="str">
        <f>IFERROR(__xludf.DUMMYFUNCTION("GOOGLETRANSLATE(B23817,""en"",""zh-CN"")"),"女孩专注于一个特定的鼓。")</f>
        <v>女孩专注于一个特定的鼓。</v>
      </c>
    </row>
    <row r="23818">
      <c r="A23818" s="4" t="s">
        <v>29968</v>
      </c>
      <c r="B23818" s="4" t="s">
        <v>29971</v>
      </c>
      <c r="C23818" s="5" t="str">
        <f>IFERROR(__xludf.DUMMYFUNCTION("GOOGLETRANSLATE(B23818,""en"",""zh-CN"")"),"这个女孩继续演奏Drumkit的不同部分。")</f>
        <v>这个女孩继续演奏Drumkit的不同部分。</v>
      </c>
    </row>
    <row r="23819">
      <c r="A23819" s="4" t="s">
        <v>29972</v>
      </c>
      <c r="B23819" s="6" t="s">
        <v>29973</v>
      </c>
      <c r="C23819" s="5" t="str">
        <f>IFERROR(__xludf.DUMMYFUNCTION("GOOGLETRANSLATE(B23819,""en"",""zh-CN"")"),"看到一辆卡车靠在后面，吹着叶子，而相机捕获了卡车周围的区域。")</f>
        <v>看到一辆卡车靠在后面，吹着叶子，而相机捕获了卡车周围的区域。</v>
      </c>
    </row>
    <row r="23820">
      <c r="A23820" s="4" t="s">
        <v>29972</v>
      </c>
      <c r="B23820" s="6" t="s">
        <v>29974</v>
      </c>
      <c r="C23820" s="5" t="str">
        <f>IFERROR(__xludf.DUMMYFUNCTION("GOOGLETRANSLATE(B23820,""en"",""zh-CN"")"),"在几个位置再次看到卡车，将叶子从卡车上推开。")</f>
        <v>在几个位置再次看到卡车，将叶子从卡车上推开。</v>
      </c>
    </row>
    <row r="23821">
      <c r="A23821" s="4" t="s">
        <v>29975</v>
      </c>
      <c r="B23821" s="4" t="s">
        <v>29976</v>
      </c>
      <c r="C23821" s="5" t="str">
        <f>IFERROR(__xludf.DUMMYFUNCTION("GOOGLETRANSLATE(B23821,""en"",""zh-CN"")"),"两个人在蓝色球场上打网球比赛。")</f>
        <v>两个人在蓝色球场上打网球比赛。</v>
      </c>
    </row>
    <row r="23822">
      <c r="A23822" s="4" t="s">
        <v>29975</v>
      </c>
      <c r="B23822" s="4" t="s">
        <v>29977</v>
      </c>
      <c r="C23822" s="5" t="str">
        <f>IFERROR(__xludf.DUMMYFUNCTION("GOOGLETRANSLATE(B23822,""en"",""zh-CN"")"),"穿着蓝色衬衫的男人错过了球，走开与某人交谈。")</f>
        <v>穿着蓝色衬衫的男人错过了球，走开与某人交谈。</v>
      </c>
    </row>
    <row r="23823">
      <c r="A23823" s="4" t="s">
        <v>29975</v>
      </c>
      <c r="B23823" s="4" t="s">
        <v>29978</v>
      </c>
      <c r="C23823" s="5" t="str">
        <f>IFERROR(__xludf.DUMMYFUNCTION("GOOGLETRANSLATE(B23823,""en"",""zh-CN"")"),"他们重播了他错过球的视频。")</f>
        <v>他们重播了他错过球的视频。</v>
      </c>
    </row>
    <row r="23824">
      <c r="A23824" s="4" t="s">
        <v>29975</v>
      </c>
      <c r="B23824" s="4" t="s">
        <v>29979</v>
      </c>
      <c r="C23824" s="5" t="str">
        <f>IFERROR(__xludf.DUMMYFUNCTION("GOOGLETRANSLATE(B23824,""en"",""zh-CN"")"),"一个穿着白衬衫的男人坐在带有麦克风的椅子上。")</f>
        <v>一个穿着白衬衫的男人坐在带有麦克风的椅子上。</v>
      </c>
    </row>
    <row r="23825">
      <c r="A23825" s="4" t="s">
        <v>29975</v>
      </c>
      <c r="B23825" s="4" t="s">
        <v>29980</v>
      </c>
      <c r="C23825" s="5" t="str">
        <f>IFERROR(__xludf.DUMMYFUNCTION("GOOGLETRANSLATE(B23825,""en"",""zh-CN"")"),"他们重新启动了另一场网球比赛。")</f>
        <v>他们重新启动了另一场网球比赛。</v>
      </c>
    </row>
    <row r="23826">
      <c r="A23826" s="4" t="s">
        <v>29981</v>
      </c>
      <c r="B23826" s="6" t="s">
        <v>29982</v>
      </c>
      <c r="C23826" s="5" t="str">
        <f>IFERROR(__xludf.DUMMYFUNCTION("GOOGLETRANSLATE(B23826,""en"",""zh-CN"")"),"看到一个男人在握住滑雪板时在相机上说话，并在各个地方指向它。")</f>
        <v>看到一个男人在握住滑雪板时在相机上说话，并在各个地方指向它。</v>
      </c>
    </row>
    <row r="23827">
      <c r="A23827" s="4" t="s">
        <v>29981</v>
      </c>
      <c r="B23827" s="6" t="s">
        <v>29983</v>
      </c>
      <c r="C23827" s="5" t="str">
        <f>IFERROR(__xludf.DUMMYFUNCTION("GOOGLETRANSLATE(B23827,""en"",""zh-CN"")"),"该男子在用乳液擦拭滑雪板时继续讲话，并通过将其呈现给屏幕。")</f>
        <v>该男子在用乳液擦拭滑雪板时继续讲话，并通过将其呈现给屏幕。</v>
      </c>
    </row>
    <row r="23828">
      <c r="A23828" s="4" t="s">
        <v>29984</v>
      </c>
      <c r="B23828" s="4" t="s">
        <v>29985</v>
      </c>
      <c r="C23828" s="5" t="str">
        <f>IFERROR(__xludf.DUMMYFUNCTION("GOOGLETRANSLATE(B23828,""en"",""zh-CN"")"),"两辆公共汽车停在一个停车场。")</f>
        <v>两辆公共汽车停在一个停车场。</v>
      </c>
    </row>
    <row r="23829">
      <c r="A23829" s="4" t="s">
        <v>29984</v>
      </c>
      <c r="B23829" s="4" t="s">
        <v>29986</v>
      </c>
      <c r="C23829" s="5" t="str">
        <f>IFERROR(__xludf.DUMMYFUNCTION("GOOGLETRANSLATE(B23829,""en"",""zh-CN"")"),"人们在雪地里走在雪地前。")</f>
        <v>人们在雪地里走在雪地前。</v>
      </c>
    </row>
    <row r="23830">
      <c r="A23830" s="4" t="s">
        <v>29984</v>
      </c>
      <c r="B23830" s="4" t="s">
        <v>29987</v>
      </c>
      <c r="C23830" s="5" t="str">
        <f>IFERROR(__xludf.DUMMYFUNCTION("GOOGLETRANSLATE(B23830,""en"",""zh-CN"")"),"一个人在他们面前铲雪。")</f>
        <v>一个人在他们面前铲雪。</v>
      </c>
    </row>
    <row r="23831">
      <c r="A23831" s="4" t="s">
        <v>29988</v>
      </c>
      <c r="B23831" s="4" t="s">
        <v>29989</v>
      </c>
      <c r="C23831" s="5" t="str">
        <f>IFERROR(__xludf.DUMMYFUNCTION("GOOGLETRANSLATE(B23831,""en"",""zh-CN"")"),"看到一个老妇人坐在椅子上，手里拿着针。")</f>
        <v>看到一个老妇人坐在椅子上，手里拿着针。</v>
      </c>
    </row>
    <row r="23832">
      <c r="A23832" s="4" t="s">
        <v>29988</v>
      </c>
      <c r="B23832" s="4" t="s">
        <v>29990</v>
      </c>
      <c r="C23832" s="5" t="str">
        <f>IFERROR(__xludf.DUMMYFUNCTION("GOOGLETRANSLATE(B23832,""en"",""zh-CN"")"),"然后，那个女人开始播种，而相机捕捉了她的动作。")</f>
        <v>然后，那个女人开始播种，而相机捕捉了她的动作。</v>
      </c>
    </row>
    <row r="23833">
      <c r="A23833" s="4" t="s">
        <v>29988</v>
      </c>
      <c r="B23833" s="4" t="s">
        <v>29991</v>
      </c>
      <c r="C23833" s="5" t="str">
        <f>IFERROR(__xludf.DUMMYFUNCTION("GOOGLETRANSLATE(B23833,""en"",""zh-CN"")"),"女人继续播种，相机从侧面看。")</f>
        <v>女人继续播种，相机从侧面看。</v>
      </c>
    </row>
    <row r="23834">
      <c r="A23834" s="4" t="s">
        <v>29992</v>
      </c>
      <c r="B23834" s="4" t="s">
        <v>29993</v>
      </c>
      <c r="C23834" s="5" t="str">
        <f>IFERROR(__xludf.DUMMYFUNCTION("GOOGLETRANSLATE(B23834,""en"",""zh-CN"")"),"一个女人站在雪地上，用“胖女孩单板滑雪”一词覆盖。")</f>
        <v>一个女人站在雪地上，用“胖女孩单板滑雪”一词覆盖。</v>
      </c>
    </row>
    <row r="23835">
      <c r="A23835" s="4" t="s">
        <v>29992</v>
      </c>
      <c r="B23835" s="4" t="s">
        <v>29994</v>
      </c>
      <c r="C23835" s="5" t="str">
        <f>IFERROR(__xludf.DUMMYFUNCTION("GOOGLETRANSLATE(B23835,""en"",""zh-CN"")"),"关于她想要滑雪的原因的长期输入信息。")</f>
        <v>关于她想要滑雪的原因的长期输入信息。</v>
      </c>
    </row>
    <row r="23836">
      <c r="A23836" s="4" t="s">
        <v>29992</v>
      </c>
      <c r="B23836" s="4" t="s">
        <v>29995</v>
      </c>
      <c r="C23836" s="5" t="str">
        <f>IFERROR(__xludf.DUMMYFUNCTION("GOOGLETRANSLATE(B23836,""en"",""zh-CN"")"),"她在白雪皑皑的山丘上进行了几次尝试，并跌倒了很多次。")</f>
        <v>她在白雪皑皑的山丘上进行了几次尝试，并跌倒了很多次。</v>
      </c>
    </row>
    <row r="23837">
      <c r="A23837" s="4" t="s">
        <v>29996</v>
      </c>
      <c r="B23837" s="4" t="s">
        <v>29997</v>
      </c>
      <c r="C23837" s="5" t="str">
        <f>IFERROR(__xludf.DUMMYFUNCTION("GOOGLETRANSLATE(B23837,""en"",""zh-CN"")"),"一名拿着红布的斗牛板在野外。")</f>
        <v>一名拿着红布的斗牛板在野外。</v>
      </c>
    </row>
    <row r="23838">
      <c r="A23838" s="4" t="s">
        <v>29996</v>
      </c>
      <c r="B23838" s="4" t="s">
        <v>29998</v>
      </c>
      <c r="C23838" s="5" t="str">
        <f>IFERROR(__xludf.DUMMYFUNCTION("GOOGLETRANSLATE(B23838,""en"",""zh-CN"")"),"一头公牛跑到牛头人的红布上。")</f>
        <v>一头公牛跑到牛头人的红布上。</v>
      </c>
    </row>
    <row r="23839">
      <c r="A23839" s="4" t="s">
        <v>29996</v>
      </c>
      <c r="B23839" s="4" t="s">
        <v>29999</v>
      </c>
      <c r="C23839" s="5" t="str">
        <f>IFERROR(__xludf.DUMMYFUNCTION("GOOGLETRANSLATE(B23839,""en"",""zh-CN"")"),"很多人坐在看着斗牛板的看台上。")</f>
        <v>很多人坐在看着斗牛板的看台上。</v>
      </c>
    </row>
    <row r="23840">
      <c r="A23840" s="4" t="s">
        <v>30000</v>
      </c>
      <c r="B23840" s="4" t="s">
        <v>30001</v>
      </c>
      <c r="C23840" s="5" t="str">
        <f>IFERROR(__xludf.DUMMYFUNCTION("GOOGLETRANSLATE(B23840,""en"",""zh-CN"")"),"看到一个小男孩将肥皂倒在手中，并在水槽上擦洗手。")</f>
        <v>看到一个小男孩将肥皂倒在手中，并在水槽上擦洗手。</v>
      </c>
    </row>
    <row r="23841">
      <c r="A23841" s="4" t="s">
        <v>30000</v>
      </c>
      <c r="B23841" s="4" t="s">
        <v>30002</v>
      </c>
      <c r="C23841" s="5" t="str">
        <f>IFERROR(__xludf.DUMMYFUNCTION("GOOGLETRANSLATE(B23841,""en"",""zh-CN"")"),"然后，他抓起纸巾，干了手。")</f>
        <v>然后，他抓起纸巾，干了手。</v>
      </c>
    </row>
    <row r="23842">
      <c r="A23842" s="4" t="s">
        <v>30003</v>
      </c>
      <c r="B23842" s="4" t="s">
        <v>30004</v>
      </c>
      <c r="C23842" s="5" t="str">
        <f>IFERROR(__xludf.DUMMYFUNCTION("GOOGLETRANSLATE(B23842,""en"",""zh-CN"")"),"夫妻俩在舞台前的聚会上在舞池上跳舞。")</f>
        <v>夫妻俩在舞台前的聚会上在舞池上跳舞。</v>
      </c>
    </row>
    <row r="23843">
      <c r="A23843" s="4" t="s">
        <v>30003</v>
      </c>
      <c r="B23843" s="4" t="s">
        <v>30005</v>
      </c>
      <c r="C23843" s="5" t="str">
        <f>IFERROR(__xludf.DUMMYFUNCTION("GOOGLETRANSLATE(B23843,""en"",""zh-CN"")"),"该男子在跳舞时旋转他的伴侣。")</f>
        <v>该男子在跳舞时旋转他的伴侣。</v>
      </c>
    </row>
    <row r="23844">
      <c r="A23844" s="4" t="s">
        <v>30003</v>
      </c>
      <c r="B23844" s="4" t="s">
        <v>30006</v>
      </c>
      <c r="C23844" s="5" t="str">
        <f>IFERROR(__xludf.DUMMYFUNCTION("GOOGLETRANSLATE(B23844,""en"",""zh-CN"")"),"一个右边的男人跳舞向后挥舞双臂和第四次。")</f>
        <v>一个右边的男人跳舞向后挥舞双臂和第四次。</v>
      </c>
    </row>
    <row r="23845">
      <c r="A23845" s="4" t="s">
        <v>30007</v>
      </c>
      <c r="B23845" s="4" t="s">
        <v>30008</v>
      </c>
      <c r="C23845" s="5" t="str">
        <f>IFERROR(__xludf.DUMMYFUNCTION("GOOGLETRANSLATE(B23845,""en"",""zh-CN"")"),"一个人站在树林里说话。")</f>
        <v>一个人站在树林里说话。</v>
      </c>
    </row>
    <row r="23846">
      <c r="A23846" s="4" t="s">
        <v>30007</v>
      </c>
      <c r="B23846" s="4" t="s">
        <v>30009</v>
      </c>
      <c r="C23846" s="5" t="str">
        <f>IFERROR(__xludf.DUMMYFUNCTION("GOOGLETRANSLATE(B23846,""en"",""zh-CN"")"),"他用斧头撞到一块木头。")</f>
        <v>他用斧头撞到一块木头。</v>
      </c>
    </row>
    <row r="23847">
      <c r="A23847" s="4" t="s">
        <v>30007</v>
      </c>
      <c r="B23847" s="4" t="s">
        <v>30010</v>
      </c>
      <c r="C23847" s="5" t="str">
        <f>IFERROR(__xludf.DUMMYFUNCTION("GOOGLETRANSLATE(B23847,""en"",""zh-CN"")"),"他用斧头将木头分成原木。")</f>
        <v>他用斧头将木头分成原木。</v>
      </c>
    </row>
    <row r="23848">
      <c r="A23848" s="4" t="s">
        <v>30011</v>
      </c>
      <c r="B23848" s="4" t="s">
        <v>30012</v>
      </c>
      <c r="C23848" s="5" t="str">
        <f>IFERROR(__xludf.DUMMYFUNCTION("GOOGLETRANSLATE(B23848,""en"",""zh-CN"")"),"我们看到男人在牧场风格的房屋上工作。")</f>
        <v>我们看到男人在牧场风格的房屋上工作。</v>
      </c>
    </row>
    <row r="23849">
      <c r="A23849" s="4" t="s">
        <v>30011</v>
      </c>
      <c r="B23849" s="4" t="s">
        <v>30013</v>
      </c>
      <c r="C23849" s="5" t="str">
        <f>IFERROR(__xludf.DUMMYFUNCTION("GOOGLETRANSLATE(B23849,""en"",""zh-CN"")"),"我们在地面上看到了物资。")</f>
        <v>我们在地面上看到了物资。</v>
      </c>
    </row>
    <row r="23850">
      <c r="A23850" s="4" t="s">
        <v>30011</v>
      </c>
      <c r="B23850" s="4" t="s">
        <v>30014</v>
      </c>
      <c r="C23850" s="5" t="str">
        <f>IFERROR(__xludf.DUMMYFUNCTION("GOOGLETRANSLATE(B23850,""en"",""zh-CN"")"),"我们看到屋顶前部的男人。")</f>
        <v>我们看到屋顶前部的男人。</v>
      </c>
    </row>
    <row r="23851">
      <c r="A23851" s="4" t="s">
        <v>30011</v>
      </c>
      <c r="B23851" s="4" t="s">
        <v>30015</v>
      </c>
      <c r="C23851" s="5" t="str">
        <f>IFERROR(__xludf.DUMMYFUNCTION("GOOGLETRANSLATE(B23851,""en"",""zh-CN"")"),"我们看到一个男人将带状疱疹扔进地面上的拖车。")</f>
        <v>我们看到一个男人将带状疱疹扔进地面上的拖车。</v>
      </c>
    </row>
    <row r="23852">
      <c r="A23852" s="4" t="s">
        <v>30011</v>
      </c>
      <c r="B23852" s="4" t="s">
        <v>30016</v>
      </c>
      <c r="C23852" s="5" t="str">
        <f>IFERROR(__xludf.DUMMYFUNCTION("GOOGLETRANSLATE(B23852,""en"",""zh-CN"")"),"我们看到了屋顶材料的卷。")</f>
        <v>我们看到了屋顶材料的卷。</v>
      </c>
    </row>
    <row r="23853">
      <c r="A23853" s="4" t="s">
        <v>30011</v>
      </c>
      <c r="B23853" s="4" t="s">
        <v>30017</v>
      </c>
      <c r="C23853" s="5" t="str">
        <f>IFERROR(__xludf.DUMMYFUNCTION("GOOGLETRANSLATE(B23853,""en"",""zh-CN"")"),"我们看到一个男人将带状疱疹扔进拖车。")</f>
        <v>我们看到一个男人将带状疱疹扔进拖车。</v>
      </c>
    </row>
    <row r="23854">
      <c r="A23854" s="4" t="s">
        <v>30011</v>
      </c>
      <c r="B23854" s="4" t="s">
        <v>30018</v>
      </c>
      <c r="C23854" s="5" t="str">
        <f>IFERROR(__xludf.DUMMYFUNCTION("GOOGLETRANSLATE(B23854,""en"",""zh-CN"")"),"三个人从屋顶上扔了带状疱疹。")</f>
        <v>三个人从屋顶上扔了带状疱疹。</v>
      </c>
    </row>
    <row r="23855">
      <c r="A23855" s="4" t="s">
        <v>30019</v>
      </c>
      <c r="B23855" s="4" t="s">
        <v>30020</v>
      </c>
      <c r="C23855" s="5" t="str">
        <f>IFERROR(__xludf.DUMMYFUNCTION("GOOGLETRANSLATE(B23855,""en"",""zh-CN"")"),"用柠檬水的玻璃杯设置在带有整个柠檬的地方垫子上。")</f>
        <v>用柠檬水的玻璃杯设置在带有整个柠檬的地方垫子上。</v>
      </c>
    </row>
    <row r="23856">
      <c r="A23856" s="4" t="s">
        <v>30019</v>
      </c>
      <c r="B23856" s="4" t="s">
        <v>30021</v>
      </c>
      <c r="C23856" s="5" t="str">
        <f>IFERROR(__xludf.DUMMYFUNCTION("GOOGLETRANSLATE(B23856,""en"",""zh-CN"")"),"将柠檬片从罐子中sc起，并放入钢台面上的水杯中。")</f>
        <v>将柠檬片从罐子中sc起，并放入钢台面上的水杯中。</v>
      </c>
    </row>
    <row r="23857">
      <c r="A23857" s="4" t="s">
        <v>30019</v>
      </c>
      <c r="B23857" s="4" t="s">
        <v>30022</v>
      </c>
      <c r="C23857" s="5" t="str">
        <f>IFERROR(__xludf.DUMMYFUNCTION("GOOGLETRANSLATE(B23857,""en"",""zh-CN"")"),"蒸热水倒在眼镜中的柠檬上。")</f>
        <v>蒸热水倒在眼镜中的柠檬上。</v>
      </c>
    </row>
    <row r="23858">
      <c r="A23858" s="4" t="s">
        <v>30019</v>
      </c>
      <c r="B23858" s="4" t="s">
        <v>30023</v>
      </c>
      <c r="C23858" s="5" t="str">
        <f>IFERROR(__xludf.DUMMYFUNCTION("GOOGLETRANSLATE(B23858,""en"",""zh-CN"")"),"用搅拌棒搅拌玻璃。")</f>
        <v>用搅拌棒搅拌玻璃。</v>
      </c>
    </row>
    <row r="23859">
      <c r="A23859" s="4" t="s">
        <v>30019</v>
      </c>
      <c r="B23859" s="4" t="s">
        <v>30024</v>
      </c>
      <c r="C23859" s="5" t="str">
        <f>IFERROR(__xludf.DUMMYFUNCTION("GOOGLETRANSLATE(B23859,""en"",""zh-CN"")"),"看到眼镜固定在桌子上，并从右到左缓慢地铺设。")</f>
        <v>看到眼镜固定在桌子上，并从右到左缓慢地铺设。</v>
      </c>
    </row>
    <row r="23860">
      <c r="A23860" s="4" t="s">
        <v>30025</v>
      </c>
      <c r="B23860" s="4" t="s">
        <v>30026</v>
      </c>
      <c r="C23860" s="5" t="str">
        <f>IFERROR(__xludf.DUMMYFUNCTION("GOOGLETRANSLATE(B23860,""en"",""zh-CN"")"),"看到一对夫妇，有一群人，上面的雪山。")</f>
        <v>看到一对夫妇，有一群人，上面的雪山。</v>
      </c>
    </row>
    <row r="23861">
      <c r="A23861" s="4" t="s">
        <v>30025</v>
      </c>
      <c r="B23861" s="4" t="s">
        <v>30027</v>
      </c>
      <c r="C23861" s="5" t="str">
        <f>IFERROR(__xludf.DUMMYFUNCTION("GOOGLETRANSLATE(B23861,""en"",""zh-CN"")"),"他们把雪山降落在山丘上。")</f>
        <v>他们把雪山降落在山丘上。</v>
      </c>
    </row>
    <row r="23862">
      <c r="A23862" s="4" t="s">
        <v>30025</v>
      </c>
      <c r="B23862" s="4" t="s">
        <v>30028</v>
      </c>
      <c r="C23862" s="5" t="str">
        <f>IFERROR(__xludf.DUMMYFUNCTION("GOOGLETRANSLATE(B23862,""en"",""zh-CN"")"),"人们在插管上滑下陡峭的快速曲线。")</f>
        <v>人们在插管上滑下陡峭的快速曲线。</v>
      </c>
    </row>
    <row r="23863">
      <c r="A23863" s="4" t="s">
        <v>30029</v>
      </c>
      <c r="B23863" s="4" t="s">
        <v>30030</v>
      </c>
      <c r="C23863" s="5" t="str">
        <f>IFERROR(__xludf.DUMMYFUNCTION("GOOGLETRANSLATE(B23863,""en"",""zh-CN"")"),"有一个带有公司徽标和联系信息的标志板。")</f>
        <v>有一个带有公司徽标和联系信息的标志板。</v>
      </c>
    </row>
    <row r="23864">
      <c r="A23864" s="4" t="s">
        <v>30029</v>
      </c>
      <c r="B23864" s="4" t="s">
        <v>30031</v>
      </c>
      <c r="C23864" s="5" t="str">
        <f>IFERROR(__xludf.DUMMYFUNCTION("GOOGLETRANSLATE(B23864,""en"",""zh-CN"")"),"一名建筑工人拧紧底板。")</f>
        <v>一名建筑工人拧紧底板。</v>
      </c>
    </row>
    <row r="23865">
      <c r="A23865" s="4" t="s">
        <v>30029</v>
      </c>
      <c r="B23865" s="4" t="s">
        <v>30032</v>
      </c>
      <c r="C23865" s="5" t="str">
        <f>IFERROR(__xludf.DUMMYFUNCTION("GOOGLETRANSLATE(B23865,""en"",""zh-CN"")"),"建筑工人使用手持式刮板将石膏涂在裸露的地板上。")</f>
        <v>建筑工人使用手持式刮板将石膏涂在裸露的地板上。</v>
      </c>
    </row>
    <row r="23866">
      <c r="A23866" s="4" t="s">
        <v>30029</v>
      </c>
      <c r="B23866" s="4" t="s">
        <v>30033</v>
      </c>
      <c r="C23866" s="5" t="str">
        <f>IFERROR(__xludf.DUMMYFUNCTION("GOOGLETRANSLATE(B23866,""en"",""zh-CN"")"),"工人将瓷砖放在地板上，并在树林中使用塑料交叉垫片。")</f>
        <v>工人将瓷砖放在地板上，并在树林中使用塑料交叉垫片。</v>
      </c>
    </row>
    <row r="23867">
      <c r="A23867" s="4" t="s">
        <v>30029</v>
      </c>
      <c r="B23867" s="4" t="s">
        <v>30034</v>
      </c>
      <c r="C23867" s="5" t="str">
        <f>IFERROR(__xludf.DUMMYFUNCTION("GOOGLETRANSLATE(B23867,""en"",""zh-CN"")"),"重量重辊在新放置的瓷砖上滚动。")</f>
        <v>重量重辊在新放置的瓷砖上滚动。</v>
      </c>
    </row>
    <row r="23868">
      <c r="A23868" s="4" t="s">
        <v>30029</v>
      </c>
      <c r="B23868" s="4" t="s">
        <v>30035</v>
      </c>
      <c r="C23868" s="5" t="str">
        <f>IFERROR(__xludf.DUMMYFUNCTION("GOOGLETRANSLATE(B23868,""en"",""zh-CN"")"),"完成工作后，可以看到完成的地板。")</f>
        <v>完成工作后，可以看到完成的地板。</v>
      </c>
    </row>
    <row r="23869">
      <c r="A23869" s="4" t="s">
        <v>30036</v>
      </c>
      <c r="B23869" s="4" t="s">
        <v>30037</v>
      </c>
      <c r="C23869" s="5" t="str">
        <f>IFERROR(__xludf.DUMMYFUNCTION("GOOGLETRANSLATE(B23869,""en"",""zh-CN"")"),"一些人坐在悬崖附近。")</f>
        <v>一些人坐在悬崖附近。</v>
      </c>
    </row>
    <row r="23870">
      <c r="A23870" s="4" t="s">
        <v>30036</v>
      </c>
      <c r="B23870" s="4" t="s">
        <v>30038</v>
      </c>
      <c r="C23870" s="5" t="str">
        <f>IFERROR(__xludf.DUMMYFUNCTION("GOOGLETRANSLATE(B23870,""en"",""zh-CN"")"),"一个男人正在用所有四肢爬一个悬崖。")</f>
        <v>一个男人正在用所有四肢爬一个悬崖。</v>
      </c>
    </row>
    <row r="23871">
      <c r="A23871" s="4" t="s">
        <v>30036</v>
      </c>
      <c r="B23871" s="4" t="s">
        <v>30039</v>
      </c>
      <c r="C23871" s="5" t="str">
        <f>IFERROR(__xludf.DUMMYFUNCTION("GOOGLETRANSLATE(B23871,""en"",""zh-CN"")"),"那个正在攀登的人跌倒并开始笑。")</f>
        <v>那个正在攀登的人跌倒并开始笑。</v>
      </c>
    </row>
    <row r="23872">
      <c r="A23872" s="4" t="s">
        <v>30040</v>
      </c>
      <c r="B23872" s="4" t="s">
        <v>30041</v>
      </c>
      <c r="C23872" s="5" t="str">
        <f>IFERROR(__xludf.DUMMYFUNCTION("GOOGLETRANSLATE(B23872,""en"",""zh-CN"")"),"有几个人聚集在一起观看阳光明媚的水球比赛。")</f>
        <v>有几个人聚集在一起观看阳光明媚的水球比赛。</v>
      </c>
    </row>
    <row r="23873">
      <c r="A23873" s="4" t="s">
        <v>30040</v>
      </c>
      <c r="B23873" s="4" t="s">
        <v>30042</v>
      </c>
      <c r="C23873" s="5" t="str">
        <f>IFERROR(__xludf.DUMMYFUNCTION("GOOGLETRANSLATE(B23873,""en"",""zh-CN"")"),"一个户外游泳池中有两支球队相互对抗。")</f>
        <v>一个户外游泳池中有两支球队相互对抗。</v>
      </c>
    </row>
    <row r="23874">
      <c r="A23874" s="4" t="s">
        <v>30040</v>
      </c>
      <c r="B23874" s="4" t="s">
        <v>30043</v>
      </c>
      <c r="C23874" s="5" t="str">
        <f>IFERROR(__xludf.DUMMYFUNCTION("GOOGLETRANSLATE(B23874,""en"",""zh-CN"")"),"观众正在观看和为球员欢呼。")</f>
        <v>观众正在观看和为球员欢呼。</v>
      </c>
    </row>
    <row r="23875">
      <c r="A23875" s="4" t="s">
        <v>30040</v>
      </c>
      <c r="B23875" s="4" t="s">
        <v>30044</v>
      </c>
      <c r="C23875" s="5" t="str">
        <f>IFERROR(__xludf.DUMMYFUNCTION("GOOGLETRANSLATE(B23875,""en"",""zh-CN"")"),"玩家正在玩黄色球。")</f>
        <v>玩家正在玩黄色球。</v>
      </c>
    </row>
    <row r="23876">
      <c r="A23876" s="4" t="s">
        <v>30040</v>
      </c>
      <c r="B23876" s="4" t="s">
        <v>30045</v>
      </c>
      <c r="C23876" s="5" t="str">
        <f>IFERROR(__xludf.DUMMYFUNCTION("GOOGLETRANSLATE(B23876,""en"",""zh-CN"")"),"一支球队得分之后，队友为他们加油打气。")</f>
        <v>一支球队得分之后，队友为他们加油打气。</v>
      </c>
    </row>
    <row r="23877">
      <c r="A23877" s="4" t="s">
        <v>30040</v>
      </c>
      <c r="B23877" s="4" t="s">
        <v>30046</v>
      </c>
      <c r="C23877" s="5" t="str">
        <f>IFERROR(__xludf.DUMMYFUNCTION("GOOGLETRANSLATE(B23877,""en"",""zh-CN"")"),"获胜的球队得分更多，并受到人群的掌声。")</f>
        <v>获胜的球队得分更多，并受到人群的掌声。</v>
      </c>
    </row>
    <row r="23878">
      <c r="A23878" s="4" t="s">
        <v>30047</v>
      </c>
      <c r="B23878" s="4" t="s">
        <v>30048</v>
      </c>
      <c r="C23878" s="5" t="str">
        <f>IFERROR(__xludf.DUMMYFUNCTION("GOOGLETRANSLATE(B23878,""en"",""zh-CN"")"),"几名参赛者正站在讲台后面的舞台上，看起来像魔方。")</f>
        <v>几名参赛者正站在讲台后面的舞台上，看起来像魔方。</v>
      </c>
    </row>
    <row r="23879">
      <c r="A23879" s="4" t="s">
        <v>30047</v>
      </c>
      <c r="B23879" s="6" t="s">
        <v>30049</v>
      </c>
      <c r="C23879" s="5" t="str">
        <f>IFERROR(__xludf.DUMMYFUNCTION("GOOGLETRANSLATE(B23879,""en"",""zh-CN"")"),"然后，一个男孩在他的额头上放一个盲折，一个人站在左边检查他的一举一动。")</f>
        <v>然后，一个男孩在他的额头上放一个盲折，一个人站在左边检查他的一举一动。</v>
      </c>
    </row>
    <row r="23880">
      <c r="A23880" s="4" t="s">
        <v>30047</v>
      </c>
      <c r="B23880" s="6" t="s">
        <v>30050</v>
      </c>
      <c r="C23880" s="5" t="str">
        <f>IFERROR(__xludf.DUMMYFUNCTION("GOOGLETRANSLATE(B23880,""en"",""zh-CN"")"),"然后将立方体从柜台上捡起，计时器在试图解决难题时开始。")</f>
        <v>然后将立方体从柜台上捡起，计时器在试图解决难题时开始。</v>
      </c>
    </row>
    <row r="23881">
      <c r="A23881" s="4" t="s">
        <v>30047</v>
      </c>
      <c r="B23881" s="6" t="s">
        <v>30051</v>
      </c>
      <c r="C23881" s="5" t="str">
        <f>IFERROR(__xludf.DUMMYFUNCTION("GOOGLETRANSLATE(B23881,""en"",""zh-CN"")"),"三十秒钟后，他将盲折到眼睛上，继续尝试解决立方体。")</f>
        <v>三十秒钟后，他将盲折到眼睛上，继续尝试解决立方体。</v>
      </c>
    </row>
    <row r="23882">
      <c r="A23882" s="4" t="s">
        <v>30047</v>
      </c>
      <c r="B23882" s="4" t="s">
        <v>30052</v>
      </c>
      <c r="C23882" s="5" t="str">
        <f>IFERROR(__xludf.DUMMYFUNCTION("GOOGLETRANSLATE(B23882,""en"",""zh-CN"")"),"一分钟零15秒已经过去了，男孩将立方体放下，计时器停止。")</f>
        <v>一分钟零15秒已经过去了，男孩将立方体放下，计时器停止。</v>
      </c>
    </row>
    <row r="23883">
      <c r="A23883" s="4" t="s">
        <v>30047</v>
      </c>
      <c r="B23883" s="6" t="s">
        <v>30053</v>
      </c>
      <c r="C23883" s="5" t="str">
        <f>IFERROR(__xludf.DUMMYFUNCTION("GOOGLETRANSLATE(B23883,""en"",""zh-CN"")"),"每个人都为他感到非常高兴，并开始并祝贺他，因为其他对手仍在试图解决他们的问题。")</f>
        <v>每个人都为他感到非常高兴，并开始并祝贺他，因为其他对手仍在试图解决他们的问题。</v>
      </c>
    </row>
    <row r="23884">
      <c r="A23884" s="4" t="s">
        <v>30054</v>
      </c>
      <c r="B23884" s="4" t="s">
        <v>30055</v>
      </c>
      <c r="C23884" s="5" t="str">
        <f>IFERROR(__xludf.DUMMYFUNCTION("GOOGLETRANSLATE(B23884,""en"",""zh-CN"")"),"看到一个小男孩走到潜水板的尽头，跳下了侧面。")</f>
        <v>看到一个小男孩走到潜水板的尽头，跳下了侧面。</v>
      </c>
    </row>
    <row r="23885">
      <c r="A23885" s="4" t="s">
        <v>30054</v>
      </c>
      <c r="B23885" s="4" t="s">
        <v>30056</v>
      </c>
      <c r="C23885" s="5" t="str">
        <f>IFERROR(__xludf.DUMMYFUNCTION("GOOGLETRANSLATE(B23885,""en"",""zh-CN"")"),"这个男孩从表面上升起，看到另一个男孩走到董事会的尽头。")</f>
        <v>这个男孩从表面上升起，看到另一个男孩走到董事会的尽头。</v>
      </c>
    </row>
    <row r="23886">
      <c r="A23886" s="4" t="s">
        <v>30057</v>
      </c>
      <c r="B23886" s="6" t="s">
        <v>30058</v>
      </c>
      <c r="C23886" s="5" t="str">
        <f>IFERROR(__xludf.DUMMYFUNCTION("GOOGLETRANSLATE(B23886,""en"",""zh-CN"")"),"一个黑发的女人站在浴室里，只有她的胸部可见，屏幕底部的快速横幅说她的名字是“ Aubrey Morgan”。")</f>
        <v>一个黑发的女人站在浴室里，只有她的胸部可见，屏幕底部的快速横幅说她的名字是“ Aubrey Morgan”。</v>
      </c>
    </row>
    <row r="23887">
      <c r="A23887" s="4" t="s">
        <v>30057</v>
      </c>
      <c r="B23887" s="6" t="s">
        <v>30059</v>
      </c>
      <c r="C23887" s="5" t="str">
        <f>IFERROR(__xludf.DUMMYFUNCTION("GOOGLETRANSLATE(B23887,""en"",""zh-CN"")"),"这个女人现在站起来，只有她的双腿可见，穿着短裤，她握住剃刀，并以不同的角度展示它，屏幕上的文字上写着“优质的剃刀”。")</f>
        <v>这个女人现在站起来，只有她的双腿可见，穿着短裤，她握住剃刀，并以不同的角度展示它，屏幕上的文字上写着“优质的剃刀”。</v>
      </c>
    </row>
    <row r="23888">
      <c r="A23888" s="4" t="s">
        <v>30057</v>
      </c>
      <c r="B23888" s="6" t="s">
        <v>30060</v>
      </c>
      <c r="C23888" s="5" t="str">
        <f>IFERROR(__xludf.DUMMYFUNCTION("GOOGLETRANSLATE(B23888,""en"",""zh-CN"")"),"该名女子开始在仍然站起来，去角质上，剥去她的腿，然后在她的腿上涂上一层厚厚的剃须奶油，扇动她的腿，然后开始从脚踝和膝盖上剃毛，然后冲洗剃须刀。")</f>
        <v>该名女子开始在仍然站起来，去角质上，剥去她的腿，然后在她的腿上涂上一层厚厚的剃须奶油，扇动她的腿，然后开始从脚踝和膝盖上剃毛，然后冲洗剃须刀。</v>
      </c>
    </row>
    <row r="23889">
      <c r="A23889" s="4" t="s">
        <v>30057</v>
      </c>
      <c r="B23889" s="6" t="s">
        <v>30061</v>
      </c>
      <c r="C23889" s="5" t="str">
        <f>IFERROR(__xludf.DUMMYFUNCTION("GOOGLETRANSLATE(B23889,""en"",""zh-CN"")"),"该名女子举起一次性剃须刀，然后举起可重复使用的剃须刀，表明可以弹出剃须刀。")</f>
        <v>该名女子举起一次性剃须刀，然后举起可重复使用的剃须刀，表明可以弹出剃须刀。</v>
      </c>
    </row>
    <row r="23890">
      <c r="A23890" s="4" t="s">
        <v>30057</v>
      </c>
      <c r="B23890" s="4" t="s">
        <v>30062</v>
      </c>
      <c r="C23890" s="5" t="str">
        <f>IFERROR(__xludf.DUMMYFUNCTION("GOOGLETRANSLATE(B23890,""en"",""zh-CN"")"),"该名女子再次站着，现在正在她的腿上涂乳液。")</f>
        <v>该名女子再次站着，现在正在她的腿上涂乳液。</v>
      </c>
    </row>
    <row r="23891">
      <c r="A23891" s="4" t="s">
        <v>30057</v>
      </c>
      <c r="B23891" s="4" t="s">
        <v>30063</v>
      </c>
      <c r="C23891" s="5" t="str">
        <f>IFERROR(__xludf.DUMMYFUNCTION("GOOGLETRANSLATE(B23891,""en"",""zh-CN"")"),"这个女人现在正站在她的上半身上，微笑着说话。")</f>
        <v>这个女人现在正站在她的上半身上，微笑着说话。</v>
      </c>
    </row>
    <row r="23892">
      <c r="A23892" s="4" t="s">
        <v>30064</v>
      </c>
      <c r="B23892" s="4" t="s">
        <v>30065</v>
      </c>
      <c r="C23892" s="5" t="str">
        <f>IFERROR(__xludf.DUMMYFUNCTION("GOOGLETRANSLATE(B23892,""en"",""zh-CN"")"),"在背景中看到山脉，一个男孩骑在汽车上。")</f>
        <v>在背景中看到山脉，一个男孩骑在汽车上。</v>
      </c>
    </row>
    <row r="23893">
      <c r="A23893" s="4" t="s">
        <v>30064</v>
      </c>
      <c r="B23893" s="4" t="s">
        <v>30066</v>
      </c>
      <c r="C23893" s="5" t="str">
        <f>IFERROR(__xludf.DUMMYFUNCTION("GOOGLETRANSLATE(B23893,""en"",""zh-CN"")"),"滑板手一起穿过停车场。")</f>
        <v>滑板手一起穿过停车场。</v>
      </c>
    </row>
    <row r="23894">
      <c r="A23894" s="4" t="s">
        <v>30064</v>
      </c>
      <c r="B23894" s="4" t="s">
        <v>30067</v>
      </c>
      <c r="C23894" s="5" t="str">
        <f>IFERROR(__xludf.DUMMYFUNCTION("GOOGLETRANSLATE(B23894,""en"",""zh-CN"")"),"滑板沿着底部的滑雪板沿着山坡骑行。")</f>
        <v>滑板沿着底部的滑雪板沿着山坡骑行。</v>
      </c>
    </row>
    <row r="23895">
      <c r="A23895" s="4" t="s">
        <v>30064</v>
      </c>
      <c r="B23895" s="4" t="s">
        <v>30068</v>
      </c>
      <c r="C23895" s="5" t="str">
        <f>IFERROR(__xludf.DUMMYFUNCTION("GOOGLETRANSLATE(B23895,""en"",""zh-CN"")"),"男孩把木板直立。")</f>
        <v>男孩把木板直立。</v>
      </c>
    </row>
    <row r="23896">
      <c r="A23896" s="4" t="s">
        <v>30064</v>
      </c>
      <c r="B23896" s="4" t="s">
        <v>30069</v>
      </c>
      <c r="C23896" s="5" t="str">
        <f>IFERROR(__xludf.DUMMYFUNCTION("GOOGLETRANSLATE(B23896,""en"",""zh-CN"")"),"一个男孩滑板穿过体育场的看台。")</f>
        <v>一个男孩滑板穿过体育场的看台。</v>
      </c>
    </row>
    <row r="23897">
      <c r="A23897" s="4" t="s">
        <v>30070</v>
      </c>
      <c r="B23897" s="4" t="s">
        <v>30071</v>
      </c>
      <c r="C23897" s="5" t="str">
        <f>IFERROR(__xludf.DUMMYFUNCTION("GOOGLETRANSLATE(B23897,""en"",""zh-CN"")"),"人们坐在锻炼自行车上并锻炼身体。")</f>
        <v>人们坐在锻炼自行车上并锻炼身体。</v>
      </c>
    </row>
    <row r="23898">
      <c r="A23898" s="4" t="s">
        <v>30070</v>
      </c>
      <c r="B23898" s="4" t="s">
        <v>30072</v>
      </c>
      <c r="C23898" s="5" t="str">
        <f>IFERROR(__xludf.DUMMYFUNCTION("GOOGLETRANSLATE(B23898,""en"",""zh-CN"")"),"一个女人把东西放在男人锻炼的腿的侧面。")</f>
        <v>一个女人把东西放在男人锻炼的腿的侧面。</v>
      </c>
    </row>
    <row r="23899">
      <c r="A23899" s="4" t="s">
        <v>30070</v>
      </c>
      <c r="B23899" s="4" t="s">
        <v>30073</v>
      </c>
      <c r="C23899" s="5" t="str">
        <f>IFERROR(__xludf.DUMMYFUNCTION("GOOGLETRANSLATE(B23899,""en"",""zh-CN"")"),"一个穿着黑色西装的男人在电视前说话。")</f>
        <v>一个穿着黑色西装的男人在电视前说话。</v>
      </c>
    </row>
    <row r="23900">
      <c r="A23900" s="4" t="s">
        <v>30074</v>
      </c>
      <c r="B23900" s="6" t="s">
        <v>30075</v>
      </c>
      <c r="C23900" s="5" t="str">
        <f>IFERROR(__xludf.DUMMYFUNCTION("GOOGLETRANSLATE(B23900,""en"",""zh-CN"")"),"看到一个人擦洗马毛皮的鬃毛，并导致洗净他并喷洒他。")</f>
        <v>看到一个人擦洗马毛皮的鬃毛，并导致洗净他并喷洒他。</v>
      </c>
    </row>
    <row r="23901">
      <c r="A23901" s="4" t="s">
        <v>30074</v>
      </c>
      <c r="B23901" s="6" t="s">
        <v>30076</v>
      </c>
      <c r="C23901" s="5" t="str">
        <f>IFERROR(__xludf.DUMMYFUNCTION("GOOGLETRANSLATE(B23901,""en"",""zh-CN"")"),"相机显示液体的镜头，然后显示女士擦洗并洗了马。")</f>
        <v>相机显示液体的镜头，然后显示女士擦洗并洗了马。</v>
      </c>
    </row>
    <row r="23902">
      <c r="A23902" s="4" t="s">
        <v>30074</v>
      </c>
      <c r="B23902" s="6" t="s">
        <v>30077</v>
      </c>
      <c r="C23902" s="5" t="str">
        <f>IFERROR(__xludf.DUMMYFUNCTION("GOOGLETRANSLATE(B23902,""en"",""zh-CN"")"),"她走开马，摇动瓶子，显示出更多用断断续续的瓶子清洁马的镜头。")</f>
        <v>她走开马，摇动瓶子，显示出更多用断断续续的瓶子清洁马的镜头。</v>
      </c>
    </row>
    <row r="23903">
      <c r="A23903" s="4" t="s">
        <v>30078</v>
      </c>
      <c r="B23903" s="6" t="s">
        <v>30079</v>
      </c>
      <c r="C23903" s="5" t="str">
        <f>IFERROR(__xludf.DUMMYFUNCTION("GOOGLETRANSLATE(B23903,""en"",""zh-CN"")"),"一个拿着警棍和戴着闪闪发光的紧身裤的男子站在篮球场上，正在做一个常规的警棍旋转，翻转和戏剧性的舞蹈。")</f>
        <v>一个拿着警棍和戴着闪闪发光的紧身裤的男子站在篮球场上，正在做一个常规的警棍旋转，翻转和戏剧性的舞蹈。</v>
      </c>
    </row>
    <row r="23904">
      <c r="A23904" s="4" t="s">
        <v>30078</v>
      </c>
      <c r="B23904" s="4" t="s">
        <v>30080</v>
      </c>
      <c r="C23904" s="5" t="str">
        <f>IFERROR(__xludf.DUMMYFUNCTION("GOOGLETRANSLATE(B23904,""en"",""zh-CN"")"),"该男子非常快速而出乎意料地旋转着警棍。")</f>
        <v>该男子非常快速而出乎意料地旋转着警棍。</v>
      </c>
    </row>
    <row r="23905">
      <c r="A23905" s="4" t="s">
        <v>30078</v>
      </c>
      <c r="B23905" s="6" t="s">
        <v>30081</v>
      </c>
      <c r="C23905" s="5" t="str">
        <f>IFERROR(__xludf.DUMMYFUNCTION("GOOGLETRANSLATE(B23905,""en"",""zh-CN"")"),"该男子迅速恢复并捡起接力棒，继续他的例行程序，就像他从未首先放下它，并将接力棒高高地扔向空中，并进行了许多旋转，并在接地撞到地面之前迅速抓住了警棍。")</f>
        <v>该男子迅速恢复并捡起接力棒，继续他的例行程序，就像他从未首先放下它，并将接力棒高高地扔向空中，并进行了许多旋转，并在接地撞到地面之前迅速抓住了警棍。</v>
      </c>
    </row>
    <row r="23906">
      <c r="A23906" s="4" t="s">
        <v>30078</v>
      </c>
      <c r="B23906" s="6" t="s">
        <v>30082</v>
      </c>
      <c r="C23906" s="5" t="str">
        <f>IFERROR(__xludf.DUMMYFUNCTION("GOOGLETRANSLATE(B23906,""en"",""zh-CN"")"),"该男子的例行姿势结束，双腿分开，头部向后伸出，接力棒放在他的右边和双腿之间。")</f>
        <v>该男子的例行姿势结束，双腿分开，头部向后伸出，接力棒放在他的右边和双腿之间。</v>
      </c>
    </row>
    <row r="23907">
      <c r="A23907" s="4" t="s">
        <v>30083</v>
      </c>
      <c r="B23907" s="4" t="s">
        <v>30084</v>
      </c>
      <c r="C23907" s="5" t="str">
        <f>IFERROR(__xludf.DUMMYFUNCTION("GOOGLETRANSLATE(B23907,""en"",""zh-CN"")"),"该建筑物正在显示为钟楼。")</f>
        <v>该建筑物正在显示为钟楼。</v>
      </c>
    </row>
    <row r="23908">
      <c r="A23908" s="4" t="s">
        <v>30083</v>
      </c>
      <c r="B23908" s="4" t="s">
        <v>30085</v>
      </c>
      <c r="C23908" s="5" t="str">
        <f>IFERROR(__xludf.DUMMYFUNCTION("GOOGLETRANSLATE(B23908,""en"",""zh-CN"")"),"年轻人在建筑物前的人行道上行走。")</f>
        <v>年轻人在建筑物前的人行道上行走。</v>
      </c>
    </row>
    <row r="23909">
      <c r="A23909" s="4" t="s">
        <v>30083</v>
      </c>
      <c r="B23909" s="4" t="s">
        <v>30086</v>
      </c>
      <c r="C23909" s="5" t="str">
        <f>IFERROR(__xludf.DUMMYFUNCTION("GOOGLETRANSLATE(B23909,""en"",""zh-CN"")"),"一个年轻人在道路上滑板，侧面向一边移动脚踩在板上。")</f>
        <v>一个年轻人在道路上滑板，侧面向一边移动脚踩在板上。</v>
      </c>
    </row>
    <row r="23910">
      <c r="A23910" s="4" t="s">
        <v>30087</v>
      </c>
      <c r="B23910" s="4" t="s">
        <v>30088</v>
      </c>
      <c r="C23910" s="5" t="str">
        <f>IFERROR(__xludf.DUMMYFUNCTION("GOOGLETRANSLATE(B23910,""en"",""zh-CN"")"),"一群几个十几岁的男孩正在玩拔河游戏。")</f>
        <v>一群几个十几岁的男孩正在玩拔河游戏。</v>
      </c>
    </row>
    <row r="23911">
      <c r="A23911" s="4" t="s">
        <v>30087</v>
      </c>
      <c r="B23911" s="4" t="s">
        <v>30089</v>
      </c>
      <c r="C23911" s="5" t="str">
        <f>IFERROR(__xludf.DUMMYFUNCTION("GOOGLETRANSLATE(B23911,""en"",""zh-CN"")"),"他们努力拉动绳子给绳子，然后赢得比赛。")</f>
        <v>他们努力拉动绳子给绳子，然后赢得比赛。</v>
      </c>
    </row>
    <row r="23912">
      <c r="A23912" s="4" t="s">
        <v>30090</v>
      </c>
      <c r="B23912" s="6" t="s">
        <v>30091</v>
      </c>
      <c r="C23912" s="5" t="str">
        <f>IFERROR(__xludf.DUMMYFUNCTION("GOOGLETRANSLATE(B23912,""en"",""zh-CN"")"),"场景是一个被高大的树木包围的社区，旁边的一堆死叶子包围着。")</f>
        <v>场景是一个被高大的树木包围的社区，旁边的一堆死叶子包围着。</v>
      </c>
    </row>
    <row r="23913">
      <c r="A23913" s="4" t="s">
        <v>30090</v>
      </c>
      <c r="B23913" s="4" t="s">
        <v>30092</v>
      </c>
      <c r="C23913" s="5" t="str">
        <f>IFERROR(__xludf.DUMMYFUNCTION("GOOGLETRANSLATE(B23913,""en"",""zh-CN"")"),"一个拿着嘎嘎声的男人将叶子放在叶子上的袋子里。")</f>
        <v>一个拿着嘎嘎声的男人将叶子放在叶子上的袋子里。</v>
      </c>
    </row>
    <row r="23914">
      <c r="A23914" s="4" t="s">
        <v>30090</v>
      </c>
      <c r="B23914" s="4" t="s">
        <v>30093</v>
      </c>
      <c r="C23914" s="5" t="str">
        <f>IFERROR(__xludf.DUMMYFUNCTION("GOOGLETRANSLATE(B23914,""en"",""zh-CN"")"),"另外，该男子使用叶子捕捞器在袋子里收集垃圾。")</f>
        <v>另外，该男子使用叶子捕捞器在袋子里收集垃圾。</v>
      </c>
    </row>
    <row r="23915">
      <c r="A23915" s="4" t="s">
        <v>30094</v>
      </c>
      <c r="B23915" s="4" t="s">
        <v>30095</v>
      </c>
      <c r="C23915" s="5" t="str">
        <f>IFERROR(__xludf.DUMMYFUNCTION("GOOGLETRANSLATE(B23915,""en"",""zh-CN"")"),"一个穿着白衬衫的男人正在拿着网球球拍。")</f>
        <v>一个穿着白衬衫的男人正在拿着网球球拍。</v>
      </c>
    </row>
    <row r="23916">
      <c r="A23916" s="4" t="s">
        <v>30094</v>
      </c>
      <c r="B23916" s="4" t="s">
        <v>30096</v>
      </c>
      <c r="C23916" s="5" t="str">
        <f>IFERROR(__xludf.DUMMYFUNCTION("GOOGLETRANSLATE(B23916,""en"",""zh-CN"")"),"他开始用网球拍打网球。")</f>
        <v>他开始用网球拍打网球。</v>
      </c>
    </row>
    <row r="23917">
      <c r="A23917" s="4" t="s">
        <v>30094</v>
      </c>
      <c r="B23917" s="4" t="s">
        <v>5880</v>
      </c>
      <c r="C23917" s="5" t="str">
        <f>IFERROR(__xludf.DUMMYFUNCTION("GOOGLETRANSLATE(B23917,""en"",""zh-CN"")"),"他停下来与镜头交谈。")</f>
        <v>他停下来与镜头交谈。</v>
      </c>
    </row>
    <row r="23918">
      <c r="A23918" s="4" t="s">
        <v>30097</v>
      </c>
      <c r="B23918" s="4" t="s">
        <v>30098</v>
      </c>
      <c r="C23918" s="5" t="str">
        <f>IFERROR(__xludf.DUMMYFUNCTION("GOOGLETRANSLATE(B23918,""en"",""zh-CN"")"),"看到一大批妇女站在房间里，开始肚皮舞。")</f>
        <v>看到一大批妇女站在房间里，开始肚皮舞。</v>
      </c>
    </row>
    <row r="23919">
      <c r="A23919" s="4" t="s">
        <v>30097</v>
      </c>
      <c r="B23919" s="6" t="s">
        <v>30099</v>
      </c>
      <c r="C23919" s="5" t="str">
        <f>IFERROR(__xludf.DUMMYFUNCTION("GOOGLETRANSLATE(B23919,""en"",""zh-CN"")"),"女人彼此跳舞，表演同样的例行活动，一个女人在前面跳舞。")</f>
        <v>女人彼此跳舞，表演同样的例行活动，一个女人在前面跳舞。</v>
      </c>
    </row>
    <row r="23920">
      <c r="A23920" s="4" t="s">
        <v>30097</v>
      </c>
      <c r="B23920" s="4" t="s">
        <v>30100</v>
      </c>
      <c r="C23920" s="5" t="str">
        <f>IFERROR(__xludf.DUMMYFUNCTION("GOOGLETRANSLATE(B23920,""en"",""zh-CN"")"),"妇女继续彼此跳舞，最后走来走去。")</f>
        <v>妇女继续彼此跳舞，最后走来走去。</v>
      </c>
    </row>
    <row r="23921">
      <c r="A23921" s="4" t="s">
        <v>30101</v>
      </c>
      <c r="B23921" s="4" t="s">
        <v>30102</v>
      </c>
      <c r="C23921" s="5" t="str">
        <f>IFERROR(__xludf.DUMMYFUNCTION("GOOGLETRANSLATE(B23921,""en"",""zh-CN"")"),"人们正在在房子里走到一个拿着棒球棒的空旷的田野。")</f>
        <v>人们正在在房子里走到一个拿着棒球棒的空旷的田野。</v>
      </c>
    </row>
    <row r="23922">
      <c r="A23922" s="4" t="s">
        <v>30101</v>
      </c>
      <c r="B23922" s="4" t="s">
        <v>30103</v>
      </c>
      <c r="C23922" s="5" t="str">
        <f>IFERROR(__xludf.DUMMYFUNCTION("GOOGLETRANSLATE(B23922,""en"",""zh-CN"")"),"Perso在一些男人的身后走路，带有手柄棒在田野里跑来跑去。")</f>
        <v>Perso在一些男人的身后走路，带有手柄棒在田野里跑来跑去。</v>
      </c>
    </row>
    <row r="23923">
      <c r="A23923" s="4" t="s">
        <v>30101</v>
      </c>
      <c r="B23923" s="6" t="s">
        <v>30104</v>
      </c>
      <c r="C23923" s="5" t="str">
        <f>IFERROR(__xludf.DUMMYFUNCTION("GOOGLETRANSLATE(B23923,""en"",""zh-CN"")"),"展示了一些论文，女性出售曲棍球T恤，在游戏中，人们聚集在场上。")</f>
        <v>展示了一些论文，女性出售曲棍球T恤，在游戏中，人们聚集在场上。</v>
      </c>
    </row>
    <row r="23924">
      <c r="A23924" s="4" t="s">
        <v>30101</v>
      </c>
      <c r="B23924" s="4" t="s">
        <v>30105</v>
      </c>
      <c r="C23924" s="5" t="str">
        <f>IFERROR(__xludf.DUMMYFUNCTION("GOOGLETRANSLATE(B23924,""en"",""zh-CN"")"),"玩家从更衣室走路，在野外比赛中。")</f>
        <v>玩家从更衣室走路，在野外比赛中。</v>
      </c>
    </row>
    <row r="23925">
      <c r="A23925" s="4" t="s">
        <v>30101</v>
      </c>
      <c r="B23925" s="4" t="s">
        <v>30106</v>
      </c>
      <c r="C23925" s="5" t="str">
        <f>IFERROR(__xludf.DUMMYFUNCTION("GOOGLETRANSLATE(B23925,""en"",""zh-CN"")"),"玩家在比赛结束时踩着线拍手，最终显示了结果。")</f>
        <v>玩家在比赛结束时踩着线拍手，最终显示了结果。</v>
      </c>
    </row>
    <row r="23926">
      <c r="A23926" s="4" t="s">
        <v>30107</v>
      </c>
      <c r="B23926" s="4" t="s">
        <v>30108</v>
      </c>
      <c r="C23926" s="5" t="str">
        <f>IFERROR(__xludf.DUMMYFUNCTION("GOOGLETRANSLATE(B23926,""en"",""zh-CN"")"),"两名球员正在玩球拍球。")</f>
        <v>两名球员正在玩球拍球。</v>
      </c>
    </row>
    <row r="23927">
      <c r="A23927" s="4" t="s">
        <v>30107</v>
      </c>
      <c r="B23927" s="4" t="s">
        <v>30109</v>
      </c>
      <c r="C23927" s="5" t="str">
        <f>IFERROR(__xludf.DUMMYFUNCTION("GOOGLETRANSLATE(B23927,""en"",""zh-CN"")"),"一位女性在球上挥杆并击中。")</f>
        <v>一位女性在球上挥杆并击中。</v>
      </c>
    </row>
    <row r="23928">
      <c r="A23928" s="4" t="s">
        <v>30107</v>
      </c>
      <c r="B23928" s="4" t="s">
        <v>30110</v>
      </c>
      <c r="C23928" s="5" t="str">
        <f>IFERROR(__xludf.DUMMYFUNCTION("GOOGLETRANSLATE(B23928,""en"",""zh-CN"")"),"另一位女性在球上挥杆，错过了自己。")</f>
        <v>另一位女性在球上挥杆，错过了自己。</v>
      </c>
    </row>
    <row r="23929">
      <c r="A23929" s="4" t="s">
        <v>30107</v>
      </c>
      <c r="B23929" s="4" t="s">
        <v>30111</v>
      </c>
      <c r="C23929" s="5" t="str">
        <f>IFERROR(__xludf.DUMMYFUNCTION("GOOGLETRANSLATE(B23929,""en"",""zh-CN"")"),"然后，她坐在地板上，而另一个人来关闭相机。")</f>
        <v>然后，她坐在地板上，而另一个人来关闭相机。</v>
      </c>
    </row>
    <row r="23930">
      <c r="A23930" s="4" t="s">
        <v>30112</v>
      </c>
      <c r="B23930" s="4" t="s">
        <v>30113</v>
      </c>
      <c r="C23930" s="5" t="str">
        <f>IFERROR(__xludf.DUMMYFUNCTION("GOOGLETRANSLATE(B23930,""en"",""zh-CN"")"),"看到一个年轻人站在一个房间的中间，在空中拿着网球球拍。")</f>
        <v>看到一个年轻人站在一个房间的中间，在空中拿着网球球拍。</v>
      </c>
    </row>
    <row r="23931">
      <c r="A23931" s="4" t="s">
        <v>30112</v>
      </c>
      <c r="B23931" s="4" t="s">
        <v>30114</v>
      </c>
      <c r="C23931" s="5" t="str">
        <f>IFERROR(__xludf.DUMMYFUNCTION("GOOGLETRANSLATE(B23931,""en"",""zh-CN"")"),"然后看到自己和一个男人在房间里跑来跑去时撞到网球。")</f>
        <v>然后看到自己和一个男人在房间里跑来跑去时撞到网球。</v>
      </c>
    </row>
    <row r="23932">
      <c r="A23932" s="4" t="s">
        <v>30112</v>
      </c>
      <c r="B23932" s="4" t="s">
        <v>30115</v>
      </c>
      <c r="C23932" s="5" t="str">
        <f>IFERROR(__xludf.DUMMYFUNCTION("GOOGLETRANSLATE(B23932,""en"",""zh-CN"")"),"这个男孩最终从男人逃到了相机。")</f>
        <v>这个男孩最终从男人逃到了相机。</v>
      </c>
    </row>
    <row r="23933">
      <c r="A23933" s="4" t="s">
        <v>30116</v>
      </c>
      <c r="B23933" s="4" t="s">
        <v>30117</v>
      </c>
      <c r="C23933" s="5" t="str">
        <f>IFERROR(__xludf.DUMMYFUNCTION("GOOGLETRANSLATE(B23933,""en"",""zh-CN"")"),"一群人站在一起，而穿着漂亮衣服的女人说话。")</f>
        <v>一群人站在一起，而穿着漂亮衣服的女人说话。</v>
      </c>
    </row>
    <row r="23934">
      <c r="A23934" s="4" t="s">
        <v>30116</v>
      </c>
      <c r="B23934" s="4" t="s">
        <v>30118</v>
      </c>
      <c r="C23934" s="5" t="str">
        <f>IFERROR(__xludf.DUMMYFUNCTION("GOOGLETRANSLATE(B23934,""en"",""zh-CN"")"),"展示了穿着服装的各种人，一个女孩四处玩开风筝。")</f>
        <v>展示了穿着服装的各种人，一个女孩四处玩开风筝。</v>
      </c>
    </row>
    <row r="23935">
      <c r="A23935" s="4" t="s">
        <v>30116</v>
      </c>
      <c r="B23935" s="4" t="s">
        <v>30119</v>
      </c>
      <c r="C23935" s="5" t="str">
        <f>IFERROR(__xludf.DUMMYFUNCTION("GOOGLETRANSLATE(B23935,""en"",""zh-CN"")"),"当其他孩子和他们一起玩时，有几个风筝出现在空中。")</f>
        <v>当其他孩子和他们一起玩时，有几个风筝出现在空中。</v>
      </c>
    </row>
    <row r="23936">
      <c r="A23936" s="4" t="s">
        <v>30116</v>
      </c>
      <c r="B23936" s="6" t="s">
        <v>30120</v>
      </c>
      <c r="C23936" s="5" t="str">
        <f>IFERROR(__xludf.DUMMYFUNCTION("GOOGLETRANSLATE(B23936,""en"",""zh-CN"")"),"空中显示了数百个风筝，一个男人采访了他对风筝的经历。")</f>
        <v>空中显示了数百个风筝，一个男人采访了他对风筝的经历。</v>
      </c>
    </row>
    <row r="23937">
      <c r="A23937" s="4" t="s">
        <v>30116</v>
      </c>
      <c r="B23937" s="4" t="s">
        <v>30121</v>
      </c>
      <c r="C23937" s="5" t="str">
        <f>IFERROR(__xludf.DUMMYFUNCTION("GOOGLETRANSLATE(B23937,""en"",""zh-CN"")"),"几个人停下来环顾四周，整夜盘子。")</f>
        <v>几个人停下来环顾四周，整夜盘子。</v>
      </c>
    </row>
    <row r="23938">
      <c r="A23938" s="4" t="s">
        <v>30122</v>
      </c>
      <c r="B23938" s="4" t="s">
        <v>30123</v>
      </c>
      <c r="C23938" s="5" t="str">
        <f>IFERROR(__xludf.DUMMYFUNCTION("GOOGLETRANSLATE(B23938,""en"",""zh-CN"")"),"看到一个男人跪在汽车旁边，在汽车上喷了一条软管。")</f>
        <v>看到一个男人跪在汽车旁边，在汽车上喷了一条软管。</v>
      </c>
    </row>
    <row r="23939">
      <c r="A23939" s="4" t="s">
        <v>30122</v>
      </c>
      <c r="B23939" s="4" t="s">
        <v>30124</v>
      </c>
      <c r="C23939" s="5" t="str">
        <f>IFERROR(__xludf.DUMMYFUNCTION("GOOGLETRANSLATE(B23939,""en"",""zh-CN"")"),"他用海绵在汽车周围清洁，而其他海绵则在侧面清理。")</f>
        <v>他用海绵在汽车周围清洁，而其他海绵则在侧面清理。</v>
      </c>
    </row>
    <row r="23940">
      <c r="A23940" s="4" t="s">
        <v>30122</v>
      </c>
      <c r="B23940" s="6" t="s">
        <v>30125</v>
      </c>
      <c r="C23940" s="5" t="str">
        <f>IFERROR(__xludf.DUMMYFUNCTION("GOOGLETRANSLATE(B23940,""en"",""zh-CN"")"),"在摄像机锅周围时，显示了更多的镜头，即它们清洁内部以及引擎盖下的镜头。")</f>
        <v>在摄像机锅周围时，显示了更多的镜头，即它们清洁内部以及引擎盖下的镜头。</v>
      </c>
    </row>
    <row r="23941">
      <c r="A23941" s="4" t="s">
        <v>30126</v>
      </c>
      <c r="B23941" s="4" t="s">
        <v>30127</v>
      </c>
      <c r="C23941" s="5" t="str">
        <f>IFERROR(__xludf.DUMMYFUNCTION("GOOGLETRANSLATE(B23941,""en"",""zh-CN"")"),"妇女在木制法庭上打voleyball。")</f>
        <v>妇女在木制法庭上打voleyball。</v>
      </c>
    </row>
    <row r="23942">
      <c r="A23942" s="4" t="s">
        <v>30126</v>
      </c>
      <c r="B23942" s="4" t="s">
        <v>30128</v>
      </c>
      <c r="C23942" s="5" t="str">
        <f>IFERROR(__xludf.DUMMYFUNCTION("GOOGLETRANSLATE(B23942,""en"",""zh-CN"")"),"佩尔佩（Peolpe）在法庭周围的椅子上观看女孩。")</f>
        <v>佩尔佩（Peolpe）在法庭周围的椅子上观看女孩。</v>
      </c>
    </row>
    <row r="23943">
      <c r="A23943" s="4" t="s">
        <v>30126</v>
      </c>
      <c r="B23943" s="4" t="s">
        <v>30129</v>
      </c>
      <c r="C23943" s="5" t="str">
        <f>IFERROR(__xludf.DUMMYFUNCTION("GOOGLETRANSLATE(B23943,""en"",""zh-CN"")"),"裁判员站在球场的两侧，拿着旗帜，看着比赛没有楼梯。")</f>
        <v>裁判员站在球场的两侧，拿着旗帜，看着比赛没有楼梯。</v>
      </c>
    </row>
    <row r="23944">
      <c r="A23944" s="4" t="s">
        <v>30130</v>
      </c>
      <c r="B23944" s="4" t="s">
        <v>30131</v>
      </c>
      <c r="C23944" s="5" t="str">
        <f>IFERROR(__xludf.DUMMYFUNCTION("GOOGLETRANSLATE(B23944,""en"",""zh-CN"")"),"屏幕上出现“生命适应性365”。")</f>
        <v>屏幕上出现“生命适应性365”。</v>
      </c>
    </row>
    <row r="23945">
      <c r="A23945" s="4" t="s">
        <v>30130</v>
      </c>
      <c r="B23945" s="6" t="s">
        <v>30132</v>
      </c>
      <c r="C23945" s="5" t="str">
        <f>IFERROR(__xludf.DUMMYFUNCTION("GOOGLETRANSLATE(B23945,""en"",""zh-CN"")"),"由于有一个男人爬到猴子吧，因此显示了健身房内部的平移。")</f>
        <v>由于有一个男人爬到猴子吧，因此显示了健身房内部的平移。</v>
      </c>
    </row>
    <row r="23946">
      <c r="A23946" s="4" t="s">
        <v>30130</v>
      </c>
      <c r="B23946" s="4" t="s">
        <v>30133</v>
      </c>
      <c r="C23946" s="5" t="str">
        <f>IFERROR(__xludf.DUMMYFUNCTION("GOOGLETRANSLATE(B23946,""en"",""zh-CN"")"),"然后，他来回继续锻炼。")</f>
        <v>然后，他来回继续锻炼。</v>
      </c>
    </row>
    <row r="23947">
      <c r="A23947" s="4" t="s">
        <v>30130</v>
      </c>
      <c r="B23947" s="4" t="s">
        <v>30134</v>
      </c>
      <c r="C23947" s="5" t="str">
        <f>IFERROR(__xludf.DUMMYFUNCTION("GOOGLETRANSLATE(B23947,""en"",""zh-CN"")"),"然后，该视频逐渐消失到黑屏，并要求您订阅其YouTube频道。")</f>
        <v>然后，该视频逐渐消失到黑屏，并要求您订阅其YouTube频道。</v>
      </c>
    </row>
    <row r="23948">
      <c r="A23948" s="4" t="s">
        <v>30135</v>
      </c>
      <c r="B23948" s="4" t="s">
        <v>30136</v>
      </c>
      <c r="C23948" s="5" t="str">
        <f>IFERROR(__xludf.DUMMYFUNCTION("GOOGLETRANSLATE(B23948,""en"",""zh-CN"")"),"该视频显示了有关如何使用混凝土安装陶瓷瓷砖的教程。")</f>
        <v>该视频显示了有关如何使用混凝土安装陶瓷瓷砖的教程。</v>
      </c>
    </row>
    <row r="23949">
      <c r="A23949" s="4" t="s">
        <v>30135</v>
      </c>
      <c r="B23949" s="4" t="s">
        <v>30137</v>
      </c>
      <c r="C23949" s="5" t="str">
        <f>IFERROR(__xludf.DUMMYFUNCTION("GOOGLETRANSLATE(B23949,""en"",""zh-CN"")"),"一个穿着橙色背心和黑色裤子的人正在为房屋的房间铺平一个房间。")</f>
        <v>一个穿着橙色背心和黑色裤子的人正在为房屋的房间铺平一个房间。</v>
      </c>
    </row>
    <row r="23950">
      <c r="A23950" s="4" t="s">
        <v>30135</v>
      </c>
      <c r="B23950" s="6" t="s">
        <v>30138</v>
      </c>
      <c r="C23950" s="5" t="str">
        <f>IFERROR(__xludf.DUMMYFUNCTION("GOOGLETRANSLATE(B23950,""en"",""zh-CN"")"),"他跪在一堆白色正方形陶瓷瓷砖和一个装满灌浆和水泥的水桶旁边。")</f>
        <v>他跪在一堆白色正方形陶瓷瓷砖和一个装满灌浆和水泥的水桶旁边。</v>
      </c>
    </row>
    <row r="23951">
      <c r="A23951" s="4" t="s">
        <v>30135</v>
      </c>
      <c r="B23951" s="4" t="s">
        <v>30139</v>
      </c>
      <c r="C23951" s="5" t="str">
        <f>IFERROR(__xludf.DUMMYFUNCTION("GOOGLETRANSLATE(B23951,""en"",""zh-CN"")"),"他用抹子用水泥涂抹地板。")</f>
        <v>他用抹子用水泥涂抹地板。</v>
      </c>
    </row>
    <row r="23952">
      <c r="A23952" s="4" t="s">
        <v>30135</v>
      </c>
      <c r="B23952" s="6" t="s">
        <v>30140</v>
      </c>
      <c r="C23952" s="5" t="str">
        <f>IFERROR(__xludf.DUMMYFUNCTION("GOOGLETRANSLATE(B23952,""en"",""zh-CN"")"),"然后，他将方瓷砖彼此直线放置，以确保它们紧紧地安装在一起。")</f>
        <v>然后，他将方瓷砖彼此直线放置，以确保它们紧紧地安装在一起。</v>
      </c>
    </row>
    <row r="23953">
      <c r="A23953" s="4" t="s">
        <v>30135</v>
      </c>
      <c r="B23953" s="6" t="s">
        <v>30141</v>
      </c>
      <c r="C23953" s="5" t="str">
        <f>IFERROR(__xludf.DUMMYFUNCTION("GOOGLETRANSLATE(B23953,""en"",""zh-CN"")"),"他将更多的瓷砖从盒子中取出，将它们放在湿水泥上，以确保它们彼此正确对齐。")</f>
        <v>他将更多的瓷砖从盒子中取出，将它们放在湿水泥上，以确保它们彼此正确对齐。</v>
      </c>
    </row>
    <row r="23954">
      <c r="A23954" s="4" t="s">
        <v>30135</v>
      </c>
      <c r="B23954" s="6" t="s">
        <v>30142</v>
      </c>
      <c r="C23954" s="5" t="str">
        <f>IFERROR(__xludf.DUMMYFUNCTION("GOOGLETRANSLATE(B23954,""en"",""zh-CN"")"),"他继续放置瓷砖以填补所有空白，直到整个房间被白色瓷砖完全覆盖为止。")</f>
        <v>他继续放置瓷砖以填补所有空白，直到整个房间被白色瓷砖完全覆盖为止。</v>
      </c>
    </row>
    <row r="23955">
      <c r="A23955" s="4" t="s">
        <v>30143</v>
      </c>
      <c r="B23955" s="4" t="s">
        <v>30144</v>
      </c>
      <c r="C23955" s="5" t="str">
        <f>IFERROR(__xludf.DUMMYFUNCTION("GOOGLETRANSLATE(B23955,""en"",""zh-CN"")"),"看到一个男人在上下移动双手时，在相机上播放了一组袋子管。")</f>
        <v>看到一个男人在上下移动双手时，在相机上播放了一组袋子管。</v>
      </c>
    </row>
    <row r="23956">
      <c r="A23956" s="4" t="s">
        <v>30143</v>
      </c>
      <c r="B23956" s="4" t="s">
        <v>30145</v>
      </c>
      <c r="C23956" s="5" t="str">
        <f>IFERROR(__xludf.DUMMYFUNCTION("GOOGLETRANSLATE(B23956,""en"",""zh-CN"")"),"该男子继续在房间里演奏乐器，并通过将手向下移动。")</f>
        <v>该男子继续在房间里演奏乐器，并通过将手向下移动。</v>
      </c>
    </row>
    <row r="23957">
      <c r="A23957" s="4" t="s">
        <v>30146</v>
      </c>
      <c r="B23957" s="6" t="s">
        <v>30147</v>
      </c>
      <c r="C23957" s="5" t="str">
        <f>IFERROR(__xludf.DUMMYFUNCTION("GOOGLETRANSLATE(B23957,""en"",""zh-CN"")"),"一个男人坐在他的耳朵上坐着一个麦克风，开始谈论他面前的康卡斯。")</f>
        <v>一个男人坐在他的耳朵上坐着一个麦克风，开始谈论他面前的康卡斯。</v>
      </c>
    </row>
    <row r="23958">
      <c r="A23958" s="4" t="s">
        <v>30146</v>
      </c>
      <c r="B23958" s="4" t="s">
        <v>30148</v>
      </c>
      <c r="C23958" s="5" t="str">
        <f>IFERROR(__xludf.DUMMYFUNCTION("GOOGLETRANSLATE(B23958,""en"",""zh-CN"")"),"一旦他说话，该男子就开始玩耍并来回袭击康卡斯。")</f>
        <v>一旦他说话，该男子就开始玩耍并来回袭击康卡斯。</v>
      </c>
    </row>
    <row r="23959">
      <c r="A23959" s="4" t="s">
        <v>30146</v>
      </c>
      <c r="B23959" s="4" t="s">
        <v>30149</v>
      </c>
      <c r="C23959" s="5" t="str">
        <f>IFERROR(__xludf.DUMMYFUNCTION("GOOGLETRANSLATE(B23959,""en"",""zh-CN"")"),"在他的表现之间，他在继续演奏之前进行了简介休息和谈话。")</f>
        <v>在他的表现之间，他在继续演奏之前进行了简介休息和谈话。</v>
      </c>
    </row>
    <row r="23960">
      <c r="A23960" s="4" t="s">
        <v>30146</v>
      </c>
      <c r="B23960" s="4" t="s">
        <v>30150</v>
      </c>
      <c r="C23960" s="5" t="str">
        <f>IFERROR(__xludf.DUMMYFUNCTION("GOOGLETRANSLATE(B23960,""en"",""zh-CN"")"),"现在，他戴上了头手机，并开始直接打球，没有中断。")</f>
        <v>现在，他戴上了头手机，并开始直接打球，没有中断。</v>
      </c>
    </row>
    <row r="23961">
      <c r="A23961" s="4" t="s">
        <v>30151</v>
      </c>
      <c r="B23961" s="6" t="s">
        <v>30152</v>
      </c>
      <c r="C23961" s="5" t="str">
        <f>IFERROR(__xludf.DUMMYFUNCTION("GOOGLETRANSLATE(B23961,""en"",""zh-CN"")"),"我的女人在拿着乒乓球并站在乒乓球桌旁时与镜头说话，并散布着短暂的技术示范。")</f>
        <v>我的女人在拿着乒乓球并站在乒乓球桌旁时与镜头说话，并散布着短暂的技术示范。</v>
      </c>
    </row>
    <row r="23962">
      <c r="A23962" s="4" t="s">
        <v>30151</v>
      </c>
      <c r="B23962" s="4" t="s">
        <v>30153</v>
      </c>
      <c r="C23962" s="5" t="str">
        <f>IFERROR(__xludf.DUMMYFUNCTION("GOOGLETRANSLATE(B23962,""en"",""zh-CN"")"),"女人取回一个新球。")</f>
        <v>女人取回一个新球。</v>
      </c>
    </row>
    <row r="23963">
      <c r="A23963" s="4" t="s">
        <v>30151</v>
      </c>
      <c r="B23963" s="4" t="s">
        <v>30154</v>
      </c>
      <c r="C23963" s="5" t="str">
        <f>IFERROR(__xludf.DUMMYFUNCTION("GOOGLETRANSLATE(B23963,""en"",""zh-CN"")"),"女人取回两个球，然后摆脱一个球。")</f>
        <v>女人取回两个球，然后摆脱一个球。</v>
      </c>
    </row>
    <row r="23964">
      <c r="A23964" s="4" t="s">
        <v>30151</v>
      </c>
      <c r="B23964" s="4" t="s">
        <v>30155</v>
      </c>
      <c r="C23964" s="5" t="str">
        <f>IFERROR(__xludf.DUMMYFUNCTION("GOOGLETRANSLATE(B23964,""en"",""zh-CN"")"),"女人取回另一个球。")</f>
        <v>女人取回另一个球。</v>
      </c>
    </row>
    <row r="23965">
      <c r="A23965" s="4" t="s">
        <v>30156</v>
      </c>
      <c r="B23965" s="4" t="s">
        <v>30157</v>
      </c>
      <c r="C23965" s="5" t="str">
        <f>IFERROR(__xludf.DUMMYFUNCTION("GOOGLETRANSLATE(B23965,""en"",""zh-CN"")"),"咖啡洒在地毯上。")</f>
        <v>咖啡洒在地毯上。</v>
      </c>
    </row>
    <row r="23966">
      <c r="A23966" s="4" t="s">
        <v>30156</v>
      </c>
      <c r="B23966" s="4" t="s">
        <v>30158</v>
      </c>
      <c r="C23966" s="5" t="str">
        <f>IFERROR(__xludf.DUMMYFUNCTION("GOOGLETRANSLATE(B23966,""en"",""zh-CN"")"),"一个人地毯清洁地毯。")</f>
        <v>一个人地毯清洁地毯。</v>
      </c>
    </row>
    <row r="23967">
      <c r="A23967" s="4" t="s">
        <v>30156</v>
      </c>
      <c r="B23967" s="4" t="s">
        <v>30159</v>
      </c>
      <c r="C23967" s="5" t="str">
        <f>IFERROR(__xludf.DUMMYFUNCTION("GOOGLETRANSLATE(B23967,""en"",""zh-CN"")"),"然后他们打扫汽车座位。")</f>
        <v>然后他们打扫汽车座位。</v>
      </c>
    </row>
    <row r="23968">
      <c r="A23968" s="4" t="s">
        <v>30156</v>
      </c>
      <c r="B23968" s="4" t="s">
        <v>30160</v>
      </c>
      <c r="C23968" s="5" t="str">
        <f>IFERROR(__xludf.DUMMYFUNCTION("GOOGLETRANSLATE(B23968,""en"",""zh-CN"")"),"他们将水排入水槽中。")</f>
        <v>他们将水排入水槽中。</v>
      </c>
    </row>
    <row r="23969">
      <c r="A23969" s="4" t="s">
        <v>30156</v>
      </c>
      <c r="B23969" s="4" t="s">
        <v>30161</v>
      </c>
      <c r="C23969" s="5" t="str">
        <f>IFERROR(__xludf.DUMMYFUNCTION("GOOGLETRANSLATE(B23969,""en"",""zh-CN"")"),"他们将水桶倒入另一个水桶中。")</f>
        <v>他们将水桶倒入另一个水桶中。</v>
      </c>
    </row>
    <row r="23970">
      <c r="A23970" s="4" t="s">
        <v>30156</v>
      </c>
      <c r="B23970" s="4" t="s">
        <v>30162</v>
      </c>
      <c r="C23970" s="5" t="str">
        <f>IFERROR(__xludf.DUMMYFUNCTION("GOOGLETRANSLATE(B23970,""en"",""zh-CN"")"),"他们吸尘了地毯。")</f>
        <v>他们吸尘了地毯。</v>
      </c>
    </row>
    <row r="23971">
      <c r="A23971" s="4" t="s">
        <v>30163</v>
      </c>
      <c r="B23971" s="4" t="s">
        <v>30164</v>
      </c>
      <c r="C23971" s="5" t="str">
        <f>IFERROR(__xludf.DUMMYFUNCTION("GOOGLETRANSLATE(B23971,""en"",""zh-CN"")"),"一个男人从汽车上抓住一个手提箱。")</f>
        <v>一个男人从汽车上抓住一个手提箱。</v>
      </c>
    </row>
    <row r="23972">
      <c r="A23972" s="4" t="s">
        <v>30163</v>
      </c>
      <c r="B23972" s="4" t="s">
        <v>30165</v>
      </c>
      <c r="C23972" s="5" t="str">
        <f>IFERROR(__xludf.DUMMYFUNCTION("GOOGLETRANSLATE(B23972,""en"",""zh-CN"")"),"他躺在理发椅上。")</f>
        <v>他躺在理发椅上。</v>
      </c>
    </row>
    <row r="23973">
      <c r="A23973" s="4" t="s">
        <v>30163</v>
      </c>
      <c r="B23973" s="4" t="s">
        <v>30166</v>
      </c>
      <c r="C23973" s="5" t="str">
        <f>IFERROR(__xludf.DUMMYFUNCTION("GOOGLETRANSLATE(B23973,""en"",""zh-CN"")"),"一个男人开始用剃刀剃胡子。")</f>
        <v>一个男人开始用剃刀剃胡子。</v>
      </c>
    </row>
    <row r="23974">
      <c r="A23974" s="4" t="s">
        <v>30163</v>
      </c>
      <c r="B23974" s="4" t="s">
        <v>30167</v>
      </c>
      <c r="C23974" s="5" t="str">
        <f>IFERROR(__xludf.DUMMYFUNCTION("GOOGLETRANSLATE(B23974,""en"",""zh-CN"")"),"他把毛巾包裹在脸上。")</f>
        <v>他把毛巾包裹在脸上。</v>
      </c>
    </row>
    <row r="23975">
      <c r="A23975" s="4" t="s">
        <v>30168</v>
      </c>
      <c r="B23975" s="4" t="s">
        <v>30169</v>
      </c>
      <c r="C23975" s="5" t="str">
        <f>IFERROR(__xludf.DUMMYFUNCTION("GOOGLETRANSLATE(B23975,""en"",""zh-CN"")"),"一个年轻男子正在帮助一个年轻女子在足球皮纳塔（Pinata）摇摆。")</f>
        <v>一个年轻男子正在帮助一个年轻女子在足球皮纳塔（Pinata）摇摆。</v>
      </c>
    </row>
    <row r="23976">
      <c r="A23976" s="4" t="s">
        <v>30168</v>
      </c>
      <c r="B23976" s="4" t="s">
        <v>30170</v>
      </c>
      <c r="C23976" s="5" t="str">
        <f>IFERROR(__xludf.DUMMYFUNCTION("GOOGLETRANSLATE(B23976,""en"",""zh-CN"")"),"他们在学校或社区中心的室外绿色场上。")</f>
        <v>他们在学校或社区中心的室外绿色场上。</v>
      </c>
    </row>
    <row r="23977">
      <c r="A23977" s="4" t="s">
        <v>30168</v>
      </c>
      <c r="B23977" s="4" t="s">
        <v>30171</v>
      </c>
      <c r="C23977" s="5" t="str">
        <f>IFERROR(__xludf.DUMMYFUNCTION("GOOGLETRANSLATE(B23977,""en"",""zh-CN"")"),"当她的朋友们试图帮助她时，她不断错过Pinata。")</f>
        <v>当她的朋友们试图帮助她时，她不断错过Pinata。</v>
      </c>
    </row>
    <row r="23978">
      <c r="A23978" s="4" t="s">
        <v>30168</v>
      </c>
      <c r="B23978" s="4" t="s">
        <v>30172</v>
      </c>
      <c r="C23978" s="5" t="str">
        <f>IFERROR(__xludf.DUMMYFUNCTION("GOOGLETRANSLATE(B23978,""en"",""zh-CN"")"),"成年人正在控制Pinata，试图阻止她击中它。")</f>
        <v>成年人正在控制Pinata，试图阻止她击中它。</v>
      </c>
    </row>
    <row r="23979">
      <c r="A23979" s="4" t="s">
        <v>30168</v>
      </c>
      <c r="B23979" s="6" t="s">
        <v>30173</v>
      </c>
      <c r="C23979" s="5" t="str">
        <f>IFERROR(__xludf.DUMMYFUNCTION("GOOGLETRANSLATE(B23979,""en"",""zh-CN"")"),"当她的朋友嘲笑她并继续尝试提供帮助时，她最终发现了通常的位置。")</f>
        <v>当她的朋友嘲笑她并继续尝试提供帮助时，她最终发现了通常的位置。</v>
      </c>
    </row>
    <row r="23980">
      <c r="A23980" s="4" t="s">
        <v>30168</v>
      </c>
      <c r="B23980" s="4" t="s">
        <v>30174</v>
      </c>
      <c r="C23980" s="5" t="str">
        <f>IFERROR(__xludf.DUMMYFUNCTION("GOOGLETRANSLATE(B23980,""en"",""zh-CN"")"),"她被皮纳塔（Pinata）击中，最终失败了。")</f>
        <v>她被皮纳塔（Pinata）击中，最终失败了。</v>
      </c>
    </row>
    <row r="23981">
      <c r="A23981" s="4" t="s">
        <v>30175</v>
      </c>
      <c r="B23981" s="4" t="s">
        <v>30176</v>
      </c>
      <c r="C23981" s="5" t="str">
        <f>IFERROR(__xludf.DUMMYFUNCTION("GOOGLETRANSLATE(B23981,""en"",""zh-CN"")"),"几个男人在跑步打彩弹的树林里。")</f>
        <v>几个男人在跑步打彩弹的树林里。</v>
      </c>
    </row>
    <row r="23982">
      <c r="A23982" s="4" t="s">
        <v>30175</v>
      </c>
      <c r="B23982" s="4" t="s">
        <v>30177</v>
      </c>
      <c r="C23982" s="5" t="str">
        <f>IFERROR(__xludf.DUMMYFUNCTION("GOOGLETRANSLATE(B23982,""en"",""zh-CN"")"),"他们正在寻找对方试图将他们射出的，同时与队友保持亲密关系。")</f>
        <v>他们正在寻找对方试图将他们射出的，同时与队友保持亲密关系。</v>
      </c>
    </row>
    <row r="23983">
      <c r="A23983" s="4" t="s">
        <v>30175</v>
      </c>
      <c r="B23983" s="4" t="s">
        <v>30178</v>
      </c>
      <c r="C23983" s="5" t="str">
        <f>IFERROR(__xludf.DUMMYFUNCTION("GOOGLETRANSLATE(B23983,""en"",""zh-CN"")"),"其中一名男子检查他的枪并重新调整了他的枪，然后继续前进。")</f>
        <v>其中一名男子检查他的枪并重新调整了他的枪，然后继续前进。</v>
      </c>
    </row>
    <row r="23984">
      <c r="A23984" s="4" t="s">
        <v>30175</v>
      </c>
      <c r="B23984" s="4" t="s">
        <v>30179</v>
      </c>
      <c r="C23984" s="5" t="str">
        <f>IFERROR(__xludf.DUMMYFUNCTION("GOOGLETRANSLATE(B23984,""en"",""zh-CN"")"),"他继续进行比赛。")</f>
        <v>他继续进行比赛。</v>
      </c>
    </row>
    <row r="23985">
      <c r="A23985" s="4" t="s">
        <v>30180</v>
      </c>
      <c r="B23985" s="6" t="s">
        <v>30181</v>
      </c>
      <c r="C23985" s="5" t="str">
        <f>IFERROR(__xludf.DUMMYFUNCTION("GOOGLETRANSLATE(B23985,""en"",""zh-CN"")"),"一个男人正站在室内球场上，右手球拍左手的球拍，左手说话和示意了很多。")</f>
        <v>一个男人正站在室内球场上，右手球拍左手的球拍，左手说话和示意了很多。</v>
      </c>
    </row>
    <row r="23986">
      <c r="A23986" s="4" t="s">
        <v>30180</v>
      </c>
      <c r="B23986" s="4" t="s">
        <v>30182</v>
      </c>
      <c r="C23986" s="5" t="str">
        <f>IFERROR(__xludf.DUMMYFUNCTION("GOOGLETRANSLATE(B23986,""en"",""zh-CN"")"),"然后，该名男子将球丢到球场上，击中球，然后在返回他时抓住它。")</f>
        <v>然后，该名男子将球丢到球场上，击中球，然后在返回他时抓住它。</v>
      </c>
    </row>
    <row r="23987">
      <c r="A23987" s="4" t="s">
        <v>30180</v>
      </c>
      <c r="B23987" s="6" t="s">
        <v>30183</v>
      </c>
      <c r="C23987" s="5" t="str">
        <f>IFERROR(__xludf.DUMMYFUNCTION("GOOGLETRANSLATE(B23987,""en"",""zh-CN"")"),"当他将球和球拍握在手中，屏幕逐渐淡化时，该男子继续说话。")</f>
        <v>当他将球和球拍握在手中，屏幕逐渐淡化时，该男子继续说话。</v>
      </c>
    </row>
    <row r="23988">
      <c r="A23988" s="4" t="s">
        <v>30184</v>
      </c>
      <c r="B23988" s="4" t="s">
        <v>30185</v>
      </c>
      <c r="C23988" s="5" t="str">
        <f>IFERROR(__xludf.DUMMYFUNCTION("GOOGLETRANSLATE(B23988,""en"",""zh-CN"")"),"一个人低头看着相机。")</f>
        <v>一个人低头看着相机。</v>
      </c>
    </row>
    <row r="23989">
      <c r="A23989" s="4" t="s">
        <v>30184</v>
      </c>
      <c r="B23989" s="4" t="s">
        <v>30186</v>
      </c>
      <c r="C23989" s="5" t="str">
        <f>IFERROR(__xludf.DUMMYFUNCTION("GOOGLETRANSLATE(B23989,""en"",""zh-CN"")"),"该男子脱下眼镜，向我们展示了如何插入隐形眼镜。")</f>
        <v>该男子脱下眼镜，向我们展示了如何插入隐形眼镜。</v>
      </c>
    </row>
    <row r="23990">
      <c r="A23990" s="4" t="s">
        <v>30184</v>
      </c>
      <c r="B23990" s="4" t="s">
        <v>30187</v>
      </c>
      <c r="C23990" s="5" t="str">
        <f>IFERROR(__xludf.DUMMYFUNCTION("GOOGLETRANSLATE(B23990,""en"",""zh-CN"")"),"该男子向相机显示隐形眼镜。")</f>
        <v>该男子向相机显示隐形眼镜。</v>
      </c>
    </row>
    <row r="23991">
      <c r="A23991" s="4" t="s">
        <v>30184</v>
      </c>
      <c r="B23991" s="4" t="s">
        <v>30188</v>
      </c>
      <c r="C23991" s="5" t="str">
        <f>IFERROR(__xludf.DUMMYFUNCTION("GOOGLETRANSLATE(B23991,""en"",""zh-CN"")"),"该男子插入接触并四处移动。")</f>
        <v>该男子插入接触并四处移动。</v>
      </c>
    </row>
    <row r="23992">
      <c r="A23992" s="4" t="s">
        <v>30184</v>
      </c>
      <c r="B23992" s="4" t="s">
        <v>30189</v>
      </c>
      <c r="C23992" s="5" t="str">
        <f>IFERROR(__xludf.DUMMYFUNCTION("GOOGLETRANSLATE(B23992,""en"",""zh-CN"")"),"该男子展示了他的另一个联系。")</f>
        <v>该男子展示了他的另一个联系。</v>
      </c>
    </row>
    <row r="23993">
      <c r="A23993" s="4" t="s">
        <v>30184</v>
      </c>
      <c r="B23993" s="4" t="s">
        <v>30190</v>
      </c>
      <c r="C23993" s="5" t="str">
        <f>IFERROR(__xludf.DUMMYFUNCTION("GOOGLETRANSLATE(B23993,""en"",""zh-CN"")"),"该名男子插入右边的接触，并四处移动。")</f>
        <v>该名男子插入右边的接触，并四处移动。</v>
      </c>
    </row>
    <row r="23994">
      <c r="A23994" s="4" t="s">
        <v>30191</v>
      </c>
      <c r="B23994" s="4" t="s">
        <v>30192</v>
      </c>
      <c r="C23994" s="5" t="str">
        <f>IFERROR(__xludf.DUMMYFUNCTION("GOOGLETRANSLATE(B23994,""en"",""zh-CN"")"),"一个人在冬天铲雪。")</f>
        <v>一个人在冬天铲雪。</v>
      </c>
    </row>
    <row r="23995">
      <c r="A23995" s="4" t="s">
        <v>30191</v>
      </c>
      <c r="B23995" s="4" t="s">
        <v>30193</v>
      </c>
      <c r="C23995" s="5" t="str">
        <f>IFERROR(__xludf.DUMMYFUNCTION("GOOGLETRANSLATE(B23995,""en"",""zh-CN"")"),"制作了及时的照片，并清理了一条路径，以便汽车可以开车出去。")</f>
        <v>制作了及时的照片，并清理了一条路径，以便汽车可以开车出去。</v>
      </c>
    </row>
    <row r="23996">
      <c r="A23996" s="4" t="s">
        <v>30194</v>
      </c>
      <c r="B23996" s="4" t="s">
        <v>30195</v>
      </c>
      <c r="C23996" s="5" t="str">
        <f>IFERROR(__xludf.DUMMYFUNCTION("GOOGLETRANSLATE(B23996,""en"",""zh-CN"")"),"两个男人在摔跤戒指上的梯子上，一个男人在梯子上弯曲。")</f>
        <v>两个男人在摔跤戒指上的梯子上，一个男人在梯子上弯曲。</v>
      </c>
    </row>
    <row r="23997">
      <c r="A23997" s="4" t="s">
        <v>30194</v>
      </c>
      <c r="B23997" s="4" t="s">
        <v>30196</v>
      </c>
      <c r="C23997" s="5" t="str">
        <f>IFERROR(__xludf.DUMMYFUNCTION("GOOGLETRANSLATE(B23997,""en"",""zh-CN"")"),"然后，摔跤手跳过了男人，那个男人和摔跤手落在了戒指上。")</f>
        <v>然后，摔跤手跳过了男人，那个男人和摔跤手落在了戒指上。</v>
      </c>
    </row>
    <row r="23998">
      <c r="A23998" s="4" t="s">
        <v>30194</v>
      </c>
      <c r="B23998" s="4" t="s">
        <v>30197</v>
      </c>
      <c r="C23998" s="5" t="str">
        <f>IFERROR(__xludf.DUMMYFUNCTION("GOOGLETRANSLATE(B23998,""en"",""zh-CN"")"),"法官看着男人。")</f>
        <v>法官看着男人。</v>
      </c>
    </row>
    <row r="23999">
      <c r="A23999" s="4" t="s">
        <v>30198</v>
      </c>
      <c r="B23999" s="4" t="s">
        <v>30199</v>
      </c>
      <c r="C23999" s="5" t="str">
        <f>IFERROR(__xludf.DUMMYFUNCTION("GOOGLETRANSLATE(B23999,""en"",""zh-CN"")"),"一个孩子喝一杯，然后在他们的嘴里旋转。")</f>
        <v>一个孩子喝一杯，然后在他们的嘴里旋转。</v>
      </c>
    </row>
    <row r="24000">
      <c r="A24000" s="4" t="s">
        <v>30198</v>
      </c>
      <c r="B24000" s="4" t="s">
        <v>30200</v>
      </c>
      <c r="C24000" s="5" t="str">
        <f>IFERROR(__xludf.DUMMYFUNCTION("GOOGLETRANSLATE(B24000,""en"",""zh-CN"")"),"他们将其吐到水槽中。")</f>
        <v>他们将其吐到水槽中。</v>
      </c>
    </row>
    <row r="24001">
      <c r="A24001" s="4" t="s">
        <v>30198</v>
      </c>
      <c r="B24001" s="4" t="s">
        <v>30201</v>
      </c>
      <c r="C24001" s="5" t="str">
        <f>IFERROR(__xludf.DUMMYFUNCTION("GOOGLETRANSLATE(B24001,""en"",""zh-CN"")"),"他们从杯子里喝了另一种饮料。")</f>
        <v>他们从杯子里喝了另一种饮料。</v>
      </c>
    </row>
    <row r="24002">
      <c r="A24002" s="4" t="s">
        <v>30198</v>
      </c>
      <c r="B24002" s="4" t="s">
        <v>30202</v>
      </c>
      <c r="C24002" s="5" t="str">
        <f>IFERROR(__xludf.DUMMYFUNCTION("GOOGLETRANSLATE(B24002,""en"",""zh-CN"")"),"他们把嘴放在毛巾上。")</f>
        <v>他们把嘴放在毛巾上。</v>
      </c>
    </row>
    <row r="24003">
      <c r="A24003" s="4" t="s">
        <v>30198</v>
      </c>
      <c r="B24003" s="4" t="s">
        <v>30203</v>
      </c>
      <c r="C24003" s="5" t="str">
        <f>IFERROR(__xludf.DUMMYFUNCTION("GOOGLETRANSLATE(B24003,""en"",""zh-CN"")"),"他们喝了另一种饮料，将其倒在水槽中。")</f>
        <v>他们喝了另一种饮料，将其倒在水槽中。</v>
      </c>
    </row>
    <row r="24004">
      <c r="A24004" s="4" t="s">
        <v>30198</v>
      </c>
      <c r="B24004" s="4" t="s">
        <v>30204</v>
      </c>
      <c r="C24004" s="5" t="str">
        <f>IFERROR(__xludf.DUMMYFUNCTION("GOOGLETRANSLATE(B24004,""en"",""zh-CN"")"),"他们拿起毛巾擦脸。")</f>
        <v>他们拿起毛巾擦脸。</v>
      </c>
    </row>
    <row r="24005">
      <c r="A24005" s="4" t="s">
        <v>30198</v>
      </c>
      <c r="B24005" s="4" t="s">
        <v>30205</v>
      </c>
      <c r="C24005" s="5" t="str">
        <f>IFERROR(__xludf.DUMMYFUNCTION("GOOGLETRANSLATE(B24005,""en"",""zh-CN"")"),"他们抓住一个杯子，打开水槽。")</f>
        <v>他们抓住一个杯子，打开水槽。</v>
      </c>
    </row>
    <row r="24006">
      <c r="A24006" s="4" t="s">
        <v>30206</v>
      </c>
      <c r="B24006" s="4" t="s">
        <v>30207</v>
      </c>
      <c r="C24006" s="5" t="str">
        <f>IFERROR(__xludf.DUMMYFUNCTION("GOOGLETRANSLATE(B24006,""en"",""zh-CN"")"),"一支曲棍球队去玩一场比赛。")</f>
        <v>一支曲棍球队去玩一场比赛。</v>
      </c>
    </row>
    <row r="24007">
      <c r="A24007" s="4" t="s">
        <v>30206</v>
      </c>
      <c r="B24007" s="4" t="s">
        <v>30208</v>
      </c>
      <c r="C24007" s="5" t="str">
        <f>IFERROR(__xludf.DUMMYFUNCTION("GOOGLETRANSLATE(B24007,""en"",""zh-CN"")"),"显示了其他亮点。")</f>
        <v>显示了其他亮点。</v>
      </c>
    </row>
    <row r="24008">
      <c r="A24008" s="4" t="s">
        <v>30209</v>
      </c>
      <c r="B24008" s="4" t="s">
        <v>30210</v>
      </c>
      <c r="C24008" s="5" t="str">
        <f>IFERROR(__xludf.DUMMYFUNCTION("GOOGLETRANSLATE(B24008,""en"",""zh-CN"")"),"一个男孩站在一个有两块面包的厨房里。")</f>
        <v>一个男孩站在一个有两块面包的厨房里。</v>
      </c>
    </row>
    <row r="24009">
      <c r="A24009" s="4" t="s">
        <v>30209</v>
      </c>
      <c r="B24009" s="4" t="s">
        <v>30211</v>
      </c>
      <c r="C24009" s="5" t="str">
        <f>IFERROR(__xludf.DUMMYFUNCTION("GOOGLETRANSLATE(B24009,""en"",""zh-CN"")"),"他打开冰箱并取出三明治成分。")</f>
        <v>他打开冰箱并取出三明治成分。</v>
      </c>
    </row>
    <row r="24010">
      <c r="A24010" s="4" t="s">
        <v>30209</v>
      </c>
      <c r="B24010" s="4" t="s">
        <v>30212</v>
      </c>
      <c r="C24010" s="5" t="str">
        <f>IFERROR(__xludf.DUMMYFUNCTION("GOOGLETRANSLATE(B24010,""en"",""zh-CN"")"),"他将芥末酱和蛋黄酱喷到三明治上。")</f>
        <v>他将芥末酱和蛋黄酱喷到三明治上。</v>
      </c>
    </row>
    <row r="24011">
      <c r="A24011" s="4" t="s">
        <v>30209</v>
      </c>
      <c r="B24011" s="4" t="s">
        <v>30213</v>
      </c>
      <c r="C24011" s="5" t="str">
        <f>IFERROR(__xludf.DUMMYFUNCTION("GOOGLETRANSLATE(B24011,""en"",""zh-CN"")"),"然后，他添加肉和奶酪。")</f>
        <v>然后，他添加肉和奶酪。</v>
      </c>
    </row>
    <row r="24012">
      <c r="A24012" s="4" t="s">
        <v>30209</v>
      </c>
      <c r="B24012" s="6" t="s">
        <v>30214</v>
      </c>
      <c r="C24012" s="5" t="str">
        <f>IFERROR(__xludf.DUMMYFUNCTION("GOOGLETRANSLATE(B24012,""en"",""zh-CN"")"),"之后，他将食材放回冰箱中，将其放在柜台上的三明治上。")</f>
        <v>之后，他将食材放回冰箱中，将其放在柜台上的三明治上。</v>
      </c>
    </row>
    <row r="24013">
      <c r="A24013" s="4" t="s">
        <v>30215</v>
      </c>
      <c r="B24013" s="4" t="s">
        <v>30216</v>
      </c>
      <c r="C24013" s="5" t="str">
        <f>IFERROR(__xludf.DUMMYFUNCTION("GOOGLETRANSLATE(B24013,""en"",""zh-CN"")"),"我们看到一个男人有槌球槌。")</f>
        <v>我们看到一个男人有槌球槌。</v>
      </c>
    </row>
    <row r="24014">
      <c r="A24014" s="4" t="s">
        <v>30215</v>
      </c>
      <c r="B24014" s="4" t="s">
        <v>30217</v>
      </c>
      <c r="C24014" s="5" t="str">
        <f>IFERROR(__xludf.DUMMYFUNCTION("GOOGLETRANSLATE(B24014,""en"",""zh-CN"")"),"该男子对红球的射门排成一击。")</f>
        <v>该男子对红球的射门排成一击。</v>
      </c>
    </row>
    <row r="24015">
      <c r="A24015" s="4" t="s">
        <v>30215</v>
      </c>
      <c r="B24015" s="4" t="s">
        <v>30218</v>
      </c>
      <c r="C24015" s="5" t="str">
        <f>IFERROR(__xludf.DUMMYFUNCTION("GOOGLETRANSLATE(B24015,""en"",""zh-CN"")"),"该男子击中了红球。")</f>
        <v>该男子击中了红球。</v>
      </c>
    </row>
    <row r="24016">
      <c r="A24016" s="4" t="s">
        <v>30215</v>
      </c>
      <c r="B24016" s="4" t="s">
        <v>30219</v>
      </c>
      <c r="C24016" s="5" t="str">
        <f>IFERROR(__xludf.DUMMYFUNCTION("GOOGLETRANSLATE(B24016,""en"",""zh-CN"")"),"那个人指着蓝球跪在草地上。")</f>
        <v>那个人指着蓝球跪在草地上。</v>
      </c>
    </row>
    <row r="24017">
      <c r="A24017" s="4" t="s">
        <v>30220</v>
      </c>
      <c r="B24017" s="4" t="s">
        <v>30221</v>
      </c>
      <c r="C24017" s="5" t="str">
        <f>IFERROR(__xludf.DUMMYFUNCTION("GOOGLETRANSLATE(B24017,""en"",""zh-CN"")"),"一群朋友在室内法庭上演奏洗牌板。")</f>
        <v>一群朋友在室内法庭上演奏洗牌板。</v>
      </c>
    </row>
    <row r="24018">
      <c r="A24018" s="4" t="s">
        <v>30220</v>
      </c>
      <c r="B24018" s="4" t="s">
        <v>30222</v>
      </c>
      <c r="C24018" s="5" t="str">
        <f>IFERROR(__xludf.DUMMYFUNCTION("GOOGLETRANSLATE(B24018,""en"",""zh-CN"")"),"该小组轮流将冰球射向沙芬板法庭。")</f>
        <v>该小组轮流将冰球射向沙芬板法庭。</v>
      </c>
    </row>
    <row r="24019">
      <c r="A24019" s="4" t="s">
        <v>30223</v>
      </c>
      <c r="B24019" s="4" t="s">
        <v>30224</v>
      </c>
      <c r="C24019" s="5" t="str">
        <f>IFERROR(__xludf.DUMMYFUNCTION("GOOGLETRANSLATE(B24019,""en"",""zh-CN"")"),"人们在房间里说话。")</f>
        <v>人们在房间里说话。</v>
      </c>
    </row>
    <row r="24020">
      <c r="A24020" s="4" t="s">
        <v>30223</v>
      </c>
      <c r="B24020" s="4" t="s">
        <v>30225</v>
      </c>
      <c r="C24020" s="5" t="str">
        <f>IFERROR(__xludf.DUMMYFUNCTION("GOOGLETRANSLATE(B24020,""en"",""zh-CN"")"),"人们正在一个拥挤的赌场玩二十一点。")</f>
        <v>人们正在一个拥挤的赌场玩二十一点。</v>
      </c>
    </row>
    <row r="24021">
      <c r="A24021" s="4" t="s">
        <v>30223</v>
      </c>
      <c r="B24021" s="4" t="s">
        <v>30226</v>
      </c>
      <c r="C24021" s="5" t="str">
        <f>IFERROR(__xludf.DUMMYFUNCTION("GOOGLETRANSLATE(B24021,""en"",""zh-CN"")"),"一个男人拍了拍手，签名一张纸。")</f>
        <v>一个男人拍了拍手，签名一张纸。</v>
      </c>
    </row>
    <row r="24022">
      <c r="A24022" s="4" t="s">
        <v>30223</v>
      </c>
      <c r="B24022" s="4" t="s">
        <v>30227</v>
      </c>
      <c r="C24022" s="5" t="str">
        <f>IFERROR(__xludf.DUMMYFUNCTION("GOOGLETRANSLATE(B24022,""en"",""zh-CN"")"),"人们继续玩二十一点。")</f>
        <v>人们继续玩二十一点。</v>
      </c>
    </row>
    <row r="24023">
      <c r="A24023" s="4" t="s">
        <v>30228</v>
      </c>
      <c r="B24023" s="4" t="s">
        <v>30229</v>
      </c>
      <c r="C24023" s="5" t="str">
        <f>IFERROR(__xludf.DUMMYFUNCTION("GOOGLETRANSLATE(B24023,""en"",""zh-CN"")"),"一个女人走进部分网状区域。")</f>
        <v>一个女人走进部分网状区域。</v>
      </c>
    </row>
    <row r="24024">
      <c r="A24024" s="4" t="s">
        <v>30228</v>
      </c>
      <c r="B24024" s="4" t="s">
        <v>30230</v>
      </c>
      <c r="C24024" s="5" t="str">
        <f>IFERROR(__xludf.DUMMYFUNCTION("GOOGLETRANSLATE(B24024,""en"",""zh-CN"")"),"女人站着准备锤击。")</f>
        <v>女人站着准备锤击。</v>
      </c>
    </row>
    <row r="24025">
      <c r="A24025" s="4" t="s">
        <v>30228</v>
      </c>
      <c r="B24025" s="4" t="s">
        <v>30231</v>
      </c>
      <c r="C24025" s="5" t="str">
        <f>IFERROR(__xludf.DUMMYFUNCTION("GOOGLETRANSLATE(B24025,""en"",""zh-CN"")"),"女人表演锤子。")</f>
        <v>女人表演锤子。</v>
      </c>
    </row>
    <row r="24026">
      <c r="A24026" s="4" t="s">
        <v>30228</v>
      </c>
      <c r="B24026" s="4" t="s">
        <v>30232</v>
      </c>
      <c r="C24026" s="5" t="str">
        <f>IFERROR(__xludf.DUMMYFUNCTION("GOOGLETRANSLATE(B24026,""en"",""zh-CN"")"),"看到锤子着陆，法官走向它。")</f>
        <v>看到锤子着陆，法官走向它。</v>
      </c>
    </row>
    <row r="24027">
      <c r="A24027" s="4" t="s">
        <v>30228</v>
      </c>
      <c r="B24027" s="4" t="s">
        <v>30233</v>
      </c>
      <c r="C24027" s="5" t="str">
        <f>IFERROR(__xludf.DUMMYFUNCTION("GOOGLETRANSLATE(B24027,""en"",""zh-CN"")"),"女人举起她的手臂。")</f>
        <v>女人举起她的手臂。</v>
      </c>
    </row>
    <row r="24028">
      <c r="A24028" s="4" t="s">
        <v>30228</v>
      </c>
      <c r="B24028" s="4" t="s">
        <v>30234</v>
      </c>
      <c r="C24028" s="5" t="str">
        <f>IFERROR(__xludf.DUMMYFUNCTION("GOOGLETRANSLATE(B24028,""en"",""zh-CN"")"),"那个女人走出网地区。")</f>
        <v>那个女人走出网地区。</v>
      </c>
    </row>
    <row r="24029">
      <c r="A24029" s="4" t="s">
        <v>30228</v>
      </c>
      <c r="B24029" s="4" t="s">
        <v>30235</v>
      </c>
      <c r="C24029" s="5" t="str">
        <f>IFERROR(__xludf.DUMMYFUNCTION("GOOGLETRANSLATE(B24029,""en"",""zh-CN"")"),"女人再次举起手臂。")</f>
        <v>女人再次举起手臂。</v>
      </c>
    </row>
    <row r="24030">
      <c r="A24030" s="4" t="s">
        <v>30236</v>
      </c>
      <c r="B24030" s="4" t="s">
        <v>30237</v>
      </c>
      <c r="C24030" s="5" t="str">
        <f>IFERROR(__xludf.DUMMYFUNCTION("GOOGLETRANSLATE(B24030,""en"",""zh-CN"")"),"两个人和一个女人在后面玩桌上足球。")</f>
        <v>两个人和一个女人在后面玩桌上足球。</v>
      </c>
    </row>
    <row r="24031">
      <c r="A24031" s="4" t="s">
        <v>30236</v>
      </c>
      <c r="B24031" s="4" t="s">
        <v>30238</v>
      </c>
      <c r="C24031" s="5" t="str">
        <f>IFERROR(__xludf.DUMMYFUNCTION("GOOGLETRANSLATE(B24031,""en"",""zh-CN"")"),"一个人得分和拍手。")</f>
        <v>一个人得分和拍手。</v>
      </c>
    </row>
    <row r="24032">
      <c r="A24032" s="4" t="s">
        <v>30239</v>
      </c>
      <c r="B24032" s="4" t="s">
        <v>30240</v>
      </c>
      <c r="C24032" s="5" t="str">
        <f>IFERROR(__xludf.DUMMYFUNCTION("GOOGLETRANSLATE(B24032,""en"",""zh-CN"")"),"一个男孩在户外摆动。")</f>
        <v>一个男孩在户外摆动。</v>
      </c>
    </row>
    <row r="24033">
      <c r="A24033" s="4" t="s">
        <v>30239</v>
      </c>
      <c r="B24033" s="4" t="s">
        <v>30241</v>
      </c>
      <c r="C24033" s="5" t="str">
        <f>IFERROR(__xludf.DUMMYFUNCTION("GOOGLETRANSLATE(B24033,""en"",""zh-CN"")"),"他的双腿尽可能高。")</f>
        <v>他的双腿尽可能高。</v>
      </c>
    </row>
    <row r="24034">
      <c r="A24034" s="4" t="s">
        <v>30242</v>
      </c>
      <c r="B24034" s="4" t="s">
        <v>30243</v>
      </c>
      <c r="C24034" s="5" t="str">
        <f>IFERROR(__xludf.DUMMYFUNCTION("GOOGLETRANSLATE(B24034,""en"",""zh-CN"")"),"看到一个女人坐在沙发上，挂着帽子，驶向她的猫的爪子。")</f>
        <v>看到一个女人坐在沙发上，挂着帽子，驶向她的猫的爪子。</v>
      </c>
    </row>
    <row r="24035">
      <c r="A24035" s="4" t="s">
        <v>30242</v>
      </c>
      <c r="B24035" s="4" t="s">
        <v>30244</v>
      </c>
      <c r="C24035" s="5" t="str">
        <f>IFERROR(__xludf.DUMMYFUNCTION("GOOGLETRANSLATE(B24035,""en"",""zh-CN"")"),"然后，当猫逃跑时，她握住一张纸，然后指着纸。")</f>
        <v>然后，当猫逃跑时，她握住一张纸，然后指着纸。</v>
      </c>
    </row>
    <row r="24036">
      <c r="A24036" s="4" t="s">
        <v>30245</v>
      </c>
      <c r="B24036" s="6" t="s">
        <v>30246</v>
      </c>
      <c r="C24036" s="5" t="str">
        <f>IFERROR(__xludf.DUMMYFUNCTION("GOOGLETRANSLATE(B24036,""en"",""zh-CN"")"),"一个人正坐在管子里，其他人站在周围，将人推到一条白雪皑皑的小径上。")</f>
        <v>一个人正坐在管子里，其他人站在周围，将人推到一条白雪皑皑的小径上。</v>
      </c>
    </row>
    <row r="24037">
      <c r="A24037" s="4" t="s">
        <v>30245</v>
      </c>
      <c r="B24037" s="4" t="s">
        <v>30247</v>
      </c>
      <c r="C24037" s="5" t="str">
        <f>IFERROR(__xludf.DUMMYFUNCTION("GOOGLETRANSLATE(B24037,""en"",""zh-CN"")"),"该人随后与另一个人一起在管子中飞行。")</f>
        <v>该人随后与另一个人一起在管子中飞行。</v>
      </c>
    </row>
    <row r="24038">
      <c r="A24038" s="4" t="s">
        <v>30248</v>
      </c>
      <c r="B24038" s="4" t="s">
        <v>30249</v>
      </c>
      <c r="C24038" s="5" t="str">
        <f>IFERROR(__xludf.DUMMYFUNCTION("GOOGLETRANSLATE(B24038,""en"",""zh-CN"")"),"一名记者正在法庭上采访篮球运动员。")</f>
        <v>一名记者正在法庭上采访篮球运动员。</v>
      </c>
    </row>
    <row r="24039">
      <c r="A24039" s="4" t="s">
        <v>30248</v>
      </c>
      <c r="B24039" s="4" t="s">
        <v>30250</v>
      </c>
      <c r="C24039" s="5" t="str">
        <f>IFERROR(__xludf.DUMMYFUNCTION("GOOGLETRANSLATE(B24039,""en"",""zh-CN"")"),"人正在抛光木地板。")</f>
        <v>人正在抛光木地板。</v>
      </c>
    </row>
    <row r="24040">
      <c r="A24040" s="4" t="s">
        <v>30251</v>
      </c>
      <c r="B24040" s="4" t="s">
        <v>30252</v>
      </c>
      <c r="C24040" s="5" t="str">
        <f>IFERROR(__xludf.DUMMYFUNCTION("GOOGLETRANSLATE(B24040,""en"",""zh-CN"")"),"一个小女孩坐在沙滩上，她一直在试图制作一座沙堡。")</f>
        <v>一个小女孩坐在沙滩上，她一直在试图制作一座沙堡。</v>
      </c>
    </row>
    <row r="24041">
      <c r="A24041" s="4" t="s">
        <v>30251</v>
      </c>
      <c r="B24041" s="4" t="s">
        <v>30253</v>
      </c>
      <c r="C24041" s="5" t="str">
        <f>IFERROR(__xludf.DUMMYFUNCTION("GOOGLETRANSLATE(B24041,""en"",""zh-CN"")"),"成人和另一个女孩试图在沙滩上建造东西时笑。")</f>
        <v>成人和另一个女孩试图在沙滩上建造东西时笑。</v>
      </c>
    </row>
    <row r="24042">
      <c r="A24042" s="4" t="s">
        <v>30254</v>
      </c>
      <c r="B24042" s="4" t="s">
        <v>30255</v>
      </c>
      <c r="C24042" s="5" t="str">
        <f>IFERROR(__xludf.DUMMYFUNCTION("GOOGLETRANSLATE(B24042,""en"",""zh-CN"")"),"一名年轻的成年男性打孔并踢出一个悬挂的打孔袋。")</f>
        <v>一名年轻的成年男性打孔并踢出一个悬挂的打孔袋。</v>
      </c>
    </row>
    <row r="24043">
      <c r="A24043" s="4" t="s">
        <v>30254</v>
      </c>
      <c r="B24043" s="4" t="s">
        <v>30256</v>
      </c>
      <c r="C24043" s="5" t="str">
        <f>IFERROR(__xludf.DUMMYFUNCTION("GOOGLETRANSLATE(B24043,""en"",""zh-CN"")"),"然后，这位年轻的男性开始在打孔袋中移动，同时仍在打孔和踢它。")</f>
        <v>然后，这位年轻的男性开始在打孔袋中移动，同时仍在打孔和踢它。</v>
      </c>
    </row>
    <row r="24044">
      <c r="A24044" s="4" t="s">
        <v>30254</v>
      </c>
      <c r="B24044" s="4" t="s">
        <v>30257</v>
      </c>
      <c r="C24044" s="5" t="str">
        <f>IFERROR(__xludf.DUMMYFUNCTION("GOOGLETRANSLATE(B24044,""en"",""zh-CN"")"),"然后，年轻的男性脱下手套时走开了。")</f>
        <v>然后，年轻的男性脱下手套时走开了。</v>
      </c>
    </row>
    <row r="24045">
      <c r="A24045" s="4" t="s">
        <v>30258</v>
      </c>
      <c r="B24045" s="4" t="s">
        <v>30259</v>
      </c>
      <c r="C24045" s="5" t="str">
        <f>IFERROR(__xludf.DUMMYFUNCTION("GOOGLETRANSLATE(B24045,""en"",""zh-CN"")"),"一个男人在拿着海报时在相机上聊天。")</f>
        <v>一个男人在拿着海报时在相机上聊天。</v>
      </c>
    </row>
    <row r="24046">
      <c r="A24046" s="4" t="s">
        <v>30258</v>
      </c>
      <c r="B24046" s="4" t="s">
        <v>30260</v>
      </c>
      <c r="C24046" s="5" t="str">
        <f>IFERROR(__xludf.DUMMYFUNCTION("GOOGLETRANSLATE(B24046,""en"",""zh-CN"")"),"他从桌子上抓起各种物体，并解释了他的指示。")</f>
        <v>他从桌子上抓起各种物体，并解释了他的指示。</v>
      </c>
    </row>
    <row r="24047">
      <c r="A24047" s="4" t="s">
        <v>30258</v>
      </c>
      <c r="B24047" s="4" t="s">
        <v>30261</v>
      </c>
      <c r="C24047" s="5" t="str">
        <f>IFERROR(__xludf.DUMMYFUNCTION("GOOGLETRANSLATE(B24047,""en"",""zh-CN"")"),"他用锡箔纸包裹一个盒子，然后用标记在盒子上写下。")</f>
        <v>他用锡箔纸包裹一个盒子，然后用标记在盒子上写下。</v>
      </c>
    </row>
    <row r="24048">
      <c r="A24048" s="4" t="s">
        <v>30258</v>
      </c>
      <c r="B24048" s="4" t="s">
        <v>30262</v>
      </c>
      <c r="C24048" s="5" t="str">
        <f>IFERROR(__xludf.DUMMYFUNCTION("GOOGLETRANSLATE(B24048,""en"",""zh-CN"")"),"他列出了更多的锡箔，并用它包裹了另一个对象。")</f>
        <v>他列出了更多的锡箔，并用它包裹了另一个对象。</v>
      </c>
    </row>
    <row r="24049">
      <c r="A24049" s="4" t="s">
        <v>30258</v>
      </c>
      <c r="B24049" s="4" t="s">
        <v>30263</v>
      </c>
      <c r="C24049" s="5" t="str">
        <f>IFERROR(__xludf.DUMMYFUNCTION("GOOGLETRANSLATE(B24049,""en"",""zh-CN"")"),"他用锡箔纸将所有物体包裹起来，并显示如何。")</f>
        <v>他用锡箔纸将所有物体包裹起来，并显示如何。</v>
      </c>
    </row>
    <row r="24050">
      <c r="A24050" s="4" t="s">
        <v>30264</v>
      </c>
      <c r="B24050" s="4" t="s">
        <v>30265</v>
      </c>
      <c r="C24050" s="5" t="str">
        <f>IFERROR(__xludf.DUMMYFUNCTION("GOOGLETRANSLATE(B24050,""en"",""zh-CN"")"),"一个男人坐在锻炼长凳上。")</f>
        <v>一个男人坐在锻炼长凳上。</v>
      </c>
    </row>
    <row r="24051">
      <c r="A24051" s="4" t="s">
        <v>30264</v>
      </c>
      <c r="B24051" s="4" t="s">
        <v>30266</v>
      </c>
      <c r="C24051" s="5" t="str">
        <f>IFERROR(__xludf.DUMMYFUNCTION("GOOGLETRANSLATE(B24051,""en"",""zh-CN"")"),"他躺下并开始仰卧起来。")</f>
        <v>他躺下并开始仰卧起来。</v>
      </c>
    </row>
    <row r="24052">
      <c r="A24052" s="4" t="s">
        <v>30264</v>
      </c>
      <c r="B24052" s="4" t="s">
        <v>30267</v>
      </c>
      <c r="C24052" s="5" t="str">
        <f>IFERROR(__xludf.DUMMYFUNCTION("GOOGLETRANSLATE(B24052,""en"",""zh-CN"")"),"他坐在机器上，继续说话。")</f>
        <v>他坐在机器上，继续说话。</v>
      </c>
    </row>
    <row r="24053">
      <c r="A24053" s="4" t="s">
        <v>30268</v>
      </c>
      <c r="B24053" s="4" t="s">
        <v>3486</v>
      </c>
      <c r="C24053" s="5" t="str">
        <f>IFERROR(__xludf.DUMMYFUNCTION("GOOGLETRANSLATE(B24053,""en"",""zh-CN"")"),"体操运动员在健身房中安装低光束。")</f>
        <v>体操运动员在健身房中安装低光束。</v>
      </c>
    </row>
    <row r="24054">
      <c r="A24054" s="4" t="s">
        <v>30268</v>
      </c>
      <c r="B24054" s="4" t="s">
        <v>30269</v>
      </c>
      <c r="C24054" s="5" t="str">
        <f>IFERROR(__xludf.DUMMYFUNCTION("GOOGLETRANSLATE(B24054,""en"",""zh-CN"")"),"她站在光束上，然后进行几个手弹簧和翻转。")</f>
        <v>她站在光束上，然后进行几个手弹簧和翻转。</v>
      </c>
    </row>
    <row r="24055">
      <c r="A24055" s="4" t="s">
        <v>30268</v>
      </c>
      <c r="B24055" s="4" t="s">
        <v>8353</v>
      </c>
      <c r="C24055" s="5" t="str">
        <f>IFERROR(__xludf.DUMMYFUNCTION("GOOGLETRANSLATE(B24055,""en"",""zh-CN"")"),"她下马，举起双臂。")</f>
        <v>她下马，举起双臂。</v>
      </c>
    </row>
    <row r="24056">
      <c r="A24056" s="4" t="s">
        <v>30270</v>
      </c>
      <c r="B24056" s="4" t="s">
        <v>30271</v>
      </c>
      <c r="C24056" s="5" t="str">
        <f>IFERROR(__xludf.DUMMYFUNCTION("GOOGLETRANSLATE(B24056,""en"",""zh-CN"")"),"当冲浪者和冲浪者划在海洋上时，海洋中的大波浪破裂。")</f>
        <v>当冲浪者和冲浪者划在海洋上时，海洋中的大波浪破裂。</v>
      </c>
    </row>
    <row r="24057">
      <c r="A24057" s="4" t="s">
        <v>30270</v>
      </c>
      <c r="B24057" s="4" t="s">
        <v>30272</v>
      </c>
      <c r="C24057" s="5" t="str">
        <f>IFERROR(__xludf.DUMMYFUNCTION("GOOGLETRANSLATE(B24057,""en"",""zh-CN"")"),"大海浪在海洋中坠毁，一个人骑着身体板上的脸。")</f>
        <v>大海浪在海洋中坠毁，一个人骑着身体板上的脸。</v>
      </c>
    </row>
    <row r="24058">
      <c r="A24058" s="4" t="s">
        <v>30270</v>
      </c>
      <c r="B24058" s="4" t="s">
        <v>30273</v>
      </c>
      <c r="C24058" s="5" t="str">
        <f>IFERROR(__xludf.DUMMYFUNCTION("GOOGLETRANSLATE(B24058,""en"",""zh-CN"")"),"冲浪者在海洋中挥舞着海浪。")</f>
        <v>冲浪者在海洋中挥舞着海浪。</v>
      </c>
    </row>
    <row r="24059">
      <c r="A24059" s="4" t="s">
        <v>30270</v>
      </c>
      <c r="B24059" s="4" t="s">
        <v>30274</v>
      </c>
      <c r="C24059" s="5" t="str">
        <f>IFERROR(__xludf.DUMMYFUNCTION("GOOGLETRANSLATE(B24059,""en"",""zh-CN"")"),"岸上的大波浪破裂，观众奔跑。")</f>
        <v>岸上的大波浪破裂，观众奔跑。</v>
      </c>
    </row>
    <row r="24060">
      <c r="A24060" s="4" t="s">
        <v>30275</v>
      </c>
      <c r="B24060" s="4" t="s">
        <v>30276</v>
      </c>
      <c r="C24060" s="5" t="str">
        <f>IFERROR(__xludf.DUMMYFUNCTION("GOOGLETRANSLATE(B24060,""en"",""zh-CN"")"),"几个人在木筏上通过浑浊的水分成划分。")</f>
        <v>几个人在木筏上通过浑浊的水分成划分。</v>
      </c>
    </row>
    <row r="24061">
      <c r="A24061" s="4" t="s">
        <v>30275</v>
      </c>
      <c r="B24061" s="6" t="s">
        <v>30277</v>
      </c>
      <c r="C24061" s="5" t="str">
        <f>IFERROR(__xludf.DUMMYFUNCTION("GOOGLETRANSLATE(B24061,""en"",""zh-CN"")"),"第一组八个人在悬崖附近划船，沿着山上走，其他人则以相同的行动在他们身后落后。")</f>
        <v>第一组八个人在悬崖附近划船，沿着山上走，其他人则以相同的行动在他们身后落后。</v>
      </c>
    </row>
    <row r="24062">
      <c r="A24062" s="4" t="s">
        <v>30275</v>
      </c>
      <c r="B24062" s="4" t="s">
        <v>30278</v>
      </c>
      <c r="C24062" s="5" t="str">
        <f>IFERROR(__xludf.DUMMYFUNCTION("GOOGLETRANSLATE(B24062,""en"",""zh-CN"")"),"对于第五组，提供了鸟瞰图，而其他人则是他们来的。")</f>
        <v>对于第五组，提供了鸟瞰图，而其他人则是他们来的。</v>
      </c>
    </row>
    <row r="24063">
      <c r="A24063" s="4" t="s">
        <v>30275</v>
      </c>
      <c r="B24063" s="6" t="s">
        <v>30279</v>
      </c>
      <c r="C24063" s="5" t="str">
        <f>IFERROR(__xludf.DUMMYFUNCTION("GOOGLETRANSLATE(B24063,""en"",""zh-CN"")"),"之后，每个小组都做着与他们在水的各个部分一起操纵并撞到岩石相同的事情。")</f>
        <v>之后，每个小组都做着与他们在水的各个部分一起操纵并撞到岩石相同的事情。</v>
      </c>
    </row>
    <row r="24064">
      <c r="A24064" s="4" t="s">
        <v>30280</v>
      </c>
      <c r="B24064" s="4" t="s">
        <v>30281</v>
      </c>
      <c r="C24064" s="5" t="str">
        <f>IFERROR(__xludf.DUMMYFUNCTION("GOOGLETRANSLATE(B24064,""en"",""zh-CN"")"),"一个穿着豹纹夹克的女人正与一个男人坐在水烟吧。")</f>
        <v>一个穿着豹纹夹克的女人正与一个男人坐在水烟吧。</v>
      </c>
    </row>
    <row r="24065">
      <c r="A24065" s="4" t="s">
        <v>30280</v>
      </c>
      <c r="B24065" s="4" t="s">
        <v>30282</v>
      </c>
      <c r="C24065" s="5" t="str">
        <f>IFERROR(__xludf.DUMMYFUNCTION("GOOGLETRANSLATE(B24065,""en"",""zh-CN"")"),"那个男人靠在前锋时吻了她。")</f>
        <v>那个男人靠在前锋时吻了她。</v>
      </c>
    </row>
    <row r="24066">
      <c r="A24066" s="4" t="s">
        <v>30280</v>
      </c>
      <c r="B24066" s="4" t="s">
        <v>30283</v>
      </c>
      <c r="C24066" s="5" t="str">
        <f>IFERROR(__xludf.DUMMYFUNCTION("GOOGLETRANSLATE(B24066,""en"",""zh-CN"")"),"她手里拿着水烟，准备拿起她的第一次泡芙。")</f>
        <v>她手里拿着水烟，准备拿起她的第一次泡芙。</v>
      </c>
    </row>
    <row r="24067">
      <c r="A24067" s="4" t="s">
        <v>30280</v>
      </c>
      <c r="B24067" s="4" t="s">
        <v>30284</v>
      </c>
      <c r="C24067" s="5" t="str">
        <f>IFERROR(__xludf.DUMMYFUNCTION("GOOGLETRANSLATE(B24067,""en"",""zh-CN"")"),"吸入水烟后，她不适地抽出一些烟雾和咳嗽。")</f>
        <v>吸入水烟后，她不适地抽出一些烟雾和咳嗽。</v>
      </c>
    </row>
    <row r="24068">
      <c r="A24068" s="4" t="s">
        <v>30285</v>
      </c>
      <c r="B24068" s="4" t="s">
        <v>30286</v>
      </c>
      <c r="C24068" s="5" t="str">
        <f>IFERROR(__xludf.DUMMYFUNCTION("GOOGLETRANSLATE(B24068,""en"",""zh-CN"")"),"一个穿着衣服的女人正在走上楼梯。")</f>
        <v>一个穿着衣服的女人正在走上楼梯。</v>
      </c>
    </row>
    <row r="24069">
      <c r="A24069" s="4" t="s">
        <v>30285</v>
      </c>
      <c r="B24069" s="4" t="s">
        <v>30287</v>
      </c>
      <c r="C24069" s="5" t="str">
        <f>IFERROR(__xludf.DUMMYFUNCTION("GOOGLETRANSLATE(B24069,""en"",""zh-CN"")"),"她脱下衣服开始跳舞。")</f>
        <v>她脱下衣服开始跳舞。</v>
      </c>
    </row>
    <row r="24070">
      <c r="A24070" s="4" t="s">
        <v>30285</v>
      </c>
      <c r="B24070" s="4" t="s">
        <v>30288</v>
      </c>
      <c r="C24070" s="5" t="str">
        <f>IFERROR(__xludf.DUMMYFUNCTION("GOOGLETRANSLATE(B24070,""en"",""zh-CN"")"),"她正在与其他人一起锻炼脚凳。")</f>
        <v>她正在与其他人一起锻炼脚凳。</v>
      </c>
    </row>
    <row r="24071">
      <c r="A24071" s="4" t="s">
        <v>30289</v>
      </c>
      <c r="B24071" s="4" t="s">
        <v>30290</v>
      </c>
      <c r="C24071" s="5" t="str">
        <f>IFERROR(__xludf.DUMMYFUNCTION("GOOGLETRANSLATE(B24071,""en"",""zh-CN"")"),"看到一个男人在田野里和他旁边的狗走来走去。")</f>
        <v>看到一个男人在田野里和他旁边的狗走来走去。</v>
      </c>
    </row>
    <row r="24072">
      <c r="A24072" s="4" t="s">
        <v>30289</v>
      </c>
      <c r="B24072" s="4" t="s">
        <v>30291</v>
      </c>
      <c r="C24072" s="5" t="str">
        <f>IFERROR(__xludf.DUMMYFUNCTION("GOOGLETRANSLATE(B24072,""en"",""zh-CN"")"),"然后，该男子抓住飞盘，开始与狗一起表演窍门。")</f>
        <v>然后，该男子抓住飞盘，开始与狗一起表演窍门。</v>
      </c>
    </row>
    <row r="24073">
      <c r="A24073" s="4" t="s">
        <v>30289</v>
      </c>
      <c r="B24073" s="4" t="s">
        <v>30292</v>
      </c>
      <c r="C24073" s="5" t="str">
        <f>IFERROR(__xludf.DUMMYFUNCTION("GOOGLETRANSLATE(B24073,""en"",""zh-CN"")"),"该男子继续用狗在飞盘上扔在飞盘上，而其他人则在旁边看着。")</f>
        <v>该男子继续用狗在飞盘上扔在飞盘上，而其他人则在旁边看着。</v>
      </c>
    </row>
    <row r="24074">
      <c r="A24074" s="4" t="s">
        <v>30293</v>
      </c>
      <c r="B24074" s="4" t="s">
        <v>30294</v>
      </c>
      <c r="C24074" s="5" t="str">
        <f>IFERROR(__xludf.DUMMYFUNCTION("GOOGLETRANSLATE(B24074,""en"",""zh-CN"")"),"一个人正走向三个正在画黑色栅栏的人。")</f>
        <v>一个人正走向三个正在画黑色栅栏的人。</v>
      </c>
    </row>
    <row r="24075">
      <c r="A24075" s="4" t="s">
        <v>30293</v>
      </c>
      <c r="B24075" s="4" t="s">
        <v>30295</v>
      </c>
      <c r="C24075" s="5" t="str">
        <f>IFERROR(__xludf.DUMMYFUNCTION("GOOGLETRANSLATE(B24075,""en"",""zh-CN"")"),"该男子要求男孩看到他的作品，并将相机扔给他的妻子。")</f>
        <v>该男子要求男孩看到他的作品，并将相机扔给他的妻子。</v>
      </c>
    </row>
    <row r="24076">
      <c r="A24076" s="4" t="s">
        <v>30293</v>
      </c>
      <c r="B24076" s="4" t="s">
        <v>30296</v>
      </c>
      <c r="C24076" s="5" t="str">
        <f>IFERROR(__xludf.DUMMYFUNCTION("GOOGLETRANSLATE(B24076,""en"",""zh-CN"")"),"这个男人向妻子开了个玩笑，笑了起来。")</f>
        <v>这个男人向妻子开了个玩笑，笑了起来。</v>
      </c>
    </row>
    <row r="24077">
      <c r="A24077" s="4" t="s">
        <v>30297</v>
      </c>
      <c r="B24077" s="4" t="s">
        <v>30298</v>
      </c>
      <c r="C24077" s="5" t="str">
        <f>IFERROR(__xludf.DUMMYFUNCTION("GOOGLETRANSLATE(B24077,""en"",""zh-CN"")"),"一个女人在健身房里说话，然后她开着一辆静态自行车。")</f>
        <v>一个女人在健身房里说话，然后她开着一辆静态自行车。</v>
      </c>
    </row>
    <row r="24078">
      <c r="A24078" s="4" t="s">
        <v>30297</v>
      </c>
      <c r="B24078" s="4" t="s">
        <v>30299</v>
      </c>
      <c r="C24078" s="5" t="str">
        <f>IFERROR(__xludf.DUMMYFUNCTION("GOOGLETRANSLATE(B24078,""en"",""zh-CN"")"),"然后，女人和其他人举重。")</f>
        <v>然后，女人和其他人举重。</v>
      </c>
    </row>
    <row r="24079">
      <c r="A24079" s="4" t="s">
        <v>30297</v>
      </c>
      <c r="B24079" s="4" t="s">
        <v>30300</v>
      </c>
      <c r="C24079" s="5" t="str">
        <f>IFERROR(__xludf.DUMMYFUNCTION("GOOGLETRANSLATE(B24079,""en"",""zh-CN"")"),"然后，女人继续骑自行车，然后举起称重。")</f>
        <v>然后，女人继续骑自行车，然后举起称重。</v>
      </c>
    </row>
    <row r="24080">
      <c r="A24080" s="4" t="s">
        <v>30301</v>
      </c>
      <c r="B24080" s="6" t="s">
        <v>30302</v>
      </c>
      <c r="C24080" s="5" t="str">
        <f>IFERROR(__xludf.DUMMYFUNCTION("GOOGLETRANSLATE(B24080,""en"",""zh-CN"")"),"在后院外面的两个小男孩穿着匹配的泳衣，正在和试图接球的网。")</f>
        <v>在后院外面的两个小男孩穿着匹配的泳衣，正在和试图接球的网。</v>
      </c>
    </row>
    <row r="24081">
      <c r="A24081" s="4" t="s">
        <v>30301</v>
      </c>
      <c r="B24081" s="6" t="s">
        <v>30303</v>
      </c>
      <c r="C24081" s="5" t="str">
        <f>IFERROR(__xludf.DUMMYFUNCTION("GOOGLETRANSLATE(B24081,""en"",""zh-CN"")"),"他们俩都在试图将球拿到自己的网基本上，基本上是在嬉戏地争夺谁将获得球。")</f>
        <v>他们俩都在试图将球拿到自己的网基本上，基本上是在嬉戏地争夺谁将获得球。</v>
      </c>
    </row>
    <row r="24082">
      <c r="A24082" s="4" t="s">
        <v>30301</v>
      </c>
      <c r="B24082" s="4" t="s">
        <v>30304</v>
      </c>
      <c r="C24082" s="5" t="str">
        <f>IFERROR(__xludf.DUMMYFUNCTION("GOOGLETRANSLATE(B24082,""en"",""zh-CN"")"),"爸爸来了，把球扔到了，男孩们追赶了。")</f>
        <v>爸爸来了，把球扔到了，男孩们追赶了。</v>
      </c>
    </row>
    <row r="24083">
      <c r="A24083" s="4" t="s">
        <v>30301</v>
      </c>
      <c r="B24083" s="6" t="s">
        <v>30305</v>
      </c>
      <c r="C24083" s="5" t="str">
        <f>IFERROR(__xludf.DUMMYFUNCTION("GOOGLETRANSLATE(B24083,""en"",""zh-CN"")"),"他们继续踢球，其中一个小男孩将其放在他的网中，然后拖着它，当它着陆时，他们俩都再次追赶它。")</f>
        <v>他们继续踢球，其中一个小男孩将其放在他的网中，然后拖着它，当它着陆时，他们俩都再次追赶它。</v>
      </c>
    </row>
    <row r="24084">
      <c r="A24084" s="4" t="s">
        <v>30306</v>
      </c>
      <c r="B24084" s="4" t="s">
        <v>30307</v>
      </c>
      <c r="C24084" s="5" t="str">
        <f>IFERROR(__xludf.DUMMYFUNCTION("GOOGLETRANSLATE(B24084,""en"",""zh-CN"")"),"几名曲棍球运动员离开了一群人，穿过冰滑冰。")</f>
        <v>几名曲棍球运动员离开了一群人，穿过冰滑冰。</v>
      </c>
    </row>
    <row r="24085">
      <c r="A24085" s="4" t="s">
        <v>30306</v>
      </c>
      <c r="B24085" s="4" t="s">
        <v>30308</v>
      </c>
      <c r="C24085" s="5" t="str">
        <f>IFERROR(__xludf.DUMMYFUNCTION("GOOGLETRANSLATE(B24085,""en"",""zh-CN"")"),"他们开始演奏，来回射击冰球，试图使它进入敌人的目标。")</f>
        <v>他们开始演奏，来回射击冰球，试图使它进入敌人的目标。</v>
      </c>
    </row>
    <row r="24086">
      <c r="A24086" s="4" t="s">
        <v>30306</v>
      </c>
      <c r="B24086" s="4" t="s">
        <v>30309</v>
      </c>
      <c r="C24086" s="5" t="str">
        <f>IFERROR(__xludf.DUMMYFUNCTION("GOOGLETRANSLATE(B24086,""en"",""zh-CN"")"),"守门员独自站在他的目标上。")</f>
        <v>守门员独自站在他的目标上。</v>
      </c>
    </row>
    <row r="24087">
      <c r="A24087" s="4" t="s">
        <v>30306</v>
      </c>
      <c r="B24087" s="4" t="s">
        <v>30310</v>
      </c>
      <c r="C24087" s="5" t="str">
        <f>IFERROR(__xludf.DUMMYFUNCTION("GOOGLETRANSLATE(B24087,""en"",""zh-CN"")"),"当裁判向他们发挥作用时，每个人都会再次聚集。")</f>
        <v>当裁判向他们发挥作用时，每个人都会再次聚集。</v>
      </c>
    </row>
    <row r="24088">
      <c r="A24088" s="4" t="s">
        <v>30311</v>
      </c>
      <c r="B24088" s="4" t="s">
        <v>30312</v>
      </c>
      <c r="C24088" s="5" t="str">
        <f>IFERROR(__xludf.DUMMYFUNCTION("GOOGLETRANSLATE(B24088,""en"",""zh-CN"")"),"看到一个人站在水槽前戴着手套。")</f>
        <v>看到一个人站在水槽前戴着手套。</v>
      </c>
    </row>
    <row r="24089">
      <c r="A24089" s="4" t="s">
        <v>30311</v>
      </c>
      <c r="B24089" s="4" t="s">
        <v>30313</v>
      </c>
      <c r="C24089" s="5" t="str">
        <f>IFERROR(__xludf.DUMMYFUNCTION("GOOGLETRANSLATE(B24089,""en"",""zh-CN"")"),"那个女人回头看着相机，拿着牙刷时微笑着。")</f>
        <v>那个女人回头看着相机，拿着牙刷时微笑着。</v>
      </c>
    </row>
    <row r="24090">
      <c r="A24090" s="4" t="s">
        <v>30311</v>
      </c>
      <c r="B24090" s="4" t="s">
        <v>30314</v>
      </c>
      <c r="C24090" s="5" t="str">
        <f>IFERROR(__xludf.DUMMYFUNCTION("GOOGLETRANSLATE(B24090,""en"",""zh-CN"")"),"然后，她转回满是肮脏的菜的水槽。")</f>
        <v>然后，她转回满是肮脏的菜的水槽。</v>
      </c>
    </row>
    <row r="24091">
      <c r="A24091" s="4" t="s">
        <v>30315</v>
      </c>
      <c r="B24091" s="4" t="s">
        <v>30316</v>
      </c>
      <c r="C24091" s="5" t="str">
        <f>IFERROR(__xludf.DUMMYFUNCTION("GOOGLETRANSLATE(B24091,""en"",""zh-CN"")"),"一个人打开一个圆形盒子，摘下一瓶指甲油，然后放上持有者。")</f>
        <v>一个人打开一个圆形盒子，摘下一瓶指甲油，然后放上持有者。</v>
      </c>
    </row>
    <row r="24092">
      <c r="A24092" s="4" t="s">
        <v>30315</v>
      </c>
      <c r="B24092" s="4" t="s">
        <v>30317</v>
      </c>
      <c r="C24092" s="5" t="str">
        <f>IFERROR(__xludf.DUMMYFUNCTION("GOOGLETRANSLATE(B24092,""en"",""zh-CN"")"),"然后，该人在盒子上戴上钉子上的指甲，然后将指甲涂成钉子。")</f>
        <v>然后，该人在盒子上戴上钉子上的指甲，然后将指甲涂成钉子。</v>
      </c>
    </row>
    <row r="24093">
      <c r="A24093" s="4" t="s">
        <v>30315</v>
      </c>
      <c r="B24093" s="4" t="s">
        <v>30318</v>
      </c>
      <c r="C24093" s="5" t="str">
        <f>IFERROR(__xludf.DUMMYFUNCTION("GOOGLETRANSLATE(B24093,""en"",""zh-CN"")"),"之后，女人关闭了指甲油瓶。")</f>
        <v>之后，女人关闭了指甲油瓶。</v>
      </c>
    </row>
    <row r="24094">
      <c r="A24094" s="4" t="s">
        <v>30319</v>
      </c>
      <c r="B24094" s="4" t="s">
        <v>30320</v>
      </c>
      <c r="C24094" s="5" t="str">
        <f>IFERROR(__xludf.DUMMYFUNCTION("GOOGLETRANSLATE(B24094,""en"",""zh-CN"")"),"一个男人和一个女人准备扮演飞镖。")</f>
        <v>一个男人和一个女人准备扮演飞镖。</v>
      </c>
    </row>
    <row r="24095">
      <c r="A24095" s="4" t="s">
        <v>30319</v>
      </c>
      <c r="B24095" s="4" t="s">
        <v>30321</v>
      </c>
      <c r="C24095" s="5" t="str">
        <f>IFERROR(__xludf.DUMMYFUNCTION("GOOGLETRANSLATE(B24095,""en"",""zh-CN"")"),"显示有关演奏飞镖的所需材料的说明。")</f>
        <v>显示有关演奏飞镖的所需材料的说明。</v>
      </c>
    </row>
    <row r="24096">
      <c r="A24096" s="4" t="s">
        <v>30319</v>
      </c>
      <c r="B24096" s="4" t="s">
        <v>30322</v>
      </c>
      <c r="C24096" s="5" t="str">
        <f>IFERROR(__xludf.DUMMYFUNCTION("GOOGLETRANSLATE(B24096,""en"",""zh-CN"")"),"男人和女人走到飞镖板上。")</f>
        <v>男人和女人走到飞镖板上。</v>
      </c>
    </row>
    <row r="24097">
      <c r="A24097" s="4" t="s">
        <v>30319</v>
      </c>
      <c r="B24097" s="4" t="s">
        <v>30323</v>
      </c>
      <c r="C24097" s="5" t="str">
        <f>IFERROR(__xludf.DUMMYFUNCTION("GOOGLETRANSLATE(B24097,""en"",""zh-CN"")"),"他们开玩笑地准备玩飞镖。")</f>
        <v>他们开玩笑地准备玩飞镖。</v>
      </c>
    </row>
    <row r="24098">
      <c r="A24098" s="4" t="s">
        <v>30319</v>
      </c>
      <c r="B24098" s="4" t="s">
        <v>30324</v>
      </c>
      <c r="C24098" s="5" t="str">
        <f>IFERROR(__xludf.DUMMYFUNCTION("GOOGLETRANSLATE(B24098,""en"",""zh-CN"")"),"那个男人投掷飞镖。")</f>
        <v>那个男人投掷飞镖。</v>
      </c>
    </row>
    <row r="24099">
      <c r="A24099" s="4" t="s">
        <v>30319</v>
      </c>
      <c r="B24099" s="4" t="s">
        <v>30325</v>
      </c>
      <c r="C24099" s="5" t="str">
        <f>IFERROR(__xludf.DUMMYFUNCTION("GOOGLETRANSLATE(B24099,""en"",""zh-CN"")"),"那个女人跟着他。")</f>
        <v>那个女人跟着他。</v>
      </c>
    </row>
    <row r="24100">
      <c r="A24100" s="4" t="s">
        <v>30319</v>
      </c>
      <c r="B24100" s="4" t="s">
        <v>30326</v>
      </c>
      <c r="C24100" s="5" t="str">
        <f>IFERROR(__xludf.DUMMYFUNCTION("GOOGLETRANSLATE(B24100,""en"",""zh-CN"")"),"那个女人再投了三个飞镖。")</f>
        <v>那个女人再投了三个飞镖。</v>
      </c>
    </row>
    <row r="24101">
      <c r="A24101" s="4" t="s">
        <v>30319</v>
      </c>
      <c r="B24101" s="4" t="s">
        <v>30327</v>
      </c>
      <c r="C24101" s="5" t="str">
        <f>IFERROR(__xludf.DUMMYFUNCTION("GOOGLETRANSLATE(B24101,""en"",""zh-CN"")"),"该男子炫耀他的飞镖，展示了如何踩踏。")</f>
        <v>该男子炫耀他的飞镖，展示了如何踩踏。</v>
      </c>
    </row>
    <row r="24102">
      <c r="A24102" s="4" t="s">
        <v>30319</v>
      </c>
      <c r="B24102" s="4" t="s">
        <v>30328</v>
      </c>
      <c r="C24102" s="5" t="str">
        <f>IFERROR(__xludf.DUMMYFUNCTION("GOOGLETRANSLATE(B24102,""en"",""zh-CN"")"),"他从远处扔了飞镖。")</f>
        <v>他从远处扔了飞镖。</v>
      </c>
    </row>
    <row r="24103">
      <c r="A24103" s="4" t="s">
        <v>30319</v>
      </c>
      <c r="B24103" s="4" t="s">
        <v>30329</v>
      </c>
      <c r="C24103" s="5" t="str">
        <f>IFERROR(__xludf.DUMMYFUNCTION("GOOGLETRANSLATE(B24103,""en"",""zh-CN"")"),"显示了飞镖在公猪上的位置。")</f>
        <v>显示了飞镖在公猪上的位置。</v>
      </c>
    </row>
    <row r="24104">
      <c r="A24104" s="4" t="s">
        <v>30319</v>
      </c>
      <c r="B24104" s="4" t="s">
        <v>30330</v>
      </c>
      <c r="C24104" s="5" t="str">
        <f>IFERROR(__xludf.DUMMYFUNCTION("GOOGLETRANSLATE(B24104,""en"",""zh-CN"")"),"该男子从董事会上抓住飞镖。")</f>
        <v>该男子从董事会上抓住飞镖。</v>
      </c>
    </row>
    <row r="24105">
      <c r="A24105" s="4" t="s">
        <v>30319</v>
      </c>
      <c r="B24105" s="4" t="s">
        <v>30331</v>
      </c>
      <c r="C24105" s="5" t="str">
        <f>IFERROR(__xludf.DUMMYFUNCTION("GOOGLETRANSLATE(B24105,""en"",""zh-CN"")"),"女人扔了一些飞镖。")</f>
        <v>女人扔了一些飞镖。</v>
      </c>
    </row>
    <row r="24106">
      <c r="A24106" s="4" t="s">
        <v>30319</v>
      </c>
      <c r="B24106" s="4" t="s">
        <v>30332</v>
      </c>
      <c r="C24106" s="5" t="str">
        <f>IFERROR(__xludf.DUMMYFUNCTION("GOOGLETRANSLATE(B24106,""en"",""zh-CN"")"),"男人跟随女人。")</f>
        <v>男人跟随女人。</v>
      </c>
    </row>
    <row r="24107">
      <c r="A24107" s="4" t="s">
        <v>30319</v>
      </c>
      <c r="B24107" s="4" t="s">
        <v>30333</v>
      </c>
      <c r="C24107" s="5" t="str">
        <f>IFERROR(__xludf.DUMMYFUNCTION("GOOGLETRANSLATE(B24107,""en"",""zh-CN"")"),"女人又做了。")</f>
        <v>女人又做了。</v>
      </c>
    </row>
    <row r="24108">
      <c r="A24108" s="4" t="s">
        <v>30319</v>
      </c>
      <c r="B24108" s="4" t="s">
        <v>30334</v>
      </c>
      <c r="C24108" s="5" t="str">
        <f>IFERROR(__xludf.DUMMYFUNCTION("GOOGLETRANSLATE(B24108,""en"",""zh-CN"")"),"该男子返回做同样的事情。")</f>
        <v>该男子返回做同样的事情。</v>
      </c>
    </row>
    <row r="24109">
      <c r="A24109" s="4" t="s">
        <v>30319</v>
      </c>
      <c r="B24109" s="4" t="s">
        <v>30335</v>
      </c>
      <c r="C24109" s="5" t="str">
        <f>IFERROR(__xludf.DUMMYFUNCTION("GOOGLETRANSLATE(B24109,""en"",""zh-CN"")"),"女人再次扔了他们。")</f>
        <v>女人再次扔了他们。</v>
      </c>
    </row>
    <row r="24110">
      <c r="A24110" s="4" t="s">
        <v>30319</v>
      </c>
      <c r="B24110" s="4" t="s">
        <v>30336</v>
      </c>
      <c r="C24110" s="5" t="str">
        <f>IFERROR(__xludf.DUMMYFUNCTION("GOOGLETRANSLATE(B24110,""en"",""zh-CN"")"),"这个男人再次追随她。")</f>
        <v>这个男人再次追随她。</v>
      </c>
    </row>
    <row r="24111">
      <c r="A24111" s="4" t="s">
        <v>30319</v>
      </c>
      <c r="B24111" s="4" t="s">
        <v>30337</v>
      </c>
      <c r="C24111" s="5" t="str">
        <f>IFERROR(__xludf.DUMMYFUNCTION("GOOGLETRANSLATE(B24111,""en"",""zh-CN"")"),"这个女人再次赢得了胜利。")</f>
        <v>这个女人再次赢得了胜利。</v>
      </c>
    </row>
    <row r="24112">
      <c r="A24112" s="4" t="s">
        <v>30338</v>
      </c>
      <c r="B24112" s="4" t="s">
        <v>30339</v>
      </c>
      <c r="C24112" s="5" t="str">
        <f>IFERROR(__xludf.DUMMYFUNCTION("GOOGLETRANSLATE(B24112,""en"",""zh-CN"")"),"看到一名妇女主持了一个新闻节，这会导致人们骑马。")</f>
        <v>看到一名妇女主持了一个新闻节，这会导致人们骑马。</v>
      </c>
    </row>
    <row r="24113">
      <c r="A24113" s="4" t="s">
        <v>30338</v>
      </c>
      <c r="B24113" s="6" t="s">
        <v>30340</v>
      </c>
      <c r="C24113" s="5" t="str">
        <f>IFERROR(__xludf.DUMMYFUNCTION("GOOGLETRANSLATE(B24113,""en"",""zh-CN"")"),"人们看到人们在一个区域走来走去，狗踩着脚，还有另一个男人在相机上说话。")</f>
        <v>人们看到人们在一个区域走来走去，狗踩着脚，还有另一个男人在相机上说话。</v>
      </c>
    </row>
    <row r="24114">
      <c r="A24114" s="4" t="s">
        <v>30338</v>
      </c>
      <c r="B24114" s="6" t="s">
        <v>30341</v>
      </c>
      <c r="C24114" s="5" t="str">
        <f>IFERROR(__xludf.DUMMYFUNCTION("GOOGLETRANSLATE(B24114,""en"",""zh-CN"")"),"显示了更多的镜头，这些人在马上玩游戏，以及其他人对镜头并获得奖杯。")</f>
        <v>显示了更多的镜头，这些人在马上玩游戏，以及其他人对镜头并获得奖杯。</v>
      </c>
    </row>
    <row r="24115">
      <c r="A24115" s="4" t="s">
        <v>30342</v>
      </c>
      <c r="B24115" s="4" t="s">
        <v>30343</v>
      </c>
      <c r="C24115" s="5" t="str">
        <f>IFERROR(__xludf.DUMMYFUNCTION("GOOGLETRANSLATE(B24115,""en"",""zh-CN"")"),"一个人站在讲台前说话。")</f>
        <v>一个人站在讲台前说话。</v>
      </c>
    </row>
    <row r="24116">
      <c r="A24116" s="4" t="s">
        <v>30342</v>
      </c>
      <c r="B24116" s="4" t="s">
        <v>30344</v>
      </c>
      <c r="C24116" s="5" t="str">
        <f>IFERROR(__xludf.DUMMYFUNCTION("GOOGLETRANSLATE(B24116,""en"",""zh-CN"")"),"另外两个人站在他旁边。")</f>
        <v>另外两个人站在他旁边。</v>
      </c>
    </row>
    <row r="24117">
      <c r="A24117" s="4" t="s">
        <v>30342</v>
      </c>
      <c r="B24117" s="4" t="s">
        <v>30345</v>
      </c>
      <c r="C24117" s="5" t="str">
        <f>IFERROR(__xludf.DUMMYFUNCTION("GOOGLETRANSLATE(B24117,""en"",""zh-CN"")"),"两个人中的一个人在火坑里挖了火，然后在上面倒水。")</f>
        <v>两个人中的一个人在火坑里挖了火，然后在上面倒水。</v>
      </c>
    </row>
    <row r="24118">
      <c r="A24118" s="4" t="s">
        <v>30342</v>
      </c>
      <c r="B24118" s="4" t="s">
        <v>30346</v>
      </c>
      <c r="C24118" s="5" t="str">
        <f>IFERROR(__xludf.DUMMYFUNCTION("GOOGLETRANSLATE(B24118,""en"",""zh-CN"")"),"同一个人用手在坑里挖洞，寻找燃烧的余烬。")</f>
        <v>同一个人用手在坑里挖洞，寻找燃烧的余烬。</v>
      </c>
    </row>
    <row r="24119">
      <c r="A24119" s="4" t="s">
        <v>30347</v>
      </c>
      <c r="B24119" s="4" t="s">
        <v>30348</v>
      </c>
      <c r="C24119" s="5" t="str">
        <f>IFERROR(__xludf.DUMMYFUNCTION("GOOGLETRANSLATE(B24119,""en"",""zh-CN"")"),"树木下方显示了一块水。")</f>
        <v>树木下方显示了一块水。</v>
      </c>
    </row>
    <row r="24120">
      <c r="A24120" s="4" t="s">
        <v>30347</v>
      </c>
      <c r="B24120" s="4" t="s">
        <v>30349</v>
      </c>
      <c r="C24120" s="5" t="str">
        <f>IFERROR(__xludf.DUMMYFUNCTION("GOOGLETRANSLATE(B24120,""en"",""zh-CN"")"),"一个人在水面上行走。")</f>
        <v>一个人在水面上行走。</v>
      </c>
    </row>
    <row r="24121">
      <c r="A24121" s="4" t="s">
        <v>30347</v>
      </c>
      <c r="B24121" s="4" t="s">
        <v>30350</v>
      </c>
      <c r="C24121" s="5" t="str">
        <f>IFERROR(__xludf.DUMMYFUNCTION("GOOGLETRANSLATE(B24121,""en"",""zh-CN"")"),"他们到达了松弛线的尽头。")</f>
        <v>他们到达了松弛线的尽头。</v>
      </c>
    </row>
    <row r="24122">
      <c r="A24122" s="4" t="s">
        <v>30351</v>
      </c>
      <c r="B24122" s="6" t="s">
        <v>30352</v>
      </c>
      <c r="C24122" s="5" t="str">
        <f>IFERROR(__xludf.DUMMYFUNCTION("GOOGLETRANSLATE(B24122,""en"",""zh-CN"")"),"一名穿着白色T恤的滑冰女孩试图用滑板跳跃，向后跌落她的头。")</f>
        <v>一名穿着白色T恤的滑冰女孩试图用滑板跳跃，向后跌落她的头。</v>
      </c>
    </row>
    <row r="24123">
      <c r="A24123" s="4" t="s">
        <v>30351</v>
      </c>
      <c r="B24123" s="6" t="s">
        <v>30353</v>
      </c>
      <c r="C24123" s="5" t="str">
        <f>IFERROR(__xludf.DUMMYFUNCTION("GOOGLETRANSLATE(B24123,""en"",""zh-CN"")"),"又有两个溜冰者围绕着曲线，但一个直接将干草堆耕作，尽管幸运的是头盔优先。")</f>
        <v>又有两个溜冰者围绕着曲线，但一个直接将干草堆耕作，尽管幸运的是头盔优先。</v>
      </c>
    </row>
    <row r="24124">
      <c r="A24124" s="4" t="s">
        <v>30351</v>
      </c>
      <c r="B24124" s="6" t="s">
        <v>30354</v>
      </c>
      <c r="C24124" s="5" t="str">
        <f>IFERROR(__xludf.DUMMYFUNCTION("GOOGLETRANSLATE(B24124,""en"",""zh-CN"")"),"另一个头盔的溜冰者尝试了一个手停车，但确实停止了，尽管不幸的是他的滑板没有。")</f>
        <v>另一个头盔的溜冰者尝试了一个手停车，但确实停止了，尽管不幸的是他的滑板没有。</v>
      </c>
    </row>
    <row r="24125">
      <c r="A24125" s="4" t="s">
        <v>30351</v>
      </c>
      <c r="B24125" s="6" t="s">
        <v>30355</v>
      </c>
      <c r="C24125" s="5" t="str">
        <f>IFERROR(__xludf.DUMMYFUNCTION("GOOGLETRANSLATE(B24125,""en"",""zh-CN"")"),"经过几次溜冰事故后，最后的表演是一位不需要安全设备的滑冰者，而在山上直奔山坡时，他从滑板上翻转，花了几分钟检查自己的各种路线。")</f>
        <v>经过几次溜冰事故后，最后的表演是一位不需要安全设备的滑冰者，而在山上直奔山坡时，他从滑板上翻转，花了几分钟检查自己的各种路线。</v>
      </c>
    </row>
    <row r="24126">
      <c r="A24126" s="4" t="s">
        <v>30356</v>
      </c>
      <c r="B24126" s="4" t="s">
        <v>30357</v>
      </c>
      <c r="C24126" s="5" t="str">
        <f>IFERROR(__xludf.DUMMYFUNCTION("GOOGLETRANSLATE(B24126,""en"",""zh-CN"")"),"三个男孩在草地上覆盖的男孩轮流在草坪上玩板球比赛。")</f>
        <v>三个男孩在草地上覆盖的男孩轮流在草坪上玩板球比赛。</v>
      </c>
    </row>
    <row r="24127">
      <c r="A24127" s="4" t="s">
        <v>30356</v>
      </c>
      <c r="B24127" s="6" t="s">
        <v>30358</v>
      </c>
      <c r="C24127" s="5" t="str">
        <f>IFERROR(__xludf.DUMMYFUNCTION("GOOGLETRANSLATE(B24127,""en"",""zh-CN"")"),"男孩们轮流投掷并击中板球，互相帮助，通过将球重新分配回比赛时，他们互相重新分配到比赛。")</f>
        <v>男孩们轮流投掷并击中板球，互相帮助，通过将球重新分配回比赛时，他们互相重新分配到比赛。</v>
      </c>
    </row>
    <row r="24128">
      <c r="A24128" s="4" t="s">
        <v>30356</v>
      </c>
      <c r="B24128" s="4" t="s">
        <v>30359</v>
      </c>
      <c r="C24128" s="5" t="str">
        <f>IFERROR(__xludf.DUMMYFUNCTION("GOOGLETRANSLATE(B24128,""en"",""zh-CN"")"),"其中一个男孩戴上足球头盔，站在旁边的侧线上。")</f>
        <v>其中一个男孩戴上足球头盔，站在旁边的侧线上。</v>
      </c>
    </row>
    <row r="24129">
      <c r="A24129" s="4" t="s">
        <v>30360</v>
      </c>
      <c r="B24129" s="4" t="s">
        <v>30361</v>
      </c>
      <c r="C24129" s="5" t="str">
        <f>IFERROR(__xludf.DUMMYFUNCTION("GOOGLETRANSLATE(B24129,""en"",""zh-CN"")"),"一个人试图抬起杠铃。")</f>
        <v>一个人试图抬起杠铃。</v>
      </c>
    </row>
    <row r="24130">
      <c r="A24130" s="4" t="s">
        <v>30360</v>
      </c>
      <c r="B24130" s="4" t="s">
        <v>30362</v>
      </c>
      <c r="C24130" s="5" t="str">
        <f>IFERROR(__xludf.DUMMYFUNCTION("GOOGLETRANSLATE(B24130,""en"",""zh-CN"")"),"他弯下腰​​，将其抬到胸前。")</f>
        <v>他弯下腰​​，将其抬到胸前。</v>
      </c>
    </row>
    <row r="24131">
      <c r="A24131" s="4" t="s">
        <v>30360</v>
      </c>
      <c r="B24131" s="4" t="s">
        <v>30363</v>
      </c>
      <c r="C24131" s="5" t="str">
        <f>IFERROR(__xludf.DUMMYFUNCTION("GOOGLETRANSLATE(B24131,""en"",""zh-CN"")"),"他撞到喉咙，向后摔倒。")</f>
        <v>他撞到喉咙，向后摔倒。</v>
      </c>
    </row>
    <row r="24132">
      <c r="A24132" s="4" t="s">
        <v>30364</v>
      </c>
      <c r="B24132" s="6" t="s">
        <v>30365</v>
      </c>
      <c r="C24132" s="5" t="str">
        <f>IFERROR(__xludf.DUMMYFUNCTION("GOOGLETRANSLATE(B24132,""en"",""zh-CN"")"),"出现纹理的介绍屏幕，并显示鞋子的徽标以及绿色单词，上面写着“ Vickermann und Stoya”。")</f>
        <v>出现纹理的介绍屏幕，并显示鞋子的徽标以及绿色单词，上面写着“ Vickermann und Stoya”。</v>
      </c>
    </row>
    <row r="24133">
      <c r="A24133" s="4" t="s">
        <v>30364</v>
      </c>
      <c r="B24133" s="6" t="s">
        <v>30366</v>
      </c>
      <c r="C24133" s="5" t="str">
        <f>IFERROR(__xludf.DUMMYFUNCTION("GOOGLETRANSLATE(B24133,""en"",""zh-CN"")"),"显示了两组耗材，其中包括介绍屏幕中的公司名称中的产品，其中包括刷子，一块布，鞋套，鞋带和几个小锡容器。")</f>
        <v>显示了两组耗材，其中包括介绍屏幕中的公司名称中的产品，其中包括刷子，一块布，鞋套，鞋带和几个小锡容器。</v>
      </c>
    </row>
    <row r="24134">
      <c r="A24134" s="4" t="s">
        <v>30364</v>
      </c>
      <c r="B24134" s="6" t="s">
        <v>30367</v>
      </c>
      <c r="C24134" s="5" t="str">
        <f>IFERROR(__xludf.DUMMYFUNCTION("GOOGLETRANSLATE(B24134,""en"",""zh-CN"")"),"一个戴着绿色围裙的男人是从棕色高鞋上脱颖而出的鞋带，然后用大刷子刷，然后拿起较小的刷子，将其浸入一个小容器中，然后将其刷到鞋子上，鞋子看起来非常抛光他刷的任何表面。")</f>
        <v>一个戴着绿色围裙的男人是从棕色高鞋上脱颖而出的鞋带，然后用大刷子刷，然后拿起较小的刷子，将其浸入一个小容器中，然后将其刷到鞋子上，鞋子看起来非常抛光他刷的任何表面。</v>
      </c>
    </row>
    <row r="24135">
      <c r="A24135" s="4" t="s">
        <v>30364</v>
      </c>
      <c r="B24135" s="4" t="s">
        <v>30368</v>
      </c>
      <c r="C24135" s="5" t="str">
        <f>IFERROR(__xludf.DUMMYFUNCTION("GOOGLETRANSLATE(B24135,""en"",""zh-CN"")"),"然后，该男子捡起一块白布，然后在鞋子上擦拭。")</f>
        <v>然后，该男子捡起一块白布，然后在鞋子上擦拭。</v>
      </c>
    </row>
    <row r="24136">
      <c r="A24136" s="4" t="s">
        <v>30364</v>
      </c>
      <c r="B24136" s="4" t="s">
        <v>30369</v>
      </c>
      <c r="C24136" s="5" t="str">
        <f>IFERROR(__xludf.DUMMYFUNCTION("GOOGLETRANSLATE(B24136,""en"",""zh-CN"")"),"该男子将白布放下，捡起厚实的刷子，然后将鞋子整个刷子刷。")</f>
        <v>该男子将白布放下，捡起厚实的刷子，然后将鞋子整个刷子刷。</v>
      </c>
    </row>
    <row r="24137">
      <c r="A24137" s="4" t="s">
        <v>30364</v>
      </c>
      <c r="B24137" s="4" t="s">
        <v>30370</v>
      </c>
      <c r="C24137" s="5" t="str">
        <f>IFERROR(__xludf.DUMMYFUNCTION("GOOGLETRANSLATE(B24137,""en"",""zh-CN"")"),"然后，他将鞋子和刷子放下，拿起鞋带，并鞋带鞋带。")</f>
        <v>然后，他将鞋子和刷子放下，拿起鞋带，并鞋带鞋带。</v>
      </c>
    </row>
    <row r="24138">
      <c r="A24138" s="4" t="s">
        <v>30364</v>
      </c>
      <c r="B24138" s="6" t="s">
        <v>30371</v>
      </c>
      <c r="C24138" s="5" t="str">
        <f>IFERROR(__xludf.DUMMYFUNCTION("GOOGLETRANSLATE(B24138,""en"",""zh-CN"")"),"然后，该名男子拿起抛光的鞋子和未打磨的鞋子，将它们放在相机上以进行比较，然后带有鞋子日志的同一纹理屏幕和“ Vickermann und Stoya”的公司名称。")</f>
        <v>然后，该名男子拿起抛光的鞋子和未打磨的鞋子，将它们放在相机上以进行比较，然后带有鞋子日志的同一纹理屏幕和“ Vickermann und Stoya”的公司名称。</v>
      </c>
    </row>
    <row r="24139">
      <c r="A24139" s="4" t="s">
        <v>30372</v>
      </c>
      <c r="B24139" s="4" t="s">
        <v>30373</v>
      </c>
      <c r="C24139" s="5" t="str">
        <f>IFERROR(__xludf.DUMMYFUNCTION("GOOGLETRANSLATE(B24139,""en"",""zh-CN"")"),"看到一个男人在镜头说话，并导致他擦拭另一个男人的背部。")</f>
        <v>看到一个男人在镜头说话，并导致他擦拭另一个男人的背部。</v>
      </c>
    </row>
    <row r="24140">
      <c r="A24140" s="4" t="s">
        <v>30372</v>
      </c>
      <c r="B24140" s="4" t="s">
        <v>30374</v>
      </c>
      <c r="C24140" s="5" t="str">
        <f>IFERROR(__xludf.DUMMYFUNCTION("GOOGLETRANSLATE(B24140,""en"",""zh-CN"")"),"他在乳液中擦拭，然后与男人站起来。")</f>
        <v>他在乳液中擦拭，然后与男人站起来。</v>
      </c>
    </row>
    <row r="24141">
      <c r="A24141" s="4" t="s">
        <v>30372</v>
      </c>
      <c r="B24141" s="4" t="s">
        <v>30375</v>
      </c>
      <c r="C24141" s="5" t="str">
        <f>IFERROR(__xludf.DUMMYFUNCTION("GOOGLETRANSLATE(B24141,""en"",""zh-CN"")"),"该男子向后拿着一面镜子，然后回到艺术家身上。")</f>
        <v>该男子向后拿着一面镜子，然后回到艺术家身上。</v>
      </c>
    </row>
    <row r="24142">
      <c r="A24142" s="4" t="s">
        <v>30376</v>
      </c>
      <c r="B24142" s="4" t="s">
        <v>30377</v>
      </c>
      <c r="C24142" s="5" t="str">
        <f>IFERROR(__xludf.DUMMYFUNCTION("GOOGLETRANSLATE(B24142,""en"",""zh-CN"")"),"有一些孩子用水泵在Plumpton Park动物园洗手。")</f>
        <v>有一些孩子用水泵在Plumpton Park动物园洗手。</v>
      </c>
    </row>
    <row r="24143">
      <c r="A24143" s="4" t="s">
        <v>30376</v>
      </c>
      <c r="B24143" s="6" t="s">
        <v>30378</v>
      </c>
      <c r="C24143" s="5" t="str">
        <f>IFERROR(__xludf.DUMMYFUNCTION("GOOGLETRANSLATE(B24143,""en"",""zh-CN"")"),"有一个穿着黑白连帽衫的小男孩帮助抽水，让另一个男孩洗手。")</f>
        <v>有一个穿着黑白连帽衫的小男孩帮助抽水，让另一个男孩洗手。</v>
      </c>
    </row>
    <row r="24144">
      <c r="A24144" s="4" t="s">
        <v>30376</v>
      </c>
      <c r="B24144" s="4" t="s">
        <v>30379</v>
      </c>
      <c r="C24144" s="5" t="str">
        <f>IFERROR(__xludf.DUMMYFUNCTION("GOOGLETRANSLATE(B24144,""en"",""zh-CN"")"),"然后他继续帮助另一个穿着黑色连帽衫的小男孩洗手。")</f>
        <v>然后他继续帮助另一个穿着黑色连帽衫的小男孩洗手。</v>
      </c>
    </row>
    <row r="24145">
      <c r="A24145" s="4" t="s">
        <v>30376</v>
      </c>
      <c r="B24145" s="4" t="s">
        <v>30380</v>
      </c>
      <c r="C24145" s="5" t="str">
        <f>IFERROR(__xludf.DUMMYFUNCTION("GOOGLETRANSLATE(B24145,""en"",""zh-CN"")"),"这三个孩子在洗手时在水中玩得开心。")</f>
        <v>这三个孩子在洗手时在水中玩得开心。</v>
      </c>
    </row>
    <row r="24146">
      <c r="A24146" s="4" t="s">
        <v>30381</v>
      </c>
      <c r="B24146" s="4" t="s">
        <v>30382</v>
      </c>
      <c r="C24146" s="5" t="str">
        <f>IFERROR(__xludf.DUMMYFUNCTION("GOOGLETRANSLATE(B24146,""en"",""zh-CN"")"),"一位女士站在院子里，拿着叶子鼓风机，然后踩过电线。")</f>
        <v>一位女士站在院子里，拿着叶子鼓风机，然后踩过电线。</v>
      </c>
    </row>
    <row r="24147">
      <c r="A24147" s="4" t="s">
        <v>30381</v>
      </c>
      <c r="B24147" s="4" t="s">
        <v>30383</v>
      </c>
      <c r="C24147" s="5" t="str">
        <f>IFERROR(__xludf.DUMMYFUNCTION("GOOGLETRANSLATE(B24147,""en"",""zh-CN"")"),"那位女士在院子里走来走去时吹着叶子。")</f>
        <v>那位女士在院子里走来走去时吹着叶子。</v>
      </c>
    </row>
    <row r="24148">
      <c r="A24148" s="4" t="s">
        <v>30381</v>
      </c>
      <c r="B24148" s="4" t="s">
        <v>30384</v>
      </c>
      <c r="C24148" s="5" t="str">
        <f>IFERROR(__xludf.DUMMYFUNCTION("GOOGLETRANSLATE(B24148,""en"",""zh-CN"")"),"女士将工具指向相机并笑。")</f>
        <v>女士将工具指向相机并笑。</v>
      </c>
    </row>
    <row r="24149">
      <c r="A24149" s="4" t="s">
        <v>30381</v>
      </c>
      <c r="B24149" s="4" t="s">
        <v>30385</v>
      </c>
      <c r="C24149" s="5" t="str">
        <f>IFERROR(__xludf.DUMMYFUNCTION("GOOGLETRANSLATE(B24149,""en"",""zh-CN"")"),"那位女士继续吹树叶。")</f>
        <v>那位女士继续吹树叶。</v>
      </c>
    </row>
    <row r="24150">
      <c r="A24150" s="4" t="s">
        <v>30386</v>
      </c>
      <c r="B24150" s="4" t="s">
        <v>30387</v>
      </c>
      <c r="C24150" s="5" t="str">
        <f>IFERROR(__xludf.DUMMYFUNCTION("GOOGLETRANSLATE(B24150,""en"",""zh-CN"")"),"一个女孩走进房间，在钢琴上看到乐谱。")</f>
        <v>一个女孩走进房间，在钢琴上看到乐谱。</v>
      </c>
    </row>
    <row r="24151">
      <c r="A24151" s="4" t="s">
        <v>30386</v>
      </c>
      <c r="B24151" s="4" t="s">
        <v>30388</v>
      </c>
      <c r="C24151" s="5" t="str">
        <f>IFERROR(__xludf.DUMMYFUNCTION("GOOGLETRANSLATE(B24151,""en"",""zh-CN"")"),"她打开钢琴并开始弹奏。")</f>
        <v>她打开钢琴并开始弹奏。</v>
      </c>
    </row>
    <row r="24152">
      <c r="A24152" s="4" t="s">
        <v>30386</v>
      </c>
      <c r="B24152" s="4" t="s">
        <v>30389</v>
      </c>
      <c r="C24152" s="5" t="str">
        <f>IFERROR(__xludf.DUMMYFUNCTION("GOOGLETRANSLATE(B24152,""en"",""zh-CN"")"),"她在玩游戏时想着几个。")</f>
        <v>她在玩游戏时想着几个。</v>
      </c>
    </row>
    <row r="24153">
      <c r="A24153" s="4" t="s">
        <v>30390</v>
      </c>
      <c r="B24153" s="4" t="s">
        <v>30391</v>
      </c>
      <c r="C24153" s="5" t="str">
        <f>IFERROR(__xludf.DUMMYFUNCTION("GOOGLETRANSLATE(B24153,""en"",""zh-CN"")"),"一个女人害怕进水，说她不能这样做。")</f>
        <v>一个女人害怕进水，说她不能这样做。</v>
      </c>
    </row>
    <row r="24154">
      <c r="A24154" s="4" t="s">
        <v>30390</v>
      </c>
      <c r="B24154" s="6" t="s">
        <v>30392</v>
      </c>
      <c r="C24154" s="5" t="str">
        <f>IFERROR(__xludf.DUMMYFUNCTION("GOOGLETRANSLATE(B24154,""en"",""zh-CN"")"),"一群人坐在一个靠近瀑布边缘的水池里。")</f>
        <v>一群人坐在一个靠近瀑布边缘的水池里。</v>
      </c>
    </row>
    <row r="24155">
      <c r="A24155" s="4" t="s">
        <v>30390</v>
      </c>
      <c r="B24155" s="4" t="s">
        <v>30393</v>
      </c>
      <c r="C24155" s="5" t="str">
        <f>IFERROR(__xludf.DUMMYFUNCTION("GOOGLETRANSLATE(B24155,""en"",""zh-CN"")"),"女人跳入水中，每个人都欢呼。")</f>
        <v>女人跳入水中，每个人都欢呼。</v>
      </c>
    </row>
    <row r="24156">
      <c r="A24156" s="4" t="s">
        <v>30390</v>
      </c>
      <c r="B24156" s="4" t="s">
        <v>30394</v>
      </c>
      <c r="C24156" s="5" t="str">
        <f>IFERROR(__xludf.DUMMYFUNCTION("GOOGLETRANSLATE(B24156,""en"",""zh-CN"")"),"一群人在笑着说话，而更多的人跳入水中。")</f>
        <v>一群人在笑着说话，而更多的人跳入水中。</v>
      </c>
    </row>
    <row r="24157">
      <c r="A24157" s="4" t="s">
        <v>30390</v>
      </c>
      <c r="B24157" s="4" t="s">
        <v>30395</v>
      </c>
      <c r="C24157" s="5" t="str">
        <f>IFERROR(__xludf.DUMMYFUNCTION("GOOGLETRANSLATE(B24157,""en"",""zh-CN"")"),"查看了瀑布的场景。")</f>
        <v>查看了瀑布的场景。</v>
      </c>
    </row>
    <row r="24158">
      <c r="A24158" s="4" t="s">
        <v>30396</v>
      </c>
      <c r="B24158" s="4" t="s">
        <v>30397</v>
      </c>
      <c r="C24158" s="5" t="str">
        <f>IFERROR(__xludf.DUMMYFUNCTION("GOOGLETRANSLATE(B24158,""en"",""zh-CN"")"),"一个男人为平行条上的体操做准备。")</f>
        <v>一个男人为平行条上的体操做准备。</v>
      </c>
    </row>
    <row r="24159">
      <c r="A24159" s="4" t="s">
        <v>30396</v>
      </c>
      <c r="B24159" s="4" t="s">
        <v>30398</v>
      </c>
      <c r="C24159" s="5" t="str">
        <f>IFERROR(__xludf.DUMMYFUNCTION("GOOGLETRANSLATE(B24159,""en"",""zh-CN"")"),"当他翻转并抓住自己之前，人群似乎批准了。")</f>
        <v>当他翻转并抓住自己之前，人群似乎批准了。</v>
      </c>
    </row>
    <row r="24160">
      <c r="A24160" s="4" t="s">
        <v>30399</v>
      </c>
      <c r="B24160" s="4" t="s">
        <v>30400</v>
      </c>
      <c r="C24160" s="5" t="str">
        <f>IFERROR(__xludf.DUMMYFUNCTION("GOOGLETRANSLATE(B24160,""en"",""zh-CN"")"),"一个相机在树木繁茂的区域周围竖起，并导致两个人在滑雪板上骑行。")</f>
        <v>一个相机在树木繁茂的区域周围竖起，并导致两个人在滑雪板上骑行。</v>
      </c>
    </row>
    <row r="24161">
      <c r="A24161" s="4" t="s">
        <v>30399</v>
      </c>
      <c r="B24161" s="4" t="s">
        <v>30401</v>
      </c>
      <c r="C24161" s="5" t="str">
        <f>IFERROR(__xludf.DUMMYFUNCTION("GOOGLETRANSLATE(B24161,""en"",""zh-CN"")"),"有几张照片显示了各种各样的人在滑雪板上骑船和表演技巧。")</f>
        <v>有几张照片显示了各种各样的人在滑雪板上骑船和表演技巧。</v>
      </c>
    </row>
    <row r="24162">
      <c r="A24162" s="4" t="s">
        <v>30399</v>
      </c>
      <c r="B24162" s="4" t="s">
        <v>30402</v>
      </c>
      <c r="C24162" s="5" t="str">
        <f>IFERROR(__xludf.DUMMYFUNCTION("GOOGLETRANSLATE(B24162,""en"",""zh-CN"")"),"人们继续骑行，并悬挂在大杆上。")</f>
        <v>人们继续骑行，并悬挂在大杆上。</v>
      </c>
    </row>
    <row r="24163">
      <c r="A24163" s="4" t="s">
        <v>30403</v>
      </c>
      <c r="B24163" s="4" t="s">
        <v>30404</v>
      </c>
      <c r="C24163" s="5" t="str">
        <f>IFERROR(__xludf.DUMMYFUNCTION("GOOGLETRANSLATE(B24163,""en"",""zh-CN"")"),"看到一个男人在摄像机上说话，同时在他面前展示各种物体。")</f>
        <v>看到一个男人在摄像机上说话，同时在他面前展示各种物体。</v>
      </c>
    </row>
    <row r="24164">
      <c r="A24164" s="4" t="s">
        <v>30403</v>
      </c>
      <c r="B24164" s="4" t="s">
        <v>30405</v>
      </c>
      <c r="C24164" s="5" t="str">
        <f>IFERROR(__xludf.DUMMYFUNCTION("GOOGLETRANSLATE(B24164,""en"",""zh-CN"")"),"然后，该男子使用标记来挖出表的侧面并将其填充。")</f>
        <v>然后，该男子使用标记来挖出表的侧面并将其填充。</v>
      </c>
    </row>
    <row r="24165">
      <c r="A24165" s="4" t="s">
        <v>30403</v>
      </c>
      <c r="B24165" s="4" t="s">
        <v>30406</v>
      </c>
      <c r="C24165" s="5" t="str">
        <f>IFERROR(__xludf.DUMMYFUNCTION("GOOGLETRANSLATE(B24165,""en"",""zh-CN"")"),"他展示了如何将笔在几个物体上使用并在后面进行打磨的同时将其使用。")</f>
        <v>他展示了如何将笔在几个物体上使用并在后面进行打磨的同时将其使用。</v>
      </c>
    </row>
    <row r="24166">
      <c r="A24166" s="4" t="s">
        <v>30407</v>
      </c>
      <c r="B24166" s="4" t="s">
        <v>30408</v>
      </c>
      <c r="C24166" s="5" t="str">
        <f>IFERROR(__xludf.DUMMYFUNCTION("GOOGLETRANSLATE(B24166,""en"",""zh-CN"")"),"一个男孩在各种道路上骑着长板。")</f>
        <v>一个男孩在各种道路上骑着长板。</v>
      </c>
    </row>
    <row r="24167">
      <c r="A24167" s="4" t="s">
        <v>30407</v>
      </c>
      <c r="B24167" s="4" t="s">
        <v>30409</v>
      </c>
      <c r="C24167" s="5" t="str">
        <f>IFERROR(__xludf.DUMMYFUNCTION("GOOGLETRANSLATE(B24167,""en"",""zh-CN"")"),"他做了一个翻转的技巧，沿着道路之一骑行。")</f>
        <v>他做了一个翻转的技巧，沿着道路之一骑行。</v>
      </c>
    </row>
    <row r="24168">
      <c r="A24168" s="4" t="s">
        <v>30407</v>
      </c>
      <c r="B24168" s="4" t="s">
        <v>30410</v>
      </c>
      <c r="C24168" s="5" t="str">
        <f>IFERROR(__xludf.DUMMYFUNCTION("GOOGLETRANSLATE(B24168,""en"",""zh-CN"")"),"他蜿蜒而下，沿着白雪皑皑的道路蜿蜒而行。")</f>
        <v>他蜿蜒而下，沿着白雪皑皑的道路蜿蜒而行。</v>
      </c>
    </row>
    <row r="24169">
      <c r="A24169" s="4" t="s">
        <v>30407</v>
      </c>
      <c r="B24169" s="4" t="s">
        <v>30411</v>
      </c>
      <c r="C24169" s="5" t="str">
        <f>IFERROR(__xludf.DUMMYFUNCTION("GOOGLETRANSLATE(B24169,""en"",""zh-CN"")"),"他在晚上滑板，显示徽标。")</f>
        <v>他在晚上滑板，显示徽标。</v>
      </c>
    </row>
    <row r="24170">
      <c r="A24170" s="4" t="s">
        <v>30412</v>
      </c>
      <c r="B24170" s="4" t="s">
        <v>30413</v>
      </c>
      <c r="C24170" s="5" t="str">
        <f>IFERROR(__xludf.DUMMYFUNCTION("GOOGLETRANSLATE(B24170,""en"",""zh-CN"")"),"空手道班级的两个女孩向前鞠躬，然后在练习前互相互相鞠躬。")</f>
        <v>空手道班级的两个女孩向前鞠躬，然后在练习前互相互相鞠躬。</v>
      </c>
    </row>
    <row r="24171">
      <c r="A24171" s="4" t="s">
        <v>30412</v>
      </c>
      <c r="B24171" s="4" t="s">
        <v>30414</v>
      </c>
      <c r="C24171" s="5" t="str">
        <f>IFERROR(__xludf.DUMMYFUNCTION("GOOGLETRANSLATE(B24171,""en"",""zh-CN"")"),"女孩通过膝盖挡住了击球而躲避进攻。")</f>
        <v>女孩通过膝盖挡住了击球而躲避进攻。</v>
      </c>
    </row>
    <row r="24172">
      <c r="A24172" s="4" t="s">
        <v>30412</v>
      </c>
      <c r="B24172" s="4" t="s">
        <v>30415</v>
      </c>
      <c r="C24172" s="5" t="str">
        <f>IFERROR(__xludf.DUMMYFUNCTION("GOOGLETRANSLATE(B24172,""en"",""zh-CN"")"),"空手道的学生用手腕拳打。")</f>
        <v>空手道的学生用手腕拳打。</v>
      </c>
    </row>
    <row r="24173">
      <c r="A24173" s="4" t="s">
        <v>30412</v>
      </c>
      <c r="B24173" s="4" t="s">
        <v>30416</v>
      </c>
      <c r="C24173" s="5" t="str">
        <f>IFERROR(__xludf.DUMMYFUNCTION("GOOGLETRANSLATE(B24173,""en"",""zh-CN"")"),"女孩做一个站立的旋转踢。")</f>
        <v>女孩做一个站立的旋转踢。</v>
      </c>
    </row>
    <row r="24174">
      <c r="A24174" s="4" t="s">
        <v>30417</v>
      </c>
      <c r="B24174" s="4" t="s">
        <v>30418</v>
      </c>
      <c r="C24174" s="5" t="str">
        <f>IFERROR(__xludf.DUMMYFUNCTION("GOOGLETRANSLATE(B24174,""en"",""zh-CN"")"),"一个女人说话并固定湿的头发，她也表现出刷子和干燥的头发。")</f>
        <v>一个女人说话并固定湿的头发，她也表现出刷子和干燥的头发。</v>
      </c>
    </row>
    <row r="24175">
      <c r="A24175" s="4" t="s">
        <v>30417</v>
      </c>
      <c r="B24175" s="4" t="s">
        <v>30419</v>
      </c>
      <c r="C24175" s="5" t="str">
        <f>IFERROR(__xludf.DUMMYFUNCTION("GOOGLETRANSLATE(B24175,""en"",""zh-CN"")"),"女人使用吹风机向不同的方向刷头发。")</f>
        <v>女人使用吹风机向不同的方向刷头发。</v>
      </c>
    </row>
    <row r="24176">
      <c r="A24176" s="4" t="s">
        <v>30417</v>
      </c>
      <c r="B24176" s="4" t="s">
        <v>30420</v>
      </c>
      <c r="C24176" s="5" t="str">
        <f>IFERROR(__xludf.DUMMYFUNCTION("GOOGLETRANSLATE(B24176,""en"",""zh-CN"")"),"然后，女人停下来说话时展示她的发型。")</f>
        <v>然后，女人停下来说话时展示她的发型。</v>
      </c>
    </row>
    <row r="24177">
      <c r="A24177" s="4" t="s">
        <v>30417</v>
      </c>
      <c r="B24177" s="4" t="s">
        <v>30421</v>
      </c>
      <c r="C24177" s="5" t="str">
        <f>IFERROR(__xludf.DUMMYFUNCTION("GOOGLETRANSLATE(B24177,""en"",""zh-CN"")"),"之后，该女士展示了梳理头发的方向，然后用头发将头发伸直头发。")</f>
        <v>之后，该女士展示了梳理头发的方向，然后用头发将头发伸直头发。</v>
      </c>
    </row>
    <row r="24178">
      <c r="A24178" s="4" t="s">
        <v>30422</v>
      </c>
      <c r="B24178" s="4" t="s">
        <v>30423</v>
      </c>
      <c r="C24178" s="5" t="str">
        <f>IFERROR(__xludf.DUMMYFUNCTION("GOOGLETRANSLATE(B24178,""en"",""zh-CN"")"),"一个人确实在独木舟中挥手。")</f>
        <v>一个人确实在独木舟中挥手。</v>
      </c>
    </row>
    <row r="24179">
      <c r="A24179" s="4" t="s">
        <v>30422</v>
      </c>
      <c r="B24179" s="4" t="s">
        <v>30424</v>
      </c>
      <c r="C24179" s="5" t="str">
        <f>IFERROR(__xludf.DUMMYFUNCTION("GOOGLETRANSLATE(B24179,""en"",""zh-CN"")"),"他被证明在下游动力，在独木舟上翻滚。")</f>
        <v>他被证明在下游动力，在独木舟上翻滚。</v>
      </c>
    </row>
    <row r="24180">
      <c r="A24180" s="4" t="s">
        <v>30422</v>
      </c>
      <c r="B24180" s="4" t="s">
        <v>30425</v>
      </c>
      <c r="C24180" s="5" t="str">
        <f>IFERROR(__xludf.DUMMYFUNCTION("GOOGLETRANSLATE(B24180,""en"",""zh-CN"")"),"现在，我们看到了固定的边缘和植物刀片在他上游移动时。")</f>
        <v>现在，我们看到了固定的边缘和植物刀片在他上游移动时。</v>
      </c>
    </row>
    <row r="24181">
      <c r="A24181" s="4" t="s">
        <v>30426</v>
      </c>
      <c r="B24181" s="4" t="s">
        <v>30427</v>
      </c>
      <c r="C24181" s="5" t="str">
        <f>IFERROR(__xludf.DUMMYFUNCTION("GOOGLETRANSLATE(B24181,""en"",""zh-CN"")"),"一个人站在绳子上，然后他跳过绳子。")</f>
        <v>一个人站在绳子上，然后他跳过绳子。</v>
      </c>
    </row>
    <row r="24182">
      <c r="A24182" s="4" t="s">
        <v>30426</v>
      </c>
      <c r="B24182" s="4" t="s">
        <v>30428</v>
      </c>
      <c r="C24182" s="5" t="str">
        <f>IFERROR(__xludf.DUMMYFUNCTION("GOOGLETRANSLATE(B24182,""en"",""zh-CN"")"),"这个人也跳到他的屁股和身体上。")</f>
        <v>这个人也跳到他的屁股和身体上。</v>
      </c>
    </row>
    <row r="24183">
      <c r="A24183" s="4" t="s">
        <v>30429</v>
      </c>
      <c r="B24183" s="4" t="s">
        <v>30430</v>
      </c>
      <c r="C24183" s="5" t="str">
        <f>IFERROR(__xludf.DUMMYFUNCTION("GOOGLETRANSLATE(B24183,""en"",""zh-CN"")"),"看到一个家庭坐在沙滩上，用物体制作沙堡。")</f>
        <v>看到一个家庭坐在沙滩上，用物体制作沙堡。</v>
      </c>
    </row>
    <row r="24184">
      <c r="A24184" s="4" t="s">
        <v>30429</v>
      </c>
      <c r="B24184" s="6" t="s">
        <v>30431</v>
      </c>
      <c r="C24184" s="5" t="str">
        <f>IFERROR(__xludf.DUMMYFUNCTION("GOOGLETRANSLATE(B24184,""en"",""zh-CN"")"),"人们站着看着他们的工作，孩子们在沙滩上玩耍的孩子们周围的镜头。")</f>
        <v>人们站着看着他们的工作，孩子们在沙滩上玩耍的孩子们周围的镜头。</v>
      </c>
    </row>
    <row r="24185">
      <c r="A24185" s="4" t="s">
        <v>30432</v>
      </c>
      <c r="B24185" s="4" t="s">
        <v>30433</v>
      </c>
      <c r="C24185" s="5" t="str">
        <f>IFERROR(__xludf.DUMMYFUNCTION("GOOGLETRANSLATE(B24185,""en"",""zh-CN"")"),"女人正在用白色油漆画篱笆。")</f>
        <v>女人正在用白色油漆画篱笆。</v>
      </c>
    </row>
    <row r="24186">
      <c r="A24186" s="4" t="s">
        <v>30432</v>
      </c>
      <c r="B24186" s="4" t="s">
        <v>30434</v>
      </c>
      <c r="C24186" s="5" t="str">
        <f>IFERROR(__xludf.DUMMYFUNCTION("GOOGLETRANSLATE(B24186,""en"",""zh-CN"")"),"男人正在公园里画一个绿色长凳。")</f>
        <v>男人正在公园里画一个绿色长凳。</v>
      </c>
    </row>
    <row r="24187">
      <c r="A24187" s="4" t="s">
        <v>30435</v>
      </c>
      <c r="B24187" s="4" t="s">
        <v>30436</v>
      </c>
      <c r="C24187" s="5" t="str">
        <f>IFERROR(__xludf.DUMMYFUNCTION("GOOGLETRANSLATE(B24187,""en"",""zh-CN"")"),"看到一群人在游泳池周围游泳，一个男人坐在他的头上。")</f>
        <v>看到一群人在游泳池周围游泳，一个男人坐在他的头上。</v>
      </c>
    </row>
    <row r="24188">
      <c r="A24188" s="4" t="s">
        <v>30435</v>
      </c>
      <c r="B24188" s="4" t="s">
        <v>30437</v>
      </c>
      <c r="C24188" s="5" t="str">
        <f>IFERROR(__xludf.DUMMYFUNCTION("GOOGLETRANSLATE(B24188,""en"",""zh-CN"")"),"显示了更多的镜头，人们关闭游泳和跪着。")</f>
        <v>显示了更多的镜头，人们关闭游泳和跪着。</v>
      </c>
    </row>
    <row r="24189">
      <c r="A24189" s="4" t="s">
        <v>30435</v>
      </c>
      <c r="B24189" s="4" t="s">
        <v>30438</v>
      </c>
      <c r="C24189" s="5" t="str">
        <f>IFERROR(__xludf.DUMMYFUNCTION("GOOGLETRANSLATE(B24189,""en"",""zh-CN"")"),"一个女人摘下她的坦克，然后将其放回原处，并导致他们游泳更多。")</f>
        <v>一个女人摘下她的坦克，然后将其放回原处，并导致他们游泳更多。</v>
      </c>
    </row>
    <row r="24190">
      <c r="A24190" s="4" t="s">
        <v>30439</v>
      </c>
      <c r="B24190" s="4" t="s">
        <v>30440</v>
      </c>
      <c r="C24190" s="5" t="str">
        <f>IFERROR(__xludf.DUMMYFUNCTION("GOOGLETRANSLATE(B24190,""en"",""zh-CN"")"),"男孩在擦瓷砖地板。")</f>
        <v>男孩在擦瓷砖地板。</v>
      </c>
    </row>
    <row r="24191">
      <c r="A24191" s="4" t="s">
        <v>30439</v>
      </c>
      <c r="B24191" s="4" t="s">
        <v>30441</v>
      </c>
      <c r="C24191" s="5" t="str">
        <f>IFERROR(__xludf.DUMMYFUNCTION("GOOGLETRANSLATE(B24191,""en"",""zh-CN"")"),"一个男孩简而言之，将拖把放在黄色的水桶里。")</f>
        <v>一个男孩简而言之，将拖把放在黄色的水桶里。</v>
      </c>
    </row>
    <row r="24192">
      <c r="A24192" s="4" t="s">
        <v>30439</v>
      </c>
      <c r="B24192" s="4" t="s">
        <v>30442</v>
      </c>
      <c r="C24192" s="5" t="str">
        <f>IFERROR(__xludf.DUMMYFUNCTION("GOOGLETRANSLATE(B24192,""en"",""zh-CN"")"),"一位女士手里拿着一个清晰的物体走开。")</f>
        <v>一位女士手里拿着一个清晰的物体走开。</v>
      </c>
    </row>
    <row r="24193">
      <c r="A24193" s="4" t="s">
        <v>30443</v>
      </c>
      <c r="B24193" s="4" t="s">
        <v>30444</v>
      </c>
      <c r="C24193" s="5" t="str">
        <f>IFERROR(__xludf.DUMMYFUNCTION("GOOGLETRANSLATE(B24193,""en"",""zh-CN"")"),"儿童乘坐娱乐活动，乘坐碰碰车。")</f>
        <v>儿童乘坐娱乐活动，乘坐碰碰车。</v>
      </c>
    </row>
    <row r="24194">
      <c r="A24194" s="4" t="s">
        <v>30443</v>
      </c>
      <c r="B24194" s="4" t="s">
        <v>30445</v>
      </c>
      <c r="C24194" s="5" t="str">
        <f>IFERROR(__xludf.DUMMYFUNCTION("GOOGLETRANSLATE(B24194,""en"",""zh-CN"")"),"一个人跟随他骑着保险杠在他面前的汽车后面靠近。")</f>
        <v>一个人跟随他骑着保险杠在他面前的汽车后面靠近。</v>
      </c>
    </row>
    <row r="24195">
      <c r="A24195" s="4" t="s">
        <v>30443</v>
      </c>
      <c r="B24195" s="4" t="s">
        <v>30446</v>
      </c>
      <c r="C24195" s="5" t="str">
        <f>IFERROR(__xludf.DUMMYFUNCTION("GOOGLETRANSLATE(B24195,""en"",""zh-CN"")"),"互相撞击后，该小组陷入了大型交通堵塞中。")</f>
        <v>互相撞击后，该小组陷入了大型交通堵塞中。</v>
      </c>
    </row>
    <row r="24196">
      <c r="A24196" s="4" t="s">
        <v>30443</v>
      </c>
      <c r="B24196" s="4" t="s">
        <v>30447</v>
      </c>
      <c r="C24196" s="5" t="str">
        <f>IFERROR(__xludf.DUMMYFUNCTION("GOOGLETRANSLATE(B24196,""en"",""zh-CN"")"),"汽车转身摆脱交通拥堵。")</f>
        <v>汽车转身摆脱交通拥堵。</v>
      </c>
    </row>
    <row r="24197">
      <c r="A24197" s="4" t="s">
        <v>30443</v>
      </c>
      <c r="B24197" s="4" t="s">
        <v>30448</v>
      </c>
      <c r="C24197" s="5" t="str">
        <f>IFERROR(__xludf.DUMMYFUNCTION("GOOGLETRANSLATE(B24197,""en"",""zh-CN"")"),"一个男孩撞上停下的汽车的后部。")</f>
        <v>一个男孩撞上停下的汽车的后部。</v>
      </c>
    </row>
    <row r="24198">
      <c r="A24198" s="4" t="s">
        <v>30449</v>
      </c>
      <c r="B24198" s="4" t="s">
        <v>30450</v>
      </c>
      <c r="C24198" s="5" t="str">
        <f>IFERROR(__xludf.DUMMYFUNCTION("GOOGLETRANSLATE(B24198,""en"",""zh-CN"")"),"许多孩子站在篮球场上做拳击运动。")</f>
        <v>许多孩子站在篮球场上做拳击运动。</v>
      </c>
    </row>
    <row r="24199">
      <c r="A24199" s="4" t="s">
        <v>30449</v>
      </c>
      <c r="B24199" s="4" t="s">
        <v>30451</v>
      </c>
      <c r="C24199" s="5" t="str">
        <f>IFERROR(__xludf.DUMMYFUNCTION("GOOGLETRANSLATE(B24199,""en"",""zh-CN"")"),"小女孩正站在法院练习拳击中的中间。")</f>
        <v>小女孩正站在法院练习拳击中的中间。</v>
      </c>
    </row>
    <row r="24200">
      <c r="A24200" s="4" t="s">
        <v>30449</v>
      </c>
      <c r="B24200" s="4" t="s">
        <v>30452</v>
      </c>
      <c r="C24200" s="5" t="str">
        <f>IFERROR(__xludf.DUMMYFUNCTION("GOOGLETRANSLATE(B24200,""en"",""zh-CN"")"),"人们坐在木制法庭上的椅子上。")</f>
        <v>人们坐在木制法庭上的椅子上。</v>
      </c>
    </row>
    <row r="24201">
      <c r="A24201" s="4" t="s">
        <v>30453</v>
      </c>
      <c r="B24201" s="4" t="s">
        <v>30454</v>
      </c>
      <c r="C24201" s="5" t="str">
        <f>IFERROR(__xludf.DUMMYFUNCTION("GOOGLETRANSLATE(B24201,""en"",""zh-CN"")"),"一个人正在竞技场骑公牛。")</f>
        <v>一个人正在竞技场骑公牛。</v>
      </c>
    </row>
    <row r="24202">
      <c r="A24202" s="4" t="s">
        <v>30453</v>
      </c>
      <c r="B24202" s="4" t="s">
        <v>30455</v>
      </c>
      <c r="C24202" s="5" t="str">
        <f>IFERROR(__xludf.DUMMYFUNCTION("GOOGLETRANSLATE(B24202,""en"",""zh-CN"")"),"人们站在公牛周围的竞技场上。")</f>
        <v>人们站在公牛周围的竞技场上。</v>
      </c>
    </row>
    <row r="24203">
      <c r="A24203" s="4" t="s">
        <v>30453</v>
      </c>
      <c r="B24203" s="4" t="s">
        <v>30456</v>
      </c>
      <c r="C24203" s="5" t="str">
        <f>IFERROR(__xludf.DUMMYFUNCTION("GOOGLETRANSLATE(B24203,""en"",""zh-CN"")"),"一头公牛向他们收费，将他们撞倒在地。")</f>
        <v>一头公牛向他们收费，将他们撞倒在地。</v>
      </c>
    </row>
    <row r="24204">
      <c r="A24204" s="4" t="s">
        <v>30457</v>
      </c>
      <c r="B24204" s="4" t="s">
        <v>30458</v>
      </c>
      <c r="C24204" s="5" t="str">
        <f>IFERROR(__xludf.DUMMYFUNCTION("GOOGLETRANSLATE(B24204,""en"",""zh-CN"")"),"看到一个男人从一辆被雪覆盖并在相机上说话的汽车上刮掉。")</f>
        <v>看到一个男人从一辆被雪覆盖并在相机上说话的汽车上刮掉。</v>
      </c>
    </row>
    <row r="24205">
      <c r="A24205" s="4" t="s">
        <v>30457</v>
      </c>
      <c r="B24205" s="6" t="s">
        <v>30459</v>
      </c>
      <c r="C24205" s="5" t="str">
        <f>IFERROR(__xludf.DUMMYFUNCTION("GOOGLETRANSLATE(B24205,""en"",""zh-CN"")"),"当男人继续刮下车并与相机交谈时，相机跟随该男子周围。")</f>
        <v>当男人继续刮下车并与相机交谈时，相机跟随该男子周围。</v>
      </c>
    </row>
    <row r="24206">
      <c r="A24206" s="4" t="s">
        <v>30460</v>
      </c>
      <c r="B24206" s="6" t="s">
        <v>30461</v>
      </c>
      <c r="C24206" s="5" t="str">
        <f>IFERROR(__xludf.DUMMYFUNCTION("GOOGLETRANSLATE(B24206,""en"",""zh-CN"")"),"一个十几岁的男孩在背景中跳舞，而另一个十几岁的男孩穿着练习在学校自助餐厅跳高。")</f>
        <v>一个十几岁的男孩在背景中跳舞，而另一个十几岁的男孩穿着练习在学校自助餐厅跳高。</v>
      </c>
    </row>
    <row r="24207">
      <c r="A24207" s="4" t="s">
        <v>30460</v>
      </c>
      <c r="B24207" s="4" t="s">
        <v>30462</v>
      </c>
      <c r="C24207" s="5" t="str">
        <f>IFERROR(__xludf.DUMMYFUNCTION("GOOGLETRANSLATE(B24207,""en"",""zh-CN"")"),"一个十几岁的男孩在垫子上靠在他的背上。")</f>
        <v>一个十几岁的男孩在垫子上靠在他的背上。</v>
      </c>
    </row>
    <row r="24208">
      <c r="A24208" s="4" t="s">
        <v>30460</v>
      </c>
      <c r="B24208" s="6" t="s">
        <v>30463</v>
      </c>
      <c r="C24208" s="5" t="str">
        <f>IFERROR(__xludf.DUMMYFUNCTION("GOOGLETRANSLATE(B24208,""en"",""zh-CN"")"),"几名成年人和青少年正站在跳高垫上，而黑色男孩跳高了。")</f>
        <v>几名成年人和青少年正站在跳高垫上，而黑色男孩跳高了。</v>
      </c>
    </row>
    <row r="24209">
      <c r="A24209" s="4" t="s">
        <v>30460</v>
      </c>
      <c r="B24209" s="4" t="s">
        <v>30464</v>
      </c>
      <c r="C24209" s="5" t="str">
        <f>IFERROR(__xludf.DUMMYFUNCTION("GOOGLETRANSLATE(B24209,""en"",""zh-CN"")"),"黑色的男孩在另一个十几岁的男孩看着背景时再次跳高。")</f>
        <v>黑色的男孩在另一个十几岁的男孩看着背景时再次跳高。</v>
      </c>
    </row>
    <row r="24210">
      <c r="A24210" s="4" t="s">
        <v>30460</v>
      </c>
      <c r="B24210" s="4" t="s">
        <v>30465</v>
      </c>
      <c r="C24210" s="5" t="str">
        <f>IFERROR(__xludf.DUMMYFUNCTION("GOOGLETRANSLATE(B24210,""en"",""zh-CN"")"),"黑色的同一个男孩跳了起来，一个较高的男孩穿着白色。")</f>
        <v>黑色的同一个男孩跳了起来，一个较高的男孩穿着白色。</v>
      </c>
    </row>
    <row r="24211">
      <c r="A24211" s="4" t="s">
        <v>30460</v>
      </c>
      <c r="B24211" s="4" t="s">
        <v>30466</v>
      </c>
      <c r="C24211" s="5" t="str">
        <f>IFERROR(__xludf.DUMMYFUNCTION("GOOGLETRANSLATE(B24211,""en"",""zh-CN"")"),"同样的跳高显示，慢慢地指出了男孩正在犯的错误。")</f>
        <v>同样的跳高显示，慢慢地指出了男孩正在犯的错误。</v>
      </c>
    </row>
    <row r="24212">
      <c r="A24212" s="4" t="s">
        <v>30460</v>
      </c>
      <c r="B24212" s="4" t="s">
        <v>30467</v>
      </c>
      <c r="C24212" s="5" t="str">
        <f>IFERROR(__xludf.DUMMYFUNCTION("GOOGLETRANSLATE(B24212,""en"",""zh-CN"")"),"另一个穿着白色的男孩跳高跳高，而其他人站着坐在附近。")</f>
        <v>另一个穿着白色的男孩跳高跳高，而其他人站着坐在附近。</v>
      </c>
    </row>
    <row r="24213">
      <c r="A24213" s="4" t="s">
        <v>30460</v>
      </c>
      <c r="B24213" s="4" t="s">
        <v>30468</v>
      </c>
      <c r="C24213" s="5" t="str">
        <f>IFERROR(__xludf.DUMMYFUNCTION("GOOGLETRANSLATE(B24213,""en"",""zh-CN"")"),"从男孩穿白色的男孩的跳高被重播，以指出错误。")</f>
        <v>从男孩穿白色的男孩的跳高被重播，以指出错误。</v>
      </c>
    </row>
    <row r="24214">
      <c r="A24214" s="4" t="s">
        <v>30460</v>
      </c>
      <c r="B24214" s="4" t="s">
        <v>30469</v>
      </c>
      <c r="C24214" s="5" t="str">
        <f>IFERROR(__xludf.DUMMYFUNCTION("GOOGLETRANSLATE(B24214,""en"",""zh-CN"")"),"第三个穿着蓝色的男孩连续三次与其他人在背景中连续三次跳高。")</f>
        <v>第三个穿着蓝色的男孩连续三次与其他人在背景中连续三次跳高。</v>
      </c>
    </row>
    <row r="24215">
      <c r="A24215" s="4" t="s">
        <v>30460</v>
      </c>
      <c r="B24215" s="4" t="s">
        <v>30470</v>
      </c>
      <c r="C24215" s="5" t="str">
        <f>IFERROR(__xludf.DUMMYFUNCTION("GOOGLETRANSLATE(B24215,""en"",""zh-CN"")"),"扮演蓝色男孩的重播是为了指出他正在犯的错误。")</f>
        <v>扮演蓝色男孩的重播是为了指出他正在犯的错误。</v>
      </c>
    </row>
    <row r="24216">
      <c r="A24216" s="4" t="s">
        <v>30471</v>
      </c>
      <c r="B24216" s="4" t="s">
        <v>30472</v>
      </c>
      <c r="C24216" s="5" t="str">
        <f>IFERROR(__xludf.DUMMYFUNCTION("GOOGLETRANSLATE(B24216,""en"",""zh-CN"")"),"两个女孩站起来做空手道。")</f>
        <v>两个女孩站起来做空手道。</v>
      </c>
    </row>
    <row r="24217">
      <c r="A24217" s="4" t="s">
        <v>30471</v>
      </c>
      <c r="B24217" s="4" t="s">
        <v>30473</v>
      </c>
      <c r="C24217" s="5" t="str">
        <f>IFERROR(__xludf.DUMMYFUNCTION("GOOGLETRANSLATE(B24217,""en"",""zh-CN"")"),"人们坐下看着他们。")</f>
        <v>人们坐下看着他们。</v>
      </c>
    </row>
    <row r="24218">
      <c r="A24218" s="4" t="s">
        <v>30471</v>
      </c>
      <c r="B24218" s="4" t="s">
        <v>30474</v>
      </c>
      <c r="C24218" s="5" t="str">
        <f>IFERROR(__xludf.DUMMYFUNCTION("GOOGLETRANSLATE(B24218,""en"",""zh-CN"")"),"一个穿着黑色长袍的女人站在他们旁边。")</f>
        <v>一个穿着黑色长袍的女人站在他们旁边。</v>
      </c>
    </row>
    <row r="24219">
      <c r="A24219" s="4" t="s">
        <v>30475</v>
      </c>
      <c r="B24219" s="4" t="s">
        <v>1487</v>
      </c>
      <c r="C24219" s="5" t="str">
        <f>IFERROR(__xludf.DUMMYFUNCTION("GOOGLETRANSLATE(B24219,""en"",""zh-CN"")"),"我们看到一个开放标题屏幕。")</f>
        <v>我们看到一个开放标题屏幕。</v>
      </c>
    </row>
    <row r="24220">
      <c r="A24220" s="4" t="s">
        <v>30475</v>
      </c>
      <c r="B24220" s="4" t="s">
        <v>30476</v>
      </c>
      <c r="C24220" s="5" t="str">
        <f>IFERROR(__xludf.DUMMYFUNCTION("GOOGLETRANSLATE(B24220,""en"",""zh-CN"")"),"一位女士在广场前说话。")</f>
        <v>一位女士在广场前说话。</v>
      </c>
    </row>
    <row r="24221">
      <c r="A24221" s="4" t="s">
        <v>30475</v>
      </c>
      <c r="B24221" s="6" t="s">
        <v>30477</v>
      </c>
      <c r="C24221" s="5" t="str">
        <f>IFERROR(__xludf.DUMMYFUNCTION("GOOGLETRANSLATE(B24221,""en"",""zh-CN"")"),"夫人呼啦圈在短裤和广场上的紧身衬衫上篮球，我们定期在右上角看到一个计时器。")</f>
        <v>夫人呼啦圈在短裤和广场上的紧身衬衫上篮球，我们定期在右上角看到一个计时器。</v>
      </c>
    </row>
    <row r="24222">
      <c r="A24222" s="4" t="s">
        <v>30475</v>
      </c>
      <c r="B24222" s="4" t="s">
        <v>30478</v>
      </c>
      <c r="C24222" s="5" t="str">
        <f>IFERROR(__xludf.DUMMYFUNCTION("GOOGLETRANSLATE(B24222,""en"",""zh-CN"")"),"计时器读取夫人呼啦圈持续了2分钟和十七秒。")</f>
        <v>计时器读取夫人呼啦圈持续了2分钟和十七秒。</v>
      </c>
    </row>
    <row r="24223">
      <c r="A24223" s="4" t="s">
        <v>30475</v>
      </c>
      <c r="B24223" s="4" t="s">
        <v>30479</v>
      </c>
      <c r="C24223" s="5" t="str">
        <f>IFERROR(__xludf.DUMMYFUNCTION("GOOGLETRANSLATE(B24223,""en"",""zh-CN"")"),"那位女士再次对镜头说话。")</f>
        <v>那位女士再次对镜头说话。</v>
      </c>
    </row>
    <row r="24224">
      <c r="A24224" s="4" t="s">
        <v>30475</v>
      </c>
      <c r="B24224" s="4" t="s">
        <v>30480</v>
      </c>
      <c r="C24224" s="5" t="str">
        <f>IFERROR(__xludf.DUMMYFUNCTION("GOOGLETRANSLATE(B24224,""en"",""zh-CN"")"),"我们看到了结尾的YouTube屏幕。")</f>
        <v>我们看到了结尾的YouTube屏幕。</v>
      </c>
    </row>
    <row r="24225">
      <c r="A24225" s="4" t="s">
        <v>30481</v>
      </c>
      <c r="B24225" s="4" t="s">
        <v>30482</v>
      </c>
      <c r="C24225" s="5" t="str">
        <f>IFERROR(__xludf.DUMMYFUNCTION("GOOGLETRANSLATE(B24225,""en"",""zh-CN"")"),"显示带有钥匙的信封。")</f>
        <v>显示带有钥匙的信封。</v>
      </c>
    </row>
    <row r="24226">
      <c r="A24226" s="4" t="s">
        <v>30481</v>
      </c>
      <c r="B24226" s="4" t="s">
        <v>30483</v>
      </c>
      <c r="C24226" s="5" t="str">
        <f>IFERROR(__xludf.DUMMYFUNCTION("GOOGLETRANSLATE(B24226,""en"",""zh-CN"")"),"一个女人用牛皮纸包裹一本书。")</f>
        <v>一个女人用牛皮纸包裹一本书。</v>
      </c>
    </row>
    <row r="24227">
      <c r="A24227" s="4" t="s">
        <v>30481</v>
      </c>
      <c r="B24227" s="4" t="s">
        <v>30484</v>
      </c>
      <c r="C24227" s="5" t="str">
        <f>IFERROR(__xludf.DUMMYFUNCTION("GOOGLETRANSLATE(B24227,""en"",""zh-CN"")"),"一件穿着灰色毛衣的女人在说话。")</f>
        <v>一件穿着灰色毛衣的女人在说话。</v>
      </c>
    </row>
    <row r="24228">
      <c r="A24228" s="4" t="s">
        <v>30481</v>
      </c>
      <c r="B24228" s="4" t="s">
        <v>30485</v>
      </c>
      <c r="C24228" s="5" t="str">
        <f>IFERROR(__xludf.DUMMYFUNCTION("GOOGLETRANSLATE(B24228,""en"",""zh-CN"")"),"一个女人在相机上挥手。")</f>
        <v>一个女人在相机上挥手。</v>
      </c>
    </row>
    <row r="24229">
      <c r="A24229" s="4" t="s">
        <v>30481</v>
      </c>
      <c r="B24229" s="4" t="s">
        <v>30486</v>
      </c>
      <c r="C24229" s="5" t="str">
        <f>IFERROR(__xludf.DUMMYFUNCTION("GOOGLETRANSLATE(B24229,""en"",""zh-CN"")"),"他们完成了包装书籍，并将信封放在包装的前面。")</f>
        <v>他们完成了包装书籍，并将信封放在包装的前面。</v>
      </c>
    </row>
    <row r="24230">
      <c r="A24230" s="4" t="s">
        <v>30481</v>
      </c>
      <c r="B24230" s="4" t="s">
        <v>30487</v>
      </c>
      <c r="C24230" s="5" t="str">
        <f>IFERROR(__xludf.DUMMYFUNCTION("GOOGLETRANSLATE(B24230,""en"",""zh-CN"")"),"谢谢你在书中被盖章。")</f>
        <v>谢谢你在书中被盖章。</v>
      </c>
    </row>
    <row r="24231">
      <c r="A24231" s="4" t="s">
        <v>30488</v>
      </c>
      <c r="B24231" s="6" t="s">
        <v>30489</v>
      </c>
      <c r="C24231" s="5" t="str">
        <f>IFERROR(__xludf.DUMMYFUNCTION("GOOGLETRANSLATE(B24231,""en"",""zh-CN"")"),"看到一个女人说话和大笑，向相机笑，并带着她举起杂志并向相机呈现页面。")</f>
        <v>看到一个女人说话和大笑，向相机笑，并带着她举起杂志并向相机呈现页面。</v>
      </c>
    </row>
    <row r="24232">
      <c r="A24232" s="4" t="s">
        <v>30488</v>
      </c>
      <c r="B24232" s="6" t="s">
        <v>30490</v>
      </c>
      <c r="C24232" s="5" t="str">
        <f>IFERROR(__xludf.DUMMYFUNCTION("GOOGLETRANSLATE(B24232,""en"",""zh-CN"")"),"该名女子向相机展示了更多物体，然后在仍在与相机交谈的同时使用一个物体刷牙。")</f>
        <v>该名女子向相机展示了更多物体，然后在仍在与相机交谈的同时使用一个物体刷牙。</v>
      </c>
    </row>
    <row r="24233">
      <c r="A24233" s="4" t="s">
        <v>30491</v>
      </c>
      <c r="B24233" s="4" t="s">
        <v>30492</v>
      </c>
      <c r="C24233" s="5" t="str">
        <f>IFERROR(__xludf.DUMMYFUNCTION("GOOGLETRANSLATE(B24233,""en"",""zh-CN"")"),"两名Suma摔跤手走到戒指上。")</f>
        <v>两名Suma摔跤手走到戒指上。</v>
      </c>
    </row>
    <row r="24234">
      <c r="A24234" s="4" t="s">
        <v>30491</v>
      </c>
      <c r="B24234" s="4" t="s">
        <v>30493</v>
      </c>
      <c r="C24234" s="5" t="str">
        <f>IFERROR(__xludf.DUMMYFUNCTION("GOOGLETRANSLATE(B24234,""en"",""zh-CN"")"),"一群人看着战斗。")</f>
        <v>一群人看着战斗。</v>
      </c>
    </row>
    <row r="24235">
      <c r="A24235" s="4" t="s">
        <v>30491</v>
      </c>
      <c r="B24235" s="4" t="s">
        <v>30494</v>
      </c>
      <c r="C24235" s="5" t="str">
        <f>IFERROR(__xludf.DUMMYFUNCTION("GOOGLETRANSLATE(B24235,""en"",""zh-CN"")"),"Suma摔跤手做准备。")</f>
        <v>Suma摔跤手做准备。</v>
      </c>
    </row>
    <row r="24236">
      <c r="A24236" s="4" t="s">
        <v>30491</v>
      </c>
      <c r="B24236" s="4" t="s">
        <v>30495</v>
      </c>
      <c r="C24236" s="5" t="str">
        <f>IFERROR(__xludf.DUMMYFUNCTION("GOOGLETRANSLATE(B24236,""en"",""zh-CN"")"),"裁判称他们到位。")</f>
        <v>裁判称他们到位。</v>
      </c>
    </row>
    <row r="24237">
      <c r="A24237" s="4" t="s">
        <v>30491</v>
      </c>
      <c r="B24237" s="6" t="s">
        <v>30496</v>
      </c>
      <c r="C24237" s="5" t="str">
        <f>IFERROR(__xludf.DUMMYFUNCTION("GOOGLETRANSLATE(B24237,""en"",""zh-CN"")"),"Suma摔跤手开始战斗，其中一个立即将另一个扔到地上。")</f>
        <v>Suma摔跤手开始战斗，其中一个立即将另一个扔到地上。</v>
      </c>
    </row>
    <row r="24238">
      <c r="A24238" s="4" t="s">
        <v>30491</v>
      </c>
      <c r="B24238" s="4" t="s">
        <v>30497</v>
      </c>
      <c r="C24238" s="5" t="str">
        <f>IFERROR(__xludf.DUMMYFUNCTION("GOOGLETRANSLATE(B24238,""en"",""zh-CN"")"),"获胜的Suma摔跤手在舞台上走下去时受到人群的鼓掌和欢呼。")</f>
        <v>获胜的Suma摔跤手在舞台上走下去时受到人群的鼓掌和欢呼。</v>
      </c>
    </row>
    <row r="24239">
      <c r="A24239" s="4" t="s">
        <v>30498</v>
      </c>
      <c r="B24239" s="6" t="s">
        <v>30499</v>
      </c>
      <c r="C24239" s="5" t="str">
        <f>IFERROR(__xludf.DUMMYFUNCTION("GOOGLETRANSLATE(B24239,""en"",""zh-CN"")"),"要包裹圆形礼物，您需要使用纸剪刀，剪刀，丝带，胶带，Japenese使用纸，因为它柔软而浓密，颜色不会脱落。")</f>
        <v>要包裹圆形礼物，您需要使用纸剪刀，剪刀，丝带，胶带，Japenese使用纸，因为它柔软而浓密，颜色不会脱落。</v>
      </c>
    </row>
    <row r="24240">
      <c r="A24240" s="4" t="s">
        <v>30498</v>
      </c>
      <c r="B24240" s="6" t="s">
        <v>30500</v>
      </c>
      <c r="C24240" s="5" t="str">
        <f>IFERROR(__xludf.DUMMYFUNCTION("GOOGLETRANSLATE(B24240,""en"",""zh-CN"")"),"首先通过在侧面进行测量，然后在中间折叠纸张以相同的方式在另一侧折叠纸，然后在关节中间关闭纸张以使折痕保持折痕，然后重复直到折痕到处都是，然后将胶带放在顶部然后绑在色带上。")</f>
        <v>首先通过在侧面进行测量，然后在中间折叠纸张以相同的方式在另一侧折叠纸，然后在关节中间关闭纸张以使折痕保持折痕，然后重复直到折痕到处都是，然后将胶带放在顶部然后绑在色带上。</v>
      </c>
    </row>
    <row r="24241">
      <c r="A24241" s="4" t="s">
        <v>30501</v>
      </c>
      <c r="B24241" s="4" t="s">
        <v>30502</v>
      </c>
      <c r="C24241" s="5" t="str">
        <f>IFERROR(__xludf.DUMMYFUNCTION("GOOGLETRANSLATE(B24241,""en"",""zh-CN"")"),"一名穿着黑色紧身连衣裤的女体操运动员正在酒吧表演体操。")</f>
        <v>一名穿着黑色紧身连衣裤的女体操运动员正在酒吧表演体操。</v>
      </c>
    </row>
    <row r="24242">
      <c r="A24242" s="4" t="s">
        <v>30501</v>
      </c>
      <c r="B24242" s="6" t="s">
        <v>30503</v>
      </c>
      <c r="C24242" s="5" t="str">
        <f>IFERROR(__xludf.DUMMYFUNCTION("GOOGLETRANSLATE(B24242,""en"",""zh-CN"")"),"她完美地跳到酒吧上，从一个酒吧来回摆动，而不会掉下来。")</f>
        <v>她完美地跳到酒吧上，从一个酒吧来回摆动，而不会掉下来。</v>
      </c>
    </row>
    <row r="24243">
      <c r="A24243" s="4" t="s">
        <v>30501</v>
      </c>
      <c r="B24243" s="4" t="s">
        <v>30504</v>
      </c>
      <c r="C24243" s="5" t="str">
        <f>IFERROR(__xludf.DUMMYFUNCTION("GOOGLETRANSLATE(B24243,""en"",""zh-CN"")"),"她成功完成了自己的巡回演出，跳下了酒吧。")</f>
        <v>她成功完成了自己的巡回演出，跳下了酒吧。</v>
      </c>
    </row>
    <row r="24244">
      <c r="A24244" s="4" t="s">
        <v>30501</v>
      </c>
      <c r="B24244" s="4" t="s">
        <v>30505</v>
      </c>
      <c r="C24244" s="5" t="str">
        <f>IFERROR(__xludf.DUMMYFUNCTION("GOOGLETRANSLATE(B24244,""en"",""zh-CN"")"),"当他们鼓掌体操运动员时，人群大声欢呼。")</f>
        <v>当他们鼓掌体操运动员时，人群大声欢呼。</v>
      </c>
    </row>
    <row r="24245">
      <c r="A24245" s="4" t="s">
        <v>30506</v>
      </c>
      <c r="B24245" s="4" t="s">
        <v>30507</v>
      </c>
      <c r="C24245" s="5" t="str">
        <f>IFERROR(__xludf.DUMMYFUNCTION("GOOGLETRANSLATE(B24245,""en"",""zh-CN"")"),"一系列人在滑水展览时猛烈地从滑雪板上掉下来。")</f>
        <v>一系列人在滑水展览时猛烈地从滑雪板上掉下来。</v>
      </c>
    </row>
    <row r="24246">
      <c r="A24246" s="4" t="s">
        <v>30506</v>
      </c>
      <c r="B24246" s="4" t="s">
        <v>30508</v>
      </c>
      <c r="C24246" s="5" t="str">
        <f>IFERROR(__xludf.DUMMYFUNCTION("GOOGLETRANSLATE(B24246,""en"",""zh-CN"")"),"一个人在水滑雪上全速驶入海滩上的一个家庭。")</f>
        <v>一个人在水滑雪上全速驶入海滩上的一个家庭。</v>
      </c>
    </row>
    <row r="24247">
      <c r="A24247" s="4" t="s">
        <v>30506</v>
      </c>
      <c r="B24247" s="6" t="s">
        <v>30509</v>
      </c>
      <c r="C24247" s="5" t="str">
        <f>IFERROR(__xludf.DUMMYFUNCTION("GOOGLETRANSLATE(B24247,""en"",""zh-CN"")"),"在滑雪板上，有几个人坠毁，一名男子在撞击和坠毁时变成红色。")</f>
        <v>在滑雪板上，有几个人坠毁，一名男子在撞击和坠毁时变成红色。</v>
      </c>
    </row>
    <row r="24248">
      <c r="A24248" s="4" t="s">
        <v>30506</v>
      </c>
      <c r="B24248" s="4" t="s">
        <v>30510</v>
      </c>
      <c r="C24248" s="5" t="str">
        <f>IFERROR(__xludf.DUMMYFUNCTION("GOOGLETRANSLATE(B24248,""en"",""zh-CN"")"),"最后一个剪辑显示有人上滑雪板上的坡道，然后撞到水中。")</f>
        <v>最后一个剪辑显示有人上滑雪板上的坡道，然后撞到水中。</v>
      </c>
    </row>
    <row r="24249">
      <c r="A24249" s="4" t="s">
        <v>30511</v>
      </c>
      <c r="B24249" s="4" t="s">
        <v>30512</v>
      </c>
      <c r="C24249" s="5" t="str">
        <f>IFERROR(__xludf.DUMMYFUNCTION("GOOGLETRANSLATE(B24249,""en"",""zh-CN"")"),"在房子外面显示一个白色的篱笆。")</f>
        <v>在房子外面显示一个白色的篱笆。</v>
      </c>
    </row>
    <row r="24250">
      <c r="A24250" s="4" t="s">
        <v>30511</v>
      </c>
      <c r="B24250" s="4" t="s">
        <v>30513</v>
      </c>
      <c r="C24250" s="5" t="str">
        <f>IFERROR(__xludf.DUMMYFUNCTION("GOOGLETRANSLATE(B24250,""en"",""zh-CN"")"),"一个人拿着刮刀和刷子。")</f>
        <v>一个人拿着刮刀和刷子。</v>
      </c>
    </row>
    <row r="24251">
      <c r="A24251" s="4" t="s">
        <v>30511</v>
      </c>
      <c r="B24251" s="4" t="s">
        <v>30514</v>
      </c>
      <c r="C24251" s="5" t="str">
        <f>IFERROR(__xludf.DUMMYFUNCTION("GOOGLETRANSLATE(B24251,""en"",""zh-CN"")"),"他将油漆从篱笆上刮下来，然后用新鲜的油漆重新粉刷。")</f>
        <v>他将油漆从篱笆上刮下来，然后用新鲜的油漆重新粉刷。</v>
      </c>
    </row>
    <row r="24252">
      <c r="A24252" s="4" t="s">
        <v>30515</v>
      </c>
      <c r="B24252" s="4" t="s">
        <v>30516</v>
      </c>
      <c r="C24252" s="5" t="str">
        <f>IFERROR(__xludf.DUMMYFUNCTION("GOOGLETRANSLATE(B24252,""en"",""zh-CN"")"),"该人正在滑雪山覆盖的山脉。")</f>
        <v>该人正在滑雪山覆盖的山脉。</v>
      </c>
    </row>
    <row r="24253">
      <c r="A24253" s="4" t="s">
        <v>30515</v>
      </c>
      <c r="B24253" s="4" t="s">
        <v>30517</v>
      </c>
      <c r="C24253" s="5" t="str">
        <f>IFERROR(__xludf.DUMMYFUNCTION("GOOGLETRANSLATE(B24253,""en"",""zh-CN"")"),"当滑雪者爬上顶山时，一架红色的直升机正在四处飞行。")</f>
        <v>当滑雪者爬上顶山时，一架红色的直升机正在四处飞行。</v>
      </c>
    </row>
    <row r="24254">
      <c r="A24254" s="4" t="s">
        <v>30515</v>
      </c>
      <c r="B24254" s="4" t="s">
        <v>30518</v>
      </c>
      <c r="C24254" s="5" t="str">
        <f>IFERROR(__xludf.DUMMYFUNCTION("GOOGLETRANSLATE(B24254,""en"",""zh-CN"")"),"滑雪者从斜坡上滑雪，骑摩托车，钓鱼和滑雪。")</f>
        <v>滑雪者从斜坡上滑雪，骑摩托车，钓鱼和滑雪。</v>
      </c>
    </row>
    <row r="24255">
      <c r="A24255" s="4" t="s">
        <v>30519</v>
      </c>
      <c r="B24255" s="4" t="s">
        <v>30520</v>
      </c>
      <c r="C24255" s="5" t="str">
        <f>IFERROR(__xludf.DUMMYFUNCTION("GOOGLETRANSLATE(B24255,""en"",""zh-CN"")"),"一个小男孩在客厅里。")</f>
        <v>一个小男孩在客厅里。</v>
      </c>
    </row>
    <row r="24256">
      <c r="A24256" s="4" t="s">
        <v>30519</v>
      </c>
      <c r="B24256" s="4" t="s">
        <v>30521</v>
      </c>
      <c r="C24256" s="5" t="str">
        <f>IFERROR(__xludf.DUMMYFUNCTION("GOOGLETRANSLATE(B24256,""en"",""zh-CN"")"),"他正在推动并拉出一个大型的真空吸尘器。")</f>
        <v>他正在推动并拉出一个大型的真空吸尘器。</v>
      </c>
    </row>
    <row r="24257">
      <c r="A24257" s="4" t="s">
        <v>30519</v>
      </c>
      <c r="B24257" s="4" t="s">
        <v>30522</v>
      </c>
      <c r="C24257" s="5" t="str">
        <f>IFERROR(__xludf.DUMMYFUNCTION("GOOGLETRANSLATE(B24257,""en"",""zh-CN"")"),"他正在吸尘大客厅地毯。")</f>
        <v>他正在吸尘大客厅地毯。</v>
      </c>
    </row>
    <row r="24258">
      <c r="A24258" s="4" t="s">
        <v>30523</v>
      </c>
      <c r="B24258" s="4" t="s">
        <v>30524</v>
      </c>
      <c r="C24258" s="5" t="str">
        <f>IFERROR(__xludf.DUMMYFUNCTION("GOOGLETRANSLATE(B24258,""en"",""zh-CN"")"),"显示了工具的特写，后面是一个人沿着地毯切割。")</f>
        <v>显示了工具的特写，后面是一个人沿着地毯切割。</v>
      </c>
    </row>
    <row r="24259">
      <c r="A24259" s="4" t="s">
        <v>30523</v>
      </c>
      <c r="B24259" s="4" t="s">
        <v>30525</v>
      </c>
      <c r="C24259" s="5" t="str">
        <f>IFERROR(__xludf.DUMMYFUNCTION("GOOGLETRANSLATE(B24259,""en"",""zh-CN"")"),"该人继续使用沿侧面的工具，不久之后相机逐渐消失。")</f>
        <v>该人继续使用沿侧面的工具，不久之后相机逐渐消失。</v>
      </c>
    </row>
    <row r="24260">
      <c r="A24260" s="4" t="s">
        <v>30526</v>
      </c>
      <c r="B24260" s="4" t="s">
        <v>30527</v>
      </c>
      <c r="C24260" s="5" t="str">
        <f>IFERROR(__xludf.DUMMYFUNCTION("GOOGLETRANSLATE(B24260,""en"",""zh-CN"")"),"一个男人站在他的院子里。")</f>
        <v>一个男人站在他的院子里。</v>
      </c>
    </row>
    <row r="24261">
      <c r="A24261" s="4" t="s">
        <v>30526</v>
      </c>
      <c r="B24261" s="4" t="s">
        <v>30528</v>
      </c>
      <c r="C24261" s="5" t="str">
        <f>IFERROR(__xludf.DUMMYFUNCTION("GOOGLETRANSLATE(B24261,""en"",""zh-CN"")"),"他用刷子刷了很长的头发。")</f>
        <v>他用刷子刷了很长的头发。</v>
      </c>
    </row>
    <row r="24262">
      <c r="A24262" s="4" t="s">
        <v>30526</v>
      </c>
      <c r="B24262" s="4" t="s">
        <v>30529</v>
      </c>
      <c r="C24262" s="5" t="str">
        <f>IFERROR(__xludf.DUMMYFUNCTION("GOOGLETRANSLATE(B24262,""en"",""zh-CN"")"),"他从几个不同的角度刷了它。")</f>
        <v>他从几个不同的角度刷了它。</v>
      </c>
    </row>
    <row r="24263">
      <c r="A24263" s="4" t="s">
        <v>30530</v>
      </c>
      <c r="B24263" s="4" t="s">
        <v>30531</v>
      </c>
      <c r="C24263" s="5" t="str">
        <f>IFERROR(__xludf.DUMMYFUNCTION("GOOGLETRANSLATE(B24263,""en"",""zh-CN"")"),"一个穿着黑色连帽衫的男人与相机交谈。")</f>
        <v>一个穿着黑色连帽衫的男人与相机交谈。</v>
      </c>
    </row>
    <row r="24264">
      <c r="A24264" s="4" t="s">
        <v>30530</v>
      </c>
      <c r="B24264" s="4" t="s">
        <v>30532</v>
      </c>
      <c r="C24264" s="5" t="str">
        <f>IFERROR(__xludf.DUMMYFUNCTION("GOOGLETRANSLATE(B24264,""en"",""zh-CN"")"),"蓝色连帽衫的第二个人走进去，与镜头交谈。")</f>
        <v>蓝色连帽衫的第二个人走进去，与镜头交谈。</v>
      </c>
    </row>
    <row r="24265">
      <c r="A24265" s="4" t="s">
        <v>30530</v>
      </c>
      <c r="B24265" s="4" t="s">
        <v>30533</v>
      </c>
      <c r="C24265" s="5" t="str">
        <f>IFERROR(__xludf.DUMMYFUNCTION("GOOGLETRANSLATE(B24265,""en"",""zh-CN"")"),"黑色连帽衫的那个人露出一瓶漱口水。")</f>
        <v>黑色连帽衫的那个人露出一瓶漱口水。</v>
      </c>
    </row>
    <row r="24266">
      <c r="A24266" s="4" t="s">
        <v>30530</v>
      </c>
      <c r="B24266" s="4" t="s">
        <v>30534</v>
      </c>
      <c r="C24266" s="5" t="str">
        <f>IFERROR(__xludf.DUMMYFUNCTION("GOOGLETRANSLATE(B24266,""en"",""zh-CN"")"),"两个人互相交谈。")</f>
        <v>两个人互相交谈。</v>
      </c>
    </row>
    <row r="24267">
      <c r="A24267" s="4" t="s">
        <v>30530</v>
      </c>
      <c r="B24267" s="4" t="s">
        <v>30535</v>
      </c>
      <c r="C24267" s="5" t="str">
        <f>IFERROR(__xludf.DUMMYFUNCTION("GOOGLETRANSLATE(B24267,""en"",""zh-CN"")"),"蓝色连帽衫的那个人将漱口水倒在两杯中。")</f>
        <v>蓝色连帽衫的那个人将漱口水倒在两杯中。</v>
      </c>
    </row>
    <row r="24268">
      <c r="A24268" s="4" t="s">
        <v>30530</v>
      </c>
      <c r="B24268" s="4" t="s">
        <v>30536</v>
      </c>
      <c r="C24268" s="5" t="str">
        <f>IFERROR(__xludf.DUMMYFUNCTION("GOOGLETRANSLATE(B24268,""en"",""zh-CN"")"),"这两个人上课和互相欢呼。")</f>
        <v>这两个人上课和互相欢呼。</v>
      </c>
    </row>
    <row r="24269">
      <c r="A24269" s="4" t="s">
        <v>30530</v>
      </c>
      <c r="B24269" s="4" t="s">
        <v>30537</v>
      </c>
      <c r="C24269" s="5" t="str">
        <f>IFERROR(__xludf.DUMMYFUNCTION("GOOGLETRANSLATE(B24269,""en"",""zh-CN"")"),"这两个男人将漱口水保存在他们的嘴里。")</f>
        <v>这两个男人将漱口水保存在他们的嘴里。</v>
      </c>
    </row>
    <row r="24270">
      <c r="A24270" s="4" t="s">
        <v>30530</v>
      </c>
      <c r="B24270" s="4" t="s">
        <v>30538</v>
      </c>
      <c r="C24270" s="5" t="str">
        <f>IFERROR(__xludf.DUMMYFUNCTION("GOOGLETRANSLATE(B24270,""en"",""zh-CN"")"),"黑色连帽衫的那个人炫耀了他的T恤。")</f>
        <v>黑色连帽衫的那个人炫耀了他的T恤。</v>
      </c>
    </row>
    <row r="24271">
      <c r="A24271" s="4" t="s">
        <v>30530</v>
      </c>
      <c r="B24271" s="4" t="s">
        <v>30539</v>
      </c>
      <c r="C24271" s="5" t="str">
        <f>IFERROR(__xludf.DUMMYFUNCTION("GOOGLETRANSLATE(B24271,""en"",""zh-CN"")"),"这两个人炫耀了互相侮辱并试图使彼此发笑的迹象。")</f>
        <v>这两个人炫耀了互相侮辱并试图使彼此发笑的迹象。</v>
      </c>
    </row>
    <row r="24272">
      <c r="A24272" s="4" t="s">
        <v>30530</v>
      </c>
      <c r="B24272" s="4" t="s">
        <v>30540</v>
      </c>
      <c r="C24272" s="5" t="str">
        <f>IFERROR(__xludf.DUMMYFUNCTION("GOOGLETRANSLATE(B24272,""en"",""zh-CN"")"),"蓝色连帽衫的男人首先笑了。")</f>
        <v>蓝色连帽衫的男人首先笑了。</v>
      </c>
    </row>
    <row r="24273">
      <c r="A24273" s="4" t="s">
        <v>30530</v>
      </c>
      <c r="B24273" s="4" t="s">
        <v>30541</v>
      </c>
      <c r="C24273" s="5" t="str">
        <f>IFERROR(__xludf.DUMMYFUNCTION("GOOGLETRANSLATE(B24273,""en"",""zh-CN"")"),"这些人都吐出水槽中的漱口水。")</f>
        <v>这些人都吐出水槽中的漱口水。</v>
      </c>
    </row>
    <row r="24274">
      <c r="A24274" s="4" t="s">
        <v>30542</v>
      </c>
      <c r="B24274" s="4" t="s">
        <v>30543</v>
      </c>
      <c r="C24274" s="5" t="str">
        <f>IFERROR(__xludf.DUMMYFUNCTION("GOOGLETRANSLATE(B24274,""en"",""zh-CN"")"),"看到一个男人和女人彼此走到一个大舞台上。")</f>
        <v>看到一个男人和女人彼此走到一个大舞台上。</v>
      </c>
    </row>
    <row r="24275">
      <c r="A24275" s="4" t="s">
        <v>30542</v>
      </c>
      <c r="B24275" s="4" t="s">
        <v>30544</v>
      </c>
      <c r="C24275" s="5" t="str">
        <f>IFERROR(__xludf.DUMMYFUNCTION("GOOGLETRANSLATE(B24275,""en"",""zh-CN"")"),"然后，两者开始互相执行探戈例程。")</f>
        <v>然后，两者开始互相执行探戈例程。</v>
      </c>
    </row>
    <row r="24276">
      <c r="A24276" s="4" t="s">
        <v>30542</v>
      </c>
      <c r="B24276" s="4" t="s">
        <v>30545</v>
      </c>
      <c r="C24276" s="5" t="str">
        <f>IFERROR(__xludf.DUMMYFUNCTION("GOOGLETRANSLATE(B24276,""en"",""zh-CN"")"),"男人在继续跳舞的同时，将那个女人抬起四周，并以姿势结束。")</f>
        <v>男人在继续跳舞的同时，将那个女人抬起四周，并以姿势结束。</v>
      </c>
    </row>
    <row r="24277">
      <c r="A24277" s="4" t="s">
        <v>30546</v>
      </c>
      <c r="B24277" s="4" t="s">
        <v>30547</v>
      </c>
      <c r="C24277" s="5" t="str">
        <f>IFERROR(__xludf.DUMMYFUNCTION("GOOGLETRANSLATE(B24277,""en"",""zh-CN"")"),"一个十几岁的男孩和女孩正坐在从软管中吸烟的汽车上。")</f>
        <v>一个十几岁的男孩和女孩正坐在从软管中吸烟的汽车上。</v>
      </c>
    </row>
    <row r="24278">
      <c r="A24278" s="4" t="s">
        <v>30546</v>
      </c>
      <c r="B24278" s="4" t="s">
        <v>30548</v>
      </c>
      <c r="C24278" s="5" t="str">
        <f>IFERROR(__xludf.DUMMYFUNCTION("GOOGLETRANSLATE(B24278,""en"",""zh-CN"")"),"女孩和男孩轮流吹烟环。")</f>
        <v>女孩和男孩轮流吹烟环。</v>
      </c>
    </row>
    <row r="24279">
      <c r="A24279" s="4" t="s">
        <v>30549</v>
      </c>
      <c r="B24279" s="4" t="s">
        <v>30550</v>
      </c>
      <c r="C24279" s="5" t="str">
        <f>IFERROR(__xludf.DUMMYFUNCTION("GOOGLETRANSLATE(B24279,""en"",""zh-CN"")"),"一个男人在飞镖板上投掷飞镖。")</f>
        <v>一个男人在飞镖板上投掷飞镖。</v>
      </c>
    </row>
    <row r="24280">
      <c r="A24280" s="4" t="s">
        <v>30549</v>
      </c>
      <c r="B24280" s="4" t="s">
        <v>30551</v>
      </c>
      <c r="C24280" s="5" t="str">
        <f>IFERROR(__xludf.DUMMYFUNCTION("GOOGLETRANSLATE(B24280,""en"",""zh-CN"")"),"他指着衬衫上的话。")</f>
        <v>他指着衬衫上的话。</v>
      </c>
    </row>
    <row r="24281">
      <c r="A24281" s="4" t="s">
        <v>30549</v>
      </c>
      <c r="B24281" s="4" t="s">
        <v>30552</v>
      </c>
      <c r="C24281" s="5" t="str">
        <f>IFERROR(__xludf.DUMMYFUNCTION("GOOGLETRANSLATE(B24281,""en"",""zh-CN"")"),"他在飞镖板上展示了飞镖。")</f>
        <v>他在飞镖板上展示了飞镖。</v>
      </c>
    </row>
    <row r="24282">
      <c r="A24282" s="4" t="s">
        <v>30549</v>
      </c>
      <c r="B24282" s="4" t="s">
        <v>30553</v>
      </c>
      <c r="C24282" s="5" t="str">
        <f>IFERROR(__xludf.DUMMYFUNCTION("GOOGLETRANSLATE(B24282,""en"",""zh-CN"")"),"他扔飞镖时伸出手。")</f>
        <v>他扔飞镖时伸出手。</v>
      </c>
    </row>
    <row r="24283">
      <c r="A24283" s="4" t="s">
        <v>30554</v>
      </c>
      <c r="B24283" s="4" t="s">
        <v>30555</v>
      </c>
      <c r="C24283" s="5" t="str">
        <f>IFERROR(__xludf.DUMMYFUNCTION("GOOGLETRANSLATE(B24283,""en"",""zh-CN"")"),"看到一个人跪在一个大洞中沿着墙壁摩擦石膏。")</f>
        <v>看到一个人跪在一个大洞中沿着墙壁摩擦石膏。</v>
      </c>
    </row>
    <row r="24284">
      <c r="A24284" s="4" t="s">
        <v>30554</v>
      </c>
      <c r="B24284" s="4" t="s">
        <v>30556</v>
      </c>
      <c r="C24284" s="5" t="str">
        <f>IFERROR(__xludf.DUMMYFUNCTION("GOOGLETRANSLATE(B24284,""en"",""zh-CN"")"),"该男子使用工具擦石膏，站起来抓纸。")</f>
        <v>该男子使用工具擦石膏，站起来抓纸。</v>
      </c>
    </row>
    <row r="24285">
      <c r="A24285" s="4" t="s">
        <v>30554</v>
      </c>
      <c r="B24285" s="4" t="s">
        <v>30557</v>
      </c>
      <c r="C24285" s="5" t="str">
        <f>IFERROR(__xludf.DUMMYFUNCTION("GOOGLETRANSLATE(B24285,""en"",""zh-CN"")"),"他沿着墙壁摩擦纸，然后抬头望向相机。")</f>
        <v>他沿着墙壁摩擦纸，然后抬头望向相机。</v>
      </c>
    </row>
    <row r="24286">
      <c r="A24286" s="4" t="s">
        <v>30558</v>
      </c>
      <c r="B24286" s="4" t="s">
        <v>30559</v>
      </c>
      <c r="C24286" s="5" t="str">
        <f>IFERROR(__xludf.DUMMYFUNCTION("GOOGLETRANSLATE(B24286,""en"",""zh-CN"")"),"一个胡须的男人在绿桶上嬉戏。")</f>
        <v>一个胡须的男人在绿桶上嬉戏。</v>
      </c>
    </row>
    <row r="24287">
      <c r="A24287" s="4" t="s">
        <v>30558</v>
      </c>
      <c r="B24287" s="4" t="s">
        <v>30560</v>
      </c>
      <c r="C24287" s="5" t="str">
        <f>IFERROR(__xludf.DUMMYFUNCTION("GOOGLETRANSLATE(B24287,""en"",""zh-CN"")"),"该男子开始在混音中加入第二个鼓。")</f>
        <v>该男子开始在混音中加入第二个鼓。</v>
      </c>
    </row>
    <row r="24288">
      <c r="A24288" s="4" t="s">
        <v>30558</v>
      </c>
      <c r="B24288" s="4" t="s">
        <v>30561</v>
      </c>
      <c r="C24288" s="5" t="str">
        <f>IFERROR(__xludf.DUMMYFUNCTION("GOOGLETRANSLATE(B24288,""en"",""zh-CN"")"),"在鼓声混合物中添加了第三个鼓。")</f>
        <v>在鼓声混合物中添加了第三个鼓。</v>
      </c>
    </row>
    <row r="24289">
      <c r="A24289" s="4" t="s">
        <v>30562</v>
      </c>
      <c r="B24289" s="4" t="s">
        <v>30563</v>
      </c>
      <c r="C24289" s="5" t="str">
        <f>IFERROR(__xludf.DUMMYFUNCTION("GOOGLETRANSLATE(B24289,""en"",""zh-CN"")"),"我们看到人们拿着电话记录下来。")</f>
        <v>我们看到人们拿着电话记录下来。</v>
      </c>
    </row>
    <row r="24290">
      <c r="A24290" s="4" t="s">
        <v>30562</v>
      </c>
      <c r="B24290" s="4" t="s">
        <v>30564</v>
      </c>
      <c r="C24290" s="5" t="str">
        <f>IFERROR(__xludf.DUMMYFUNCTION("GOOGLETRANSLATE(B24290,""en"",""zh-CN"")"),"然后，我们看到一个男人弹钢琴。")</f>
        <v>然后，我们看到一个男人弹钢琴。</v>
      </c>
    </row>
    <row r="24291">
      <c r="A24291" s="4" t="s">
        <v>30562</v>
      </c>
      <c r="B24291" s="4" t="s">
        <v>30565</v>
      </c>
      <c r="C24291" s="5" t="str">
        <f>IFERROR(__xludf.DUMMYFUNCTION("GOOGLETRANSLATE(B24291,""en"",""zh-CN"")"),"相机在男人的背上移动。")</f>
        <v>相机在男人的背上移动。</v>
      </c>
    </row>
    <row r="24292">
      <c r="A24292" s="4" t="s">
        <v>30562</v>
      </c>
      <c r="B24292" s="4" t="s">
        <v>30566</v>
      </c>
      <c r="C24292" s="5" t="str">
        <f>IFERROR(__xludf.DUMMYFUNCTION("GOOGLETRANSLATE(B24292,""en"",""zh-CN"")"),"然后，人群为那个男人鼓掌。")</f>
        <v>然后，人群为那个男人鼓掌。</v>
      </c>
    </row>
    <row r="24293">
      <c r="A24293" s="4" t="s">
        <v>30562</v>
      </c>
      <c r="B24293" s="4" t="s">
        <v>30567</v>
      </c>
      <c r="C24293" s="5" t="str">
        <f>IFERROR(__xludf.DUMMYFUNCTION("GOOGLETRANSLATE(B24293,""en"",""zh-CN"")"),"然后，男人抬头说话。")</f>
        <v>然后，男人抬头说话。</v>
      </c>
    </row>
    <row r="24294">
      <c r="A24294" s="4" t="s">
        <v>30568</v>
      </c>
      <c r="B24294" s="6" t="s">
        <v>30569</v>
      </c>
      <c r="C24294" s="5" t="str">
        <f>IFERROR(__xludf.DUMMYFUNCTION("GOOGLETRANSLATE(B24294,""en"",""zh-CN"")"),"人们在室内，重点是各种不同的人相互围起来的片段。")</f>
        <v>人们在室内，重点是各种不同的人相互围起来的片段。</v>
      </c>
    </row>
    <row r="24295">
      <c r="A24295" s="4" t="s">
        <v>30568</v>
      </c>
      <c r="B24295" s="6" t="s">
        <v>30570</v>
      </c>
      <c r="C24295" s="5" t="str">
        <f>IFERROR(__xludf.DUMMYFUNCTION("GOOGLETRANSLATE(B24295,""en"",""zh-CN"")"),"两名女性开始的围栏比赛和屏幕上的措辞说他们的名字是Michelle Li＆Cindy Gao，他们被证明是从各种不同角度进行战斗，进行了许多围栏。")</f>
        <v>两名女性开始的围栏比赛和屏幕上的措辞说他们的名字是Michelle Li＆Cindy Gao，他们被证明是从各种不同角度进行战斗，进行了许多围栏。</v>
      </c>
    </row>
    <row r="24296">
      <c r="A24296" s="4" t="s">
        <v>30568</v>
      </c>
      <c r="B24296" s="6" t="s">
        <v>30571</v>
      </c>
      <c r="C24296" s="5" t="str">
        <f>IFERROR(__xludf.DUMMYFUNCTION("GOOGLETRANSLATE(B24296,""en"",""zh-CN"")"),"战斗后，妇女被展示在一起，微笑着，左边的女人的胳膊躺在右边女人的肩膀上。")</f>
        <v>战斗后，妇女被展示在一起，微笑着，左边的女人的胳膊躺在右边女人的肩膀上。</v>
      </c>
    </row>
    <row r="24297">
      <c r="A24297" s="4" t="s">
        <v>30568</v>
      </c>
      <c r="B24297" s="6" t="s">
        <v>30572</v>
      </c>
      <c r="C24297" s="5" t="str">
        <f>IFERROR(__xludf.DUMMYFUNCTION("GOOGLETRANSLATE(B24297,""en"",""zh-CN"")"),"Outro是一个白色屏幕，上面有多种颜色，其中包括徽标，网站和活动的名称。")</f>
        <v>Outro是一个白色屏幕，上面有多种颜色，其中包括徽标，网站和活动的名称。</v>
      </c>
    </row>
    <row r="24298">
      <c r="A24298" s="4" t="s">
        <v>30573</v>
      </c>
      <c r="B24298" s="6" t="s">
        <v>30574</v>
      </c>
      <c r="C24298" s="5" t="str">
        <f>IFERROR(__xludf.DUMMYFUNCTION("GOOGLETRANSLATE(B24298,""en"",""zh-CN"")"),"一个女人坐在纹身坐在椅子上坐在椅子上的微笑，耐心地等待着，微笑着友好。")</f>
        <v>一个女人坐在纹身坐在椅子上坐在椅子上的微笑，耐心地等待着，微笑着友好。</v>
      </c>
    </row>
    <row r="24299">
      <c r="A24299" s="4" t="s">
        <v>30573</v>
      </c>
      <c r="B24299" s="4" t="s">
        <v>30575</v>
      </c>
      <c r="C24299" s="5" t="str">
        <f>IFERROR(__xludf.DUMMYFUNCTION("GOOGLETRANSLATE(B24299,""en"",""zh-CN"")"),"他戴着手套并抓住一个夹具，然后HR将其放在她的嘴里，并用它夹住嘴唇。")</f>
        <v>他戴着手套并抓住一个夹具，然后HR将其放在她的嘴里，并用它夹住嘴唇。</v>
      </c>
    </row>
    <row r="24300">
      <c r="A24300" s="4" t="s">
        <v>30573</v>
      </c>
      <c r="B24300" s="4" t="s">
        <v>30576</v>
      </c>
      <c r="C24300" s="5" t="str">
        <f>IFERROR(__xludf.DUMMYFUNCTION("GOOGLETRANSLATE(B24300,""en"",""zh-CN"")"),"然后抓住一根针并将其粘在她的嘴唇上，他被刺穿并为她戴上。")</f>
        <v>然后抓住一根针并将其粘在她的嘴唇上，他被刺穿并为她戴上。</v>
      </c>
    </row>
    <row r="24301">
      <c r="A24301" s="4" t="s">
        <v>30573</v>
      </c>
      <c r="B24301" s="4" t="s">
        <v>30577</v>
      </c>
      <c r="C24301" s="5" t="str">
        <f>IFERROR(__xludf.DUMMYFUNCTION("GOOGLETRANSLATE(B24301,""en"",""zh-CN"")"),"之后，她从椅子上站起来，走到镜子里自己检查一下。")</f>
        <v>之后，她从椅子上站起来，走到镜子里自己检查一下。</v>
      </c>
    </row>
    <row r="24302">
      <c r="A24302" s="4" t="s">
        <v>30578</v>
      </c>
      <c r="B24302" s="4" t="s">
        <v>30579</v>
      </c>
      <c r="C24302" s="5" t="str">
        <f>IFERROR(__xludf.DUMMYFUNCTION("GOOGLETRANSLATE(B24302,""en"",""zh-CN"")"),"看到一个小女孩，双手在臀部上一遍又一遍地徘徊。")</f>
        <v>看到一个小女孩，双手在臀部上一遍又一遍地徘徊。</v>
      </c>
    </row>
    <row r="24303">
      <c r="A24303" s="4" t="s">
        <v>30578</v>
      </c>
      <c r="B24303" s="6" t="s">
        <v>30580</v>
      </c>
      <c r="C24303" s="5" t="str">
        <f>IFERROR(__xludf.DUMMYFUNCTION("GOOGLETRANSLATE(B24303,""en"",""zh-CN"")"),"这个女孩随着呼啦圈从脚到膝盖以及身体的其余部分旋转。")</f>
        <v>这个女孩随着呼啦圈从脚到膝盖以及身体的其余部分旋转。</v>
      </c>
    </row>
    <row r="24304">
      <c r="A24304" s="4" t="s">
        <v>30578</v>
      </c>
      <c r="B24304" s="6" t="s">
        <v>30581</v>
      </c>
      <c r="C24304" s="5" t="str">
        <f>IFERROR(__xludf.DUMMYFUNCTION("GOOGLETRANSLATE(B24304,""en"",""zh-CN"")"),"在某一时刻，她不小心扔了呼啦圈，但将其捡起并继续旋转。")</f>
        <v>在某一时刻，她不小心扔了呼啦圈，但将其捡起并继续旋转。</v>
      </c>
    </row>
    <row r="24305">
      <c r="A24305" s="4" t="s">
        <v>30578</v>
      </c>
      <c r="B24305" s="4" t="s">
        <v>30582</v>
      </c>
      <c r="C24305" s="5" t="str">
        <f>IFERROR(__xludf.DUMMYFUNCTION("GOOGLETRANSLATE(B24305,""en"",""zh-CN"")"),"最后，她跌落在地面上，箍仍掌握在手中。")</f>
        <v>最后，她跌落在地面上，箍仍掌握在手中。</v>
      </c>
    </row>
    <row r="24306">
      <c r="A24306" s="4" t="s">
        <v>30583</v>
      </c>
      <c r="B24306" s="4" t="s">
        <v>30584</v>
      </c>
      <c r="C24306" s="5" t="str">
        <f>IFERROR(__xludf.DUMMYFUNCTION("GOOGLETRANSLATE(B24306,""en"",""zh-CN"")"),"有冲浪者在很大的波浪上骑行。")</f>
        <v>有冲浪者在很大的波浪上骑行。</v>
      </c>
    </row>
    <row r="24307">
      <c r="A24307" s="4" t="s">
        <v>30583</v>
      </c>
      <c r="B24307" s="6" t="s">
        <v>30585</v>
      </c>
      <c r="C24307" s="5" t="str">
        <f>IFERROR(__xludf.DUMMYFUNCTION("GOOGLETRANSLATE(B24307,""en"",""zh-CN"")"),"白色的波浪坠毁，下面的冲浪者消失了，因为波浪的大白色泡沫散布在水上很大的区域。")</f>
        <v>白色的波浪坠毁，下面的冲浪者消失了，因为波浪的大白色泡沫散布在水上很大的区域。</v>
      </c>
    </row>
    <row r="24308">
      <c r="A24308" s="4" t="s">
        <v>30583</v>
      </c>
      <c r="B24308" s="6" t="s">
        <v>30586</v>
      </c>
      <c r="C24308" s="5" t="str">
        <f>IFERROR(__xludf.DUMMYFUNCTION("GOOGLETRANSLATE(B24308,""en"",""zh-CN"")"),"水上飞机上的男人很快去冲浪者可能会去的地区，他们从水中恢复了水，并在他们经过其他冲浪者和水喷射驾驶员时迅速从海浪中驶走，因为他们都继续在海浪上骑行。")</f>
        <v>水上飞机上的男人很快去冲浪者可能会去的地区，他们从水中恢复了水，并在他们经过其他冲浪者和水喷射驾驶员时迅速从海浪中驶走，因为他们都继续在海浪上骑行。</v>
      </c>
    </row>
    <row r="24309">
      <c r="A24309" s="4" t="s">
        <v>30583</v>
      </c>
      <c r="B24309" s="6" t="s">
        <v>30587</v>
      </c>
      <c r="C24309" s="5" t="str">
        <f>IFERROR(__xludf.DUMMYFUNCTION("GOOGLETRANSLATE(B24309,""en"",""zh-CN"")"),"现在，视图从上方的直升机上改变了视图，它显示了水上驾驶水喷气机的人们。")</f>
        <v>现在，视图从上方的直升机上改变了视图，它显示了水上驾驶水喷气机的人们。</v>
      </c>
    </row>
    <row r="24310">
      <c r="A24310" s="4" t="s">
        <v>30583</v>
      </c>
      <c r="B24310" s="6" t="s">
        <v>30588</v>
      </c>
      <c r="C24310" s="5" t="str">
        <f>IFERROR(__xludf.DUMMYFUNCTION("GOOGLETRANSLATE(B24310,""en"",""zh-CN"")"),"出现了一个黑屏，其中包括白色字母，说明“迈克·沃尔茨（Mike Waltze）在红色的红色上射击”，并包括一个网站，然后是“ nanogreenshawaii dot com Instant有机营养”一词。")</f>
        <v>出现了一个黑屏，其中包括白色字母，说明“迈克·沃尔茨（Mike Waltze）在红色的红色上射击”，并包括一个网站，然后是“ nanogreenshawaii dot com Instant有机营养”一词。</v>
      </c>
    </row>
    <row r="24311">
      <c r="A24311" s="4" t="s">
        <v>30589</v>
      </c>
      <c r="B24311" s="4" t="s">
        <v>30590</v>
      </c>
      <c r="C24311" s="5" t="str">
        <f>IFERROR(__xludf.DUMMYFUNCTION("GOOGLETRANSLATE(B24311,""en"",""zh-CN"")"),"一个穿着裁判的男人在曲棍球溜冰场中显示出来。")</f>
        <v>一个穿着裁判的男人在曲棍球溜冰场中显示出来。</v>
      </c>
    </row>
    <row r="24312">
      <c r="A24312" s="4" t="s">
        <v>30589</v>
      </c>
      <c r="B24312" s="4" t="s">
        <v>30591</v>
      </c>
      <c r="C24312" s="5" t="str">
        <f>IFERROR(__xludf.DUMMYFUNCTION("GOOGLETRANSLATE(B24312,""en"",""zh-CN"")"),"许多男人的比赛显示出曲棍球。")</f>
        <v>许多男人的比赛显示出曲棍球。</v>
      </c>
    </row>
    <row r="24313">
      <c r="A24313" s="4" t="s">
        <v>30589</v>
      </c>
      <c r="B24313" s="4" t="s">
        <v>30592</v>
      </c>
      <c r="C24313" s="5" t="str">
        <f>IFERROR(__xludf.DUMMYFUNCTION("GOOGLETRANSLATE(B24313,""en"",""zh-CN"")"),"几名曲棍球运动员开始战斗。")</f>
        <v>几名曲棍球运动员开始战斗。</v>
      </c>
    </row>
    <row r="24314">
      <c r="A24314" s="4" t="s">
        <v>30593</v>
      </c>
      <c r="B24314" s="4" t="s">
        <v>30594</v>
      </c>
      <c r="C24314" s="5" t="str">
        <f>IFERROR(__xludf.DUMMYFUNCTION("GOOGLETRANSLATE(B24314,""en"",""zh-CN"")"),"人们正在与游行乐队一起在街上行走。")</f>
        <v>人们正在与游行乐队一起在街上行走。</v>
      </c>
    </row>
    <row r="24315">
      <c r="A24315" s="4" t="s">
        <v>30593</v>
      </c>
      <c r="B24315" s="4" t="s">
        <v>30595</v>
      </c>
      <c r="C24315" s="5" t="str">
        <f>IFERROR(__xludf.DUMMYFUNCTION("GOOGLETRANSLATE(B24315,""en"",""zh-CN"")"),"穿着绿色背心的男人在游行的两侧行走。")</f>
        <v>穿着绿色背心的男人在游行的两侧行走。</v>
      </c>
    </row>
    <row r="24316">
      <c r="A24316" s="4" t="s">
        <v>30593</v>
      </c>
      <c r="B24316" s="4" t="s">
        <v>30596</v>
      </c>
      <c r="C24316" s="5" t="str">
        <f>IFERROR(__xludf.DUMMYFUNCTION("GOOGLETRANSLATE(B24316,""en"",""zh-CN"")"),"霓虹灯绿色外套的那个人正在拍摄游行。")</f>
        <v>霓虹灯绿色外套的那个人正在拍摄游行。</v>
      </c>
    </row>
    <row r="24317">
      <c r="A24317" s="4" t="s">
        <v>30597</v>
      </c>
      <c r="B24317" s="4" t="s">
        <v>30598</v>
      </c>
      <c r="C24317" s="5" t="str">
        <f>IFERROR(__xludf.DUMMYFUNCTION("GOOGLETRANSLATE(B24317,""en"",""zh-CN"")"),"有一个年轻人滑板穿过两条车道的空道，两侧都有树木。")</f>
        <v>有一个年轻人滑板穿过两条车道的空道，两侧都有树木。</v>
      </c>
    </row>
    <row r="24318">
      <c r="A24318" s="4" t="s">
        <v>30597</v>
      </c>
      <c r="B24318" s="4" t="s">
        <v>30599</v>
      </c>
      <c r="C24318" s="5" t="str">
        <f>IFERROR(__xludf.DUMMYFUNCTION("GOOGLETRANSLATE(B24318,""en"",""zh-CN"")"),"他稳步穿越漫长而蜿蜒的道路，不停止。")</f>
        <v>他稳步穿越漫长而蜿蜒的道路，不停止。</v>
      </c>
    </row>
    <row r="24319">
      <c r="A24319" s="4" t="s">
        <v>30597</v>
      </c>
      <c r="B24319" s="4" t="s">
        <v>30600</v>
      </c>
      <c r="C24319" s="5" t="str">
        <f>IFERROR(__xludf.DUMMYFUNCTION("GOOGLETRANSLATE(B24319,""en"",""zh-CN"")"),"他经过曲线，转身调整速度。")</f>
        <v>他经过曲线，转身调整速度。</v>
      </c>
    </row>
    <row r="24320">
      <c r="A24320" s="4" t="s">
        <v>30597</v>
      </c>
      <c r="B24320" s="6" t="s">
        <v>30601</v>
      </c>
      <c r="C24320" s="5" t="str">
        <f>IFERROR(__xludf.DUMMYFUNCTION("GOOGLETRANSLATE(B24320,""en"",""zh-CN"")"),"然后，当他接近陡峭的曲线时，他试图转弯，但最终掉下来瘀伤。")</f>
        <v>然后，当他接近陡峭的曲线时，他试图转弯，但最终掉下来瘀伤。</v>
      </c>
    </row>
    <row r="24321">
      <c r="A24321" s="4" t="s">
        <v>30597</v>
      </c>
      <c r="B24321" s="4" t="s">
        <v>30602</v>
      </c>
      <c r="C24321" s="5" t="str">
        <f>IFERROR(__xludf.DUMMYFUNCTION("GOOGLETRANSLATE(B24321,""en"",""zh-CN"")"),"他立即站起来，向他的朋友展示了他的刮伤和受伤的肘部。")</f>
        <v>他立即站起来，向他的朋友展示了他的刮伤和受伤的肘部。</v>
      </c>
    </row>
    <row r="24322">
      <c r="A24322" s="4" t="s">
        <v>30597</v>
      </c>
      <c r="B24322" s="4" t="s">
        <v>30603</v>
      </c>
      <c r="C24322" s="5" t="str">
        <f>IFERROR(__xludf.DUMMYFUNCTION("GOOGLETRANSLATE(B24322,""en"",""zh-CN"")"),"他的另一个朋友还表明了他因滑板而受到的伤害。")</f>
        <v>他的另一个朋友还表明了他因滑板而受到的伤害。</v>
      </c>
    </row>
    <row r="24323">
      <c r="A24323" s="4" t="s">
        <v>30604</v>
      </c>
      <c r="B24323" s="4" t="s">
        <v>30605</v>
      </c>
      <c r="C24323" s="5" t="str">
        <f>IFERROR(__xludf.DUMMYFUNCTION("GOOGLETRANSLATE(B24323,""en"",""zh-CN"")"),"显示了独木舟冲刺的蒙太奇。")</f>
        <v>显示了独木舟冲刺的蒙太奇。</v>
      </c>
    </row>
    <row r="24324">
      <c r="A24324" s="4" t="s">
        <v>30604</v>
      </c>
      <c r="B24324" s="4" t="s">
        <v>30606</v>
      </c>
      <c r="C24324" s="5" t="str">
        <f>IFERROR(__xludf.DUMMYFUNCTION("GOOGLETRANSLATE(B24324,""en"",""zh-CN"")"),"获奖者庆祝并展示了男子和女子。")</f>
        <v>获奖者庆祝并展示了男子和女子。</v>
      </c>
    </row>
    <row r="24325">
      <c r="A24325" s="4" t="s">
        <v>30607</v>
      </c>
      <c r="B24325" s="4" t="s">
        <v>30608</v>
      </c>
      <c r="C24325" s="5" t="str">
        <f>IFERROR(__xludf.DUMMYFUNCTION("GOOGLETRANSLATE(B24325,""en"",""zh-CN"")"),"介绍出现在屏幕上，介绍了一个视频，展示了如何进行三级跳跃。")</f>
        <v>介绍出现在屏幕上，介绍了一个视频，展示了如何进行三级跳跃。</v>
      </c>
    </row>
    <row r="24326">
      <c r="A24326" s="4" t="s">
        <v>30607</v>
      </c>
      <c r="B24326" s="4" t="s">
        <v>30609</v>
      </c>
      <c r="C24326" s="5" t="str">
        <f>IFERROR(__xludf.DUMMYFUNCTION("GOOGLETRANSLATE(B24326,""en"",""zh-CN"")"),"一个人被显示在轨道上跳来跳去。")</f>
        <v>一个人被显示在轨道上跳来跳去。</v>
      </c>
    </row>
    <row r="24327">
      <c r="A24327" s="4" t="s">
        <v>30607</v>
      </c>
      <c r="B24327" s="4" t="s">
        <v>30610</v>
      </c>
      <c r="C24327" s="5" t="str">
        <f>IFERROR(__xludf.DUMMYFUNCTION("GOOGLETRANSLATE(B24327,""en"",""zh-CN"")"),"跳跃以慢动作再次显示，以更好地理解。")</f>
        <v>跳跃以慢动作再次显示，以更好地理解。</v>
      </c>
    </row>
    <row r="24328">
      <c r="A24328" s="4" t="s">
        <v>30607</v>
      </c>
      <c r="B24328" s="4" t="s">
        <v>30611</v>
      </c>
      <c r="C24328" s="5" t="str">
        <f>IFERROR(__xludf.DUMMYFUNCTION("GOOGLETRANSLATE(B24328,""en"",""zh-CN"")"),"然后显示该家伙离开赛道。")</f>
        <v>然后显示该家伙离开赛道。</v>
      </c>
    </row>
    <row r="24329">
      <c r="A24329" s="4" t="s">
        <v>30612</v>
      </c>
      <c r="B24329" s="4" t="s">
        <v>30613</v>
      </c>
      <c r="C24329" s="5" t="str">
        <f>IFERROR(__xludf.DUMMYFUNCTION("GOOGLETRANSLATE(B24329,""en"",""zh-CN"")"),"一个人正在洗车。")</f>
        <v>一个人正在洗车。</v>
      </c>
    </row>
    <row r="24330">
      <c r="A24330" s="4" t="s">
        <v>30612</v>
      </c>
      <c r="B24330" s="4" t="s">
        <v>30614</v>
      </c>
      <c r="C24330" s="5" t="str">
        <f>IFERROR(__xludf.DUMMYFUNCTION("GOOGLETRANSLATE(B24330,""en"",""zh-CN"")"),"该人用另一只手易手洗手。")</f>
        <v>该人用另一只手易手洗手。</v>
      </c>
    </row>
    <row r="24331">
      <c r="A24331" s="4" t="s">
        <v>30612</v>
      </c>
      <c r="B24331" s="4" t="s">
        <v>30615</v>
      </c>
      <c r="C24331" s="5" t="str">
        <f>IFERROR(__xludf.DUMMYFUNCTION("GOOGLETRANSLATE(B24331,""en"",""zh-CN"")"),"然后他们用双手。")</f>
        <v>然后他们用双手。</v>
      </c>
    </row>
    <row r="24332">
      <c r="A24332" s="4" t="s">
        <v>30616</v>
      </c>
      <c r="B24332" s="4" t="s">
        <v>30617</v>
      </c>
      <c r="C24332" s="5" t="str">
        <f>IFERROR(__xludf.DUMMYFUNCTION("GOOGLETRANSLATE(B24332,""en"",""zh-CN"")"),"一个男人靠在一张大台球桌上。")</f>
        <v>一个男人靠在一张大台球桌上。</v>
      </c>
    </row>
    <row r="24333">
      <c r="A24333" s="4" t="s">
        <v>30616</v>
      </c>
      <c r="B24333" s="4" t="s">
        <v>30618</v>
      </c>
      <c r="C24333" s="5" t="str">
        <f>IFERROR(__xludf.DUMMYFUNCTION("GOOGLETRANSLATE(B24333,""en"",""zh-CN"")"),"他用提示将球向口袋射击。")</f>
        <v>他用提示将球向口袋射击。</v>
      </c>
    </row>
    <row r="24334">
      <c r="A24334" s="4" t="s">
        <v>30616</v>
      </c>
      <c r="B24334" s="4" t="s">
        <v>30619</v>
      </c>
      <c r="C24334" s="5" t="str">
        <f>IFERROR(__xludf.DUMMYFUNCTION("GOOGLETRANSLATE(B24334,""en"",""zh-CN"")"),"他一次又一次地尝试，直到他们进入口袋。")</f>
        <v>他一次又一次地尝试，直到他们进入口袋。</v>
      </c>
    </row>
    <row r="24335">
      <c r="A24335" s="4" t="s">
        <v>30620</v>
      </c>
      <c r="B24335" s="4" t="s">
        <v>30621</v>
      </c>
      <c r="C24335" s="5" t="str">
        <f>IFERROR(__xludf.DUMMYFUNCTION("GOOGLETRANSLATE(B24335,""en"",""zh-CN"")"),"教室里到处都是坐着或站立的学生。")</f>
        <v>教室里到处都是坐着或站立的学生。</v>
      </c>
    </row>
    <row r="24336">
      <c r="A24336" s="4" t="s">
        <v>30620</v>
      </c>
      <c r="B24336" s="6" t="s">
        <v>30622</v>
      </c>
      <c r="C24336" s="5" t="str">
        <f>IFERROR(__xludf.DUMMYFUNCTION("GOOGLETRANSLATE(B24336,""en"",""zh-CN"")"),"突然，一群男孩开始在教室旁边跑来跑去，在上班班时进行舞蹈和锻炼，并进行舞蹈和锻炼。")</f>
        <v>突然，一群男孩开始在教室旁边跑来跑去，在上班班时进行舞蹈和锻炼，并进行舞蹈和锻炼。</v>
      </c>
    </row>
    <row r="24337">
      <c r="A24337" s="4" t="s">
        <v>30620</v>
      </c>
      <c r="B24337" s="4" t="s">
        <v>30623</v>
      </c>
      <c r="C24337" s="5" t="str">
        <f>IFERROR(__xludf.DUMMYFUNCTION("GOOGLETRANSLATE(B24337,""en"",""zh-CN"")"),"男孩们分开并结束他们的日常活动，然后在微笑时互相走向。")</f>
        <v>男孩们分开并结束他们的日常活动，然后在微笑时互相走向。</v>
      </c>
    </row>
    <row r="24338">
      <c r="A24338" s="4" t="s">
        <v>30624</v>
      </c>
      <c r="B24338" s="4" t="s">
        <v>30625</v>
      </c>
      <c r="C24338" s="5" t="str">
        <f>IFERROR(__xludf.DUMMYFUNCTION("GOOGLETRANSLATE(B24338,""en"",""zh-CN"")"),"一个男人正在健身房内进行分裂。")</f>
        <v>一个男人正在健身房内进行分裂。</v>
      </c>
    </row>
    <row r="24339">
      <c r="A24339" s="4" t="s">
        <v>30624</v>
      </c>
      <c r="B24339" s="4" t="s">
        <v>30626</v>
      </c>
      <c r="C24339" s="5" t="str">
        <f>IFERROR(__xludf.DUMMYFUNCTION("GOOGLETRANSLATE(B24339,""en"",""zh-CN"")"),"他与相机谈论了该过程。")</f>
        <v>他与相机谈论了该过程。</v>
      </c>
    </row>
    <row r="24340">
      <c r="A24340" s="4" t="s">
        <v>30624</v>
      </c>
      <c r="B24340" s="4" t="s">
        <v>30627</v>
      </c>
      <c r="C24340" s="5" t="str">
        <f>IFERROR(__xludf.DUMMYFUNCTION("GOOGLETRANSLATE(B24340,""en"",""zh-CN"")"),"他向前倾斜，伸展双腿。")</f>
        <v>他向前倾斜，伸展双腿。</v>
      </c>
    </row>
    <row r="24341">
      <c r="A24341" s="4" t="s">
        <v>30628</v>
      </c>
      <c r="B24341" s="6" t="s">
        <v>30629</v>
      </c>
      <c r="C24341" s="5" t="str">
        <f>IFERROR(__xludf.DUMMYFUNCTION("GOOGLETRANSLATE(B24341,""en"",""zh-CN"")"),"一个女人站在前面的油漆上，拿着瓶子，然后在画布上的绘画显示在幻灯片中。")</f>
        <v>一个女人站在前面的油漆上，拿着瓶子，然后在画布上的绘画显示在幻灯片中。</v>
      </c>
    </row>
    <row r="24342">
      <c r="A24342" s="4" t="s">
        <v>30628</v>
      </c>
      <c r="B24342" s="6" t="s">
        <v>30630</v>
      </c>
      <c r="C24342" s="5" t="str">
        <f>IFERROR(__xludf.DUMMYFUNCTION("GOOGLETRANSLATE(B24342,""en"",""zh-CN"")"),"然后，女人用瓶子绘制两个画布，当必要时，女人旋转了画布。")</f>
        <v>然后，女人用瓶子绘制两个画布，当必要时，女人旋转了画布。</v>
      </c>
    </row>
    <row r="24343">
      <c r="A24343" s="4" t="s">
        <v>30628</v>
      </c>
      <c r="B24343" s="4" t="s">
        <v>30631</v>
      </c>
      <c r="C24343" s="5" t="str">
        <f>IFERROR(__xludf.DUMMYFUNCTION("GOOGLETRANSLATE(B24343,""en"",""zh-CN"")"),"然后，女人把画布放在地板上，继续用瓶子绘画。")</f>
        <v>然后，女人把画布放在地板上，继续用瓶子绘画。</v>
      </c>
    </row>
    <row r="24344">
      <c r="A24344" s="4" t="s">
        <v>30628</v>
      </c>
      <c r="B24344" s="6" t="s">
        <v>30632</v>
      </c>
      <c r="C24344" s="5" t="str">
        <f>IFERROR(__xludf.DUMMYFUNCTION("GOOGLETRANSLATE(B24344,""en"",""zh-CN"")"),"之后，那个女人将绘画挂在地上，然后将绘画放在地板上，然后挂在墙上继续绘画。")</f>
        <v>之后，那个女人将绘画挂在地上，然后将绘画放在地板上，然后挂在墙上继续绘画。</v>
      </c>
    </row>
    <row r="24345">
      <c r="A24345" s="4" t="s">
        <v>30633</v>
      </c>
      <c r="B24345" s="4" t="s">
        <v>30634</v>
      </c>
      <c r="C24345" s="5" t="str">
        <f>IFERROR(__xludf.DUMMYFUNCTION("GOOGLETRANSLATE(B24345,""en"",""zh-CN"")"),"一个人在面包上散布一些绿色的东西。")</f>
        <v>一个人在面包上散布一些绿色的东西。</v>
      </c>
    </row>
    <row r="24346">
      <c r="A24346" s="4" t="s">
        <v>30633</v>
      </c>
      <c r="B24346" s="4" t="s">
        <v>30635</v>
      </c>
      <c r="C24346" s="5" t="str">
        <f>IFERROR(__xludf.DUMMYFUNCTION("GOOGLETRANSLATE(B24346,""en"",""zh-CN"")"),"他们将三明治放入烤架中。")</f>
        <v>他们将三明治放入烤架中。</v>
      </c>
    </row>
    <row r="24347">
      <c r="A24347" s="4" t="s">
        <v>30633</v>
      </c>
      <c r="B24347" s="4" t="s">
        <v>30636</v>
      </c>
      <c r="C24347" s="5" t="str">
        <f>IFERROR(__xludf.DUMMYFUNCTION("GOOGLETRANSLATE(B24347,""en"",""zh-CN"")"),"他们将三明治从烤架上取出，然后将其放在盘子上。")</f>
        <v>他们将三明治从烤架上取出，然后将其放在盘子上。</v>
      </c>
    </row>
    <row r="24348">
      <c r="A24348" s="4" t="s">
        <v>30637</v>
      </c>
      <c r="B24348" s="4" t="s">
        <v>1251</v>
      </c>
      <c r="C24348" s="5" t="str">
        <f>IFERROR(__xludf.DUMMYFUNCTION("GOOGLETRANSLATE(B24348,""en"",""zh-CN"")"),"显示了剪辑的信用。")</f>
        <v>显示了剪辑的信用。</v>
      </c>
    </row>
    <row r="24349">
      <c r="A24349" s="4" t="s">
        <v>30637</v>
      </c>
      <c r="B24349" s="4" t="s">
        <v>30638</v>
      </c>
      <c r="C24349" s="5" t="str">
        <f>IFERROR(__xludf.DUMMYFUNCTION("GOOGLETRANSLATE(B24349,""en"",""zh-CN"")"),"人们正在内部互动。")</f>
        <v>人们正在内部互动。</v>
      </c>
    </row>
    <row r="24350">
      <c r="A24350" s="4" t="s">
        <v>30637</v>
      </c>
      <c r="B24350" s="4" t="s">
        <v>30639</v>
      </c>
      <c r="C24350" s="5" t="str">
        <f>IFERROR(__xludf.DUMMYFUNCTION("GOOGLETRANSLATE(B24350,""en"",""zh-CN"")"),"人们跑去从球场中央接球。")</f>
        <v>人们跑去从球场中央接球。</v>
      </c>
    </row>
    <row r="24351">
      <c r="A24351" s="4" t="s">
        <v>30637</v>
      </c>
      <c r="B24351" s="4" t="s">
        <v>30640</v>
      </c>
      <c r="C24351" s="5" t="str">
        <f>IFERROR(__xludf.DUMMYFUNCTION("GOOGLETRANSLATE(B24351,""en"",""zh-CN"")"),"两支球队正在打道奇球。")</f>
        <v>两支球队正在打道奇球。</v>
      </c>
    </row>
    <row r="24352">
      <c r="A24352" s="4" t="s">
        <v>30637</v>
      </c>
      <c r="B24352" s="4" t="s">
        <v>30641</v>
      </c>
      <c r="C24352" s="5" t="str">
        <f>IFERROR(__xludf.DUMMYFUNCTION("GOOGLETRANSLATE(B24352,""en"",""zh-CN"")"),"一个红队成员跑起来并直接向对手投掷球。")</f>
        <v>一个红队成员跑起来并直接向对手投掷球。</v>
      </c>
    </row>
    <row r="24353">
      <c r="A24353" s="4" t="s">
        <v>30642</v>
      </c>
      <c r="B24353" s="6" t="s">
        <v>30643</v>
      </c>
      <c r="C24353" s="5" t="str">
        <f>IFERROR(__xludf.DUMMYFUNCTION("GOOGLETRANSLATE(B24353,""en"",""zh-CN"")"),"一名妇女演示了如何用纸巾从水槽水龙头溅出的柜台顶部和水槽。")</f>
        <v>一名妇女演示了如何用纸巾从水槽水龙头溅出的柜台顶部和水槽。</v>
      </c>
    </row>
    <row r="24354">
      <c r="A24354" s="4" t="s">
        <v>30642</v>
      </c>
      <c r="B24354" s="4" t="s">
        <v>30644</v>
      </c>
      <c r="C24354" s="5" t="str">
        <f>IFERROR(__xludf.DUMMYFUNCTION("GOOGLETRANSLATE(B24354,""en"",""zh-CN"")"),"一个女人站在水槽旁边的厨房里，与镜头交谈。")</f>
        <v>一个女人站在水槽旁边的厨房里，与镜头交谈。</v>
      </c>
    </row>
    <row r="24355">
      <c r="A24355" s="4" t="s">
        <v>30642</v>
      </c>
      <c r="B24355" s="6" t="s">
        <v>30645</v>
      </c>
      <c r="C24355" s="5" t="str">
        <f>IFERROR(__xludf.DUMMYFUNCTION("GOOGLETRANSLATE(B24355,""en"",""zh-CN"")"),"女人在水槽上打开水后，指向水槽旁边的柜台上的水溅。")</f>
        <v>女人在水槽上打开水后，指向水槽旁边的柜台上的水溅。</v>
      </c>
    </row>
    <row r="24356">
      <c r="A24356" s="4" t="s">
        <v>30642</v>
      </c>
      <c r="B24356" s="6" t="s">
        <v>30646</v>
      </c>
      <c r="C24356" s="5" t="str">
        <f>IFERROR(__xludf.DUMMYFUNCTION("GOOGLETRANSLATE(B24356,""en"",""zh-CN"")"),"然后，该名女子抓住一条纸巾，擦去水槽柜台，水槽内部和水龙头喷口。")</f>
        <v>然后，该名女子抓住一条纸巾，擦去水槽柜台，水槽内部和水龙头喷口。</v>
      </c>
    </row>
    <row r="24357">
      <c r="A24357" s="4" t="s">
        <v>30642</v>
      </c>
      <c r="B24357" s="4" t="s">
        <v>30647</v>
      </c>
      <c r="C24357" s="5" t="str">
        <f>IFERROR(__xludf.DUMMYFUNCTION("GOOGLETRANSLATE(B24357,""en"",""zh-CN"")"),"那个女人然后回到镜头说话。")</f>
        <v>那个女人然后回到镜头说话。</v>
      </c>
    </row>
    <row r="24358">
      <c r="A24358" s="4" t="s">
        <v>30648</v>
      </c>
      <c r="B24358" s="4" t="s">
        <v>30649</v>
      </c>
      <c r="C24358" s="5" t="str">
        <f>IFERROR(__xludf.DUMMYFUNCTION("GOOGLETRANSLATE(B24358,""en"",""zh-CN"")"),"简介导致一个女人与坐在骑自行车的课程开始骑车的女人交谈。")</f>
        <v>简介导致一个女人与坐在骑自行车的课程开始骑车的女人交谈。</v>
      </c>
    </row>
    <row r="24359">
      <c r="A24359" s="4" t="s">
        <v>30648</v>
      </c>
      <c r="B24359" s="4" t="s">
        <v>30650</v>
      </c>
      <c r="C24359" s="5" t="str">
        <f>IFERROR(__xludf.DUMMYFUNCTION("GOOGLETRANSLATE(B24359,""en"",""zh-CN"")"),"她在骑自行车班上带领课程，并激发了她的学生像这样努力兜售。")</f>
        <v>她在骑自行车班上带领课程，并激发了她的学生像这样努力兜售。</v>
      </c>
    </row>
    <row r="24360">
      <c r="A24360" s="4" t="s">
        <v>30648</v>
      </c>
      <c r="B24360" s="4" t="s">
        <v>30651</v>
      </c>
      <c r="C24360" s="5" t="str">
        <f>IFERROR(__xludf.DUMMYFUNCTION("GOOGLETRANSLATE(B24360,""en"",""zh-CN"")"),"当摄像机在人民的几镜头上奔跑时，人们和她一起微笑。")</f>
        <v>当摄像机在人民的几镜头上奔跑时，人们和她一起微笑。</v>
      </c>
    </row>
    <row r="24361">
      <c r="A24361" s="4" t="s">
        <v>30652</v>
      </c>
      <c r="B24361" s="6" t="s">
        <v>30653</v>
      </c>
      <c r="C24361" s="5" t="str">
        <f>IFERROR(__xludf.DUMMYFUNCTION("GOOGLETRANSLATE(B24361,""en"",""zh-CN"")"),"一个男人说话时，一个男人在聊天时用食物拿着菜，然后，有两个女孩在野外跑步。")</f>
        <v>一个男人说话时，一个男人在聊天时用食物拿着菜，然后，有两个女孩在野外跑步。</v>
      </c>
    </row>
    <row r="24362">
      <c r="A24362" s="4" t="s">
        <v>30652</v>
      </c>
      <c r="B24362" s="4" t="s">
        <v>30654</v>
      </c>
      <c r="C24362" s="5" t="str">
        <f>IFERROR(__xludf.DUMMYFUNCTION("GOOGLETRANSLATE(B24362,""en"",""zh-CN"")"),"人们在地面上打球。")</f>
        <v>人们在地面上打球。</v>
      </c>
    </row>
    <row r="24363">
      <c r="A24363" s="4" t="s">
        <v>30652</v>
      </c>
      <c r="B24363" s="4" t="s">
        <v>30655</v>
      </c>
      <c r="C24363" s="5" t="str">
        <f>IFERROR(__xludf.DUMMYFUNCTION("GOOGLETRANSLATE(B24363,""en"",""zh-CN"")"),"之后，乐队演奏，人们跳舞，包括新娘。")</f>
        <v>之后，乐队演奏，人们跳舞，包括新娘。</v>
      </c>
    </row>
    <row r="24364">
      <c r="A24364" s="4" t="s">
        <v>30652</v>
      </c>
      <c r="B24364" s="4" t="s">
        <v>30656</v>
      </c>
      <c r="C24364" s="5" t="str">
        <f>IFERROR(__xludf.DUMMYFUNCTION("GOOGLETRANSLATE(B24364,""en"",""zh-CN"")"),"人们乘船乘船在河里航行，而其他人休息。")</f>
        <v>人们乘船乘船在河里航行，而其他人休息。</v>
      </c>
    </row>
    <row r="24365">
      <c r="A24365" s="4" t="s">
        <v>30652</v>
      </c>
      <c r="B24365" s="4" t="s">
        <v>30657</v>
      </c>
      <c r="C24365" s="5" t="str">
        <f>IFERROR(__xludf.DUMMYFUNCTION("GOOGLETRANSLATE(B24365,""en"",""zh-CN"")"),"人们用波涛汹涌的水经过一个小瀑布，然后沿着河走。")</f>
        <v>人们用波涛汹涌的水经过一个小瀑布，然后沿着河走。</v>
      </c>
    </row>
    <row r="24366">
      <c r="A24366" s="4" t="s">
        <v>30652</v>
      </c>
      <c r="B24366" s="4" t="s">
        <v>30658</v>
      </c>
      <c r="C24366" s="5" t="str">
        <f>IFERROR(__xludf.DUMMYFUNCTION("GOOGLETRANSLATE(B24366,""en"",""zh-CN"")"),"人们在河里潜水，然后在喝酒时休息，然后在河里航行。")</f>
        <v>人们在河里潜水，然后在喝酒时休息，然后在河里航行。</v>
      </c>
    </row>
    <row r="24367">
      <c r="A24367" s="4" t="s">
        <v>30659</v>
      </c>
      <c r="B24367" s="4" t="s">
        <v>30660</v>
      </c>
      <c r="C24367" s="5" t="str">
        <f>IFERROR(__xludf.DUMMYFUNCTION("GOOGLETRANSLATE(B24367,""en"",""zh-CN"")"),"一群老年人聚集在法院。")</f>
        <v>一群老年人聚集在法院。</v>
      </c>
    </row>
    <row r="24368">
      <c r="A24368" s="4" t="s">
        <v>30659</v>
      </c>
      <c r="B24368" s="4" t="s">
        <v>30661</v>
      </c>
      <c r="C24368" s="5" t="str">
        <f>IFERROR(__xludf.DUMMYFUNCTION("GOOGLETRANSLATE(B24368,""en"",""zh-CN"")"),"他们参与了冰壶比赛。")</f>
        <v>他们参与了冰壶比赛。</v>
      </c>
    </row>
    <row r="24369">
      <c r="A24369" s="4" t="s">
        <v>30659</v>
      </c>
      <c r="B24369" s="4" t="s">
        <v>30662</v>
      </c>
      <c r="C24369" s="5" t="str">
        <f>IFERROR(__xludf.DUMMYFUNCTION("GOOGLETRANSLATE(B24369,""en"",""zh-CN"")"),"他们击中了冰球，将其向前推。")</f>
        <v>他们击中了冰球，将其向前推。</v>
      </c>
    </row>
    <row r="24370">
      <c r="A24370" s="4" t="s">
        <v>30663</v>
      </c>
      <c r="B24370" s="4" t="s">
        <v>30664</v>
      </c>
      <c r="C24370" s="5" t="str">
        <f>IFERROR(__xludf.DUMMYFUNCTION("GOOGLETRANSLATE(B24370,""en"",""zh-CN"")"),"看到一个男人站在田野上。")</f>
        <v>看到一个男人站在田野上。</v>
      </c>
    </row>
    <row r="24371">
      <c r="A24371" s="4" t="s">
        <v>30663</v>
      </c>
      <c r="B24371" s="4" t="s">
        <v>30665</v>
      </c>
      <c r="C24371" s="5" t="str">
        <f>IFERROR(__xludf.DUMMYFUNCTION("GOOGLETRANSLATE(B24371,""en"",""zh-CN"")"),"然后，一个人将球传给球场上的球。")</f>
        <v>然后，一个人将球传给球场上的球。</v>
      </c>
    </row>
    <row r="24372">
      <c r="A24372" s="4" t="s">
        <v>30663</v>
      </c>
      <c r="B24372" s="4" t="s">
        <v>30666</v>
      </c>
      <c r="C24372" s="5" t="str">
        <f>IFERROR(__xludf.DUMMYFUNCTION("GOOGLETRANSLATE(B24372,""en"",""zh-CN"")"),"然后，人们开始踢球。")</f>
        <v>然后，人们开始踢球。</v>
      </c>
    </row>
    <row r="24373">
      <c r="A24373" s="4" t="s">
        <v>30667</v>
      </c>
      <c r="B24373" s="4" t="s">
        <v>30668</v>
      </c>
      <c r="C24373" s="5" t="str">
        <f>IFERROR(__xludf.DUMMYFUNCTION("GOOGLETRANSLATE(B24373,""en"",""zh-CN"")"),"看到一个地板的近距离，接着是一个小孩跪在另一个面前。")</f>
        <v>看到一个地板的近距离，接着是一个小孩跪在另一个面前。</v>
      </c>
    </row>
    <row r="24374">
      <c r="A24374" s="4" t="s">
        <v>30667</v>
      </c>
      <c r="B24374" s="4" t="s">
        <v>30669</v>
      </c>
      <c r="C24374" s="5" t="str">
        <f>IFERROR(__xludf.DUMMYFUNCTION("GOOGLETRANSLATE(B24374,""en"",""zh-CN"")"),"看到一个人坐在床上，带着小孩照亮了另一个人的鞋子。")</f>
        <v>看到一个人坐在床上，带着小孩照亮了另一个人的鞋子。</v>
      </c>
    </row>
    <row r="24375">
      <c r="A24375" s="4" t="s">
        <v>30667</v>
      </c>
      <c r="B24375" s="4" t="s">
        <v>30670</v>
      </c>
      <c r="C24375" s="5" t="str">
        <f>IFERROR(__xludf.DUMMYFUNCTION("GOOGLETRANSLATE(B24375,""en"",""zh-CN"")"),"孩子们继续照亮另一个人的鞋子。")</f>
        <v>孩子们继续照亮另一个人的鞋子。</v>
      </c>
    </row>
    <row r="24376">
      <c r="A24376" s="4" t="s">
        <v>30671</v>
      </c>
      <c r="B24376" s="4" t="s">
        <v>30672</v>
      </c>
      <c r="C24376" s="5" t="str">
        <f>IFERROR(__xludf.DUMMYFUNCTION("GOOGLETRANSLATE(B24376,""en"",""zh-CN"")"),"看到一个人使用锤子和工具敲开屋顶的碎片。")</f>
        <v>看到一个人使用锤子和工具敲开屋顶的碎片。</v>
      </c>
    </row>
    <row r="24377">
      <c r="A24377" s="4" t="s">
        <v>30671</v>
      </c>
      <c r="B24377" s="6" t="s">
        <v>30673</v>
      </c>
      <c r="C24377" s="5" t="str">
        <f>IFERROR(__xludf.DUMMYFUNCTION("GOOGLETRANSLATE(B24377,""en"",""zh-CN"")"),"然后，该男子将酒吧放下，并继续放置屋顶木瓦，同时相机周围。")</f>
        <v>然后，该男子将酒吧放下，并继续放置屋顶木瓦，同时相机周围。</v>
      </c>
    </row>
    <row r="24378">
      <c r="A24378" s="4" t="s">
        <v>30674</v>
      </c>
      <c r="B24378" s="4" t="s">
        <v>30675</v>
      </c>
      <c r="C24378" s="5" t="str">
        <f>IFERROR(__xludf.DUMMYFUNCTION("GOOGLETRANSLATE(B24378,""en"",""zh-CN"")"),"显示了卷发刷的动画图像。")</f>
        <v>显示了卷发刷的动画图像。</v>
      </c>
    </row>
    <row r="24379">
      <c r="A24379" s="4" t="s">
        <v>30674</v>
      </c>
      <c r="B24379" s="4" t="s">
        <v>30676</v>
      </c>
      <c r="C24379" s="5" t="str">
        <f>IFERROR(__xludf.DUMMYFUNCTION("GOOGLETRANSLATE(B24379,""en"",""zh-CN"")"),"一个女人弯下腰，放一些东西。")</f>
        <v>一个女人弯下腰，放一些东西。</v>
      </c>
    </row>
    <row r="24380">
      <c r="A24380" s="4" t="s">
        <v>30674</v>
      </c>
      <c r="B24380" s="4" t="s">
        <v>30677</v>
      </c>
      <c r="C24380" s="5" t="str">
        <f>IFERROR(__xludf.DUMMYFUNCTION("GOOGLETRANSLATE(B24380,""en"",""zh-CN"")"),"然后，她滑过冰。")</f>
        <v>然后，她滑过冰。</v>
      </c>
    </row>
    <row r="24381">
      <c r="A24381" s="4" t="s">
        <v>30678</v>
      </c>
      <c r="B24381" s="4" t="s">
        <v>30679</v>
      </c>
      <c r="C24381" s="5" t="str">
        <f>IFERROR(__xludf.DUMMYFUNCTION("GOOGLETRANSLATE(B24381,""en"",""zh-CN"")"),"看到一个较大的女人坐在椅子上，而男人则擦着嘴唇，并在上面贴上痕迹。")</f>
        <v>看到一个较大的女人坐在椅子上，而男人则擦着嘴唇，并在上面贴上痕迹。</v>
      </c>
    </row>
    <row r="24382">
      <c r="A24382" s="4" t="s">
        <v>30678</v>
      </c>
      <c r="B24382" s="4" t="s">
        <v>30680</v>
      </c>
      <c r="C24382" s="5" t="str">
        <f>IFERROR(__xludf.DUMMYFUNCTION("GOOGLETRANSLATE(B24382,""en"",""zh-CN"")"),"那个女人躺下，男人把一根针伸入嘴唇上，形成了刺穿。")</f>
        <v>那个女人躺下，男人把一根针伸入嘴唇上，形成了刺穿。</v>
      </c>
    </row>
    <row r="24383">
      <c r="A24383" s="4" t="s">
        <v>30678</v>
      </c>
      <c r="B24383" s="4" t="s">
        <v>30681</v>
      </c>
      <c r="C24383" s="5" t="str">
        <f>IFERROR(__xludf.DUMMYFUNCTION("GOOGLETRANSLATE(B24383,""en"",""zh-CN"")"),"那个女人坐起来微笑，而男人擦着嘴唇，她继续说话。")</f>
        <v>那个女人坐起来微笑，而男人擦着嘴唇，她继续说话。</v>
      </c>
    </row>
    <row r="24384">
      <c r="A24384" s="4" t="s">
        <v>30682</v>
      </c>
      <c r="B24384" s="4" t="s">
        <v>30683</v>
      </c>
      <c r="C24384" s="5" t="str">
        <f>IFERROR(__xludf.DUMMYFUNCTION("GOOGLETRANSLATE(B24384,""en"",""zh-CN"")"),"看到一个女人擦着一面镜子，通向她站在柜台后面。")</f>
        <v>看到一个女人擦着一面镜子，通向她站在柜台后面。</v>
      </c>
    </row>
    <row r="24385">
      <c r="A24385" s="4" t="s">
        <v>30682</v>
      </c>
      <c r="B24385" s="6" t="s">
        <v>30684</v>
      </c>
      <c r="C24385" s="5" t="str">
        <f>IFERROR(__xludf.DUMMYFUNCTION("GOOGLETRANSLATE(B24385,""en"",""zh-CN"")"),"她将食材倒入水桶中，将海绵浸入水桶中，然后用刮水器擦拭镜子。")</f>
        <v>她将食材倒入水桶中，将海绵浸入水桶中，然后用刮水器擦拭镜子。</v>
      </c>
    </row>
    <row r="24386">
      <c r="A24386" s="4" t="s">
        <v>30685</v>
      </c>
      <c r="B24386" s="4" t="s">
        <v>30686</v>
      </c>
      <c r="C24386" s="5" t="str">
        <f>IFERROR(__xludf.DUMMYFUNCTION("GOOGLETRANSLATE(B24386,""en"",""zh-CN"")"),"看到一个人沿着皮划艇骑着水，而另一个男人看着他在侧面。")</f>
        <v>看到一个人沿着皮划艇骑着水，而另一个男人看着他在侧面。</v>
      </c>
    </row>
    <row r="24387">
      <c r="A24387" s="4" t="s">
        <v>30685</v>
      </c>
      <c r="B24387" s="4" t="s">
        <v>30687</v>
      </c>
      <c r="C24387" s="5" t="str">
        <f>IFERROR(__xludf.DUMMYFUNCTION("GOOGLETRANSLATE(B24387,""en"",""zh-CN"")"),"他继续沿着皮划艇的水骑行，然后在水中翻转。")</f>
        <v>他继续沿着皮划艇的水骑行，然后在水中翻转。</v>
      </c>
    </row>
    <row r="24388">
      <c r="A24388" s="4" t="s">
        <v>30688</v>
      </c>
      <c r="B24388" s="4" t="s">
        <v>30689</v>
      </c>
      <c r="C24388" s="5" t="str">
        <f>IFERROR(__xludf.DUMMYFUNCTION("GOOGLETRANSLATE(B24388,""en"",""zh-CN"")"),"人们在沙滩上打排球。")</f>
        <v>人们在沙滩上打排球。</v>
      </c>
    </row>
    <row r="24389">
      <c r="A24389" s="4" t="s">
        <v>30688</v>
      </c>
      <c r="B24389" s="4" t="s">
        <v>30690</v>
      </c>
      <c r="C24389" s="5" t="str">
        <f>IFERROR(__xludf.DUMMYFUNCTION("GOOGLETRANSLATE(B24389,""en"",""zh-CN"")"),"一个人掉进沙子。")</f>
        <v>一个人掉进沙子。</v>
      </c>
    </row>
    <row r="24390">
      <c r="A24390" s="4" t="s">
        <v>30688</v>
      </c>
      <c r="B24390" s="4" t="s">
        <v>30691</v>
      </c>
      <c r="C24390" s="5" t="str">
        <f>IFERROR(__xludf.DUMMYFUNCTION("GOOGLETRANSLATE(B24390,""en"",""zh-CN"")"),"一件穿着蓝色衬衫的女人正在和镜头说话。")</f>
        <v>一件穿着蓝色衬衫的女人正在和镜头说话。</v>
      </c>
    </row>
    <row r="24391">
      <c r="A24391" s="4" t="s">
        <v>30688</v>
      </c>
      <c r="B24391" s="4" t="s">
        <v>21372</v>
      </c>
      <c r="C24391" s="5" t="str">
        <f>IFERROR(__xludf.DUMMYFUNCTION("GOOGLETRANSLATE(B24391,""en"",""zh-CN"")"),"穿着黑色衬衫的女人正在和镜头说话。")</f>
        <v>穿着黑色衬衫的女人正在和镜头说话。</v>
      </c>
    </row>
    <row r="24392">
      <c r="A24392" s="4" t="s">
        <v>30692</v>
      </c>
      <c r="B24392" s="4" t="s">
        <v>30693</v>
      </c>
      <c r="C24392" s="5" t="str">
        <f>IFERROR(__xludf.DUMMYFUNCTION("GOOGLETRANSLATE(B24392,""en"",""zh-CN"")"),"男人和女人在相机上摆姿势和微笑。")</f>
        <v>男人和女人在相机上摆姿势和微笑。</v>
      </c>
    </row>
    <row r="24393">
      <c r="A24393" s="4" t="s">
        <v>30692</v>
      </c>
      <c r="B24393" s="4" t="s">
        <v>30694</v>
      </c>
      <c r="C24393" s="5" t="str">
        <f>IFERROR(__xludf.DUMMYFUNCTION("GOOGLETRANSLATE(B24393,""en"",""zh-CN"")"),"一个穿着冷水装备的男人和女人到达一辆面包车。")</f>
        <v>一个穿着冷水装备的男人和女人到达一辆面包车。</v>
      </c>
    </row>
    <row r="24394">
      <c r="A24394" s="4" t="s">
        <v>30692</v>
      </c>
      <c r="B24394" s="4" t="s">
        <v>30695</v>
      </c>
      <c r="C24394" s="5" t="str">
        <f>IFERROR(__xludf.DUMMYFUNCTION("GOOGLETRANSLATE(B24394,""en"",""zh-CN"")"),"潜水员在码头上单一档案向水上行进，并带着潜水装备摆姿势。")</f>
        <v>潜水员在码头上单一档案向水上行进，并带着潜水装备摆姿势。</v>
      </c>
    </row>
    <row r="24395">
      <c r="A24395" s="4" t="s">
        <v>30692</v>
      </c>
      <c r="B24395" s="4" t="s">
        <v>30696</v>
      </c>
      <c r="C24395" s="5" t="str">
        <f>IFERROR(__xludf.DUMMYFUNCTION("GOOGLETRANSLATE(B24395,""en"",""zh-CN"")"),"潜水员在水中表现出不同的沉没车辆，并摆姿势。")</f>
        <v>潜水员在水中表现出不同的沉没车辆，并摆姿势。</v>
      </c>
    </row>
    <row r="24396">
      <c r="A24396" s="4" t="s">
        <v>30692</v>
      </c>
      <c r="B24396" s="4" t="s">
        <v>30697</v>
      </c>
      <c r="C24396" s="5" t="str">
        <f>IFERROR(__xludf.DUMMYFUNCTION("GOOGLETRANSLATE(B24396,""en"",""zh-CN"")"),"潜水员以一些技巧摄影为特色。")</f>
        <v>潜水员以一些技巧摄影为特色。</v>
      </c>
    </row>
    <row r="24397">
      <c r="A24397" s="4" t="s">
        <v>30692</v>
      </c>
      <c r="B24397" s="4" t="s">
        <v>30698</v>
      </c>
      <c r="C24397" s="5" t="str">
        <f>IFERROR(__xludf.DUMMYFUNCTION("GOOGLETRANSLATE(B24397,""en"",""zh-CN"")"),"潜水员在一家餐厅放松身心，定期坐在圆形野餐桌上。")</f>
        <v>潜水员在一家餐厅放松身心，定期坐在圆形野餐桌上。</v>
      </c>
    </row>
    <row r="24398">
      <c r="A24398" s="4" t="s">
        <v>30699</v>
      </c>
      <c r="B24398" s="4" t="s">
        <v>30700</v>
      </c>
      <c r="C24398" s="5" t="str">
        <f>IFERROR(__xludf.DUMMYFUNCTION("GOOGLETRANSLATE(B24398,""en"",""zh-CN"")"),"一个人对如何最有效地使用椭圆形进行教程。")</f>
        <v>一个人对如何最有效地使用椭圆形进行教程。</v>
      </c>
    </row>
    <row r="24399">
      <c r="A24399" s="4" t="s">
        <v>30699</v>
      </c>
      <c r="B24399" s="4" t="s">
        <v>30701</v>
      </c>
      <c r="C24399" s="5" t="str">
        <f>IFERROR(__xludf.DUMMYFUNCTION("GOOGLETRANSLATE(B24399,""en"",""zh-CN"")"),"一个女人有时会微笑时向后椭圆形。")</f>
        <v>一个女人有时会微笑时向后椭圆形。</v>
      </c>
    </row>
    <row r="24400">
      <c r="A24400" s="4" t="s">
        <v>30702</v>
      </c>
      <c r="B24400" s="4" t="s">
        <v>30703</v>
      </c>
      <c r="C24400" s="5" t="str">
        <f>IFERROR(__xludf.DUMMYFUNCTION("GOOGLETRANSLATE(B24400,""en"",""zh-CN"")"),"该视频导致各种风筝冲浪的各种镜头沿着海洋冲浪。")</f>
        <v>该视频导致各种风筝冲浪的各种镜头沿着海洋冲浪。</v>
      </c>
    </row>
    <row r="24401">
      <c r="A24401" s="4" t="s">
        <v>30702</v>
      </c>
      <c r="B24401" s="6" t="s">
        <v>30704</v>
      </c>
      <c r="C24401" s="5" t="str">
        <f>IFERROR(__xludf.DUMMYFUNCTION("GOOGLETRANSLATE(B24401,""en"",""zh-CN"")"),"当相机从鸟的眼景中跟随他时，该人继续沿着水面骑行。")</f>
        <v>当相机从鸟的眼景中跟随他时，该人继续沿着水面骑行。</v>
      </c>
    </row>
    <row r="24402">
      <c r="A24402" s="4" t="s">
        <v>30705</v>
      </c>
      <c r="B24402" s="4" t="s">
        <v>30706</v>
      </c>
      <c r="C24402" s="5" t="str">
        <f>IFERROR(__xludf.DUMMYFUNCTION("GOOGLETRANSLATE(B24402,""en"",""zh-CN"")"),"海滩足球比赛的视频回顾始于阿根廷人的进球。")</f>
        <v>海滩足球比赛的视频回顾始于阿根廷人的进球。</v>
      </c>
    </row>
    <row r="24403">
      <c r="A24403" s="4" t="s">
        <v>30705</v>
      </c>
      <c r="B24403" s="4" t="s">
        <v>30707</v>
      </c>
      <c r="C24403" s="5" t="str">
        <f>IFERROR(__xludf.DUMMYFUNCTION("GOOGLETRANSLATE(B24403,""en"",""zh-CN"")"),"巴西人在罚球手中进行了进球，这是一个旺盛的门将。")</f>
        <v>巴西人在罚球手中进行了进球，这是一个旺盛的门将。</v>
      </c>
    </row>
    <row r="24404">
      <c r="A24404" s="4" t="s">
        <v>30705</v>
      </c>
      <c r="B24404" s="6" t="s">
        <v>30708</v>
      </c>
      <c r="C24404" s="5" t="str">
        <f>IFERROR(__xludf.DUMMYFUNCTION("GOOGLETRANSLATE(B24404,""en"",""zh-CN"")"),"阿根廷人偷走了一条穿过沙田的通行证，并将其击倒在狭窄的拐角处。")</f>
        <v>阿根廷人偷走了一条穿过沙田的通行证，并将其击倒在狭窄的拐角处。</v>
      </c>
    </row>
    <row r="24405">
      <c r="A24405" s="4" t="s">
        <v>30705</v>
      </c>
      <c r="B24405" s="4" t="s">
        <v>30709</v>
      </c>
      <c r="C24405" s="5" t="str">
        <f>IFERROR(__xludf.DUMMYFUNCTION("GOOGLETRANSLATE(B24405,""en"",""zh-CN"")"),"紧随其后的是阿根廷的另一个进球。")</f>
        <v>紧随其后的是阿根廷的另一个进球。</v>
      </c>
    </row>
    <row r="24406">
      <c r="A24406" s="4" t="s">
        <v>30705</v>
      </c>
      <c r="B24406" s="6" t="s">
        <v>30710</v>
      </c>
      <c r="C24406" s="5" t="str">
        <f>IFERROR(__xludf.DUMMYFUNCTION("GOOGLETRANSLATE(B24406,""en"",""zh-CN"")"),"巴西在一个美丽的通行证上发现了另一个阿根廷进球，并在球场上开枪。")</f>
        <v>巴西在一个美丽的通行证上发现了另一个阿根廷进球，并在球场上开枪。</v>
      </c>
    </row>
    <row r="24407">
      <c r="A24407" s="4" t="s">
        <v>30705</v>
      </c>
      <c r="B24407" s="4" t="s">
        <v>30711</v>
      </c>
      <c r="C24407" s="5" t="str">
        <f>IFERROR(__xludf.DUMMYFUNCTION("GOOGLETRANSLATE(B24407,""en"",""zh-CN"")"),"更糟糕的是，在那之后，阿根廷在无可争议的射门上得分。")</f>
        <v>更糟糕的是，在那之后，阿根廷在无可争议的射门上得分。</v>
      </c>
    </row>
    <row r="24408">
      <c r="A24408" s="4" t="s">
        <v>30705</v>
      </c>
      <c r="B24408" s="4" t="s">
        <v>30712</v>
      </c>
      <c r="C24408" s="5" t="str">
        <f>IFERROR(__xludf.DUMMYFUNCTION("GOOGLETRANSLATE(B24408,""en"",""zh-CN"")"),"这场比赛对他们来说太容易了，他们以很大的成绩获胜。")</f>
        <v>这场比赛对他们来说太容易了，他们以很大的成绩获胜。</v>
      </c>
    </row>
    <row r="24409">
      <c r="A24409" s="4" t="s">
        <v>30713</v>
      </c>
      <c r="B24409" s="4" t="s">
        <v>30714</v>
      </c>
      <c r="C24409" s="5" t="str">
        <f>IFERROR(__xludf.DUMMYFUNCTION("GOOGLETRANSLATE(B24409,""en"",""zh-CN"")"),"一个男人在船上玩洗牌板。")</f>
        <v>一个男人在船上玩洗牌板。</v>
      </c>
    </row>
    <row r="24410">
      <c r="A24410" s="4" t="s">
        <v>30713</v>
      </c>
      <c r="B24410" s="4" t="s">
        <v>30715</v>
      </c>
      <c r="C24410" s="5" t="str">
        <f>IFERROR(__xludf.DUMMYFUNCTION("GOOGLETRANSLATE(B24410,""en"",""zh-CN"")"),"他转向相机说些什么。")</f>
        <v>他转向相机说些什么。</v>
      </c>
    </row>
    <row r="24411">
      <c r="A24411" s="4" t="s">
        <v>30716</v>
      </c>
      <c r="B24411" s="4" t="s">
        <v>30717</v>
      </c>
      <c r="C24411" s="5" t="str">
        <f>IFERROR(__xludf.DUMMYFUNCTION("GOOGLETRANSLATE(B24411,""en"",""zh-CN"")"),"一个人将抹布浸入黑色容器中。")</f>
        <v>一个人将抹布浸入黑色容器中。</v>
      </c>
    </row>
    <row r="24412">
      <c r="A24412" s="4" t="s">
        <v>30716</v>
      </c>
      <c r="B24412" s="4" t="s">
        <v>30718</v>
      </c>
      <c r="C24412" s="5" t="str">
        <f>IFERROR(__xludf.DUMMYFUNCTION("GOOGLETRANSLATE(B24412,""en"",""zh-CN"")"),"他开始用抹布擦拭鞋子。")</f>
        <v>他开始用抹布擦拭鞋子。</v>
      </c>
    </row>
    <row r="24413">
      <c r="A24413" s="4" t="s">
        <v>30716</v>
      </c>
      <c r="B24413" s="4" t="s">
        <v>30719</v>
      </c>
      <c r="C24413" s="5" t="str">
        <f>IFERROR(__xludf.DUMMYFUNCTION("GOOGLETRANSLATE(B24413,""en"",""zh-CN"")"),"他拿起刷子，开始使用它来刷鞋子。")</f>
        <v>他拿起刷子，开始使用它来刷鞋子。</v>
      </c>
    </row>
    <row r="24414">
      <c r="A24414" s="4" t="s">
        <v>30720</v>
      </c>
      <c r="B24414" s="4" t="s">
        <v>30721</v>
      </c>
      <c r="C24414" s="5" t="str">
        <f>IFERROR(__xludf.DUMMYFUNCTION("GOOGLETRANSLATE(B24414,""en"",""zh-CN"")"),"我们看到三名男子在湖上的船上。")</f>
        <v>我们看到三名男子在湖上的船上。</v>
      </c>
    </row>
    <row r="24415">
      <c r="A24415" s="4" t="s">
        <v>30720</v>
      </c>
      <c r="B24415" s="4" t="s">
        <v>30722</v>
      </c>
      <c r="C24415" s="5" t="str">
        <f>IFERROR(__xludf.DUMMYFUNCTION("GOOGLETRANSLATE(B24415,""en"",""zh-CN"")"),"左男子靠近胸部。")</f>
        <v>左男子靠近胸部。</v>
      </c>
    </row>
    <row r="24416">
      <c r="A24416" s="4" t="s">
        <v>30720</v>
      </c>
      <c r="B24416" s="4" t="s">
        <v>30723</v>
      </c>
      <c r="C24416" s="5" t="str">
        <f>IFERROR(__xludf.DUMMYFUNCTION("GOOGLETRANSLATE(B24416,""en"",""zh-CN"")"),"一个男人的行为很奇怪，自我喷射。")</f>
        <v>一个男人的行为很奇怪，自我喷射。</v>
      </c>
    </row>
    <row r="24417">
      <c r="A24417" s="4" t="s">
        <v>30724</v>
      </c>
      <c r="B24417" s="4" t="s">
        <v>30725</v>
      </c>
      <c r="C24417" s="5" t="str">
        <f>IFERROR(__xludf.DUMMYFUNCTION("GOOGLETRANSLATE(B24417,""en"",""zh-CN"")"),"看到一大批啦啦队在一个洞中奔向舞台。")</f>
        <v>看到一大批啦啦队在一个洞中奔向舞台。</v>
      </c>
    </row>
    <row r="24418">
      <c r="A24418" s="4" t="s">
        <v>30724</v>
      </c>
      <c r="B24418" s="4" t="s">
        <v>30726</v>
      </c>
      <c r="C24418" s="5" t="str">
        <f>IFERROR(__xludf.DUMMYFUNCTION("GOOGLETRANSLATE(B24418,""en"",""zh-CN"")"),"然后，小组开始互相表演，同时彼此抬起空中。")</f>
        <v>然后，小组开始互相表演，同时彼此抬起空中。</v>
      </c>
    </row>
    <row r="24419">
      <c r="A24419" s="4" t="s">
        <v>30724</v>
      </c>
      <c r="B24419" s="4" t="s">
        <v>30727</v>
      </c>
      <c r="C24419" s="5" t="str">
        <f>IFERROR(__xludf.DUMMYFUNCTION("GOOGLETRANSLATE(B24419,""en"",""zh-CN"")"),"该小组继续互相举起并跳下舞台结束。")</f>
        <v>该小组继续互相举起并跳下舞台结束。</v>
      </c>
    </row>
    <row r="24420">
      <c r="A24420" s="4" t="s">
        <v>30728</v>
      </c>
      <c r="B24420" s="4" t="s">
        <v>30729</v>
      </c>
      <c r="C24420" s="5" t="str">
        <f>IFERROR(__xludf.DUMMYFUNCTION("GOOGLETRANSLATE(B24420,""en"",""zh-CN"")"),"一个人在保龄球上说话并投掷保龄球。")</f>
        <v>一个人在保龄球上说话并投掷保龄球。</v>
      </c>
    </row>
    <row r="24421">
      <c r="A24421" s="4" t="s">
        <v>30728</v>
      </c>
      <c r="B24421" s="6" t="s">
        <v>30730</v>
      </c>
      <c r="C24421" s="5" t="str">
        <f>IFERROR(__xludf.DUMMYFUNCTION("GOOGLETRANSLATE(B24421,""en"",""zh-CN"")"),"该男子拿着球，向前伸出左腿，然后在说话时将保龄球扔到车道上。")</f>
        <v>该男子拿着球，向前伸出左腿，然后在说话时将保龄球扔到车道上。</v>
      </c>
    </row>
    <row r="24422">
      <c r="A24422" s="4" t="s">
        <v>30731</v>
      </c>
      <c r="B24422" s="4" t="s">
        <v>30732</v>
      </c>
      <c r="C24422" s="5" t="str">
        <f>IFERROR(__xludf.DUMMYFUNCTION("GOOGLETRANSLATE(B24422,""en"",""zh-CN"")"),"一个人在外面有一条草坪餐具，他开始砍伐院子。")</f>
        <v>一个人在外面有一条草坪餐具，他开始砍伐院子。</v>
      </c>
    </row>
    <row r="24423">
      <c r="A24423" s="4" t="s">
        <v>30731</v>
      </c>
      <c r="B24423" s="6" t="s">
        <v>30733</v>
      </c>
      <c r="C24423" s="5" t="str">
        <f>IFERROR(__xludf.DUMMYFUNCTION("GOOGLETRANSLATE(B24423,""en"",""zh-CN"")"),"他移动一个旋钮，然后继续割草，另一个女人被割断了院子。")</f>
        <v>他移动一个旋钮，然后继续割草，另一个女人被割断了院子。</v>
      </c>
    </row>
    <row r="24424">
      <c r="A24424" s="4" t="s">
        <v>30731</v>
      </c>
      <c r="B24424" s="4" t="s">
        <v>30734</v>
      </c>
      <c r="C24424" s="5" t="str">
        <f>IFERROR(__xludf.DUMMYFUNCTION("GOOGLETRANSLATE(B24424,""en"",""zh-CN"")"),"最后，这个人回来了，展示了他的物体如何剪草。")</f>
        <v>最后，这个人回来了，展示了他的物体如何剪草。</v>
      </c>
    </row>
    <row r="24425">
      <c r="A24425" s="4" t="s">
        <v>30735</v>
      </c>
      <c r="B24425" s="4" t="s">
        <v>30736</v>
      </c>
      <c r="C24425" s="5" t="str">
        <f>IFERROR(__xludf.DUMMYFUNCTION("GOOGLETRANSLATE(B24425,""en"",""zh-CN"")"),"看到一小群人站在沙滩上，进入排球比赛。")</f>
        <v>看到一小群人站在沙滩上，进入排球比赛。</v>
      </c>
    </row>
    <row r="24426">
      <c r="A24426" s="4" t="s">
        <v>30735</v>
      </c>
      <c r="B24426" s="6" t="s">
        <v>30737</v>
      </c>
      <c r="C24426" s="5" t="str">
        <f>IFERROR(__xludf.DUMMYFUNCTION("GOOGLETRANSLATE(B24426,""en"",""zh-CN"")"),"人们向后打比赛，其中一个尖叫着球，相机绕着观看和庆祝的人播放。")</f>
        <v>人们向后打比赛，其中一个尖叫着球，相机绕着观看和庆祝的人播放。</v>
      </c>
    </row>
    <row r="24427">
      <c r="A24427" s="4" t="s">
        <v>30738</v>
      </c>
      <c r="B24427" s="4" t="s">
        <v>30739</v>
      </c>
      <c r="C24427" s="5" t="str">
        <f>IFERROR(__xludf.DUMMYFUNCTION("GOOGLETRANSLATE(B24427,""en"",""zh-CN"")"),"看到一个年幼的孩子和其他孩子站在一个舞台上，一个人开始在中间跳舞。")</f>
        <v>看到一个年幼的孩子和其他孩子站在一个舞台上，一个人开始在中间跳舞。</v>
      </c>
    </row>
    <row r="24428">
      <c r="A24428" s="4" t="s">
        <v>30738</v>
      </c>
      <c r="B24428" s="4" t="s">
        <v>30740</v>
      </c>
      <c r="C24428" s="5" t="str">
        <f>IFERROR(__xludf.DUMMYFUNCTION("GOOGLETRANSLATE(B24428,""en"",""zh-CN"")"),"然后，这个小男孩在中间移动，其他人在周围跳舞。")</f>
        <v>然后，这个小男孩在中间移动，其他人在周围跳舞。</v>
      </c>
    </row>
    <row r="24429">
      <c r="A24429" s="4" t="s">
        <v>30738</v>
      </c>
      <c r="B24429" s="4" t="s">
        <v>30741</v>
      </c>
      <c r="C24429" s="5" t="str">
        <f>IFERROR(__xludf.DUMMYFUNCTION("GOOGLETRANSLATE(B24429,""en"",""zh-CN"")"),"另一个男人搬到中间跳舞，而其他人则在旁边看。")</f>
        <v>另一个男人搬到中间跳舞，而其他人则在旁边看。</v>
      </c>
    </row>
    <row r="24430">
      <c r="A24430" s="4" t="s">
        <v>30742</v>
      </c>
      <c r="B24430" s="4" t="s">
        <v>30743</v>
      </c>
      <c r="C24430" s="5" t="str">
        <f>IFERROR(__xludf.DUMMYFUNCTION("GOOGLETRANSLATE(B24430,""en"",""zh-CN"")"),"看到一个人站在健身房的中间，拿着网球球拍。")</f>
        <v>看到一个人站在健身房的中间，拿着网球球拍。</v>
      </c>
    </row>
    <row r="24431">
      <c r="A24431" s="4" t="s">
        <v>30742</v>
      </c>
      <c r="B24431" s="4" t="s">
        <v>30744</v>
      </c>
      <c r="C24431" s="5" t="str">
        <f>IFERROR(__xludf.DUMMYFUNCTION("GOOGLETRANSLATE(B24431,""en"",""zh-CN"")"),"然后，该人开始在体育馆撞到一个小鸟。")</f>
        <v>然后，该人开始在体育馆撞到一个小鸟。</v>
      </c>
    </row>
    <row r="24432">
      <c r="A24432" s="4" t="s">
        <v>30742</v>
      </c>
      <c r="B24432" s="4" t="s">
        <v>30745</v>
      </c>
      <c r="C24432" s="5" t="str">
        <f>IFERROR(__xludf.DUMMYFUNCTION("GOOGLETRANSLATE(B24432,""en"",""zh-CN"")"),"当看着相机时，该人不断地击中对象和第四次。")</f>
        <v>当看着相机时，该人不断地击中对象和第四次。</v>
      </c>
    </row>
    <row r="24433">
      <c r="A24433" s="4" t="s">
        <v>30746</v>
      </c>
      <c r="B24433" s="4" t="s">
        <v>30747</v>
      </c>
      <c r="C24433" s="5" t="str">
        <f>IFERROR(__xludf.DUMMYFUNCTION("GOOGLETRANSLATE(B24433,""en"",""zh-CN"")"),"看到一个人站在屋顶上，用棍子向上推着碎屑。")</f>
        <v>看到一个人站在屋顶上，用棍子向上推着碎屑。</v>
      </c>
    </row>
    <row r="24434">
      <c r="A24434" s="4" t="s">
        <v>30746</v>
      </c>
      <c r="B24434" s="6" t="s">
        <v>30748</v>
      </c>
      <c r="C24434" s="5" t="str">
        <f>IFERROR(__xludf.DUMMYFUNCTION("GOOGLETRANSLATE(B24434,""en"",""zh-CN"")"),"该男子继续将碎屑从屋顶上推开，同时越来越深入地挖掘烂摊子。")</f>
        <v>该男子继续将碎屑从屋顶上推开，同时越来越深入地挖掘烂摊子。</v>
      </c>
    </row>
    <row r="24435">
      <c r="A24435" s="4" t="s">
        <v>30749</v>
      </c>
      <c r="B24435" s="4" t="s">
        <v>30750</v>
      </c>
      <c r="C24435" s="5" t="str">
        <f>IFERROR(__xludf.DUMMYFUNCTION("GOOGLETRANSLATE(B24435,""en"",""zh-CN"")"),"一个人握住狗的牙齿，同时握住后颈。")</f>
        <v>一个人握住狗的牙齿，同时握住后颈。</v>
      </c>
    </row>
    <row r="24436">
      <c r="A24436" s="4" t="s">
        <v>30749</v>
      </c>
      <c r="B24436" s="6" t="s">
        <v>30751</v>
      </c>
      <c r="C24436" s="5" t="str">
        <f>IFERROR(__xludf.DUMMYFUNCTION("GOOGLETRANSLATE(B24436,""en"",""zh-CN"")"),"之后，她敲打狗的胸部，将牙膏放在刷子上，然后继续刷狗的牙齿。")</f>
        <v>之后，她敲打狗的胸部，将牙膏放在刷子上，然后继续刷狗的牙齿。</v>
      </c>
    </row>
    <row r="24437">
      <c r="A24437" s="4" t="s">
        <v>30749</v>
      </c>
      <c r="B24437" s="4" t="s">
        <v>30752</v>
      </c>
      <c r="C24437" s="5" t="str">
        <f>IFERROR(__xludf.DUMMYFUNCTION("GOOGLETRANSLATE(B24437,""en"",""zh-CN"")"),"之后，该人再次敲击胸部，将牙膏放在刷子上，然后刷狗的牙齿。")</f>
        <v>之后，该人再次敲击胸部，将牙膏放在刷子上，然后刷狗的牙齿。</v>
      </c>
    </row>
    <row r="24438">
      <c r="A24438" s="4" t="s">
        <v>30749</v>
      </c>
      <c r="B24438" s="4" t="s">
        <v>30753</v>
      </c>
      <c r="C24438" s="5" t="str">
        <f>IFERROR(__xludf.DUMMYFUNCTION("GOOGLETRANSLATE(B24438,""en"",""zh-CN"")"),"当这个人完成刷牙时，她亲吻了狗。")</f>
        <v>当这个人完成刷牙时，她亲吻了狗。</v>
      </c>
    </row>
    <row r="24439">
      <c r="A24439" s="4" t="s">
        <v>30754</v>
      </c>
      <c r="B24439" s="4" t="s">
        <v>30755</v>
      </c>
      <c r="C24439" s="5" t="str">
        <f>IFERROR(__xludf.DUMMYFUNCTION("GOOGLETRANSLATE(B24439,""en"",""zh-CN"")"),"一个女人正在和被酒精瓶包围的相机交谈。")</f>
        <v>一个女人正在和被酒精瓶包围的相机交谈。</v>
      </c>
    </row>
    <row r="24440">
      <c r="A24440" s="4" t="s">
        <v>30754</v>
      </c>
      <c r="B24440" s="4" t="s">
        <v>30756</v>
      </c>
      <c r="C24440" s="5" t="str">
        <f>IFERROR(__xludf.DUMMYFUNCTION("GOOGLETRANSLATE(B24440,""en"",""zh-CN"")"),"女人开始将不同的酒精和柠檬汁倒入一杯冰中。")</f>
        <v>女人开始将不同的酒精和柠檬汁倒入一杯冰中。</v>
      </c>
    </row>
    <row r="24441">
      <c r="A24441" s="4" t="s">
        <v>30754</v>
      </c>
      <c r="B24441" s="4" t="s">
        <v>30757</v>
      </c>
      <c r="C24441" s="5" t="str">
        <f>IFERROR(__xludf.DUMMYFUNCTION("GOOGLETRANSLATE(B24441,""en"",""zh-CN"")"),"女人摇动饮料混合物，将其拧入另一杯玻璃杯中。")</f>
        <v>女人摇动饮料混合物，将其拧入另一杯玻璃杯中。</v>
      </c>
    </row>
    <row r="24442">
      <c r="A24442" s="4" t="s">
        <v>30754</v>
      </c>
      <c r="B24442" s="4" t="s">
        <v>30758</v>
      </c>
      <c r="C24442" s="5" t="str">
        <f>IFERROR(__xludf.DUMMYFUNCTION("GOOGLETRANSLATE(B24442,""en"",""zh-CN"")"),"那个女人把一根小吸管放进饮料中，握住它并微笑。")</f>
        <v>那个女人把一根小吸管放进饮料中，握住它并微笑。</v>
      </c>
    </row>
    <row r="24443">
      <c r="A24443" s="4" t="s">
        <v>30759</v>
      </c>
      <c r="B24443" s="4" t="s">
        <v>30760</v>
      </c>
      <c r="C24443" s="5" t="str">
        <f>IFERROR(__xludf.DUMMYFUNCTION("GOOGLETRANSLATE(B24443,""en"",""zh-CN"")"),"一个戴着黑色帽子的男人弹吉他供相机看。")</f>
        <v>一个戴着黑色帽子的男人弹吉他供相机看。</v>
      </c>
    </row>
    <row r="24444">
      <c r="A24444" s="4" t="s">
        <v>30759</v>
      </c>
      <c r="B24444" s="6" t="s">
        <v>30761</v>
      </c>
      <c r="C24444" s="5" t="str">
        <f>IFERROR(__xludf.DUMMYFUNCTION("GOOGLETRANSLATE(B24444,""en"",""zh-CN"")"),"他继续伸出手指，将手移动到乐器上，直到歌曲和视频结束为止。")</f>
        <v>他继续伸出手指，将手移动到乐器上，直到歌曲和视频结束为止。</v>
      </c>
    </row>
    <row r="24445">
      <c r="A24445" s="4" t="s">
        <v>30762</v>
      </c>
      <c r="B24445" s="4" t="s">
        <v>30763</v>
      </c>
      <c r="C24445" s="5" t="str">
        <f>IFERROR(__xludf.DUMMYFUNCTION("GOOGLETRANSLATE(B24445,""en"",""zh-CN"")"),"一个女人正在录制一个录像的视频，其中一个正在绘画篱笆的小男孩。")</f>
        <v>一个女人正在录制一个录像的视频，其中一个正在绘画篱笆的小男孩。</v>
      </c>
    </row>
    <row r="24446">
      <c r="A24446" s="4" t="s">
        <v>30762</v>
      </c>
      <c r="B24446" s="4" t="s">
        <v>30764</v>
      </c>
      <c r="C24446" s="5" t="str">
        <f>IFERROR(__xludf.DUMMYFUNCTION("GOOGLETRANSLATE(B24446,""en"",""zh-CN"")"),"摄像头锅朝其他后院和栅栏上的锅盘。")</f>
        <v>摄像头锅朝其他后院和栅栏上的锅盘。</v>
      </c>
    </row>
    <row r="24447">
      <c r="A24447" s="4" t="s">
        <v>30762</v>
      </c>
      <c r="B24447" s="4" t="s">
        <v>30765</v>
      </c>
      <c r="C24447" s="5" t="str">
        <f>IFERROR(__xludf.DUMMYFUNCTION("GOOGLETRANSLATE(B24447,""en"",""zh-CN"")"),"另一个小男孩正在画篱笆的另一端，相机向他伸出来。")</f>
        <v>另一个小男孩正在画篱笆的另一端，相机向他伸出来。</v>
      </c>
    </row>
    <row r="24448">
      <c r="A24448" s="4" t="s">
        <v>30762</v>
      </c>
      <c r="B24448" s="4" t="s">
        <v>30766</v>
      </c>
      <c r="C24448" s="5" t="str">
        <f>IFERROR(__xludf.DUMMYFUNCTION("GOOGLETRANSLATE(B24448,""en"",""zh-CN"")"),"然后，该视频剪切以表明围栏大部分已经完成。")</f>
        <v>然后，该视频剪切以表明围栏大部分已经完成。</v>
      </c>
    </row>
    <row r="24449">
      <c r="A24449" s="4" t="s">
        <v>30762</v>
      </c>
      <c r="B24449" s="4" t="s">
        <v>30767</v>
      </c>
      <c r="C24449" s="5" t="str">
        <f>IFERROR(__xludf.DUMMYFUNCTION("GOOGLETRANSLATE(B24449,""en"",""zh-CN"")"),"然后，视频显示了两个男孩一起工作以完成围栏的最后一个面板。")</f>
        <v>然后，视频显示了两个男孩一起工作以完成围栏的最后一个面板。</v>
      </c>
    </row>
    <row r="24450">
      <c r="A24450" s="4" t="s">
        <v>30762</v>
      </c>
      <c r="B24450" s="4" t="s">
        <v>30768</v>
      </c>
      <c r="C24450" s="5" t="str">
        <f>IFERROR(__xludf.DUMMYFUNCTION("GOOGLETRANSLATE(B24450,""en"",""zh-CN"")"),"当摄像机摇晃以展示房屋和新鲜涂漆的篱笆时，视频结束。")</f>
        <v>当摄像机摇晃以展示房屋和新鲜涂漆的篱笆时，视频结束。</v>
      </c>
    </row>
    <row r="24451">
      <c r="A24451" s="4" t="s">
        <v>30769</v>
      </c>
      <c r="B24451" s="4" t="s">
        <v>30770</v>
      </c>
      <c r="C24451" s="5" t="str">
        <f>IFERROR(__xludf.DUMMYFUNCTION("GOOGLETRANSLATE(B24451,""en"",""zh-CN"")"),"看到一个女人从高潜水中跳下来，降落在游泳池中。")</f>
        <v>看到一个女人从高潜水中跳下来，降落在游泳池中。</v>
      </c>
    </row>
    <row r="24452">
      <c r="A24452" s="4" t="s">
        <v>30769</v>
      </c>
      <c r="B24452" s="4" t="s">
        <v>30771</v>
      </c>
      <c r="C24452" s="5" t="str">
        <f>IFERROR(__xludf.DUMMYFUNCTION("GOOGLETRANSLATE(B24452,""en"",""zh-CN"")"),"慢动作后不久，她的潜水镜头的更多镜头再次显示。")</f>
        <v>慢动作后不久，她的潜水镜头的更多镜头再次显示。</v>
      </c>
    </row>
    <row r="24453">
      <c r="A24453" s="4" t="s">
        <v>30772</v>
      </c>
      <c r="B24453" s="4" t="s">
        <v>30773</v>
      </c>
      <c r="C24453" s="5" t="str">
        <f>IFERROR(__xludf.DUMMYFUNCTION("GOOGLETRANSLATE(B24453,""en"",""zh-CN"")"),"看到一条大鱼在冷冻水下游泳。")</f>
        <v>看到一条大鱼在冷冻水下游泳。</v>
      </c>
    </row>
    <row r="24454">
      <c r="A24454" s="4" t="s">
        <v>30772</v>
      </c>
      <c r="B24454" s="4" t="s">
        <v>30774</v>
      </c>
      <c r="C24454" s="5" t="str">
        <f>IFERROR(__xludf.DUMMYFUNCTION("GOOGLETRANSLATE(B24454,""en"",""zh-CN"")"),"一个人在冰上造成一个洞以捕鱼。")</f>
        <v>一个人在冰上造成一个洞以捕鱼。</v>
      </c>
    </row>
    <row r="24455">
      <c r="A24455" s="4" t="s">
        <v>30772</v>
      </c>
      <c r="B24455" s="4" t="s">
        <v>30775</v>
      </c>
      <c r="C24455" s="5" t="str">
        <f>IFERROR(__xludf.DUMMYFUNCTION("GOOGLETRANSLATE(B24455,""en"",""zh-CN"")"),"他抓住了一条线，拉动直到他能够通过孔将其抓住。")</f>
        <v>他抓住了一条线，拉动直到他能够通过孔将其抓住。</v>
      </c>
    </row>
    <row r="24456">
      <c r="A24456" s="4" t="s">
        <v>30776</v>
      </c>
      <c r="B24456" s="4" t="s">
        <v>30777</v>
      </c>
      <c r="C24456" s="5" t="str">
        <f>IFERROR(__xludf.DUMMYFUNCTION("GOOGLETRANSLATE(B24456,""en"",""zh-CN"")"),"我们看到了介绍场景。")</f>
        <v>我们看到了介绍场景。</v>
      </c>
    </row>
    <row r="24457">
      <c r="A24457" s="4" t="s">
        <v>30776</v>
      </c>
      <c r="B24457" s="4" t="s">
        <v>30778</v>
      </c>
      <c r="C24457" s="5" t="str">
        <f>IFERROR(__xludf.DUMMYFUNCTION("GOOGLETRANSLATE(B24457,""en"",""zh-CN"")"),"一个人站在一个带有两个铲子的车库里。")</f>
        <v>一个人站在一个带有两个铲子的车库里。</v>
      </c>
    </row>
    <row r="24458">
      <c r="A24458" s="4" t="s">
        <v>30776</v>
      </c>
      <c r="B24458" s="4" t="s">
        <v>30779</v>
      </c>
      <c r="C24458" s="5" t="str">
        <f>IFERROR(__xludf.DUMMYFUNCTION("GOOGLETRANSLATE(B24458,""en"",""zh-CN"")"),"然后，我们看到他的铲子。")</f>
        <v>然后，我们看到他的铲子。</v>
      </c>
    </row>
    <row r="24459">
      <c r="A24459" s="4" t="s">
        <v>30776</v>
      </c>
      <c r="B24459" s="4" t="s">
        <v>30780</v>
      </c>
      <c r="C24459" s="5" t="str">
        <f>IFERROR(__xludf.DUMMYFUNCTION("GOOGLETRANSLATE(B24459,""en"",""zh-CN"")"),"该男子伸展并穿上冬季衣服。")</f>
        <v>该男子伸展并穿上冬季衣服。</v>
      </c>
    </row>
    <row r="24460">
      <c r="A24460" s="4" t="s">
        <v>30776</v>
      </c>
      <c r="B24460" s="4" t="s">
        <v>30781</v>
      </c>
      <c r="C24460" s="5" t="str">
        <f>IFERROR(__xludf.DUMMYFUNCTION("GOOGLETRANSLATE(B24460,""en"",""zh-CN"")"),"他用不粘喷雾剂喷射铲，并铲车。")</f>
        <v>他用不粘喷雾剂喷射铲，并铲车。</v>
      </c>
    </row>
    <row r="24461">
      <c r="A24461" s="4" t="s">
        <v>30776</v>
      </c>
      <c r="B24461" s="4" t="s">
        <v>30782</v>
      </c>
      <c r="C24461" s="5" t="str">
        <f>IFERROR(__xludf.DUMMYFUNCTION("GOOGLETRANSLATE(B24461,""en"",""zh-CN"")"),"该男子躺下，很难呼吸。")</f>
        <v>该男子躺下，很难呼吸。</v>
      </c>
    </row>
    <row r="24462">
      <c r="A24462" s="4" t="s">
        <v>30776</v>
      </c>
      <c r="B24462" s="4" t="s">
        <v>30783</v>
      </c>
      <c r="C24462" s="5" t="str">
        <f>IFERROR(__xludf.DUMMYFUNCTION("GOOGLETRANSLATE(B24462,""en"",""zh-CN"")"),"放下沙子后，他喝了温暖的饮料。")</f>
        <v>放下沙子后，他喝了温暖的饮料。</v>
      </c>
    </row>
    <row r="24463">
      <c r="A24463" s="4" t="s">
        <v>30776</v>
      </c>
      <c r="B24463" s="4" t="s">
        <v>30784</v>
      </c>
      <c r="C24463" s="5" t="str">
        <f>IFERROR(__xludf.DUMMYFUNCTION("GOOGLETRANSLATE(B24463,""en"",""zh-CN"")"),"我们看到了结局屏幕。")</f>
        <v>我们看到了结局屏幕。</v>
      </c>
    </row>
    <row r="24464">
      <c r="A24464" s="4" t="s">
        <v>30785</v>
      </c>
      <c r="B24464" s="4" t="s">
        <v>30786</v>
      </c>
      <c r="C24464" s="5" t="str">
        <f>IFERROR(__xludf.DUMMYFUNCTION("GOOGLETRANSLATE(B24464,""en"",""zh-CN"")"),"几个女孩在一个大型绿色领域在外面玩游戏。")</f>
        <v>几个女孩在一个大型绿色领域在外面玩游戏。</v>
      </c>
    </row>
    <row r="24465">
      <c r="A24465" s="4" t="s">
        <v>30785</v>
      </c>
      <c r="B24465" s="6" t="s">
        <v>30787</v>
      </c>
      <c r="C24465" s="5" t="str">
        <f>IFERROR(__xludf.DUMMYFUNCTION("GOOGLETRANSLATE(B24465,""en"",""zh-CN"")"),"相机前面的女孩穿着黄色衬衫，黑色短裤用棍子撞到球，开始在空中跳跃。")</f>
        <v>相机前面的女孩穿着黄色衬衫，黑色短裤用棍子撞到球，开始在空中跳跃。</v>
      </c>
    </row>
    <row r="24466">
      <c r="A24466" s="4" t="s">
        <v>30788</v>
      </c>
      <c r="B24466" s="4" t="s">
        <v>30789</v>
      </c>
      <c r="C24466" s="5" t="str">
        <f>IFERROR(__xludf.DUMMYFUNCTION("GOOGLETRANSLATE(B24466,""en"",""zh-CN"")"),"显示了圣诞树的镜头，后面是一个男人走进框架。")</f>
        <v>显示了圣诞树的镜头，后面是一个男人走进框架。</v>
      </c>
    </row>
    <row r="24467">
      <c r="A24467" s="4" t="s">
        <v>30788</v>
      </c>
      <c r="B24467" s="4" t="s">
        <v>30790</v>
      </c>
      <c r="C24467" s="5" t="str">
        <f>IFERROR(__xludf.DUMMYFUNCTION("GOOGLETRANSLATE(B24467,""en"",""zh-CN"")"),"然后，该男子和其他人一样开始装饰树。")</f>
        <v>然后，该男子和其他人一样开始装饰树。</v>
      </c>
    </row>
    <row r="24468">
      <c r="A24468" s="4" t="s">
        <v>30788</v>
      </c>
      <c r="B24468" s="6" t="s">
        <v>30791</v>
      </c>
      <c r="C24468" s="5" t="str">
        <f>IFERROR(__xludf.DUMMYFUNCTION("GOOGLETRANSLATE(B24468,""en"",""zh-CN"")"),"人们不断地装饰树木彼此迅速移动，并将其呈现给相机。")</f>
        <v>人们不断地装饰树木彼此迅速移动，并将其呈现给相机。</v>
      </c>
    </row>
    <row r="24469">
      <c r="A24469" s="4" t="s">
        <v>30792</v>
      </c>
      <c r="B24469" s="4" t="s">
        <v>30793</v>
      </c>
      <c r="C24469" s="5" t="str">
        <f>IFERROR(__xludf.DUMMYFUNCTION("GOOGLETRANSLATE(B24469,""en"",""zh-CN"")"),"看到一个女人在拿起一袋饼干和盘子时在相机上说话。")</f>
        <v>看到一个女人在拿起一袋饼干和盘子时在相机上说话。</v>
      </c>
    </row>
    <row r="24470">
      <c r="A24470" s="4" t="s">
        <v>30792</v>
      </c>
      <c r="B24470" s="4" t="s">
        <v>30794</v>
      </c>
      <c r="C24470" s="5" t="str">
        <f>IFERROR(__xludf.DUMMYFUNCTION("GOOGLETRANSLATE(B24470,""en"",""zh-CN"")"),"然后看到各种成分在碗中布置。")</f>
        <v>然后看到各种成分在碗中布置。</v>
      </c>
    </row>
    <row r="24471">
      <c r="A24471" s="4" t="s">
        <v>30792</v>
      </c>
      <c r="B24471" s="6" t="s">
        <v>30795</v>
      </c>
      <c r="C24471" s="5" t="str">
        <f>IFERROR(__xludf.DUMMYFUNCTION("GOOGLETRANSLATE(B24471,""en"",""zh-CN"")"),"该女子将所有成分混合在一起，将它们挤入小球中，最后将它们挤压。")</f>
        <v>该女子将所有成分混合在一起，将它们挤入小球中，最后将它们挤压。</v>
      </c>
    </row>
    <row r="24472">
      <c r="A24472" s="4" t="s">
        <v>30796</v>
      </c>
      <c r="B24472" s="6" t="s">
        <v>30797</v>
      </c>
      <c r="C24472" s="5" t="str">
        <f>IFERROR(__xludf.DUMMYFUNCTION("GOOGLETRANSLATE(B24472,""en"",""zh-CN"")"),"看到一个带有鼻环的女人在镜头上说话，并导致某人剪头发。")</f>
        <v>看到一个带有鼻环的女人在镜头上说话，并导致某人剪头发。</v>
      </c>
    </row>
    <row r="24473">
      <c r="A24473" s="4" t="s">
        <v>30796</v>
      </c>
      <c r="B24473" s="6" t="s">
        <v>30798</v>
      </c>
      <c r="C24473" s="5" t="str">
        <f>IFERROR(__xludf.DUMMYFUNCTION("GOOGLETRANSLATE(B24473,""en"",""zh-CN"")"),"该人在两侧切下来，看到女人戴着眼镜，并以她的新风格摆姿势。")</f>
        <v>该人在两侧切下来，看到女人戴着眼镜，并以她的新风格摆姿势。</v>
      </c>
    </row>
    <row r="24474">
      <c r="A24474" s="4" t="s">
        <v>30796</v>
      </c>
      <c r="B24474" s="4" t="s">
        <v>30799</v>
      </c>
      <c r="C24474" s="5" t="str">
        <f>IFERROR(__xludf.DUMMYFUNCTION("GOOGLETRANSLATE(B24474,""en"",""zh-CN"")"),"当女人对相机说话时，显示了一个人切割的更多镜头。")</f>
        <v>当女人对相机说话时，显示了一个人切割的更多镜头。</v>
      </c>
    </row>
    <row r="24475">
      <c r="A24475" s="4" t="s">
        <v>30800</v>
      </c>
      <c r="B24475" s="4" t="s">
        <v>30801</v>
      </c>
      <c r="C24475" s="5" t="str">
        <f>IFERROR(__xludf.DUMMYFUNCTION("GOOGLETRANSLATE(B24475,""en"",""zh-CN"")"),"一个年轻的女孩和父亲一起在浴室里。")</f>
        <v>一个年轻的女孩和父亲一起在浴室里。</v>
      </c>
    </row>
    <row r="24476">
      <c r="A24476" s="4" t="s">
        <v>30800</v>
      </c>
      <c r="B24476" s="4" t="s">
        <v>30802</v>
      </c>
      <c r="C24476" s="5" t="str">
        <f>IFERROR(__xludf.DUMMYFUNCTION("GOOGLETRANSLATE(B24476,""en"",""zh-CN"")"),"他在她的脸上上下摩擦水。")</f>
        <v>他在她的脸上上下摩擦水。</v>
      </c>
    </row>
    <row r="24477">
      <c r="A24477" s="4" t="s">
        <v>30800</v>
      </c>
      <c r="B24477" s="4" t="s">
        <v>30803</v>
      </c>
      <c r="C24477" s="5" t="str">
        <f>IFERROR(__xludf.DUMMYFUNCTION("GOOGLETRANSLATE(B24477,""en"",""zh-CN"")"),"她这样做时咯咯笑着微笑。")</f>
        <v>她这样做时咯咯笑着微笑。</v>
      </c>
    </row>
    <row r="24478">
      <c r="A24478" s="4" t="s">
        <v>30804</v>
      </c>
      <c r="B24478" s="4" t="s">
        <v>30805</v>
      </c>
      <c r="C24478" s="5" t="str">
        <f>IFERROR(__xludf.DUMMYFUNCTION("GOOGLETRANSLATE(B24478,""en"",""zh-CN"")"),"一个女孩在芭蕾舞吧上伸展身体。")</f>
        <v>一个女孩在芭蕾舞吧上伸展身体。</v>
      </c>
    </row>
    <row r="24479">
      <c r="A24479" s="4" t="s">
        <v>30804</v>
      </c>
      <c r="B24479" s="4" t="s">
        <v>30806</v>
      </c>
      <c r="C24479" s="5" t="str">
        <f>IFERROR(__xludf.DUMMYFUNCTION("GOOGLETRANSLATE(B24479,""en"",""zh-CN"")"),"一位讲师和一个女人站在一起，谈论芭蕾舞。")</f>
        <v>一位讲师和一个女人站在一起，谈论芭蕾舞。</v>
      </c>
    </row>
    <row r="24480">
      <c r="A24480" s="4" t="s">
        <v>30804</v>
      </c>
      <c r="B24480" s="4" t="s">
        <v>30807</v>
      </c>
      <c r="C24480" s="5" t="str">
        <f>IFERROR(__xludf.DUMMYFUNCTION("GOOGLETRANSLATE(B24480,""en"",""zh-CN"")"),"女孩跳舞，然后向讲师抚摸。")</f>
        <v>女孩跳舞，然后向讲师抚摸。</v>
      </c>
    </row>
    <row r="24481">
      <c r="A24481" s="4" t="s">
        <v>30804</v>
      </c>
      <c r="B24481" s="4" t="s">
        <v>30808</v>
      </c>
      <c r="C24481" s="5" t="str">
        <f>IFERROR(__xludf.DUMMYFUNCTION("GOOGLETRANSLATE(B24481,""en"",""zh-CN"")"),"讲师讨论了您芭蕾舞所需的工具。")</f>
        <v>讲师讨论了您芭蕾舞所需的工具。</v>
      </c>
    </row>
    <row r="24482">
      <c r="A24482" s="4" t="s">
        <v>30804</v>
      </c>
      <c r="B24482" s="4" t="s">
        <v>30809</v>
      </c>
      <c r="C24482" s="5" t="str">
        <f>IFERROR(__xludf.DUMMYFUNCTION("GOOGLETRANSLATE(B24482,""en"",""zh-CN"")"),"当舞者展示时，她谈到了在巴雷（Barre）进行的各种芭蕾舞动作。")</f>
        <v>当舞者展示时，她谈到了在巴雷（Barre）进行的各种芭蕾舞动作。</v>
      </c>
    </row>
    <row r="24483">
      <c r="A24483" s="4" t="s">
        <v>30810</v>
      </c>
      <c r="B24483" s="4" t="s">
        <v>30811</v>
      </c>
      <c r="C24483" s="5" t="str">
        <f>IFERROR(__xludf.DUMMYFUNCTION("GOOGLETRANSLATE(B24483,""en"",""zh-CN"")"),"当塑料人员推动球时，显示了鹅卵石游戏的特写镜头。")</f>
        <v>当塑料人员推动球时，显示了鹅卵石游戏的特写镜头。</v>
      </c>
    </row>
    <row r="24484">
      <c r="A24484" s="4" t="s">
        <v>30810</v>
      </c>
      <c r="B24484" s="4" t="s">
        <v>30812</v>
      </c>
      <c r="C24484" s="5" t="str">
        <f>IFERROR(__xludf.DUMMYFUNCTION("GOOGLETRANSLATE(B24484,""en"",""zh-CN"")"),"看到双手移动球，并抓住了杆子。")</f>
        <v>看到双手移动球，并抓住了杆子。</v>
      </c>
    </row>
    <row r="24485">
      <c r="A24485" s="4" t="s">
        <v>30813</v>
      </c>
      <c r="B24485" s="4" t="s">
        <v>30814</v>
      </c>
      <c r="C24485" s="5" t="str">
        <f>IFERROR(__xludf.DUMMYFUNCTION("GOOGLETRANSLATE(B24485,""en"",""zh-CN"")"),"有些人在准备沿着长雪地坡道上踩踏时被展示。")</f>
        <v>有些人在准备沿着长雪地坡道上踩踏时被展示。</v>
      </c>
    </row>
    <row r="24486">
      <c r="A24486" s="4" t="s">
        <v>30813</v>
      </c>
      <c r="B24486" s="4" t="s">
        <v>30815</v>
      </c>
      <c r="C24486" s="5" t="str">
        <f>IFERROR(__xludf.DUMMYFUNCTION("GOOGLETRANSLATE(B24486,""en"",""zh-CN"")"),"他们开始朝斜坡往下走，直到到达末端并能够停止自己。")</f>
        <v>他们开始朝斜坡往下走，直到到达末端并能够停止自己。</v>
      </c>
    </row>
    <row r="24487">
      <c r="A24487" s="4" t="s">
        <v>30813</v>
      </c>
      <c r="B24487" s="4" t="s">
        <v>30816</v>
      </c>
      <c r="C24487" s="5" t="str">
        <f>IFERROR(__xludf.DUMMYFUNCTION("GOOGLETRANSLATE(B24487,""en"",""zh-CN"")"),"在那之后，他们摆脱了管子，开始退出。")</f>
        <v>在那之后，他们摆脱了管子，开始退出。</v>
      </c>
    </row>
    <row r="24488">
      <c r="A24488" s="4" t="s">
        <v>30817</v>
      </c>
      <c r="B24488" s="4" t="s">
        <v>30818</v>
      </c>
      <c r="C24488" s="5" t="str">
        <f>IFERROR(__xludf.DUMMYFUNCTION("GOOGLETRANSLATE(B24488,""en"",""zh-CN"")"),"人们在沙滩上玩一项运动。")</f>
        <v>人们在沙滩上玩一项运动。</v>
      </c>
    </row>
    <row r="24489">
      <c r="A24489" s="4" t="s">
        <v>30817</v>
      </c>
      <c r="B24489" s="4" t="s">
        <v>30819</v>
      </c>
      <c r="C24489" s="5" t="str">
        <f>IFERROR(__xludf.DUMMYFUNCTION("GOOGLETRANSLATE(B24489,""en"",""zh-CN"")"),"一个穿着绿色制服的男人给场边的人带来了高五分。")</f>
        <v>一个穿着绿色制服的男人给场边的人带来了高五分。</v>
      </c>
    </row>
    <row r="24490">
      <c r="A24490" s="4" t="s">
        <v>30817</v>
      </c>
      <c r="B24490" s="4" t="s">
        <v>30820</v>
      </c>
      <c r="C24490" s="5" t="str">
        <f>IFERROR(__xludf.DUMMYFUNCTION("GOOGLETRANSLATE(B24490,""en"",""zh-CN"")"),"一个男人跌倒在沙滩上。")</f>
        <v>一个男人跌倒在沙滩上。</v>
      </c>
    </row>
    <row r="24491">
      <c r="A24491" s="4" t="s">
        <v>30821</v>
      </c>
      <c r="B24491" s="4" t="s">
        <v>30822</v>
      </c>
      <c r="C24491" s="5" t="str">
        <f>IFERROR(__xludf.DUMMYFUNCTION("GOOGLETRANSLATE(B24491,""en"",""zh-CN"")"),"看到一名年轻女子抓住一只猫，朝相机微笑。")</f>
        <v>看到一名年轻女子抓住一只猫，朝相机微笑。</v>
      </c>
    </row>
    <row r="24492">
      <c r="A24492" s="4" t="s">
        <v>30821</v>
      </c>
      <c r="B24492" s="4" t="s">
        <v>30823</v>
      </c>
      <c r="C24492" s="5" t="str">
        <f>IFERROR(__xludf.DUMMYFUNCTION("GOOGLETRANSLATE(B24492,""en"",""zh-CN"")"),"猫开始大惊小怪，女人继续微笑。")</f>
        <v>猫开始大惊小怪，女人继续微笑。</v>
      </c>
    </row>
    <row r="24493">
      <c r="A24493" s="4" t="s">
        <v>30821</v>
      </c>
      <c r="B24493" s="4" t="s">
        <v>30824</v>
      </c>
      <c r="C24493" s="5" t="str">
        <f>IFERROR(__xludf.DUMMYFUNCTION("GOOGLETRANSLATE(B24493,""en"",""zh-CN"")"),"然后，那个女人割了猫的爪子，而猫仍然四处走动，她举起了猫。")</f>
        <v>然后，那个女人割了猫的爪子，而猫仍然四处走动，她举起了猫。</v>
      </c>
    </row>
    <row r="24494">
      <c r="A24494" s="4" t="s">
        <v>30825</v>
      </c>
      <c r="B24494" s="4" t="s">
        <v>30826</v>
      </c>
      <c r="C24494" s="5" t="str">
        <f>IFERROR(__xludf.DUMMYFUNCTION("GOOGLETRANSLATE(B24494,""en"",""zh-CN"")"),"两个人在湖上的木板上航行。")</f>
        <v>两个人在湖上的木板上航行。</v>
      </c>
    </row>
    <row r="24495">
      <c r="A24495" s="4" t="s">
        <v>30825</v>
      </c>
      <c r="B24495" s="4" t="s">
        <v>30827</v>
      </c>
      <c r="C24495" s="5" t="str">
        <f>IFERROR(__xludf.DUMMYFUNCTION("GOOGLETRANSLATE(B24495,""en"",""zh-CN"")"),"看到一个人在董事会上航行，直到他们从董事会掉下并进入水中。")</f>
        <v>看到一个人在董事会上航行，直到他们从董事会掉下并进入水中。</v>
      </c>
    </row>
    <row r="24496">
      <c r="A24496" s="4" t="s">
        <v>30828</v>
      </c>
      <c r="B24496" s="4" t="s">
        <v>30829</v>
      </c>
      <c r="C24496" s="5" t="str">
        <f>IFERROR(__xludf.DUMMYFUNCTION("GOOGLETRANSLATE(B24496,""en"",""zh-CN"")"),"一群人将盒子包裹在桌子上。")</f>
        <v>一群人将盒子包裹在桌子上。</v>
      </c>
    </row>
    <row r="24497">
      <c r="A24497" s="4" t="s">
        <v>30828</v>
      </c>
      <c r="B24497" s="4" t="s">
        <v>30830</v>
      </c>
      <c r="C24497" s="5" t="str">
        <f>IFERROR(__xludf.DUMMYFUNCTION("GOOGLETRANSLATE(B24497,""en"",""zh-CN"")"),"几个人在该地区走来走去。")</f>
        <v>几个人在该地区走来走去。</v>
      </c>
    </row>
    <row r="24498">
      <c r="A24498" s="4" t="s">
        <v>30828</v>
      </c>
      <c r="B24498" s="4" t="s">
        <v>30831</v>
      </c>
      <c r="C24498" s="5" t="str">
        <f>IFERROR(__xludf.DUMMYFUNCTION("GOOGLETRANSLATE(B24498,""en"",""zh-CN"")"),"一个男人对他的包裹非常深入，并紧紧包裹盒子。")</f>
        <v>一个男人对他的包裹非常深入，并紧紧包裹盒子。</v>
      </c>
    </row>
    <row r="24499">
      <c r="A24499" s="4" t="s">
        <v>30828</v>
      </c>
      <c r="B24499" s="4" t="s">
        <v>30832</v>
      </c>
      <c r="C24499" s="5" t="str">
        <f>IFERROR(__xludf.DUMMYFUNCTION("GOOGLETRANSLATE(B24499,""en"",""zh-CN"")"),"另一个男人出现并抓起纸，然后走开。")</f>
        <v>另一个男人出现并抓起纸，然后走开。</v>
      </c>
    </row>
    <row r="24500">
      <c r="A24500" s="4" t="s">
        <v>30828</v>
      </c>
      <c r="B24500" s="4" t="s">
        <v>30833</v>
      </c>
      <c r="C24500" s="5" t="str">
        <f>IFERROR(__xludf.DUMMYFUNCTION("GOOGLETRANSLATE(B24500,""en"",""zh-CN"")"),"那个男人包裹完成了他的盒子。")</f>
        <v>那个男人包裹完成了他的盒子。</v>
      </c>
    </row>
    <row r="24501">
      <c r="A24501" s="4" t="s">
        <v>30834</v>
      </c>
      <c r="B24501" s="4" t="s">
        <v>30835</v>
      </c>
      <c r="C24501" s="5" t="str">
        <f>IFERROR(__xludf.DUMMYFUNCTION("GOOGLETRANSLATE(B24501,""en"",""zh-CN"")"),"一个男人和女人坐在门廊上。")</f>
        <v>一个男人和女人坐在门廊上。</v>
      </c>
    </row>
    <row r="24502">
      <c r="A24502" s="4" t="s">
        <v>30834</v>
      </c>
      <c r="B24502" s="4" t="s">
        <v>30836</v>
      </c>
      <c r="C24502" s="5" t="str">
        <f>IFERROR(__xludf.DUMMYFUNCTION("GOOGLETRANSLATE(B24502,""en"",""zh-CN"")"),"男人演奏邦戈鼓，而女人偶尔会提供帮助。")</f>
        <v>男人演奏邦戈鼓，而女人偶尔会提供帮助。</v>
      </c>
    </row>
    <row r="24503">
      <c r="A24503" s="4" t="s">
        <v>30834</v>
      </c>
      <c r="B24503" s="4" t="s">
        <v>30837</v>
      </c>
      <c r="C24503" s="5" t="str">
        <f>IFERROR(__xludf.DUMMYFUNCTION("GOOGLETRANSLATE(B24503,""en"",""zh-CN"")"),"看到另一只手在前景中敲打鼓。")</f>
        <v>看到另一只手在前景中敲打鼓。</v>
      </c>
    </row>
    <row r="24504">
      <c r="A24504" s="4" t="s">
        <v>30838</v>
      </c>
      <c r="B24504" s="4" t="s">
        <v>30839</v>
      </c>
      <c r="C24504" s="5" t="str">
        <f>IFERROR(__xludf.DUMMYFUNCTION("GOOGLETRANSLATE(B24504,""en"",""zh-CN"")"),"一个人在拐杖上上楼，然后坐在最后一步，而一个人跟着他。")</f>
        <v>一个人在拐杖上上楼，然后坐在最后一步，而一个人跟着他。</v>
      </c>
    </row>
    <row r="24505">
      <c r="A24505" s="4" t="s">
        <v>30838</v>
      </c>
      <c r="B24505" s="6" t="s">
        <v>30840</v>
      </c>
      <c r="C24505" s="5" t="str">
        <f>IFERROR(__xludf.DUMMYFUNCTION("GOOGLETRANSLATE(B24505,""en"",""zh-CN"")"),"该男子抬起地毯，然后该人在交谈时，给男人一个用钉子的地毯跑步者。")</f>
        <v>该男子抬起地毯，然后该人在交谈时，给男人一个用钉子的地毯跑步者。</v>
      </c>
    </row>
    <row r="24506">
      <c r="A24506" s="4" t="s">
        <v>30838</v>
      </c>
      <c r="B24506" s="4" t="s">
        <v>30841</v>
      </c>
      <c r="C24506" s="5" t="str">
        <f>IFERROR(__xludf.DUMMYFUNCTION("GOOGLETRANSLATE(B24506,""en"",""zh-CN"")"),"之后，该名男子将地毯跑步者放在木头上，并羞辱了松软的指甲。")</f>
        <v>之后，该名男子将地毯跑步者放在木头上，并羞辱了松软的指甲。</v>
      </c>
    </row>
    <row r="24507">
      <c r="A24507" s="4" t="s">
        <v>30838</v>
      </c>
      <c r="B24507" s="4" t="s">
        <v>30842</v>
      </c>
      <c r="C24507" s="5" t="str">
        <f>IFERROR(__xludf.DUMMYFUNCTION("GOOGLETRANSLATE(B24507,""en"",""zh-CN"")"),"接下来，那个男人放在地毯上，使用机器和锤子固定松散的地毯。")</f>
        <v>接下来，那个男人放在地毯上，使用机器和锤子固定松散的地毯。</v>
      </c>
    </row>
    <row r="24508">
      <c r="A24508" s="4" t="s">
        <v>30843</v>
      </c>
      <c r="B24508" s="4" t="s">
        <v>30844</v>
      </c>
      <c r="C24508" s="5" t="str">
        <f>IFERROR(__xludf.DUMMYFUNCTION("GOOGLETRANSLATE(B24508,""en"",""zh-CN"")"),"看到一个男人在指向自行车框架并在轮胎周围旋转的同时在相机上说话。")</f>
        <v>看到一个男人在指向自行车框架并在轮胎周围旋转的同时在相机上说话。</v>
      </c>
    </row>
    <row r="24509">
      <c r="A24509" s="4" t="s">
        <v>30843</v>
      </c>
      <c r="B24509" s="4" t="s">
        <v>30845</v>
      </c>
      <c r="C24509" s="5" t="str">
        <f>IFERROR(__xludf.DUMMYFUNCTION("GOOGLETRANSLATE(B24509,""en"",""zh-CN"")"),"然后，该男子使用工具来调整轮胎车轮并继续旋转。")</f>
        <v>然后，该男子使用工具来调整轮胎车轮并继续旋转。</v>
      </c>
    </row>
    <row r="24510">
      <c r="A24510" s="4" t="s">
        <v>30843</v>
      </c>
      <c r="B24510" s="4" t="s">
        <v>30846</v>
      </c>
      <c r="C24510" s="5" t="str">
        <f>IFERROR(__xludf.DUMMYFUNCTION("GOOGLETRANSLATE(B24510,""en"",""zh-CN"")"),"相机放大时，仍然可以看到他在自行车的后部工作。")</f>
        <v>相机放大时，仍然可以看到他在自行车的后部工作。</v>
      </c>
    </row>
    <row r="24511">
      <c r="A24511" s="4" t="s">
        <v>30847</v>
      </c>
      <c r="B24511" s="4" t="s">
        <v>30848</v>
      </c>
      <c r="C24511" s="5" t="str">
        <f>IFERROR(__xludf.DUMMYFUNCTION("GOOGLETRANSLATE(B24511,""en"",""zh-CN"")"),"一个男人在说话，他后面有一个装满玻璃产品的中国内阁。")</f>
        <v>一个男人在说话，他后面有一个装满玻璃产品的中国内阁。</v>
      </c>
    </row>
    <row r="24512">
      <c r="A24512" s="4" t="s">
        <v>30847</v>
      </c>
      <c r="B24512" s="4" t="s">
        <v>30849</v>
      </c>
      <c r="C24512" s="5" t="str">
        <f>IFERROR(__xludf.DUMMYFUNCTION("GOOGLETRANSLATE(B24512,""en"",""zh-CN"")"),"他开始开始逐步显示有关如何制作酱汁的说明。")</f>
        <v>他开始开始逐步显示有关如何制作酱汁的说明。</v>
      </c>
    </row>
    <row r="24513">
      <c r="A24513" s="4" t="s">
        <v>30847</v>
      </c>
      <c r="B24513" s="4" t="s">
        <v>30850</v>
      </c>
      <c r="C24513" s="5" t="str">
        <f>IFERROR(__xludf.DUMMYFUNCTION("GOOGLETRANSLATE(B24513,""en"",""zh-CN"")"),"然后在另一个煎锅中，他在面包烤时加了一些肉和奶酪。")</f>
        <v>然后在另一个煎锅中，他在面包烤时加了一些肉和奶酪。</v>
      </c>
    </row>
    <row r="24514">
      <c r="A24514" s="4" t="s">
        <v>30847</v>
      </c>
      <c r="B24514" s="4" t="s">
        <v>30851</v>
      </c>
      <c r="C24514" s="5" t="str">
        <f>IFERROR(__xludf.DUMMYFUNCTION("GOOGLETRANSLATE(B24514,""en"",""zh-CN"")"),"然后，他在面包上添加了所有成分，并将其切成两半并开始吃饭。")</f>
        <v>然后，他在面包上添加了所有成分，并将其切成两半并开始吃饭。</v>
      </c>
    </row>
    <row r="24515">
      <c r="A24515" s="4" t="s">
        <v>30852</v>
      </c>
      <c r="B24515" s="4" t="s">
        <v>30853</v>
      </c>
      <c r="C24515" s="5" t="str">
        <f>IFERROR(__xludf.DUMMYFUNCTION("GOOGLETRANSLATE(B24515,""en"",""zh-CN"")"),"显示了一个大圣诞节，后面显示了一个站在旁边的女人。")</f>
        <v>显示了一个大圣诞节，后面显示了一个站在旁边的女人。</v>
      </c>
    </row>
    <row r="24516">
      <c r="A24516" s="4" t="s">
        <v>30852</v>
      </c>
      <c r="B24516" s="4" t="s">
        <v>30854</v>
      </c>
      <c r="C24516" s="5" t="str">
        <f>IFERROR(__xludf.DUMMYFUNCTION("GOOGLETRANSLATE(B24516,""en"",""zh-CN"")"),"女孩在上下跳动时开始装饰树。")</f>
        <v>女孩在上下跳动时开始装饰树。</v>
      </c>
    </row>
    <row r="24517">
      <c r="A24517" s="4" t="s">
        <v>30852</v>
      </c>
      <c r="B24517" s="4" t="s">
        <v>30855</v>
      </c>
      <c r="C24517" s="5" t="str">
        <f>IFERROR(__xludf.DUMMYFUNCTION("GOOGLETRANSLATE(B24517,""en"",""zh-CN"")"),"她在装饰树并望向远处的同时继续弹跳。")</f>
        <v>她在装饰树并望向远处的同时继续弹跳。</v>
      </c>
    </row>
    <row r="24518">
      <c r="A24518" s="4" t="s">
        <v>30856</v>
      </c>
      <c r="B24518" s="4" t="s">
        <v>30857</v>
      </c>
      <c r="C24518" s="5" t="str">
        <f>IFERROR(__xludf.DUMMYFUNCTION("GOOGLETRANSLATE(B24518,""en"",""zh-CN"")"),"看到一个男人和狗站在外面的田野里，一个男人和狗一起玩。")</f>
        <v>看到一个男人和狗站在外面的田野里，一个男人和狗一起玩。</v>
      </c>
    </row>
    <row r="24519">
      <c r="A24519" s="4" t="s">
        <v>30856</v>
      </c>
      <c r="B24519" s="4" t="s">
        <v>30858</v>
      </c>
      <c r="C24519" s="5" t="str">
        <f>IFERROR(__xludf.DUMMYFUNCTION("GOOGLETRANSLATE(B24519,""en"",""zh-CN"")"),"那个男人把飞盘扔给狗，而动物将其带回。")</f>
        <v>那个男人把飞盘扔给狗，而动物将其带回。</v>
      </c>
    </row>
    <row r="24520">
      <c r="A24520" s="4" t="s">
        <v>30856</v>
      </c>
      <c r="B24520" s="4" t="s">
        <v>30859</v>
      </c>
      <c r="C24520" s="5" t="str">
        <f>IFERROR(__xludf.DUMMYFUNCTION("GOOGLETRANSLATE(B24520,""en"",""zh-CN"")"),"该男子使用几个飞盘与狗一起执行多个技巧。")</f>
        <v>该男子使用几个飞盘与狗一起执行多个技巧。</v>
      </c>
    </row>
    <row r="24521">
      <c r="A24521" s="4" t="s">
        <v>30860</v>
      </c>
      <c r="B24521" s="4" t="s">
        <v>30861</v>
      </c>
      <c r="C24521" s="5" t="str">
        <f>IFERROR(__xludf.DUMMYFUNCTION("GOOGLETRANSLATE(B24521,""en"",""zh-CN"")"),"一个年轻人在道路上戴着高跷。")</f>
        <v>一个年轻人在道路上戴着高跷。</v>
      </c>
    </row>
    <row r="24522">
      <c r="A24522" s="4" t="s">
        <v>30860</v>
      </c>
      <c r="B24522" s="4" t="s">
        <v>30862</v>
      </c>
      <c r="C24522" s="5" t="str">
        <f>IFERROR(__xludf.DUMMYFUNCTION("GOOGLETRANSLATE(B24522,""en"",""zh-CN"")"),"他走到路边。")</f>
        <v>他走到路边。</v>
      </c>
    </row>
    <row r="24523">
      <c r="A24523" s="4" t="s">
        <v>30860</v>
      </c>
      <c r="B24523" s="4" t="s">
        <v>30863</v>
      </c>
      <c r="C24523" s="5" t="str">
        <f>IFERROR(__xludf.DUMMYFUNCTION("GOOGLETRANSLATE(B24523,""en"",""zh-CN"")"),"然后，他像准备跑步一样上下抬起脚。")</f>
        <v>然后，他像准备跑步一样上下抬起脚。</v>
      </c>
    </row>
    <row r="24524">
      <c r="A24524" s="4" t="s">
        <v>30860</v>
      </c>
      <c r="B24524" s="4" t="s">
        <v>30864</v>
      </c>
      <c r="C24524" s="5" t="str">
        <f>IFERROR(__xludf.DUMMYFUNCTION("GOOGLETRANSLATE(B24524,""en"",""zh-CN"")"),"当录制的人倾斜相机并覆盖镜头时，视频结束。")</f>
        <v>当录制的人倾斜相机并覆盖镜头时，视频结束。</v>
      </c>
    </row>
    <row r="24525">
      <c r="A24525" s="4" t="s">
        <v>30865</v>
      </c>
      <c r="B24525" s="4" t="s">
        <v>30866</v>
      </c>
      <c r="C24525" s="5" t="str">
        <f>IFERROR(__xludf.DUMMYFUNCTION("GOOGLETRANSLATE(B24525,""en"",""zh-CN"")"),"一个男人的腿坐在厕所上。")</f>
        <v>一个男人的腿坐在厕所上。</v>
      </c>
    </row>
    <row r="24526">
      <c r="A24526" s="4" t="s">
        <v>30865</v>
      </c>
      <c r="B24526" s="4" t="s">
        <v>30867</v>
      </c>
      <c r="C24526" s="5" t="str">
        <f>IFERROR(__xludf.DUMMYFUNCTION("GOOGLETRANSLATE(B24526,""en"",""zh-CN"")"),"一个拿着相机的人走进浴室。")</f>
        <v>一个拿着相机的人走进浴室。</v>
      </c>
    </row>
    <row r="24527">
      <c r="A24527" s="4" t="s">
        <v>30865</v>
      </c>
      <c r="B24527" s="4" t="s">
        <v>30868</v>
      </c>
      <c r="C24527" s="5" t="str">
        <f>IFERROR(__xludf.DUMMYFUNCTION("GOOGLETRANSLATE(B24527,""en"",""zh-CN"")"),"该男子在腿上擦剃须霜。")</f>
        <v>该男子在腿上擦剃须霜。</v>
      </c>
    </row>
    <row r="24528">
      <c r="A24528" s="4" t="s">
        <v>30865</v>
      </c>
      <c r="B24528" s="4" t="s">
        <v>30869</v>
      </c>
      <c r="C24528" s="5" t="str">
        <f>IFERROR(__xludf.DUMMYFUNCTION("GOOGLETRANSLATE(B24528,""en"",""zh-CN"")"),"他开始在水槽里剃光腿。")</f>
        <v>他开始在水槽里剃光腿。</v>
      </c>
    </row>
    <row r="24529">
      <c r="A24529" s="4" t="s">
        <v>30870</v>
      </c>
      <c r="B24529" s="4" t="s">
        <v>30871</v>
      </c>
      <c r="C24529" s="5" t="str">
        <f>IFERROR(__xludf.DUMMYFUNCTION("GOOGLETRANSLATE(B24529,""en"",""zh-CN"")"),"一名体操运动员很快，然后他在一个充满人的体育场里跳了很长时间。")</f>
        <v>一名体操运动员很快，然后他在一个充满人的体育场里跳了很长时间。</v>
      </c>
    </row>
    <row r="24530">
      <c r="A24530" s="4" t="s">
        <v>30870</v>
      </c>
      <c r="B24530" s="4" t="s">
        <v>30872</v>
      </c>
      <c r="C24530" s="5" t="str">
        <f>IFERROR(__xludf.DUMMYFUNCTION("GOOGLETRANSLATE(B24530,""en"",""zh-CN"")"),"两个男人拿着标枪走路。")</f>
        <v>两个男人拿着标枪走路。</v>
      </c>
    </row>
    <row r="24531">
      <c r="A24531" s="4" t="s">
        <v>30870</v>
      </c>
      <c r="B24531" s="4" t="s">
        <v>30873</v>
      </c>
      <c r="C24531" s="5" t="str">
        <f>IFERROR(__xludf.DUMMYFUNCTION("GOOGLETRANSLATE(B24531,""en"",""zh-CN"")"),"之后，体操运动员开心地跳了起来。")</f>
        <v>之后，体操运动员开心地跳了起来。</v>
      </c>
    </row>
    <row r="24532">
      <c r="A24532" s="4" t="s">
        <v>30870</v>
      </c>
      <c r="B24532" s="4" t="s">
        <v>30874</v>
      </c>
      <c r="C24532" s="5" t="str">
        <f>IFERROR(__xludf.DUMMYFUNCTION("GOOGLETRANSLATE(B24532,""en"",""zh-CN"")"),"人们为体操运动员拍照。")</f>
        <v>人们为体操运动员拍照。</v>
      </c>
    </row>
    <row r="24533">
      <c r="A24533" s="4" t="s">
        <v>30875</v>
      </c>
      <c r="B24533" s="4" t="s">
        <v>30876</v>
      </c>
      <c r="C24533" s="5" t="str">
        <f>IFERROR(__xludf.DUMMYFUNCTION("GOOGLETRANSLATE(B24533,""en"",""zh-CN"")"),"看到一个男人站在一个大房间里，举着网球球拍。")</f>
        <v>看到一个男人站在一个大房间里，举着网球球拍。</v>
      </c>
    </row>
    <row r="24534">
      <c r="A24534" s="4" t="s">
        <v>30875</v>
      </c>
      <c r="B24534" s="4" t="s">
        <v>30877</v>
      </c>
      <c r="C24534" s="5" t="str">
        <f>IFERROR(__xludf.DUMMYFUNCTION("GOOGLETRANSLATE(B24534,""en"",""zh-CN"")"),"另外两个人走进框架，开始在该地区周围击球。")</f>
        <v>另外两个人走进框架，开始在该地区周围击球。</v>
      </c>
    </row>
    <row r="24535">
      <c r="A24535" s="4" t="s">
        <v>30875</v>
      </c>
      <c r="B24535" s="4" t="s">
        <v>30878</v>
      </c>
      <c r="C24535" s="5" t="str">
        <f>IFERROR(__xludf.DUMMYFUNCTION("GOOGLETRANSLATE(B24535,""en"",""zh-CN"")"),"这些人继续用网球球拍击中球，然后在房间里追逐。")</f>
        <v>这些人继续用网球球拍击中球，然后在房间里追逐。</v>
      </c>
    </row>
    <row r="24536">
      <c r="A24536" s="4" t="s">
        <v>30879</v>
      </c>
      <c r="B24536" s="4" t="s">
        <v>30880</v>
      </c>
      <c r="C24536" s="5" t="str">
        <f>IFERROR(__xludf.DUMMYFUNCTION("GOOGLETRANSLATE(B24536,""en"",""zh-CN"")"),"看到两个人站在一个戴拳击手套的体育馆里。")</f>
        <v>看到两个人站在一个戴拳击手套的体育馆里。</v>
      </c>
    </row>
    <row r="24537">
      <c r="A24537" s="4" t="s">
        <v>30879</v>
      </c>
      <c r="B24537" s="4" t="s">
        <v>30881</v>
      </c>
      <c r="C24537" s="5" t="str">
        <f>IFERROR(__xludf.DUMMYFUNCTION("GOOGLETRANSLATE(B24537,""en"",""zh-CN"")"),"然后，这些人互相踢和拳回去，第四。")</f>
        <v>然后，这些人互相踢和拳回去，第四。</v>
      </c>
    </row>
    <row r="24538">
      <c r="A24538" s="4" t="s">
        <v>30879</v>
      </c>
      <c r="B24538" s="4" t="s">
        <v>30882</v>
      </c>
      <c r="C24538" s="5" t="str">
        <f>IFERROR(__xludf.DUMMYFUNCTION("GOOGLETRANSLATE(B24538,""en"",""zh-CN"")"),"两人在摄像机捕捉动作时继续战斗。")</f>
        <v>两人在摄像机捕捉动作时继续战斗。</v>
      </c>
    </row>
    <row r="24539">
      <c r="A24539" s="4" t="s">
        <v>30883</v>
      </c>
      <c r="B24539" s="4" t="s">
        <v>30884</v>
      </c>
      <c r="C24539" s="5" t="str">
        <f>IFERROR(__xludf.DUMMYFUNCTION("GOOGLETRANSLATE(B24539,""en"",""zh-CN"")"),"一个男人蹲下并在他的头上握住一条酒吧。")</f>
        <v>一个男人蹲下并在他的头上握住一条酒吧。</v>
      </c>
    </row>
    <row r="24540">
      <c r="A24540" s="4" t="s">
        <v>30883</v>
      </c>
      <c r="B24540" s="4" t="s">
        <v>30885</v>
      </c>
      <c r="C24540" s="5" t="str">
        <f>IFERROR(__xludf.DUMMYFUNCTION("GOOGLETRANSLATE(B24540,""en"",""zh-CN"")"),"一个穿着红色衬衫的男人看着他。")</f>
        <v>一个穿着红色衬衫的男人看着他。</v>
      </c>
    </row>
    <row r="24541">
      <c r="A24541" s="4" t="s">
        <v>30883</v>
      </c>
      <c r="B24541" s="4" t="s">
        <v>30886</v>
      </c>
      <c r="C24541" s="5" t="str">
        <f>IFERROR(__xludf.DUMMYFUNCTION("GOOGLETRANSLATE(B24541,""en"",""zh-CN"")"),"他把酒吧放在他面前的地面上。")</f>
        <v>他把酒吧放在他面前的地面上。</v>
      </c>
    </row>
    <row r="24542">
      <c r="A24542" s="4" t="s">
        <v>30887</v>
      </c>
      <c r="B24542" s="6" t="s">
        <v>30888</v>
      </c>
      <c r="C24542" s="5" t="str">
        <f>IFERROR(__xludf.DUMMYFUNCTION("GOOGLETRANSLATE(B24542,""en"",""zh-CN"")"),"看到一个老妇人在与镜头交谈，并与另一个孩子一起向后摇摆。")</f>
        <v>看到一个老妇人在与镜头交谈，并与另一个孩子一起向后摇摆。</v>
      </c>
    </row>
    <row r="24543">
      <c r="A24543" s="4" t="s">
        <v>30887</v>
      </c>
      <c r="B24543" s="4" t="s">
        <v>30889</v>
      </c>
      <c r="C24543" s="5" t="str">
        <f>IFERROR(__xludf.DUMMYFUNCTION("GOOGLETRANSLATE(B24543,""en"",""zh-CN"")"),"孩子将女人推动挥杆，并继续在秋千上与她一起玩。")</f>
        <v>孩子将女人推动挥杆，并继续在秋千上与她一起玩。</v>
      </c>
    </row>
    <row r="24544">
      <c r="A24544" s="4" t="s">
        <v>30890</v>
      </c>
      <c r="B24544" s="6" t="s">
        <v>30891</v>
      </c>
      <c r="C24544" s="5" t="str">
        <f>IFERROR(__xludf.DUMMYFUNCTION("GOOGLETRANSLATE(B24544,""en"",""zh-CN"")"),"看到两个人进行击剑比赛，而其他人则在后台练习。")</f>
        <v>看到两个人进行击剑比赛，而其他人则在后台练习。</v>
      </c>
    </row>
    <row r="24545">
      <c r="A24545" s="4" t="s">
        <v>30890</v>
      </c>
      <c r="B24545" s="4" t="s">
        <v>30892</v>
      </c>
      <c r="C24545" s="5" t="str">
        <f>IFERROR(__xludf.DUMMYFUNCTION("GOOGLETRANSLATE(B24545,""en"",""zh-CN"")"),"显示了几张击剑的人，以及在摄像头上采访的击剑手。")</f>
        <v>显示了几张击剑的人，以及在摄像头上采访的击剑手。</v>
      </c>
    </row>
    <row r="24546">
      <c r="A24546" s="4" t="s">
        <v>30890</v>
      </c>
      <c r="B24546" s="6" t="s">
        <v>30893</v>
      </c>
      <c r="C24546" s="5" t="str">
        <f>IFERROR(__xludf.DUMMYFUNCTION("GOOGLETRANSLATE(B24546,""en"",""zh-CN"")"),"显示了更多的击剑镜头，并结束了许多人站着，两只握手。")</f>
        <v>显示了更多的击剑镜头，并结束了许多人站着，两只握手。</v>
      </c>
    </row>
    <row r="24547">
      <c r="A24547" s="4" t="s">
        <v>30894</v>
      </c>
      <c r="B24547" s="4" t="s">
        <v>30895</v>
      </c>
      <c r="C24547" s="5" t="str">
        <f>IFERROR(__xludf.DUMMYFUNCTION("GOOGLETRANSLATE(B24547,""en"",""zh-CN"")"),"房子的长凳上显示了一堆衣服。")</f>
        <v>房子的长凳上显示了一堆衣服。</v>
      </c>
    </row>
    <row r="24548">
      <c r="A24548" s="4" t="s">
        <v>30894</v>
      </c>
      <c r="B24548" s="4" t="s">
        <v>30896</v>
      </c>
      <c r="C24548" s="5" t="str">
        <f>IFERROR(__xludf.DUMMYFUNCTION("GOOGLETRANSLATE(B24548,""en"",""zh-CN"")"),"一件毛衣从架子上悬挂。")</f>
        <v>一件毛衣从架子上悬挂。</v>
      </c>
    </row>
    <row r="24549">
      <c r="A24549" s="4" t="s">
        <v>30894</v>
      </c>
      <c r="B24549" s="4" t="s">
        <v>30897</v>
      </c>
      <c r="C24549" s="5" t="str">
        <f>IFERROR(__xludf.DUMMYFUNCTION("GOOGLETRANSLATE(B24549,""en"",""zh-CN"")"),"毛衣从几个角度显示，因为真空被用来捡起头发和皮棉。")</f>
        <v>毛衣从几个角度显示，因为真空被用来捡起头发和皮棉。</v>
      </c>
    </row>
    <row r="24550">
      <c r="A24550" s="4" t="s">
        <v>30898</v>
      </c>
      <c r="B24550" s="4" t="s">
        <v>30899</v>
      </c>
      <c r="C24550" s="5" t="str">
        <f>IFERROR(__xludf.DUMMYFUNCTION("GOOGLETRANSLATE(B24550,""en"",""zh-CN"")"),"看到一座大型建筑物，汽车驶过，人们在舞台上行走。")</f>
        <v>看到一座大型建筑物，汽车驶过，人们在舞台上行走。</v>
      </c>
    </row>
    <row r="24551">
      <c r="A24551" s="4" t="s">
        <v>30898</v>
      </c>
      <c r="B24551" s="6" t="s">
        <v>30900</v>
      </c>
      <c r="C24551" s="5" t="str">
        <f>IFERROR(__xludf.DUMMYFUNCTION("GOOGLETRANSLATE(B24551,""en"",""zh-CN"")"),"然后看到几个人在目标上射击弓箭，并在空中挥舞着手。")</f>
        <v>然后看到几个人在目标上射击弓箭，并在空中挥舞着手。</v>
      </c>
    </row>
    <row r="24552">
      <c r="A24552" s="4" t="s">
        <v>30898</v>
      </c>
      <c r="B24552" s="4" t="s">
        <v>30901</v>
      </c>
      <c r="C24552" s="5" t="str">
        <f>IFERROR(__xludf.DUMMYFUNCTION("GOOGLETRANSLATE(B24552,""en"",""zh-CN"")"),"人们继续向目标射击弓箭，而其他人则在侧面看。")</f>
        <v>人们继续向目标射击弓箭，而其他人则在侧面看。</v>
      </c>
    </row>
    <row r="24553">
      <c r="A24553" s="4" t="s">
        <v>30902</v>
      </c>
      <c r="B24553" s="4" t="s">
        <v>30903</v>
      </c>
      <c r="C24553" s="5" t="str">
        <f>IFERROR(__xludf.DUMMYFUNCTION("GOOGLETRANSLATE(B24553,""en"",""zh-CN"")"),"一个光着膀子的家伙旋转一个固定在杆上的球。")</f>
        <v>一个光着膀子的家伙旋转一个固定在杆上的球。</v>
      </c>
    </row>
    <row r="24554">
      <c r="A24554" s="4" t="s">
        <v>30902</v>
      </c>
      <c r="B24554" s="4" t="s">
        <v>30904</v>
      </c>
      <c r="C24554" s="5" t="str">
        <f>IFERROR(__xludf.DUMMYFUNCTION("GOOGLETRANSLATE(B24554,""en"",""zh-CN"")"),"那个家伙从杆子末端的草地上抬起这件物品。")</f>
        <v>那个家伙从杆子末端的草地上抬起这件物品。</v>
      </c>
    </row>
    <row r="24555">
      <c r="A24555" s="4" t="s">
        <v>30902</v>
      </c>
      <c r="B24555" s="4" t="s">
        <v>30905</v>
      </c>
      <c r="C24555" s="5" t="str">
        <f>IFERROR(__xludf.DUMMYFUNCTION("GOOGLETRANSLATE(B24555,""en"",""zh-CN"")"),"这个家伙释放了该物品。")</f>
        <v>这个家伙释放了该物品。</v>
      </c>
    </row>
    <row r="24556">
      <c r="A24556" s="4" t="s">
        <v>30902</v>
      </c>
      <c r="B24556" s="4" t="s">
        <v>30906</v>
      </c>
      <c r="C24556" s="5" t="str">
        <f>IFERROR(__xludf.DUMMYFUNCTION("GOOGLETRANSLATE(B24556,""en"",""zh-CN"")"),"一个人离开了下降的物品。")</f>
        <v>一个人离开了下降的物品。</v>
      </c>
    </row>
    <row r="24557">
      <c r="A24557" s="4" t="s">
        <v>30902</v>
      </c>
      <c r="B24557" s="4" t="s">
        <v>30907</v>
      </c>
      <c r="C24557" s="5" t="str">
        <f>IFERROR(__xludf.DUMMYFUNCTION("GOOGLETRANSLATE(B24557,""en"",""zh-CN"")"),"显示了该组的网站地址。")</f>
        <v>显示了该组的网站地址。</v>
      </c>
    </row>
    <row r="24558">
      <c r="A24558" s="4" t="s">
        <v>30908</v>
      </c>
      <c r="B24558" s="4" t="s">
        <v>30909</v>
      </c>
      <c r="C24558" s="5" t="str">
        <f>IFERROR(__xludf.DUMMYFUNCTION("GOOGLETRANSLATE(B24558,""en"",""zh-CN"")"),"我们看到一位女士开始割草机。")</f>
        <v>我们看到一位女士开始割草机。</v>
      </c>
    </row>
    <row r="24559">
      <c r="A24559" s="4" t="s">
        <v>30908</v>
      </c>
      <c r="B24559" s="4" t="s">
        <v>30910</v>
      </c>
      <c r="C24559" s="5" t="str">
        <f>IFERROR(__xludf.DUMMYFUNCTION("GOOGLETRANSLATE(B24559,""en"",""zh-CN"")"),"女士停下来看着相机。")</f>
        <v>女士停下来看着相机。</v>
      </c>
    </row>
    <row r="24560">
      <c r="A24560" s="4" t="s">
        <v>30908</v>
      </c>
      <c r="B24560" s="4" t="s">
        <v>30911</v>
      </c>
      <c r="C24560" s="5" t="str">
        <f>IFERROR(__xludf.DUMMYFUNCTION("GOOGLETRANSLATE(B24560,""en"",""zh-CN"")"),"女士开始，然后停止割草。")</f>
        <v>女士开始，然后停止割草。</v>
      </c>
    </row>
    <row r="24561">
      <c r="A24561" s="4" t="s">
        <v>30908</v>
      </c>
      <c r="B24561" s="4" t="s">
        <v>30912</v>
      </c>
      <c r="C24561" s="5" t="str">
        <f>IFERROR(__xludf.DUMMYFUNCTION("GOOGLETRANSLATE(B24561,""en"",""zh-CN"")"),"这位女士试图再次开始割草机。")</f>
        <v>这位女士试图再次开始割草机。</v>
      </c>
    </row>
    <row r="24562">
      <c r="A24562" s="4" t="s">
        <v>30908</v>
      </c>
      <c r="B24562" s="4" t="s">
        <v>30913</v>
      </c>
      <c r="C24562" s="5" t="str">
        <f>IFERROR(__xludf.DUMMYFUNCTION("GOOGLETRANSLATE(B24562,""en"",""zh-CN"")"),"另一位女士来帮助并跌倒了。")</f>
        <v>另一位女士来帮助并跌倒了。</v>
      </c>
    </row>
    <row r="24563">
      <c r="A24563" s="4" t="s">
        <v>30908</v>
      </c>
      <c r="B24563" s="4" t="s">
        <v>30914</v>
      </c>
      <c r="C24563" s="5" t="str">
        <f>IFERROR(__xludf.DUMMYFUNCTION("GOOGLETRANSLATE(B24563,""en"",""zh-CN"")"),"第一夫人终于开始了割草机。")</f>
        <v>第一夫人终于开始了割草机。</v>
      </c>
    </row>
    <row r="24564">
      <c r="A24564" s="4" t="s">
        <v>30908</v>
      </c>
      <c r="B24564" s="4" t="s">
        <v>30915</v>
      </c>
      <c r="C24564" s="5" t="str">
        <f>IFERROR(__xludf.DUMMYFUNCTION("GOOGLETRANSLATE(B24564,""en"",""zh-CN"")"),"那位女士将她的手臂扔在空中，并割草。")</f>
        <v>那位女士将她的手臂扔在空中，并割草。</v>
      </c>
    </row>
    <row r="24565">
      <c r="A24565" s="4" t="s">
        <v>30916</v>
      </c>
      <c r="B24565" s="4" t="s">
        <v>30917</v>
      </c>
      <c r="C24565" s="5" t="str">
        <f>IFERROR(__xludf.DUMMYFUNCTION("GOOGLETRANSLATE(B24565,""en"",""zh-CN"")"),"当一个男人站在她旁边时，一个女人和相机说话。")</f>
        <v>当一个男人站在她旁边时，一个女人和相机说话。</v>
      </c>
    </row>
    <row r="24566">
      <c r="A24566" s="4" t="s">
        <v>30916</v>
      </c>
      <c r="B24566" s="6" t="s">
        <v>30918</v>
      </c>
      <c r="C24566" s="5" t="str">
        <f>IFERROR(__xludf.DUMMYFUNCTION("GOOGLETRANSLATE(B24566,""en"",""zh-CN"")"),"男人转身走开，而女人展示了女性的舞蹈顺序。")</f>
        <v>男人转身走开，而女人展示了女性的舞蹈顺序。</v>
      </c>
    </row>
    <row r="24567">
      <c r="A24567" s="4" t="s">
        <v>30916</v>
      </c>
      <c r="B24567" s="6" t="s">
        <v>30919</v>
      </c>
      <c r="C24567" s="5" t="str">
        <f>IFERROR(__xludf.DUMMYFUNCTION("GOOGLETRANSLATE(B24567,""en"",""zh-CN"")"),"该男子重新加入了女人并与镜头交谈，同时从男性角度展示了一系列步骤。")</f>
        <v>该男子重新加入了女人并与镜头交谈，同时从男性角度展示了一系列步骤。</v>
      </c>
    </row>
    <row r="24568">
      <c r="A24568" s="4" t="s">
        <v>30916</v>
      </c>
      <c r="B24568" s="4" t="s">
        <v>30920</v>
      </c>
      <c r="C24568" s="5" t="str">
        <f>IFERROR(__xludf.DUMMYFUNCTION("GOOGLETRANSLATE(B24568,""en"",""zh-CN"")"),"两人一起展示了舞蹈，没有评论。")</f>
        <v>两人一起展示了舞蹈，没有评论。</v>
      </c>
    </row>
    <row r="24569">
      <c r="A24569" s="4" t="s">
        <v>30921</v>
      </c>
      <c r="B24569" s="4" t="s">
        <v>30922</v>
      </c>
      <c r="C24569" s="5" t="str">
        <f>IFERROR(__xludf.DUMMYFUNCTION("GOOGLETRANSLATE(B24569,""en"",""zh-CN"")"),"雄性使用红色骑行者割草。")</f>
        <v>雄性使用红色骑行者割草。</v>
      </c>
    </row>
    <row r="24570">
      <c r="A24570" s="4" t="s">
        <v>30921</v>
      </c>
      <c r="B24570" s="4" t="s">
        <v>30923</v>
      </c>
      <c r="C24570" s="5" t="str">
        <f>IFERROR(__xludf.DUMMYFUNCTION("GOOGLETRANSLATE(B24570,""en"",""zh-CN"")"),"一个男人鞭打他的脚。")</f>
        <v>一个男人鞭打他的脚。</v>
      </c>
    </row>
    <row r="24571">
      <c r="A24571" s="4" t="s">
        <v>30921</v>
      </c>
      <c r="B24571" s="4" t="s">
        <v>30924</v>
      </c>
      <c r="C24571" s="5" t="str">
        <f>IFERROR(__xludf.DUMMYFUNCTION("GOOGLETRANSLATE(B24571,""en"",""zh-CN"")"),"一只大的黑狗穿过草坪。")</f>
        <v>一只大的黑狗穿过草坪。</v>
      </c>
    </row>
    <row r="24572">
      <c r="A24572" s="4" t="s">
        <v>30921</v>
      </c>
      <c r="B24572" s="4" t="s">
        <v>30925</v>
      </c>
      <c r="C24572" s="5" t="str">
        <f>IFERROR(__xludf.DUMMYFUNCTION("GOOGLETRANSLATE(B24572,""en"",""zh-CN"")"),"该男子停下来并扭转了骑行者。")</f>
        <v>该男子停下来并扭转了骑行者。</v>
      </c>
    </row>
    <row r="24573">
      <c r="A24573" s="4" t="s">
        <v>30921</v>
      </c>
      <c r="B24573" s="4" t="s">
        <v>30926</v>
      </c>
      <c r="C24573" s="5" t="str">
        <f>IFERROR(__xludf.DUMMYFUNCTION("GOOGLETRANSLATE(B24573,""en"",""zh-CN"")"),"那个男人揉了揉耳朵。")</f>
        <v>那个男人揉了揉耳朵。</v>
      </c>
    </row>
    <row r="24574">
      <c r="A24574" s="4" t="s">
        <v>30927</v>
      </c>
      <c r="B24574" s="4" t="s">
        <v>30928</v>
      </c>
      <c r="C24574" s="5" t="str">
        <f>IFERROR(__xludf.DUMMYFUNCTION("GOOGLETRANSLATE(B24574,""en"",""zh-CN"")"),"看到一个男人在回头看相机时开始爬上岩石墙。")</f>
        <v>看到一个男人在回头看相机时开始爬上岩石墙。</v>
      </c>
    </row>
    <row r="24575">
      <c r="A24575" s="4" t="s">
        <v>30927</v>
      </c>
      <c r="B24575" s="4" t="s">
        <v>30929</v>
      </c>
      <c r="C24575" s="5" t="str">
        <f>IFERROR(__xludf.DUMMYFUNCTION("GOOGLETRANSLATE(B24575,""en"",""zh-CN"")"),"他继续上下攀登，同时炫耀自己的脚正确攀登。")</f>
        <v>他继续上下攀登，同时炫耀自己的脚正确攀登。</v>
      </c>
    </row>
    <row r="24576">
      <c r="A24576" s="4" t="s">
        <v>30927</v>
      </c>
      <c r="B24576" s="4" t="s">
        <v>30930</v>
      </c>
      <c r="C24576" s="5" t="str">
        <f>IFERROR(__xludf.DUMMYFUNCTION("GOOGLETRANSLATE(B24576,""en"",""zh-CN"")"),"当相机显示文本说明时，他再做几次。")</f>
        <v>当相机显示文本说明时，他再做几次。</v>
      </c>
    </row>
    <row r="24577">
      <c r="A24577" s="4" t="s">
        <v>30931</v>
      </c>
      <c r="B24577" s="4" t="s">
        <v>30932</v>
      </c>
      <c r="C24577" s="5" t="str">
        <f>IFERROR(__xludf.DUMMYFUNCTION("GOOGLETRANSLATE(B24577,""en"",""zh-CN"")"),"在健身房内，有两个男人握住两条跳绳。")</f>
        <v>在健身房内，有两个男人握住两条跳绳。</v>
      </c>
    </row>
    <row r="24578">
      <c r="A24578" s="4" t="s">
        <v>30931</v>
      </c>
      <c r="B24578" s="4" t="s">
        <v>30933</v>
      </c>
      <c r="C24578" s="5" t="str">
        <f>IFERROR(__xludf.DUMMYFUNCTION("GOOGLETRANSLATE(B24578,""en"",""zh-CN"")"),"马尾辫中的一个人用手持架跳了跳绳。")</f>
        <v>马尾辫中的一个人用手持架跳了跳绳。</v>
      </c>
    </row>
    <row r="24579">
      <c r="A24579" s="4" t="s">
        <v>30931</v>
      </c>
      <c r="B24579" s="4" t="s">
        <v>30934</v>
      </c>
      <c r="C24579" s="5" t="str">
        <f>IFERROR(__xludf.DUMMYFUNCTION("GOOGLETRANSLATE(B24579,""en"",""zh-CN"")"),"一个穿着黑色衬衫的男人手表。")</f>
        <v>一个穿着黑色衬衫的男人手表。</v>
      </c>
    </row>
    <row r="24580">
      <c r="A24580" s="4" t="s">
        <v>30935</v>
      </c>
      <c r="B24580" s="4" t="s">
        <v>30936</v>
      </c>
      <c r="C24580" s="5" t="str">
        <f>IFERROR(__xludf.DUMMYFUNCTION("GOOGLETRANSLATE(B24580,""en"",""zh-CN"")"),"该视频发生在后院的池中。")</f>
        <v>该视频发生在后院的池中。</v>
      </c>
    </row>
    <row r="24581">
      <c r="A24581" s="4" t="s">
        <v>30935</v>
      </c>
      <c r="B24581" s="6" t="s">
        <v>30937</v>
      </c>
      <c r="C24581" s="5" t="str">
        <f>IFERROR(__xludf.DUMMYFUNCTION("GOOGLETRANSLATE(B24581,""en"",""zh-CN"")"),"一条紧紧的绳子绑在游泳池的长度上，一个女人试图走过，她跌倒了几次。")</f>
        <v>一条紧紧的绳子绑在游泳池的长度上，一个女人试图走过，她跌倒了几次。</v>
      </c>
    </row>
    <row r="24582">
      <c r="A24582" s="4" t="s">
        <v>30935</v>
      </c>
      <c r="B24582" s="4" t="s">
        <v>30938</v>
      </c>
      <c r="C24582" s="5" t="str">
        <f>IFERROR(__xludf.DUMMYFUNCTION("GOOGLETRANSLATE(B24582,""en"",""zh-CN"")"),"她上次跌倒时，摄像机倒带并显示她向后掉下来。")</f>
        <v>她上次跌倒时，摄像机倒带并显示她向后掉下来。</v>
      </c>
    </row>
    <row r="24583">
      <c r="A24583" s="4" t="s">
        <v>30935</v>
      </c>
      <c r="B24583" s="4" t="s">
        <v>30939</v>
      </c>
      <c r="C24583" s="5" t="str">
        <f>IFERROR(__xludf.DUMMYFUNCTION("GOOGLETRANSLATE(B24583,""en"",""zh-CN"")"),"然后，该视频将一个人切成一个人，他也使用紧身绳子穿过游泳池。")</f>
        <v>然后，该视频将一个人切成一个人，他也使用紧身绳子穿过游泳池。</v>
      </c>
    </row>
    <row r="24584">
      <c r="A24584" s="4" t="s">
        <v>30935</v>
      </c>
      <c r="B24584" s="4" t="s">
        <v>30940</v>
      </c>
      <c r="C24584" s="5" t="str">
        <f>IFERROR(__xludf.DUMMYFUNCTION("GOOGLETRANSLATE(B24584,""en"",""zh-CN"")"),"视频显示了该男子跌倒的几个剪辑。")</f>
        <v>视频显示了该男子跌倒的几个剪辑。</v>
      </c>
    </row>
    <row r="24585">
      <c r="A24585" s="4" t="s">
        <v>30935</v>
      </c>
      <c r="B24585" s="4" t="s">
        <v>30941</v>
      </c>
      <c r="C24585" s="5" t="str">
        <f>IFERROR(__xludf.DUMMYFUNCTION("GOOGLETRANSLATE(B24585,""en"",""zh-CN"")"),"有一次，他跌倒时拿着相机。")</f>
        <v>有一次，他跌倒时拿着相机。</v>
      </c>
    </row>
    <row r="24586">
      <c r="A24586" s="4" t="s">
        <v>30935</v>
      </c>
      <c r="B24586" s="4" t="s">
        <v>30942</v>
      </c>
      <c r="C24586" s="5" t="str">
        <f>IFERROR(__xludf.DUMMYFUNCTION("GOOGLETRANSLATE(B24586,""en"",""zh-CN"")"),"他还试图用一条腿站在绳索上，并保持平衡。")</f>
        <v>他还试图用一条腿站在绳索上，并保持平衡。</v>
      </c>
    </row>
    <row r="24587">
      <c r="A24587" s="4" t="s">
        <v>30935</v>
      </c>
      <c r="B24587" s="4" t="s">
        <v>30943</v>
      </c>
      <c r="C24587" s="5" t="str">
        <f>IFERROR(__xludf.DUMMYFUNCTION("GOOGLETRANSLATE(B24587,""en"",""zh-CN"")"),"视频结束了，显示他在最后一个跌入管中。")</f>
        <v>视频结束了，显示他在最后一个跌入管中。</v>
      </c>
    </row>
    <row r="24588">
      <c r="A24588" s="4" t="s">
        <v>30944</v>
      </c>
      <c r="B24588" s="6" t="s">
        <v>30945</v>
      </c>
      <c r="C24588" s="5" t="str">
        <f>IFERROR(__xludf.DUMMYFUNCTION("GOOGLETRANSLATE(B24588,""en"",""zh-CN"")"),"一个小男孩用黑色鞋抛光剂照亮了一个人的鞋子，并用刷子和布使光泽。")</f>
        <v>一个小男孩用黑色鞋抛光剂照亮了一个人的鞋子，并用刷子和布使光泽。</v>
      </c>
    </row>
    <row r="24589">
      <c r="A24589" s="4" t="s">
        <v>30944</v>
      </c>
      <c r="B24589" s="4" t="s">
        <v>30946</v>
      </c>
      <c r="C24589" s="5" t="str">
        <f>IFERROR(__xludf.DUMMYFUNCTION("GOOGLETRANSLATE(B24589,""en"",""zh-CN"")"),"然后，男人付钱给小男孩。")</f>
        <v>然后，男人付钱给小男孩。</v>
      </c>
    </row>
    <row r="24590">
      <c r="A24590" s="4" t="s">
        <v>30944</v>
      </c>
      <c r="B24590" s="4" t="s">
        <v>30947</v>
      </c>
      <c r="C24590" s="5" t="str">
        <f>IFERROR(__xludf.DUMMYFUNCTION("GOOGLETRANSLATE(B24590,""en"",""zh-CN"")"),"一个男孩清洗了一个人放着白画的人的网球表演。")</f>
        <v>一个男孩清洗了一个人放着白画的人的网球表演。</v>
      </c>
    </row>
    <row r="24591">
      <c r="A24591" s="4" t="s">
        <v>30948</v>
      </c>
      <c r="B24591" s="4" t="s">
        <v>30949</v>
      </c>
      <c r="C24591" s="5" t="str">
        <f>IFERROR(__xludf.DUMMYFUNCTION("GOOGLETRANSLATE(B24591,""en"",""zh-CN"")"),"一个男人在麦克风前玩笛子。")</f>
        <v>一个男人在麦克风前玩笛子。</v>
      </c>
    </row>
    <row r="24592">
      <c r="A24592" s="4" t="s">
        <v>30948</v>
      </c>
      <c r="B24592" s="4" t="s">
        <v>30950</v>
      </c>
      <c r="C24592" s="5" t="str">
        <f>IFERROR(__xludf.DUMMYFUNCTION("GOOGLETRANSLATE(B24592,""en"",""zh-CN"")"),"其他一些男人坐着弹吉他。")</f>
        <v>其他一些男人坐着弹吉他。</v>
      </c>
    </row>
    <row r="24593">
      <c r="A24593" s="4" t="s">
        <v>30948</v>
      </c>
      <c r="B24593" s="4" t="s">
        <v>30951</v>
      </c>
      <c r="C24593" s="5" t="str">
        <f>IFERROR(__xludf.DUMMYFUNCTION("GOOGLETRANSLATE(B24593,""en"",""zh-CN"")"),"该小组为观众效力，偶尔放大个人。")</f>
        <v>该小组为观众效力，偶尔放大个人。</v>
      </c>
    </row>
    <row r="24594">
      <c r="A24594" s="4" t="s">
        <v>30948</v>
      </c>
      <c r="B24594" s="4" t="s">
        <v>30952</v>
      </c>
      <c r="C24594" s="5" t="str">
        <f>IFERROR(__xludf.DUMMYFUNCTION("GOOGLETRANSLATE(B24594,""en"",""zh-CN"")"),"一个人在打鼓，而其他人则在长笛和吉他上。")</f>
        <v>一个人在打鼓，而其他人则在长笛和吉他上。</v>
      </c>
    </row>
    <row r="24595">
      <c r="A24595" s="4" t="s">
        <v>30948</v>
      </c>
      <c r="B24595" s="4" t="s">
        <v>30953</v>
      </c>
      <c r="C24595" s="5" t="str">
        <f>IFERROR(__xludf.DUMMYFUNCTION("GOOGLETRANSLATE(B24595,""en"",""zh-CN"")"),"灯光在渐强时流动，屏幕变黑。")</f>
        <v>灯光在渐强时流动，屏幕变黑。</v>
      </c>
    </row>
    <row r="24596">
      <c r="A24596" s="4" t="s">
        <v>30954</v>
      </c>
      <c r="B24596" s="4" t="s">
        <v>30955</v>
      </c>
      <c r="C24596" s="5" t="str">
        <f>IFERROR(__xludf.DUMMYFUNCTION("GOOGLETRANSLATE(B24596,""en"",""zh-CN"")"),"一只黄色和棕色的动物附着在从左到右摇摆的墙壁上。")</f>
        <v>一只黄色和棕色的动物附着在从左到右摇摆的墙壁上。</v>
      </c>
    </row>
    <row r="24597">
      <c r="A24597" s="4" t="s">
        <v>30954</v>
      </c>
      <c r="B24597" s="6" t="s">
        <v>30956</v>
      </c>
      <c r="C24597" s="5" t="str">
        <f>IFERROR(__xludf.DUMMYFUNCTION("GOOGLETRANSLATE(B24597,""en"",""zh-CN"")"),"当它在那里时，一个男孩被包裹在头巾中，他在皮纳塔（Pinata）的左侧拿着棍子。")</f>
        <v>当它在那里时，一个男孩被包裹在头巾中，他在皮纳塔（Pinata）的左侧拿着棍子。</v>
      </c>
    </row>
    <row r="24598">
      <c r="A24598" s="4" t="s">
        <v>30954</v>
      </c>
      <c r="B24598" s="4" t="s">
        <v>30957</v>
      </c>
      <c r="C24598" s="5" t="str">
        <f>IFERROR(__xludf.DUMMYFUNCTION("GOOGLETRANSLATE(B24598,""en"",""zh-CN"")"),"然后，他将其移到右侧，并开始猛烈地击中Pinata。")</f>
        <v>然后，他将其移到右侧，并开始猛烈地击中Pinata。</v>
      </c>
    </row>
    <row r="24599">
      <c r="A24599" s="4" t="s">
        <v>30958</v>
      </c>
      <c r="B24599" s="4" t="s">
        <v>4184</v>
      </c>
      <c r="C24599" s="5" t="str">
        <f>IFERROR(__xludf.DUMMYFUNCTION("GOOGLETRANSLATE(B24599,""en"",""zh-CN"")"),"人们在田野上玩曲棍球。")</f>
        <v>人们在田野上玩曲棍球。</v>
      </c>
    </row>
    <row r="24600">
      <c r="A24600" s="4" t="s">
        <v>30958</v>
      </c>
      <c r="B24600" s="4" t="s">
        <v>30959</v>
      </c>
      <c r="C24600" s="5" t="str">
        <f>IFERROR(__xludf.DUMMYFUNCTION("GOOGLETRANSLATE(B24600,""en"",""zh-CN"")"),"一件穿着蓝色衬衫的女人拿着曲棍球棒。")</f>
        <v>一件穿着蓝色衬衫的女人拿着曲棍球棒。</v>
      </c>
    </row>
    <row r="24601">
      <c r="A24601" s="4" t="s">
        <v>30958</v>
      </c>
      <c r="B24601" s="4" t="s">
        <v>30960</v>
      </c>
      <c r="C24601" s="5" t="str">
        <f>IFERROR(__xludf.DUMMYFUNCTION("GOOGLETRANSLATE(B24601,""en"",""zh-CN"")"),"他们继续玩曲棍球。")</f>
        <v>他们继续玩曲棍球。</v>
      </c>
    </row>
    <row r="24602">
      <c r="A24602" s="4" t="s">
        <v>30961</v>
      </c>
      <c r="B24602" s="4" t="s">
        <v>30962</v>
      </c>
      <c r="C24602" s="5" t="str">
        <f>IFERROR(__xludf.DUMMYFUNCTION("GOOGLETRANSLATE(B24602,""en"",""zh-CN"")"),"一个穿着黑色衬衫的男人站在沙龙里。")</f>
        <v>一个穿着黑色衬衫的男人站在沙龙里。</v>
      </c>
    </row>
    <row r="24603">
      <c r="A24603" s="4" t="s">
        <v>30961</v>
      </c>
      <c r="B24603" s="4" t="s">
        <v>30963</v>
      </c>
      <c r="C24603" s="5" t="str">
        <f>IFERROR(__xludf.DUMMYFUNCTION("GOOGLETRANSLATE(B24603,""en"",""zh-CN"")"),"他开始剃掉一个躺下的男人胡须。")</f>
        <v>他开始剃掉一个躺下的男人胡须。</v>
      </c>
    </row>
    <row r="24604">
      <c r="A24604" s="4" t="s">
        <v>30961</v>
      </c>
      <c r="B24604" s="4" t="s">
        <v>30964</v>
      </c>
      <c r="C24604" s="5" t="str">
        <f>IFERROR(__xludf.DUMMYFUNCTION("GOOGLETRANSLATE(B24604,""en"",""zh-CN"")"),"他从男人的脸上毛巾毛巾。")</f>
        <v>他从男人的脸上毛巾毛巾。</v>
      </c>
    </row>
    <row r="24605">
      <c r="A24605" s="4" t="s">
        <v>30965</v>
      </c>
      <c r="B24605" s="4" t="s">
        <v>30966</v>
      </c>
      <c r="C24605" s="5" t="str">
        <f>IFERROR(__xludf.DUMMYFUNCTION("GOOGLETRANSLATE(B24605,""en"",""zh-CN"")"),"一个男人正在展示弹吉他，左侧显示了标题屏幕。")</f>
        <v>一个男人正在展示弹吉他，左侧显示了标题屏幕。</v>
      </c>
    </row>
    <row r="24606">
      <c r="A24606" s="4" t="s">
        <v>30965</v>
      </c>
      <c r="B24606" s="4" t="s">
        <v>30967</v>
      </c>
      <c r="C24606" s="5" t="str">
        <f>IFERROR(__xludf.DUMMYFUNCTION("GOOGLETRANSLATE(B24606,""en"",""zh-CN"")"),"该名男子一遍又一遍地撞击，同时逐渐将头撞到节拍中。")</f>
        <v>该名男子一遍又一遍地撞击，同时逐渐将头撞到节拍中。</v>
      </c>
    </row>
    <row r="24607">
      <c r="A24607" s="4" t="s">
        <v>30968</v>
      </c>
      <c r="B24607" s="6" t="s">
        <v>30969</v>
      </c>
      <c r="C24607" s="5" t="str">
        <f>IFERROR(__xludf.DUMMYFUNCTION("GOOGLETRANSLATE(B24607,""en"",""zh-CN"")"),"展示了火焰的近距离，然后观众站起来，运动员准备好了。")</f>
        <v>展示了火焰的近距离，然后观众站起来，运动员准备好了。</v>
      </c>
    </row>
    <row r="24608">
      <c r="A24608" s="4" t="s">
        <v>30968</v>
      </c>
      <c r="B24608" s="4" t="s">
        <v>30970</v>
      </c>
      <c r="C24608" s="5" t="str">
        <f>IFERROR(__xludf.DUMMYFUNCTION("GOOGLETRANSLATE(B24608,""en"",""zh-CN"")"),"然后，希特勒看着一个男人跳入一个坑里以及他之后的其他几名跑步者。")</f>
        <v>然后，希特勒看着一个男人跳入一个坑里以及他之后的其他几名跑步者。</v>
      </c>
    </row>
    <row r="24609">
      <c r="A24609" s="4" t="s">
        <v>30968</v>
      </c>
      <c r="B24609" s="6" t="s">
        <v>30971</v>
      </c>
      <c r="C24609" s="5" t="str">
        <f>IFERROR(__xludf.DUMMYFUNCTION("GOOGLETRANSLATE(B24609,""en"",""zh-CN"")"),"当观众愤怒而结束时，更多的运动员继续跳跃，士兵们将旗帜升成天空。")</f>
        <v>当观众愤怒而结束时，更多的运动员继续跳跃，士兵们将旗帜升成天空。</v>
      </c>
    </row>
    <row r="24610">
      <c r="A24610" s="4" t="s">
        <v>30972</v>
      </c>
      <c r="B24610" s="4" t="s">
        <v>30973</v>
      </c>
      <c r="C24610" s="5" t="str">
        <f>IFERROR(__xludf.DUMMYFUNCTION("GOOGLETRANSLATE(B24610,""en"",""zh-CN"")"),"有两个男孩在室内壁球场上打壁球。")</f>
        <v>有两个男孩在室内壁球场上打壁球。</v>
      </c>
    </row>
    <row r="24611">
      <c r="A24611" s="4" t="s">
        <v>30972</v>
      </c>
      <c r="B24611" s="4" t="s">
        <v>30974</v>
      </c>
      <c r="C24611" s="5" t="str">
        <f>IFERROR(__xludf.DUMMYFUNCTION("GOOGLETRANSLATE(B24611,""en"",""zh-CN"")"),"他们在一个非结构化的游戏中随机打球，他们经常错过球。")</f>
        <v>他们在一个非结构化的游戏中随机打球，他们经常错过球。</v>
      </c>
    </row>
    <row r="24612">
      <c r="A24612" s="4" t="s">
        <v>30975</v>
      </c>
      <c r="B24612" s="4" t="s">
        <v>30976</v>
      </c>
      <c r="C24612" s="5" t="str">
        <f>IFERROR(__xludf.DUMMYFUNCTION("GOOGLETRANSLATE(B24612,""en"",""zh-CN"")"),"一个人在一个男人记录他的同时，看到一个男人站在一个洞的底部。")</f>
        <v>一个人在一个男人记录他的同时，看到一个男人站在一个洞的底部。</v>
      </c>
    </row>
    <row r="24613">
      <c r="A24613" s="4" t="s">
        <v>30975</v>
      </c>
      <c r="B24613" s="4" t="s">
        <v>30977</v>
      </c>
      <c r="C24613" s="5" t="str">
        <f>IFERROR(__xludf.DUMMYFUNCTION("GOOGLETRANSLATE(B24613,""en"",""zh-CN"")"),"看到两个男人沿着山坡爬，抬头望着相机。")</f>
        <v>看到两个男人沿着山坡爬，抬头望着相机。</v>
      </c>
    </row>
    <row r="24614">
      <c r="A24614" s="4" t="s">
        <v>30975</v>
      </c>
      <c r="B24614" s="4" t="s">
        <v>30978</v>
      </c>
      <c r="C24614" s="5" t="str">
        <f>IFERROR(__xludf.DUMMYFUNCTION("GOOGLETRANSLATE(B24614,""en"",""zh-CN"")"),"一个人将另一个人拉出并爬下，而他们和其他人对相机说话。")</f>
        <v>一个人将另一个人拉出并爬下，而他们和其他人对相机说话。</v>
      </c>
    </row>
    <row r="24615">
      <c r="A24615" s="4" t="s">
        <v>30979</v>
      </c>
      <c r="B24615" s="4" t="s">
        <v>30980</v>
      </c>
      <c r="C24615" s="5" t="str">
        <f>IFERROR(__xludf.DUMMYFUNCTION("GOOGLETRANSLATE(B24615,""en"",""zh-CN"")"),"两名男子在海滩上互相穿着晒黑乳液。")</f>
        <v>两名男子在海滩上互相穿着晒黑乳液。</v>
      </c>
    </row>
    <row r="24616">
      <c r="A24616" s="4" t="s">
        <v>30979</v>
      </c>
      <c r="B24616" s="4" t="s">
        <v>30981</v>
      </c>
      <c r="C24616" s="5" t="str">
        <f>IFERROR(__xludf.DUMMYFUNCTION("GOOGLETRANSLATE(B24616,""en"",""zh-CN"")"),"他们在转身之前在彼此的背上摩擦它。")</f>
        <v>他们在转身之前在彼此的背上摩擦它。</v>
      </c>
    </row>
    <row r="24617">
      <c r="A24617" s="4" t="s">
        <v>30982</v>
      </c>
      <c r="B24617" s="4" t="s">
        <v>30983</v>
      </c>
      <c r="C24617" s="5" t="str">
        <f>IFERROR(__xludf.DUMMYFUNCTION("GOOGLETRANSLATE(B24617,""en"",""zh-CN"")"),"人正站在一个巨大的田野里，练习铅球。")</f>
        <v>人正站在一个巨大的田野里，练习铅球。</v>
      </c>
    </row>
    <row r="24618">
      <c r="A24618" s="4" t="s">
        <v>30982</v>
      </c>
      <c r="B24618" s="4" t="s">
        <v>30984</v>
      </c>
      <c r="C24618" s="5" t="str">
        <f>IFERROR(__xludf.DUMMYFUNCTION("GOOGLETRANSLATE(B24618,""en"",""zh-CN"")"),"穿着红色衬衫的人站在一边。")</f>
        <v>穿着红色衬衫的人站在一边。</v>
      </c>
    </row>
    <row r="24619">
      <c r="A24619" s="4" t="s">
        <v>30982</v>
      </c>
      <c r="B24619" s="4" t="s">
        <v>30985</v>
      </c>
      <c r="C24619" s="5" t="str">
        <f>IFERROR(__xludf.DUMMYFUNCTION("GOOGLETRANSLATE(B24619,""en"",""zh-CN"")"),"男人在一个大的绿草田地里进行了法。")</f>
        <v>男人在一个大的绿草田地里进行了法。</v>
      </c>
    </row>
    <row r="24620">
      <c r="A24620" s="4" t="s">
        <v>30986</v>
      </c>
      <c r="B24620" s="4" t="s">
        <v>30987</v>
      </c>
      <c r="C24620" s="5" t="str">
        <f>IFERROR(__xludf.DUMMYFUNCTION("GOOGLETRANSLATE(B24620,""en"",""zh-CN"")"),"一个男人在车库里向滑雪板抛光。")</f>
        <v>一个男人在车库里向滑雪板抛光。</v>
      </c>
    </row>
    <row r="24621">
      <c r="A24621" s="4" t="s">
        <v>30986</v>
      </c>
      <c r="B24621" s="4" t="s">
        <v>30988</v>
      </c>
      <c r="C24621" s="5" t="str">
        <f>IFERROR(__xludf.DUMMYFUNCTION("GOOGLETRANSLATE(B24621,""en"",""zh-CN"")"),"他改变了位置，以使自己在抛光时给自己带来更多的杠杆作用。")</f>
        <v>他改变了位置，以使自己在抛光时给自己带来更多的杠杆作用。</v>
      </c>
    </row>
    <row r="24622">
      <c r="A24622" s="4" t="s">
        <v>30986</v>
      </c>
      <c r="B24622" s="4" t="s">
        <v>30989</v>
      </c>
      <c r="C24622" s="5" t="str">
        <f>IFERROR(__xludf.DUMMYFUNCTION("GOOGLETRANSLATE(B24622,""en"",""zh-CN"")"),"完成后，他将Shis移至另一个位置。")</f>
        <v>完成后，他将Shis移至另一个位置。</v>
      </c>
    </row>
    <row r="24623">
      <c r="A24623" s="4" t="s">
        <v>30990</v>
      </c>
      <c r="B24623" s="4" t="s">
        <v>30991</v>
      </c>
      <c r="C24623" s="5" t="str">
        <f>IFERROR(__xludf.DUMMYFUNCTION("GOOGLETRANSLATE(B24623,""en"",""zh-CN"")"),"一只狗被女人洗澡。")</f>
        <v>一只狗被女人洗澡。</v>
      </c>
    </row>
    <row r="24624">
      <c r="A24624" s="4" t="s">
        <v>30990</v>
      </c>
      <c r="B24624" s="4" t="s">
        <v>30992</v>
      </c>
      <c r="C24624" s="5" t="str">
        <f>IFERROR(__xludf.DUMMYFUNCTION("GOOGLETRANSLATE(B24624,""en"",""zh-CN"")"),"女人正在用软管向小狗喷水。")</f>
        <v>女人正在用软管向小狗喷水。</v>
      </c>
    </row>
    <row r="24625">
      <c r="A24625" s="4" t="s">
        <v>30990</v>
      </c>
      <c r="B24625" s="4" t="s">
        <v>30993</v>
      </c>
      <c r="C24625" s="5" t="str">
        <f>IFERROR(__xludf.DUMMYFUNCTION("GOOGLETRANSLATE(B24625,""en"",""zh-CN"")"),"她现在正在吹干狗。")</f>
        <v>她现在正在吹干狗。</v>
      </c>
    </row>
    <row r="24626">
      <c r="A24626" s="4" t="s">
        <v>30990</v>
      </c>
      <c r="B24626" s="4" t="s">
        <v>30994</v>
      </c>
      <c r="C24626" s="5" t="str">
        <f>IFERROR(__xludf.DUMMYFUNCTION("GOOGLETRANSLATE(B24626,""en"",""zh-CN"")"),"狗被放在女人脚旁边的狗窝里。")</f>
        <v>狗被放在女人脚旁边的狗窝里。</v>
      </c>
    </row>
    <row r="24627">
      <c r="A24627" s="4" t="s">
        <v>30990</v>
      </c>
      <c r="B24627" s="4" t="s">
        <v>30995</v>
      </c>
      <c r="C24627" s="5" t="str">
        <f>IFERROR(__xludf.DUMMYFUNCTION("GOOGLETRANSLATE(B24627,""en"",""zh-CN"")"),"一只狗在后面和搭配狗的后面玩耍。")</f>
        <v>一只狗在后面和搭配狗的后面玩耍。</v>
      </c>
    </row>
    <row r="24628">
      <c r="A24628" s="4" t="s">
        <v>30990</v>
      </c>
      <c r="B24628" s="4" t="s">
        <v>30996</v>
      </c>
      <c r="C24628" s="5" t="str">
        <f>IFERROR(__xludf.DUMMYFUNCTION("GOOGLETRANSLATE(B24628,""en"",""zh-CN"")"),"现在的狗正在理发。")</f>
        <v>现在的狗正在理发。</v>
      </c>
    </row>
    <row r="24629">
      <c r="A24629" s="4" t="s">
        <v>30997</v>
      </c>
      <c r="B24629" s="6" t="s">
        <v>30998</v>
      </c>
      <c r="C24629" s="5" t="str">
        <f>IFERROR(__xludf.DUMMYFUNCTION("GOOGLETRANSLATE(B24629,""en"",""zh-CN"")"),"出现介绍屏幕，并包括一个男人在浴室里用拖把，品牌名称和其他一些单词擦拭地板的说明。")</f>
        <v>出现介绍屏幕，并包括一个男人在浴室里用拖把，品牌名称和其他一些单词擦拭地板的说明。</v>
      </c>
    </row>
    <row r="24630">
      <c r="A24630" s="4" t="s">
        <v>30997</v>
      </c>
      <c r="B24630" s="6" t="s">
        <v>30999</v>
      </c>
      <c r="C24630" s="5" t="str">
        <f>IFERROR(__xludf.DUMMYFUNCTION("GOOGLETRANSLATE(B24630,""en"",""zh-CN"")"),"一个女人现在使用高个子的高级水桶在浴室里，包括一个用于挤压拖把和储物箱的手柄，她用拖把拖将地板拖将其拖到地板上，然后演示如何将其挤在水桶中并返回到擦浴室的其余部分。")</f>
        <v>一个女人现在使用高个子的高级水桶在浴室里，包括一个用于挤压拖把和储物箱的手柄，她用拖把拖将地板拖将其拖到地板上，然后演示如何将其挤在水桶中并返回到擦浴室的其余部分。</v>
      </c>
    </row>
    <row r="24631">
      <c r="A24631" s="4" t="s">
        <v>30997</v>
      </c>
      <c r="B24631" s="6" t="s">
        <v>31000</v>
      </c>
      <c r="C24631" s="5" t="str">
        <f>IFERROR(__xludf.DUMMYFUNCTION("GOOGLETRANSLATE(B24631,""en"",""zh-CN"")"),"显示了水桶的最高视图，并显示水桶有两个水隔室，干净的水在前面，脏水保存在后面。")</f>
        <v>显示了水桶的最高视图，并显示水桶有两个水隔室，干净的水在前面，脏水保存在后面。</v>
      </c>
    </row>
    <row r="24632">
      <c r="A24632" s="4" t="s">
        <v>30997</v>
      </c>
      <c r="B24632" s="6" t="s">
        <v>31001</v>
      </c>
      <c r="C24632" s="5" t="str">
        <f>IFERROR(__xludf.DUMMYFUNCTION("GOOGLETRANSLATE(B24632,""en"",""zh-CN"")"),"出现了一个白屏，它显示徽标品牌，拖把套筒的不同图片和旁边的数字。")</f>
        <v>出现了一个白屏，它显示徽标品牌，拖把套筒的不同图片和旁边的数字。</v>
      </c>
    </row>
    <row r="24633">
      <c r="A24633" s="4" t="s">
        <v>30997</v>
      </c>
      <c r="B24633" s="6" t="s">
        <v>31002</v>
      </c>
      <c r="C24633" s="5" t="str">
        <f>IFERROR(__xludf.DUMMYFUNCTION("GOOGLETRANSLATE(B24633,""en"",""zh-CN"")"),"女人走到浴室的入口处，取下湿地板标志，将其放在手推车中，开始推动购物车，重点回到她刚刚清洗的干净浴室。")</f>
        <v>女人走到浴室的入口处，取下湿地板标志，将其放在手推车中，开始推动购物车，重点回到她刚刚清洗的干净浴室。</v>
      </c>
    </row>
    <row r="24634">
      <c r="A24634" s="4" t="s">
        <v>31003</v>
      </c>
      <c r="B24634" s="4" t="s">
        <v>31004</v>
      </c>
      <c r="C24634" s="5" t="str">
        <f>IFERROR(__xludf.DUMMYFUNCTION("GOOGLETRANSLATE(B24634,""en"",""zh-CN"")"),"一个人充当带有耳机的DJ。")</f>
        <v>一个人充当带有耳机的DJ。</v>
      </c>
    </row>
    <row r="24635">
      <c r="A24635" s="4" t="s">
        <v>31003</v>
      </c>
      <c r="B24635" s="4" t="s">
        <v>31005</v>
      </c>
      <c r="C24635" s="5" t="str">
        <f>IFERROR(__xludf.DUMMYFUNCTION("GOOGLETRANSLATE(B24635,""en"",""zh-CN"")"),"另一个男人乘坐一对滑雪板。")</f>
        <v>另一个男人乘坐一对滑雪板。</v>
      </c>
    </row>
    <row r="24636">
      <c r="A24636" s="4" t="s">
        <v>31003</v>
      </c>
      <c r="B24636" s="4" t="s">
        <v>31006</v>
      </c>
      <c r="C24636" s="5" t="str">
        <f>IFERROR(__xludf.DUMMYFUNCTION("GOOGLETRANSLATE(B24636,""en"",""zh-CN"")"),"当人们聚集并离开码头时，他滑雪。")</f>
        <v>当人们聚集并离开码头时，他滑雪。</v>
      </c>
    </row>
    <row r="24637">
      <c r="A24637" s="4" t="s">
        <v>31003</v>
      </c>
      <c r="B24637" s="4" t="s">
        <v>31007</v>
      </c>
      <c r="C24637" s="5" t="str">
        <f>IFERROR(__xludf.DUMMYFUNCTION("GOOGLETRANSLATE(B24637,""en"",""zh-CN"")"),"几个人参加了卷发活动，举着标志和微笑。")</f>
        <v>几个人参加了卷发活动，举着标志和微笑。</v>
      </c>
    </row>
    <row r="24638">
      <c r="A24638" s="4" t="s">
        <v>31008</v>
      </c>
      <c r="B24638" s="6" t="s">
        <v>31009</v>
      </c>
      <c r="C24638" s="5" t="str">
        <f>IFERROR(__xludf.DUMMYFUNCTION("GOOGLETRANSLATE(B24638,""en"",""zh-CN"")"),"看到两个人站在一个大型体育馆里，互相讲话，并导致他们表演跳跃的例程。")</f>
        <v>看到两个人站在一个大型体育馆里，互相讲话，并导致他们表演跳跃的例程。</v>
      </c>
    </row>
    <row r="24639">
      <c r="A24639" s="4" t="s">
        <v>31008</v>
      </c>
      <c r="B24639" s="6" t="s">
        <v>31010</v>
      </c>
      <c r="C24639" s="5" t="str">
        <f>IFERROR(__xludf.DUMMYFUNCTION("GOOGLETRANSLATE(B24639,""en"",""zh-CN"")"),"该名女子继续沿着健身房跳跃，结束了绳索。")</f>
        <v>该名女子继续沿着健身房跳跃，结束了绳索。</v>
      </c>
    </row>
    <row r="24640">
      <c r="A24640" s="4" t="s">
        <v>31011</v>
      </c>
      <c r="B24640" s="4" t="s">
        <v>31012</v>
      </c>
      <c r="C24640" s="5" t="str">
        <f>IFERROR(__xludf.DUMMYFUNCTION("GOOGLETRANSLATE(B24640,""en"",""zh-CN"")"),"一个小男孩坐在地板上，碰到真空吸尘器并说话。")</f>
        <v>一个小男孩坐在地板上，碰到真空吸尘器并说话。</v>
      </c>
    </row>
    <row r="24641">
      <c r="A24641" s="4" t="s">
        <v>31011</v>
      </c>
      <c r="B24641" s="4" t="s">
        <v>31013</v>
      </c>
      <c r="C24641" s="5" t="str">
        <f>IFERROR(__xludf.DUMMYFUNCTION("GOOGLETRANSLATE(B24641,""en"",""zh-CN"")"),"他还拿起另一个真空吸尘器，然后开始来回整个房间。")</f>
        <v>他还拿起另一个真空吸尘器，然后开始来回整个房间。</v>
      </c>
    </row>
    <row r="24642">
      <c r="A24642" s="4" t="s">
        <v>31014</v>
      </c>
      <c r="B24642" s="4" t="s">
        <v>31015</v>
      </c>
      <c r="C24642" s="5" t="str">
        <f>IFERROR(__xludf.DUMMYFUNCTION("GOOGLETRANSLATE(B24642,""en"",""zh-CN"")"),"一个戴着绿色衬衫和绿帽子的男人拿着一把大刀。")</f>
        <v>一个戴着绿色衬衫和绿帽子的男人拿着一把大刀。</v>
      </c>
    </row>
    <row r="24643">
      <c r="A24643" s="4" t="s">
        <v>31014</v>
      </c>
      <c r="B24643" s="4" t="s">
        <v>31016</v>
      </c>
      <c r="C24643" s="5" t="str">
        <f>IFERROR(__xludf.DUMMYFUNCTION("GOOGLETRANSLATE(B24643,""en"",""zh-CN"")"),"他开始用刀切成一块木头。")</f>
        <v>他开始用刀切成一块木头。</v>
      </c>
    </row>
    <row r="24644">
      <c r="A24644" s="4" t="s">
        <v>31014</v>
      </c>
      <c r="B24644" s="4" t="s">
        <v>31017</v>
      </c>
      <c r="C24644" s="5" t="str">
        <f>IFERROR(__xludf.DUMMYFUNCTION("GOOGLETRANSLATE(B24644,""en"",""zh-CN"")"),"他将一块木头切成两半。")</f>
        <v>他将一块木头切成两半。</v>
      </c>
    </row>
    <row r="24645">
      <c r="A24645" s="4" t="s">
        <v>31018</v>
      </c>
      <c r="B24645" s="4" t="s">
        <v>2480</v>
      </c>
      <c r="C24645" s="5" t="str">
        <f>IFERROR(__xludf.DUMMYFUNCTION("GOOGLETRANSLATE(B24645,""en"",""zh-CN"")"),"我们看到两个开放标题屏幕。")</f>
        <v>我们看到两个开放标题屏幕。</v>
      </c>
    </row>
    <row r="24646">
      <c r="A24646" s="4" t="s">
        <v>31018</v>
      </c>
      <c r="B24646" s="4" t="s">
        <v>31019</v>
      </c>
      <c r="C24646" s="5" t="str">
        <f>IFERROR(__xludf.DUMMYFUNCTION("GOOGLETRANSLATE(B24646,""en"",""zh-CN"")"),"我们在房间里看到一个男人演奏鼓。")</f>
        <v>我们在房间里看到一个男人演奏鼓。</v>
      </c>
    </row>
    <row r="24647">
      <c r="A24647" s="4" t="s">
        <v>31018</v>
      </c>
      <c r="B24647" s="4" t="s">
        <v>31020</v>
      </c>
      <c r="C24647" s="5" t="str">
        <f>IFERROR(__xludf.DUMMYFUNCTION("GOOGLETRANSLATE(B24647,""en"",""zh-CN"")"),"该男子主要在左侧演奏鼓。")</f>
        <v>该男子主要在左侧演奏鼓。</v>
      </c>
    </row>
    <row r="24648">
      <c r="A24648" s="4" t="s">
        <v>31018</v>
      </c>
      <c r="B24648" s="4" t="s">
        <v>31021</v>
      </c>
      <c r="C24648" s="5" t="str">
        <f>IFERROR(__xludf.DUMMYFUNCTION("GOOGLETRANSLATE(B24648,""en"",""zh-CN"")"),"男人在比赛时停下来。")</f>
        <v>男人在比赛时停下来。</v>
      </c>
    </row>
    <row r="24649">
      <c r="A24649" s="4" t="s">
        <v>31018</v>
      </c>
      <c r="B24649" s="4" t="s">
        <v>31022</v>
      </c>
      <c r="C24649" s="5" t="str">
        <f>IFERROR(__xludf.DUMMYFUNCTION("GOOGLETRANSLATE(B24649,""en"",""zh-CN"")"),"该男子撞上了几支鼓，然后停下来。")</f>
        <v>该男子撞上了几支鼓，然后停下来。</v>
      </c>
    </row>
    <row r="24650">
      <c r="A24650" s="4" t="s">
        <v>31023</v>
      </c>
      <c r="B24650" s="4" t="s">
        <v>31024</v>
      </c>
      <c r="C24650" s="5" t="str">
        <f>IFERROR(__xludf.DUMMYFUNCTION("GOOGLETRANSLATE(B24650,""en"",""zh-CN"")"),"一个男人拿着两条极其肮脏的高跟鞋。")</f>
        <v>一个男人拿着两条极其肮脏的高跟鞋。</v>
      </c>
    </row>
    <row r="24651">
      <c r="A24651" s="4" t="s">
        <v>31023</v>
      </c>
      <c r="B24651" s="4" t="s">
        <v>31025</v>
      </c>
      <c r="C24651" s="5" t="str">
        <f>IFERROR(__xludf.DUMMYFUNCTION("GOOGLETRANSLATE(B24651,""en"",""zh-CN"")"),"他使用尺子刮掉干污垢。")</f>
        <v>他使用尺子刮掉干污垢。</v>
      </c>
    </row>
    <row r="24652">
      <c r="A24652" s="4" t="s">
        <v>31023</v>
      </c>
      <c r="B24652" s="6" t="s">
        <v>31026</v>
      </c>
      <c r="C24652" s="5" t="str">
        <f>IFERROR(__xludf.DUMMYFUNCTION("GOOGLETRANSLATE(B24652,""en"",""zh-CN"")"),"然后，他使用刷子将绒面革材料抛光，然后将白色物质喷到鞋子上。")</f>
        <v>然后，他使用刷子将绒面革材料抛光，然后将白色物质喷到鞋子上。</v>
      </c>
    </row>
    <row r="24653">
      <c r="A24653" s="4" t="s">
        <v>31023</v>
      </c>
      <c r="B24653" s="4" t="s">
        <v>31027</v>
      </c>
      <c r="C24653" s="5" t="str">
        <f>IFERROR(__xludf.DUMMYFUNCTION("GOOGLETRANSLATE(B24653,""en"",""zh-CN"")"),"他将其刮擦，然后在脚后跟施加新的鞋底和尖峰。")</f>
        <v>他将其刮擦，然后在脚后跟施加新的鞋底和尖峰。</v>
      </c>
    </row>
    <row r="24654">
      <c r="A24654" s="4" t="s">
        <v>31023</v>
      </c>
      <c r="B24654" s="4" t="s">
        <v>31028</v>
      </c>
      <c r="C24654" s="5" t="str">
        <f>IFERROR(__xludf.DUMMYFUNCTION("GOOGLETRANSLATE(B24654,""en"",""zh-CN"")"),"他炫耀翻新机可以。")</f>
        <v>他炫耀翻新机可以。</v>
      </c>
    </row>
    <row r="24655">
      <c r="A24655" s="4" t="s">
        <v>31029</v>
      </c>
      <c r="B24655" s="4" t="s">
        <v>31030</v>
      </c>
      <c r="C24655" s="5" t="str">
        <f>IFERROR(__xludf.DUMMYFUNCTION("GOOGLETRANSLATE(B24655,""en"",""zh-CN"")"),"一个男人和一个女人在镜头前说话。")</f>
        <v>一个男人和一个女人在镜头前说话。</v>
      </c>
    </row>
    <row r="24656">
      <c r="A24656" s="4" t="s">
        <v>31029</v>
      </c>
      <c r="B24656" s="4" t="s">
        <v>31031</v>
      </c>
      <c r="C24656" s="5" t="str">
        <f>IFERROR(__xludf.DUMMYFUNCTION("GOOGLETRANSLATE(B24656,""en"",""zh-CN"")"),"球员在打曲棍球。")</f>
        <v>球员在打曲棍球。</v>
      </c>
    </row>
    <row r="24657">
      <c r="A24657" s="4" t="s">
        <v>31029</v>
      </c>
      <c r="B24657" s="4" t="s">
        <v>31032</v>
      </c>
      <c r="C24657" s="5" t="str">
        <f>IFERROR(__xludf.DUMMYFUNCTION("GOOGLETRANSLATE(B24657,""en"",""zh-CN"")"),"一个男人和一个女人正在接受采访。")</f>
        <v>一个男人和一个女人正在接受采访。</v>
      </c>
    </row>
    <row r="24658">
      <c r="A24658" s="4" t="s">
        <v>31033</v>
      </c>
      <c r="B24658" s="4" t="s">
        <v>31034</v>
      </c>
      <c r="C24658" s="5" t="str">
        <f>IFERROR(__xludf.DUMMYFUNCTION("GOOGLETRANSLATE(B24658,""en"",""zh-CN"")"),"船正在穿过水。")</f>
        <v>船正在穿过水。</v>
      </c>
    </row>
    <row r="24659">
      <c r="A24659" s="4" t="s">
        <v>31033</v>
      </c>
      <c r="B24659" s="4" t="s">
        <v>31035</v>
      </c>
      <c r="C24659" s="5" t="str">
        <f>IFERROR(__xludf.DUMMYFUNCTION("GOOGLETRANSLATE(B24659,""en"",""zh-CN"")"),"暴风雨袭来，一个男人在哭。")</f>
        <v>暴风雨袭来，一个男人在哭。</v>
      </c>
    </row>
    <row r="24660">
      <c r="A24660" s="4" t="s">
        <v>31033</v>
      </c>
      <c r="B24660" s="4" t="s">
        <v>31036</v>
      </c>
      <c r="C24660" s="5" t="str">
        <f>IFERROR(__xludf.DUMMYFUNCTION("GOOGLETRANSLATE(B24660,""en"",""zh-CN"")"),"船继续穿过水。")</f>
        <v>船继续穿过水。</v>
      </c>
    </row>
    <row r="24661">
      <c r="A24661" s="4" t="s">
        <v>31037</v>
      </c>
      <c r="B24661" s="4" t="s">
        <v>31038</v>
      </c>
      <c r="C24661" s="5" t="str">
        <f>IFERROR(__xludf.DUMMYFUNCTION("GOOGLETRANSLATE(B24661,""en"",""zh-CN"")"),"穿着西装的男人正在读报纸。")</f>
        <v>穿着西装的男人正在读报纸。</v>
      </c>
    </row>
    <row r="24662">
      <c r="A24662" s="4" t="s">
        <v>31037</v>
      </c>
      <c r="B24662" s="4" t="s">
        <v>31039</v>
      </c>
      <c r="C24662" s="5" t="str">
        <f>IFERROR(__xludf.DUMMYFUNCTION("GOOGLETRANSLATE(B24662,""en"",""zh-CN"")"),"他将溶解的片剂放入一杯水中。")</f>
        <v>他将溶解的片剂放入一杯水中。</v>
      </c>
    </row>
    <row r="24663">
      <c r="A24663" s="4" t="s">
        <v>31037</v>
      </c>
      <c r="B24663" s="4" t="s">
        <v>31040</v>
      </c>
      <c r="C24663" s="5" t="str">
        <f>IFERROR(__xludf.DUMMYFUNCTION("GOOGLETRANSLATE(B24663,""en"",""zh-CN"")"),"有人在高跷上跑到汽车前。")</f>
        <v>有人在高跷上跑到汽车前。</v>
      </c>
    </row>
    <row r="24664">
      <c r="A24664" s="4" t="s">
        <v>31041</v>
      </c>
      <c r="B24664" s="4" t="s">
        <v>31042</v>
      </c>
      <c r="C24664" s="5" t="str">
        <f>IFERROR(__xludf.DUMMYFUNCTION("GOOGLETRANSLATE(B24664,""en"",""zh-CN"")"),"一大批男孩在一个红色独木舟上划着湖上。")</f>
        <v>一大批男孩在一个红色独木舟上划着湖上。</v>
      </c>
    </row>
    <row r="24665">
      <c r="A24665" s="4" t="s">
        <v>31041</v>
      </c>
      <c r="B24665" s="4" t="s">
        <v>31043</v>
      </c>
      <c r="C24665" s="5" t="str">
        <f>IFERROR(__xludf.DUMMYFUNCTION("GOOGLETRANSLATE(B24665,""en"",""zh-CN"")"),"其他码头上的男孩组准备供使用的船。")</f>
        <v>其他码头上的男孩组准备供使用的船。</v>
      </c>
    </row>
    <row r="24666">
      <c r="A24666" s="4" t="s">
        <v>31041</v>
      </c>
      <c r="B24666" s="4" t="s">
        <v>31044</v>
      </c>
      <c r="C24666" s="5" t="str">
        <f>IFERROR(__xludf.DUMMYFUNCTION("GOOGLETRANSLATE(B24666,""en"",""zh-CN"")"),"两个男孩在独木舟后桨上脱离湖边边缘的芦苇。")</f>
        <v>两个男孩在独木舟后桨上脱离湖边边缘的芦苇。</v>
      </c>
    </row>
    <row r="24667">
      <c r="A24667" s="4" t="s">
        <v>31045</v>
      </c>
      <c r="B24667" s="4" t="s">
        <v>31046</v>
      </c>
      <c r="C24667" s="5" t="str">
        <f>IFERROR(__xludf.DUMMYFUNCTION("GOOGLETRANSLATE(B24667,""en"",""zh-CN"")"),"看到一个人跪在地板上，将石膏和瓷砖放在瓷砖上。")</f>
        <v>看到一个人跪在地板上，将石膏和瓷砖放在瓷砖上。</v>
      </c>
    </row>
    <row r="24668">
      <c r="A24668" s="4" t="s">
        <v>31045</v>
      </c>
      <c r="B24668" s="4" t="s">
        <v>31047</v>
      </c>
      <c r="C24668" s="5" t="str">
        <f>IFERROR(__xludf.DUMMYFUNCTION("GOOGLETRANSLATE(B24668,""en"",""zh-CN"")"),"然后，该人将其翻转在瓷砖上，然后将其放在地板上。")</f>
        <v>然后，该人将其翻转在瓷砖上，然后将其放在地板上。</v>
      </c>
    </row>
    <row r="24669">
      <c r="A24669" s="4" t="s">
        <v>31048</v>
      </c>
      <c r="B24669" s="4" t="s">
        <v>31049</v>
      </c>
      <c r="C24669" s="5" t="str">
        <f>IFERROR(__xludf.DUMMYFUNCTION("GOOGLETRANSLATE(B24669,""en"",""zh-CN"")"),"看到一个年轻人站在割草机面前，看着相机。")</f>
        <v>看到一个年轻人站在割草机面前，看着相机。</v>
      </c>
    </row>
    <row r="24670">
      <c r="A24670" s="4" t="s">
        <v>31048</v>
      </c>
      <c r="B24670" s="4" t="s">
        <v>31050</v>
      </c>
      <c r="C24670" s="5" t="str">
        <f>IFERROR(__xludf.DUMMYFUNCTION("GOOGLETRANSLATE(B24670,""en"",""zh-CN"")"),"然后，男孩在割草机上拉了一根绳子。")</f>
        <v>然后，男孩在割草机上拉了一根绳子。</v>
      </c>
    </row>
    <row r="24671">
      <c r="A24671" s="4" t="s">
        <v>31048</v>
      </c>
      <c r="B24671" s="4" t="s">
        <v>31051</v>
      </c>
      <c r="C24671" s="5" t="str">
        <f>IFERROR(__xludf.DUMMYFUNCTION("GOOGLETRANSLATE(B24671,""en"",""zh-CN"")"),"他终于推向割草机。")</f>
        <v>他终于推向割草机。</v>
      </c>
    </row>
    <row r="24672">
      <c r="A24672" s="4" t="s">
        <v>31052</v>
      </c>
      <c r="B24672" s="4" t="s">
        <v>31053</v>
      </c>
      <c r="C24672" s="5" t="str">
        <f>IFERROR(__xludf.DUMMYFUNCTION("GOOGLETRANSLATE(B24672,""en"",""zh-CN"")"),"我们看到一个男人把物品放在他的车里。")</f>
        <v>我们看到一个男人把物品放在他的车里。</v>
      </c>
    </row>
    <row r="24673">
      <c r="A24673" s="4" t="s">
        <v>31052</v>
      </c>
      <c r="B24673" s="4" t="s">
        <v>31054</v>
      </c>
      <c r="C24673" s="5" t="str">
        <f>IFERROR(__xludf.DUMMYFUNCTION("GOOGLETRANSLATE(B24673,""en"",""zh-CN"")"),"该男子上车，沿着街上开车。")</f>
        <v>该男子上车，沿着街上开车。</v>
      </c>
    </row>
    <row r="24674">
      <c r="A24674" s="4" t="s">
        <v>31052</v>
      </c>
      <c r="B24674" s="4" t="s">
        <v>31055</v>
      </c>
      <c r="C24674" s="5" t="str">
        <f>IFERROR(__xludf.DUMMYFUNCTION("GOOGLETRANSLATE(B24674,""en"",""zh-CN"")"),"我们看到男人在攀岩墙上爬上室内，在户外攀登在树林中。")</f>
        <v>我们看到男人在攀岩墙上爬上室内，在户外攀登在树林中。</v>
      </c>
    </row>
    <row r="24675">
      <c r="A24675" s="4" t="s">
        <v>31052</v>
      </c>
      <c r="B24675" s="4" t="s">
        <v>31056</v>
      </c>
      <c r="C24675" s="5" t="str">
        <f>IFERROR(__xludf.DUMMYFUNCTION("GOOGLETRANSLATE(B24675,""en"",""zh-CN"")"),"我们晚上在户外看到两个男人。")</f>
        <v>我们晚上在户外看到两个男人。</v>
      </c>
    </row>
    <row r="24676">
      <c r="A24676" s="4" t="s">
        <v>31052</v>
      </c>
      <c r="B24676" s="4" t="s">
        <v>31057</v>
      </c>
      <c r="C24676" s="5" t="str">
        <f>IFERROR(__xludf.DUMMYFUNCTION("GOOGLETRANSLATE(B24676,""en"",""zh-CN"")"),"我们看到男人爬一个悬崖。")</f>
        <v>我们看到男人爬一个悬崖。</v>
      </c>
    </row>
    <row r="24677">
      <c r="A24677" s="4" t="s">
        <v>31052</v>
      </c>
      <c r="B24677" s="4" t="s">
        <v>31058</v>
      </c>
      <c r="C24677" s="5" t="str">
        <f>IFERROR(__xludf.DUMMYFUNCTION("GOOGLETRANSLATE(B24677,""en"",""zh-CN"")"),"一个人从顶部挥手。")</f>
        <v>一个人从顶部挥手。</v>
      </c>
    </row>
    <row r="24678">
      <c r="A24678" s="4" t="s">
        <v>31052</v>
      </c>
      <c r="B24678" s="4" t="s">
        <v>31059</v>
      </c>
      <c r="C24678" s="5" t="str">
        <f>IFERROR(__xludf.DUMMYFUNCTION("GOOGLETRANSLATE(B24678,""en"",""zh-CN"")"),"我们看到悬崖顶部的男人。")</f>
        <v>我们看到悬崖顶部的男人。</v>
      </c>
    </row>
    <row r="24679">
      <c r="A24679" s="4" t="s">
        <v>31052</v>
      </c>
      <c r="B24679" s="4" t="s">
        <v>31060</v>
      </c>
      <c r="C24679" s="5" t="str">
        <f>IFERROR(__xludf.DUMMYFUNCTION("GOOGLETRANSLATE(B24679,""en"",""zh-CN"")"),"一个人在墙上钻孔。")</f>
        <v>一个人在墙上钻孔。</v>
      </c>
    </row>
    <row r="24680">
      <c r="A24680" s="4" t="s">
        <v>31052</v>
      </c>
      <c r="B24680" s="4" t="s">
        <v>31061</v>
      </c>
      <c r="C24680" s="5" t="str">
        <f>IFERROR(__xludf.DUMMYFUNCTION("GOOGLETRANSLATE(B24680,""en"",""zh-CN"")"),"我们看到一个男人反复摔倒。")</f>
        <v>我们看到一个男人反复摔倒。</v>
      </c>
    </row>
    <row r="24681">
      <c r="A24681" s="4" t="s">
        <v>31052</v>
      </c>
      <c r="B24681" s="4" t="s">
        <v>31062</v>
      </c>
      <c r="C24681" s="5" t="str">
        <f>IFERROR(__xludf.DUMMYFUNCTION("GOOGLETRANSLATE(B24681,""en"",""zh-CN"")"),"我们看到三名男子在河上的船上。")</f>
        <v>我们看到三名男子在河上的船上。</v>
      </c>
    </row>
    <row r="24682">
      <c r="A24682" s="4" t="s">
        <v>31063</v>
      </c>
      <c r="B24682" s="4" t="s">
        <v>31064</v>
      </c>
      <c r="C24682" s="5" t="str">
        <f>IFERROR(__xludf.DUMMYFUNCTION("GOOGLETRANSLATE(B24682,""en"",""zh-CN"")"),"Peolpe在桥下的街道上奔跑。")</f>
        <v>Peolpe在桥下的街道上奔跑。</v>
      </c>
    </row>
    <row r="24683">
      <c r="A24683" s="4" t="s">
        <v>31063</v>
      </c>
      <c r="B24683" s="4" t="s">
        <v>31065</v>
      </c>
      <c r="C24683" s="5" t="str">
        <f>IFERROR(__xludf.DUMMYFUNCTION("GOOGLETRANSLATE(B24683,""en"",""zh-CN"")"),"人们站在桥和街道上奔跑。")</f>
        <v>人们站在桥和街道上奔跑。</v>
      </c>
    </row>
    <row r="24684">
      <c r="A24684" s="4" t="s">
        <v>31066</v>
      </c>
      <c r="B24684" s="4" t="s">
        <v>31067</v>
      </c>
      <c r="C24684" s="5" t="str">
        <f>IFERROR(__xludf.DUMMYFUNCTION("GOOGLETRANSLATE(B24684,""en"",""zh-CN"")"),"一个男孩站在滑梯的底部，走开。")</f>
        <v>一个男孩站在滑梯的底部，走开。</v>
      </c>
    </row>
    <row r="24685">
      <c r="A24685" s="4" t="s">
        <v>31066</v>
      </c>
      <c r="B24685" s="4" t="s">
        <v>31068</v>
      </c>
      <c r="C24685" s="5" t="str">
        <f>IFERROR(__xludf.DUMMYFUNCTION("GOOGLETRANSLATE(B24685,""en"",""zh-CN"")"),"其他孩子在操场上的另一个幻灯片上滑动。")</f>
        <v>其他孩子在操场上的另一个幻灯片上滑动。</v>
      </c>
    </row>
    <row r="24686">
      <c r="A24686" s="4" t="s">
        <v>31066</v>
      </c>
      <c r="B24686" s="4" t="s">
        <v>31069</v>
      </c>
      <c r="C24686" s="5" t="str">
        <f>IFERROR(__xludf.DUMMYFUNCTION("GOOGLETRANSLATE(B24686,""en"",""zh-CN"")"),"一个蹒跚学步的人爬上丛林健身房，然后沿着滑梯沿着滑梯往下走。")</f>
        <v>一个蹒跚学步的人爬上丛林健身房，然后沿着滑梯沿着滑梯往下走。</v>
      </c>
    </row>
    <row r="24687">
      <c r="A24687" s="4" t="s">
        <v>31070</v>
      </c>
      <c r="B24687" s="4" t="s">
        <v>31071</v>
      </c>
      <c r="C24687" s="5" t="str">
        <f>IFERROR(__xludf.DUMMYFUNCTION("GOOGLETRANSLATE(B24687,""en"",""zh-CN"")"),"一只西施狗站在一个由一名年长的亚洲妇女修饰的桌子上。")</f>
        <v>一只西施狗站在一个由一名年长的亚洲妇女修饰的桌子上。</v>
      </c>
    </row>
    <row r="24688">
      <c r="A24688" s="4" t="s">
        <v>31070</v>
      </c>
      <c r="B24688" s="6" t="s">
        <v>31072</v>
      </c>
      <c r="C24688" s="5" t="str">
        <f>IFERROR(__xludf.DUMMYFUNCTION("GOOGLETRANSLATE(B24688,""en"",""zh-CN"")"),"一旦她完成了顶部，那位女士抓住了狗前左脚的狗，拿起一对剪刀，开始修剪他的身体。")</f>
        <v>一旦她完成了顶部，那位女士抓住了狗前左脚的狗，拿起一对剪刀，开始修剪他的身体。</v>
      </c>
    </row>
    <row r="24689">
      <c r="A24689" s="4" t="s">
        <v>31070</v>
      </c>
      <c r="B24689" s="6" t="s">
        <v>31073</v>
      </c>
      <c r="C24689" s="5" t="str">
        <f>IFERROR(__xludf.DUMMYFUNCTION("GOOGLETRANSLATE(B24689,""en"",""zh-CN"")"),"腹部完成后，到达狗头的顶部，将头发剪成脸上，将其余的头发夹在他身后。")</f>
        <v>腹部完成后，到达狗头的顶部，将头发剪成脸上，将其余的头发夹在他身后。</v>
      </c>
    </row>
    <row r="24690">
      <c r="A24690" s="4" t="s">
        <v>31070</v>
      </c>
      <c r="B24690" s="4" t="s">
        <v>31074</v>
      </c>
      <c r="C24690" s="5" t="str">
        <f>IFERROR(__xludf.DUMMYFUNCTION("GOOGLETRANSLATE(B24690,""en"",""zh-CN"")"),"下一步包括她将头发修剪在狗的嘴下。")</f>
        <v>下一步包括她将头发修剪在狗的嘴下。</v>
      </c>
    </row>
    <row r="24691">
      <c r="A24691" s="4" t="s">
        <v>31075</v>
      </c>
      <c r="B24691" s="4" t="s">
        <v>31076</v>
      </c>
      <c r="C24691" s="5" t="str">
        <f>IFERROR(__xludf.DUMMYFUNCTION("GOOGLETRANSLATE(B24691,""en"",""zh-CN"")"),"一个男人正在与另一个领域的另一个人踢足球。")</f>
        <v>一个男人正在与另一个领域的另一个人踢足球。</v>
      </c>
    </row>
    <row r="24692">
      <c r="A24692" s="4" t="s">
        <v>31075</v>
      </c>
      <c r="B24692" s="4" t="s">
        <v>31077</v>
      </c>
      <c r="C24692" s="5" t="str">
        <f>IFERROR(__xludf.DUMMYFUNCTION("GOOGLETRANSLATE(B24692,""en"",""zh-CN"")"),"他与其他后面的紧随其后进行了快速转弯。")</f>
        <v>他与其他后面的紧随其后进行了快速转弯。</v>
      </c>
    </row>
    <row r="24693">
      <c r="A24693" s="4" t="s">
        <v>31075</v>
      </c>
      <c r="B24693" s="4" t="s">
        <v>31078</v>
      </c>
      <c r="C24693" s="5" t="str">
        <f>IFERROR(__xludf.DUMMYFUNCTION("GOOGLETRANSLATE(B24693,""en"",""zh-CN"")"),"相同的剪辑以较慢的速度一遍又一遍地重播，以更好地理解技巧。")</f>
        <v>相同的剪辑以较慢的速度一遍又一遍地重播，以更好地理解技巧。</v>
      </c>
    </row>
    <row r="24694">
      <c r="A24694" s="4" t="s">
        <v>31075</v>
      </c>
      <c r="B24694" s="4" t="s">
        <v>31079</v>
      </c>
      <c r="C24694" s="5" t="str">
        <f>IFERROR(__xludf.DUMMYFUNCTION("GOOGLETRANSLATE(B24694,""en"",""zh-CN"")"),"执行另一个技巧，后来以慢动作显示。")</f>
        <v>执行另一个技巧，后来以慢动作显示。</v>
      </c>
    </row>
    <row r="24695">
      <c r="A24695" s="4" t="s">
        <v>31075</v>
      </c>
      <c r="B24695" s="4" t="s">
        <v>31080</v>
      </c>
      <c r="C24695" s="5" t="str">
        <f>IFERROR(__xludf.DUMMYFUNCTION("GOOGLETRANSLATE(B24695,""en"",""zh-CN"")"),"二人组证明了另外两个技巧，最终以缓慢的节奏显示出来。")</f>
        <v>二人组证明了另外两个技巧，最终以缓慢的节奏显示出来。</v>
      </c>
    </row>
    <row r="24696">
      <c r="A24696" s="4" t="s">
        <v>31081</v>
      </c>
      <c r="B24696" s="4" t="s">
        <v>31082</v>
      </c>
      <c r="C24696" s="5" t="str">
        <f>IFERROR(__xludf.DUMMYFUNCTION("GOOGLETRANSLATE(B24696,""en"",""zh-CN"")"),"介绍从音乐播放器开始，屏幕上介绍了外国字母。")</f>
        <v>介绍从音乐播放器开始，屏幕上介绍了外国字母。</v>
      </c>
    </row>
    <row r="24697">
      <c r="A24697" s="4" t="s">
        <v>31081</v>
      </c>
      <c r="B24697" s="4" t="s">
        <v>31083</v>
      </c>
      <c r="C24697" s="5" t="str">
        <f>IFERROR(__xludf.DUMMYFUNCTION("GOOGLETRANSLATE(B24697,""en"",""zh-CN"")"),"一个男人坐在水烟前，开始与相机交谈。")</f>
        <v>一个男人坐在水烟前，开始与相机交谈。</v>
      </c>
    </row>
    <row r="24698">
      <c r="A24698" s="4" t="s">
        <v>31081</v>
      </c>
      <c r="B24698" s="4" t="s">
        <v>31084</v>
      </c>
      <c r="C24698" s="5" t="str">
        <f>IFERROR(__xludf.DUMMYFUNCTION("GOOGLETRANSLATE(B24698,""en"",""zh-CN"")"),"该男子击中了水烟，咳嗽了一下。")</f>
        <v>该男子击中了水烟，咳嗽了一下。</v>
      </c>
    </row>
    <row r="24699">
      <c r="A24699" s="4" t="s">
        <v>31081</v>
      </c>
      <c r="B24699" s="4" t="s">
        <v>31085</v>
      </c>
      <c r="C24699" s="5" t="str">
        <f>IFERROR(__xludf.DUMMYFUNCTION("GOOGLETRANSLATE(B24699,""en"",""zh-CN"")"),"该男子展示了如何通过在碗上移动烟草来避免用水烟咳嗽。")</f>
        <v>该男子展示了如何通过在碗上移动烟草来避免用水烟咳嗽。</v>
      </c>
    </row>
    <row r="24700">
      <c r="A24700" s="4" t="s">
        <v>31081</v>
      </c>
      <c r="B24700" s="4" t="s">
        <v>31086</v>
      </c>
      <c r="C24700" s="5" t="str">
        <f>IFERROR(__xludf.DUMMYFUNCTION("GOOGLETRANSLATE(B24700,""en"",""zh-CN"")"),"他坐下来，从水烟中取出另一个泡泡。")</f>
        <v>他坐下来，从水烟中取出另一个泡泡。</v>
      </c>
    </row>
    <row r="24701">
      <c r="A24701" s="4" t="s">
        <v>31081</v>
      </c>
      <c r="B24701" s="4" t="s">
        <v>31087</v>
      </c>
      <c r="C24701" s="5" t="str">
        <f>IFERROR(__xludf.DUMMYFUNCTION("GOOGLETRANSLATE(B24701,""en"",""zh-CN"")"),"然后，他继续从设备上取出吹气，并谈论如何获得清晰的命中。")</f>
        <v>然后，他继续从设备上取出吹气，并谈论如何获得清晰的命中。</v>
      </c>
    </row>
    <row r="24702">
      <c r="A24702" s="4" t="s">
        <v>31088</v>
      </c>
      <c r="B24702" s="6" t="s">
        <v>31089</v>
      </c>
      <c r="C24702" s="5" t="str">
        <f>IFERROR(__xludf.DUMMYFUNCTION("GOOGLETRANSLATE(B24702,""en"",""zh-CN"")"),"交通运输部展示了冰和雪的安全尖端，白色汽车覆盖着雪。")</f>
        <v>交通运输部展示了冰和雪的安全尖端，白色汽车覆盖着雪。</v>
      </c>
    </row>
    <row r="24703">
      <c r="A24703" s="4" t="s">
        <v>31088</v>
      </c>
      <c r="B24703" s="4" t="s">
        <v>31090</v>
      </c>
      <c r="C24703" s="5" t="str">
        <f>IFERROR(__xludf.DUMMYFUNCTION("GOOGLETRANSLATE(B24703,""en"",""zh-CN"")"),"一位穿着红色冬季夹克的女士将钥匙放在点火开关中，然后启动汽车。")</f>
        <v>一位穿着红色冬季夹克的女士将钥匙放在点火开关中，然后启动汽车。</v>
      </c>
    </row>
    <row r="24704">
      <c r="A24704" s="4" t="s">
        <v>31088</v>
      </c>
      <c r="B24704" s="6" t="s">
        <v>31091</v>
      </c>
      <c r="C24704" s="5" t="str">
        <f>IFERROR(__xludf.DUMMYFUNCTION("GOOGLETRANSLATE(B24704,""en"",""zh-CN"")"),"红色外套的女士打开了汽车的后备箱，卸下了雪刷，并将雪地刷出车身，挡风玻璃，头灯，前烧烤架和驾照标签。")</f>
        <v>红色外套的女士打开了汽车的后备箱，卸下了雪刷，并将雪地刷出车身，挡风玻璃，头灯，前烧烤架和驾照标签。</v>
      </c>
    </row>
    <row r="24705">
      <c r="A24705" s="4" t="s">
        <v>31092</v>
      </c>
      <c r="B24705" s="4" t="s">
        <v>31093</v>
      </c>
      <c r="C24705" s="5" t="str">
        <f>IFERROR(__xludf.DUMMYFUNCTION("GOOGLETRANSLATE(B24705,""en"",""zh-CN"")"),"一个男人在地板上，有一些小工具看着它，并弄乱了它。")</f>
        <v>一个男人在地板上，有一些小工具看着它，并弄乱了它。</v>
      </c>
    </row>
    <row r="24706">
      <c r="A24706" s="4" t="s">
        <v>31092</v>
      </c>
      <c r="B24706" s="4" t="s">
        <v>31094</v>
      </c>
      <c r="C24706" s="5" t="str">
        <f>IFERROR(__xludf.DUMMYFUNCTION("GOOGLETRANSLATE(B24706,""en"",""zh-CN"")"),"他将软管放在其中一个SDE中，然后开始再处理一些软管。")</f>
        <v>他将软管放在其中一个SDE中，然后开始再处理一些软管。</v>
      </c>
    </row>
    <row r="24707">
      <c r="A24707" s="4" t="s">
        <v>31092</v>
      </c>
      <c r="B24707" s="4" t="s">
        <v>31095</v>
      </c>
      <c r="C24707" s="5" t="str">
        <f>IFERROR(__xludf.DUMMYFUNCTION("GOOGLETRANSLATE(B24707,""en"",""zh-CN"")"),"然后，他将其移至地毯的凝乳中，并开始在上面努力。")</f>
        <v>然后，他将其移至地毯的凝乳中，并开始在上面努力。</v>
      </c>
    </row>
    <row r="24708">
      <c r="A24708" s="4" t="s">
        <v>31092</v>
      </c>
      <c r="B24708" s="4" t="s">
        <v>31096</v>
      </c>
      <c r="C24708" s="5" t="str">
        <f>IFERROR(__xludf.DUMMYFUNCTION("GOOGLETRANSLATE(B24708,""en"",""zh-CN"")"),"他将其移到更多并将地毯推下，他基本上将其做到了整个房间。")</f>
        <v>他将其移到更多并将地毯推下，他基本上将其做到了整个房间。</v>
      </c>
    </row>
    <row r="24709">
      <c r="A24709" s="4" t="s">
        <v>31097</v>
      </c>
      <c r="B24709" s="4" t="s">
        <v>31098</v>
      </c>
      <c r="C24709" s="5" t="str">
        <f>IFERROR(__xludf.DUMMYFUNCTION("GOOGLETRANSLATE(B24709,""en"",""zh-CN"")"),"一位女士在田野里踢球。")</f>
        <v>一位女士在田野里踢球。</v>
      </c>
    </row>
    <row r="24710">
      <c r="A24710" s="4" t="s">
        <v>31097</v>
      </c>
      <c r="B24710" s="4" t="s">
        <v>31099</v>
      </c>
      <c r="C24710" s="5" t="str">
        <f>IFERROR(__xludf.DUMMYFUNCTION("GOOGLETRANSLATE(B24710,""en"",""zh-CN"")"),"那位女士捡起婴儿。")</f>
        <v>那位女士捡起婴儿。</v>
      </c>
    </row>
    <row r="24711">
      <c r="A24711" s="4" t="s">
        <v>31097</v>
      </c>
      <c r="B24711" s="4" t="s">
        <v>31100</v>
      </c>
      <c r="C24711" s="5" t="str">
        <f>IFERROR(__xludf.DUMMYFUNCTION("GOOGLETRANSLATE(B24711,""en"",""zh-CN"")"),"那位女士在屏幕上奔跑。")</f>
        <v>那位女士在屏幕上奔跑。</v>
      </c>
    </row>
    <row r="24712">
      <c r="A24712" s="4" t="s">
        <v>31097</v>
      </c>
      <c r="B24712" s="4" t="s">
        <v>31101</v>
      </c>
      <c r="C24712" s="5" t="str">
        <f>IFERROR(__xludf.DUMMYFUNCTION("GOOGLETRANSLATE(B24712,""en"",""zh-CN"")"),"相机左右平移，向人群展示了周围的人群。")</f>
        <v>相机左右平移，向人群展示了周围的人群。</v>
      </c>
    </row>
    <row r="24713">
      <c r="A24713" s="4" t="s">
        <v>31102</v>
      </c>
      <c r="B24713" s="4" t="s">
        <v>31103</v>
      </c>
      <c r="C24713" s="5" t="str">
        <f>IFERROR(__xludf.DUMMYFUNCTION("GOOGLETRANSLATE(B24713,""en"",""zh-CN"")"),"一堵墙被两个人绘制。")</f>
        <v>一堵墙被两个人绘制。</v>
      </c>
    </row>
    <row r="24714">
      <c r="A24714" s="4" t="s">
        <v>31102</v>
      </c>
      <c r="B24714" s="4" t="s">
        <v>31104</v>
      </c>
      <c r="C24714" s="5" t="str">
        <f>IFERROR(__xludf.DUMMYFUNCTION("GOOGLETRANSLATE(B24714,""en"",""zh-CN"")"),"然后，他们挂上墙壁纸上的墙壁装饰。")</f>
        <v>然后，他们挂上墙壁纸上的墙壁装饰。</v>
      </c>
    </row>
    <row r="24715">
      <c r="A24715" s="4" t="s">
        <v>31105</v>
      </c>
      <c r="B24715" s="4" t="s">
        <v>31106</v>
      </c>
      <c r="C24715" s="5" t="str">
        <f>IFERROR(__xludf.DUMMYFUNCTION("GOOGLETRANSLATE(B24715,""en"",""zh-CN"")"),"一对夫妇出现在屏幕上，谈论跳舞探戈。")</f>
        <v>一对夫妇出现在屏幕上，谈论跳舞探戈。</v>
      </c>
    </row>
    <row r="24716">
      <c r="A24716" s="4" t="s">
        <v>31105</v>
      </c>
      <c r="B24716" s="4" t="s">
        <v>31107</v>
      </c>
      <c r="C24716" s="5" t="str">
        <f>IFERROR(__xludf.DUMMYFUNCTION("GOOGLETRANSLATE(B24716,""en"",""zh-CN"")"),"他们在说话时开始展示舞蹈的不同步骤。")</f>
        <v>他们在说话时开始展示舞蹈的不同步骤。</v>
      </c>
    </row>
    <row r="24717">
      <c r="A24717" s="4" t="s">
        <v>31105</v>
      </c>
      <c r="B24717" s="4" t="s">
        <v>31108</v>
      </c>
      <c r="C24717" s="5" t="str">
        <f>IFERROR(__xludf.DUMMYFUNCTION("GOOGLETRANSLATE(B24717,""en"",""zh-CN"")"),"他们向前和来回移动，展示了探戈。")</f>
        <v>他们向前和来回移动，展示了探戈。</v>
      </c>
    </row>
    <row r="24718">
      <c r="A24718" s="4" t="s">
        <v>31105</v>
      </c>
      <c r="B24718" s="4" t="s">
        <v>31109</v>
      </c>
      <c r="C24718" s="5" t="str">
        <f>IFERROR(__xludf.DUMMYFUNCTION("GOOGLETRANSLATE(B24718,""en"",""zh-CN"")"),"然后，他们一起跳舞。")</f>
        <v>然后，他们一起跳舞。</v>
      </c>
    </row>
    <row r="24719">
      <c r="A24719" s="4" t="s">
        <v>31110</v>
      </c>
      <c r="B24719" s="4" t="s">
        <v>31111</v>
      </c>
      <c r="C24719" s="5" t="str">
        <f>IFERROR(__xludf.DUMMYFUNCTION("GOOGLETRANSLATE(B24719,""en"",""zh-CN"")"),"球员在海滩排球比赛之前站在场边。")</f>
        <v>球员在海滩排球比赛之前站在场边。</v>
      </c>
    </row>
    <row r="24720">
      <c r="A24720" s="4" t="s">
        <v>31110</v>
      </c>
      <c r="B24720" s="4" t="s">
        <v>31112</v>
      </c>
      <c r="C24720" s="5" t="str">
        <f>IFERROR(__xludf.DUMMYFUNCTION("GOOGLETRANSLATE(B24720,""en"",""zh-CN"")"),"球员走上球场并担任比赛的位置。")</f>
        <v>球员走上球场并担任比赛的位置。</v>
      </c>
    </row>
    <row r="24721">
      <c r="A24721" s="4" t="s">
        <v>31110</v>
      </c>
      <c r="B24721" s="4" t="s">
        <v>31113</v>
      </c>
      <c r="C24721" s="5" t="str">
        <f>IFERROR(__xludf.DUMMYFUNCTION("GOOGLETRANSLATE(B24721,""en"",""zh-CN"")"),"球队打出一场海滩排球比赛。")</f>
        <v>球队打出一场海滩排球比赛。</v>
      </c>
    </row>
    <row r="24722">
      <c r="A24722" s="4" t="s">
        <v>31110</v>
      </c>
      <c r="B24722" s="4" t="s">
        <v>31114</v>
      </c>
      <c r="C24722" s="5" t="str">
        <f>IFERROR(__xludf.DUMMYFUNCTION("GOOGLETRANSLATE(B24722,""en"",""zh-CN"")"),"玩家握手并互相祝贺。")</f>
        <v>玩家握手并互相祝贺。</v>
      </c>
    </row>
    <row r="24723">
      <c r="A24723" s="4" t="s">
        <v>31115</v>
      </c>
      <c r="B24723" s="4" t="s">
        <v>31116</v>
      </c>
      <c r="C24723" s="5" t="str">
        <f>IFERROR(__xludf.DUMMYFUNCTION("GOOGLETRANSLATE(B24723,""en"",""zh-CN"")"),"一个年轻人在展示萨克斯管时说话。")</f>
        <v>一个年轻人在展示萨克斯管时说话。</v>
      </c>
    </row>
    <row r="24724">
      <c r="A24724" s="4" t="s">
        <v>31115</v>
      </c>
      <c r="B24724" s="4" t="s">
        <v>31117</v>
      </c>
      <c r="C24724" s="5" t="str">
        <f>IFERROR(__xludf.DUMMYFUNCTION("GOOGLETRANSLATE(B24724,""en"",""zh-CN"")"),"年轻人说话时指出了萨克斯管的钥匙。")</f>
        <v>年轻人说话时指出了萨克斯管的钥匙。</v>
      </c>
    </row>
    <row r="24725">
      <c r="A24725" s="4" t="s">
        <v>31115</v>
      </c>
      <c r="B24725" s="4" t="s">
        <v>31118</v>
      </c>
      <c r="C24725" s="5" t="str">
        <f>IFERROR(__xludf.DUMMYFUNCTION("GOOGLETRANSLATE(B24725,""en"",""zh-CN"")"),"然后，年轻人用蓝色丝带在脖子上固定萨克斯管。")</f>
        <v>然后，年轻人用蓝色丝带在脖子上固定萨克斯管。</v>
      </c>
    </row>
    <row r="24726">
      <c r="A24726" s="4" t="s">
        <v>31115</v>
      </c>
      <c r="B24726" s="6" t="s">
        <v>31119</v>
      </c>
      <c r="C24726" s="5" t="str">
        <f>IFERROR(__xludf.DUMMYFUNCTION("GOOGLETRANSLATE(B24726,""en"",""zh-CN"")"),"之后，年轻人将嘴放在萨克斯管的喉舌上，然后继续解释。")</f>
        <v>之后，年轻人将嘴放在萨克斯管的喉舌上，然后继续解释。</v>
      </c>
    </row>
    <row r="24727">
      <c r="A24727" s="4" t="s">
        <v>31120</v>
      </c>
      <c r="B24727" s="4" t="s">
        <v>31121</v>
      </c>
      <c r="C24727" s="5" t="str">
        <f>IFERROR(__xludf.DUMMYFUNCTION("GOOGLETRANSLATE(B24727,""en"",""zh-CN"")"),"发型师解释了如何剪掉男人发型。")</f>
        <v>发型师解释了如何剪掉男人发型。</v>
      </c>
    </row>
    <row r="24728">
      <c r="A24728" s="4" t="s">
        <v>31120</v>
      </c>
      <c r="B24728" s="6" t="s">
        <v>31122</v>
      </c>
      <c r="C24728" s="5" t="str">
        <f>IFERROR(__xludf.DUMMYFUNCTION("GOOGLETRANSLATE(B24728,""en"",""zh-CN"")"),"头发Sylist用一些夹子将头发准备成部分，并开始用羽毛剃须刀剪头发，并将头发夹在头顶上，然后用剪刀制作层来剪头发。")</f>
        <v>头发Sylist用一些夹子将头发准备成部分，并开始用羽毛剃须刀剪头发，并将头发夹在头顶上，然后用剪刀制作层来剪头发。</v>
      </c>
    </row>
    <row r="24729">
      <c r="A24729" s="4" t="s">
        <v>31120</v>
      </c>
      <c r="B24729" s="4" t="s">
        <v>31123</v>
      </c>
      <c r="C24729" s="5" t="str">
        <f>IFERROR(__xludf.DUMMYFUNCTION("GOOGLETRANSLATE(B24729,""en"",""zh-CN"")"),"然后，发型师使用头发鼓风机用手指将头发蓬松。")</f>
        <v>然后，发型师使用头发鼓风机用手指将头发蓬松。</v>
      </c>
    </row>
    <row r="24730">
      <c r="A24730" s="4" t="s">
        <v>31120</v>
      </c>
      <c r="B24730" s="4" t="s">
        <v>31124</v>
      </c>
      <c r="C24730" s="5" t="str">
        <f>IFERROR(__xludf.DUMMYFUNCTION("GOOGLETRANSLATE(B24730,""en"",""zh-CN"")"),"然后，发型师只用手指将头发蓬松。")</f>
        <v>然后，发型师只用手指将头发蓬松。</v>
      </c>
    </row>
    <row r="24731">
      <c r="A24731" s="4" t="s">
        <v>31120</v>
      </c>
      <c r="B24731" s="4" t="s">
        <v>31125</v>
      </c>
      <c r="C24731" s="5" t="str">
        <f>IFERROR(__xludf.DUMMYFUNCTION("GOOGLETRANSLATE(B24731,""en"",""zh-CN"")"),"Theman的特写和最终切割和发型师的特写。")</f>
        <v>Theman的特写和最终切割和发型师的特写。</v>
      </c>
    </row>
    <row r="24732">
      <c r="A24732" s="4" t="s">
        <v>31126</v>
      </c>
      <c r="B24732" s="4" t="s">
        <v>31127</v>
      </c>
      <c r="C24732" s="5" t="str">
        <f>IFERROR(__xludf.DUMMYFUNCTION("GOOGLETRANSLATE(B24732,""en"",""zh-CN"")"),"一条手在墙纸的松动区域排成一列。")</f>
        <v>一条手在墙纸的松动区域排成一列。</v>
      </c>
    </row>
    <row r="24733">
      <c r="A24733" s="4" t="s">
        <v>31126</v>
      </c>
      <c r="B24733" s="4" t="s">
        <v>31128</v>
      </c>
      <c r="C24733" s="5" t="str">
        <f>IFERROR(__xludf.DUMMYFUNCTION("GOOGLETRANSLATE(B24733,""en"",""zh-CN"")"),"手从松散墙纸背面的碗里放了糊状物。")</f>
        <v>手从松散墙纸背面的碗里放了糊状物。</v>
      </c>
    </row>
    <row r="24734">
      <c r="A24734" s="4" t="s">
        <v>31126</v>
      </c>
      <c r="B24734" s="4" t="s">
        <v>31129</v>
      </c>
      <c r="C24734" s="5" t="str">
        <f>IFERROR(__xludf.DUMMYFUNCTION("GOOGLETRANSLATE(B24734,""en"",""zh-CN"")"),"手在松散的墙纸上运行磨砂膏。")</f>
        <v>手在松散的墙纸上运行磨砂膏。</v>
      </c>
    </row>
    <row r="24735">
      <c r="A24735" s="4" t="s">
        <v>31126</v>
      </c>
      <c r="B24735" s="4" t="s">
        <v>31130</v>
      </c>
      <c r="C24735" s="5" t="str">
        <f>IFERROR(__xludf.DUMMYFUNCTION("GOOGLETRANSLATE(B24735,""en"",""zh-CN"")"),"手握着一个吹风机，另一只手滚动设备以修补松散的墙纸。")</f>
        <v>手握着一个吹风机，另一只手滚动设备以修补松散的墙纸。</v>
      </c>
    </row>
    <row r="24736">
      <c r="A24736" s="4" t="s">
        <v>31126</v>
      </c>
      <c r="B24736" s="4" t="s">
        <v>31131</v>
      </c>
      <c r="C24736" s="5" t="str">
        <f>IFERROR(__xludf.DUMMYFUNCTION("GOOGLETRANSLATE(B24736,""en"",""zh-CN"")"),"手在修饰的墙纸中迅速运行磨砂膏。")</f>
        <v>手在修饰的墙纸中迅速运行磨砂膏。</v>
      </c>
    </row>
    <row r="24737">
      <c r="A24737" s="4" t="s">
        <v>31132</v>
      </c>
      <c r="B24737" s="4" t="s">
        <v>31133</v>
      </c>
      <c r="C24737" s="5" t="str">
        <f>IFERROR(__xludf.DUMMYFUNCTION("GOOGLETRANSLATE(B24737,""en"",""zh-CN"")"),"一个女人介绍了她的家居装饰视频，站在椅子旁边。")</f>
        <v>一个女人介绍了她的家居装饰视频，站在椅子旁边。</v>
      </c>
    </row>
    <row r="24738">
      <c r="A24738" s="4" t="s">
        <v>31132</v>
      </c>
      <c r="B24738" s="4" t="s">
        <v>31134</v>
      </c>
      <c r="C24738" s="5" t="str">
        <f>IFERROR(__xludf.DUMMYFUNCTION("GOOGLETRANSLATE(B24738,""en"",""zh-CN"")"),"她首先用海绵从椅子上擦去污垢。")</f>
        <v>她首先用海绵从椅子上擦去污垢。</v>
      </c>
    </row>
    <row r="24739">
      <c r="A24739" s="4" t="s">
        <v>31132</v>
      </c>
      <c r="B24739" s="4" t="s">
        <v>31135</v>
      </c>
      <c r="C24739" s="5" t="str">
        <f>IFERROR(__xludf.DUMMYFUNCTION("GOOGLETRANSLATE(B24739,""en"",""zh-CN"")"),"接下来，她在椅子上涂了银色油漆。")</f>
        <v>接下来，她在椅子上涂了银色油漆。</v>
      </c>
    </row>
    <row r="24740">
      <c r="A24740" s="4" t="s">
        <v>31132</v>
      </c>
      <c r="B24740" s="4" t="s">
        <v>31136</v>
      </c>
      <c r="C24740" s="5" t="str">
        <f>IFERROR(__xludf.DUMMYFUNCTION("GOOGLETRANSLATE(B24740,""en"",""zh-CN"")"),"然后，她将刷子浸入蓝色油漆中，以覆盖椅子的座椅，后背，然后手臂/腿。")</f>
        <v>然后，她将刷子浸入蓝色油漆中，以覆盖椅子的座椅，后背，然后手臂/腿。</v>
      </c>
    </row>
    <row r="24741">
      <c r="A24741" s="4" t="s">
        <v>31132</v>
      </c>
      <c r="B24741" s="4" t="s">
        <v>31137</v>
      </c>
      <c r="C24741" s="5" t="str">
        <f>IFERROR(__xludf.DUMMYFUNCTION("GOOGLETRANSLATE(B24741,""en"",""zh-CN"")"),"最后，她将模板放在椅子上，并将内部的白色涂上装饰。")</f>
        <v>最后，她将模板放在椅子上，并将内部的白色涂上装饰。</v>
      </c>
    </row>
    <row r="24742">
      <c r="A24742" s="4" t="s">
        <v>31138</v>
      </c>
      <c r="B24742" s="4" t="s">
        <v>31139</v>
      </c>
      <c r="C24742" s="5" t="str">
        <f>IFERROR(__xludf.DUMMYFUNCTION("GOOGLETRANSLATE(B24742,""en"",""zh-CN"")"),"男人坐在赌场的黑色杰克桌子里，经销商将卡片散布给玩家。")</f>
        <v>男人坐在赌场的黑色杰克桌子里，经销商将卡片散布给玩家。</v>
      </c>
    </row>
    <row r="24743">
      <c r="A24743" s="4" t="s">
        <v>31138</v>
      </c>
      <c r="B24743" s="4" t="s">
        <v>31140</v>
      </c>
      <c r="C24743" s="5" t="str">
        <f>IFERROR(__xludf.DUMMYFUNCTION("GOOGLETRANSLATE(B24743,""en"",""zh-CN"")"),"男人正在和镜头说话。")</f>
        <v>男人正在和镜头说话。</v>
      </c>
    </row>
    <row r="24744">
      <c r="A24744" s="4" t="s">
        <v>31138</v>
      </c>
      <c r="B24744" s="4" t="s">
        <v>31141</v>
      </c>
      <c r="C24744" s="5" t="str">
        <f>IFERROR(__xludf.DUMMYFUNCTION("GOOGLETRANSLATE(B24744,""en"",""zh-CN"")"),"经销商的女人站在镜头前说话。")</f>
        <v>经销商的女人站在镜头前说话。</v>
      </c>
    </row>
    <row r="24745">
      <c r="A24745" s="4" t="s">
        <v>31138</v>
      </c>
      <c r="B24745" s="4" t="s">
        <v>31142</v>
      </c>
      <c r="C24745" s="5" t="str">
        <f>IFERROR(__xludf.DUMMYFUNCTION("GOOGLETRANSLATE(B24745,""en"",""zh-CN"")"),"人正站在老虎机的前面与相机说话。")</f>
        <v>人正站在老虎机的前面与相机说话。</v>
      </c>
    </row>
    <row r="24746">
      <c r="A24746" s="4" t="s">
        <v>31143</v>
      </c>
      <c r="B24746" s="6" t="s">
        <v>31144</v>
      </c>
      <c r="C24746" s="5" t="str">
        <f>IFERROR(__xludf.DUMMYFUNCTION("GOOGLETRANSLATE(B24746,""en"",""zh-CN"")"),"各种工具和产品都放在桌子上，并过渡到一个在镜子前行走的男人，并把乳液放在他的脸上。")</f>
        <v>各种工具和产品都放在桌子上，并过渡到一个在镜子前行走的男人，并把乳液放在他的脸上。</v>
      </c>
    </row>
    <row r="24747">
      <c r="A24747" s="4" t="s">
        <v>31143</v>
      </c>
      <c r="B24747" s="4" t="s">
        <v>31145</v>
      </c>
      <c r="C24747" s="5" t="str">
        <f>IFERROR(__xludf.DUMMYFUNCTION("GOOGLETRANSLATE(B24747,""en"",""zh-CN"")"),"然后，他将奶油放在脸上，剃光在脸上。")</f>
        <v>然后，他将奶油放在脸上，剃光在脸上。</v>
      </c>
    </row>
    <row r="24748">
      <c r="A24748" s="4" t="s">
        <v>31143</v>
      </c>
      <c r="B24748" s="4" t="s">
        <v>31146</v>
      </c>
      <c r="C24748" s="5" t="str">
        <f>IFERROR(__xludf.DUMMYFUNCTION("GOOGLETRANSLATE(B24748,""en"",""zh-CN"")"),"然后，他用抹布擦拭脸，然后从镜子里走开。")</f>
        <v>然后，他用抹布擦拭脸，然后从镜子里走开。</v>
      </c>
    </row>
    <row r="24749">
      <c r="A24749" s="4" t="s">
        <v>31147</v>
      </c>
      <c r="B24749" s="4" t="s">
        <v>31148</v>
      </c>
      <c r="C24749" s="5" t="str">
        <f>IFERROR(__xludf.DUMMYFUNCTION("GOOGLETRANSLATE(B24749,""en"",""zh-CN"")"),"一个男人在自行车前面的摄像头说话。")</f>
        <v>一个男人在自行车前面的摄像头说话。</v>
      </c>
    </row>
    <row r="24750">
      <c r="A24750" s="4" t="s">
        <v>31147</v>
      </c>
      <c r="B24750" s="4" t="s">
        <v>31149</v>
      </c>
      <c r="C24750" s="5" t="str">
        <f>IFERROR(__xludf.DUMMYFUNCTION("GOOGLETRANSLATE(B24750,""en"",""zh-CN"")"),"该男子将骑自行车的一部分放在正在驾驶的自行车上。")</f>
        <v>该男子将骑自行车的一部分放在正在驾驶的自行车上。</v>
      </c>
    </row>
    <row r="24751">
      <c r="A24751" s="4" t="s">
        <v>31147</v>
      </c>
      <c r="B24751" s="4" t="s">
        <v>31150</v>
      </c>
      <c r="C24751" s="5" t="str">
        <f>IFERROR(__xludf.DUMMYFUNCTION("GOOGLETRANSLATE(B24751,""en"",""zh-CN"")"),"该男子收紧自行车上的零件。")</f>
        <v>该男子收紧自行车上的零件。</v>
      </c>
    </row>
    <row r="24752">
      <c r="A24752" s="4" t="s">
        <v>31151</v>
      </c>
      <c r="B24752" s="6" t="s">
        <v>31152</v>
      </c>
      <c r="C24752" s="5" t="str">
        <f>IFERROR(__xludf.DUMMYFUNCTION("GOOGLETRANSLATE(B24752,""en"",""zh-CN"")"),"人群坐在椅子上，孩子们和年轻人正坐在桌子旁，定时器解决了魔方，而一名胡须大胡子的男人在镜头前说话。")</f>
        <v>人群坐在椅子上，孩子们和年轻人正坐在桌子旁，定时器解决了魔方，而一名胡须大胡子的男人在镜头前说话。</v>
      </c>
    </row>
    <row r="24753">
      <c r="A24753" s="4" t="s">
        <v>31151</v>
      </c>
      <c r="B24753" s="6" t="s">
        <v>31153</v>
      </c>
      <c r="C24753" s="5" t="str">
        <f>IFERROR(__xludf.DUMMYFUNCTION("GOOGLETRANSLATE(B24753,""en"",""zh-CN"")"),"男孩们正在解决魔方盲折的魔方，一个人用一只手解决它，其他人则用双手解决。")</f>
        <v>男孩们正在解决魔方盲折的魔方，一个人用一只手解决它，其他人则用双手解决。</v>
      </c>
    </row>
    <row r="24754">
      <c r="A24754" s="4" t="s">
        <v>31154</v>
      </c>
      <c r="B24754" s="6" t="s">
        <v>31155</v>
      </c>
      <c r="C24754" s="5" t="str">
        <f>IFERROR(__xludf.DUMMYFUNCTION("GOOGLETRANSLATE(B24754,""en"",""zh-CN"")"),"黑色和黄色令牌在地板上滑动，而拿着棍棒的人则将令牌放在彩绘的三角形上。")</f>
        <v>黑色和黄色令牌在地板上滑动，而拿着棍棒的人则将令牌放在彩绘的三角形上。</v>
      </c>
    </row>
    <row r="24755">
      <c r="A24755" s="4" t="s">
        <v>31154</v>
      </c>
      <c r="B24755" s="4" t="s">
        <v>31156</v>
      </c>
      <c r="C24755" s="5" t="str">
        <f>IFERROR(__xludf.DUMMYFUNCTION("GOOGLETRANSLATE(B24755,""en"",""zh-CN"")"),"蹒跚学步的人在人行道上行走，穿过踏上令牌的道路。")</f>
        <v>蹒跚学步的人在人行道上行走，穿过踏上令牌的道路。</v>
      </c>
    </row>
    <row r="24756">
      <c r="A24756" s="4" t="s">
        <v>31157</v>
      </c>
      <c r="B24756" s="4" t="s">
        <v>31158</v>
      </c>
      <c r="C24756" s="5" t="str">
        <f>IFERROR(__xludf.DUMMYFUNCTION("GOOGLETRANSLATE(B24756,""en"",""zh-CN"")"),"一个人的滑雪板迅速沿着积雪覆盖的山丘。")</f>
        <v>一个人的滑雪板迅速沿着积雪覆盖的山丘。</v>
      </c>
    </row>
    <row r="24757">
      <c r="A24757" s="4" t="s">
        <v>31157</v>
      </c>
      <c r="B24757" s="4" t="s">
        <v>31159</v>
      </c>
      <c r="C24757" s="5" t="str">
        <f>IFERROR(__xludf.DUMMYFUNCTION("GOOGLETRANSLATE(B24757,""en"",""zh-CN"")"),"人们在插头上，沿着雪雪橇。")</f>
        <v>人们在插头上，沿着雪雪橇。</v>
      </c>
    </row>
    <row r="24758">
      <c r="A24758" s="4" t="s">
        <v>31160</v>
      </c>
      <c r="B24758" s="4" t="s">
        <v>31161</v>
      </c>
      <c r="C24758" s="5" t="str">
        <f>IFERROR(__xludf.DUMMYFUNCTION("GOOGLETRANSLATE(B24758,""en"",""zh-CN"")"),"两支球队打球打球。")</f>
        <v>两支球队打球打球。</v>
      </c>
    </row>
    <row r="24759">
      <c r="A24759" s="4" t="s">
        <v>31160</v>
      </c>
      <c r="B24759" s="4" t="s">
        <v>31162</v>
      </c>
      <c r="C24759" s="5" t="str">
        <f>IFERROR(__xludf.DUMMYFUNCTION("GOOGLETRANSLATE(B24759,""en"",""zh-CN"")"),"两个男孩前进到中心并扔球，然后他们回到他的位置。")</f>
        <v>两个男孩前进到中心并扔球，然后他们回到他的位置。</v>
      </c>
    </row>
    <row r="24760">
      <c r="A24760" s="4" t="s">
        <v>31160</v>
      </c>
      <c r="B24760" s="4" t="s">
        <v>31163</v>
      </c>
      <c r="C24760" s="5" t="str">
        <f>IFERROR(__xludf.DUMMYFUNCTION("GOOGLETRANSLATE(B24760,""en"",""zh-CN"")"),"之后，另一支球队推进球，穿着紫色T恤击中一名球员。")</f>
        <v>之后，另一支球队推进球，穿着紫色T恤击中一名球员。</v>
      </c>
    </row>
    <row r="24761">
      <c r="A24761" s="4" t="s">
        <v>31160</v>
      </c>
      <c r="B24761" s="4" t="s">
        <v>31164</v>
      </c>
      <c r="C24761" s="5" t="str">
        <f>IFERROR(__xludf.DUMMYFUNCTION("GOOGLETRANSLATE(B24761,""en"",""zh-CN"")"),"他们继续轮流打球。")</f>
        <v>他们继续轮流打球。</v>
      </c>
    </row>
    <row r="24762">
      <c r="A24762" s="4" t="s">
        <v>31160</v>
      </c>
      <c r="B24762" s="4" t="s">
        <v>31165</v>
      </c>
      <c r="C24762" s="5" t="str">
        <f>IFERROR(__xludf.DUMMYFUNCTION("GOOGLETRANSLATE(B24762,""en"",""zh-CN"")"),"人们将球送给球员，然后他们去中锋，用球打球。")</f>
        <v>人们将球送给球员，然后他们去中锋，用球打球。</v>
      </c>
    </row>
    <row r="24763">
      <c r="A24763" s="4" t="s">
        <v>31166</v>
      </c>
      <c r="B24763" s="6" t="s">
        <v>31167</v>
      </c>
      <c r="C24763" s="5" t="str">
        <f>IFERROR(__xludf.DUMMYFUNCTION("GOOGLETRANSLATE(B24763,""en"",""zh-CN"")"),"一个女人和男人在健身房里练习踢箱，还有其他人训练，然后他的女人说话。")</f>
        <v>一个女人和男人在健身房里练习踢箱，还有其他人训练，然后他的女人说话。</v>
      </c>
    </row>
    <row r="24764">
      <c r="A24764" s="4" t="s">
        <v>31166</v>
      </c>
      <c r="B24764" s="6" t="s">
        <v>31168</v>
      </c>
      <c r="C24764" s="5" t="str">
        <f>IFERROR(__xludf.DUMMYFUNCTION("GOOGLETRANSLATE(B24764,""en"",""zh-CN"")"),"一辆汽车在一个城市奔跑的士兵，拿着武器，一个家庭在街上的家庭，散步和汽车坐在弯道上。")</f>
        <v>一辆汽车在一个城市奔跑的士兵，拿着武器，一个家庭在街上的家庭，散步和汽车坐在弯道上。</v>
      </c>
    </row>
    <row r="24765">
      <c r="A24765" s="4" t="s">
        <v>31166</v>
      </c>
      <c r="B24765" s="4" t="s">
        <v>31169</v>
      </c>
      <c r="C24765" s="5" t="str">
        <f>IFERROR(__xludf.DUMMYFUNCTION("GOOGLETRANSLATE(B24765,""en"",""zh-CN"")"),"那个女人从一个房间说话，然后她和其他人一起在健身房训练，然后在健身房里的一位女士讲话。")</f>
        <v>那个女人从一个房间说话，然后她和其他人一起在健身房训练，然后在健身房里的一位女士讲话。</v>
      </c>
    </row>
    <row r="24766">
      <c r="A24766" s="4" t="s">
        <v>31166</v>
      </c>
      <c r="B24766" s="4" t="s">
        <v>31170</v>
      </c>
      <c r="C24766" s="5" t="str">
        <f>IFERROR(__xludf.DUMMYFUNCTION("GOOGLETRANSLATE(B24766,""en"",""zh-CN"")"),"最终显示了奖杯。")</f>
        <v>最终显示了奖杯。</v>
      </c>
    </row>
    <row r="24767">
      <c r="A24767" s="4" t="s">
        <v>31171</v>
      </c>
      <c r="B24767" s="6" t="s">
        <v>31172</v>
      </c>
      <c r="C24767" s="5" t="str">
        <f>IFERROR(__xludf.DUMMYFUNCTION("GOOGLETRANSLATE(B24767,""en"",""zh-CN"")"),"一个男人表演武术与电影中的人打架，然后大门封闭，一个女人帮助男人打架。")</f>
        <v>一个男人表演武术与电影中的人打架，然后大门封闭，一个女人帮助男人打架。</v>
      </c>
    </row>
    <row r="24768">
      <c r="A24768" s="4" t="s">
        <v>31171</v>
      </c>
      <c r="B24768" s="4" t="s">
        <v>31173</v>
      </c>
      <c r="C24768" s="5" t="str">
        <f>IFERROR(__xludf.DUMMYFUNCTION("GOOGLETRANSLATE(B24768,""en"",""zh-CN"")"),"男人和女人在河的前面战斗，然后从树上挂了双腿。")</f>
        <v>男人和女人在河的前面战斗，然后从树上挂了双腿。</v>
      </c>
    </row>
    <row r="24769">
      <c r="A24769" s="4" t="s">
        <v>31171</v>
      </c>
      <c r="B24769" s="6" t="s">
        <v>31174</v>
      </c>
      <c r="C24769" s="5" t="str">
        <f>IFERROR(__xludf.DUMMYFUNCTION("GOOGLETRANSLATE(B24769,""en"",""zh-CN"")"),"大炮在野外战斗后开火，大炮摧毁了一个村庄的房屋。")</f>
        <v>大炮在野外战斗后开火，大炮摧毁了一个村庄的房屋。</v>
      </c>
    </row>
    <row r="24770">
      <c r="A24770" s="4" t="s">
        <v>31171</v>
      </c>
      <c r="B24770" s="4" t="s">
        <v>31175</v>
      </c>
      <c r="C24770" s="5" t="str">
        <f>IFERROR(__xludf.DUMMYFUNCTION("GOOGLETRANSLATE(B24770,""en"",""zh-CN"")"),"在男人与人战斗之后，一个人给男人一个大金币。")</f>
        <v>在男人与人战斗之后，一个人给男人一个大金币。</v>
      </c>
    </row>
    <row r="24771">
      <c r="A24771" s="4" t="s">
        <v>31176</v>
      </c>
      <c r="B24771" s="4" t="s">
        <v>27419</v>
      </c>
      <c r="C24771" s="5" t="str">
        <f>IFERROR(__xludf.DUMMYFUNCTION("GOOGLETRANSLATE(B24771,""en"",""zh-CN"")"),"一个小女孩正在越过猴子酒吧。")</f>
        <v>一个小女孩正在越过猴子酒吧。</v>
      </c>
    </row>
    <row r="24772">
      <c r="A24772" s="4" t="s">
        <v>31176</v>
      </c>
      <c r="B24772" s="4" t="s">
        <v>31177</v>
      </c>
      <c r="C24772" s="5" t="str">
        <f>IFERROR(__xludf.DUMMYFUNCTION("GOOGLETRANSLATE(B24772,""en"",""zh-CN"")"),"她挥舞着腿。")</f>
        <v>她挥舞着腿。</v>
      </c>
    </row>
    <row r="24773">
      <c r="A24773" s="4" t="s">
        <v>31176</v>
      </c>
      <c r="B24773" s="4" t="s">
        <v>31178</v>
      </c>
      <c r="C24773" s="5" t="str">
        <f>IFERROR(__xludf.DUMMYFUNCTION("GOOGLETRANSLATE(B24773,""en"",""zh-CN"")"),"她跌倒在地。")</f>
        <v>她跌倒在地。</v>
      </c>
    </row>
    <row r="24774">
      <c r="A24774" s="4" t="s">
        <v>31179</v>
      </c>
      <c r="B24774" s="4" t="s">
        <v>31180</v>
      </c>
      <c r="C24774" s="5" t="str">
        <f>IFERROR(__xludf.DUMMYFUNCTION("GOOGLETRANSLATE(B24774,""en"",""zh-CN"")"),"人确实杂技向下移动。")</f>
        <v>人确实杂技向下移动。</v>
      </c>
    </row>
    <row r="24775">
      <c r="A24775" s="4" t="s">
        <v>31179</v>
      </c>
      <c r="B24775" s="4" t="s">
        <v>31181</v>
      </c>
      <c r="C24775" s="5" t="str">
        <f>IFERROR(__xludf.DUMMYFUNCTION("GOOGLETRANSLATE(B24775,""en"",""zh-CN"")"),"另一个男人在背景中跑下垫子。")</f>
        <v>另一个男人在背景中跑下垫子。</v>
      </c>
    </row>
    <row r="24776">
      <c r="A24776" s="4" t="s">
        <v>31179</v>
      </c>
      <c r="B24776" s="4" t="s">
        <v>31182</v>
      </c>
      <c r="C24776" s="5" t="str">
        <f>IFERROR(__xludf.DUMMYFUNCTION("GOOGLETRANSLATE(B24776,""en"",""zh-CN"")"),"发生了几次杂技动作的重播。")</f>
        <v>发生了几次杂技动作的重播。</v>
      </c>
    </row>
    <row r="24777">
      <c r="A24777" s="4" t="s">
        <v>31179</v>
      </c>
      <c r="B24777" s="4" t="s">
        <v>31183</v>
      </c>
      <c r="C24777" s="5" t="str">
        <f>IFERROR(__xludf.DUMMYFUNCTION("GOOGLETRANSLATE(B24777,""en"",""zh-CN"")"),"年轻人奔跑并拥抱看起来像他的教练。")</f>
        <v>年轻人奔跑并拥抱看起来像他的教练。</v>
      </c>
    </row>
    <row r="24778">
      <c r="A24778" s="4" t="s">
        <v>31179</v>
      </c>
      <c r="B24778" s="4" t="s">
        <v>31184</v>
      </c>
      <c r="C24778" s="5" t="str">
        <f>IFERROR(__xludf.DUMMYFUNCTION("GOOGLETRANSLATE(B24778,""en"",""zh-CN"")"),"发生了另一组重播。")</f>
        <v>发生了另一组重播。</v>
      </c>
    </row>
    <row r="24779">
      <c r="A24779" s="4" t="s">
        <v>31179</v>
      </c>
      <c r="B24779" s="4" t="s">
        <v>31185</v>
      </c>
      <c r="C24779" s="5" t="str">
        <f>IFERROR(__xludf.DUMMYFUNCTION("GOOGLETRANSLATE(B24779,""en"",""zh-CN"")"),"单词跨越屏幕，将人们引向社交媒体和网站。")</f>
        <v>单词跨越屏幕，将人们引向社交媒体和网站。</v>
      </c>
    </row>
    <row r="24780">
      <c r="A24780" s="4" t="s">
        <v>31186</v>
      </c>
      <c r="B24780" s="4" t="s">
        <v>31187</v>
      </c>
      <c r="C24780" s="5" t="str">
        <f>IFERROR(__xludf.DUMMYFUNCTION("GOOGLETRANSLATE(B24780,""en"",""zh-CN"")"),"桌子上布置了一个近距离食物，并导致一个从水烟管中抽出泡芙的人。")</f>
        <v>桌子上布置了一个近距离食物，并导致一个从水烟管中抽出泡芙的人。</v>
      </c>
    </row>
    <row r="24781">
      <c r="A24781" s="4" t="s">
        <v>31186</v>
      </c>
      <c r="B24781" s="6" t="s">
        <v>31188</v>
      </c>
      <c r="C24781" s="5" t="str">
        <f>IFERROR(__xludf.DUMMYFUNCTION("GOOGLETRANSLATE(B24781,""en"",""zh-CN"")"),"该男子在与镜头说话并移至房屋的各个地方时，吹起烟环以及其他几种饮料。")</f>
        <v>该男子在与镜头说话并移至房屋的各个地方时，吹起烟环以及其他几种饮料。</v>
      </c>
    </row>
    <row r="24782">
      <c r="A24782" s="4" t="s">
        <v>31189</v>
      </c>
      <c r="B24782" s="4" t="s">
        <v>31190</v>
      </c>
      <c r="C24782" s="5" t="str">
        <f>IFERROR(__xludf.DUMMYFUNCTION("GOOGLETRANSLATE(B24782,""en"",""zh-CN"")"),"一个小男孩在车道上骑着线滑板。")</f>
        <v>一个小男孩在车道上骑着线滑板。</v>
      </c>
    </row>
    <row r="24783">
      <c r="A24783" s="4" t="s">
        <v>31189</v>
      </c>
      <c r="B24783" s="4" t="s">
        <v>31191</v>
      </c>
      <c r="C24783" s="5" t="str">
        <f>IFERROR(__xludf.DUMMYFUNCTION("GOOGLETRANSLATE(B24783,""en"",""zh-CN"")"),"他挥舞着手臂，试图保持平衡。")</f>
        <v>他挥舞着手臂，试图保持平衡。</v>
      </c>
    </row>
    <row r="24784">
      <c r="A24784" s="4" t="s">
        <v>31189</v>
      </c>
      <c r="B24784" s="4" t="s">
        <v>31192</v>
      </c>
      <c r="C24784" s="5" t="str">
        <f>IFERROR(__xludf.DUMMYFUNCTION("GOOGLETRANSLATE(B24784,""en"",""zh-CN"")"),"他跑步，然后落在溜冰鞋上。")</f>
        <v>他跑步，然后落在溜冰鞋上。</v>
      </c>
    </row>
    <row r="24785">
      <c r="A24785" s="4" t="s">
        <v>31193</v>
      </c>
      <c r="B24785" s="6" t="s">
        <v>31194</v>
      </c>
      <c r="C24785" s="5" t="str">
        <f>IFERROR(__xludf.DUMMYFUNCTION("GOOGLETRANSLATE(B24785,""en"",""zh-CN"")"),"戒指的侧面有两个sumos，而refeee则在中间，而人们在沙滩上坐在arpund中看着他们。")</f>
        <v>戒指的侧面有两个sumos，而refeee则在中间，而人们在沙滩上坐在arpund中看着他们。</v>
      </c>
    </row>
    <row r="24786">
      <c r="A24786" s="4" t="s">
        <v>31193</v>
      </c>
      <c r="B24786" s="4" t="s">
        <v>31195</v>
      </c>
      <c r="C24786" s="5" t="str">
        <f>IFERROR(__xludf.DUMMYFUNCTION("GOOGLETRANSLATE(B24786,""en"",""zh-CN"")"),"相扑开始摔跤并摔倒了。")</f>
        <v>相扑开始摔跤并摔倒了。</v>
      </c>
    </row>
    <row r="24787">
      <c r="A24787" s="4" t="s">
        <v>31196</v>
      </c>
      <c r="B24787" s="4" t="s">
        <v>31197</v>
      </c>
      <c r="C24787" s="5" t="str">
        <f>IFERROR(__xludf.DUMMYFUNCTION("GOOGLETRANSLATE(B24787,""en"",""zh-CN"")"),"一个男孩正在帮助他的父亲推割割草机。")</f>
        <v>一个男孩正在帮助他的父亲推割割草机。</v>
      </c>
    </row>
    <row r="24788">
      <c r="A24788" s="4" t="s">
        <v>31196</v>
      </c>
      <c r="B24788" s="4" t="s">
        <v>31198</v>
      </c>
      <c r="C24788" s="5" t="str">
        <f>IFERROR(__xludf.DUMMYFUNCTION("GOOGLETRANSLATE(B24788,""en"",""zh-CN"")"),"他们回到相机。")</f>
        <v>他们回到相机。</v>
      </c>
    </row>
    <row r="24789">
      <c r="A24789" s="4" t="s">
        <v>31196</v>
      </c>
      <c r="B24789" s="4" t="s">
        <v>31199</v>
      </c>
      <c r="C24789" s="5" t="str">
        <f>IFERROR(__xludf.DUMMYFUNCTION("GOOGLETRANSLATE(B24789,""en"",""zh-CN"")"),"一个人站在栅栏附近。")</f>
        <v>一个人站在栅栏附近。</v>
      </c>
    </row>
    <row r="24790">
      <c r="A24790" s="4" t="s">
        <v>31200</v>
      </c>
      <c r="B24790" s="4" t="s">
        <v>31201</v>
      </c>
      <c r="C24790" s="5" t="str">
        <f>IFERROR(__xludf.DUMMYFUNCTION("GOOGLETRANSLATE(B24790,""en"",""zh-CN"")"),"看到一个人切开一块屋顶瓷砖，然后将瓷砖砸向屋顶。")</f>
        <v>看到一个人切开一块屋顶瓷砖，然后将瓷砖砸向屋顶。</v>
      </c>
    </row>
    <row r="24791">
      <c r="A24791" s="4" t="s">
        <v>31200</v>
      </c>
      <c r="B24791" s="4" t="s">
        <v>31202</v>
      </c>
      <c r="C24791" s="5" t="str">
        <f>IFERROR(__xludf.DUMMYFUNCTION("GOOGLETRANSLATE(B24791,""en"",""zh-CN"")"),"他穿过锤子，沿着布料钉住，并钉住了一块长板。")</f>
        <v>他穿过锤子，沿着布料钉住，并钉住了一块长板。</v>
      </c>
    </row>
    <row r="24792">
      <c r="A24792" s="4" t="s">
        <v>31203</v>
      </c>
      <c r="B24792" s="4" t="s">
        <v>31204</v>
      </c>
      <c r="C24792" s="5" t="str">
        <f>IFERROR(__xludf.DUMMYFUNCTION("GOOGLETRANSLATE(B24792,""en"",""zh-CN"")"),"可以看到带有徽标标题的图形。")</f>
        <v>可以看到带有徽标标题的图形。</v>
      </c>
    </row>
    <row r="24793">
      <c r="A24793" s="4" t="s">
        <v>31203</v>
      </c>
      <c r="B24793" s="4" t="s">
        <v>31205</v>
      </c>
      <c r="C24793" s="5" t="str">
        <f>IFERROR(__xludf.DUMMYFUNCTION("GOOGLETRANSLATE(B24793,""en"",""zh-CN"")"),"Google地图显示不同的城市位置。")</f>
        <v>Google地图显示不同的城市位置。</v>
      </c>
    </row>
    <row r="24794">
      <c r="A24794" s="4" t="s">
        <v>31203</v>
      </c>
      <c r="B24794" s="6" t="s">
        <v>31206</v>
      </c>
      <c r="C24794" s="5" t="str">
        <f>IFERROR(__xludf.DUMMYFUNCTION("GOOGLETRANSLATE(B24794,""en"",""zh-CN"")"),"连身裤的队友在瞄准彩弹枪的木制板条箱障碍物中航行。")</f>
        <v>连身裤的队友在瞄准彩弹枪的木制板条箱障碍物中航行。</v>
      </c>
    </row>
    <row r="24795">
      <c r="A24795" s="4" t="s">
        <v>31203</v>
      </c>
      <c r="B24795" s="4" t="s">
        <v>31207</v>
      </c>
      <c r="C24795" s="5" t="str">
        <f>IFERROR(__xludf.DUMMYFUNCTION("GOOGLETRANSLATE(B24795,""en"",""zh-CN"")"),"这些人从包括衣服和武器在内的出租商店收到装备。")</f>
        <v>这些人从包括衣服和武器在内的出租商店收到装备。</v>
      </c>
    </row>
    <row r="24796">
      <c r="A24796" s="4" t="s">
        <v>31203</v>
      </c>
      <c r="B24796" s="4" t="s">
        <v>31208</v>
      </c>
      <c r="C24796" s="5" t="str">
        <f>IFERROR(__xludf.DUMMYFUNCTION("GOOGLETRANSLATE(B24796,""en"",""zh-CN"")"),"两支球队一起走进一条线，进入课程参加比赛。")</f>
        <v>两支球队一起走进一条线，进入课程参加比赛。</v>
      </c>
    </row>
    <row r="24797">
      <c r="A24797" s="4" t="s">
        <v>31203</v>
      </c>
      <c r="B24797" s="4" t="s">
        <v>31209</v>
      </c>
      <c r="C24797" s="5" t="str">
        <f>IFERROR(__xludf.DUMMYFUNCTION("GOOGLETRANSLATE(B24797,""en"",""zh-CN"")"),"这些人用弹药装满了枪支。")</f>
        <v>这些人用弹药装满了枪支。</v>
      </c>
    </row>
    <row r="24798">
      <c r="A24798" s="4" t="s">
        <v>31203</v>
      </c>
      <c r="B24798" s="4" t="s">
        <v>31210</v>
      </c>
      <c r="C24798" s="5" t="str">
        <f>IFERROR(__xludf.DUMMYFUNCTION("GOOGLETRANSLATE(B24798,""en"",""zh-CN"")"),"队友在一门课程中导航，充气障碍物针对对手。")</f>
        <v>队友在一门课程中导航，充气障碍物针对对手。</v>
      </c>
    </row>
    <row r="24799">
      <c r="A24799" s="4" t="s">
        <v>31203</v>
      </c>
      <c r="B24799" s="4" t="s">
        <v>31211</v>
      </c>
      <c r="C24799" s="5" t="str">
        <f>IFERROR(__xludf.DUMMYFUNCTION("GOOGLETRANSLATE(B24799,""en"",""zh-CN"")"),"一个男人被击中面罩以结束比赛。")</f>
        <v>一个男人被击中面罩以结束比赛。</v>
      </c>
    </row>
    <row r="24800">
      <c r="A24800" s="4" t="s">
        <v>31212</v>
      </c>
      <c r="B24800" s="4" t="s">
        <v>31213</v>
      </c>
      <c r="C24800" s="5" t="str">
        <f>IFERROR(__xludf.DUMMYFUNCTION("GOOGLETRANSLATE(B24800,""en"",""zh-CN"")"),"一个男人在演奏鼓时坐着，一个女人指示他站在他旁边。")</f>
        <v>一个男人在演奏鼓时坐着，一个女人指示他站在他旁边。</v>
      </c>
    </row>
    <row r="24801">
      <c r="A24801" s="4" t="s">
        <v>31212</v>
      </c>
      <c r="B24801" s="4" t="s">
        <v>31214</v>
      </c>
      <c r="C24801" s="5" t="str">
        <f>IFERROR(__xludf.DUMMYFUNCTION("GOOGLETRANSLATE(B24801,""en"",""zh-CN"")"),"他说话时来回击中鼓。")</f>
        <v>他说话时来回击中鼓。</v>
      </c>
    </row>
    <row r="24802">
      <c r="A24802" s="4" t="s">
        <v>31212</v>
      </c>
      <c r="B24802" s="4" t="s">
        <v>31215</v>
      </c>
      <c r="C24802" s="5" t="str">
        <f>IFERROR(__xludf.DUMMYFUNCTION("GOOGLETRANSLATE(B24802,""en"",""zh-CN"")"),"然后，他广泛地谈论了如何扮演康加斯。")</f>
        <v>然后，他广泛地谈论了如何扮演康加斯。</v>
      </c>
    </row>
    <row r="24803">
      <c r="A24803" s="4" t="s">
        <v>31212</v>
      </c>
      <c r="B24803" s="4" t="s">
        <v>31216</v>
      </c>
      <c r="C24803" s="5" t="str">
        <f>IFERROR(__xludf.DUMMYFUNCTION("GOOGLETRANSLATE(B24803,""en"",""zh-CN"")"),"他通过在交谈时进一步演奏来证明。")</f>
        <v>他通过在交谈时进一步演奏来证明。</v>
      </c>
    </row>
    <row r="24804">
      <c r="A24804" s="4" t="s">
        <v>31217</v>
      </c>
      <c r="B24804" s="4" t="s">
        <v>31218</v>
      </c>
      <c r="C24804" s="5" t="str">
        <f>IFERROR(__xludf.DUMMYFUNCTION("GOOGLETRANSLATE(B24804,""en"",""zh-CN"")"),"一只手在带有不同供应的桌子上显示。")</f>
        <v>一只手在带有不同供应的桌子上显示。</v>
      </c>
    </row>
    <row r="24805">
      <c r="A24805" s="4" t="s">
        <v>31217</v>
      </c>
      <c r="B24805" s="4" t="s">
        <v>31219</v>
      </c>
      <c r="C24805" s="5" t="str">
        <f>IFERROR(__xludf.DUMMYFUNCTION("GOOGLETRANSLATE(B24805,""en"",""zh-CN"")"),"看到一个男人从盒子里拿出一辆自行车的所有部分。")</f>
        <v>看到一个男人从盒子里拿出一辆自行车的所有部分。</v>
      </c>
    </row>
    <row r="24806">
      <c r="A24806" s="4" t="s">
        <v>31217</v>
      </c>
      <c r="B24806" s="4" t="s">
        <v>31220</v>
      </c>
      <c r="C24806" s="5" t="str">
        <f>IFERROR(__xludf.DUMMYFUNCTION("GOOGLETRANSLATE(B24806,""en"",""zh-CN"")"),"他在院子里组装自行车。")</f>
        <v>他在院子里组装自行车。</v>
      </c>
    </row>
    <row r="24807">
      <c r="A24807" s="4" t="s">
        <v>31221</v>
      </c>
      <c r="B24807" s="4" t="s">
        <v>31222</v>
      </c>
      <c r="C24807" s="5" t="str">
        <f>IFERROR(__xludf.DUMMYFUNCTION("GOOGLETRANSLATE(B24807,""en"",""zh-CN"")"),"一棵树在道路的侧面看到。")</f>
        <v>一棵树在道路的侧面看到。</v>
      </c>
    </row>
    <row r="24808">
      <c r="A24808" s="4" t="s">
        <v>31221</v>
      </c>
      <c r="B24808" s="4" t="s">
        <v>31223</v>
      </c>
      <c r="C24808" s="5" t="str">
        <f>IFERROR(__xludf.DUMMYFUNCTION("GOOGLETRANSLATE(B24808,""en"",""zh-CN"")"),"一个人展示了如何在树底覆盖。")</f>
        <v>一个人展示了如何在树底覆盖。</v>
      </c>
    </row>
    <row r="24809">
      <c r="A24809" s="4" t="s">
        <v>31221</v>
      </c>
      <c r="B24809" s="4" t="s">
        <v>31224</v>
      </c>
      <c r="C24809" s="5" t="str">
        <f>IFERROR(__xludf.DUMMYFUNCTION("GOOGLETRANSLATE(B24809,""en"",""zh-CN"")"),"当他提供指示时，他均匀地铺满了覆盖物。")</f>
        <v>当他提供指示时，他均匀地铺满了覆盖物。</v>
      </c>
    </row>
    <row r="24810">
      <c r="A24810" s="4" t="s">
        <v>31225</v>
      </c>
      <c r="B24810" s="4" t="s">
        <v>31226</v>
      </c>
      <c r="C24810" s="5" t="str">
        <f>IFERROR(__xludf.DUMMYFUNCTION("GOOGLETRANSLATE(B24810,""en"",""zh-CN"")"),"一个女孩用编织的小马尾巴玩耍。")</f>
        <v>一个女孩用编织的小马尾巴玩耍。</v>
      </c>
    </row>
    <row r="24811">
      <c r="A24811" s="4" t="s">
        <v>31225</v>
      </c>
      <c r="B24811" s="4" t="s">
        <v>31227</v>
      </c>
      <c r="C24811" s="5" t="str">
        <f>IFERROR(__xludf.DUMMYFUNCTION("GOOGLETRANSLATE(B24811,""en"",""zh-CN"")"),"女孩分为两个部分扭曲了头发。")</f>
        <v>女孩分为两个部分扭曲了头发。</v>
      </c>
    </row>
    <row r="24812">
      <c r="A24812" s="4" t="s">
        <v>31225</v>
      </c>
      <c r="B24812" s="4" t="s">
        <v>31228</v>
      </c>
      <c r="C24812" s="5" t="str">
        <f>IFERROR(__xludf.DUMMYFUNCTION("GOOGLETRANSLATE(B24812,""en"",""zh-CN"")"),"女孩编织扭曲的头发的尽头。")</f>
        <v>女孩编织扭曲的头发的尽头。</v>
      </c>
    </row>
    <row r="24813">
      <c r="A24813" s="4" t="s">
        <v>31225</v>
      </c>
      <c r="B24813" s="4" t="s">
        <v>31229</v>
      </c>
      <c r="C24813" s="5" t="str">
        <f>IFERROR(__xludf.DUMMYFUNCTION("GOOGLETRANSLATE(B24813,""en"",""zh-CN"")"),"女孩将辫子分开并放松它们。")</f>
        <v>女孩将辫子分开并放松它们。</v>
      </c>
    </row>
    <row r="24814">
      <c r="A24814" s="4" t="s">
        <v>31225</v>
      </c>
      <c r="B24814" s="4" t="s">
        <v>31230</v>
      </c>
      <c r="C24814" s="5" t="str">
        <f>IFERROR(__xludf.DUMMYFUNCTION("GOOGLETRANSLATE(B24814,""en"",""zh-CN"")"),"女孩拉起辫子，使它们更蓬松。")</f>
        <v>女孩拉起辫子，使它们更蓬松。</v>
      </c>
    </row>
    <row r="24815">
      <c r="A24815" s="4" t="s">
        <v>31225</v>
      </c>
      <c r="B24815" s="4" t="s">
        <v>31231</v>
      </c>
      <c r="C24815" s="5" t="str">
        <f>IFERROR(__xludf.DUMMYFUNCTION("GOOGLETRANSLATE(B24815,""en"",""zh-CN"")"),"女孩在头发上使用扁铁。")</f>
        <v>女孩在头发上使用扁铁。</v>
      </c>
    </row>
    <row r="24816">
      <c r="A24816" s="4" t="s">
        <v>31225</v>
      </c>
      <c r="B24816" s="4" t="s">
        <v>31232</v>
      </c>
      <c r="C24816" s="5" t="str">
        <f>IFERROR(__xludf.DUMMYFUNCTION("GOOGLETRANSLATE(B24816,""en"",""zh-CN"")"),"这个女孩握住两只狗和舞蹈。")</f>
        <v>这个女孩握住两只狗和舞蹈。</v>
      </c>
    </row>
    <row r="24817">
      <c r="A24817" s="4" t="s">
        <v>31233</v>
      </c>
      <c r="B24817" s="4" t="s">
        <v>31234</v>
      </c>
      <c r="C24817" s="5" t="str">
        <f>IFERROR(__xludf.DUMMYFUNCTION("GOOGLETRANSLATE(B24817,""en"",""zh-CN"")"),"具有标题和描述的文本图形。")</f>
        <v>具有标题和描述的文本图形。</v>
      </c>
    </row>
    <row r="24818">
      <c r="A24818" s="4" t="s">
        <v>31233</v>
      </c>
      <c r="B24818" s="4" t="s">
        <v>31235</v>
      </c>
      <c r="C24818" s="5" t="str">
        <f>IFERROR(__xludf.DUMMYFUNCTION("GOOGLETRANSLATE(B24818,""en"",""zh-CN"")"),"一个人站在屋顶上，将一块木头钻下来。")</f>
        <v>一个人站在屋顶上，将一块木头钻下来。</v>
      </c>
    </row>
    <row r="24819">
      <c r="A24819" s="4" t="s">
        <v>31233</v>
      </c>
      <c r="B24819" s="4" t="s">
        <v>31236</v>
      </c>
      <c r="C24819" s="5" t="str">
        <f>IFERROR(__xludf.DUMMYFUNCTION("GOOGLETRANSLATE(B24819,""en"",""zh-CN"")"),"通过网站可以看到视频的积分。")</f>
        <v>通过网站可以看到视频的积分。</v>
      </c>
    </row>
    <row r="24820">
      <c r="A24820" s="4" t="s">
        <v>31237</v>
      </c>
      <c r="B24820" s="4" t="s">
        <v>31238</v>
      </c>
      <c r="C24820" s="5" t="str">
        <f>IFERROR(__xludf.DUMMYFUNCTION("GOOGLETRANSLATE(B24820,""en"",""zh-CN"")"),"水中显示了一个大的冰川。")</f>
        <v>水中显示了一个大的冰川。</v>
      </c>
    </row>
    <row r="24821">
      <c r="A24821" s="4" t="s">
        <v>31237</v>
      </c>
      <c r="B24821" s="4" t="s">
        <v>31239</v>
      </c>
      <c r="C24821" s="5" t="str">
        <f>IFERROR(__xludf.DUMMYFUNCTION("GOOGLETRANSLATE(B24821,""en"",""zh-CN"")"),"一条船在船后的滑雪板上拉一个人。")</f>
        <v>一条船在船后的滑雪板上拉一个人。</v>
      </c>
    </row>
    <row r="24822">
      <c r="A24822" s="4" t="s">
        <v>31237</v>
      </c>
      <c r="B24822" s="4" t="s">
        <v>31240</v>
      </c>
      <c r="C24822" s="5" t="str">
        <f>IFERROR(__xludf.DUMMYFUNCTION("GOOGLETRANSLATE(B24822,""en"",""zh-CN"")"),"该人漂浮在水中。")</f>
        <v>该人漂浮在水中。</v>
      </c>
    </row>
    <row r="24823">
      <c r="A24823" s="4" t="s">
        <v>31241</v>
      </c>
      <c r="B24823" s="4" t="s">
        <v>31242</v>
      </c>
      <c r="C24823" s="5" t="str">
        <f>IFERROR(__xludf.DUMMYFUNCTION("GOOGLETRANSLATE(B24823,""en"",""zh-CN"")"),"一名运动员在体育场的大型竞争场上旋转并投掷。")</f>
        <v>一名运动员在体育场的大型竞争场上旋转并投掷。</v>
      </c>
    </row>
    <row r="24824">
      <c r="A24824" s="4" t="s">
        <v>31241</v>
      </c>
      <c r="B24824" s="4" t="s">
        <v>31243</v>
      </c>
      <c r="C24824" s="5" t="str">
        <f>IFERROR(__xludf.DUMMYFUNCTION("GOOGLETRANSLATE(B24824,""en"",""zh-CN"")"),"该男子庆祝并竖起大拇指。")</f>
        <v>该男子庆祝并竖起大拇指。</v>
      </c>
    </row>
    <row r="24825">
      <c r="A24825" s="4" t="s">
        <v>31241</v>
      </c>
      <c r="B24825" s="4" t="s">
        <v>31244</v>
      </c>
      <c r="C24825" s="5" t="str">
        <f>IFERROR(__xludf.DUMMYFUNCTION("GOOGLETRANSLATE(B24825,""en"",""zh-CN"")"),"第二件穿着灰色衬衫的运动员投掷射击。")</f>
        <v>第二件穿着灰色衬衫的运动员投掷射击。</v>
      </c>
    </row>
    <row r="24826">
      <c r="A24826" s="4" t="s">
        <v>31241</v>
      </c>
      <c r="B24826" s="4" t="s">
        <v>31245</v>
      </c>
      <c r="C24826" s="5" t="str">
        <f>IFERROR(__xludf.DUMMYFUNCTION("GOOGLETRANSLATE(B24826,""en"",""zh-CN"")"),"球降落在草地上，男人对投掷感到失望，走开了。")</f>
        <v>球降落在草地上，男人对投掷感到失望，走开了。</v>
      </c>
    </row>
    <row r="24827">
      <c r="A24827" s="4" t="s">
        <v>31241</v>
      </c>
      <c r="B24827" s="6" t="s">
        <v>31246</v>
      </c>
      <c r="C24827" s="5" t="str">
        <f>IFERROR(__xludf.DUMMYFUNCTION("GOOGLETRANSLATE(B24827,""en"",""zh-CN"")"),"一个穿着黄色衬衫和头带的大个子旋转，扔了一个闭嘴，它转向田野的左侧。")</f>
        <v>一个穿着黄色衬衫和头带的大个子旋转，扔了一个闭嘴，它转向田野的左侧。</v>
      </c>
    </row>
    <row r="24828">
      <c r="A24828" s="4" t="s">
        <v>31241</v>
      </c>
      <c r="B24828" s="4" t="s">
        <v>31247</v>
      </c>
      <c r="C24828" s="5" t="str">
        <f>IFERROR(__xludf.DUMMYFUNCTION("GOOGLETRANSLATE(B24828,""en"",""zh-CN"")"),"该男子对他的射门感到满意，并抽出拳头。")</f>
        <v>该男子对他的射门感到满意，并抽出拳头。</v>
      </c>
    </row>
    <row r="24829">
      <c r="A24829" s="4" t="s">
        <v>31241</v>
      </c>
      <c r="B24829" s="4" t="s">
        <v>31248</v>
      </c>
      <c r="C24829" s="5" t="str">
        <f>IFERROR(__xludf.DUMMYFUNCTION("GOOGLETRANSLATE(B24829,""en"",""zh-CN"")"),"该男子向他的队友赢得了高击球手。")</f>
        <v>该男子向他的队友赢得了高击球手。</v>
      </c>
    </row>
    <row r="24830">
      <c r="A24830" s="4" t="s">
        <v>31241</v>
      </c>
      <c r="B24830" s="4" t="s">
        <v>31249</v>
      </c>
      <c r="C24830" s="5" t="str">
        <f>IFERROR(__xludf.DUMMYFUNCTION("GOOGLETRANSLATE(B24830,""en"",""zh-CN"")"),"在比赛中，在草丛中看到了一块球。")</f>
        <v>在比赛中，在草丛中看到了一块球。</v>
      </c>
    </row>
    <row r="24831">
      <c r="A24831" s="4" t="s">
        <v>31241</v>
      </c>
      <c r="B24831" s="4" t="s">
        <v>31250</v>
      </c>
      <c r="C24831" s="5" t="str">
        <f>IFERROR(__xludf.DUMMYFUNCTION("GOOGLETRANSLATE(B24831,""en"",""zh-CN"")"),"该名男子在背景中等待他的得分站在其他运动员中。")</f>
        <v>该名男子在背景中等待他的得分站在其他运动员中。</v>
      </c>
    </row>
    <row r="24832">
      <c r="A24832" s="4" t="s">
        <v>31251</v>
      </c>
      <c r="B24832" s="4" t="s">
        <v>31252</v>
      </c>
      <c r="C24832" s="5" t="str">
        <f>IFERROR(__xludf.DUMMYFUNCTION("GOOGLETRANSLATE(B24832,""en"",""zh-CN"")"),"人们正在公共设施中修饰和刷狗。")</f>
        <v>人们正在公共设施中修饰和刷狗。</v>
      </c>
    </row>
    <row r="24833">
      <c r="A24833" s="4" t="s">
        <v>31251</v>
      </c>
      <c r="B24833" s="4" t="s">
        <v>31253</v>
      </c>
      <c r="C24833" s="5" t="str">
        <f>IFERROR(__xludf.DUMMYFUNCTION("GOOGLETRANSLATE(B24833,""en"",""zh-CN"")"),"女人照顾长发的狗。")</f>
        <v>女人照顾长发的狗。</v>
      </c>
    </row>
    <row r="24834">
      <c r="A24834" s="4" t="s">
        <v>31251</v>
      </c>
      <c r="B24834" s="4" t="s">
        <v>31254</v>
      </c>
      <c r="C24834" s="5" t="str">
        <f>IFERROR(__xludf.DUMMYFUNCTION("GOOGLETRANSLATE(B24834,""en"",""zh-CN"")"),"一个女人照顾贵宾犬，而其他女人宠物是一只大狗。")</f>
        <v>一个女人照顾贵宾犬，而其他女人宠物是一只大狗。</v>
      </c>
    </row>
    <row r="24835">
      <c r="A24835" s="4" t="s">
        <v>31251</v>
      </c>
      <c r="B24835" s="4" t="s">
        <v>31255</v>
      </c>
      <c r="C24835" s="5" t="str">
        <f>IFERROR(__xludf.DUMMYFUNCTION("GOOGLETRANSLATE(B24835,""en"",""zh-CN"")"),"一个女人在抚摸时在狗的前面说话。")</f>
        <v>一个女人在抚摸时在狗的前面说话。</v>
      </c>
    </row>
    <row r="24836">
      <c r="A24836" s="4" t="s">
        <v>31256</v>
      </c>
      <c r="B24836" s="4" t="s">
        <v>31257</v>
      </c>
      <c r="C24836" s="5" t="str">
        <f>IFERROR(__xludf.DUMMYFUNCTION("GOOGLETRANSLATE(B24836,""en"",""zh-CN"")"),"显示一个男人在Google的伦敦办事处表演一首歌。")</f>
        <v>显示一个男人在Google的伦敦办事处表演一首歌。</v>
      </c>
    </row>
    <row r="24837">
      <c r="A24837" s="4" t="s">
        <v>31256</v>
      </c>
      <c r="B24837" s="4" t="s">
        <v>31258</v>
      </c>
      <c r="C24837" s="5" t="str">
        <f>IFERROR(__xludf.DUMMYFUNCTION("GOOGLETRANSLATE(B24837,""en"",""zh-CN"")"),"他们站在办公空间内，玩长笛。")</f>
        <v>他们站在办公空间内，玩长笛。</v>
      </c>
    </row>
    <row r="24838">
      <c r="A24838" s="4" t="s">
        <v>31256</v>
      </c>
      <c r="B24838" s="4" t="s">
        <v>31259</v>
      </c>
      <c r="C24838" s="5" t="str">
        <f>IFERROR(__xludf.DUMMYFUNCTION("GOOGLETRANSLATE(B24838,""en"",""zh-CN"")"),"这个男人开始真正进入它，并为人们的热情欢呼。")</f>
        <v>这个男人开始真正进入它，并为人们的热情欢呼。</v>
      </c>
    </row>
    <row r="24839">
      <c r="A24839" s="4" t="s">
        <v>31256</v>
      </c>
      <c r="B24839" s="4" t="s">
        <v>31260</v>
      </c>
      <c r="C24839" s="5" t="str">
        <f>IFERROR(__xludf.DUMMYFUNCTION("GOOGLETRANSLATE(B24839,""en"",""zh-CN"")"),"他一遍又一遍地表现出一个特写镜头。")</f>
        <v>他一遍又一遍地表现出一个特写镜头。</v>
      </c>
    </row>
    <row r="24840">
      <c r="A24840" s="4" t="s">
        <v>31256</v>
      </c>
      <c r="B24840" s="4" t="s">
        <v>31261</v>
      </c>
      <c r="C24840" s="5" t="str">
        <f>IFERROR(__xludf.DUMMYFUNCTION("GOOGLETRANSLATE(B24840,""en"",""zh-CN"")"),"然后，他将歌曲终结为掌声，然后走出框架。")</f>
        <v>然后，他将歌曲终结为掌声，然后走出框架。</v>
      </c>
    </row>
    <row r="24841">
      <c r="A24841" s="4" t="s">
        <v>31262</v>
      </c>
      <c r="B24841" s="4" t="s">
        <v>31263</v>
      </c>
      <c r="C24841" s="5" t="str">
        <f>IFERROR(__xludf.DUMMYFUNCTION("GOOGLETRANSLATE(B24841,""en"",""zh-CN"")"),"看到一个男人跪在地板上，一边握着铁。")</f>
        <v>看到一个男人跪在地板上，一边握着铁。</v>
      </c>
    </row>
    <row r="24842">
      <c r="A24842" s="4" t="s">
        <v>31262</v>
      </c>
      <c r="B24842" s="4" t="s">
        <v>31264</v>
      </c>
      <c r="C24842" s="5" t="str">
        <f>IFERROR(__xludf.DUMMYFUNCTION("GOOGLETRANSLATE(B24842,""en"",""zh-CN"")"),"他用铁弯曲以熨烫衬衫并放下。")</f>
        <v>他用铁弯曲以熨烫衬衫并放下。</v>
      </c>
    </row>
    <row r="24843">
      <c r="A24843" s="4" t="s">
        <v>31262</v>
      </c>
      <c r="B24843" s="4" t="s">
        <v>31265</v>
      </c>
      <c r="C24843" s="5" t="str">
        <f>IFERROR(__xludf.DUMMYFUNCTION("GOOGLETRANSLATE(B24843,""en"",""zh-CN"")"),"之后，他遮住耳朵，痛苦地移开视线。")</f>
        <v>之后，他遮住耳朵，痛苦地移开视线。</v>
      </c>
    </row>
    <row r="24844">
      <c r="A24844" s="4" t="s">
        <v>31266</v>
      </c>
      <c r="B24844" s="4" t="s">
        <v>31267</v>
      </c>
      <c r="C24844" s="5" t="str">
        <f>IFERROR(__xludf.DUMMYFUNCTION("GOOGLETRANSLATE(B24844,""en"",""zh-CN"")"),"一个穿着白衬衫和帽子的男人坐下。")</f>
        <v>一个穿着白衬衫和帽子的男人坐下。</v>
      </c>
    </row>
    <row r="24845">
      <c r="A24845" s="4" t="s">
        <v>31266</v>
      </c>
      <c r="B24845" s="4" t="s">
        <v>31268</v>
      </c>
      <c r="C24845" s="5" t="str">
        <f>IFERROR(__xludf.DUMMYFUNCTION("GOOGLETRANSLATE(B24845,""en"",""zh-CN"")"),"他在他面前弹两个鼓。")</f>
        <v>他在他面前弹两个鼓。</v>
      </c>
    </row>
    <row r="24846">
      <c r="A24846" s="4" t="s">
        <v>31266</v>
      </c>
      <c r="B24846" s="4" t="s">
        <v>31269</v>
      </c>
      <c r="C24846" s="5" t="str">
        <f>IFERROR(__xludf.DUMMYFUNCTION("GOOGLETRANSLATE(B24846,""en"",""zh-CN"")"),"他停止扮演它们，直接坐着。")</f>
        <v>他停止扮演它们，直接坐着。</v>
      </c>
    </row>
    <row r="24847">
      <c r="A24847" s="4" t="s">
        <v>31270</v>
      </c>
      <c r="B24847" s="4" t="s">
        <v>31271</v>
      </c>
      <c r="C24847" s="5" t="str">
        <f>IFERROR(__xludf.DUMMYFUNCTION("GOOGLETRANSLATE(B24847,""en"",""zh-CN"")"),"一个男孩给网球服务。")</f>
        <v>一个男孩给网球服务。</v>
      </c>
    </row>
    <row r="24848">
      <c r="A24848" s="4" t="s">
        <v>31270</v>
      </c>
      <c r="B24848" s="4" t="s">
        <v>31272</v>
      </c>
      <c r="C24848" s="5" t="str">
        <f>IFERROR(__xludf.DUMMYFUNCTION("GOOGLETRANSLATE(B24848,""en"",""zh-CN"")"),"然后，他又服务了两个。")</f>
        <v>然后，他又服务了两个。</v>
      </c>
    </row>
    <row r="24849">
      <c r="A24849" s="4" t="s">
        <v>31270</v>
      </c>
      <c r="B24849" s="4" t="s">
        <v>31273</v>
      </c>
      <c r="C24849" s="5" t="str">
        <f>IFERROR(__xludf.DUMMYFUNCTION("GOOGLETRANSLATE(B24849,""en"",""zh-CN"")"),"男孩转身走开。")</f>
        <v>男孩转身走开。</v>
      </c>
    </row>
    <row r="24850">
      <c r="A24850" s="4" t="s">
        <v>31274</v>
      </c>
      <c r="B24850" s="4" t="s">
        <v>31275</v>
      </c>
      <c r="C24850" s="5" t="str">
        <f>IFERROR(__xludf.DUMMYFUNCTION("GOOGLETRANSLATE(B24850,""en"",""zh-CN"")"),"一个青少年说话，拿着一条狗皮带，而一个年轻人将狗送上沙发上。")</f>
        <v>一个青少年说话，拿着一条狗皮带，而一个年轻人将狗送上沙发上。</v>
      </c>
    </row>
    <row r="24851">
      <c r="A24851" s="4" t="s">
        <v>31274</v>
      </c>
      <c r="B24851" s="4" t="s">
        <v>31276</v>
      </c>
      <c r="C24851" s="5" t="str">
        <f>IFERROR(__xludf.DUMMYFUNCTION("GOOGLETRANSLATE(B24851,""en"",""zh-CN"")"),"然后，在青少年谈话之后，这名青少年与狗一起奔跑是其他青年玩飞盘。")</f>
        <v>然后，在青少年谈话之后，这名青少年与狗一起奔跑是其他青年玩飞盘。</v>
      </c>
    </row>
    <row r="24852">
      <c r="A24852" s="4" t="s">
        <v>31274</v>
      </c>
      <c r="B24852" s="4" t="s">
        <v>31277</v>
      </c>
      <c r="C24852" s="5" t="str">
        <f>IFERROR(__xludf.DUMMYFUNCTION("GOOGLETRANSLATE(B24852,""en"",""zh-CN"")"),"一个女人在分配器苏打机上读书。")</f>
        <v>一个女人在分配器苏打机上读书。</v>
      </c>
    </row>
    <row r="24853">
      <c r="A24853" s="4" t="s">
        <v>31274</v>
      </c>
      <c r="B24853" s="4" t="s">
        <v>31278</v>
      </c>
      <c r="C24853" s="5" t="str">
        <f>IFERROR(__xludf.DUMMYFUNCTION("GOOGLETRANSLATE(B24853,""en"",""zh-CN"")"),"一个男人在停车场和街道上walk狗。")</f>
        <v>一个男人在停车场和街道上walk狗。</v>
      </c>
    </row>
    <row r="24854">
      <c r="A24854" s="4" t="s">
        <v>31274</v>
      </c>
      <c r="B24854" s="4" t="s">
        <v>31279</v>
      </c>
      <c r="C24854" s="5" t="str">
        <f>IFERROR(__xludf.DUMMYFUNCTION("GOOGLETRANSLATE(B24854,""en"",""zh-CN"")"),"之后，这个少年和年轻人在室内。")</f>
        <v>之后，这个少年和年轻人在室内。</v>
      </c>
    </row>
    <row r="24855">
      <c r="A24855" s="4" t="s">
        <v>31280</v>
      </c>
      <c r="B24855" s="4" t="s">
        <v>31281</v>
      </c>
      <c r="C24855" s="5" t="str">
        <f>IFERROR(__xludf.DUMMYFUNCTION("GOOGLETRANSLATE(B24855,""en"",""zh-CN"")"),"该视频首先是从开销中显示的冰壶游戏。")</f>
        <v>该视频首先是从开销中显示的冰壶游戏。</v>
      </c>
    </row>
    <row r="24856">
      <c r="A24856" s="4" t="s">
        <v>31280</v>
      </c>
      <c r="B24856" s="4" t="s">
        <v>31282</v>
      </c>
      <c r="C24856" s="5" t="str">
        <f>IFERROR(__xludf.DUMMYFUNCTION("GOOGLETRANSLATE(B24856,""en"",""zh-CN"")"),"然后，相机显示一位女士在冰上滑冰。")</f>
        <v>然后，相机显示一位女士在冰上滑冰。</v>
      </c>
    </row>
    <row r="24857">
      <c r="A24857" s="4" t="s">
        <v>31280</v>
      </c>
      <c r="B24857" s="4" t="s">
        <v>31283</v>
      </c>
      <c r="C24857" s="5" t="str">
        <f>IFERROR(__xludf.DUMMYFUNCTION("GOOGLETRANSLATE(B24857,""en"",""zh-CN"")"),"然后，相机重新集中在冰壶游戏上，展示了一位女士即将拍摄。")</f>
        <v>然后，相机重新集中在冰壶游戏上，展示了一位女士即将拍摄。</v>
      </c>
    </row>
    <row r="24858">
      <c r="A24858" s="4" t="s">
        <v>31280</v>
      </c>
      <c r="B24858" s="4" t="s">
        <v>31284</v>
      </c>
      <c r="C24858" s="5" t="str">
        <f>IFERROR(__xludf.DUMMYFUNCTION("GOOGLETRANSLATE(B24858,""en"",""zh-CN"")"),"当女士准备射击时，他们回到了游戏的高架角度。")</f>
        <v>当女士准备射击时，他们回到了游戏的高架角度。</v>
      </c>
    </row>
    <row r="24859">
      <c r="A24859" s="4" t="s">
        <v>31280</v>
      </c>
      <c r="B24859" s="4" t="s">
        <v>31285</v>
      </c>
      <c r="C24859" s="5" t="str">
        <f>IFERROR(__xludf.DUMMYFUNCTION("GOOGLETRANSLATE(B24859,""en"",""zh-CN"")"),"其他球员在期待中被展示。")</f>
        <v>其他球员在期待中被展示。</v>
      </c>
    </row>
    <row r="24860">
      <c r="A24860" s="4" t="s">
        <v>31280</v>
      </c>
      <c r="B24860" s="4" t="s">
        <v>31286</v>
      </c>
      <c r="C24860" s="5" t="str">
        <f>IFERROR(__xludf.DUMMYFUNCTION("GOOGLETRANSLATE(B24860,""en"",""zh-CN"")"),"玩家进行了射门，相机跟随。")</f>
        <v>玩家进行了射门，相机跟随。</v>
      </c>
    </row>
    <row r="24861">
      <c r="A24861" s="4" t="s">
        <v>31280</v>
      </c>
      <c r="B24861" s="4" t="s">
        <v>31287</v>
      </c>
      <c r="C24861" s="5" t="str">
        <f>IFERROR(__xludf.DUMMYFUNCTION("GOOGLETRANSLATE(B24861,""en"",""zh-CN"")"),"人群欢呼声和镜头的重播。")</f>
        <v>人群欢呼声和镜头的重播。</v>
      </c>
    </row>
    <row r="24862">
      <c r="A24862" s="4" t="s">
        <v>31288</v>
      </c>
      <c r="B24862" s="4" t="s">
        <v>31289</v>
      </c>
      <c r="C24862" s="5" t="str">
        <f>IFERROR(__xludf.DUMMYFUNCTION("GOOGLETRANSLATE(B24862,""en"",""zh-CN"")"),"一个人一个人在室内单板滑雪。")</f>
        <v>一个人一个人在室内单板滑雪。</v>
      </c>
    </row>
    <row r="24863">
      <c r="A24863" s="4" t="s">
        <v>31288</v>
      </c>
      <c r="B24863" s="4" t="s">
        <v>31290</v>
      </c>
      <c r="C24863" s="5" t="str">
        <f>IFERROR(__xludf.DUMMYFUNCTION("GOOGLETRANSLATE(B24863,""en"",""zh-CN"")"),"该人的木板沿着斜坡弯曲。")</f>
        <v>该人的木板沿着斜坡弯曲。</v>
      </c>
    </row>
    <row r="24864">
      <c r="A24864" s="4" t="s">
        <v>31288</v>
      </c>
      <c r="B24864" s="4" t="s">
        <v>31291</v>
      </c>
      <c r="C24864" s="5" t="str">
        <f>IFERROR(__xludf.DUMMYFUNCTION("GOOGLETRANSLATE(B24864,""en"",""zh-CN"")"),"该人在斜坡的尽头转身，双臂伸出。")</f>
        <v>该人在斜坡的尽头转身，双臂伸出。</v>
      </c>
    </row>
    <row r="24865">
      <c r="A24865" s="4" t="s">
        <v>31292</v>
      </c>
      <c r="B24865" s="4" t="s">
        <v>31293</v>
      </c>
      <c r="C24865" s="5" t="str">
        <f>IFERROR(__xludf.DUMMYFUNCTION("GOOGLETRANSLATE(B24865,""en"",""zh-CN"")"),"看到一个年轻人坐在鼓盘后面拿着棍子。")</f>
        <v>看到一个年轻人坐在鼓盘后面拿着棍子。</v>
      </c>
    </row>
    <row r="24866">
      <c r="A24866" s="4" t="s">
        <v>31292</v>
      </c>
      <c r="B24866" s="4" t="s">
        <v>31294</v>
      </c>
      <c r="C24866" s="5" t="str">
        <f>IFERROR(__xludf.DUMMYFUNCTION("GOOGLETRANSLATE(B24866,""en"",""zh-CN"")"),"当相机捕捉他的动作时，该男子开始连续打鼓。")</f>
        <v>当相机捕捉他的动作时，该男子开始连续打鼓。</v>
      </c>
    </row>
    <row r="24867">
      <c r="A24867" s="4" t="s">
        <v>31292</v>
      </c>
      <c r="B24867" s="4" t="s">
        <v>31295</v>
      </c>
      <c r="C24867" s="5" t="str">
        <f>IFERROR(__xludf.DUMMYFUNCTION("GOOGLETRANSLATE(B24867,""en"",""zh-CN"")"),"仍然看到他打鼓，并用手举起。")</f>
        <v>仍然看到他打鼓，并用手举起。</v>
      </c>
    </row>
    <row r="24868">
      <c r="A24868" s="4" t="s">
        <v>31296</v>
      </c>
      <c r="B24868" s="4" t="s">
        <v>31297</v>
      </c>
      <c r="C24868" s="5" t="str">
        <f>IFERROR(__xludf.DUMMYFUNCTION("GOOGLETRANSLATE(B24868,""en"",""zh-CN"")"),"一个小孩在旋转时用蝙蝠击中了piñata。")</f>
        <v>一个小孩在旋转时用蝙蝠击中了piñata。</v>
      </c>
    </row>
    <row r="24869">
      <c r="A24869" s="4" t="s">
        <v>31296</v>
      </c>
      <c r="B24869" s="4" t="s">
        <v>31298</v>
      </c>
      <c r="C24869" s="5" t="str">
        <f>IFERROR(__xludf.DUMMYFUNCTION("GOOGLETRANSLATE(B24869,""en"",""zh-CN"")"),"一个人在男孩附近，展示了一只手臂。")</f>
        <v>一个人在男孩附近，展示了一只手臂。</v>
      </c>
    </row>
    <row r="24870">
      <c r="A24870" s="4" t="s">
        <v>31299</v>
      </c>
      <c r="B24870" s="4" t="s">
        <v>31300</v>
      </c>
      <c r="C24870" s="5" t="str">
        <f>IFERROR(__xludf.DUMMYFUNCTION("GOOGLETRANSLATE(B24870,""en"",""zh-CN"")"),"场景说河浮渣的黑色背景。")</f>
        <v>场景说河浮渣的黑色背景。</v>
      </c>
    </row>
    <row r="24871">
      <c r="A24871" s="4" t="s">
        <v>31299</v>
      </c>
      <c r="B24871" s="4" t="s">
        <v>31301</v>
      </c>
      <c r="C24871" s="5" t="str">
        <f>IFERROR(__xludf.DUMMYFUNCTION("GOOGLETRANSLATE(B24871,""en"",""zh-CN"")"),"当一个人在划船时，皮划艇正沿着河走。")</f>
        <v>当一个人在划船时，皮划艇正沿着河走。</v>
      </c>
    </row>
    <row r="24872">
      <c r="A24872" s="4" t="s">
        <v>31299</v>
      </c>
      <c r="B24872" s="4" t="s">
        <v>31302</v>
      </c>
      <c r="C24872" s="5" t="str">
        <f>IFERROR(__xludf.DUMMYFUNCTION("GOOGLETRANSLATE(B24872,""en"",""zh-CN"")"),"屏幕带有单词。")</f>
        <v>屏幕带有单词。</v>
      </c>
    </row>
    <row r="24873">
      <c r="A24873" s="4" t="s">
        <v>31303</v>
      </c>
      <c r="B24873" s="6" t="s">
        <v>31304</v>
      </c>
      <c r="C24873" s="5" t="str">
        <f>IFERROR(__xludf.DUMMYFUNCTION("GOOGLETRANSLATE(B24873,""en"",""zh-CN"")"),"看到一小群人坐在木筏上，脚上有脚和桨。")</f>
        <v>看到一小群人坐在木筏上，脚上有脚和桨。</v>
      </c>
    </row>
    <row r="24874">
      <c r="A24874" s="4" t="s">
        <v>31303</v>
      </c>
      <c r="B24874" s="4" t="s">
        <v>31305</v>
      </c>
      <c r="C24874" s="5" t="str">
        <f>IFERROR(__xludf.DUMMYFUNCTION("GOOGLETRANSLATE(B24874,""en"",""zh-CN"")"),"一个男人对小组说话，并带领他们划在河上。")</f>
        <v>一个男人对小组说话，并带领他们划在河上。</v>
      </c>
    </row>
    <row r="24875">
      <c r="A24875" s="4" t="s">
        <v>31303</v>
      </c>
      <c r="B24875" s="6" t="s">
        <v>31306</v>
      </c>
      <c r="C24875" s="5" t="str">
        <f>IFERROR(__xludf.DUMMYFUNCTION("GOOGLETRANSLATE(B24875,""en"",""zh-CN"")"),"该小组继续沿着河上骑行，展示了他们在屏幕上工作的特写和徽标的结尾。")</f>
        <v>该小组继续沿着河上骑行，展示了他们在屏幕上工作的特写和徽标的结尾。</v>
      </c>
    </row>
    <row r="24876">
      <c r="A24876" s="4" t="s">
        <v>31307</v>
      </c>
      <c r="B24876" s="4" t="s">
        <v>31308</v>
      </c>
      <c r="C24876" s="5" t="str">
        <f>IFERROR(__xludf.DUMMYFUNCTION("GOOGLETRANSLATE(B24876,""en"",""zh-CN"")"),"一只黑公牛被嘲弄时，戴着假人悬挂在绳子上，因为公牛在假人猛拉。")</f>
        <v>一只黑公牛被嘲弄时，戴着假人悬挂在绳子上，因为公牛在假人猛拉。</v>
      </c>
    </row>
    <row r="24877">
      <c r="A24877" s="4" t="s">
        <v>31307</v>
      </c>
      <c r="B24877" s="6" t="s">
        <v>31309</v>
      </c>
      <c r="C24877" s="5" t="str">
        <f>IFERROR(__xludf.DUMMYFUNCTION("GOOGLETRANSLATE(B24877,""en"",""zh-CN"")"),"一个有绿色和白色伞的男人在绳索上嘲笑一头黑牛，而围观者也从墙上的侧面嘲笑公牛。")</f>
        <v>一个有绿色和白色伞的男人在绳索上嘲笑一头黑牛，而围观者也从墙上的侧面嘲笑公牛。</v>
      </c>
    </row>
    <row r="24878">
      <c r="A24878" s="4" t="s">
        <v>31307</v>
      </c>
      <c r="B24878" s="6" t="s">
        <v>31310</v>
      </c>
      <c r="C24878" s="5" t="str">
        <f>IFERROR(__xludf.DUMMYFUNCTION("GOOGLETRANSLATE(B24878,""en"",""zh-CN"")"),"黑公牛在另一个假人刺耳，假人在其他嘲讽的目标后逃跑时被牛角抓住。")</f>
        <v>黑公牛在另一个假人刺耳，假人在其他嘲讽的目标后逃跑时被牛角抓住。</v>
      </c>
    </row>
    <row r="24879">
      <c r="A24879" s="4" t="s">
        <v>31311</v>
      </c>
      <c r="B24879" s="4" t="s">
        <v>31312</v>
      </c>
      <c r="C24879" s="5" t="str">
        <f>IFERROR(__xludf.DUMMYFUNCTION("GOOGLETRANSLATE(B24879,""en"",""zh-CN"")"),"一个人在森林里拿着斧头。")</f>
        <v>一个人在森林里拿着斧头。</v>
      </c>
    </row>
    <row r="24880">
      <c r="A24880" s="4" t="s">
        <v>31311</v>
      </c>
      <c r="B24880" s="4" t="s">
        <v>31313</v>
      </c>
      <c r="C24880" s="5" t="str">
        <f>IFERROR(__xludf.DUMMYFUNCTION("GOOGLETRANSLATE(B24880,""en"",""zh-CN"")"),"他正在谈论并调整大小树桩。")</f>
        <v>他正在谈论并调整大小树桩。</v>
      </c>
    </row>
    <row r="24881">
      <c r="A24881" s="4" t="s">
        <v>31311</v>
      </c>
      <c r="B24881" s="4" t="s">
        <v>31314</v>
      </c>
      <c r="C24881" s="5" t="str">
        <f>IFERROR(__xludf.DUMMYFUNCTION("GOOGLETRANSLATE(B24881,""en"",""zh-CN"")"),"他用斧头将木材拆分。")</f>
        <v>他用斧头将木材拆分。</v>
      </c>
    </row>
    <row r="24882">
      <c r="A24882" s="4" t="s">
        <v>31315</v>
      </c>
      <c r="B24882" s="4" t="s">
        <v>31316</v>
      </c>
      <c r="C24882" s="5" t="str">
        <f>IFERROR(__xludf.DUMMYFUNCTION("GOOGLETRANSLATE(B24882,""en"",""zh-CN"")"),"我们看到一位女士在松懈的线上弹跳。")</f>
        <v>我们看到一位女士在松懈的线上弹跳。</v>
      </c>
    </row>
    <row r="24883">
      <c r="A24883" s="4" t="s">
        <v>31315</v>
      </c>
      <c r="B24883" s="4" t="s">
        <v>31317</v>
      </c>
      <c r="C24883" s="5" t="str">
        <f>IFERROR(__xludf.DUMMYFUNCTION("GOOGLETRANSLATE(B24883,""en"",""zh-CN"")"),"那位女士坐在她的膝盖上。")</f>
        <v>那位女士坐在她的膝盖上。</v>
      </c>
    </row>
    <row r="24884">
      <c r="A24884" s="4" t="s">
        <v>31315</v>
      </c>
      <c r="B24884" s="4" t="s">
        <v>31318</v>
      </c>
      <c r="C24884" s="5" t="str">
        <f>IFERROR(__xludf.DUMMYFUNCTION("GOOGLETRANSLATE(B24884,""en"",""zh-CN"")"),"背景中的那个人降雪。")</f>
        <v>背景中的那个人降雪。</v>
      </c>
    </row>
    <row r="24885">
      <c r="A24885" s="4" t="s">
        <v>31315</v>
      </c>
      <c r="B24885" s="4" t="s">
        <v>31319</v>
      </c>
      <c r="C24885" s="5" t="str">
        <f>IFERROR(__xludf.DUMMYFUNCTION("GOOGLETRANSLATE(B24885,""en"",""zh-CN"")"),"那位女士跌倒了松懈的线。")</f>
        <v>那位女士跌倒了松懈的线。</v>
      </c>
    </row>
    <row r="24886">
      <c r="A24886" s="4" t="s">
        <v>31315</v>
      </c>
      <c r="B24886" s="4" t="s">
        <v>31320</v>
      </c>
      <c r="C24886" s="5" t="str">
        <f>IFERROR(__xludf.DUMMYFUNCTION("GOOGLETRANSLATE(B24886,""en"",""zh-CN"")"),"我们看到一个男人在松弛线上弹跳。")</f>
        <v>我们看到一个男人在松弛线上弹跳。</v>
      </c>
    </row>
    <row r="24887">
      <c r="A24887" s="4" t="s">
        <v>31315</v>
      </c>
      <c r="B24887" s="4" t="s">
        <v>31321</v>
      </c>
      <c r="C24887" s="5" t="str">
        <f>IFERROR(__xludf.DUMMYFUNCTION("GOOGLETRANSLATE(B24887,""en"",""zh-CN"")"),"我们回到第一夫人弹跳。")</f>
        <v>我们回到第一夫人弹跳。</v>
      </c>
    </row>
    <row r="24888">
      <c r="A24888" s="4" t="s">
        <v>31315</v>
      </c>
      <c r="B24888" s="4" t="s">
        <v>31322</v>
      </c>
      <c r="C24888" s="5" t="str">
        <f>IFERROR(__xludf.DUMMYFUNCTION("GOOGLETRANSLATE(B24888,""en"",""zh-CN"")"),"那位女士跳下了松懈的线，重新开始。")</f>
        <v>那位女士跳下了松懈的线，重新开始。</v>
      </c>
    </row>
    <row r="24889">
      <c r="A24889" s="4" t="s">
        <v>31315</v>
      </c>
      <c r="B24889" s="4" t="s">
        <v>31323</v>
      </c>
      <c r="C24889" s="5" t="str">
        <f>IFERROR(__xludf.DUMMYFUNCTION("GOOGLETRANSLATE(B24889,""en"",""zh-CN"")"),"女士弹跳时旋转。")</f>
        <v>女士弹跳时旋转。</v>
      </c>
    </row>
    <row r="24890">
      <c r="A24890" s="4" t="s">
        <v>31315</v>
      </c>
      <c r="B24890" s="4" t="s">
        <v>31324</v>
      </c>
      <c r="C24890" s="5" t="str">
        <f>IFERROR(__xludf.DUMMYFUNCTION("GOOGLETRANSLATE(B24890,""en"",""zh-CN"")"),"那位女士跳下来了。")</f>
        <v>那位女士跳下来了。</v>
      </c>
    </row>
    <row r="24891">
      <c r="A24891" s="4" t="s">
        <v>31325</v>
      </c>
      <c r="B24891" s="4" t="s">
        <v>31326</v>
      </c>
      <c r="C24891" s="5" t="str">
        <f>IFERROR(__xludf.DUMMYFUNCTION("GOOGLETRANSLATE(B24891,""en"",""zh-CN"")"),"一群男人坐在外面演奏乐器。")</f>
        <v>一群男人坐在外面演奏乐器。</v>
      </c>
    </row>
    <row r="24892">
      <c r="A24892" s="4" t="s">
        <v>31325</v>
      </c>
      <c r="B24892" s="6" t="s">
        <v>31327</v>
      </c>
      <c r="C24892" s="5" t="str">
        <f>IFERROR(__xludf.DUMMYFUNCTION("GOOGLETRANSLATE(B24892,""en"",""zh-CN"")"),"其中一个人将另一把棍子交给了长笛，他坐着完成，开始在上面比赛。")</f>
        <v>其中一个人将另一把棍子交给了长笛，他坐着完成，开始在上面比赛。</v>
      </c>
    </row>
    <row r="24893">
      <c r="A24893" s="4" t="s">
        <v>31325</v>
      </c>
      <c r="B24893" s="4" t="s">
        <v>31328</v>
      </c>
      <c r="C24893" s="5" t="str">
        <f>IFERROR(__xludf.DUMMYFUNCTION("GOOGLETRANSLATE(B24893,""en"",""zh-CN"")"),"该男子开始和他一起演奏萨克斯管。")</f>
        <v>该男子开始和他一起演奏萨克斯管。</v>
      </c>
    </row>
    <row r="24894">
      <c r="A24894" s="4" t="s">
        <v>31325</v>
      </c>
      <c r="B24894" s="4" t="s">
        <v>31329</v>
      </c>
      <c r="C24894" s="5" t="str">
        <f>IFERROR(__xludf.DUMMYFUNCTION("GOOGLETRANSLATE(B24894,""en"",""zh-CN"")"),"其他男人都加入了，他们都一起制作音乐，度过了愉快的时光。")</f>
        <v>其他男人都加入了，他们都一起制作音乐，度过了愉快的时光。</v>
      </c>
    </row>
    <row r="24895">
      <c r="A24895" s="4" t="s">
        <v>31330</v>
      </c>
      <c r="B24895" s="4" t="s">
        <v>31331</v>
      </c>
      <c r="C24895" s="5" t="str">
        <f>IFERROR(__xludf.DUMMYFUNCTION("GOOGLETRANSLATE(B24895,""en"",""zh-CN"")"),"一个人在田野里骑马用弯曲的棍子踢球。")</f>
        <v>一个人在田野里骑马用弯曲的棍子踢球。</v>
      </c>
    </row>
    <row r="24896">
      <c r="A24896" s="4" t="s">
        <v>31330</v>
      </c>
      <c r="B24896" s="4" t="s">
        <v>31332</v>
      </c>
      <c r="C24896" s="5" t="str">
        <f>IFERROR(__xludf.DUMMYFUNCTION("GOOGLETRANSLATE(B24896,""en"",""zh-CN"")"),"人们在骑马的野外玩马球。")</f>
        <v>人们在骑马的野外玩马球。</v>
      </c>
    </row>
    <row r="24897">
      <c r="A24897" s="4" t="s">
        <v>31330</v>
      </c>
      <c r="B24897" s="4" t="s">
        <v>31333</v>
      </c>
      <c r="C24897" s="5" t="str">
        <f>IFERROR(__xludf.DUMMYFUNCTION("GOOGLETRANSLATE(B24897,""en"",""zh-CN"")"),"弯曲棍子的那个人在其他球员后面奔跑，对球和得分提出异议。")</f>
        <v>弯曲棍子的那个人在其他球员后面奔跑，对球和得分提出异议。</v>
      </c>
    </row>
    <row r="24898">
      <c r="A24898" s="4" t="s">
        <v>31330</v>
      </c>
      <c r="B24898" s="4" t="s">
        <v>31334</v>
      </c>
      <c r="C24898" s="5" t="str">
        <f>IFERROR(__xludf.DUMMYFUNCTION("GOOGLETRANSLATE(B24898,""en"",""zh-CN"")"),"之后，该人穿着蓝色T恤在球员后面跑来击球并得分。")</f>
        <v>之后，该人穿着蓝色T恤在球员后面跑来击球并得分。</v>
      </c>
    </row>
    <row r="24899">
      <c r="A24899" s="4" t="s">
        <v>31335</v>
      </c>
      <c r="B24899" s="4" t="s">
        <v>31336</v>
      </c>
      <c r="C24899" s="5" t="str">
        <f>IFERROR(__xludf.DUMMYFUNCTION("GOOGLETRANSLATE(B24899,""en"",""zh-CN"")"),"看到一个男人躺在地面上握在他的肚子上。")</f>
        <v>看到一个男人躺在地面上握在他的肚子上。</v>
      </c>
    </row>
    <row r="24900">
      <c r="A24900" s="4" t="s">
        <v>31335</v>
      </c>
      <c r="B24900" s="4" t="s">
        <v>31337</v>
      </c>
      <c r="C24900" s="5" t="str">
        <f>IFERROR(__xludf.DUMMYFUNCTION("GOOGLETRANSLATE(B24900,""en"",""zh-CN"")"),"他握住腰部时开始在地面上上下移动自己。")</f>
        <v>他握住腰部时开始在地面上上下移动自己。</v>
      </c>
    </row>
    <row r="24901">
      <c r="A24901" s="4" t="s">
        <v>31335</v>
      </c>
      <c r="B24901" s="4" t="s">
        <v>31338</v>
      </c>
      <c r="C24901" s="5" t="str">
        <f>IFERROR(__xludf.DUMMYFUNCTION("GOOGLETRANSLATE(B24901,""en"",""zh-CN"")"),"当相机捕捉他的动作时，他继续上下移动。")</f>
        <v>当相机捕捉他的动作时，他继续上下移动。</v>
      </c>
    </row>
    <row r="24902">
      <c r="A24902" s="4" t="s">
        <v>31339</v>
      </c>
      <c r="B24902" s="4" t="s">
        <v>31340</v>
      </c>
      <c r="C24902" s="5" t="str">
        <f>IFERROR(__xludf.DUMMYFUNCTION("GOOGLETRANSLATE(B24902,""en"",""zh-CN"")"),"显示了一个拿着书包的人的近距离，并随心所欲地拿出物品。")</f>
        <v>显示了一个拿着书包的人的近距离，并随心所欲地拿出物品。</v>
      </c>
    </row>
    <row r="24903">
      <c r="A24903" s="4" t="s">
        <v>31339</v>
      </c>
      <c r="B24903" s="4" t="s">
        <v>31341</v>
      </c>
      <c r="C24903" s="5" t="str">
        <f>IFERROR(__xludf.DUMMYFUNCTION("GOOGLETRANSLATE(B24903,""en"",""zh-CN"")"),"他把物品放了出来，并在滑雪板上运行板。")</f>
        <v>他把物品放了出来，并在滑雪板上运行板。</v>
      </c>
    </row>
    <row r="24904">
      <c r="A24904" s="4" t="s">
        <v>31339</v>
      </c>
      <c r="B24904" s="4" t="s">
        <v>31342</v>
      </c>
      <c r="C24904" s="5" t="str">
        <f>IFERROR(__xludf.DUMMYFUNCTION("GOOGLETRANSLATE(B24904,""en"",""zh-CN"")"),"他终于再次摩擦滑雪板，将帽子放在酒吧上。")</f>
        <v>他终于再次摩擦滑雪板，将帽子放在酒吧上。</v>
      </c>
    </row>
    <row r="24905">
      <c r="A24905" s="4" t="s">
        <v>31343</v>
      </c>
      <c r="B24905" s="4" t="s">
        <v>31344</v>
      </c>
      <c r="C24905" s="5" t="str">
        <f>IFERROR(__xludf.DUMMYFUNCTION("GOOGLETRANSLATE(B24905,""en"",""zh-CN"")"),"一个人将一个大凹槽置于带有斧头的Lox中。")</f>
        <v>一个人将一个大凹槽置于带有斧头的Lox中。</v>
      </c>
    </row>
    <row r="24906">
      <c r="A24906" s="4" t="s">
        <v>31343</v>
      </c>
      <c r="B24906" s="4" t="s">
        <v>31345</v>
      </c>
      <c r="C24906" s="5" t="str">
        <f>IFERROR(__xludf.DUMMYFUNCTION("GOOGLETRANSLATE(B24906,""en"",""zh-CN"")"),"该男子用手套的手从原木上刷掉碎木头。")</f>
        <v>该男子用手套的手从原木上刷掉碎木头。</v>
      </c>
    </row>
    <row r="24907">
      <c r="A24907" s="4" t="s">
        <v>31346</v>
      </c>
      <c r="B24907" s="6" t="s">
        <v>31347</v>
      </c>
      <c r="C24907" s="5" t="str">
        <f>IFERROR(__xludf.DUMMYFUNCTION("GOOGLETRANSLATE(B24907,""en"",""zh-CN"")"),"简介导致一个女人与狗一起表演几个不同的技巧，并显示如何执行技巧。")</f>
        <v>简介导致一个女人与狗一起表演几个不同的技巧，并显示如何执行技巧。</v>
      </c>
    </row>
    <row r="24908">
      <c r="A24908" s="4" t="s">
        <v>31346</v>
      </c>
      <c r="B24908" s="4" t="s">
        <v>31348</v>
      </c>
      <c r="C24908" s="5" t="str">
        <f>IFERROR(__xludf.DUMMYFUNCTION("GOOGLETRANSLATE(B24908,""en"",""zh-CN"")"),"女人继续用狗表演窍门，然后走到相机上。")</f>
        <v>女人继续用狗表演窍门，然后走到相机上。</v>
      </c>
    </row>
    <row r="24909">
      <c r="A24909" s="4" t="s">
        <v>31349</v>
      </c>
      <c r="B24909" s="4" t="s">
        <v>31350</v>
      </c>
      <c r="C24909" s="5" t="str">
        <f>IFERROR(__xludf.DUMMYFUNCTION("GOOGLETRANSLATE(B24909,""en"",""zh-CN"")"),"显示了一堆台球运动员和投篮。")</f>
        <v>显示了一堆台球运动员和投篮。</v>
      </c>
    </row>
    <row r="24910">
      <c r="A24910" s="4" t="s">
        <v>31349</v>
      </c>
      <c r="B24910" s="4" t="s">
        <v>31351</v>
      </c>
      <c r="C24910" s="5" t="str">
        <f>IFERROR(__xludf.DUMMYFUNCTION("GOOGLETRANSLATE(B24910,""en"",""zh-CN"")"),"镜头是视频下半部分的技巧镜头。")</f>
        <v>镜头是视频下半部分的技巧镜头。</v>
      </c>
    </row>
    <row r="24911">
      <c r="A24911" s="4" t="s">
        <v>31352</v>
      </c>
      <c r="B24911" s="4" t="s">
        <v>31353</v>
      </c>
      <c r="C24911" s="5" t="str">
        <f>IFERROR(__xludf.DUMMYFUNCTION("GOOGLETRANSLATE(B24911,""en"",""zh-CN"")"),"出现“我的骑马失败”一词。")</f>
        <v>出现“我的骑马失败”一词。</v>
      </c>
    </row>
    <row r="24912">
      <c r="A24912" s="4" t="s">
        <v>31352</v>
      </c>
      <c r="B24912" s="4" t="s">
        <v>31354</v>
      </c>
      <c r="C24912" s="5" t="str">
        <f>IFERROR(__xludf.DUMMYFUNCTION("GOOGLETRANSLATE(B24912,""en"",""zh-CN"")"),"一个骑着白马的女孩无法让她的马在赛道上跳跃。")</f>
        <v>一个骑着白马的女孩无法让她的马在赛道上跳跃。</v>
      </c>
    </row>
    <row r="24913">
      <c r="A24913" s="4" t="s">
        <v>31352</v>
      </c>
      <c r="B24913" s="4" t="s">
        <v>31355</v>
      </c>
      <c r="C24913" s="5" t="str">
        <f>IFERROR(__xludf.DUMMYFUNCTION("GOOGLETRANSLATE(B24913,""en"",""zh-CN"")"),"一首歌在视频上播放。")</f>
        <v>一首歌在视频上播放。</v>
      </c>
    </row>
    <row r="24914">
      <c r="A24914" s="4" t="s">
        <v>31356</v>
      </c>
      <c r="B24914" s="4" t="s">
        <v>31357</v>
      </c>
      <c r="C24914" s="5" t="str">
        <f>IFERROR(__xludf.DUMMYFUNCTION("GOOGLETRANSLATE(B24914,""en"",""zh-CN"")"),"显示了一个带有三排阿拉伯语写作的黑屏。")</f>
        <v>显示了一个带有三排阿拉伯语写作的黑屏。</v>
      </c>
    </row>
    <row r="24915">
      <c r="A24915" s="4" t="s">
        <v>31356</v>
      </c>
      <c r="B24915" s="4" t="s">
        <v>31358</v>
      </c>
      <c r="C24915" s="5" t="str">
        <f>IFERROR(__xludf.DUMMYFUNCTION("GOOGLETRANSLATE(B24915,""en"",""zh-CN"")"),"然后，一个年轻的女孩进入浴室，开始洗手。")</f>
        <v>然后，一个年轻的女孩进入浴室，开始洗手。</v>
      </c>
    </row>
    <row r="24916">
      <c r="A24916" s="4" t="s">
        <v>31356</v>
      </c>
      <c r="B24916" s="4" t="s">
        <v>31359</v>
      </c>
      <c r="C24916" s="5" t="str">
        <f>IFERROR(__xludf.DUMMYFUNCTION("GOOGLETRANSLATE(B24916,""en"",""zh-CN"")"),"随着她的继续，她开始谈论和描述过程，然后出现更多的写作。")</f>
        <v>随着她的继续，她开始谈论和描述过程，然后出现更多的写作。</v>
      </c>
    </row>
    <row r="24917">
      <c r="A24917" s="4" t="s">
        <v>31360</v>
      </c>
      <c r="B24917" s="6" t="s">
        <v>31361</v>
      </c>
      <c r="C24917" s="5" t="str">
        <f>IFERROR(__xludf.DUMMYFUNCTION("GOOGLETRANSLATE(B24917,""en"",""zh-CN"")"),"摄像机向后摇晃，向一家酒店展示，空中有红色的灯笼，人们站着望着海滩。")</f>
        <v>摄像机向后摇晃，向一家酒店展示，空中有红色的灯笼，人们站着望着海滩。</v>
      </c>
    </row>
    <row r="24918">
      <c r="A24918" s="4" t="s">
        <v>31360</v>
      </c>
      <c r="B24918" s="4" t="s">
        <v>31362</v>
      </c>
      <c r="C24918" s="5" t="str">
        <f>IFERROR(__xludf.DUMMYFUNCTION("GOOGLETRANSLATE(B24918,""en"",""zh-CN"")"),"一个人在大脏水浪潮前骑着杰斯基（Jetski）。")</f>
        <v>一个人在大脏水浪潮前骑着杰斯基（Jetski）。</v>
      </c>
    </row>
    <row r="24919">
      <c r="A24919" s="4" t="s">
        <v>31360</v>
      </c>
      <c r="B24919" s="4" t="s">
        <v>31363</v>
      </c>
      <c r="C24919" s="5" t="str">
        <f>IFERROR(__xludf.DUMMYFUNCTION("GOOGLETRANSLATE(B24919,""en"",""zh-CN"")"),"帆船被大波浪摇动。")</f>
        <v>帆船被大波浪摇动。</v>
      </c>
    </row>
    <row r="24920">
      <c r="A24920" s="4" t="s">
        <v>31360</v>
      </c>
      <c r="B24920" s="4" t="s">
        <v>31364</v>
      </c>
      <c r="C24920" s="5" t="str">
        <f>IFERROR(__xludf.DUMMYFUNCTION("GOOGLETRANSLATE(B24920,""en"",""zh-CN"")"),"一位女士在大波浪上冲浪，一艘船在她拍摄的船旁。")</f>
        <v>一位女士在大波浪上冲浪，一艘船在她拍摄的船旁。</v>
      </c>
    </row>
    <row r="24921">
      <c r="A24921" s="4" t="s">
        <v>31360</v>
      </c>
      <c r="B24921" s="4" t="s">
        <v>31365</v>
      </c>
      <c r="C24921" s="5" t="str">
        <f>IFERROR(__xludf.DUMMYFUNCTION("GOOGLETRANSLATE(B24921,""en"",""zh-CN"")"),"我们看到水中的船再次摇摆。")</f>
        <v>我们看到水中的船再次摇摆。</v>
      </c>
    </row>
    <row r="24922">
      <c r="A24922" s="4" t="s">
        <v>31360</v>
      </c>
      <c r="B24922" s="4" t="s">
        <v>31366</v>
      </c>
      <c r="C24922" s="5" t="str">
        <f>IFERROR(__xludf.DUMMYFUNCTION("GOOGLETRANSLATE(B24922,""en"",""zh-CN"")"),"我们看到人们冲浪了河的大浪。")</f>
        <v>我们看到人们冲浪了河的大浪。</v>
      </c>
    </row>
    <row r="24923">
      <c r="A24923" s="4" t="s">
        <v>31360</v>
      </c>
      <c r="B24923" s="4" t="s">
        <v>31367</v>
      </c>
      <c r="C24923" s="5" t="str">
        <f>IFERROR(__xludf.DUMMYFUNCTION("GOOGLETRANSLATE(B24923,""en"",""zh-CN"")"),"一个人在冲浪时在冲浪板上倒立。")</f>
        <v>一个人在冲浪时在冲浪板上倒立。</v>
      </c>
    </row>
    <row r="24924">
      <c r="A24924" s="4" t="s">
        <v>31368</v>
      </c>
      <c r="B24924" s="4" t="s">
        <v>31369</v>
      </c>
      <c r="C24924" s="5" t="str">
        <f>IFERROR(__xludf.DUMMYFUNCTION("GOOGLETRANSLATE(B24924,""en"",""zh-CN"")"),"一群高大的树木被水包围。")</f>
        <v>一群高大的树木被水包围。</v>
      </c>
    </row>
    <row r="24925">
      <c r="A24925" s="4" t="s">
        <v>31368</v>
      </c>
      <c r="B24925" s="4" t="s">
        <v>31370</v>
      </c>
      <c r="C24925" s="5" t="str">
        <f>IFERROR(__xludf.DUMMYFUNCTION("GOOGLETRANSLATE(B24925,""en"",""zh-CN"")"),"我们看到我们周围的海水。")</f>
        <v>我们看到我们周围的海水。</v>
      </c>
    </row>
    <row r="24926">
      <c r="A24926" s="4" t="s">
        <v>31368</v>
      </c>
      <c r="B24926" s="4" t="s">
        <v>31371</v>
      </c>
      <c r="C24926" s="5" t="str">
        <f>IFERROR(__xludf.DUMMYFUNCTION("GOOGLETRANSLATE(B24926,""en"",""zh-CN"")"),"然后，我们看到几个人在船上放松时。")</f>
        <v>然后，我们看到几个人在船上放松时。</v>
      </c>
    </row>
    <row r="24927">
      <c r="A24927" s="4" t="s">
        <v>31372</v>
      </c>
      <c r="B24927" s="4" t="s">
        <v>31373</v>
      </c>
      <c r="C24927" s="5" t="str">
        <f>IFERROR(__xludf.DUMMYFUNCTION("GOOGLETRANSLATE(B24927,""en"",""zh-CN"")"),"一个人说话，然后在街上走去，直到到达冰淇淋店。")</f>
        <v>一个人说话，然后在街上走去，直到到达冰淇淋店。</v>
      </c>
    </row>
    <row r="24928">
      <c r="A24928" s="4" t="s">
        <v>31372</v>
      </c>
      <c r="B24928" s="4" t="s">
        <v>31374</v>
      </c>
      <c r="C24928" s="5" t="str">
        <f>IFERROR(__xludf.DUMMYFUNCTION("GOOGLETRANSLATE(B24928,""en"",""zh-CN"")"),"一个女人展示巧克力和香草冰淇淋蛋筒，一个女孩喜欢冰淇淋。")</f>
        <v>一个女人展示巧克力和香草冰淇淋蛋筒，一个女孩喜欢冰淇淋。</v>
      </c>
    </row>
    <row r="24929">
      <c r="A24929" s="4" t="s">
        <v>31372</v>
      </c>
      <c r="B24929" s="4" t="s">
        <v>31375</v>
      </c>
      <c r="C24929" s="5" t="str">
        <f>IFERROR(__xludf.DUMMYFUNCTION("GOOGLETRANSLATE(B24929,""en"",""zh-CN"")"),"人们购买冰淇淋，并抚养孩子去看冰淇淋。")</f>
        <v>人们购买冰淇淋，并抚养孩子去看冰淇淋。</v>
      </c>
    </row>
    <row r="24930">
      <c r="A24930" s="4" t="s">
        <v>31372</v>
      </c>
      <c r="B24930" s="4" t="s">
        <v>31376</v>
      </c>
      <c r="C24930" s="5" t="str">
        <f>IFERROR(__xludf.DUMMYFUNCTION("GOOGLETRANSLATE(B24930,""en"",""zh-CN"")"),"该男子在商店里舔冰，然后他假装在图片中舔冰淇淋。")</f>
        <v>该男子在商店里舔冰，然后他假装在图片中舔冰淇淋。</v>
      </c>
    </row>
    <row r="24931">
      <c r="A24931" s="4" t="s">
        <v>31377</v>
      </c>
      <c r="B24931" s="4" t="s">
        <v>31378</v>
      </c>
      <c r="C24931" s="5" t="str">
        <f>IFERROR(__xludf.DUMMYFUNCTION("GOOGLETRANSLATE(B24931,""en"",""zh-CN"")"),"一个女人在飞镖板上投掷飞镖。")</f>
        <v>一个女人在飞镖板上投掷飞镖。</v>
      </c>
    </row>
    <row r="24932">
      <c r="A24932" s="4" t="s">
        <v>31377</v>
      </c>
      <c r="B24932" s="4" t="s">
        <v>31379</v>
      </c>
      <c r="C24932" s="5" t="str">
        <f>IFERROR(__xludf.DUMMYFUNCTION("GOOGLETRANSLATE(B24932,""en"",""zh-CN"")"),"飞镖板显示在墙上。")</f>
        <v>飞镖板显示在墙上。</v>
      </c>
    </row>
    <row r="24933">
      <c r="A24933" s="4" t="s">
        <v>31377</v>
      </c>
      <c r="B24933" s="4" t="s">
        <v>31380</v>
      </c>
      <c r="C24933" s="5" t="str">
        <f>IFERROR(__xludf.DUMMYFUNCTION("GOOGLETRANSLATE(B24933,""en"",""zh-CN"")"),"她继续向飞镖板投掷飞镖。")</f>
        <v>她继续向飞镖板投掷飞镖。</v>
      </c>
    </row>
    <row r="24934">
      <c r="A24934" s="4" t="s">
        <v>31377</v>
      </c>
      <c r="B24934" s="4" t="s">
        <v>31381</v>
      </c>
      <c r="C24934" s="5" t="str">
        <f>IFERROR(__xludf.DUMMYFUNCTION("GOOGLETRANSLATE(B24934,""en"",""zh-CN"")"),"她将飞镖从飞镖板上拉出。")</f>
        <v>她将飞镖从飞镖板上拉出。</v>
      </c>
    </row>
    <row r="24935">
      <c r="A24935" s="4" t="s">
        <v>31382</v>
      </c>
      <c r="B24935" s="4" t="s">
        <v>31383</v>
      </c>
      <c r="C24935" s="5" t="str">
        <f>IFERROR(__xludf.DUMMYFUNCTION("GOOGLETRANSLATE(B24935,""en"",""zh-CN"")"),"一个人站在原木上时，用斧头切开原木的中心。")</f>
        <v>一个人站在原木上时，用斧头切开原木的中心。</v>
      </c>
    </row>
    <row r="24936">
      <c r="A24936" s="4" t="s">
        <v>31382</v>
      </c>
      <c r="B24936" s="4" t="s">
        <v>31384</v>
      </c>
      <c r="C24936" s="5" t="str">
        <f>IFERROR(__xludf.DUMMYFUNCTION("GOOGLETRANSLATE(B24936,""en"",""zh-CN"")"),"该男子站在原木上，用右手握住斧头。")</f>
        <v>该男子站在原木上，用右手握住斧头。</v>
      </c>
    </row>
    <row r="24937">
      <c r="A24937" s="4" t="s">
        <v>31382</v>
      </c>
      <c r="B24937" s="4" t="s">
        <v>31385</v>
      </c>
      <c r="C24937" s="5" t="str">
        <f>IFERROR(__xludf.DUMMYFUNCTION("GOOGLETRANSLATE(B24937,""en"",""zh-CN"")"),"然后，男人继续切割日志。")</f>
        <v>然后，男人继续切割日志。</v>
      </c>
    </row>
    <row r="24938">
      <c r="A24938" s="4" t="s">
        <v>31382</v>
      </c>
      <c r="B24938" s="4" t="s">
        <v>31386</v>
      </c>
      <c r="C24938" s="5" t="str">
        <f>IFERROR(__xludf.DUMMYFUNCTION("GOOGLETRANSLATE(B24938,""en"",""zh-CN"")"),"之后，两个人在男人的前面行走，一个人从原木上拿走了松散的木头。")</f>
        <v>之后，两个人在男人的前面行走，一个人从原木上拿走了松散的木头。</v>
      </c>
    </row>
    <row r="24939">
      <c r="A24939" s="4" t="s">
        <v>31387</v>
      </c>
      <c r="B24939" s="4" t="s">
        <v>31388</v>
      </c>
      <c r="C24939" s="5" t="str">
        <f>IFERROR(__xludf.DUMMYFUNCTION("GOOGLETRANSLATE(B24939,""en"",""zh-CN"")"),"狗美容师用坐在桌子上的刷子刷狗的外套。")</f>
        <v>狗美容师用坐在桌子上的刷子刷狗的外套。</v>
      </c>
    </row>
    <row r="24940">
      <c r="A24940" s="4" t="s">
        <v>31387</v>
      </c>
      <c r="B24940" s="4" t="s">
        <v>31389</v>
      </c>
      <c r="C24940" s="5" t="str">
        <f>IFERROR(__xludf.DUMMYFUNCTION("GOOGLETRANSLATE(B24940,""en"",""zh-CN"")"),"刷子亲眼看到刷子。")</f>
        <v>刷子亲眼看到刷子。</v>
      </c>
    </row>
    <row r="24941">
      <c r="A24941" s="4" t="s">
        <v>31387</v>
      </c>
      <c r="B24941" s="4" t="s">
        <v>31390</v>
      </c>
      <c r="C24941" s="5" t="str">
        <f>IFERROR(__xludf.DUMMYFUNCTION("GOOGLETRANSLATE(B24941,""en"",""zh-CN"")"),"美容师握住刷子以查看刷子。")</f>
        <v>美容师握住刷子以查看刷子。</v>
      </c>
    </row>
    <row r="24942">
      <c r="A24942" s="4" t="s">
        <v>31387</v>
      </c>
      <c r="B24942" s="4" t="s">
        <v>31391</v>
      </c>
      <c r="C24942" s="5" t="str">
        <f>IFERROR(__xludf.DUMMYFUNCTION("GOOGLETRANSLATE(B24942,""en"",""zh-CN"")"),"美容师将头发从刷子上取下，并将其放入一堆。")</f>
        <v>美容师将头发从刷子上取下，并将其放入一堆。</v>
      </c>
    </row>
    <row r="24943">
      <c r="A24943" s="4" t="s">
        <v>31392</v>
      </c>
      <c r="B24943" s="4" t="s">
        <v>31393</v>
      </c>
      <c r="C24943" s="5" t="str">
        <f>IFERROR(__xludf.DUMMYFUNCTION("GOOGLETRANSLATE(B24943,""en"",""zh-CN"")"),"一个人站在一个小屋顶旁边。")</f>
        <v>一个人站在一个小屋顶旁边。</v>
      </c>
    </row>
    <row r="24944">
      <c r="A24944" s="4" t="s">
        <v>31392</v>
      </c>
      <c r="B24944" s="4" t="s">
        <v>31394</v>
      </c>
      <c r="C24944" s="5" t="str">
        <f>IFERROR(__xludf.DUMMYFUNCTION("GOOGLETRANSLATE(B24944,""en"",""zh-CN"")"),"他拿出一块金属。")</f>
        <v>他拿出一块金属。</v>
      </c>
    </row>
    <row r="24945">
      <c r="A24945" s="4" t="s">
        <v>31392</v>
      </c>
      <c r="B24945" s="4" t="s">
        <v>31395</v>
      </c>
      <c r="C24945" s="5" t="str">
        <f>IFERROR(__xludf.DUMMYFUNCTION("GOOGLETRANSLATE(B24945,""en"",""zh-CN"")"),"他将金属放在屋顶的侧面。")</f>
        <v>他将金属放在屋顶的侧面。</v>
      </c>
    </row>
    <row r="24946">
      <c r="A24946" s="4" t="s">
        <v>31392</v>
      </c>
      <c r="B24946" s="4" t="s">
        <v>31396</v>
      </c>
      <c r="C24946" s="5" t="str">
        <f>IFERROR(__xludf.DUMMYFUNCTION("GOOGLETRANSLATE(B24946,""en"",""zh-CN"")"),"他牢固地固定了碎片。")</f>
        <v>他牢固地固定了碎片。</v>
      </c>
    </row>
    <row r="24947">
      <c r="A24947" s="4" t="s">
        <v>31397</v>
      </c>
      <c r="B24947" s="4" t="s">
        <v>31398</v>
      </c>
      <c r="C24947" s="5" t="str">
        <f>IFERROR(__xludf.DUMMYFUNCTION("GOOGLETRANSLATE(B24947,""en"",""zh-CN"")"),"显示了一个人的脸，还显示了开车和布置冲浪板玩具。")</f>
        <v>显示了一个人的脸，还显示了开车和布置冲浪板玩具。</v>
      </c>
    </row>
    <row r="24948">
      <c r="A24948" s="4" t="s">
        <v>31397</v>
      </c>
      <c r="B24948" s="6" t="s">
        <v>31399</v>
      </c>
      <c r="C24948" s="5" t="str">
        <f>IFERROR(__xludf.DUMMYFUNCTION("GOOGLETRANSLATE(B24948,""en"",""zh-CN"")"),"该男子沿着水控制机器，进行跳跃，窍门并与相机交谈。")</f>
        <v>该男子沿着水控制机器，进行跳跃，窍门并与相机交谈。</v>
      </c>
    </row>
    <row r="24949">
      <c r="A24949" s="4" t="s">
        <v>31400</v>
      </c>
      <c r="B24949" s="4" t="s">
        <v>31401</v>
      </c>
      <c r="C24949" s="5" t="str">
        <f>IFERROR(__xludf.DUMMYFUNCTION("GOOGLETRANSLATE(B24949,""en"",""zh-CN"")"),"显示了房间中的火地方。")</f>
        <v>显示了房间中的火地方。</v>
      </c>
    </row>
    <row r="24950">
      <c r="A24950" s="4" t="s">
        <v>31400</v>
      </c>
      <c r="B24950" s="4" t="s">
        <v>31402</v>
      </c>
      <c r="C24950" s="5" t="str">
        <f>IFERROR(__xludf.DUMMYFUNCTION("GOOGLETRANSLATE(B24950,""en"",""zh-CN"")"),"显示房屋上的窗户。")</f>
        <v>显示房屋上的窗户。</v>
      </c>
    </row>
    <row r="24951">
      <c r="A24951" s="4" t="s">
        <v>31400</v>
      </c>
      <c r="B24951" s="4" t="s">
        <v>31403</v>
      </c>
      <c r="C24951" s="5" t="str">
        <f>IFERROR(__xludf.DUMMYFUNCTION("GOOGLETRANSLATE(B24951,""en"",""zh-CN"")"),"显示了房屋中的硬木地板。")</f>
        <v>显示了房屋中的硬木地板。</v>
      </c>
    </row>
    <row r="24952">
      <c r="A24952" s="4" t="s">
        <v>31400</v>
      </c>
      <c r="B24952" s="4" t="s">
        <v>31404</v>
      </c>
      <c r="C24952" s="5" t="str">
        <f>IFERROR(__xludf.DUMMYFUNCTION("GOOGLETRANSLATE(B24952,""en"",""zh-CN"")"),"地板上有油漆罐。")</f>
        <v>地板上有油漆罐。</v>
      </c>
    </row>
    <row r="24953">
      <c r="A24953" s="4" t="s">
        <v>31405</v>
      </c>
      <c r="B24953" s="4" t="s">
        <v>31406</v>
      </c>
      <c r="C24953" s="5" t="str">
        <f>IFERROR(__xludf.DUMMYFUNCTION("GOOGLETRANSLATE(B24953,""en"",""zh-CN"")"),"一个女人把手放在桌子上，用一些洗衣服拿起修指甲。")</f>
        <v>一个女人把手放在桌子上，用一些洗衣服拿起修指甲。</v>
      </c>
    </row>
    <row r="24954">
      <c r="A24954" s="4" t="s">
        <v>31405</v>
      </c>
      <c r="B24954" s="6" t="s">
        <v>31407</v>
      </c>
      <c r="C24954" s="5" t="str">
        <f>IFERROR(__xludf.DUMMYFUNCTION("GOOGLETRANSLATE(B24954,""en"",""zh-CN"")"),"美甲师在指甲上放了一些玻璃透明的指甲油，然后捡起一袋红色的闪光。")</f>
        <v>美甲师在指甲上放了一些玻璃透明的指甲油，然后捡起一袋红色的闪光。</v>
      </c>
    </row>
    <row r="24955">
      <c r="A24955" s="4" t="s">
        <v>31405</v>
      </c>
      <c r="B24955" s="4" t="s">
        <v>31408</v>
      </c>
      <c r="C24955" s="5" t="str">
        <f>IFERROR(__xludf.DUMMYFUNCTION("GOOGLETRANSLATE(B24955,""en"",""zh-CN"")"),"美甲师开始放置一些有趣的装饰品，使指甲看起来很漂亮。")</f>
        <v>美甲师开始放置一些有趣的装饰品，使指甲看起来很漂亮。</v>
      </c>
    </row>
    <row r="24956">
      <c r="A24956" s="4" t="s">
        <v>31405</v>
      </c>
      <c r="B24956" s="4" t="s">
        <v>31409</v>
      </c>
      <c r="C24956" s="5" t="str">
        <f>IFERROR(__xludf.DUMMYFUNCTION("GOOGLETRANSLATE(B24956,""en"",""zh-CN"")"),"然后她得到了粘糊糊的东西，并用它越过钉子，以防止他们脱落。")</f>
        <v>然后她得到了粘糊糊的东西，并用它越过钉子，以防止他们脱落。</v>
      </c>
    </row>
    <row r="24957">
      <c r="A24957" s="4" t="s">
        <v>31410</v>
      </c>
      <c r="B24957" s="4" t="s">
        <v>31411</v>
      </c>
      <c r="C24957" s="5" t="str">
        <f>IFERROR(__xludf.DUMMYFUNCTION("GOOGLETRANSLATE(B24957,""en"",""zh-CN"")"),"一大批女孩走进拿着酒吧的框架，然后将酒吧放在地面上。")</f>
        <v>一大批女孩走进拿着酒吧的框架，然后将酒吧放在地面上。</v>
      </c>
    </row>
    <row r="24958">
      <c r="A24958" s="4" t="s">
        <v>31410</v>
      </c>
      <c r="B24958" s="6" t="s">
        <v>31412</v>
      </c>
      <c r="C24958" s="5" t="str">
        <f>IFERROR(__xludf.DUMMYFUNCTION("GOOGLETRANSLATE(B24958,""en"",""zh-CN"")"),"然后，女孩们表演舞蹈常规，将酒吧四处移动，并以姿势和舞台走下去。")</f>
        <v>然后，女孩们表演舞蹈常规，将酒吧四处移动，并以姿势和舞台走下去。</v>
      </c>
    </row>
    <row r="24959">
      <c r="A24959" s="4" t="s">
        <v>31413</v>
      </c>
      <c r="B24959" s="6" t="s">
        <v>31414</v>
      </c>
      <c r="C24959" s="5" t="str">
        <f>IFERROR(__xludf.DUMMYFUNCTION("GOOGLETRANSLATE(B24959,""en"",""zh-CN"")"),"有一个男人戴着帽子和一件米色的彩色衬衫，站在河的河岸上演奏他的口琴。")</f>
        <v>有一个男人戴着帽子和一件米色的彩色衬衫，站在河的河岸上演奏他的口琴。</v>
      </c>
    </row>
    <row r="24960">
      <c r="A24960" s="4" t="s">
        <v>31413</v>
      </c>
      <c r="B24960" s="4" t="s">
        <v>31415</v>
      </c>
      <c r="C24960" s="5" t="str">
        <f>IFERROR(__xludf.DUMMYFUNCTION("GOOGLETRANSLATE(B24960,""en"",""zh-CN"")"),"他身后还有一条河。")</f>
        <v>他身后还有一条河。</v>
      </c>
    </row>
    <row r="24961">
      <c r="A24961" s="4" t="s">
        <v>31413</v>
      </c>
      <c r="B24961" s="4" t="s">
        <v>31416</v>
      </c>
      <c r="C24961" s="5" t="str">
        <f>IFERROR(__xludf.DUMMYFUNCTION("GOOGLETRANSLATE(B24961,""en"",""zh-CN"")"),"他继续扮演口琴以舒缓的曲调。")</f>
        <v>他继续扮演口琴以舒缓的曲调。</v>
      </c>
    </row>
    <row r="24962">
      <c r="A24962" s="4" t="s">
        <v>31413</v>
      </c>
      <c r="B24962" s="4" t="s">
        <v>31417</v>
      </c>
      <c r="C24962" s="5" t="str">
        <f>IFERROR(__xludf.DUMMYFUNCTION("GOOGLETRANSLATE(B24962,""en"",""zh-CN"")"),"停止比赛后，他把手放下了。")</f>
        <v>停止比赛后，他把手放下了。</v>
      </c>
    </row>
    <row r="24963">
      <c r="A24963" s="4" t="s">
        <v>31418</v>
      </c>
      <c r="B24963" s="4" t="s">
        <v>31419</v>
      </c>
      <c r="C24963" s="5" t="str">
        <f>IFERROR(__xludf.DUMMYFUNCTION("GOOGLETRANSLATE(B24963,""en"",""zh-CN"")"),"一个女人解开一双鞋子，直到一半并抬起舌头。")</f>
        <v>一个女人解开一双鞋子，直到一半并抬起舌头。</v>
      </c>
    </row>
    <row r="24964">
      <c r="A24964" s="4" t="s">
        <v>31418</v>
      </c>
      <c r="B24964" s="4" t="s">
        <v>31420</v>
      </c>
      <c r="C24964" s="5" t="str">
        <f>IFERROR(__xludf.DUMMYFUNCTION("GOOGLETRANSLATE(B24964,""en"",""zh-CN"")"),"然后，女人踩着脚，将鞋子绑在舌头后面。")</f>
        <v>然后，女人踩着脚，将鞋子绑在舌头后面。</v>
      </c>
    </row>
    <row r="24965">
      <c r="A24965" s="4" t="s">
        <v>31418</v>
      </c>
      <c r="B24965" s="4" t="s">
        <v>31421</v>
      </c>
      <c r="C24965" s="5" t="str">
        <f>IFERROR(__xludf.DUMMYFUNCTION("GOOGLETRANSLATE(B24965,""en"",""zh-CN"")"),"然后，那个人放另一只脚并系鞋，然后她抬起舌头。")</f>
        <v>然后，那个人放另一只脚并系鞋，然后她抬起舌头。</v>
      </c>
    </row>
    <row r="24966">
      <c r="A24966" s="4" t="s">
        <v>31418</v>
      </c>
      <c r="B24966" s="4" t="s">
        <v>31422</v>
      </c>
      <c r="C24966" s="5" t="str">
        <f>IFERROR(__xludf.DUMMYFUNCTION("GOOGLETRANSLATE(B24966,""en"",""zh-CN"")"),"女人说话并展示她的鞋子和瘦裤子。")</f>
        <v>女人说话并展示她的鞋子和瘦裤子。</v>
      </c>
    </row>
    <row r="24967">
      <c r="A24967" s="4" t="s">
        <v>31423</v>
      </c>
      <c r="B24967" s="6" t="s">
        <v>31424</v>
      </c>
      <c r="C24967" s="5" t="str">
        <f>IFERROR(__xludf.DUMMYFUNCTION("GOOGLETRANSLATE(B24967,""en"",""zh-CN"")"),"看到一个女人和一个大男人一起走进一个坑，然后开始彼此奔跑。")</f>
        <v>看到一个女人和一个大男人一起走进一个坑，然后开始彼此奔跑。</v>
      </c>
    </row>
    <row r="24968">
      <c r="A24968" s="4" t="s">
        <v>31423</v>
      </c>
      <c r="B24968" s="6" t="s">
        <v>31425</v>
      </c>
      <c r="C24968" s="5" t="str">
        <f>IFERROR(__xludf.DUMMYFUNCTION("GOOGLETRANSLATE(B24968,""en"",""zh-CN"")"),"然后，那个女人在男人旋转时爬上男人的顶部，然后将他置于头锁。")</f>
        <v>然后，那个女人在男人旋转时爬上男人的顶部，然后将他置于头锁。</v>
      </c>
    </row>
    <row r="24969">
      <c r="A24969" s="4" t="s">
        <v>31423</v>
      </c>
      <c r="B24969" s="4" t="s">
        <v>31426</v>
      </c>
      <c r="C24969" s="5" t="str">
        <f>IFERROR(__xludf.DUMMYFUNCTION("GOOGLETRANSLATE(B24969,""en"",""zh-CN"")"),"两人互相鞠躬，女人站在主人旁边握手。")</f>
        <v>两人互相鞠躬，女人站在主人旁边握手。</v>
      </c>
    </row>
    <row r="24970">
      <c r="A24970" s="4" t="s">
        <v>31427</v>
      </c>
      <c r="B24970" s="4" t="s">
        <v>31428</v>
      </c>
      <c r="C24970" s="5" t="str">
        <f>IFERROR(__xludf.DUMMYFUNCTION("GOOGLETRANSLATE(B24970,""en"",""zh-CN"")"),"有几个人聚集在一个户外体育馆里。")</f>
        <v>有几个人聚集在一个户外体育馆里。</v>
      </c>
    </row>
    <row r="24971">
      <c r="A24971" s="4" t="s">
        <v>31427</v>
      </c>
      <c r="B24971" s="6" t="s">
        <v>31429</v>
      </c>
      <c r="C24971" s="5" t="str">
        <f>IFERROR(__xludf.DUMMYFUNCTION("GOOGLETRANSLATE(B24971,""en"",""zh-CN"")"),"有些人站在看台上，看着大约十二个乐队的学生表演。")</f>
        <v>有些人站在看台上，看着大约十二个乐队的学生表演。</v>
      </c>
    </row>
    <row r="24972">
      <c r="A24972" s="4" t="s">
        <v>31427</v>
      </c>
      <c r="B24972" s="4" t="s">
        <v>31430</v>
      </c>
      <c r="C24972" s="5" t="str">
        <f>IFERROR(__xludf.DUMMYFUNCTION("GOOGLETRANSLATE(B24972,""en"",""zh-CN"")"),"大多数演奏者都在节奏乐曲中打击打击乐器。")</f>
        <v>大多数演奏者都在节奏乐曲中打击打击乐器。</v>
      </c>
    </row>
    <row r="24973">
      <c r="A24973" s="4" t="s">
        <v>31427</v>
      </c>
      <c r="B24973" s="4" t="s">
        <v>31431</v>
      </c>
      <c r="C24973" s="5" t="str">
        <f>IFERROR(__xludf.DUMMYFUNCTION("GOOGLETRANSLATE(B24973,""en"",""zh-CN"")"),"打击乐器玩家在演奏乐器时开始绕圈。")</f>
        <v>打击乐器玩家在演奏乐器时开始绕圈。</v>
      </c>
    </row>
    <row r="24974">
      <c r="A24974" s="4" t="s">
        <v>31432</v>
      </c>
      <c r="B24974" s="4" t="s">
        <v>31433</v>
      </c>
      <c r="C24974" s="5" t="str">
        <f>IFERROR(__xludf.DUMMYFUNCTION("GOOGLETRANSLATE(B24974,""en"",""zh-CN"")"),"看到吉他的近距离，手动拔出了弦。")</f>
        <v>看到吉他的近距离，手动拔出了弦。</v>
      </c>
    </row>
    <row r="24975">
      <c r="A24975" s="4" t="s">
        <v>31432</v>
      </c>
      <c r="B24975" s="4" t="s">
        <v>31434</v>
      </c>
      <c r="C24975" s="5" t="str">
        <f>IFERROR(__xludf.DUMMYFUNCTION("GOOGLETRANSLATE(B24975,""en"",""zh-CN"")"),"然后看到一个男人在仍弹吉他的同时唱歌到麦克风中。")</f>
        <v>然后看到一个男人在仍弹吉他的同时唱歌到麦克风中。</v>
      </c>
    </row>
    <row r="24976">
      <c r="A24976" s="4" t="s">
        <v>31432</v>
      </c>
      <c r="B24976" s="4" t="s">
        <v>31435</v>
      </c>
      <c r="C24976" s="5" t="str">
        <f>IFERROR(__xludf.DUMMYFUNCTION("GOOGLETRANSLATE(B24976,""en"",""zh-CN"")"),"该名男子在吉他上上下移动手指，同时仍在麦克风中唱歌。")</f>
        <v>该名男子在吉他上上下移动手指，同时仍在麦克风中唱歌。</v>
      </c>
    </row>
    <row r="24977">
      <c r="A24977" s="4" t="s">
        <v>31436</v>
      </c>
      <c r="B24977" s="4" t="s">
        <v>31437</v>
      </c>
      <c r="C24977" s="5" t="str">
        <f>IFERROR(__xludf.DUMMYFUNCTION("GOOGLETRANSLATE(B24977,""en"",""zh-CN"")"),"男人站在大田地里拉厚的绳子。")</f>
        <v>男人站在大田地里拉厚的绳子。</v>
      </c>
    </row>
    <row r="24978">
      <c r="A24978" s="4" t="s">
        <v>31436</v>
      </c>
      <c r="B24978" s="4" t="s">
        <v>31438</v>
      </c>
      <c r="C24978" s="5" t="str">
        <f>IFERROR(__xludf.DUMMYFUNCTION("GOOGLETRANSLATE(B24978,""en"",""zh-CN"")"),"人们在绳子的侧面行走，并准备自己拉绳子。")</f>
        <v>人们在绳子的侧面行走，并准备自己拉绳子。</v>
      </c>
    </row>
    <row r="24979">
      <c r="A24979" s="4" t="s">
        <v>31436</v>
      </c>
      <c r="B24979" s="4" t="s">
        <v>31439</v>
      </c>
      <c r="C24979" s="5" t="str">
        <f>IFERROR(__xludf.DUMMYFUNCTION("GOOGLETRANSLATE(B24979,""en"",""zh-CN"")"),"男人开始在两侧的绳子上开始卢普尼格。")</f>
        <v>男人开始在两侧的绳子上开始卢普尼格。</v>
      </c>
    </row>
    <row r="24980">
      <c r="A24980" s="4" t="s">
        <v>31440</v>
      </c>
      <c r="B24980" s="4" t="s">
        <v>31441</v>
      </c>
      <c r="C24980" s="5" t="str">
        <f>IFERROR(__xludf.DUMMYFUNCTION("GOOGLETRANSLATE(B24980,""en"",""zh-CN"")"),"一个人正在炫耀擦洗刷和清洁剂，然后将清理倒入水槽中。")</f>
        <v>一个人正在炫耀擦洗刷和清洁剂，然后将清理倒入水槽中。</v>
      </c>
    </row>
    <row r="24981">
      <c r="A24981" s="4" t="s">
        <v>31440</v>
      </c>
      <c r="B24981" s="4" t="s">
        <v>31442</v>
      </c>
      <c r="C24981" s="5" t="str">
        <f>IFERROR(__xludf.DUMMYFUNCTION("GOOGLETRANSLATE(B24981,""en"",""zh-CN"")"),"他用刷子擦洗水槽，在刻面运行时在水中产生泡沫。")</f>
        <v>他用刷子擦洗水槽，在刻面运行时在水中产生泡沫。</v>
      </c>
    </row>
    <row r="24982">
      <c r="A24982" s="4" t="s">
        <v>31440</v>
      </c>
      <c r="B24982" s="4" t="s">
        <v>31443</v>
      </c>
      <c r="C24982" s="5" t="str">
        <f>IFERROR(__xludf.DUMMYFUNCTION("GOOGLETRANSLATE(B24982,""en"",""zh-CN"")"),"他继续用刷子擦洗水槽，直到水槽干净。")</f>
        <v>他继续用刷子擦洗水槽，直到水槽干净。</v>
      </c>
    </row>
    <row r="24983">
      <c r="A24983" s="4" t="s">
        <v>31440</v>
      </c>
      <c r="B24983" s="4" t="s">
        <v>31444</v>
      </c>
      <c r="C24983" s="5" t="str">
        <f>IFERROR(__xludf.DUMMYFUNCTION("GOOGLETRANSLATE(B24983,""en"",""zh-CN"")"),"他用水继续运转，擦拭水槽周围的纸巾。")</f>
        <v>他用水继续运转，擦拭水槽周围的纸巾。</v>
      </c>
    </row>
    <row r="24984">
      <c r="A24984" s="4" t="s">
        <v>31445</v>
      </c>
      <c r="B24984" s="4" t="s">
        <v>31446</v>
      </c>
      <c r="C24984" s="5" t="str">
        <f>IFERROR(__xludf.DUMMYFUNCTION("GOOGLETRANSLATE(B24984,""en"",""zh-CN"")"),"一个人在外面弹吉他。")</f>
        <v>一个人在外面弹吉他。</v>
      </c>
    </row>
    <row r="24985">
      <c r="A24985" s="4" t="s">
        <v>31445</v>
      </c>
      <c r="B24985" s="4" t="s">
        <v>31447</v>
      </c>
      <c r="C24985" s="5" t="str">
        <f>IFERROR(__xludf.DUMMYFUNCTION("GOOGLETRANSLATE(B24985,""en"",""zh-CN"")"),"一个男孩骑着踏板车。")</f>
        <v>一个男孩骑着踏板车。</v>
      </c>
    </row>
    <row r="24986">
      <c r="A24986" s="4" t="s">
        <v>31445</v>
      </c>
      <c r="B24986" s="4" t="s">
        <v>31448</v>
      </c>
      <c r="C24986" s="5" t="str">
        <f>IFERROR(__xludf.DUMMYFUNCTION("GOOGLETRANSLATE(B24986,""en"",""zh-CN"")"),"一个孩子滑下滑梯。")</f>
        <v>一个孩子滑下滑梯。</v>
      </c>
    </row>
    <row r="24987">
      <c r="A24987" s="4" t="s">
        <v>31445</v>
      </c>
      <c r="B24987" s="4" t="s">
        <v>31449</v>
      </c>
      <c r="C24987" s="5" t="str">
        <f>IFERROR(__xludf.DUMMYFUNCTION("GOOGLETRANSLATE(B24987,""en"",""zh-CN"")"),"儿童和成人站立。")</f>
        <v>儿童和成人站立。</v>
      </c>
    </row>
    <row r="24988">
      <c r="A24988" s="4" t="s">
        <v>31445</v>
      </c>
      <c r="B24988" s="4" t="s">
        <v>31450</v>
      </c>
      <c r="C24988" s="5" t="str">
        <f>IFERROR(__xludf.DUMMYFUNCTION("GOOGLETRANSLATE(B24988,""en"",""zh-CN"")"),"这个男孩走向界线。")</f>
        <v>这个男孩走向界线。</v>
      </c>
    </row>
    <row r="24989">
      <c r="A24989" s="4" t="s">
        <v>31451</v>
      </c>
      <c r="B24989" s="4" t="s">
        <v>31452</v>
      </c>
      <c r="C24989" s="5" t="str">
        <f>IFERROR(__xludf.DUMMYFUNCTION("GOOGLETRANSLATE(B24989,""en"",""zh-CN"")"),"一位穿着UCA球衣的女士正在为Dece Leading的不同动作提供教程。")</f>
        <v>一位穿着UCA球衣的女士正在为Dece Leading的不同动作提供教程。</v>
      </c>
    </row>
    <row r="24990">
      <c r="A24990" s="4" t="s">
        <v>31451</v>
      </c>
      <c r="B24990" s="6" t="s">
        <v>31453</v>
      </c>
      <c r="C24990" s="5" t="str">
        <f>IFERROR(__xludf.DUMMYFUNCTION("GOOGLETRANSLATE(B24990,""en"",""zh-CN"")"),"当她讲话时，几位啦啦队表现出不同的姿势和伸展运动，这些姿势和伸展运动通常由啦啦队长以提高灵活性。")</f>
        <v>当她讲话时，几位啦啦队表现出不同的姿势和伸展运动，这些姿势和伸展运动通常由啦啦队长以提高灵活性。</v>
      </c>
    </row>
    <row r="24991">
      <c r="A24991" s="4" t="s">
        <v>31451</v>
      </c>
      <c r="B24991" s="6" t="s">
        <v>31454</v>
      </c>
      <c r="C24991" s="5" t="str">
        <f>IFERROR(__xludf.DUMMYFUNCTION("GOOGLETRANSLATE(B24991,""en"",""zh-CN"")"),"这位女士继续解释某些姿势如何有助于改善啦啦队的一般灵活性。")</f>
        <v>这位女士继续解释某些姿势如何有助于改善啦啦队的一般灵活性。</v>
      </c>
    </row>
    <row r="24992">
      <c r="A24992" s="4" t="s">
        <v>31455</v>
      </c>
      <c r="B24992" s="4" t="s">
        <v>31456</v>
      </c>
      <c r="C24992" s="5" t="str">
        <f>IFERROR(__xludf.DUMMYFUNCTION("GOOGLETRANSLATE(B24992,""en"",""zh-CN"")"),"一群骑自行车的人站在起跑线上。")</f>
        <v>一群骑自行车的人站在起跑线上。</v>
      </c>
    </row>
    <row r="24993">
      <c r="A24993" s="4" t="s">
        <v>31455</v>
      </c>
      <c r="B24993" s="4" t="s">
        <v>31457</v>
      </c>
      <c r="C24993" s="5" t="str">
        <f>IFERROR(__xludf.DUMMYFUNCTION("GOOGLETRANSLATE(B24993,""en"",""zh-CN"")"),"突然，所有的自行车都从舞台上掉下来。")</f>
        <v>突然，所有的自行车都从舞台上掉下来。</v>
      </c>
    </row>
    <row r="24994">
      <c r="A24994" s="4" t="s">
        <v>31455</v>
      </c>
      <c r="B24994" s="4" t="s">
        <v>31458</v>
      </c>
      <c r="C24994" s="5" t="str">
        <f>IFERROR(__xludf.DUMMYFUNCTION("GOOGLETRANSLATE(B24994,""en"",""zh-CN"")"),"骑自行车的人倒塌的场景重复了几次。")</f>
        <v>骑自行车的人倒塌的场景重复了几次。</v>
      </c>
    </row>
    <row r="24995">
      <c r="A24995" s="4" t="s">
        <v>31459</v>
      </c>
      <c r="B24995" s="4" t="s">
        <v>31460</v>
      </c>
      <c r="C24995" s="5" t="str">
        <f>IFERROR(__xludf.DUMMYFUNCTION("GOOGLETRANSLATE(B24995,""en"",""zh-CN"")"),"该视频沿着白雪皑皑的坡度拍摄。")</f>
        <v>该视频沿着白雪皑皑的坡度拍摄。</v>
      </c>
    </row>
    <row r="24996">
      <c r="A24996" s="4" t="s">
        <v>31459</v>
      </c>
      <c r="B24996" s="4" t="s">
        <v>31461</v>
      </c>
      <c r="C24996" s="5" t="str">
        <f>IFERROR(__xludf.DUMMYFUNCTION("GOOGLETRANSLATE(B24996,""en"",""zh-CN"")"),"该人从斜坡的顶部开始，骑着管。")</f>
        <v>该人从斜坡的顶部开始，骑着管。</v>
      </c>
    </row>
    <row r="24997">
      <c r="A24997" s="4" t="s">
        <v>31459</v>
      </c>
      <c r="B24997" s="4" t="s">
        <v>31462</v>
      </c>
      <c r="C24997" s="5" t="str">
        <f>IFERROR(__xludf.DUMMYFUNCTION("GOOGLETRANSLATE(B24997,""en"",""zh-CN"")"),"他们迅速滑下来，穿过雪道。")</f>
        <v>他们迅速滑下来，穿过雪道。</v>
      </c>
    </row>
    <row r="24998">
      <c r="A24998" s="4" t="s">
        <v>31459</v>
      </c>
      <c r="B24998" s="4" t="s">
        <v>31463</v>
      </c>
      <c r="C24998" s="5" t="str">
        <f>IFERROR(__xludf.DUMMYFUNCTION("GOOGLETRANSLATE(B24998,""en"",""zh-CN"")"),"在底部，一大堆管阻止了该人进一步滑动。")</f>
        <v>在底部，一大堆管阻止了该人进一步滑动。</v>
      </c>
    </row>
    <row r="24999">
      <c r="A24999" s="4" t="s">
        <v>31459</v>
      </c>
      <c r="B24999" s="4" t="s">
        <v>31464</v>
      </c>
      <c r="C24999" s="5" t="str">
        <f>IFERROR(__xludf.DUMMYFUNCTION("GOOGLETRANSLATE(B24999,""en"",""zh-CN"")"),"摄像头锅锅给另一组也从斜坡上滑下来的人。")</f>
        <v>摄像头锅锅给另一组也从斜坡上滑下来的人。</v>
      </c>
    </row>
    <row r="25000">
      <c r="A25000" s="4" t="s">
        <v>31465</v>
      </c>
      <c r="B25000" s="4" t="s">
        <v>31466</v>
      </c>
      <c r="C25000" s="5" t="str">
        <f>IFERROR(__xludf.DUMMYFUNCTION("GOOGLETRANSLATE(B25000,""en"",""zh-CN"")"),"一个穿着黑色衬衫的男人在周围旋转，将球扔到田野上。")</f>
        <v>一个穿着黑色衬衫的男人在周围旋转，将球扔到田野上。</v>
      </c>
    </row>
    <row r="25001">
      <c r="A25001" s="4" t="s">
        <v>31465</v>
      </c>
      <c r="B25001" s="4" t="s">
        <v>31467</v>
      </c>
      <c r="C25001" s="5" t="str">
        <f>IFERROR(__xludf.DUMMYFUNCTION("GOOGLETRANSLATE(B25001,""en"",""zh-CN"")"),"一个人在看台上为他鼓掌。")</f>
        <v>一个人在看台上为他鼓掌。</v>
      </c>
    </row>
    <row r="25002">
      <c r="A25002" s="4" t="s">
        <v>31465</v>
      </c>
      <c r="B25002" s="4" t="s">
        <v>31468</v>
      </c>
      <c r="C25002" s="5" t="str">
        <f>IFERROR(__xludf.DUMMYFUNCTION("GOOGLETRANSLATE(B25002,""en"",""zh-CN"")"),"另一个人旋转并把球扔到田野上。")</f>
        <v>另一个人旋转并把球扔到田野上。</v>
      </c>
    </row>
    <row r="25003">
      <c r="A25003" s="4" t="s">
        <v>31469</v>
      </c>
      <c r="B25003" s="4" t="s">
        <v>31470</v>
      </c>
      <c r="C25003" s="5" t="str">
        <f>IFERROR(__xludf.DUMMYFUNCTION("GOOGLETRANSLATE(B25003,""en"",""zh-CN"")"),"女人在舞台上弹吉他。")</f>
        <v>女人在舞台上弹吉他。</v>
      </c>
    </row>
    <row r="25004">
      <c r="A25004" s="4" t="s">
        <v>31469</v>
      </c>
      <c r="B25004" s="4" t="s">
        <v>31471</v>
      </c>
      <c r="C25004" s="5" t="str">
        <f>IFERROR(__xludf.DUMMYFUNCTION("GOOGLETRANSLATE(B25004,""en"",""zh-CN"")"),"女士在麦克风中唱歌。")</f>
        <v>女士在麦克风中唱歌。</v>
      </c>
    </row>
    <row r="25005">
      <c r="A25005" s="4" t="s">
        <v>31469</v>
      </c>
      <c r="B25005" s="4" t="s">
        <v>31472</v>
      </c>
      <c r="C25005" s="5" t="str">
        <f>IFERROR(__xludf.DUMMYFUNCTION("GOOGLETRANSLATE(B25005,""en"",""zh-CN"")"),"这位女士从唱歌中休息一下。")</f>
        <v>这位女士从唱歌中休息一下。</v>
      </c>
    </row>
    <row r="25006">
      <c r="A25006" s="4" t="s">
        <v>31469</v>
      </c>
      <c r="B25006" s="4" t="s">
        <v>31473</v>
      </c>
      <c r="C25006" s="5" t="str">
        <f>IFERROR(__xludf.DUMMYFUNCTION("GOOGLETRANSLATE(B25006,""en"",""zh-CN"")"),"那位女士开始唱歌。")</f>
        <v>那位女士开始唱歌。</v>
      </c>
    </row>
    <row r="25007">
      <c r="A25007" s="4" t="s">
        <v>31469</v>
      </c>
      <c r="B25007" s="4" t="s">
        <v>31474</v>
      </c>
      <c r="C25007" s="5" t="str">
        <f>IFERROR(__xludf.DUMMYFUNCTION("GOOGLETRANSLATE(B25007,""en"",""zh-CN"")"),"女士停止唱歌，然后回到麦克风。")</f>
        <v>女士停止唱歌，然后回到麦克风。</v>
      </c>
    </row>
    <row r="25008">
      <c r="A25008" s="4" t="s">
        <v>31475</v>
      </c>
      <c r="B25008" s="4" t="s">
        <v>31476</v>
      </c>
      <c r="C25008" s="5" t="str">
        <f>IFERROR(__xludf.DUMMYFUNCTION("GOOGLETRANSLATE(B25008,""en"",""zh-CN"")"),"一位穿着粉红色紧身连衣裤的年轻女士开始在一个大舞台上腾跃。")</f>
        <v>一位穿着粉红色紧身连衣裤的年轻女士开始在一个大舞台上腾跃。</v>
      </c>
    </row>
    <row r="25009">
      <c r="A25009" s="4" t="s">
        <v>31475</v>
      </c>
      <c r="B25009" s="6" t="s">
        <v>31477</v>
      </c>
      <c r="C25009" s="5" t="str">
        <f>IFERROR(__xludf.DUMMYFUNCTION("GOOGLETRANSLATE(B25009,""en"",""zh-CN"")"),"当她继续例行工作时，她继续做芭蕾舞跳跃，挥舞着手臂，像芭蕾舞演员一样扭曲。")</f>
        <v>当她继续例行工作时，她继续做芭蕾舞跳跃，挥舞着手臂，像芭蕾舞演员一样扭曲。</v>
      </c>
    </row>
    <row r="25010">
      <c r="A25010" s="4" t="s">
        <v>31475</v>
      </c>
      <c r="B25010" s="4" t="s">
        <v>31478</v>
      </c>
      <c r="C25010" s="5" t="str">
        <f>IFERROR(__xludf.DUMMYFUNCTION("GOOGLETRANSLATE(B25010,""en"",""zh-CN"")"),"在她的后面，当女孩微笑着向人群看时，她的一座城堡出现在墙上。")</f>
        <v>在她的后面，当女孩微笑着向人群看时，她的一座城堡出现在墙上。</v>
      </c>
    </row>
    <row r="25011">
      <c r="A25011" s="4" t="s">
        <v>31479</v>
      </c>
      <c r="B25011" s="6" t="s">
        <v>31480</v>
      </c>
      <c r="C25011" s="5" t="str">
        <f>IFERROR(__xludf.DUMMYFUNCTION("GOOGLETRANSLATE(B25011,""en"",""zh-CN"")"),"看到一名运动员走到一组不平衡的酒吧，开始在酒吧进行体操例行。")</f>
        <v>看到一名运动员走到一组不平衡的酒吧，开始在酒吧进行体操例行。</v>
      </c>
    </row>
    <row r="25012">
      <c r="A25012" s="4" t="s">
        <v>31479</v>
      </c>
      <c r="B25012" s="6" t="s">
        <v>31481</v>
      </c>
      <c r="C25012" s="5" t="str">
        <f>IFERROR(__xludf.DUMMYFUNCTION("GOOGLETRANSLATE(B25012,""en"",""zh-CN"")"),"他继续在酒吧和结束时继续四处走动，并以双臂向下跳下来。")</f>
        <v>他继续在酒吧和结束时继续四处走动，并以双臂向下跳下来。</v>
      </c>
    </row>
    <row r="25013">
      <c r="A25013" s="4" t="s">
        <v>31482</v>
      </c>
      <c r="B25013" s="4" t="s">
        <v>31483</v>
      </c>
      <c r="C25013" s="5" t="str">
        <f>IFERROR(__xludf.DUMMYFUNCTION("GOOGLETRANSLATE(B25013,""en"",""zh-CN"")"),"有很多人乘坐小型保险杠汽车，可以适合1或2人。")</f>
        <v>有很多人乘坐小型保险杠汽车，可以适合1或2人。</v>
      </c>
    </row>
    <row r="25014">
      <c r="A25014" s="4" t="s">
        <v>31482</v>
      </c>
      <c r="B25014" s="6" t="s">
        <v>31484</v>
      </c>
      <c r="C25014" s="5" t="str">
        <f>IFERROR(__xludf.DUMMYFUNCTION("GOOGLETRANSLATE(B25014,""en"",""zh-CN"")"),"一个穿着蓝色碰碰车的女人撞到了中金属部分，她似乎卡住了，无法动弹，但突然间她开始再次移动。")</f>
        <v>一个穿着蓝色碰碰车的女人撞到了中金属部分，她似乎卡住了，无法动弹，但突然间她开始再次移动。</v>
      </c>
    </row>
    <row r="25015">
      <c r="A25015" s="4" t="s">
        <v>31482</v>
      </c>
      <c r="B25015" s="6" t="s">
        <v>31485</v>
      </c>
      <c r="C25015" s="5" t="str">
        <f>IFERROR(__xludf.DUMMYFUNCTION("GOOGLETRANSLATE(B25015,""en"",""zh-CN"")"),"在女人再次走后，每个人都继续骑着碰碰车，最终他们都停下来。")</f>
        <v>在女人再次走后，每个人都继续骑着碰碰车，最终他们都停下来。</v>
      </c>
    </row>
    <row r="25016">
      <c r="A25016" s="4" t="s">
        <v>31486</v>
      </c>
      <c r="B25016" s="4" t="s">
        <v>31487</v>
      </c>
      <c r="C25016" s="5" t="str">
        <f>IFERROR(__xludf.DUMMYFUNCTION("GOOGLETRANSLATE(B25016,""en"",""zh-CN"")"),"一个男人慢慢地骑黑马。")</f>
        <v>一个男人慢慢地骑黑马。</v>
      </c>
    </row>
    <row r="25017">
      <c r="A25017" s="4" t="s">
        <v>31486</v>
      </c>
      <c r="B25017" s="6" t="s">
        <v>31488</v>
      </c>
      <c r="C25017" s="5" t="str">
        <f>IFERROR(__xludf.DUMMYFUNCTION("GOOGLETRANSLATE(B25017,""en"",""zh-CN"")"),"人们被证明试图在几个场景中跳围栏，跌落或以断颈速度突破它们。")</f>
        <v>人们被证明试图在几个场景中跳围栏，跌落或以断颈速度突破它们。</v>
      </c>
    </row>
    <row r="25018">
      <c r="A25018" s="4" t="s">
        <v>31486</v>
      </c>
      <c r="B25018" s="4" t="s">
        <v>31489</v>
      </c>
      <c r="C25018" s="5" t="str">
        <f>IFERROR(__xludf.DUMMYFUNCTION("GOOGLETRANSLATE(B25018,""en"",""zh-CN"")"),"当骑手走开时，您认为这很容易吗？出现在屏幕上。")</f>
        <v>当骑手走开时，您认为这很容易吗？出现在屏幕上。</v>
      </c>
    </row>
    <row r="25019">
      <c r="A25019" s="4" t="s">
        <v>31490</v>
      </c>
      <c r="B25019" s="6" t="s">
        <v>31491</v>
      </c>
      <c r="C25019" s="5" t="str">
        <f>IFERROR(__xludf.DUMMYFUNCTION("GOOGLETRANSLATE(B25019,""en"",""zh-CN"")"),"一个人和摄影师之间的摄像头锅，并导致一个坐在鼓组前的男人。")</f>
        <v>一个人和摄影师之间的摄像头锅，并导致一个坐在鼓组前的男人。</v>
      </c>
    </row>
    <row r="25020">
      <c r="A25020" s="4" t="s">
        <v>31490</v>
      </c>
      <c r="B25020" s="4" t="s">
        <v>31492</v>
      </c>
      <c r="C25020" s="5" t="str">
        <f>IFERROR(__xludf.DUMMYFUNCTION("GOOGLETRANSLATE(B25020,""en"",""zh-CN"")"),"然后，男人不断弹鼓，另一个男人走进来唱歌和舞蹈。")</f>
        <v>然后，男人不断弹鼓，另一个男人走进来唱歌和舞蹈。</v>
      </c>
    </row>
    <row r="25021">
      <c r="A25021" s="4" t="s">
        <v>31490</v>
      </c>
      <c r="B25021" s="4" t="s">
        <v>31493</v>
      </c>
      <c r="C25021" s="5" t="str">
        <f>IFERROR(__xludf.DUMMYFUNCTION("GOOGLETRANSLATE(B25021,""en"",""zh-CN"")"),"另一个男人被展示了，然后将其放回鼓手，然后天花板。")</f>
        <v>另一个男人被展示了，然后将其放回鼓手，然后天花板。</v>
      </c>
    </row>
    <row r="25022">
      <c r="A25022" s="4" t="s">
        <v>31494</v>
      </c>
      <c r="B25022" s="4" t="s">
        <v>31495</v>
      </c>
      <c r="C25022" s="5" t="str">
        <f>IFERROR(__xludf.DUMMYFUNCTION("GOOGLETRANSLATE(B25022,""en"",""zh-CN"")"),"几个人在舞室里，一位讲师开始跳舞。")</f>
        <v>几个人在舞室里，一位讲师开始跳舞。</v>
      </c>
    </row>
    <row r="25023">
      <c r="A25023" s="4" t="s">
        <v>31494</v>
      </c>
      <c r="B25023" s="4" t="s">
        <v>31496</v>
      </c>
      <c r="C25023" s="5" t="str">
        <f>IFERROR(__xludf.DUMMYFUNCTION("GOOGLETRANSLATE(B25023,""en"",""zh-CN"")"),"六个人继续从一边跳舞，像牙买加舞一样制作箭。")</f>
        <v>六个人继续从一边跳舞，像牙买加舞一样制作箭。</v>
      </c>
    </row>
    <row r="25024">
      <c r="A25024" s="4" t="s">
        <v>31494</v>
      </c>
      <c r="B25024" s="4" t="s">
        <v>31497</v>
      </c>
      <c r="C25024" s="5" t="str">
        <f>IFERROR(__xludf.DUMMYFUNCTION("GOOGLETRANSLATE(B25024,""en"",""zh-CN"")"),"随着它的继续，重复步骤，并在空中投掷拳头。")</f>
        <v>随着它的继续，重复步骤，并在空中投掷拳头。</v>
      </c>
    </row>
    <row r="25025">
      <c r="A25025" s="4" t="s">
        <v>31498</v>
      </c>
      <c r="B25025" s="4" t="s">
        <v>31499</v>
      </c>
      <c r="C25025" s="5" t="str">
        <f>IFERROR(__xludf.DUMMYFUNCTION("GOOGLETRANSLATE(B25025,""en"",""zh-CN"")"),"一个人在看着冰冷的汽车时说话。")</f>
        <v>一个人在看着冰冷的汽车时说话。</v>
      </c>
    </row>
    <row r="25026">
      <c r="A25026" s="4" t="s">
        <v>31498</v>
      </c>
      <c r="B25026" s="4" t="s">
        <v>31500</v>
      </c>
      <c r="C25026" s="5" t="str">
        <f>IFERROR(__xludf.DUMMYFUNCTION("GOOGLETRANSLATE(B25026,""en"",""zh-CN"")"),"他使用工具将冰从挡风玻璃上刮下来。")</f>
        <v>他使用工具将冰从挡风玻璃上刮下来。</v>
      </c>
    </row>
    <row r="25027">
      <c r="A25027" s="4" t="s">
        <v>31498</v>
      </c>
      <c r="B25027" s="4" t="s">
        <v>31501</v>
      </c>
      <c r="C25027" s="5" t="str">
        <f>IFERROR(__xludf.DUMMYFUNCTION("GOOGLETRANSLATE(B25027,""en"",""zh-CN"")"),"他继续刮擦，直到看到开车为止。")</f>
        <v>他继续刮擦，直到看到开车为止。</v>
      </c>
    </row>
    <row r="25028">
      <c r="A25028" s="4" t="s">
        <v>31502</v>
      </c>
      <c r="B25028" s="4" t="s">
        <v>31503</v>
      </c>
      <c r="C25028" s="5" t="str">
        <f>IFERROR(__xludf.DUMMYFUNCTION("GOOGLETRANSLATE(B25028,""en"",""zh-CN"")"),"屏幕上有烟，灯和单词。")</f>
        <v>屏幕上有烟，灯和单词。</v>
      </c>
    </row>
    <row r="25029">
      <c r="A25029" s="4" t="s">
        <v>31502</v>
      </c>
      <c r="B25029" s="4" t="s">
        <v>31504</v>
      </c>
      <c r="C25029" s="5" t="str">
        <f>IFERROR(__xludf.DUMMYFUNCTION("GOOGLETRANSLATE(B25029,""en"",""zh-CN"")"),"烟在帽子上滚动。")</f>
        <v>烟在帽子上滚动。</v>
      </c>
    </row>
    <row r="25030">
      <c r="A25030" s="4" t="s">
        <v>31502</v>
      </c>
      <c r="B25030" s="4" t="s">
        <v>31505</v>
      </c>
      <c r="C25030" s="5" t="str">
        <f>IFERROR(__xludf.DUMMYFUNCTION("GOOGLETRANSLATE(B25030,""en"",""zh-CN"")"),"一个人正在从鼻子和烟环上吹出烟。")</f>
        <v>一个人正在从鼻子和烟环上吹出烟。</v>
      </c>
    </row>
    <row r="25031">
      <c r="A25031" s="4" t="s">
        <v>31502</v>
      </c>
      <c r="B25031" s="4" t="s">
        <v>31506</v>
      </c>
      <c r="C25031" s="5" t="str">
        <f>IFERROR(__xludf.DUMMYFUNCTION("GOOGLETRANSLATE(B25031,""en"",""zh-CN"")"),"相机倒转，他继续吹烟。")</f>
        <v>相机倒转，他继续吹烟。</v>
      </c>
    </row>
    <row r="25032">
      <c r="A25032" s="4" t="s">
        <v>31502</v>
      </c>
      <c r="B25032" s="4" t="s">
        <v>31507</v>
      </c>
      <c r="C25032" s="5" t="str">
        <f>IFERROR(__xludf.DUMMYFUNCTION("GOOGLETRANSLATE(B25032,""en"",""zh-CN"")"),"所有的话都是紫色的。")</f>
        <v>所有的话都是紫色的。</v>
      </c>
    </row>
    <row r="25033">
      <c r="A25033" s="4" t="s">
        <v>31502</v>
      </c>
      <c r="B25033" s="4" t="s">
        <v>31508</v>
      </c>
      <c r="C25033" s="5" t="str">
        <f>IFERROR(__xludf.DUMMYFUNCTION("GOOGLETRANSLATE(B25033,""en"",""zh-CN"")"),"烟雾继续吹来，贾隆·琼斯（Jarron Jones）编辑的单词出现了。")</f>
        <v>烟雾继续吹来，贾隆·琼斯（Jarron Jones）编辑的单词出现了。</v>
      </c>
    </row>
    <row r="25034">
      <c r="A25034" s="4" t="s">
        <v>31502</v>
      </c>
      <c r="B25034" s="4" t="s">
        <v>31509</v>
      </c>
      <c r="C25034" s="5" t="str">
        <f>IFERROR(__xludf.DUMMYFUNCTION("GOOGLETRANSLATE(B25034,""en"",""zh-CN"")"),"该男子不断向空中吹烟。")</f>
        <v>该男子不断向空中吹烟。</v>
      </c>
    </row>
    <row r="25035">
      <c r="A25035" s="4" t="s">
        <v>31510</v>
      </c>
      <c r="B25035" s="4" t="s">
        <v>31511</v>
      </c>
      <c r="C25035" s="5" t="str">
        <f>IFERROR(__xludf.DUMMYFUNCTION("GOOGLETRANSLATE(B25035,""en"",""zh-CN"")"),"有5个人坐在椅子上演奏手风琴，上面贴着钢琴。")</f>
        <v>有5个人坐在椅子上演奏手风琴，上面贴着钢琴。</v>
      </c>
    </row>
    <row r="25036">
      <c r="A25036" s="4" t="s">
        <v>31510</v>
      </c>
      <c r="B25036" s="4" t="s">
        <v>31512</v>
      </c>
      <c r="C25036" s="5" t="str">
        <f>IFERROR(__xludf.DUMMYFUNCTION("GOOGLETRANSLATE(B25036,""en"",""zh-CN"")"),"有2个女人和3个男人和所有的男人，对自己的工作非常认真。")</f>
        <v>有2个女人和3个男人和所有的男人，对自己的工作非常认真。</v>
      </c>
    </row>
    <row r="25037">
      <c r="A25037" s="4" t="s">
        <v>31510</v>
      </c>
      <c r="B25037" s="6" t="s">
        <v>31513</v>
      </c>
      <c r="C25037" s="5" t="str">
        <f>IFERROR(__xludf.DUMMYFUNCTION("GOOGLETRANSLATE(B25037,""en"",""zh-CN"")"),"他们都按不同的键发出混合声，并非所有人都使用手风琴。")</f>
        <v>他们都按不同的键发出混合声，并非所有人都使用手风琴。</v>
      </c>
    </row>
    <row r="25038">
      <c r="A25038" s="4" t="s">
        <v>31514</v>
      </c>
      <c r="B25038" s="4" t="s">
        <v>31515</v>
      </c>
      <c r="C25038" s="5" t="str">
        <f>IFERROR(__xludf.DUMMYFUNCTION("GOOGLETRANSLATE(B25038,""en"",""zh-CN"")"),"男性解释了啤酒乒乓球比赛，而人们参加比赛。")</f>
        <v>男性解释了啤酒乒乓球比赛，而人们参加比赛。</v>
      </c>
    </row>
    <row r="25039">
      <c r="A25039" s="4" t="s">
        <v>31514</v>
      </c>
      <c r="B25039" s="4" t="s">
        <v>31516</v>
      </c>
      <c r="C25039" s="5" t="str">
        <f>IFERROR(__xludf.DUMMYFUNCTION("GOOGLETRANSLATE(B25039,""en"",""zh-CN"")"),"两个人穿着有趣的衣服和白色假发。")</f>
        <v>两个人穿着有趣的衣服和白色假发。</v>
      </c>
    </row>
    <row r="25040">
      <c r="A25040" s="4" t="s">
        <v>31514</v>
      </c>
      <c r="B25040" s="6" t="s">
        <v>31517</v>
      </c>
      <c r="C25040" s="5" t="str">
        <f>IFERROR(__xludf.DUMMYFUNCTION("GOOGLETRANSLATE(B25040,""en"",""zh-CN"")"),"几个人在装满啤酒的杯子的桌子上竞争啤酒乒乓球，然后一个人获胜，人们祝贺获胜者。")</f>
        <v>几个人在装满啤酒的杯子的桌子上竞争啤酒乒乓球，然后一个人获胜，人们祝贺获胜者。</v>
      </c>
    </row>
    <row r="25041">
      <c r="A25041" s="4" t="s">
        <v>31514</v>
      </c>
      <c r="B25041" s="6" t="s">
        <v>31518</v>
      </c>
      <c r="C25041" s="5" t="str">
        <f>IFERROR(__xludf.DUMMYFUNCTION("GOOGLETRANSLATE(B25041,""en"",""zh-CN"")"),"然后，人们会打啤酒乒乓球失败，然后一个男人将球扔到远杯中，然后人们拥抱获得价格的获胜者。")</f>
        <v>然后，人们会打啤酒乒乓球失败，然后一个男人将球扔到远杯中，然后人们拥抱获得价格的获胜者。</v>
      </c>
    </row>
    <row r="25042">
      <c r="A25042" s="4" t="s">
        <v>31514</v>
      </c>
      <c r="B25042" s="4" t="s">
        <v>31519</v>
      </c>
      <c r="C25042" s="5" t="str">
        <f>IFERROR(__xludf.DUMMYFUNCTION("GOOGLETRANSLATE(B25042,""en"",""zh-CN"")"),"一个人给获胜者拍照。")</f>
        <v>一个人给获胜者拍照。</v>
      </c>
    </row>
    <row r="25043">
      <c r="A25043" s="4" t="s">
        <v>31520</v>
      </c>
      <c r="B25043" s="4" t="s">
        <v>31521</v>
      </c>
      <c r="C25043" s="5" t="str">
        <f>IFERROR(__xludf.DUMMYFUNCTION("GOOGLETRANSLATE(B25043,""en"",""zh-CN"")"),"我们在开幕式上看到了吉他插图。")</f>
        <v>我们在开幕式上看到了吉他插图。</v>
      </c>
    </row>
    <row r="25044">
      <c r="A25044" s="4" t="s">
        <v>31520</v>
      </c>
      <c r="B25044" s="4" t="s">
        <v>31522</v>
      </c>
      <c r="C25044" s="5" t="str">
        <f>IFERROR(__xludf.DUMMYFUNCTION("GOOGLETRANSLATE(B25044,""en"",""zh-CN"")"),"我们看到一个男人像鼓一样击中吉他。")</f>
        <v>我们看到一个男人像鼓一样击中吉他。</v>
      </c>
    </row>
    <row r="25045">
      <c r="A25045" s="4" t="s">
        <v>31520</v>
      </c>
      <c r="B25045" s="4" t="s">
        <v>31523</v>
      </c>
      <c r="C25045" s="5" t="str">
        <f>IFERROR(__xludf.DUMMYFUNCTION("GOOGLETRANSLATE(B25045,""en"",""zh-CN"")"),"该男子在吉他上播放一首歌，我们在屏幕上简要看到歌曲和艺术家的名字。")</f>
        <v>该男子在吉他上播放一首歌，我们在屏幕上简要看到歌曲和艺术家的名字。</v>
      </c>
    </row>
    <row r="25046">
      <c r="A25046" s="4" t="s">
        <v>31520</v>
      </c>
      <c r="B25046" s="4" t="s">
        <v>31524</v>
      </c>
      <c r="C25046" s="5" t="str">
        <f>IFERROR(__xludf.DUMMYFUNCTION("GOOGLETRANSLATE(B25046,""en"",""zh-CN"")"),"我们专注于吉他脖子上的左手男人。")</f>
        <v>我们专注于吉他脖子上的左手男人。</v>
      </c>
    </row>
    <row r="25047">
      <c r="A25047" s="4" t="s">
        <v>31520</v>
      </c>
      <c r="B25047" s="4" t="s">
        <v>31525</v>
      </c>
      <c r="C25047" s="5" t="str">
        <f>IFERROR(__xludf.DUMMYFUNCTION("GOOGLETRANSLATE(B25047,""en"",""zh-CN"")"),"男人结束并停止比赛。")</f>
        <v>男人结束并停止比赛。</v>
      </c>
    </row>
    <row r="25048">
      <c r="A25048" s="4" t="s">
        <v>31520</v>
      </c>
      <c r="B25048" s="4" t="s">
        <v>31526</v>
      </c>
      <c r="C25048" s="5" t="str">
        <f>IFERROR(__xludf.DUMMYFUNCTION("GOOGLETRANSLATE(B25048,""en"",""zh-CN"")"),"我们再次看到插图。")</f>
        <v>我们再次看到插图。</v>
      </c>
    </row>
    <row r="25049">
      <c r="A25049" s="4" t="s">
        <v>31527</v>
      </c>
      <c r="B25049" s="4" t="s">
        <v>31528</v>
      </c>
      <c r="C25049" s="5" t="str">
        <f>IFERROR(__xludf.DUMMYFUNCTION("GOOGLETRANSLATE(B25049,""en"",""zh-CN"")"),"一个人跑步并投掷标枪。")</f>
        <v>一个人跑步并投掷标枪。</v>
      </c>
    </row>
    <row r="25050">
      <c r="A25050" s="4" t="s">
        <v>31527</v>
      </c>
      <c r="B25050" s="4" t="s">
        <v>31529</v>
      </c>
      <c r="C25050" s="5" t="str">
        <f>IFERROR(__xludf.DUMMYFUNCTION("GOOGLETRANSLATE(B25050,""en"",""zh-CN"")"),"有人在篱笆后面看着他们。")</f>
        <v>有人在篱笆后面看着他们。</v>
      </c>
    </row>
    <row r="25051">
      <c r="A25051" s="4" t="s">
        <v>31527</v>
      </c>
      <c r="B25051" s="4" t="s">
        <v>31530</v>
      </c>
      <c r="C25051" s="5" t="str">
        <f>IFERROR(__xludf.DUMMYFUNCTION("GOOGLETRANSLATE(B25051,""en"",""zh-CN"")"),"赛道旁边的绿色雨伞坐在赛道旁。")</f>
        <v>赛道旁边的绿色雨伞坐在赛道旁。</v>
      </c>
    </row>
    <row r="25052">
      <c r="A25052" s="4" t="s">
        <v>31531</v>
      </c>
      <c r="B25052" s="6" t="s">
        <v>31532</v>
      </c>
      <c r="C25052" s="5" t="str">
        <f>IFERROR(__xludf.DUMMYFUNCTION("GOOGLETRANSLATE(B25052,""en"",""zh-CN"")"),"两个人给出了一份新闻报道，说明佩戴防晒霜并互相交谈的重要性。")</f>
        <v>两个人给出了一份新闻报道，说明佩戴防晒霜并互相交谈的重要性。</v>
      </c>
    </row>
    <row r="25053">
      <c r="A25053" s="4" t="s">
        <v>31531</v>
      </c>
      <c r="B25053" s="4" t="s">
        <v>31533</v>
      </c>
      <c r="C25053" s="5" t="str">
        <f>IFERROR(__xludf.DUMMYFUNCTION("GOOGLETRANSLATE(B25053,""en"",""zh-CN"")"),"人们在外面显示戴防晒霜。")</f>
        <v>人们在外面显示戴防晒霜。</v>
      </c>
    </row>
    <row r="25054">
      <c r="A25054" s="4" t="s">
        <v>31531</v>
      </c>
      <c r="B25054" s="4" t="s">
        <v>31534</v>
      </c>
      <c r="C25054" s="5" t="str">
        <f>IFERROR(__xludf.DUMMYFUNCTION("GOOGLETRANSLATE(B25054,""en"",""zh-CN"")"),"然后，新闻界人互相交谈。")</f>
        <v>然后，新闻界人互相交谈。</v>
      </c>
    </row>
    <row r="25055">
      <c r="A25055" s="4" t="s">
        <v>31535</v>
      </c>
      <c r="B25055" s="4" t="s">
        <v>31536</v>
      </c>
      <c r="C25055" s="5" t="str">
        <f>IFERROR(__xludf.DUMMYFUNCTION("GOOGLETRANSLATE(B25055,""en"",""zh-CN"")"),"一个穿着白衬衫的男人在地板上放了一个瓷砖。")</f>
        <v>一个穿着白衬衫的男人在地板上放了一个瓷砖。</v>
      </c>
    </row>
    <row r="25056">
      <c r="A25056" s="4" t="s">
        <v>31535</v>
      </c>
      <c r="B25056" s="4" t="s">
        <v>31537</v>
      </c>
      <c r="C25056" s="5" t="str">
        <f>IFERROR(__xludf.DUMMYFUNCTION("GOOGLETRANSLATE(B25056,""en"",""zh-CN"")"),"那个男人指向瓷砖旁边。")</f>
        <v>那个男人指向瓷砖旁边。</v>
      </c>
    </row>
    <row r="25057">
      <c r="A25057" s="4" t="s">
        <v>31535</v>
      </c>
      <c r="B25057" s="4" t="s">
        <v>31538</v>
      </c>
      <c r="C25057" s="5" t="str">
        <f>IFERROR(__xludf.DUMMYFUNCTION("GOOGLETRANSLATE(B25057,""en"",""zh-CN"")"),"相机放大了瓷砖。")</f>
        <v>相机放大了瓷砖。</v>
      </c>
    </row>
    <row r="25058">
      <c r="A25058" s="4" t="s">
        <v>31539</v>
      </c>
      <c r="B25058" s="4" t="s">
        <v>31540</v>
      </c>
      <c r="C25058" s="5" t="str">
        <f>IFERROR(__xludf.DUMMYFUNCTION("GOOGLETRANSLATE(B25058,""en"",""zh-CN"")"),"该视频始于两个小男孩的特写。")</f>
        <v>该视频始于两个小男孩的特写。</v>
      </c>
    </row>
    <row r="25059">
      <c r="A25059" s="4" t="s">
        <v>31539</v>
      </c>
      <c r="B25059" s="4" t="s">
        <v>31541</v>
      </c>
      <c r="C25059" s="5" t="str">
        <f>IFERROR(__xludf.DUMMYFUNCTION("GOOGLETRANSLATE(B25059,""en"",""zh-CN"")"),"然后显示标题幻灯片，然后显示cookie食谱中使用的几种成分。")</f>
        <v>然后显示标题幻灯片，然后显示cookie食谱中使用的几种成分。</v>
      </c>
    </row>
    <row r="25060">
      <c r="A25060" s="4" t="s">
        <v>31539</v>
      </c>
      <c r="B25060" s="4" t="s">
        <v>31542</v>
      </c>
      <c r="C25060" s="5" t="str">
        <f>IFERROR(__xludf.DUMMYFUNCTION("GOOGLETRANSLATE(B25060,""en"",""zh-CN"")"),"然后，视频显示了两个男孩将食材混合在一起。")</f>
        <v>然后，视频显示了两个男孩将食材混合在一起。</v>
      </c>
    </row>
    <row r="25061">
      <c r="A25061" s="4" t="s">
        <v>31539</v>
      </c>
      <c r="B25061" s="4" t="s">
        <v>31543</v>
      </c>
      <c r="C25061" s="5" t="str">
        <f>IFERROR(__xludf.DUMMYFUNCTION("GOOGLETRANSLATE(B25061,""en"",""zh-CN"")"),"他们将面团卷成球，然后将其放入烤箱中。")</f>
        <v>他们将面团卷成球，然后将其放入烤箱中。</v>
      </c>
    </row>
    <row r="25062">
      <c r="A25062" s="4" t="s">
        <v>31539</v>
      </c>
      <c r="B25062" s="4" t="s">
        <v>31544</v>
      </c>
      <c r="C25062" s="5" t="str">
        <f>IFERROR(__xludf.DUMMYFUNCTION("GOOGLETRANSLATE(B25062,""en"",""zh-CN"")"),"男孩将饼干从烤箱中取出，开始吃。")</f>
        <v>男孩将饼干从烤箱中取出，开始吃。</v>
      </c>
    </row>
    <row r="25063">
      <c r="A25063" s="4" t="s">
        <v>31545</v>
      </c>
      <c r="B25063" s="4" t="s">
        <v>31546</v>
      </c>
      <c r="C25063" s="5" t="str">
        <f>IFERROR(__xludf.DUMMYFUNCTION("GOOGLETRANSLATE(B25063,""en"",""zh-CN"")"),"简介导致一个准备跳跃并在酒吧周围环绕的女人。")</f>
        <v>简介导致一个准备跳跃并在酒吧周围环绕的女人。</v>
      </c>
    </row>
    <row r="25064">
      <c r="A25064" s="4" t="s">
        <v>31545</v>
      </c>
      <c r="B25064" s="6" t="s">
        <v>31547</v>
      </c>
      <c r="C25064" s="5" t="str">
        <f>IFERROR(__xludf.DUMMYFUNCTION("GOOGLETRANSLATE(B25064,""en"",""zh-CN"")"),"她继续她的体操例行活动在酒吧里翻转，并发现她的手臂抬起手臂。")</f>
        <v>她继续她的体操例行活动在酒吧里翻转，并发现她的手臂抬起手臂。</v>
      </c>
    </row>
    <row r="25065">
      <c r="A25065" s="4" t="s">
        <v>31548</v>
      </c>
      <c r="B25065" s="4" t="s">
        <v>31549</v>
      </c>
      <c r="C25065" s="5" t="str">
        <f>IFERROR(__xludf.DUMMYFUNCTION("GOOGLETRANSLATE(B25065,""en"",""zh-CN"")"),"看到一个穿着围裙的男人在将几盘扔进水槽时擦了擦几道菜。")</f>
        <v>看到一个穿着围裙的男人在将几盘扔进水槽时擦了擦几道菜。</v>
      </c>
    </row>
    <row r="25066">
      <c r="A25066" s="4" t="s">
        <v>31548</v>
      </c>
      <c r="B25066" s="4" t="s">
        <v>31550</v>
      </c>
      <c r="C25066" s="5" t="str">
        <f>IFERROR(__xludf.DUMMYFUNCTION("GOOGLETRANSLATE(B25066,""en"",""zh-CN"")"),"该男子继续擦菜，同时立即将其扔进水槽中。")</f>
        <v>该男子继续擦菜，同时立即将其扔进水槽中。</v>
      </c>
    </row>
    <row r="25067">
      <c r="A25067" s="4" t="s">
        <v>31551</v>
      </c>
      <c r="B25067" s="4" t="s">
        <v>31552</v>
      </c>
      <c r="C25067" s="5" t="str">
        <f>IFERROR(__xludf.DUMMYFUNCTION("GOOGLETRANSLATE(B25067,""en"",""zh-CN"")"),"我们看到一个带有闪光灯的开头序列。")</f>
        <v>我们看到一个带有闪光灯的开头序列。</v>
      </c>
    </row>
    <row r="25068">
      <c r="A25068" s="4" t="s">
        <v>31551</v>
      </c>
      <c r="B25068" s="4" t="s">
        <v>31553</v>
      </c>
      <c r="C25068" s="5" t="str">
        <f>IFERROR(__xludf.DUMMYFUNCTION("GOOGLETRANSLATE(B25068,""en"",""zh-CN"")"),"我们看到两个人在院子里推着一件东西。")</f>
        <v>我们看到两个人在院子里推着一件东西。</v>
      </c>
    </row>
    <row r="25069">
      <c r="A25069" s="4" t="s">
        <v>31551</v>
      </c>
      <c r="B25069" s="4" t="s">
        <v>31554</v>
      </c>
      <c r="C25069" s="5" t="str">
        <f>IFERROR(__xludf.DUMMYFUNCTION("GOOGLETRANSLATE(B25069,""en"",""zh-CN"")"),"我们在草地上看到一个泥土。")</f>
        <v>我们在草地上看到一个泥土。</v>
      </c>
    </row>
    <row r="25070">
      <c r="A25070" s="4" t="s">
        <v>31551</v>
      </c>
      <c r="B25070" s="4" t="s">
        <v>31555</v>
      </c>
      <c r="C25070" s="5" t="str">
        <f>IFERROR(__xludf.DUMMYFUNCTION("GOOGLETRANSLATE(B25070,""en"",""zh-CN"")"),"我们在设备上看到监视器。")</f>
        <v>我们在设备上看到监视器。</v>
      </c>
    </row>
    <row r="25071">
      <c r="A25071" s="4" t="s">
        <v>31551</v>
      </c>
      <c r="B25071" s="4" t="s">
        <v>31556</v>
      </c>
      <c r="C25071" s="5" t="str">
        <f>IFERROR(__xludf.DUMMYFUNCTION("GOOGLETRANSLATE(B25071,""en"",""zh-CN"")"),"我们在一轮泥土中看到一棵树。")</f>
        <v>我们在一轮泥土中看到一棵树。</v>
      </c>
    </row>
    <row r="25072">
      <c r="A25072" s="4" t="s">
        <v>31551</v>
      </c>
      <c r="B25072" s="4" t="s">
        <v>31557</v>
      </c>
      <c r="C25072" s="5" t="str">
        <f>IFERROR(__xludf.DUMMYFUNCTION("GOOGLETRANSLATE(B25072,""en"",""zh-CN"")"),"我们在院子里看到一个根。")</f>
        <v>我们在院子里看到一个根。</v>
      </c>
    </row>
    <row r="25073">
      <c r="A25073" s="4" t="s">
        <v>31551</v>
      </c>
      <c r="B25073" s="4" t="s">
        <v>31558</v>
      </c>
      <c r="C25073" s="5" t="str">
        <f>IFERROR(__xludf.DUMMYFUNCTION("GOOGLETRANSLATE(B25073,""en"",""zh-CN"")"),"我们看到结局的信用和屏幕逐渐消失。")</f>
        <v>我们看到结局的信用和屏幕逐渐消失。</v>
      </c>
    </row>
    <row r="25074">
      <c r="A25074" s="4" t="s">
        <v>31559</v>
      </c>
      <c r="B25074" s="4" t="s">
        <v>31560</v>
      </c>
      <c r="C25074" s="5" t="str">
        <f>IFERROR(__xludf.DUMMYFUNCTION("GOOGLETRANSLATE(B25074,""en"",""zh-CN"")"),"一个穿着黑色衬衫和粉红色短裤的女孩正在绘画木篱笆。")</f>
        <v>一个穿着黑色衬衫和粉红色短裤的女孩正在绘画木篱笆。</v>
      </c>
    </row>
    <row r="25075">
      <c r="A25075" s="4" t="s">
        <v>31559</v>
      </c>
      <c r="B25075" s="4" t="s">
        <v>13650</v>
      </c>
      <c r="C25075" s="5" t="str">
        <f>IFERROR(__xludf.DUMMYFUNCTION("GOOGLETRANSLATE(B25075,""en"",""zh-CN"")"),"单词进入屏幕。")</f>
        <v>单词进入屏幕。</v>
      </c>
    </row>
    <row r="25076">
      <c r="A25076" s="4" t="s">
        <v>31561</v>
      </c>
      <c r="B25076" s="4" t="s">
        <v>31562</v>
      </c>
      <c r="C25076" s="5" t="str">
        <f>IFERROR(__xludf.DUMMYFUNCTION("GOOGLETRANSLATE(B25076,""en"",""zh-CN"")"),"两个人站在一个房间里。")</f>
        <v>两个人站在一个房间里。</v>
      </c>
    </row>
    <row r="25077">
      <c r="A25077" s="4" t="s">
        <v>31561</v>
      </c>
      <c r="B25077" s="4" t="s">
        <v>31563</v>
      </c>
      <c r="C25077" s="5" t="str">
        <f>IFERROR(__xludf.DUMMYFUNCTION("GOOGLETRANSLATE(B25077,""en"",""zh-CN"")"),"他们开始玩壁球游戏。")</f>
        <v>他们开始玩壁球游戏。</v>
      </c>
    </row>
    <row r="25078">
      <c r="A25078" s="4" t="s">
        <v>31561</v>
      </c>
      <c r="B25078" s="4" t="s">
        <v>31564</v>
      </c>
      <c r="C25078" s="5" t="str">
        <f>IFERROR(__xludf.DUMMYFUNCTION("GOOGLETRANSLATE(B25078,""en"",""zh-CN"")"),"他们正在摇摆球拍击球。")</f>
        <v>他们正在摇摆球拍击球。</v>
      </c>
    </row>
    <row r="25079">
      <c r="A25079" s="4" t="s">
        <v>31565</v>
      </c>
      <c r="B25079" s="4" t="s">
        <v>31566</v>
      </c>
      <c r="C25079" s="5" t="str">
        <f>IFERROR(__xludf.DUMMYFUNCTION("GOOGLETRANSLATE(B25079,""en"",""zh-CN"")"),"人们在野外玩曲棍球。")</f>
        <v>人们在野外玩曲棍球。</v>
      </c>
    </row>
    <row r="25080">
      <c r="A25080" s="4" t="s">
        <v>31565</v>
      </c>
      <c r="B25080" s="4" t="s">
        <v>31567</v>
      </c>
      <c r="C25080" s="5" t="str">
        <f>IFERROR(__xludf.DUMMYFUNCTION("GOOGLETRANSLATE(B25080,""en"",""zh-CN"")"),"人群正在看着他们玩。")</f>
        <v>人群正在看着他们玩。</v>
      </c>
    </row>
    <row r="25081">
      <c r="A25081" s="4" t="s">
        <v>31565</v>
      </c>
      <c r="B25081" s="4" t="s">
        <v>31568</v>
      </c>
      <c r="C25081" s="5" t="str">
        <f>IFERROR(__xludf.DUMMYFUNCTION("GOOGLETRANSLATE(B25081,""en"",""zh-CN"")"),"屏幕上显示了一个黑白徽标。")</f>
        <v>屏幕上显示了一个黑白徽标。</v>
      </c>
    </row>
    <row r="25082">
      <c r="A25082" s="4" t="s">
        <v>31569</v>
      </c>
      <c r="B25082" s="4" t="s">
        <v>31570</v>
      </c>
      <c r="C25082" s="5" t="str">
        <f>IFERROR(__xludf.DUMMYFUNCTION("GOOGLETRANSLATE(B25082,""en"",""zh-CN"")"),"一棵大的圣诞树坐在一个房间里。")</f>
        <v>一棵大的圣诞树坐在一个房间里。</v>
      </c>
    </row>
    <row r="25083">
      <c r="A25083" s="4" t="s">
        <v>31569</v>
      </c>
      <c r="B25083" s="4" t="s">
        <v>31571</v>
      </c>
      <c r="C25083" s="5" t="str">
        <f>IFERROR(__xludf.DUMMYFUNCTION("GOOGLETRANSLATE(B25083,""en"",""zh-CN"")"),"一个男人和女人在圣诞树上贴灯。")</f>
        <v>一个男人和女人在圣诞树上贴灯。</v>
      </c>
    </row>
    <row r="25084">
      <c r="A25084" s="4" t="s">
        <v>31569</v>
      </c>
      <c r="B25084" s="4" t="s">
        <v>31572</v>
      </c>
      <c r="C25084" s="5" t="str">
        <f>IFERROR(__xludf.DUMMYFUNCTION("GOOGLETRANSLATE(B25084,""en"",""zh-CN"")"),"一只狗在圣诞树周围走来走去。")</f>
        <v>一只狗在圣诞树周围走来走去。</v>
      </c>
    </row>
    <row r="25085">
      <c r="A25085" s="4" t="s">
        <v>31573</v>
      </c>
      <c r="B25085" s="4" t="s">
        <v>31574</v>
      </c>
      <c r="C25085" s="5" t="str">
        <f>IFERROR(__xludf.DUMMYFUNCTION("GOOGLETRANSLATE(B25085,""en"",""zh-CN"")"),"一组蹒跚学步的男孩站在墙上站起来说话，玩牙刷。")</f>
        <v>一组蹒跚学步的男孩站在墙上站起来说话，玩牙刷。</v>
      </c>
    </row>
    <row r="25086">
      <c r="A25086" s="4" t="s">
        <v>31573</v>
      </c>
      <c r="B25086" s="4" t="s">
        <v>31575</v>
      </c>
      <c r="C25086" s="5" t="str">
        <f>IFERROR(__xludf.DUMMYFUNCTION("GOOGLETRANSLATE(B25086,""en"",""zh-CN"")"),"他们都开始在没有任何牙膏或水的情况下猛烈地刷牙。")</f>
        <v>他们都开始在没有任何牙膏或水的情况下猛烈地刷牙。</v>
      </c>
    </row>
    <row r="25087">
      <c r="A25087" s="4" t="s">
        <v>31576</v>
      </c>
      <c r="B25087" s="4" t="s">
        <v>31577</v>
      </c>
      <c r="C25087" s="5" t="str">
        <f>IFERROR(__xludf.DUMMYFUNCTION("GOOGLETRANSLATE(B25087,""en"",""zh-CN"")"),"介绍出现在屏幕上，显示了高层建筑。")</f>
        <v>介绍出现在屏幕上，显示了高层建筑。</v>
      </c>
    </row>
    <row r="25088">
      <c r="A25088" s="4" t="s">
        <v>31576</v>
      </c>
      <c r="B25088" s="6" t="s">
        <v>31578</v>
      </c>
      <c r="C25088" s="5" t="str">
        <f>IFERROR(__xludf.DUMMYFUNCTION("GOOGLETRANSLATE(B25088,""en"",""zh-CN"")"),"然后，显示一个男人的装备，并穿上了他可以连接到皮带的几个装置。")</f>
        <v>然后，显示一个男人的装备，并穿上了他可以连接到皮带的几个装置。</v>
      </c>
    </row>
    <row r="25089">
      <c r="A25089" s="4" t="s">
        <v>31576</v>
      </c>
      <c r="B25089" s="4" t="s">
        <v>31579</v>
      </c>
      <c r="C25089" s="5" t="str">
        <f>IFERROR(__xludf.DUMMYFUNCTION("GOOGLETRANSLATE(B25089,""en"",""zh-CN"")"),"然后显示他洗涤了非常高的建筑物的窗户。")</f>
        <v>然后显示他洗涤了非常高的建筑物的窗户。</v>
      </c>
    </row>
    <row r="25090">
      <c r="A25090" s="4" t="s">
        <v>31576</v>
      </c>
      <c r="B25090" s="4" t="s">
        <v>31580</v>
      </c>
      <c r="C25090" s="5" t="str">
        <f>IFERROR(__xludf.DUMMYFUNCTION("GOOGLETRANSLATE(B25090,""en"",""zh-CN"")"),"他使用刮刀从一个窗户上的贴纸刮擦。")</f>
        <v>他使用刮刀从一个窗户上的贴纸刮擦。</v>
      </c>
    </row>
    <row r="25091">
      <c r="A25091" s="4" t="s">
        <v>31576</v>
      </c>
      <c r="B25091" s="4" t="s">
        <v>31581</v>
      </c>
      <c r="C25091" s="5" t="str">
        <f>IFERROR(__xludf.DUMMYFUNCTION("GOOGLETRANSLATE(B25091,""en"",""zh-CN"")"),"他的表演将洗衣机浸入水桶中并洗涤地下的窗户。")</f>
        <v>他的表演将洗衣机浸入水桶中并洗涤地下的窗户。</v>
      </c>
    </row>
    <row r="25092">
      <c r="A25092" s="4" t="s">
        <v>31576</v>
      </c>
      <c r="B25092" s="4" t="s">
        <v>31582</v>
      </c>
      <c r="C25092" s="5" t="str">
        <f>IFERROR(__xludf.DUMMYFUNCTION("GOOGLETRANSLATE(B25092,""en"",""zh-CN"")"),"在视频结束之前，再次显示了几个窗户洗涤物。")</f>
        <v>在视频结束之前，再次显示了几个窗户洗涤物。</v>
      </c>
    </row>
    <row r="25093">
      <c r="A25093" s="4" t="s">
        <v>31583</v>
      </c>
      <c r="B25093" s="4" t="s">
        <v>31584</v>
      </c>
      <c r="C25093" s="5" t="str">
        <f>IFERROR(__xludf.DUMMYFUNCTION("GOOGLETRANSLATE(B25093,""en"",""zh-CN"")"),"一个女人显示探戈步骤在交谈时移动和转身。")</f>
        <v>一个女人显示探戈步骤在交谈时移动和转身。</v>
      </c>
    </row>
    <row r="25094">
      <c r="A25094" s="4" t="s">
        <v>31583</v>
      </c>
      <c r="B25094" s="4" t="s">
        <v>31585</v>
      </c>
      <c r="C25094" s="5" t="str">
        <f>IFERROR(__xludf.DUMMYFUNCTION("GOOGLETRANSLATE(B25094,""en"",""zh-CN"")"),"然后，男人四处走动，展示了探戈步骤。")</f>
        <v>然后，男人四处走动，展示了探戈步骤。</v>
      </c>
    </row>
    <row r="25095">
      <c r="A25095" s="4" t="s">
        <v>31583</v>
      </c>
      <c r="B25095" s="4" t="s">
        <v>31586</v>
      </c>
      <c r="C25095" s="5" t="str">
        <f>IFERROR(__xludf.DUMMYFUNCTION("GOOGLETRANSLATE(B25095,""en"",""zh-CN"")"),"之后，当男人说话时，女人和男人一起跳舞探戈。")</f>
        <v>之后，当男人说话时，女人和男人一起跳舞探戈。</v>
      </c>
    </row>
    <row r="25096">
      <c r="A25096" s="4" t="s">
        <v>31587</v>
      </c>
      <c r="B25096" s="4" t="s">
        <v>31588</v>
      </c>
      <c r="C25096" s="5" t="str">
        <f>IFERROR(__xludf.DUMMYFUNCTION("GOOGLETRANSLATE(B25096,""en"",""zh-CN"")"),"显示了一个岛海岸的图片，平静的蓝色波浪在岩石上冲上。")</f>
        <v>显示了一个岛海岸的图片，平静的蓝色波浪在岩石上冲上。</v>
      </c>
    </row>
    <row r="25097">
      <c r="A25097" s="4" t="s">
        <v>31587</v>
      </c>
      <c r="B25097" s="4" t="s">
        <v>31589</v>
      </c>
      <c r="C25097" s="5" t="str">
        <f>IFERROR(__xludf.DUMMYFUNCTION("GOOGLETRANSLATE(B25097,""en"",""zh-CN"")"),"一名雄性突然出现，开始用冲浪板朝水奔跑。")</f>
        <v>一名雄性突然出现，开始用冲浪板朝水奔跑。</v>
      </c>
    </row>
    <row r="25098">
      <c r="A25098" s="4" t="s">
        <v>31587</v>
      </c>
      <c r="B25098" s="4" t="s">
        <v>31590</v>
      </c>
      <c r="C25098" s="5" t="str">
        <f>IFERROR(__xludf.DUMMYFUNCTION("GOOGLETRANSLATE(B25098,""en"",""zh-CN"")"),"当几个人坐在海滩上看着他时，该男子开始在海浪上冲浪。")</f>
        <v>当几个人坐在海滩上看着他时，该男子开始在海浪上冲浪。</v>
      </c>
    </row>
    <row r="25099">
      <c r="A25099" s="4" t="s">
        <v>31587</v>
      </c>
      <c r="B25099" s="6" t="s">
        <v>31591</v>
      </c>
      <c r="C25099" s="5" t="str">
        <f>IFERROR(__xludf.DUMMYFUNCTION("GOOGLETRANSLATE(B25099,""en"",""zh-CN"")"),"一段时间后，雄性离开水，坐在冲浪板上坐在山上，然后走开。")</f>
        <v>一段时间后，雄性离开水，坐在冲浪板上坐在山上，然后走开。</v>
      </c>
    </row>
    <row r="25100">
      <c r="A25100" s="4" t="s">
        <v>31592</v>
      </c>
      <c r="B25100" s="4" t="s">
        <v>31593</v>
      </c>
      <c r="C25100" s="5" t="str">
        <f>IFERROR(__xludf.DUMMYFUNCTION("GOOGLETRANSLATE(B25100,""en"",""zh-CN"")"),"一个女人递给一个小男孩，一个小女孩，一个小女孩抓住她的注意。")</f>
        <v>一个女人递给一个小男孩，一个小女孩，一个小女孩抓住她的注意。</v>
      </c>
    </row>
    <row r="25101">
      <c r="A25101" s="4" t="s">
        <v>31592</v>
      </c>
      <c r="B25101" s="4" t="s">
        <v>31594</v>
      </c>
      <c r="C25101" s="5" t="str">
        <f>IFERROR(__xludf.DUMMYFUNCTION("GOOGLETRANSLATE(B25101,""en"",""zh-CN"")"),"皮纳塔（Pinata）被抬起，男孩开始向物体摆动。")</f>
        <v>皮纳塔（Pinata）被抬起，男孩开始向物体摆动。</v>
      </c>
    </row>
    <row r="25102">
      <c r="A25102" s="4" t="s">
        <v>31592</v>
      </c>
      <c r="B25102" s="6" t="s">
        <v>31595</v>
      </c>
      <c r="C25102" s="5" t="str">
        <f>IFERROR(__xludf.DUMMYFUNCTION("GOOGLETRANSLATE(B25102,""en"",""zh-CN"")"),"相机在人们撞到皮纳塔时看着的人看着，看到一个小男孩在他身后拍了拍。")</f>
        <v>相机在人们撞到皮纳塔时看着的人看着，看到一个小男孩在他身后拍了拍。</v>
      </c>
    </row>
    <row r="25103">
      <c r="A25103" s="4" t="s">
        <v>31596</v>
      </c>
      <c r="B25103" s="4" t="s">
        <v>31597</v>
      </c>
      <c r="C25103" s="5" t="str">
        <f>IFERROR(__xludf.DUMMYFUNCTION("GOOGLETRANSLATE(B25103,""en"",""zh-CN"")"),"一个穿着紫色衬衫的男人正在和镜头说话。")</f>
        <v>一个穿着紫色衬衫的男人正在和镜头说话。</v>
      </c>
    </row>
    <row r="25104">
      <c r="A25104" s="4" t="s">
        <v>31596</v>
      </c>
      <c r="B25104" s="4" t="s">
        <v>31598</v>
      </c>
      <c r="C25104" s="5" t="str">
        <f>IFERROR(__xludf.DUMMYFUNCTION("GOOGLETRANSLATE(B25104,""en"",""zh-CN"")"),"他开始攀登木板上的墙壁。")</f>
        <v>他开始攀登木板上的墙壁。</v>
      </c>
    </row>
    <row r="25105">
      <c r="A25105" s="4" t="s">
        <v>31596</v>
      </c>
      <c r="B25105" s="4" t="s">
        <v>31599</v>
      </c>
      <c r="C25105" s="5" t="str">
        <f>IFERROR(__xludf.DUMMYFUNCTION("GOOGLETRANSLATE(B25105,""en"",""zh-CN"")"),"他从墙上下来，继续说话。")</f>
        <v>他从墙上下来，继续说话。</v>
      </c>
    </row>
    <row r="25106">
      <c r="A25106" s="4" t="s">
        <v>31600</v>
      </c>
      <c r="B25106" s="6" t="s">
        <v>31601</v>
      </c>
      <c r="C25106" s="5" t="str">
        <f>IFERROR(__xludf.DUMMYFUNCTION("GOOGLETRANSLATE(B25106,""en"",""zh-CN"")"),"显示了各种食物的图片，后面是切割蔬菜并将各种成分混合到锅中的人。")</f>
        <v>显示了各种食物的图片，后面是切割蔬菜并将各种成分混合到锅中的人。</v>
      </c>
    </row>
    <row r="25107">
      <c r="A25107" s="4" t="s">
        <v>31600</v>
      </c>
      <c r="B25107" s="4" t="s">
        <v>31602</v>
      </c>
      <c r="C25107" s="5" t="str">
        <f>IFERROR(__xludf.DUMMYFUNCTION("GOOGLETRANSLATE(B25107,""en"",""zh-CN"")"),"然后，他剪了一块面包，将勺子铲出，然后炸薯条。")</f>
        <v>然后，他剪了一块面包，将勺子铲出，然后炸薯条。</v>
      </c>
    </row>
    <row r="25108">
      <c r="A25108" s="4" t="s">
        <v>31600</v>
      </c>
      <c r="B25108" s="6" t="s">
        <v>31603</v>
      </c>
      <c r="C25108" s="5" t="str">
        <f>IFERROR(__xludf.DUMMYFUNCTION("GOOGLETRANSLATE(B25108,""en"",""zh-CN"")"),"最后，他将所有成分倒入休息碗中，将其包裹在铝箔中，并显示更多三明治的图片。")</f>
        <v>最后，他将所有成分倒入休息碗中，将其包裹在铝箔中，并显示更多三明治的图片。</v>
      </c>
    </row>
    <row r="25109">
      <c r="A25109" s="4" t="s">
        <v>31604</v>
      </c>
      <c r="B25109" s="4" t="s">
        <v>31605</v>
      </c>
      <c r="C25109" s="5" t="str">
        <f>IFERROR(__xludf.DUMMYFUNCTION("GOOGLETRANSLATE(B25109,""en"",""zh-CN"")"),"一个男人站在相机前。")</f>
        <v>一个男人站在相机前。</v>
      </c>
    </row>
    <row r="25110">
      <c r="A25110" s="4" t="s">
        <v>31604</v>
      </c>
      <c r="B25110" s="4" t="s">
        <v>31606</v>
      </c>
      <c r="C25110" s="5" t="str">
        <f>IFERROR(__xludf.DUMMYFUNCTION("GOOGLETRANSLATE(B25110,""en"",""zh-CN"")"),"他开始为相机演奏口琴。")</f>
        <v>他开始为相机演奏口琴。</v>
      </c>
    </row>
    <row r="25111">
      <c r="A25111" s="4" t="s">
        <v>31604</v>
      </c>
      <c r="B25111" s="4" t="s">
        <v>31607</v>
      </c>
      <c r="C25111" s="5" t="str">
        <f>IFERROR(__xludf.DUMMYFUNCTION("GOOGLETRANSLATE(B25111,""en"",""zh-CN"")"),"随着他的发展，他来回摇摆音乐。")</f>
        <v>随着他的发展，他来回摇摆音乐。</v>
      </c>
    </row>
    <row r="25112">
      <c r="A25112" s="4" t="s">
        <v>31608</v>
      </c>
      <c r="B25112" s="4" t="s">
        <v>31609</v>
      </c>
      <c r="C25112" s="5" t="str">
        <f>IFERROR(__xludf.DUMMYFUNCTION("GOOGLETRANSLATE(B25112,""en"",""zh-CN"")"),"一个男人闭上眼睛，同时梳理了胡须。")</f>
        <v>一个男人闭上眼睛，同时梳理了胡须。</v>
      </c>
    </row>
    <row r="25113">
      <c r="A25113" s="4" t="s">
        <v>31608</v>
      </c>
      <c r="B25113" s="4" t="s">
        <v>31610</v>
      </c>
      <c r="C25113" s="5" t="str">
        <f>IFERROR(__xludf.DUMMYFUNCTION("GOOGLETRANSLATE(B25113,""en"",""zh-CN"")"),"这个男人现在有几乎剃光的胡须，剃了脖子。")</f>
        <v>这个男人现在有几乎剃光的胡须，剃了脖子。</v>
      </c>
    </row>
    <row r="25114">
      <c r="A25114" s="4" t="s">
        <v>31608</v>
      </c>
      <c r="B25114" s="6" t="s">
        <v>31611</v>
      </c>
      <c r="C25114" s="5" t="str">
        <f>IFERROR(__xludf.DUMMYFUNCTION("GOOGLETRANSLATE(B25114,""en"",""zh-CN"")"),"该男子的脖子和侧面上有剃须霜，并以剃须刀的向下运动使他的胡须紧紧剃光。")</f>
        <v>该男子的脖子和侧面上有剃须霜，并以剃须刀的向下运动使他的胡须紧紧剃光。</v>
      </c>
    </row>
    <row r="25115">
      <c r="A25115" s="4" t="s">
        <v>31608</v>
      </c>
      <c r="B25115" s="4" t="s">
        <v>31612</v>
      </c>
      <c r="C25115" s="5" t="str">
        <f>IFERROR(__xludf.DUMMYFUNCTION("GOOGLETRANSLATE(B25115,""en"",""zh-CN"")"),"剃光后，他的脸被脱掉了。")</f>
        <v>剃光后，他的脸被脱掉了。</v>
      </c>
    </row>
    <row r="25116">
      <c r="A25116" s="4" t="s">
        <v>31608</v>
      </c>
      <c r="B25116" s="4" t="s">
        <v>31613</v>
      </c>
      <c r="C25116" s="5" t="str">
        <f>IFERROR(__xludf.DUMMYFUNCTION("GOOGLETRANSLATE(B25116,""en"",""zh-CN"")"),"一个男人在手上擦一些东西，然后拍拍其他人的脸。")</f>
        <v>一个男人在手上擦一些东西，然后拍拍其他人的脸。</v>
      </c>
    </row>
    <row r="25117">
      <c r="A25117" s="4" t="s">
        <v>31608</v>
      </c>
      <c r="B25117" s="4" t="s">
        <v>31614</v>
      </c>
      <c r="C25117" s="5" t="str">
        <f>IFERROR(__xludf.DUMMYFUNCTION("GOOGLETRANSLATE(B25117,""en"",""zh-CN"")"),"最后，他的脸上被毛巾拍打了。")</f>
        <v>最后，他的脸上被毛巾拍打了。</v>
      </c>
    </row>
    <row r="25118">
      <c r="A25118" s="4" t="s">
        <v>31615</v>
      </c>
      <c r="B25118" s="6" t="s">
        <v>31616</v>
      </c>
      <c r="C25118" s="5" t="str">
        <f>IFERROR(__xludf.DUMMYFUNCTION("GOOGLETRANSLATE(B25118,""en"",""zh-CN"")"),"在沙发上的房子里，有两个人坐在沙发上，其中一个人随便说话了一段时间，另一个人将手臂伸到枕头上。")</f>
        <v>在沙发上的房子里，有两个人坐在沙发上，其中一个人随便说话了一段时间，另一个人将手臂伸到枕头上。</v>
      </c>
    </row>
    <row r="25119">
      <c r="A25119" s="4" t="s">
        <v>31615</v>
      </c>
      <c r="B25119" s="6" t="s">
        <v>31617</v>
      </c>
      <c r="C25119" s="5" t="str">
        <f>IFERROR(__xludf.DUMMYFUNCTION("GOOGLETRANSLATE(B25119,""en"",""zh-CN"")"),"这个男人正在画他的朋友指甲，他似乎也做了别人的指甲，几乎没有红色的心。")</f>
        <v>这个男人正在画他的朋友指甲，他似乎也做了别人的指甲，几乎没有红色的心。</v>
      </c>
    </row>
    <row r="25120">
      <c r="A25120" s="4" t="s">
        <v>31615</v>
      </c>
      <c r="B25120" s="6" t="s">
        <v>31618</v>
      </c>
      <c r="C25120" s="5" t="str">
        <f>IFERROR(__xludf.DUMMYFUNCTION("GOOGLETRANSLATE(B25120,""en"",""zh-CN"")"),"这个男人在说话，非常兴奋地做到这一点，他不断将抛光剂的顶部放回原处，以便在上面获得更多油漆。")</f>
        <v>这个男人在说话，非常兴奋地做到这一点，他不断将抛光剂的顶部放回原处，以便在上面获得更多油漆。</v>
      </c>
    </row>
    <row r="25121">
      <c r="A25121" s="4" t="s">
        <v>31615</v>
      </c>
      <c r="B25121" s="4" t="s">
        <v>31619</v>
      </c>
      <c r="C25121" s="5" t="str">
        <f>IFERROR(__xludf.DUMMYFUNCTION("GOOGLETRANSLATE(B25121,""en"",""zh-CN"")"),"他开玩笑地揉着其他人的脸，并继续花时间画指甲。")</f>
        <v>他开玩笑地揉着其他人的脸，并继续花时间画指甲。</v>
      </c>
    </row>
    <row r="25122">
      <c r="A25122" s="4" t="s">
        <v>31620</v>
      </c>
      <c r="B25122" s="4" t="s">
        <v>31621</v>
      </c>
      <c r="C25122" s="5" t="str">
        <f>IFERROR(__xludf.DUMMYFUNCTION("GOOGLETRANSLATE(B25122,""en"",""zh-CN"")"),"有两个孩子站在住宅中的双重不锈钢水槽上。")</f>
        <v>有两个孩子站在住宅中的双重不锈钢水槽上。</v>
      </c>
    </row>
    <row r="25123">
      <c r="A25123" s="4" t="s">
        <v>31620</v>
      </c>
      <c r="B25123" s="6" t="s">
        <v>31622</v>
      </c>
      <c r="C25123" s="5" t="str">
        <f>IFERROR(__xludf.DUMMYFUNCTION("GOOGLETRANSLATE(B25123,""en"",""zh-CN"")"),"高个子的孩子将菜从水槽的右侧移到水槽的左侧，一根一侧移动，而较小的孩子则将餐具固定在橙色瓶刷上，不会移动任何菜肴。")</f>
        <v>高个子的孩子将菜从水槽的右侧移到水槽的左侧，一根一侧移动，而较小的孩子则将餐具固定在橙色瓶刷上，不会移动任何菜肴。</v>
      </c>
    </row>
    <row r="25124">
      <c r="A25124" s="4" t="s">
        <v>31620</v>
      </c>
      <c r="B25124" s="6" t="s">
        <v>31623</v>
      </c>
      <c r="C25124" s="5" t="str">
        <f>IFERROR(__xludf.DUMMYFUNCTION("GOOGLETRANSLATE(B25124,""en"",""zh-CN"")"),"两个孩子都转向他们身后的相机，而年长的孩子则笑了，而小孩子则笑容很小。")</f>
        <v>两个孩子都转向他们身后的相机，而年长的孩子则笑了，而小孩子则笑容很小。</v>
      </c>
    </row>
    <row r="25125">
      <c r="A25125" s="4" t="s">
        <v>31624</v>
      </c>
      <c r="B25125" s="4" t="s">
        <v>31625</v>
      </c>
      <c r="C25125" s="5" t="str">
        <f>IFERROR(__xludf.DUMMYFUNCTION("GOOGLETRANSLATE(B25125,""en"",""zh-CN"")"),"一名体操运动员举重直到肩膀，然后将其抬到头顶上。")</f>
        <v>一名体操运动员举重直到肩膀，然后将其抬到头顶上。</v>
      </c>
    </row>
    <row r="25126">
      <c r="A25126" s="4" t="s">
        <v>31624</v>
      </c>
      <c r="B25126" s="4" t="s">
        <v>31626</v>
      </c>
      <c r="C25126" s="5" t="str">
        <f>IFERROR(__xludf.DUMMYFUNCTION("GOOGLETRANSLATE(B25126,""en"",""zh-CN"")"),"那个男人把重物掉到了地板上。")</f>
        <v>那个男人把重物掉到了地板上。</v>
      </c>
    </row>
    <row r="25127">
      <c r="A25127" s="4" t="s">
        <v>31627</v>
      </c>
      <c r="B25127" s="6" t="s">
        <v>31628</v>
      </c>
      <c r="C25127" s="5" t="str">
        <f>IFERROR(__xludf.DUMMYFUNCTION("GOOGLETRANSLATE(B25127,""en"",""zh-CN"")"),"看到一个男人在桌子后面的相机上说话，并导致人们骑着滑板的人。")</f>
        <v>看到一个男人在桌子后面的相机上说话，并导致人们骑着滑板的人。</v>
      </c>
    </row>
    <row r="25128">
      <c r="A25128" s="4" t="s">
        <v>31627</v>
      </c>
      <c r="B25128" s="4" t="s">
        <v>31629</v>
      </c>
      <c r="C25128" s="5" t="str">
        <f>IFERROR(__xludf.DUMMYFUNCTION("GOOGLETRANSLATE(B25128,""en"",""zh-CN"")"),"显示他的更多镜头以及人们在滑板上做技巧。")</f>
        <v>显示他的更多镜头以及人们在滑板上做技巧。</v>
      </c>
    </row>
    <row r="25129">
      <c r="A25129" s="4" t="s">
        <v>31630</v>
      </c>
      <c r="B25129" s="4" t="s">
        <v>31631</v>
      </c>
      <c r="C25129" s="5" t="str">
        <f>IFERROR(__xludf.DUMMYFUNCTION("GOOGLETRANSLATE(B25129,""en"",""zh-CN"")"),"一大批人站在几堆内管和一辆公共汽车上走来走去。")</f>
        <v>一大批人站在几堆内管和一辆公共汽车上走来走去。</v>
      </c>
    </row>
    <row r="25130">
      <c r="A25130" s="4" t="s">
        <v>31630</v>
      </c>
      <c r="B25130" s="4" t="s">
        <v>31632</v>
      </c>
      <c r="C25130" s="5" t="str">
        <f>IFERROR(__xludf.DUMMYFUNCTION("GOOGLETRANSLATE(B25130,""en"",""zh-CN"")"),"两个年幼的孩子坐在其中一个公共汽车座椅上。")</f>
        <v>两个年幼的孩子坐在其中一个公共汽车座椅上。</v>
      </c>
    </row>
    <row r="25131">
      <c r="A25131" s="4" t="s">
        <v>31630</v>
      </c>
      <c r="B25131" s="4" t="s">
        <v>31633</v>
      </c>
      <c r="C25131" s="5" t="str">
        <f>IFERROR(__xludf.DUMMYFUNCTION("GOOGLETRANSLATE(B25131,""en"",""zh-CN"")"),"一群成年人正在乘坐公共汽车说话。")</f>
        <v>一群成年人正在乘坐公共汽车说话。</v>
      </c>
    </row>
    <row r="25132">
      <c r="A25132" s="4" t="s">
        <v>31630</v>
      </c>
      <c r="B25132" s="6" t="s">
        <v>31634</v>
      </c>
      <c r="C25132" s="5" t="str">
        <f>IFERROR(__xludf.DUMMYFUNCTION("GOOGLETRANSLATE(B25132,""en"",""zh-CN"")"),"几个孩子在水中的内管中，其他人漂浮在水中的内管上。")</f>
        <v>几个孩子在水中的内管中，其他人漂浮在水中的内管上。</v>
      </c>
    </row>
    <row r="25133">
      <c r="A25133" s="4" t="s">
        <v>31630</v>
      </c>
      <c r="B25133" s="4" t="s">
        <v>31635</v>
      </c>
      <c r="C25133" s="5" t="str">
        <f>IFERROR(__xludf.DUMMYFUNCTION("GOOGLETRANSLATE(B25133,""en"",""zh-CN"")"),"有几个人在独木舟中显示出背景内管中的人。")</f>
        <v>有几个人在独木舟中显示出背景内管中的人。</v>
      </c>
    </row>
    <row r="25134">
      <c r="A25134" s="4" t="s">
        <v>31630</v>
      </c>
      <c r="B25134" s="4" t="s">
        <v>31636</v>
      </c>
      <c r="C25134" s="5" t="str">
        <f>IFERROR(__xludf.DUMMYFUNCTION("GOOGLETRANSLATE(B25134,""en"",""zh-CN"")"),"一个年轻的女孩沉入内管的中间，然后湿透了头。")</f>
        <v>一个年轻的女孩沉入内管的中间，然后湿透了头。</v>
      </c>
    </row>
    <row r="25135">
      <c r="A25135" s="4" t="s">
        <v>31630</v>
      </c>
      <c r="B25135" s="4" t="s">
        <v>31637</v>
      </c>
      <c r="C25135" s="5" t="str">
        <f>IFERROR(__xludf.DUMMYFUNCTION("GOOGLETRANSLATE(B25135,""en"",""zh-CN"")"),"有人展示了第一人的视野在河上漂浮。")</f>
        <v>有人展示了第一人的视野在河上漂浮。</v>
      </c>
    </row>
    <row r="25136">
      <c r="A25136" s="4" t="s">
        <v>31630</v>
      </c>
      <c r="B25136" s="4" t="s">
        <v>31638</v>
      </c>
      <c r="C25136" s="5" t="str">
        <f>IFERROR(__xludf.DUMMYFUNCTION("GOOGLETRANSLATE(B25136,""en"",""zh-CN"")"),"其他人在水中的内管和独木舟中显示。")</f>
        <v>其他人在水中的内管和独木舟中显示。</v>
      </c>
    </row>
    <row r="25137">
      <c r="A25137" s="4" t="s">
        <v>31630</v>
      </c>
      <c r="B25137" s="4" t="s">
        <v>31639</v>
      </c>
      <c r="C25137" s="5" t="str">
        <f>IFERROR(__xludf.DUMMYFUNCTION("GOOGLETRANSLATE(B25137,""en"",""zh-CN"")"),"看到一些人在特许摊位上从两名妇女那里购买食物。")</f>
        <v>看到一些人在特许摊位上从两名妇女那里购买食物。</v>
      </c>
    </row>
    <row r="25138">
      <c r="A25138" s="4" t="s">
        <v>31630</v>
      </c>
      <c r="B25138" s="4" t="s">
        <v>31640</v>
      </c>
      <c r="C25138" s="5" t="str">
        <f>IFERROR(__xludf.DUMMYFUNCTION("GOOGLETRANSLATE(B25138,""en"",""zh-CN"")"),"一个男人把一个小男孩抱在一个看起来像在睡觉的救生背心。")</f>
        <v>一个男人把一个小男孩抱在一个看起来像在睡觉的救生背心。</v>
      </c>
    </row>
    <row r="25139">
      <c r="A25139" s="4" t="s">
        <v>31641</v>
      </c>
      <c r="B25139" s="4" t="s">
        <v>31642</v>
      </c>
      <c r="C25139" s="5" t="str">
        <f>IFERROR(__xludf.DUMMYFUNCTION("GOOGLETRANSLATE(B25139,""en"",""zh-CN"")"),"一个年轻的女孩正在建筑物外面的猴子酒吧攀登。")</f>
        <v>一个年轻的女孩正在建筑物外面的猴子酒吧攀登。</v>
      </c>
    </row>
    <row r="25140">
      <c r="A25140" s="4" t="s">
        <v>31641</v>
      </c>
      <c r="B25140" s="4" t="s">
        <v>31643</v>
      </c>
      <c r="C25140" s="5" t="str">
        <f>IFERROR(__xludf.DUMMYFUNCTION("GOOGLETRANSLATE(B25140,""en"",""zh-CN"")"),"她从每个梯级中摇摆，一次向前移动身体。")</f>
        <v>她从每个梯级中摇摆，一次向前移动身体。</v>
      </c>
    </row>
    <row r="25141">
      <c r="A25141" s="4" t="s">
        <v>31641</v>
      </c>
      <c r="B25141" s="4" t="s">
        <v>31644</v>
      </c>
      <c r="C25141" s="5" t="str">
        <f>IFERROR(__xludf.DUMMYFUNCTION("GOOGLETRANSLATE(B25141,""en"",""zh-CN"")"),"当她到达另一端时，她转身开始回到起点。")</f>
        <v>当她到达另一端时，她转身开始回到起点。</v>
      </c>
    </row>
    <row r="25142">
      <c r="A25142" s="4" t="s">
        <v>31645</v>
      </c>
      <c r="B25142" s="4" t="s">
        <v>31646</v>
      </c>
      <c r="C25142" s="5" t="str">
        <f>IFERROR(__xludf.DUMMYFUNCTION("GOOGLETRANSLATE(B25142,""en"",""zh-CN"")"),"一个在健身房里的男人走到杠铃。")</f>
        <v>一个在健身房里的男人走到杠铃。</v>
      </c>
    </row>
    <row r="25143">
      <c r="A25143" s="4" t="s">
        <v>31645</v>
      </c>
      <c r="B25143" s="4" t="s">
        <v>31647</v>
      </c>
      <c r="C25143" s="5" t="str">
        <f>IFERROR(__xludf.DUMMYFUNCTION("GOOGLETRANSLATE(B25143,""en"",""zh-CN"")"),"该男子将杠铃抬到胸前，然后越过头。")</f>
        <v>该男子将杠铃抬到胸前，然后越过头。</v>
      </c>
    </row>
    <row r="25144">
      <c r="A25144" s="4" t="s">
        <v>31645</v>
      </c>
      <c r="B25144" s="4" t="s">
        <v>31648</v>
      </c>
      <c r="C25144" s="5" t="str">
        <f>IFERROR(__xludf.DUMMYFUNCTION("GOOGLETRANSLATE(B25144,""en"",""zh-CN"")"),"该男子减轻体重。")</f>
        <v>该男子减轻体重。</v>
      </c>
    </row>
    <row r="25145">
      <c r="A25145" s="4" t="s">
        <v>31645</v>
      </c>
      <c r="B25145" s="4" t="s">
        <v>31649</v>
      </c>
      <c r="C25145" s="5" t="str">
        <f>IFERROR(__xludf.DUMMYFUNCTION("GOOGLETRANSLATE(B25145,""en"",""zh-CN"")"),"那个男人拥抱了他身后的男人。")</f>
        <v>那个男人拥抱了他身后的男人。</v>
      </c>
    </row>
    <row r="25146">
      <c r="A25146" s="4" t="s">
        <v>31645</v>
      </c>
      <c r="B25146" s="4" t="s">
        <v>31650</v>
      </c>
      <c r="C25146" s="5" t="str">
        <f>IFERROR(__xludf.DUMMYFUNCTION("GOOGLETRANSLATE(B25146,""en"",""zh-CN"")"),"一个红色的男人奔跑，跳起举重男人。")</f>
        <v>一个红色的男人奔跑，跳起举重男人。</v>
      </c>
    </row>
    <row r="25147">
      <c r="A25147" s="4" t="s">
        <v>31645</v>
      </c>
      <c r="B25147" s="4" t="s">
        <v>31651</v>
      </c>
      <c r="C25147" s="5" t="str">
        <f>IFERROR(__xludf.DUMMYFUNCTION("GOOGLETRANSLATE(B25147,""en"",""zh-CN"")"),"红色的男人走开笑。")</f>
        <v>红色的男人走开笑。</v>
      </c>
    </row>
    <row r="25148">
      <c r="A25148" s="4" t="s">
        <v>31652</v>
      </c>
      <c r="B25148" s="4" t="s">
        <v>31653</v>
      </c>
      <c r="C25148" s="5" t="str">
        <f>IFERROR(__xludf.DUMMYFUNCTION("GOOGLETRANSLATE(B25148,""en"",""zh-CN"")"),"穿着黑色衬衫的人被球击中。")</f>
        <v>穿着黑色衬衫的人被球击中。</v>
      </c>
    </row>
    <row r="25149">
      <c r="A25149" s="4" t="s">
        <v>31652</v>
      </c>
      <c r="B25149" s="4" t="s">
        <v>31654</v>
      </c>
      <c r="C25149" s="5" t="str">
        <f>IFERROR(__xludf.DUMMYFUNCTION("GOOGLETRANSLATE(B25149,""en"",""zh-CN"")"),"站在海滩上的人们在橙色的球周围扔。")</f>
        <v>站在海滩上的人们在橙色的球周围扔。</v>
      </c>
    </row>
    <row r="25150">
      <c r="A25150" s="4" t="s">
        <v>31652</v>
      </c>
      <c r="B25150" s="4" t="s">
        <v>31655</v>
      </c>
      <c r="C25150" s="5" t="str">
        <f>IFERROR(__xludf.DUMMYFUNCTION("GOOGLETRANSLATE(B25150,""en"",""zh-CN"")"),"人们在他们身后的水中游泳。")</f>
        <v>人们在他们身后的水中游泳。</v>
      </c>
    </row>
    <row r="25151">
      <c r="A25151" s="4" t="s">
        <v>31656</v>
      </c>
      <c r="B25151" s="6" t="s">
        <v>31657</v>
      </c>
      <c r="C25151" s="5" t="str">
        <f>IFERROR(__xludf.DUMMYFUNCTION("GOOGLETRANSLATE(B25151,""en"",""zh-CN"")"),"黑色桌子上显示了一包柔软的柔性卷发器，因为一只手拿起一个未包裹的紫色冰壶和烦躁不安。")</f>
        <v>黑色桌子上显示了一包柔软的柔性卷发器，因为一只手拿起一个未包裹的紫色冰壶和烦躁不安。</v>
      </c>
    </row>
    <row r="25152">
      <c r="A25152" s="4" t="s">
        <v>31656</v>
      </c>
      <c r="B25152" s="6" t="s">
        <v>31658</v>
      </c>
      <c r="C25152" s="5" t="str">
        <f>IFERROR(__xludf.DUMMYFUNCTION("GOOGLETRANSLATE(B25152,""en"",""zh-CN"")"),"手绕着袋子，使内容物通过袋子的口显示，然后再处理松散的紫色和粉红色的卷发器。")</f>
        <v>手绕着袋子，使内容物通过袋子的口显示，然后再处理松散的紫色和粉红色的卷发器。</v>
      </c>
    </row>
    <row r="25153">
      <c r="A25153" s="4" t="s">
        <v>31656</v>
      </c>
      <c r="B25153" s="6" t="s">
        <v>31659</v>
      </c>
      <c r="C25153" s="5" t="str">
        <f>IFERROR(__xludf.DUMMYFUNCTION("GOOGLETRANSLATE(B25153,""en"",""zh-CN"")"),"在视频结束之前，在处理两个松散的卷发器和完整的卷发器的背面之间继续来回来回走动。")</f>
        <v>在视频结束之前，在处理两个松散的卷发器和完整的卷发器的背面之间继续来回来回走动。</v>
      </c>
    </row>
    <row r="25154">
      <c r="A25154" s="4" t="s">
        <v>31660</v>
      </c>
      <c r="B25154" s="6" t="s">
        <v>31661</v>
      </c>
      <c r="C25154" s="5" t="str">
        <f>IFERROR(__xludf.DUMMYFUNCTION("GOOGLETRANSLATE(B25154,""en"",""zh-CN"")"),"黑白视频介绍出现，并显示出不同的人图片时出现亚洲字母的特殊效果。")</f>
        <v>黑白视频介绍出现，并显示出不同的人图片时出现亚洲字母的特殊效果。</v>
      </c>
    </row>
    <row r="25155">
      <c r="A25155" s="4" t="s">
        <v>31660</v>
      </c>
      <c r="B25155" s="6" t="s">
        <v>31662</v>
      </c>
      <c r="C25155" s="5" t="str">
        <f>IFERROR(__xludf.DUMMYFUNCTION("GOOGLETRANSLATE(B25155,""en"",""zh-CN"")"),"一个亚洲男人现在在工作室的麦克风前面微笑着与镜头交谈，然后当他在黑色钢琴上弹奏时，他唱着钢琴上的音乐表。")</f>
        <v>一个亚洲男人现在在工作室的麦克风前面微笑着与镜头交谈，然后当他在黑色钢琴上弹奏时，他唱着钢琴上的音乐表。</v>
      </c>
    </row>
    <row r="25156">
      <c r="A25156" s="4" t="s">
        <v>31660</v>
      </c>
      <c r="B25156" s="4" t="s">
        <v>31663</v>
      </c>
      <c r="C25156" s="5" t="str">
        <f>IFERROR(__xludf.DUMMYFUNCTION("GOOGLETRANSLATE(B25156,""en"",""zh-CN"")"),"当男人唱歌和演奏时，他转向相机，笑容灿烂。")</f>
        <v>当男人唱歌和演奏时，他转向相机，笑容灿烂。</v>
      </c>
    </row>
    <row r="25157">
      <c r="A25157" s="4" t="s">
        <v>31660</v>
      </c>
      <c r="B25157" s="4" t="s">
        <v>31664</v>
      </c>
      <c r="C25157" s="5" t="str">
        <f>IFERROR(__xludf.DUMMYFUNCTION("GOOGLETRANSLATE(B25157,""en"",""zh-CN"")"),"出现黑屏，白色字母出现在右下角。")</f>
        <v>出现黑屏，白色字母出现在右下角。</v>
      </c>
    </row>
    <row r="25158">
      <c r="A25158" s="4" t="s">
        <v>31665</v>
      </c>
      <c r="B25158" s="6" t="s">
        <v>31666</v>
      </c>
      <c r="C25158" s="5" t="str">
        <f>IFERROR(__xludf.DUMMYFUNCTION("GOOGLETRANSLATE(B25158,""en"",""zh-CN"")"),"Docto在咨询室里说话，并将液体混合到试管中，准备咖啡，并与摄像机谈论咖啡的好处。")</f>
        <v>Docto在咨询室里说话，并将液体混合到试管中，准备咖啡，并与摄像机谈论咖啡的好处。</v>
      </c>
    </row>
    <row r="25159">
      <c r="A25159" s="4" t="s">
        <v>31665</v>
      </c>
      <c r="B25159" s="4" t="s">
        <v>31667</v>
      </c>
      <c r="C25159" s="5" t="str">
        <f>IFERROR(__xludf.DUMMYFUNCTION("GOOGLETRANSLATE(B25159,""en"",""zh-CN"")"),"咖啡正在杯中送达，并显示出体内咖啡的好处。")</f>
        <v>咖啡正在杯中送达，并显示出体内咖啡的好处。</v>
      </c>
    </row>
    <row r="25160">
      <c r="A25160" s="4" t="s">
        <v>31668</v>
      </c>
      <c r="B25160" s="4" t="s">
        <v>31669</v>
      </c>
      <c r="C25160" s="5" t="str">
        <f>IFERROR(__xludf.DUMMYFUNCTION("GOOGLETRANSLATE(B25160,""en"",""zh-CN"")"),"一个人跪在围栏的装备中。")</f>
        <v>一个人跪在围栏的装备中。</v>
      </c>
    </row>
    <row r="25161">
      <c r="A25161" s="4" t="s">
        <v>31668</v>
      </c>
      <c r="B25161" s="4" t="s">
        <v>31670</v>
      </c>
      <c r="C25161" s="5" t="str">
        <f>IFERROR(__xludf.DUMMYFUNCTION("GOOGLETRANSLATE(B25161,""en"",""zh-CN"")"),"一个男人说话时，他的后背走到他身边。")</f>
        <v>一个男人说话时，他的后背走到他身边。</v>
      </c>
    </row>
    <row r="25162">
      <c r="A25162" s="4" t="s">
        <v>31668</v>
      </c>
      <c r="B25162" s="4" t="s">
        <v>31671</v>
      </c>
      <c r="C25162" s="5" t="str">
        <f>IFERROR(__xludf.DUMMYFUNCTION("GOOGLETRANSLATE(B25162,""en"",""zh-CN"")"),"该人站着，与对手进行围栏，都挂在后面的电缆上。")</f>
        <v>该人站着，与对手进行围栏，都挂在后面的电缆上。</v>
      </c>
    </row>
    <row r="25163">
      <c r="A25163" s="4" t="s">
        <v>31672</v>
      </c>
      <c r="B25163" s="4" t="s">
        <v>31673</v>
      </c>
      <c r="C25163" s="5" t="str">
        <f>IFERROR(__xludf.DUMMYFUNCTION("GOOGLETRANSLATE(B25163,""en"",""zh-CN"")"),"一个穿着蓝色衬衫的男人和一个穿着飞镖衬衫的男人进入一个被人群包围的舞台。")</f>
        <v>一个穿着蓝色衬衫的男人和一个穿着飞镖衬衫的男人进入一个被人群包围的舞台。</v>
      </c>
    </row>
    <row r="25164">
      <c r="A25164" s="4" t="s">
        <v>31672</v>
      </c>
      <c r="B25164" s="4" t="s">
        <v>31674</v>
      </c>
      <c r="C25164" s="5" t="str">
        <f>IFERROR(__xludf.DUMMYFUNCTION("GOOGLETRANSLATE(B25164,""en"",""zh-CN"")"),"两人在法官面前竞争纸，剪刀和摇滚。")</f>
        <v>两人在法官面前竞争纸，剪刀和摇滚。</v>
      </c>
    </row>
    <row r="25165">
      <c r="A25165" s="4" t="s">
        <v>31672</v>
      </c>
      <c r="B25165" s="4" t="s">
        <v>31675</v>
      </c>
      <c r="C25165" s="5" t="str">
        <f>IFERROR(__xludf.DUMMYFUNCTION("GOOGLETRANSLATE(B25165,""en"",""zh-CN"")"),"两人继续参加比赛，而法官则开始比赛。")</f>
        <v>两人继续参加比赛，而法官则开始比赛。</v>
      </c>
    </row>
    <row r="25166">
      <c r="A25166" s="4" t="s">
        <v>31672</v>
      </c>
      <c r="B25166" s="6" t="s">
        <v>31676</v>
      </c>
      <c r="C25166" s="5" t="str">
        <f>IFERROR(__xludf.DUMMYFUNCTION("GOOGLETRANSLATE(B25166,""en"",""zh-CN"")"),"然后，这两个男人穿着深色衬衫赢得比赛并欢呼之后，这两个男人继续参加比赛。")</f>
        <v>然后，这两个男人穿着深色衬衫赢得比赛并欢呼之后，这两个男人继续参加比赛。</v>
      </c>
    </row>
    <row r="25167">
      <c r="A25167" s="4" t="s">
        <v>31677</v>
      </c>
      <c r="B25167" s="4" t="s">
        <v>31678</v>
      </c>
      <c r="C25167" s="5" t="str">
        <f>IFERROR(__xludf.DUMMYFUNCTION("GOOGLETRANSLATE(B25167,""en"",""zh-CN"")"),"一个穿着红色格子衬衫的家伙正在展示有关如何修剪和修剪花园中的教程。")</f>
        <v>一个穿着红色格子衬衫的家伙正在展示有关如何修剪和修剪花园中的教程。</v>
      </c>
    </row>
    <row r="25168">
      <c r="A25168" s="4" t="s">
        <v>31677</v>
      </c>
      <c r="B25168" s="4" t="s">
        <v>31679</v>
      </c>
      <c r="C25168" s="5" t="str">
        <f>IFERROR(__xludf.DUMMYFUNCTION("GOOGLETRANSLATE(B25168,""en"",""zh-CN"")"),"他正在使用一双花园剪来砍掉树上生长的过多的叶子。")</f>
        <v>他正在使用一双花园剪来砍掉树上生长的过多的叶子。</v>
      </c>
    </row>
    <row r="25169">
      <c r="A25169" s="4" t="s">
        <v>31677</v>
      </c>
      <c r="B25169" s="4" t="s">
        <v>31680</v>
      </c>
      <c r="C25169" s="5" t="str">
        <f>IFERROR(__xludf.DUMMYFUNCTION("GOOGLETRANSLATE(B25169,""en"",""zh-CN"")"),"然后，他演示了如何使用一些肥料球肥沃的树木和灌木。")</f>
        <v>然后，他演示了如何使用一些肥料球肥沃的树木和灌木。</v>
      </c>
    </row>
    <row r="25170">
      <c r="A25170" s="4" t="s">
        <v>31677</v>
      </c>
      <c r="B25170" s="4" t="s">
        <v>31681</v>
      </c>
      <c r="C25170" s="5" t="str">
        <f>IFERROR(__xludf.DUMMYFUNCTION("GOOGLETRANSLATE(B25170,""en"",""zh-CN"")"),"然后，他在树木和植物上使用液体肥料来加强它们。")</f>
        <v>然后，他在树木和植物上使用液体肥料来加强它们。</v>
      </c>
    </row>
    <row r="25171">
      <c r="A25171" s="4" t="s">
        <v>31677</v>
      </c>
      <c r="B25171" s="4" t="s">
        <v>31682</v>
      </c>
      <c r="C25171" s="5" t="str">
        <f>IFERROR(__xludf.DUMMYFUNCTION("GOOGLETRANSLATE(B25171,""en"",""zh-CN"")"),"他最终用软管浇水树木和植物以完成该过程。")</f>
        <v>他最终用软管浇水树木和植物以完成该过程。</v>
      </c>
    </row>
    <row r="25172">
      <c r="A25172" s="4" t="s">
        <v>31683</v>
      </c>
      <c r="B25172" s="4" t="s">
        <v>31684</v>
      </c>
      <c r="C25172" s="5" t="str">
        <f>IFERROR(__xludf.DUMMYFUNCTION("GOOGLETRANSLATE(B25172,""en"",""zh-CN"")"),"我们看到红灯，然后是标题。")</f>
        <v>我们看到红灯，然后是标题。</v>
      </c>
    </row>
    <row r="25173">
      <c r="A25173" s="4" t="s">
        <v>31683</v>
      </c>
      <c r="B25173" s="4" t="s">
        <v>31685</v>
      </c>
      <c r="C25173" s="5" t="str">
        <f>IFERROR(__xludf.DUMMYFUNCTION("GOOGLETRANSLATE(B25173,""en"",""zh-CN"")"),"显示了男人的骑自行车的装备。")</f>
        <v>显示了男人的骑自行车的装备。</v>
      </c>
    </row>
    <row r="25174">
      <c r="A25174" s="4" t="s">
        <v>31683</v>
      </c>
      <c r="B25174" s="4" t="s">
        <v>31686</v>
      </c>
      <c r="C25174" s="5" t="str">
        <f>IFERROR(__xludf.DUMMYFUNCTION("GOOGLETRANSLATE(B25174,""en"",""zh-CN"")"),"我们向我们展示了地形。")</f>
        <v>我们向我们展示了地形。</v>
      </c>
    </row>
    <row r="25175">
      <c r="A25175" s="4" t="s">
        <v>31683</v>
      </c>
      <c r="B25175" s="4" t="s">
        <v>31687</v>
      </c>
      <c r="C25175" s="5" t="str">
        <f>IFERROR(__xludf.DUMMYFUNCTION("GOOGLETRANSLATE(B25175,""en"",""zh-CN"")"),"车手骑自行车。")</f>
        <v>车手骑自行车。</v>
      </c>
    </row>
    <row r="25176">
      <c r="A25176" s="4" t="s">
        <v>31683</v>
      </c>
      <c r="B25176" s="4" t="s">
        <v>31688</v>
      </c>
      <c r="C25176" s="5" t="str">
        <f>IFERROR(__xludf.DUMMYFUNCTION("GOOGLETRANSLATE(B25176,""en"",""zh-CN"")"),"我们看到他们骑在所有类型的地形上。")</f>
        <v>我们看到他们骑在所有类型的地形上。</v>
      </c>
    </row>
    <row r="25177">
      <c r="A25177" s="4" t="s">
        <v>31683</v>
      </c>
      <c r="B25177" s="4" t="s">
        <v>31689</v>
      </c>
      <c r="C25177" s="5" t="str">
        <f>IFERROR(__xludf.DUMMYFUNCTION("GOOGLETRANSLATE(B25177,""en"",""zh-CN"")"),"我们看到骑自行车的人的空中射击。")</f>
        <v>我们看到骑自行车的人的空中射击。</v>
      </c>
    </row>
    <row r="25178">
      <c r="A25178" s="4" t="s">
        <v>31683</v>
      </c>
      <c r="B25178" s="4" t="s">
        <v>31690</v>
      </c>
      <c r="C25178" s="5" t="str">
        <f>IFERROR(__xludf.DUMMYFUNCTION("GOOGLETRANSLATE(B25178,""en"",""zh-CN"")"),"我们看到一个湖泊，一条狗在街上骑自行车。")</f>
        <v>我们看到一个湖泊，一条狗在街上骑自行车。</v>
      </c>
    </row>
    <row r="25179">
      <c r="A25179" s="4" t="s">
        <v>31683</v>
      </c>
      <c r="B25179" s="4" t="s">
        <v>31691</v>
      </c>
      <c r="C25179" s="5" t="str">
        <f>IFERROR(__xludf.DUMMYFUNCTION("GOOGLETRANSLATE(B25179,""en"",""zh-CN"")"),"一个人用刀打开椰子。")</f>
        <v>一个人用刀打开椰子。</v>
      </c>
    </row>
    <row r="25180">
      <c r="A25180" s="4" t="s">
        <v>31683</v>
      </c>
      <c r="B25180" s="4" t="s">
        <v>31692</v>
      </c>
      <c r="C25180" s="5" t="str">
        <f>IFERROR(__xludf.DUMMYFUNCTION("GOOGLETRANSLATE(B25180,""en"",""zh-CN"")"),"我们回到表演特技表演的越野车。")</f>
        <v>我们回到表演特技表演的越野车。</v>
      </c>
    </row>
    <row r="25181">
      <c r="A25181" s="4" t="s">
        <v>31683</v>
      </c>
      <c r="B25181" s="4" t="s">
        <v>31693</v>
      </c>
      <c r="C25181" s="5" t="str">
        <f>IFERROR(__xludf.DUMMYFUNCTION("GOOGLETRANSLATE(B25181,""en"",""zh-CN"")"),"我们看到两名骑自行车的人飞过天空。")</f>
        <v>我们看到两名骑自行车的人飞过天空。</v>
      </c>
    </row>
    <row r="25182">
      <c r="A25182" s="4" t="s">
        <v>31683</v>
      </c>
      <c r="B25182" s="4" t="s">
        <v>31694</v>
      </c>
      <c r="C25182" s="5" t="str">
        <f>IFERROR(__xludf.DUMMYFUNCTION("GOOGLETRANSLATE(B25182,""en"",""zh-CN"")"),"然后，我们看到三个骑自行车的人坐在他们的自行车上。")</f>
        <v>然后，我们看到三个骑自行车的人坐在他们的自行车上。</v>
      </c>
    </row>
    <row r="25183">
      <c r="A25183" s="4" t="s">
        <v>31683</v>
      </c>
      <c r="B25183" s="4" t="s">
        <v>31695</v>
      </c>
      <c r="C25183" s="5" t="str">
        <f>IFERROR(__xludf.DUMMYFUNCTION("GOOGLETRANSLATE(B25183,""en"",""zh-CN"")"),"我们看到了最终标题卡。")</f>
        <v>我们看到了最终标题卡。</v>
      </c>
    </row>
    <row r="25184">
      <c r="A25184" s="4" t="s">
        <v>31696</v>
      </c>
      <c r="B25184" s="4" t="s">
        <v>31697</v>
      </c>
      <c r="C25184" s="5" t="str">
        <f>IFERROR(__xludf.DUMMYFUNCTION("GOOGLETRANSLATE(B25184,""en"",""zh-CN"")"),"一个年轻的体操男孩上了酒吧，开始进行翻转和其他事情。")</f>
        <v>一个年轻的体操男孩上了酒吧，开始进行翻转和其他事情。</v>
      </c>
    </row>
    <row r="25185">
      <c r="A25185" s="4" t="s">
        <v>31696</v>
      </c>
      <c r="B25185" s="4" t="s">
        <v>31698</v>
      </c>
      <c r="C25185" s="5" t="str">
        <f>IFERROR(__xludf.DUMMYFUNCTION("GOOGLETRANSLATE(B25185,""en"",""zh-CN"")"),"似乎他正在接受比赛的审判。")</f>
        <v>似乎他正在接受比赛的审判。</v>
      </c>
    </row>
    <row r="25186">
      <c r="A25186" s="4" t="s">
        <v>31696</v>
      </c>
      <c r="B25186" s="4" t="s">
        <v>31699</v>
      </c>
      <c r="C25186" s="5" t="str">
        <f>IFERROR(__xludf.DUMMYFUNCTION("GOOGLETRANSLATE(B25186,""en"",""zh-CN"")"),"他在酒吧里表现出色，看起来很棒，并且在做这件事时玩得开心。")</f>
        <v>他在酒吧里表现出色，看起来很棒，并且在做这件事时玩得开心。</v>
      </c>
    </row>
    <row r="25187">
      <c r="A25187" s="4" t="s">
        <v>31696</v>
      </c>
      <c r="B25187" s="4" t="s">
        <v>31700</v>
      </c>
      <c r="C25187" s="5" t="str">
        <f>IFERROR(__xludf.DUMMYFUNCTION("GOOGLETRANSLATE(B25187,""en"",""zh-CN"")"),"然后，他降落和姿势，并展示了观众。")</f>
        <v>然后，他降落和姿势，并展示了观众。</v>
      </c>
    </row>
    <row r="25188">
      <c r="A25188" s="4" t="s">
        <v>31701</v>
      </c>
      <c r="B25188" s="4" t="s">
        <v>31702</v>
      </c>
      <c r="C25188" s="5" t="str">
        <f>IFERROR(__xludf.DUMMYFUNCTION("GOOGLETRANSLATE(B25188,""en"",""zh-CN"")"),"一个人站着举着小提琴并讨论其特征。")</f>
        <v>一个人站着举着小提琴并讨论其特征。</v>
      </c>
    </row>
    <row r="25189">
      <c r="A25189" s="4" t="s">
        <v>31701</v>
      </c>
      <c r="B25189" s="4" t="s">
        <v>31703</v>
      </c>
      <c r="C25189" s="5" t="str">
        <f>IFERROR(__xludf.DUMMYFUNCTION("GOOGLETRANSLATE(B25189,""en"",""zh-CN"")"),"该男子将乐器放在下巴下，并收紧弓。")</f>
        <v>该男子将乐器放在下巴下，并收紧弓。</v>
      </c>
    </row>
    <row r="25190">
      <c r="A25190" s="4" t="s">
        <v>31701</v>
      </c>
      <c r="B25190" s="4" t="s">
        <v>31704</v>
      </c>
      <c r="C25190" s="5" t="str">
        <f>IFERROR(__xludf.DUMMYFUNCTION("GOOGLETRANSLATE(B25190,""en"",""zh-CN"")"),"该名男子撤消了弓弦，并在小提琴周围说唱。")</f>
        <v>该名男子撤消了弓弦，并在小提琴周围说唱。</v>
      </c>
    </row>
    <row r="25191">
      <c r="A25191" s="4" t="s">
        <v>31701</v>
      </c>
      <c r="B25191" s="4" t="s">
        <v>31705</v>
      </c>
      <c r="C25191" s="5" t="str">
        <f>IFERROR(__xludf.DUMMYFUNCTION("GOOGLETRANSLATE(B25191,""en"",""zh-CN"")"),"该男子在小提琴上播放一首歌。")</f>
        <v>该男子在小提琴上播放一首歌。</v>
      </c>
    </row>
    <row r="25192">
      <c r="A25192" s="4" t="s">
        <v>31706</v>
      </c>
      <c r="B25192" s="4" t="s">
        <v>31707</v>
      </c>
      <c r="C25192" s="5" t="str">
        <f>IFERROR(__xludf.DUMMYFUNCTION("GOOGLETRANSLATE(B25192,""en"",""zh-CN"")"),"绿色的后背淹没了。")</f>
        <v>绿色的后背淹没了。</v>
      </c>
    </row>
    <row r="25193">
      <c r="A25193" s="4" t="s">
        <v>31706</v>
      </c>
      <c r="B25193" s="6" t="s">
        <v>31708</v>
      </c>
      <c r="C25193" s="5" t="str">
        <f>IFERROR(__xludf.DUMMYFUNCTION("GOOGLETRANSLATE(B25193,""en"",""zh-CN"")"),"然后，屏幕上出现了一系列单词，并显示了描述术语的各种图片。")</f>
        <v>然后，屏幕上出现了一系列单词，并显示了描述术语的各种图片。</v>
      </c>
    </row>
    <row r="25194">
      <c r="A25194" s="4" t="s">
        <v>31706</v>
      </c>
      <c r="B25194" s="4" t="s">
        <v>31709</v>
      </c>
      <c r="C25194" s="5" t="str">
        <f>IFERROR(__xludf.DUMMYFUNCTION("GOOGLETRANSLATE(B25194,""en"",""zh-CN"")"),"然后，一个男人站在梯子上铺设墙纸上。")</f>
        <v>然后，一个男人站在梯子上铺设墙纸上。</v>
      </c>
    </row>
    <row r="25195">
      <c r="A25195" s="4" t="s">
        <v>31706</v>
      </c>
      <c r="B25195" s="4" t="s">
        <v>31710</v>
      </c>
      <c r="C25195" s="5" t="str">
        <f>IFERROR(__xludf.DUMMYFUNCTION("GOOGLETRANSLATE(B25195,""en"",""zh-CN"")"),"之后，该男子在将纸放在屋顶上时切开墙纸并获得了帮助。")</f>
        <v>之后，该男子在将纸放在屋顶上时切开墙纸并获得了帮助。</v>
      </c>
    </row>
    <row r="25196">
      <c r="A25196" s="4" t="s">
        <v>31706</v>
      </c>
      <c r="B25196" s="4" t="s">
        <v>31711</v>
      </c>
      <c r="C25196" s="5" t="str">
        <f>IFERROR(__xludf.DUMMYFUNCTION("GOOGLETRANSLATE(B25196,""en"",""zh-CN"")"),"两者结束并给每个高五。")</f>
        <v>两者结束并给每个高五。</v>
      </c>
    </row>
    <row r="25197">
      <c r="A25197" s="4" t="s">
        <v>31706</v>
      </c>
      <c r="B25197" s="4" t="s">
        <v>31712</v>
      </c>
      <c r="C25197" s="5" t="str">
        <f>IFERROR(__xludf.DUMMYFUNCTION("GOOGLETRANSLATE(B25197,""en"",""zh-CN"")"),"最后，显示了几个房间，显示了他们所做的工作。")</f>
        <v>最后，显示了几个房间，显示了他们所做的工作。</v>
      </c>
    </row>
    <row r="25198">
      <c r="A25198" s="4" t="s">
        <v>31713</v>
      </c>
      <c r="B25198" s="4" t="s">
        <v>31714</v>
      </c>
      <c r="C25198" s="5" t="str">
        <f>IFERROR(__xludf.DUMMYFUNCTION("GOOGLETRANSLATE(B25198,""en"",""zh-CN"")"),"看到一个年轻的女孩在玩她的头发时在相机上说话。")</f>
        <v>看到一个年轻的女孩在玩她的头发时在相机上说话。</v>
      </c>
    </row>
    <row r="25199">
      <c r="A25199" s="4" t="s">
        <v>31713</v>
      </c>
      <c r="B25199" s="4" t="s">
        <v>31715</v>
      </c>
      <c r="C25199" s="5" t="str">
        <f>IFERROR(__xludf.DUMMYFUNCTION("GOOGLETRANSLATE(B25199,""en"",""zh-CN"")"),"她指着她的衬衫，并在与镜头说话的同时刷过头发。")</f>
        <v>她指着她的衬衫，并在与镜头说话的同时刷过头发。</v>
      </c>
    </row>
    <row r="25200">
      <c r="A25200" s="4" t="s">
        <v>31716</v>
      </c>
      <c r="B25200" s="4" t="s">
        <v>31717</v>
      </c>
      <c r="C25200" s="5" t="str">
        <f>IFERROR(__xludf.DUMMYFUNCTION("GOOGLETRANSLATE(B25200,""en"",""zh-CN"")"),"看到一个人使用水肺齿轮在水下游泳，并将绳子拉到她的身边。")</f>
        <v>看到一个人使用水肺齿轮在水下游泳，并将绳子拉到她的身边。</v>
      </c>
    </row>
    <row r="25201">
      <c r="A25201" s="4" t="s">
        <v>31716</v>
      </c>
      <c r="B25201" s="4" t="s">
        <v>31718</v>
      </c>
      <c r="C25201" s="5" t="str">
        <f>IFERROR(__xludf.DUMMYFUNCTION("GOOGLETRANSLATE(B25201,""en"",""zh-CN"")"),"然后，她钓到一条鱼，再次穿着比基尼在鲸鱼周围游泳的比基尼。")</f>
        <v>然后，她钓到一条鱼，再次穿着比基尼在鲸鱼周围游泳的比基尼。</v>
      </c>
    </row>
    <row r="25202">
      <c r="A25202" s="4" t="s">
        <v>31716</v>
      </c>
      <c r="B25202" s="6" t="s">
        <v>31719</v>
      </c>
      <c r="C25202" s="5" t="str">
        <f>IFERROR(__xludf.DUMMYFUNCTION("GOOGLETRANSLATE(B25202,""en"",""zh-CN"")"),"显示了更多的海豚镜头，从水中跳跃并在屏幕上以文字结尾。")</f>
        <v>显示了更多的海豚镜头，从水中跳跃并在屏幕上以文字结尾。</v>
      </c>
    </row>
    <row r="25203">
      <c r="A25203" s="4" t="s">
        <v>31720</v>
      </c>
      <c r="B25203" s="6" t="s">
        <v>31721</v>
      </c>
      <c r="C25203" s="5" t="str">
        <f>IFERROR(__xludf.DUMMYFUNCTION("GOOGLETRANSLATE(B25203,""en"",""zh-CN"")"),"一个Buff的年轻人坐在带滑动座椅的机器上，展示了举重技术。")</f>
        <v>一个Buff的年轻人坐在带滑动座椅的机器上，展示了举重技术。</v>
      </c>
    </row>
    <row r="25204">
      <c r="A25204" s="4" t="s">
        <v>31720</v>
      </c>
      <c r="B25204" s="4" t="s">
        <v>31722</v>
      </c>
      <c r="C25204" s="5" t="str">
        <f>IFERROR(__xludf.DUMMYFUNCTION("GOOGLETRANSLATE(B25204,""en"",""zh-CN"")"),"然后，他向后滑动，将脚放在绳索上，开始系上鞋子。")</f>
        <v>然后，他向后滑动，将脚放在绳索上，开始系上鞋子。</v>
      </c>
    </row>
    <row r="25205">
      <c r="A25205" s="4" t="s">
        <v>31720</v>
      </c>
      <c r="B25205" s="6" t="s">
        <v>31723</v>
      </c>
      <c r="C25205" s="5" t="str">
        <f>IFERROR(__xludf.DUMMYFUNCTION("GOOGLETRANSLATE(B25205,""en"",""zh-CN"")"),"完成后，该男子抓住绳索并来回移动，同时拉出绳索进行运动。")</f>
        <v>完成后，该男子抓住绳索并来回移动，同时拉出绳索进行运动。</v>
      </c>
    </row>
    <row r="25206">
      <c r="A25206" s="4" t="s">
        <v>31720</v>
      </c>
      <c r="B25206" s="4" t="s">
        <v>31724</v>
      </c>
      <c r="C25206" s="5" t="str">
        <f>IFERROR(__xludf.DUMMYFUNCTION("GOOGLETRANSLATE(B25206,""en"",""zh-CN"")"),"现在他完成了，他放下了绳索，然后开始再次说话。")</f>
        <v>现在他完成了，他放下了绳索，然后开始再次说话。</v>
      </c>
    </row>
    <row r="25207">
      <c r="A25207" s="4" t="s">
        <v>31725</v>
      </c>
      <c r="B25207" s="4" t="s">
        <v>31726</v>
      </c>
      <c r="C25207" s="5" t="str">
        <f>IFERROR(__xludf.DUMMYFUNCTION("GOOGLETRANSLATE(B25207,""en"",""zh-CN"")"),"一个家庭正在客厅重新安排家具。")</f>
        <v>一个家庭正在客厅重新安排家具。</v>
      </c>
    </row>
    <row r="25208">
      <c r="A25208" s="4" t="s">
        <v>31725</v>
      </c>
      <c r="B25208" s="4" t="s">
        <v>31727</v>
      </c>
      <c r="C25208" s="5" t="str">
        <f>IFERROR(__xludf.DUMMYFUNCTION("GOOGLETRANSLATE(B25208,""en"",""zh-CN"")"),"他们在房间的拐角处建立了一棵圣诞树。")</f>
        <v>他们在房间的拐角处建立了一棵圣诞树。</v>
      </c>
    </row>
    <row r="25209">
      <c r="A25209" s="4" t="s">
        <v>31725</v>
      </c>
      <c r="B25209" s="4" t="s">
        <v>31728</v>
      </c>
      <c r="C25209" s="5" t="str">
        <f>IFERROR(__xludf.DUMMYFUNCTION("GOOGLETRANSLATE(B25209,""en"",""zh-CN"")"),"他们把灯贴在树上。")</f>
        <v>他们把灯贴在树上。</v>
      </c>
    </row>
    <row r="25210">
      <c r="A25210" s="4" t="s">
        <v>31725</v>
      </c>
      <c r="B25210" s="4" t="s">
        <v>31729</v>
      </c>
      <c r="C25210" s="5" t="str">
        <f>IFERROR(__xludf.DUMMYFUNCTION("GOOGLETRANSLATE(B25210,""en"",""zh-CN"")"),"他们将灯泡放在树上。")</f>
        <v>他们将灯泡放在树上。</v>
      </c>
    </row>
    <row r="25211">
      <c r="A25211" s="4" t="s">
        <v>31725</v>
      </c>
      <c r="B25211" s="4" t="s">
        <v>31730</v>
      </c>
      <c r="C25211" s="5" t="str">
        <f>IFERROR(__xludf.DUMMYFUNCTION("GOOGLETRANSLATE(B25211,""en"",""zh-CN"")"),"一个小女孩在树前旋转。")</f>
        <v>一个小女孩在树前旋转。</v>
      </c>
    </row>
    <row r="25212">
      <c r="A25212" s="4" t="s">
        <v>31731</v>
      </c>
      <c r="B25212" s="4" t="s">
        <v>31732</v>
      </c>
      <c r="C25212" s="5" t="str">
        <f>IFERROR(__xludf.DUMMYFUNCTION("GOOGLETRANSLATE(B25212,""en"",""zh-CN"")"),"一个男人在一个带球的健身房里。")</f>
        <v>一个男人在一个带球的健身房里。</v>
      </c>
    </row>
    <row r="25213">
      <c r="A25213" s="4" t="s">
        <v>31731</v>
      </c>
      <c r="B25213" s="4" t="s">
        <v>31733</v>
      </c>
      <c r="C25213" s="5" t="str">
        <f>IFERROR(__xludf.DUMMYFUNCTION("GOOGLETRANSLATE(B25213,""en"",""zh-CN"")"),"他加入了一个球队，踢足球比赛。")</f>
        <v>他加入了一个球队，踢足球比赛。</v>
      </c>
    </row>
    <row r="25214">
      <c r="A25214" s="4" t="s">
        <v>31731</v>
      </c>
      <c r="B25214" s="4" t="s">
        <v>31734</v>
      </c>
      <c r="C25214" s="5" t="str">
        <f>IFERROR(__xludf.DUMMYFUNCTION("GOOGLETRANSLATE(B25214,""en"",""zh-CN"")"),"他们在球场上来回踢球。")</f>
        <v>他们在球场上来回踢球。</v>
      </c>
    </row>
    <row r="25215">
      <c r="A25215" s="4" t="s">
        <v>31735</v>
      </c>
      <c r="B25215" s="4" t="s">
        <v>31736</v>
      </c>
      <c r="C25215" s="5" t="str">
        <f>IFERROR(__xludf.DUMMYFUNCTION("GOOGLETRANSLATE(B25215,""en"",""zh-CN"")"),"男人站在一个玩槌球的吉恩·格尔西斯（Geen Grssy）田里。")</f>
        <v>男人站在一个玩槌球的吉恩·格尔西斯（Geen Grssy）田里。</v>
      </c>
    </row>
    <row r="25216">
      <c r="A25216" s="4" t="s">
        <v>31735</v>
      </c>
      <c r="B25216" s="4" t="s">
        <v>31737</v>
      </c>
      <c r="C25216" s="5" t="str">
        <f>IFERROR(__xludf.DUMMYFUNCTION("GOOGLETRANSLATE(B25216,""en"",""zh-CN"")"),"人们正坐在Croquet游戏周围的场上。")</f>
        <v>人们正坐在Croquet游戏周围的场上。</v>
      </c>
    </row>
    <row r="25217">
      <c r="A25217" s="4" t="s">
        <v>31735</v>
      </c>
      <c r="B25217" s="4" t="s">
        <v>31738</v>
      </c>
      <c r="C25217" s="5" t="str">
        <f>IFERROR(__xludf.DUMMYFUNCTION("GOOGLETRANSLATE(B25217,""en"",""zh-CN"")"),"穿着白色制服的男人正在与田间的相机交谈。")</f>
        <v>穿着白色制服的男人正在与田间的相机交谈。</v>
      </c>
    </row>
    <row r="25218">
      <c r="A25218" s="4" t="s">
        <v>31735</v>
      </c>
      <c r="B25218" s="4" t="s">
        <v>31739</v>
      </c>
      <c r="C25218" s="5" t="str">
        <f>IFERROR(__xludf.DUMMYFUNCTION("GOOGLETRANSLATE(B25218,""en"",""zh-CN"")"),"一个男人和一个女人在和镜头说话。")</f>
        <v>一个男人和一个女人在和镜头说话。</v>
      </c>
    </row>
    <row r="25219">
      <c r="A25219" s="4" t="s">
        <v>31740</v>
      </c>
      <c r="B25219" s="4" t="s">
        <v>31741</v>
      </c>
      <c r="C25219" s="5" t="str">
        <f>IFERROR(__xludf.DUMMYFUNCTION("GOOGLETRANSLATE(B25219,""en"",""zh-CN"")"),"我们看到一个人站在楼梯上。")</f>
        <v>我们看到一个人站在楼梯上。</v>
      </c>
    </row>
    <row r="25220">
      <c r="A25220" s="4" t="s">
        <v>31740</v>
      </c>
      <c r="B25220" s="4" t="s">
        <v>31742</v>
      </c>
      <c r="C25220" s="5" t="str">
        <f>IFERROR(__xludf.DUMMYFUNCTION("GOOGLETRANSLATE(B25220,""en"",""zh-CN"")"),"该人将绳索移开。")</f>
        <v>该人将绳索移开。</v>
      </c>
    </row>
    <row r="25221">
      <c r="A25221" s="4" t="s">
        <v>31740</v>
      </c>
      <c r="B25221" s="4" t="s">
        <v>31743</v>
      </c>
      <c r="C25221" s="5" t="str">
        <f>IFERROR(__xludf.DUMMYFUNCTION("GOOGLETRANSLATE(B25221,""en"",""zh-CN"")"),"该男子开始走上步进。")</f>
        <v>该男子开始走上步进。</v>
      </c>
    </row>
    <row r="25222">
      <c r="A25222" s="4" t="s">
        <v>31740</v>
      </c>
      <c r="B25222" s="4" t="s">
        <v>31744</v>
      </c>
      <c r="C25222" s="5" t="str">
        <f>IFERROR(__xludf.DUMMYFUNCTION("GOOGLETRANSLATE(B25222,""en"",""zh-CN"")"),"该人抬起右手。")</f>
        <v>该人抬起右手。</v>
      </c>
    </row>
    <row r="25223">
      <c r="A25223" s="4" t="s">
        <v>31745</v>
      </c>
      <c r="B25223" s="4" t="s">
        <v>31746</v>
      </c>
      <c r="C25223" s="5" t="str">
        <f>IFERROR(__xludf.DUMMYFUNCTION("GOOGLETRANSLATE(B25223,""en"",""zh-CN"")"),"看到一个男人在对镜头说话，并导致他帮助一个男人射击几个篮子。")</f>
        <v>看到一个男人在对镜头说话，并导致他帮助一个男人射击几个篮子。</v>
      </c>
    </row>
    <row r="25224">
      <c r="A25224" s="4" t="s">
        <v>31745</v>
      </c>
      <c r="B25224" s="4" t="s">
        <v>31747</v>
      </c>
      <c r="C25224" s="5" t="str">
        <f>IFERROR(__xludf.DUMMYFUNCTION("GOOGLETRANSLATE(B25224,""en"",""zh-CN"")"),"然后看到教练指导一大群孩子一遍又一遍地拍摄篮子。")</f>
        <v>然后看到教练指导一大群孩子一遍又一遍地拍摄篮子。</v>
      </c>
    </row>
    <row r="25225">
      <c r="A25225" s="4" t="s">
        <v>31748</v>
      </c>
      <c r="B25225" s="4" t="s">
        <v>31749</v>
      </c>
      <c r="C25225" s="5" t="str">
        <f>IFERROR(__xludf.DUMMYFUNCTION("GOOGLETRANSLATE(B25225,""en"",""zh-CN"")"),"烟雾充满了一个空的黑暗房间。")</f>
        <v>烟雾充满了一个空的黑暗房间。</v>
      </c>
    </row>
    <row r="25226">
      <c r="A25226" s="4" t="s">
        <v>31748</v>
      </c>
      <c r="B25226" s="4" t="s">
        <v>31750</v>
      </c>
      <c r="C25226" s="5" t="str">
        <f>IFERROR(__xludf.DUMMYFUNCTION("GOOGLETRANSLATE(B25226,""en"",""zh-CN"")"),"单词出现在屏幕上，随后是跆拳道男人的外观。")</f>
        <v>单词出现在屏幕上，随后是跆拳道男人的外观。</v>
      </c>
    </row>
    <row r="25227">
      <c r="A25227" s="4" t="s">
        <v>31748</v>
      </c>
      <c r="B25227" s="4" t="s">
        <v>31751</v>
      </c>
      <c r="C25227" s="5" t="str">
        <f>IFERROR(__xludf.DUMMYFUNCTION("GOOGLETRANSLATE(B25227,""en"",""zh-CN"")"),"一个小组在战斗时弹奏乐器。")</f>
        <v>一个小组在战斗时弹奏乐器。</v>
      </c>
    </row>
    <row r="25228">
      <c r="A25228" s="4" t="s">
        <v>31748</v>
      </c>
      <c r="B25228" s="4" t="s">
        <v>31752</v>
      </c>
      <c r="C25228" s="5" t="str">
        <f>IFERROR(__xludf.DUMMYFUNCTION("GOOGLETRANSLATE(B25228,""en"",""zh-CN"")"),"两个人拥抱结束战斗。")</f>
        <v>两个人拥抱结束战斗。</v>
      </c>
    </row>
    <row r="25229">
      <c r="A25229" s="4" t="s">
        <v>31753</v>
      </c>
      <c r="B25229" s="4" t="s">
        <v>31754</v>
      </c>
      <c r="C25229" s="5" t="str">
        <f>IFERROR(__xludf.DUMMYFUNCTION("GOOGLETRANSLATE(B25229,""en"",""zh-CN"")"),"两个人在一个房间里玩行排，你的船。")</f>
        <v>两个人在一个房间里玩行排，你的船。</v>
      </c>
    </row>
    <row r="25230">
      <c r="A25230" s="4" t="s">
        <v>31753</v>
      </c>
      <c r="B25230" s="4" t="s">
        <v>31755</v>
      </c>
      <c r="C25230" s="5" t="str">
        <f>IFERROR(__xludf.DUMMYFUNCTION("GOOGLETRANSLATE(B25230,""en"",""zh-CN"")"),"两个人在客厅里玩自拍照。")</f>
        <v>两个人在客厅里玩自拍照。</v>
      </c>
    </row>
    <row r="25231">
      <c r="A25231" s="4" t="s">
        <v>31753</v>
      </c>
      <c r="B25231" s="4" t="s">
        <v>31756</v>
      </c>
      <c r="C25231" s="5" t="str">
        <f>IFERROR(__xludf.DUMMYFUNCTION("GOOGLETRANSLATE(B25231,""en"",""zh-CN"")"),"男人正站在客厅里玩啤酒乒乓球并拿出衬衫。")</f>
        <v>男人正站在客厅里玩啤酒乒乓球并拿出衬衫。</v>
      </c>
    </row>
    <row r="25232">
      <c r="A25232" s="4" t="s">
        <v>31753</v>
      </c>
      <c r="B25232" s="4" t="s">
        <v>31757</v>
      </c>
      <c r="C25232" s="5" t="str">
        <f>IFERROR(__xludf.DUMMYFUNCTION("GOOGLETRANSLATE(B25232,""en"",""zh-CN"")"),"男人正站在客厅里，拿着网球球拍并击打球。")</f>
        <v>男人正站在客厅里，拿着网球球拍并击打球。</v>
      </c>
    </row>
    <row r="25233">
      <c r="A25233" s="4" t="s">
        <v>31753</v>
      </c>
      <c r="B25233" s="6" t="s">
        <v>31758</v>
      </c>
      <c r="C25233" s="5" t="str">
        <f>IFERROR(__xludf.DUMMYFUNCTION("GOOGLETRANSLATE(B25233,""en"",""zh-CN"")"),"两名男子站在活着的OOM中玩啤酒，并用一瓶威士忌进行其他射击游戏。")</f>
        <v>两名男子站在活着的OOM中玩啤酒，并用一瓶威士忌进行其他射击游戏。</v>
      </c>
    </row>
    <row r="25234">
      <c r="A25234" s="4" t="s">
        <v>31759</v>
      </c>
      <c r="B25234" s="6" t="s">
        <v>31760</v>
      </c>
      <c r="C25234" s="5" t="str">
        <f>IFERROR(__xludf.DUMMYFUNCTION("GOOGLETRANSLATE(B25234,""en"",""zh-CN"")"),"看到一个女人在拿起各种物体的同时向相机说话，并开始梳理头发。")</f>
        <v>看到一个女人在拿起各种物体的同时向相机说话，并开始梳理头发。</v>
      </c>
    </row>
    <row r="25235">
      <c r="A25235" s="4" t="s">
        <v>31759</v>
      </c>
      <c r="B25235" s="4" t="s">
        <v>31761</v>
      </c>
      <c r="C25235" s="5" t="str">
        <f>IFERROR(__xludf.DUMMYFUNCTION("GOOGLETRANSLATE(B25235,""en"",""zh-CN"")"),"她还在说话时将头发绑起来，并在标志时间举起几笔刷子。")</f>
        <v>她还在说话时将头发绑起来，并在标志时间举起几笔刷子。</v>
      </c>
    </row>
    <row r="25236">
      <c r="A25236" s="4" t="s">
        <v>31762</v>
      </c>
      <c r="B25236" s="4" t="s">
        <v>31763</v>
      </c>
      <c r="C25236" s="5" t="str">
        <f>IFERROR(__xludf.DUMMYFUNCTION("GOOGLETRANSLATE(B25236,""en"",""zh-CN"")"),"看到一位刺穿的艺术家刺穿了女性的腹部纽扣。")</f>
        <v>看到一位刺穿的艺术家刺穿了女性的腹部纽扣。</v>
      </c>
    </row>
    <row r="25237">
      <c r="A25237" s="4" t="s">
        <v>31762</v>
      </c>
      <c r="B25237" s="4" t="s">
        <v>31764</v>
      </c>
      <c r="C25237" s="5" t="str">
        <f>IFERROR(__xludf.DUMMYFUNCTION("GOOGLETRANSLATE(B25237,""en"",""zh-CN"")"),"最初，他使用穿孔工具将切口在腹部按钮上进行切口。")</f>
        <v>最初，他使用穿孔工具将切口在腹部按钮上进行切口。</v>
      </c>
    </row>
    <row r="25238">
      <c r="A25238" s="4" t="s">
        <v>31762</v>
      </c>
      <c r="B25238" s="4" t="s">
        <v>31765</v>
      </c>
      <c r="C25238" s="5" t="str">
        <f>IFERROR(__xludf.DUMMYFUNCTION("GOOGLETRANSLATE(B25238,""en"",""zh-CN"")"),"之后，他插入了穿刺并确保其安全。")</f>
        <v>之后，他插入了穿刺并确保其安全。</v>
      </c>
    </row>
    <row r="25239">
      <c r="A25239" s="4" t="s">
        <v>31762</v>
      </c>
      <c r="B25239" s="4" t="s">
        <v>31766</v>
      </c>
      <c r="C25239" s="5" t="str">
        <f>IFERROR(__xludf.DUMMYFUNCTION("GOOGLETRANSLATE(B25239,""en"",""zh-CN"")"),"比他使用擦拭并清洁该区域。")</f>
        <v>比他使用擦拭并清洁该区域。</v>
      </c>
    </row>
    <row r="25240">
      <c r="A25240" s="4" t="s">
        <v>31762</v>
      </c>
      <c r="B25240" s="4" t="s">
        <v>31767</v>
      </c>
      <c r="C25240" s="5" t="str">
        <f>IFERROR(__xludf.DUMMYFUNCTION("GOOGLETRANSLATE(B25240,""en"",""zh-CN"")"),"之后，女孩站起来与他的朋友说话，看着镜子。")</f>
        <v>之后，女孩站起来与他的朋友说话，看着镜子。</v>
      </c>
    </row>
    <row r="25241">
      <c r="A25241" s="4" t="s">
        <v>31762</v>
      </c>
      <c r="B25241" s="4" t="s">
        <v>31768</v>
      </c>
      <c r="C25241" s="5" t="str">
        <f>IFERROR(__xludf.DUMMYFUNCTION("GOOGLETRANSLATE(B25241,""en"",""zh-CN"")"),"最后，相机人转过身，并用权威对相机说话。")</f>
        <v>最后，相机人转过身，并用权威对相机说话。</v>
      </c>
    </row>
    <row r="25242">
      <c r="A25242" s="4" t="s">
        <v>31769</v>
      </c>
      <c r="B25242" s="4" t="s">
        <v>31770</v>
      </c>
      <c r="C25242" s="5" t="str">
        <f>IFERROR(__xludf.DUMMYFUNCTION("GOOGLETRANSLATE(B25242,""en"",""zh-CN"")"),"一个人站在一个大房间里。")</f>
        <v>一个人站在一个大房间里。</v>
      </c>
    </row>
    <row r="25243">
      <c r="A25243" s="4" t="s">
        <v>31769</v>
      </c>
      <c r="B25243" s="4" t="s">
        <v>31771</v>
      </c>
      <c r="C25243" s="5" t="str">
        <f>IFERROR(__xludf.DUMMYFUNCTION("GOOGLETRANSLATE(B25243,""en"",""zh-CN"")"),"然后，他跳到光束上。")</f>
        <v>然后，他跳到光束上。</v>
      </c>
    </row>
    <row r="25244">
      <c r="A25244" s="4" t="s">
        <v>31769</v>
      </c>
      <c r="B25244" s="4" t="s">
        <v>31772</v>
      </c>
      <c r="C25244" s="5" t="str">
        <f>IFERROR(__xludf.DUMMYFUNCTION("GOOGLETRANSLATE(B25244,""en"",""zh-CN"")"),"然后，他在光束上平衡自己。")</f>
        <v>然后，他在光束上平衡自己。</v>
      </c>
    </row>
    <row r="25245">
      <c r="A25245" s="4" t="s">
        <v>31769</v>
      </c>
      <c r="B25245" s="4" t="s">
        <v>31773</v>
      </c>
      <c r="C25245" s="5" t="str">
        <f>IFERROR(__xludf.DUMMYFUNCTION("GOOGLETRANSLATE(B25245,""en"",""zh-CN"")"),"他做了几次翻转和窍门。")</f>
        <v>他做了几次翻转和窍门。</v>
      </c>
    </row>
    <row r="25246">
      <c r="A25246" s="4" t="s">
        <v>31774</v>
      </c>
      <c r="B25246" s="4" t="s">
        <v>31775</v>
      </c>
      <c r="C25246" s="5" t="str">
        <f>IFERROR(__xludf.DUMMYFUNCTION("GOOGLETRANSLATE(B25246,""en"",""zh-CN"")"),"一个男人正在沿着郊区的道路骑滑板。")</f>
        <v>一个男人正在沿着郊区的道路骑滑板。</v>
      </c>
    </row>
    <row r="25247">
      <c r="A25247" s="4" t="s">
        <v>31774</v>
      </c>
      <c r="B25247" s="4" t="s">
        <v>31776</v>
      </c>
      <c r="C25247" s="5" t="str">
        <f>IFERROR(__xludf.DUMMYFUNCTION("GOOGLETRANSLATE(B25247,""en"",""zh-CN"")"),"当摄影师从后面发现它们时，另外两个显示。")</f>
        <v>当摄影师从后面发现它们时，另外两个显示。</v>
      </c>
    </row>
    <row r="25248">
      <c r="A25248" s="4" t="s">
        <v>31774</v>
      </c>
      <c r="B25248" s="4" t="s">
        <v>31777</v>
      </c>
      <c r="C25248" s="5" t="str">
        <f>IFERROR(__xludf.DUMMYFUNCTION("GOOGLETRANSLATE(B25248,""en"",""zh-CN"")"),"他推动它们，使它们快速速度。")</f>
        <v>他推动它们，使它们快速速度。</v>
      </c>
    </row>
    <row r="25249">
      <c r="A25249" s="4" t="s">
        <v>31778</v>
      </c>
      <c r="B25249" s="4" t="s">
        <v>31779</v>
      </c>
      <c r="C25249" s="5" t="str">
        <f>IFERROR(__xludf.DUMMYFUNCTION("GOOGLETRANSLATE(B25249,""en"",""zh-CN"")"),"一名运动员用杆子跳下水平酒吧，然后他落在泡沫垫上。")</f>
        <v>一名运动员用杆子跳下水平酒吧，然后他落在泡沫垫上。</v>
      </c>
    </row>
    <row r="25250">
      <c r="A25250" s="4" t="s">
        <v>31778</v>
      </c>
      <c r="B25250" s="4" t="s">
        <v>31780</v>
      </c>
      <c r="C25250" s="5" t="str">
        <f>IFERROR(__xludf.DUMMYFUNCTION("GOOGLETRANSLATE(B25250,""en"",""zh-CN"")"),"然后，有一个弹杆跳的闪光灯。")</f>
        <v>然后，有一个弹杆跳的闪光灯。</v>
      </c>
    </row>
    <row r="25251">
      <c r="A25251" s="4" t="s">
        <v>31781</v>
      </c>
      <c r="B25251" s="6" t="s">
        <v>31782</v>
      </c>
      <c r="C25251" s="5" t="str">
        <f>IFERROR(__xludf.DUMMYFUNCTION("GOOGLETRANSLATE(B25251,""en"",""zh-CN"")"),"看到一个女人坐在扑克桌子和经销商卡后面，而其他人则在背面也这样做。")</f>
        <v>看到一个女人坐在扑克桌子和经销商卡后面，而其他人则在背面也这样做。</v>
      </c>
    </row>
    <row r="25252">
      <c r="A25252" s="4" t="s">
        <v>31781</v>
      </c>
      <c r="B25252" s="4" t="s">
        <v>31783</v>
      </c>
      <c r="C25252" s="5" t="str">
        <f>IFERROR(__xludf.DUMMYFUNCTION("GOOGLETRANSLATE(B25252,""en"",""zh-CN"")"),"该名女子在看着相机时继续在桌子上打交道。")</f>
        <v>该名女子在看着相机时继续在桌子上打交道。</v>
      </c>
    </row>
    <row r="25253">
      <c r="A25253" s="4" t="s">
        <v>31784</v>
      </c>
      <c r="B25253" s="4" t="s">
        <v>31785</v>
      </c>
      <c r="C25253" s="5" t="str">
        <f>IFERROR(__xludf.DUMMYFUNCTION("GOOGLETRANSLATE(B25253,""en"",""zh-CN"")"),"显示了几个剪辑，其中显示了拿着网球球拍并将球撞到远处的剪辑。")</f>
        <v>显示了几个剪辑，其中显示了拿着网球球拍并将球撞到远处的剪辑。</v>
      </c>
    </row>
    <row r="25254">
      <c r="A25254" s="4" t="s">
        <v>31784</v>
      </c>
      <c r="B25254" s="4" t="s">
        <v>31786</v>
      </c>
      <c r="C25254" s="5" t="str">
        <f>IFERROR(__xludf.DUMMYFUNCTION("GOOGLETRANSLATE(B25254,""en"",""zh-CN"")"),"屏幕上显示了文字，并显示了更多人证明的镜头。")</f>
        <v>屏幕上显示了文字，并显示了更多人证明的镜头。</v>
      </c>
    </row>
    <row r="25255">
      <c r="A25255" s="4" t="s">
        <v>31784</v>
      </c>
      <c r="B25255" s="6" t="s">
        <v>31787</v>
      </c>
      <c r="C25255" s="5" t="str">
        <f>IFERROR(__xludf.DUMMYFUNCTION("GOOGLETRANSLATE(B25255,""en"",""zh-CN"")"),"当摄像机捕捉动作时，人们继续在球场上击球。")</f>
        <v>当摄像机捕捉动作时，人们继续在球场上击球。</v>
      </c>
    </row>
    <row r="25256">
      <c r="A25256" s="4" t="s">
        <v>31788</v>
      </c>
      <c r="B25256" s="6" t="s">
        <v>31789</v>
      </c>
      <c r="C25256" s="5" t="str">
        <f>IFERROR(__xludf.DUMMYFUNCTION("GOOGLETRANSLATE(B25256,""en"",""zh-CN"")"),"两个女孩互相拥抱，穿着蓝色连衣裙的女孩略微推开了另一个女孩。")</f>
        <v>两个女孩互相拥抱，穿着蓝色连衣裙的女孩略微推开了另一个女孩。</v>
      </c>
    </row>
    <row r="25257">
      <c r="A25257" s="4" t="s">
        <v>31788</v>
      </c>
      <c r="B25257" s="4" t="s">
        <v>31790</v>
      </c>
      <c r="C25257" s="5" t="str">
        <f>IFERROR(__xludf.DUMMYFUNCTION("GOOGLETRANSLATE(B25257,""en"",""zh-CN"")"),"然后，她跑回她，拥抱她，再次逃离她。")</f>
        <v>然后，她跑回她，拥抱她，再次逃离她。</v>
      </c>
    </row>
    <row r="25258">
      <c r="A25258" s="4" t="s">
        <v>31791</v>
      </c>
      <c r="B25258" s="4" t="s">
        <v>31792</v>
      </c>
      <c r="C25258" s="5" t="str">
        <f>IFERROR(__xludf.DUMMYFUNCTION("GOOGLETRANSLATE(B25258,""en"",""zh-CN"")"),"我们看到一个男人在拿着手风琴的同时与镜头说话。")</f>
        <v>我们看到一个男人在拿着手风琴的同时与镜头说话。</v>
      </c>
    </row>
    <row r="25259">
      <c r="A25259" s="4" t="s">
        <v>31791</v>
      </c>
      <c r="B25259" s="4" t="s">
        <v>31793</v>
      </c>
      <c r="C25259" s="5" t="str">
        <f>IFERROR(__xludf.DUMMYFUNCTION("GOOGLETRANSLATE(B25259,""en"",""zh-CN"")"),"然后，该男子扮演手风琴，我们看到了它。")</f>
        <v>然后，该男子扮演手风琴，我们看到了它。</v>
      </c>
    </row>
    <row r="25260">
      <c r="A25260" s="4" t="s">
        <v>31791</v>
      </c>
      <c r="B25260" s="4" t="s">
        <v>31794</v>
      </c>
      <c r="C25260" s="5" t="str">
        <f>IFERROR(__xludf.DUMMYFUNCTION("GOOGLETRANSLATE(B25260,""en"",""zh-CN"")"),"该男子握着一张纸条，双手颤抖。")</f>
        <v>该男子握着一张纸条，双手颤抖。</v>
      </c>
    </row>
    <row r="25261">
      <c r="A25261" s="4" t="s">
        <v>31791</v>
      </c>
      <c r="B25261" s="4" t="s">
        <v>31795</v>
      </c>
      <c r="C25261" s="5" t="str">
        <f>IFERROR(__xludf.DUMMYFUNCTION("GOOGLETRANSLATE(B25261,""en"",""zh-CN"")"),"我们放大了，男人停止玩。")</f>
        <v>我们放大了，男人停止玩。</v>
      </c>
    </row>
    <row r="25262">
      <c r="A25262" s="4" t="s">
        <v>31796</v>
      </c>
      <c r="B25262" s="6" t="s">
        <v>31797</v>
      </c>
      <c r="C25262" s="5" t="str">
        <f>IFERROR(__xludf.DUMMYFUNCTION("GOOGLETRANSLATE(B25262,""en"",""zh-CN"")"),"看到一大批人从轨道上奔跑，并过渡到了更多的人。")</f>
        <v>看到一大批人从轨道上奔跑，并过渡到了更多的人。</v>
      </c>
    </row>
    <row r="25263">
      <c r="A25263" s="4" t="s">
        <v>31796</v>
      </c>
      <c r="B25263" s="6" t="s">
        <v>31798</v>
      </c>
      <c r="C25263" s="5" t="str">
        <f>IFERROR(__xludf.DUMMYFUNCTION("GOOGLETRANSLATE(B25263,""en"",""zh-CN"")"),"两名女孩在镜头说话时检查手腕，并显示了几张腕带的镜头。")</f>
        <v>两名女孩在镜头说话时检查手腕，并显示了几张腕带的镜头。</v>
      </c>
    </row>
    <row r="25264">
      <c r="A25264" s="4" t="s">
        <v>31796</v>
      </c>
      <c r="B25264" s="6" t="s">
        <v>31799</v>
      </c>
      <c r="C25264" s="5" t="str">
        <f>IFERROR(__xludf.DUMMYFUNCTION("GOOGLETRANSLATE(B25264,""en"",""zh-CN"")"),"佩戴腕带时，更多的人接受了采访，并展示了许多人在许多人跑来跑去时的工作方式。")</f>
        <v>佩戴腕带时，更多的人接受了采访，并展示了许多人在许多人跑来跑去时的工作方式。</v>
      </c>
    </row>
    <row r="25265">
      <c r="A25265" s="4" t="s">
        <v>31800</v>
      </c>
      <c r="B25265" s="4" t="s">
        <v>31801</v>
      </c>
      <c r="C25265" s="5" t="str">
        <f>IFERROR(__xludf.DUMMYFUNCTION("GOOGLETRANSLATE(B25265,""en"",""zh-CN"")"),"我们看到男人在船上，一个锯出现，然后一个男人在吊床上。")</f>
        <v>我们看到男人在船上，一个锯出现，然后一个男人在吊床上。</v>
      </c>
    </row>
    <row r="25266">
      <c r="A25266" s="4" t="s">
        <v>31800</v>
      </c>
      <c r="B25266" s="6" t="s">
        <v>31802</v>
      </c>
      <c r="C25266" s="5" t="str">
        <f>IFERROR(__xludf.DUMMYFUNCTION("GOOGLETRANSLATE(B25266,""en"",""zh-CN"")"),"该男子站起来，去割草机，在轮子上很好地创建一些东西，并将其与割草机和棚屋联系起来。")</f>
        <v>该男子站起来，去割草机，在轮子上很好地创建一些东西，并将其与割草机和棚屋联系起来。</v>
      </c>
    </row>
    <row r="25267">
      <c r="A25267" s="4" t="s">
        <v>31800</v>
      </c>
      <c r="B25267" s="4" t="s">
        <v>31803</v>
      </c>
      <c r="C25267" s="5" t="str">
        <f>IFERROR(__xludf.DUMMYFUNCTION("GOOGLETRANSLATE(B25267,""en"",""zh-CN"")"),"该男子允许割草机在物体周围旋转并切草。")</f>
        <v>该男子允许割草机在物体周围旋转并切草。</v>
      </c>
    </row>
    <row r="25268">
      <c r="A25268" s="4" t="s">
        <v>31800</v>
      </c>
      <c r="B25268" s="4" t="s">
        <v>31804</v>
      </c>
      <c r="C25268" s="5" t="str">
        <f>IFERROR(__xludf.DUMMYFUNCTION("GOOGLETRANSLATE(B25268,""en"",""zh-CN"")"),"然后，它将物体拉到线上的棚子里，门拉开。")</f>
        <v>然后，它将物体拉到线上的棚子里，门拉开。</v>
      </c>
    </row>
    <row r="25269">
      <c r="A25269" s="4" t="s">
        <v>31805</v>
      </c>
      <c r="B25269" s="4" t="s">
        <v>31806</v>
      </c>
      <c r="C25269" s="5" t="str">
        <f>IFERROR(__xludf.DUMMYFUNCTION("GOOGLETRANSLATE(B25269,""en"",""zh-CN"")"),"ADD显示一个网站有关一个名为HappyDogz的业务。")</f>
        <v>ADD显示一个网站有关一个名为HappyDogz的业务。</v>
      </c>
    </row>
    <row r="25270">
      <c r="A25270" s="4" t="s">
        <v>31805</v>
      </c>
      <c r="B25270" s="6" t="s">
        <v>31807</v>
      </c>
      <c r="C25270" s="5" t="str">
        <f>IFERROR(__xludf.DUMMYFUNCTION("GOOGLETRANSLATE(B25270,""en"",""zh-CN"")"),"然后，一个男人似乎被狗拉了，然后添加了有关可伸缩狗皮带的显示信息。")</f>
        <v>然后，一个男人似乎被狗拉了，然后添加了有关可伸缩狗皮带的显示信息。</v>
      </c>
    </row>
    <row r="25271">
      <c r="A25271" s="4" t="s">
        <v>31805</v>
      </c>
      <c r="B25271" s="4" t="s">
        <v>31808</v>
      </c>
      <c r="C25271" s="5" t="str">
        <f>IFERROR(__xludf.DUMMYFUNCTION("GOOGLETRANSLATE(B25271,""en"",""zh-CN"")"),"之后，一对夫妇从皮带上拉了两只狗。")</f>
        <v>之后，一对夫妇从皮带上拉了两只狗。</v>
      </c>
    </row>
    <row r="25272">
      <c r="A25272" s="4" t="s">
        <v>31805</v>
      </c>
      <c r="B25272" s="4" t="s">
        <v>31809</v>
      </c>
      <c r="C25272" s="5" t="str">
        <f>IFERROR(__xludf.DUMMYFUNCTION("GOOGLETRANSLATE(B25272,""en"",""zh-CN"")"),"之后，添加有关皮带的显示信息。")</f>
        <v>之后，添加有关皮带的显示信息。</v>
      </c>
    </row>
    <row r="25273">
      <c r="A25273" s="4" t="s">
        <v>31810</v>
      </c>
      <c r="B25273" s="4" t="s">
        <v>31811</v>
      </c>
      <c r="C25273" s="5" t="str">
        <f>IFERROR(__xludf.DUMMYFUNCTION("GOOGLETRANSLATE(B25273,""en"",""zh-CN"")"),"雕刻的南瓜，上面有灯光在柜台上发光。")</f>
        <v>雕刻的南瓜，上面有灯光在柜台上发光。</v>
      </c>
    </row>
    <row r="25274">
      <c r="A25274" s="4" t="s">
        <v>31810</v>
      </c>
      <c r="B25274" s="4" t="s">
        <v>31812</v>
      </c>
      <c r="C25274" s="5" t="str">
        <f>IFERROR(__xludf.DUMMYFUNCTION("GOOGLETRANSLATE(B25274,""en"",""zh-CN"")"),"然后显示雕刻的供应。")</f>
        <v>然后显示雕刻的供应。</v>
      </c>
    </row>
    <row r="25275">
      <c r="A25275" s="4" t="s">
        <v>31810</v>
      </c>
      <c r="B25275" s="4" t="s">
        <v>31813</v>
      </c>
      <c r="C25275" s="5" t="str">
        <f>IFERROR(__xludf.DUMMYFUNCTION("GOOGLETRANSLATE(B25275,""en"",""zh-CN"")"),"一个女人把南瓜的顶部切下了种子。")</f>
        <v>一个女人把南瓜的顶部切下了种子。</v>
      </c>
    </row>
    <row r="25276">
      <c r="A25276" s="4" t="s">
        <v>31810</v>
      </c>
      <c r="B25276" s="4" t="s">
        <v>31814</v>
      </c>
      <c r="C25276" s="5" t="str">
        <f>IFERROR(__xludf.DUMMYFUNCTION("GOOGLETRANSLATE(B25276,""en"",""zh-CN"")"),"然后，她雕刻了追踪的线条以切断设计。")</f>
        <v>然后，她雕刻了追踪的线条以切断设计。</v>
      </c>
    </row>
    <row r="25277">
      <c r="A25277" s="4" t="s">
        <v>31810</v>
      </c>
      <c r="B25277" s="4" t="s">
        <v>31815</v>
      </c>
      <c r="C25277" s="5" t="str">
        <f>IFERROR(__xludf.DUMMYFUNCTION("GOOGLETRANSLATE(B25277,""en"",""zh-CN"")"),"完成后，将茶灯放置在南瓜内并点亮。")</f>
        <v>完成后，将茶灯放置在南瓜内并点亮。</v>
      </c>
    </row>
    <row r="25278">
      <c r="A25278" s="4" t="s">
        <v>31816</v>
      </c>
      <c r="B25278" s="4" t="s">
        <v>16436</v>
      </c>
      <c r="C25278" s="5" t="str">
        <f>IFERROR(__xludf.DUMMYFUNCTION("GOOGLETRANSLATE(B25278,""en"",""zh-CN"")"),"一个女人跪在蓝色垫子上。")</f>
        <v>一个女人跪在蓝色垫子上。</v>
      </c>
    </row>
    <row r="25279">
      <c r="A25279" s="4" t="s">
        <v>31816</v>
      </c>
      <c r="B25279" s="4" t="s">
        <v>31817</v>
      </c>
      <c r="C25279" s="5" t="str">
        <f>IFERROR(__xludf.DUMMYFUNCTION("GOOGLETRANSLATE(B25279,""en"",""zh-CN"")"),"她的肩膀上有一个金属重量棒。")</f>
        <v>她的肩膀上有一个金属重量棒。</v>
      </c>
    </row>
    <row r="25280">
      <c r="A25280" s="4" t="s">
        <v>31816</v>
      </c>
      <c r="B25280" s="4" t="s">
        <v>31818</v>
      </c>
      <c r="C25280" s="5" t="str">
        <f>IFERROR(__xludf.DUMMYFUNCTION("GOOGLETRANSLATE(B25280,""en"",""zh-CN"")"),"她上下移动举重。")</f>
        <v>她上下移动举重。</v>
      </c>
    </row>
    <row r="25281">
      <c r="A25281" s="4" t="s">
        <v>31819</v>
      </c>
      <c r="B25281" s="4" t="s">
        <v>31820</v>
      </c>
      <c r="C25281" s="5" t="str">
        <f>IFERROR(__xludf.DUMMYFUNCTION("GOOGLETRANSLATE(B25281,""en"",""zh-CN"")"),"看到一个女人在拿着一瓶防晒霜时向相机说话。")</f>
        <v>看到一个女人在拿着一瓶防晒霜时向相机说话。</v>
      </c>
    </row>
    <row r="25282">
      <c r="A25282" s="4" t="s">
        <v>31819</v>
      </c>
      <c r="B25282" s="4" t="s">
        <v>31821</v>
      </c>
      <c r="C25282" s="5" t="str">
        <f>IFERROR(__xludf.DUMMYFUNCTION("GOOGLETRANSLATE(B25282,""en"",""zh-CN"")"),"然后，她打开瓶子，并在侧面使用持有者。")</f>
        <v>然后，她打开瓶子，并在侧面使用持有者。</v>
      </c>
    </row>
    <row r="25283">
      <c r="A25283" s="4" t="s">
        <v>31819</v>
      </c>
      <c r="B25283" s="4" t="s">
        <v>31822</v>
      </c>
      <c r="C25283" s="5" t="str">
        <f>IFERROR(__xludf.DUMMYFUNCTION("GOOGLETRANSLATE(B25283,""en"",""zh-CN"")"),"她仍在与镜头说话的同时炫耀持有者。")</f>
        <v>她仍在与镜头说话的同时炫耀持有者。</v>
      </c>
    </row>
    <row r="25284">
      <c r="A25284" s="4" t="s">
        <v>31823</v>
      </c>
      <c r="B25284" s="4" t="s">
        <v>31824</v>
      </c>
      <c r="C25284" s="5" t="str">
        <f>IFERROR(__xludf.DUMMYFUNCTION("GOOGLETRANSLATE(B25284,""en"",""zh-CN"")"),"看到几个人彼此站着握住棍子，环顾四周。")</f>
        <v>看到几个人彼此站着握住棍子，环顾四周。</v>
      </c>
    </row>
    <row r="25285">
      <c r="A25285" s="4" t="s">
        <v>31823</v>
      </c>
      <c r="B25285" s="6" t="s">
        <v>31825</v>
      </c>
      <c r="C25285" s="5" t="str">
        <f>IFERROR(__xludf.DUMMYFUNCTION("GOOGLETRANSLATE(B25285,""en"",""zh-CN"")"),"人们一次撞到草坪上的球，彼此笑着笑着。")</f>
        <v>人们一次撞到草坪上的球，彼此笑着笑着。</v>
      </c>
    </row>
    <row r="25286">
      <c r="A25286" s="4" t="s">
        <v>31826</v>
      </c>
      <c r="B25286" s="4" t="s">
        <v>31827</v>
      </c>
      <c r="C25286" s="5" t="str">
        <f>IFERROR(__xludf.DUMMYFUNCTION("GOOGLETRANSLATE(B25286,""en"",""zh-CN"")"),"一个人在平衡梁上摇摆。")</f>
        <v>一个人在平衡梁上摇摆。</v>
      </c>
    </row>
    <row r="25287">
      <c r="A25287" s="4" t="s">
        <v>31826</v>
      </c>
      <c r="B25287" s="4" t="s">
        <v>31828</v>
      </c>
      <c r="C25287" s="5" t="str">
        <f>IFERROR(__xludf.DUMMYFUNCTION("GOOGLETRANSLATE(B25287,""en"",""zh-CN"")"),"他跳下来，把手放在空中。")</f>
        <v>他跳下来，把手放在空中。</v>
      </c>
    </row>
    <row r="25288">
      <c r="A25288" s="4" t="s">
        <v>31826</v>
      </c>
      <c r="B25288" s="4" t="s">
        <v>31829</v>
      </c>
      <c r="C25288" s="5" t="str">
        <f>IFERROR(__xludf.DUMMYFUNCTION("GOOGLETRANSLATE(B25288,""en"",""zh-CN"")"),"他回到平衡梁上。")</f>
        <v>他回到平衡梁上。</v>
      </c>
    </row>
    <row r="25289">
      <c r="A25289" s="4" t="s">
        <v>31830</v>
      </c>
      <c r="B25289" s="6" t="s">
        <v>31831</v>
      </c>
      <c r="C25289" s="5" t="str">
        <f>IFERROR(__xludf.DUMMYFUNCTION("GOOGLETRANSLATE(B25289,""en"",""zh-CN"")"),"一个男人穿着保龄球，鞋子，戴着手套，轮流将球从车道滚下来并撞到别针时，穿着保龄球，鞋子和戴着手套。")</f>
        <v>一个男人穿着保龄球，鞋子，戴着手套，轮流将球从车道滚下来并撞到别针时，穿着保龄球，鞋子和戴着手套。</v>
      </c>
    </row>
    <row r="25290">
      <c r="A25290" s="4" t="s">
        <v>31830</v>
      </c>
      <c r="B25290" s="6" t="s">
        <v>31832</v>
      </c>
      <c r="C25290" s="5" t="str">
        <f>IFERROR(__xludf.DUMMYFUNCTION("GOOGLETRANSLATE(B25290,""en"",""zh-CN"")"),"该名男子从返回中抓住球，握住球，站在那里凝视着车道，当他最终滚动时，他罢工了。")</f>
        <v>该名男子从返回中抓住球，握住球，站在那里凝视着车道，当他最终滚动时，他罢工了。</v>
      </c>
    </row>
    <row r="25291">
      <c r="A25291" s="4" t="s">
        <v>31830</v>
      </c>
      <c r="B25291" s="4" t="s">
        <v>31833</v>
      </c>
      <c r="C25291" s="5" t="str">
        <f>IFERROR(__xludf.DUMMYFUNCTION("GOOGLETRANSLATE(B25291,""en"",""zh-CN"")"),"罢工结束后，它将以慢动作重播。")</f>
        <v>罢工结束后，它将以慢动作重播。</v>
      </c>
    </row>
    <row r="25292">
      <c r="A25292" s="4" t="s">
        <v>31834</v>
      </c>
      <c r="B25292" s="6" t="s">
        <v>31835</v>
      </c>
      <c r="C25292" s="5" t="str">
        <f>IFERROR(__xludf.DUMMYFUNCTION("GOOGLETRANSLATE(B25292,""en"",""zh-CN"")"),"屋顶顶部的一览无余，上面散布着松树稻草，底部出现了一张横幅，“如果您在屋顶上有松树稻草，请致电我们678-887-9479。")</f>
        <v>屋顶顶部的一览无余，上面散布着松树稻草，底部出现了一张横幅，“如果您在屋顶上有松树稻草，请致电我们678-887-9479。</v>
      </c>
    </row>
    <row r="25293">
      <c r="A25293" s="4" t="s">
        <v>31834</v>
      </c>
      <c r="B25293" s="6" t="s">
        <v>31836</v>
      </c>
      <c r="C25293" s="5" t="str">
        <f>IFERROR(__xludf.DUMMYFUNCTION("GOOGLETRANSLATE(B25293,""en"",""zh-CN"")"),"一个男人现在在屋顶的顶部，他的右手有一个鼓风机，左手的金属棒以保持平衡，他沿着屋顶行走，吹着所有的松树稻草。")</f>
        <v>一个男人现在在屋顶的顶部，他的右手有一个鼓风机，左手的金属棒以保持平衡，他沿着屋顶行走，吹着所有的松树稻草。</v>
      </c>
    </row>
    <row r="25294">
      <c r="A25294" s="4" t="s">
        <v>31834</v>
      </c>
      <c r="B25294" s="4" t="s">
        <v>31837</v>
      </c>
      <c r="C25294" s="5" t="str">
        <f>IFERROR(__xludf.DUMMYFUNCTION("GOOGLETRANSLATE(B25294,""en"",""zh-CN"")"),"最后一个视图是清理屋顶，网站显示在屏幕底部。")</f>
        <v>最后一个视图是清理屋顶，网站显示在屏幕底部。</v>
      </c>
    </row>
    <row r="25295">
      <c r="A25295" s="4" t="s">
        <v>31838</v>
      </c>
      <c r="B25295" s="4" t="s">
        <v>31839</v>
      </c>
      <c r="C25295" s="5" t="str">
        <f>IFERROR(__xludf.DUMMYFUNCTION("GOOGLETRANSLATE(B25295,""en"",""zh-CN"")"),"一个人正在房间里铺设地毯。")</f>
        <v>一个人正在房间里铺设地毯。</v>
      </c>
    </row>
    <row r="25296">
      <c r="A25296" s="4" t="s">
        <v>31838</v>
      </c>
      <c r="B25296" s="4" t="s">
        <v>31840</v>
      </c>
      <c r="C25296" s="5" t="str">
        <f>IFERROR(__xludf.DUMMYFUNCTION("GOOGLETRANSLATE(B25296,""en"",""zh-CN"")"),"一个女人正在商店里看地毯样品。")</f>
        <v>一个女人正在商店里看地毯样品。</v>
      </c>
    </row>
    <row r="25297">
      <c r="A25297" s="4" t="s">
        <v>31838</v>
      </c>
      <c r="B25297" s="4" t="s">
        <v>31841</v>
      </c>
      <c r="C25297" s="5" t="str">
        <f>IFERROR(__xludf.DUMMYFUNCTION("GOOGLETRANSLATE(B25297,""en"",""zh-CN"")"),"男人膝盖安装硬木地板。")</f>
        <v>男人膝盖安装硬木地板。</v>
      </c>
    </row>
    <row r="25298">
      <c r="A25298" s="4" t="s">
        <v>31842</v>
      </c>
      <c r="B25298" s="6" t="s">
        <v>31843</v>
      </c>
      <c r="C25298" s="5" t="str">
        <f>IFERROR(__xludf.DUMMYFUNCTION("GOOGLETRANSLATE(B25298,""en"",""zh-CN"")"),"看到一个运动员站在一条长轨道的开头，几个人站在场上。")</f>
        <v>看到一个运动员站在一条长轨道的开头，几个人站在场上。</v>
      </c>
    </row>
    <row r="25299">
      <c r="A25299" s="4" t="s">
        <v>31842</v>
      </c>
      <c r="B25299" s="6" t="s">
        <v>31844</v>
      </c>
      <c r="C25299" s="5" t="str">
        <f>IFERROR(__xludf.DUMMYFUNCTION("GOOGLETRANSLATE(B25299,""en"",""zh-CN"")"),"他开始沿着赛道奔跑，并在远处绕着他走来走去。")</f>
        <v>他开始沿着赛道奔跑，并在远处绕着他走来走去。</v>
      </c>
    </row>
    <row r="25300">
      <c r="A25300" s="4" t="s">
        <v>31845</v>
      </c>
      <c r="B25300" s="4" t="s">
        <v>31846</v>
      </c>
      <c r="C25300" s="5" t="str">
        <f>IFERROR(__xludf.DUMMYFUNCTION("GOOGLETRANSLATE(B25300,""en"",""zh-CN"")"),"观众聚集在体育馆里观看鞍马上的体操运动员。")</f>
        <v>观众聚集在体育馆里观看鞍马上的体操运动员。</v>
      </c>
    </row>
    <row r="25301">
      <c r="A25301" s="4" t="s">
        <v>31845</v>
      </c>
      <c r="B25301" s="4" t="s">
        <v>31847</v>
      </c>
      <c r="C25301" s="5" t="str">
        <f>IFERROR(__xludf.DUMMYFUNCTION("GOOGLETRANSLATE(B25301,""en"",""zh-CN"")"),"他集中精力，然后登上以开始例行工作。")</f>
        <v>他集中精力，然后登上以开始例行工作。</v>
      </c>
    </row>
    <row r="25302">
      <c r="A25302" s="4" t="s">
        <v>31845</v>
      </c>
      <c r="B25302" s="6" t="s">
        <v>31848</v>
      </c>
      <c r="C25302" s="5" t="str">
        <f>IFERROR(__xludf.DUMMYFUNCTION("GOOGLETRANSLATE(B25302,""en"",""zh-CN"")"),"他表演了第一场，然后用双手抓住一个手柄，第二个令人印象深刻的倒立。")</f>
        <v>他表演了第一场，然后用双手抓住一个手柄，第二个令人印象深刻的倒立。</v>
      </c>
    </row>
    <row r="25303">
      <c r="A25303" s="4" t="s">
        <v>31845</v>
      </c>
      <c r="B25303" s="4" t="s">
        <v>31849</v>
      </c>
      <c r="C25303" s="5" t="str">
        <f>IFERROR(__xludf.DUMMYFUNCTION("GOOGLETRANSLATE(B25303,""en"",""zh-CN"")"),"他完成了例行工作，然后完成了完美的欢呼。")</f>
        <v>他完成了例行工作，然后完成了完美的欢呼。</v>
      </c>
    </row>
    <row r="25304">
      <c r="A25304" s="4" t="s">
        <v>31850</v>
      </c>
      <c r="B25304" s="4" t="s">
        <v>31851</v>
      </c>
      <c r="C25304" s="5" t="str">
        <f>IFERROR(__xludf.DUMMYFUNCTION("GOOGLETRANSLATE(B25304,""en"",""zh-CN"")"),"看到一个男人在远处时将飞镖扔在相机上。")</f>
        <v>看到一个男人在远处时将飞镖扔在相机上。</v>
      </c>
    </row>
    <row r="25305">
      <c r="A25305" s="4" t="s">
        <v>31850</v>
      </c>
      <c r="B25305" s="4" t="s">
        <v>31852</v>
      </c>
      <c r="C25305" s="5" t="str">
        <f>IFERROR(__xludf.DUMMYFUNCTION("GOOGLETRANSLATE(B25305,""en"",""zh-CN"")"),"显示了他投掷以及透过屏幕上的文字的几张照片。")</f>
        <v>显示了他投掷以及透过屏幕上的文字的几张照片。</v>
      </c>
    </row>
    <row r="25306">
      <c r="A25306" s="4" t="s">
        <v>31850</v>
      </c>
      <c r="B25306" s="4" t="s">
        <v>31853</v>
      </c>
      <c r="C25306" s="5" t="str">
        <f>IFERROR(__xludf.DUMMYFUNCTION("GOOGLETRANSLATE(B25306,""en"",""zh-CN"")"),"该男子继续一遍又一遍地扔。")</f>
        <v>该男子继续一遍又一遍地扔。</v>
      </c>
    </row>
    <row r="25307">
      <c r="A25307" s="4" t="s">
        <v>31854</v>
      </c>
      <c r="B25307" s="4" t="s">
        <v>31855</v>
      </c>
      <c r="C25307" s="5" t="str">
        <f>IFERROR(__xludf.DUMMYFUNCTION("GOOGLETRANSLATE(B25307,""en"",""zh-CN"")"),"一个女人展示了如何用抹刀用糖霜覆盖蛋糕。")</f>
        <v>一个女人展示了如何用抹刀用糖霜覆盖蛋糕。</v>
      </c>
    </row>
    <row r="25308">
      <c r="A25308" s="4" t="s">
        <v>31854</v>
      </c>
      <c r="B25308" s="4" t="s">
        <v>31856</v>
      </c>
      <c r="C25308" s="5" t="str">
        <f>IFERROR(__xludf.DUMMYFUNCTION("GOOGLETRANSLATE(B25308,""en"",""zh-CN"")"),"然后，她解释了如何用布清洁蛋糕的边界。")</f>
        <v>然后，她解释了如何用布清洁蛋糕的边界。</v>
      </c>
    </row>
    <row r="25309">
      <c r="A25309" s="4" t="s">
        <v>31857</v>
      </c>
      <c r="B25309" s="6" t="s">
        <v>31858</v>
      </c>
      <c r="C25309" s="5" t="str">
        <f>IFERROR(__xludf.DUMMYFUNCTION("GOOGLETRANSLATE(B25309,""en"",""zh-CN"")"),"显示了手机的特写，以及一个人醒来，刷牙并走出门。")</f>
        <v>显示了手机的特写，以及一个人醒来，刷牙并走出门。</v>
      </c>
    </row>
    <row r="25310">
      <c r="A25310" s="4" t="s">
        <v>31857</v>
      </c>
      <c r="B25310" s="4" t="s">
        <v>31859</v>
      </c>
      <c r="C25310" s="5" t="str">
        <f>IFERROR(__xludf.DUMMYFUNCTION("GOOGLETRANSLATE(B25310,""en"",""zh-CN"")"),"特写镜头显示了骑滑雪缆车以及山上的人们。")</f>
        <v>特写镜头显示了骑滑雪缆车以及山上的人们。</v>
      </c>
    </row>
    <row r="25311">
      <c r="A25311" s="4" t="s">
        <v>31857</v>
      </c>
      <c r="B25311" s="4" t="s">
        <v>31860</v>
      </c>
      <c r="C25311" s="5" t="str">
        <f>IFERROR(__xludf.DUMMYFUNCTION("GOOGLETRANSLATE(B25311,""en"",""zh-CN"")"),"人们可以仔细地放大相机，互相挥手。")</f>
        <v>人们可以仔细地放大相机，互相挥手。</v>
      </c>
    </row>
    <row r="25312">
      <c r="A25312" s="4" t="s">
        <v>31861</v>
      </c>
      <c r="B25312" s="4" t="s">
        <v>31862</v>
      </c>
      <c r="C25312" s="5" t="str">
        <f>IFERROR(__xludf.DUMMYFUNCTION("GOOGLETRANSLATE(B25312,""en"",""zh-CN"")"),"有人看到一个人站在一个拿着网球拍的近距离房间里。")</f>
        <v>有人看到一个人站在一个拿着网球拍的近距离房间里。</v>
      </c>
    </row>
    <row r="25313">
      <c r="A25313" s="4" t="s">
        <v>31861</v>
      </c>
      <c r="B25313" s="4" t="s">
        <v>31863</v>
      </c>
      <c r="C25313" s="5" t="str">
        <f>IFERROR(__xludf.DUMMYFUNCTION("GOOGLETRANSLATE(B25313,""en"",""zh-CN"")"),"然后，该人开始用球拍击球并四处走动。")</f>
        <v>然后，该人开始用球拍击球并四处走动。</v>
      </c>
    </row>
    <row r="25314">
      <c r="A25314" s="4" t="s">
        <v>31861</v>
      </c>
      <c r="B25314" s="4" t="s">
        <v>31864</v>
      </c>
      <c r="C25314" s="5" t="str">
        <f>IFERROR(__xludf.DUMMYFUNCTION("GOOGLETRANSLATE(B25314,""en"",""zh-CN"")"),"看到另一个人在框架和外面行走。")</f>
        <v>看到另一个人在框架和外面行走。</v>
      </c>
    </row>
    <row r="25315">
      <c r="A25315" s="4" t="s">
        <v>31865</v>
      </c>
      <c r="B25315" s="4" t="s">
        <v>31866</v>
      </c>
      <c r="C25315" s="5" t="str">
        <f>IFERROR(__xludf.DUMMYFUNCTION("GOOGLETRANSLATE(B25315,""en"",""zh-CN"")"),"两个孩子在外面跳绳。")</f>
        <v>两个孩子在外面跳绳。</v>
      </c>
    </row>
    <row r="25316">
      <c r="A25316" s="4" t="s">
        <v>31865</v>
      </c>
      <c r="B25316" s="4" t="s">
        <v>31867</v>
      </c>
      <c r="C25316" s="5" t="str">
        <f>IFERROR(__xludf.DUMMYFUNCTION("GOOGLETRANSLATE(B25316,""en"",""zh-CN"")"),"有两个成年人跪在地面上，拿着一条小孩子的跳绳。")</f>
        <v>有两个成年人跪在地面上，拿着一条小孩子的跳绳。</v>
      </c>
    </row>
    <row r="25317">
      <c r="A25317" s="4" t="s">
        <v>31865</v>
      </c>
      <c r="B25317" s="4" t="s">
        <v>31868</v>
      </c>
      <c r="C25317" s="5" t="str">
        <f>IFERROR(__xludf.DUMMYFUNCTION("GOOGLETRANSLATE(B25317,""en"",""zh-CN"")"),"那个女人正在和镜头说话。")</f>
        <v>那个女人正在和镜头说话。</v>
      </c>
    </row>
    <row r="25318">
      <c r="A25318" s="4" t="s">
        <v>31865</v>
      </c>
      <c r="B25318" s="4" t="s">
        <v>31869</v>
      </c>
      <c r="C25318" s="5" t="str">
        <f>IFERROR(__xludf.DUMMYFUNCTION("GOOGLETRANSLATE(B25318,""en"",""zh-CN"")"),"一个男孩在跳绳时将玻璃杯​​洒在他的脸上。")</f>
        <v>一个男孩在跳绳时将玻璃杯​​洒在他的脸上。</v>
      </c>
    </row>
    <row r="25319">
      <c r="A25319" s="4" t="s">
        <v>31870</v>
      </c>
      <c r="B25319" s="4" t="s">
        <v>31871</v>
      </c>
      <c r="C25319" s="5" t="str">
        <f>IFERROR(__xludf.DUMMYFUNCTION("GOOGLETRANSLATE(B25319,""en"",""zh-CN"")"),"女人穿着线束，驶上上方的直升机，并在火山上飞行。")</f>
        <v>女人穿着线束，驶上上方的直升机，并在火山上飞行。</v>
      </c>
    </row>
    <row r="25320">
      <c r="A25320" s="4" t="s">
        <v>31870</v>
      </c>
      <c r="B25320" s="4" t="s">
        <v>31872</v>
      </c>
      <c r="C25320" s="5" t="str">
        <f>IFERROR(__xludf.DUMMYFUNCTION("GOOGLETRANSLATE(B25320,""en"",""zh-CN"")"),"一个男人和一个女人从直升机的门上悬挂着，绳子扎着绳子，跳了起来。")</f>
        <v>一个男人和一个女人从直升机的门上悬挂着，绳子扎着绳子，跳了起来。</v>
      </c>
    </row>
    <row r="25321">
      <c r="A25321" s="4" t="s">
        <v>31870</v>
      </c>
      <c r="B25321" s="4" t="s">
        <v>31873</v>
      </c>
      <c r="C25321" s="5" t="str">
        <f>IFERROR(__xludf.DUMMYFUNCTION("GOOGLETRANSLATE(B25321,""en"",""zh-CN"")"),"男人和女人在土地上与一对夫妇交谈。")</f>
        <v>男人和女人在土地上与一对夫妇交谈。</v>
      </c>
    </row>
    <row r="25322">
      <c r="A25322" s="4" t="s">
        <v>31874</v>
      </c>
      <c r="B25322" s="4" t="s">
        <v>31875</v>
      </c>
      <c r="C25322" s="5" t="str">
        <f>IFERROR(__xludf.DUMMYFUNCTION("GOOGLETRANSLATE(B25322,""en"",""zh-CN"")"),"男人在汽车前，开着罩。")</f>
        <v>男人在汽车前，开着罩。</v>
      </c>
    </row>
    <row r="25323">
      <c r="A25323" s="4" t="s">
        <v>31874</v>
      </c>
      <c r="B25323" s="4" t="s">
        <v>31876</v>
      </c>
      <c r="C25323" s="5" t="str">
        <f>IFERROR(__xludf.DUMMYFUNCTION("GOOGLETRANSLATE(B25323,""en"",""zh-CN"")"),"人走过树林，ty点燃柴火。")</f>
        <v>人走过树林，ty点燃柴火。</v>
      </c>
    </row>
    <row r="25324">
      <c r="A25324" s="4" t="s">
        <v>31877</v>
      </c>
      <c r="B25324" s="4" t="s">
        <v>31878</v>
      </c>
      <c r="C25324" s="5" t="str">
        <f>IFERROR(__xludf.DUMMYFUNCTION("GOOGLETRANSLATE(B25324,""en"",""zh-CN"")"),"有人在篱笆上上下抚摸蓝色油漆。")</f>
        <v>有人在篱笆上上下抚摸蓝色油漆。</v>
      </c>
    </row>
    <row r="25325">
      <c r="A25325" s="4" t="s">
        <v>31877</v>
      </c>
      <c r="B25325" s="4" t="s">
        <v>31879</v>
      </c>
      <c r="C25325" s="5" t="str">
        <f>IFERROR(__xludf.DUMMYFUNCTION("GOOGLETRANSLATE(B25325,""en"",""zh-CN"")"),"他们再次将油漆刷放入油漆中，以收集更多油漆。")</f>
        <v>他们再次将油漆刷放入油漆中，以收集更多油漆。</v>
      </c>
    </row>
    <row r="25326">
      <c r="A25326" s="4" t="s">
        <v>31877</v>
      </c>
      <c r="B25326" s="4" t="s">
        <v>31880</v>
      </c>
      <c r="C25326" s="5" t="str">
        <f>IFERROR(__xludf.DUMMYFUNCTION("GOOGLETRANSLATE(B25326,""en"",""zh-CN"")"),"然后继续绘画篱笆。")</f>
        <v>然后继续绘画篱笆。</v>
      </c>
    </row>
    <row r="25327">
      <c r="A25327" s="4" t="s">
        <v>31877</v>
      </c>
      <c r="B25327" s="4" t="s">
        <v>31881</v>
      </c>
      <c r="C25327" s="5" t="str">
        <f>IFERROR(__xludf.DUMMYFUNCTION("GOOGLETRANSLATE(B25327,""en"",""zh-CN"")"),"他们多次尝试覆盖所有棕色。")</f>
        <v>他们多次尝试覆盖所有棕色。</v>
      </c>
    </row>
    <row r="25328">
      <c r="A25328" s="4" t="s">
        <v>31882</v>
      </c>
      <c r="B25328" s="6" t="s">
        <v>31883</v>
      </c>
      <c r="C25328" s="5" t="str">
        <f>IFERROR(__xludf.DUMMYFUNCTION("GOOGLETRANSLATE(B25328,""en"",""zh-CN"")"),"看到一个男人站在一个抱着孩子的孩子之前站着，而其他人则站着看着。")</f>
        <v>看到一个男人站在一个抱着孩子的孩子之前站着，而其他人则站着看着。</v>
      </c>
    </row>
    <row r="25329">
      <c r="A25329" s="4" t="s">
        <v>31882</v>
      </c>
      <c r="B25329" s="4" t="s">
        <v>31884</v>
      </c>
      <c r="C25329" s="5" t="str">
        <f>IFERROR(__xludf.DUMMYFUNCTION("GOOGLETRANSLATE(B25329,""en"",""zh-CN"")"),"然后，当孩子们坐在周围观看时，盲目折叠的男孩在皮纳塔（Pinata）进行了多次挥杆。")</f>
        <v>然后，当孩子们坐在周围观看时，盲目折叠的男孩在皮纳塔（Pinata）进行了多次挥杆。</v>
      </c>
    </row>
    <row r="25330">
      <c r="A25330" s="4" t="s">
        <v>31885</v>
      </c>
      <c r="B25330" s="4" t="s">
        <v>31886</v>
      </c>
      <c r="C25330" s="5" t="str">
        <f>IFERROR(__xludf.DUMMYFUNCTION("GOOGLETRANSLATE(B25330,""en"",""zh-CN"")"),"有一个穿着黄色背心的女人，黑色的紧身裤在健身房里跳绳。")</f>
        <v>有一个穿着黄色背心的女人，黑色的紧身裤在健身房里跳绳。</v>
      </c>
    </row>
    <row r="25331">
      <c r="A25331" s="4" t="s">
        <v>31885</v>
      </c>
      <c r="B25331" s="4" t="s">
        <v>31887</v>
      </c>
      <c r="C25331" s="5" t="str">
        <f>IFERROR(__xludf.DUMMYFUNCTION("GOOGLETRANSLATE(B25331,""en"",""zh-CN"")"),"她以有节奏的方式跳跃而不停在硬木地板表面。")</f>
        <v>她以有节奏的方式跳跃而不停在硬木地板表面。</v>
      </c>
    </row>
    <row r="25332">
      <c r="A25332" s="4" t="s">
        <v>31885</v>
      </c>
      <c r="B25332" s="4" t="s">
        <v>31888</v>
      </c>
      <c r="C25332" s="5" t="str">
        <f>IFERROR(__xludf.DUMMYFUNCTION("GOOGLETRANSLATE(B25332,""en"",""zh-CN"")"),"完成后，一个站在她面前的人给她一个大拇指，为她加油。")</f>
        <v>完成后，一个站在她面前的人给她一个大拇指，为她加油。</v>
      </c>
    </row>
    <row r="25333">
      <c r="A25333" s="4" t="s">
        <v>31889</v>
      </c>
      <c r="B25333" s="4" t="s">
        <v>31890</v>
      </c>
      <c r="C25333" s="5" t="str">
        <f>IFERROR(__xludf.DUMMYFUNCTION("GOOGLETRANSLATE(B25333,""en"",""zh-CN"")"),"一个女人坐在一个房间里说话。")</f>
        <v>一个女人坐在一个房间里说话。</v>
      </c>
    </row>
    <row r="25334">
      <c r="A25334" s="4" t="s">
        <v>31889</v>
      </c>
      <c r="B25334" s="4" t="s">
        <v>31891</v>
      </c>
      <c r="C25334" s="5" t="str">
        <f>IFERROR(__xludf.DUMMYFUNCTION("GOOGLETRANSLATE(B25334,""en"",""zh-CN"")"),"她身后的床上有一只白猫。")</f>
        <v>她身后的床上有一只白猫。</v>
      </c>
    </row>
    <row r="25335">
      <c r="A25335" s="4" t="s">
        <v>31889</v>
      </c>
      <c r="B25335" s="4" t="s">
        <v>31892</v>
      </c>
      <c r="C25335" s="5" t="str">
        <f>IFERROR(__xludf.DUMMYFUNCTION("GOOGLETRANSLATE(B25335,""en"",""zh-CN"")"),"她开始将头发编织到侧面。")</f>
        <v>她开始将头发编织到侧面。</v>
      </c>
    </row>
    <row r="25336">
      <c r="A25336" s="4" t="s">
        <v>31889</v>
      </c>
      <c r="B25336" s="4" t="s">
        <v>31893</v>
      </c>
      <c r="C25336" s="5" t="str">
        <f>IFERROR(__xludf.DUMMYFUNCTION("GOOGLETRANSLATE(B25336,""en"",""zh-CN"")"),"她继续说话，向相机吹一个吻。")</f>
        <v>她继续说话，向相机吹一个吻。</v>
      </c>
    </row>
    <row r="25337">
      <c r="A25337" s="4" t="s">
        <v>31894</v>
      </c>
      <c r="B25337" s="4" t="s">
        <v>31895</v>
      </c>
      <c r="C25337" s="5" t="str">
        <f>IFERROR(__xludf.DUMMYFUNCTION("GOOGLETRANSLATE(B25337,""en"",""zh-CN"")"),"看到一个女人在拿着画笔和水桶时在相机上说话。")</f>
        <v>看到一个女人在拿着画笔和水桶时在相机上说话。</v>
      </c>
    </row>
    <row r="25338">
      <c r="A25338" s="4" t="s">
        <v>31894</v>
      </c>
      <c r="B25338" s="4" t="s">
        <v>31896</v>
      </c>
      <c r="C25338" s="5" t="str">
        <f>IFERROR(__xludf.DUMMYFUNCTION("GOOGLETRANSLATE(B25338,""en"",""zh-CN"")"),"她在旁边拿着一块家具，同时还拿着刷子。")</f>
        <v>她在旁边拿着一块家具，同时还拿着刷子。</v>
      </c>
    </row>
    <row r="25339">
      <c r="A25339" s="4" t="s">
        <v>31894</v>
      </c>
      <c r="B25339" s="4" t="s">
        <v>31897</v>
      </c>
      <c r="C25339" s="5" t="str">
        <f>IFERROR(__xludf.DUMMYFUNCTION("GOOGLETRANSLATE(B25339,""en"",""zh-CN"")"),"她将更多的物体浸入其中，并将刷子浸入其中，并在家具上使用。")</f>
        <v>她将更多的物体浸入其中，并将刷子浸入其中，并在家具上使用。</v>
      </c>
    </row>
    <row r="25340">
      <c r="A25340" s="4" t="s">
        <v>31898</v>
      </c>
      <c r="B25340" s="4" t="s">
        <v>31899</v>
      </c>
      <c r="C25340" s="5" t="str">
        <f>IFERROR(__xludf.DUMMYFUNCTION("GOOGLETRANSLATE(B25340,""en"",""zh-CN"")"),"一名妇女报道正在用严肃的举止与相机交谈。")</f>
        <v>一名妇女报道正在用严肃的举止与相机交谈。</v>
      </c>
    </row>
    <row r="25341">
      <c r="A25341" s="4" t="s">
        <v>31898</v>
      </c>
      <c r="B25341" s="6" t="s">
        <v>31900</v>
      </c>
      <c r="C25341" s="5" t="str">
        <f>IFERROR(__xludf.DUMMYFUNCTION("GOOGLETRANSLATE(B25341,""en"",""zh-CN"")"),"一个男人从袋子上解开小提琴，并在记者评论时为相机打一点。")</f>
        <v>一个男人从袋子上解开小提琴，并在记者评论时为相机打一点。</v>
      </c>
    </row>
    <row r="25342">
      <c r="A25342" s="4" t="s">
        <v>31898</v>
      </c>
      <c r="B25342" s="4" t="s">
        <v>31901</v>
      </c>
      <c r="C25342" s="5" t="str">
        <f>IFERROR(__xludf.DUMMYFUNCTION("GOOGLETRANSLATE(B25342,""en"",""zh-CN"")"),"他开始为自己的状况而挣扎，并就如何修复他展示了手术。")</f>
        <v>他开始为自己的状况而挣扎，并就如何修复他展示了手术。</v>
      </c>
    </row>
    <row r="25343">
      <c r="A25343" s="4" t="s">
        <v>31898</v>
      </c>
      <c r="B25343" s="6" t="s">
        <v>31902</v>
      </c>
      <c r="C25343" s="5" t="str">
        <f>IFERROR(__xludf.DUMMYFUNCTION("GOOGLETRANSLATE(B25343,""en"",""zh-CN"")"),"记者声称，这个人比以往任何时候都更好，并显示了他在节目中扮演小提琴的进步。")</f>
        <v>记者声称，这个人比以往任何时候都更好，并显示了他在节目中扮演小提琴的进步。</v>
      </c>
    </row>
    <row r="25344">
      <c r="A25344" s="4" t="s">
        <v>31903</v>
      </c>
      <c r="B25344" s="4" t="s">
        <v>31904</v>
      </c>
      <c r="C25344" s="5" t="str">
        <f>IFERROR(__xludf.DUMMYFUNCTION("GOOGLETRANSLATE(B25344,""en"",""zh-CN"")"),"一个人站在起跑线上拍手，人们看着。")</f>
        <v>一个人站在起跑线上拍手，人们看着。</v>
      </c>
    </row>
    <row r="25345">
      <c r="A25345" s="4" t="s">
        <v>31903</v>
      </c>
      <c r="B25345" s="4" t="s">
        <v>31905</v>
      </c>
      <c r="C25345" s="5" t="str">
        <f>IFERROR(__xludf.DUMMYFUNCTION("GOOGLETRANSLATE(B25345,""en"",""zh-CN"")"),"他起步跑步，跳远。")</f>
        <v>他起步跑步，跳远。</v>
      </c>
    </row>
    <row r="25346">
      <c r="A25346" s="4" t="s">
        <v>31903</v>
      </c>
      <c r="B25346" s="4" t="s">
        <v>31906</v>
      </c>
      <c r="C25346" s="5" t="str">
        <f>IFERROR(__xludf.DUMMYFUNCTION("GOOGLETRANSLATE(B25346,""en"",""zh-CN"")"),"他向大量鼓掌观众致敬。")</f>
        <v>他向大量鼓掌观众致敬。</v>
      </c>
    </row>
    <row r="25347">
      <c r="A25347" s="4" t="s">
        <v>31903</v>
      </c>
      <c r="B25347" s="4" t="s">
        <v>31907</v>
      </c>
      <c r="C25347" s="5" t="str">
        <f>IFERROR(__xludf.DUMMYFUNCTION("GOOGLETRANSLATE(B25347,""en"",""zh-CN"")"),"另一个男人在起跑线上等待，然后加速跳远。")</f>
        <v>另一个男人在起跑线上等待，然后加速跳远。</v>
      </c>
    </row>
    <row r="25348">
      <c r="A25348" s="4" t="s">
        <v>31903</v>
      </c>
      <c r="B25348" s="4" t="s">
        <v>31908</v>
      </c>
      <c r="C25348" s="5" t="str">
        <f>IFERROR(__xludf.DUMMYFUNCTION("GOOGLETRANSLATE(B25348,""en"",""zh-CN"")"),"他看着被柔和的人群。")</f>
        <v>他看着被柔和的人群。</v>
      </c>
    </row>
    <row r="25349">
      <c r="A25349" s="4" t="s">
        <v>31903</v>
      </c>
      <c r="B25349" s="4" t="s">
        <v>31909</v>
      </c>
      <c r="C25349" s="5" t="str">
        <f>IFERROR(__xludf.DUMMYFUNCTION("GOOGLETRANSLATE(B25349,""en"",""zh-CN"")"),"他走开看着地面。")</f>
        <v>他走开看着地面。</v>
      </c>
    </row>
    <row r="25350">
      <c r="A25350" s="4" t="s">
        <v>31903</v>
      </c>
      <c r="B25350" s="4" t="s">
        <v>31910</v>
      </c>
      <c r="C25350" s="5" t="str">
        <f>IFERROR(__xludf.DUMMYFUNCTION("GOOGLETRANSLATE(B25350,""en"",""zh-CN"")"),"另一个男人在开始线上等待，然后碰到一个漫长的人。")</f>
        <v>另一个男人在开始线上等待，然后碰到一个漫长的人。</v>
      </c>
    </row>
    <row r="25351">
      <c r="A25351" s="4" t="s">
        <v>31903</v>
      </c>
      <c r="B25351" s="4" t="s">
        <v>31911</v>
      </c>
      <c r="C25351" s="5" t="str">
        <f>IFERROR(__xludf.DUMMYFUNCTION("GOOGLETRANSLATE(B25351,""en"",""zh-CN"")"),"他向欣赏的人群挥手，逃跑了微笑和庆祝。")</f>
        <v>他向欣赏的人群挥手，逃跑了微笑和庆祝。</v>
      </c>
    </row>
    <row r="25352">
      <c r="A25352" s="4" t="s">
        <v>31912</v>
      </c>
      <c r="B25352" s="4" t="s">
        <v>31913</v>
      </c>
      <c r="C25352" s="5" t="str">
        <f>IFERROR(__xludf.DUMMYFUNCTION("GOOGLETRANSLATE(B25352,""en"",""zh-CN"")"),"看到一个人躺在地上，另一个人从后面奔跑。")</f>
        <v>看到一个人躺在地上，另一个人从后面奔跑。</v>
      </c>
    </row>
    <row r="25353">
      <c r="A25353" s="4" t="s">
        <v>31912</v>
      </c>
      <c r="B25353" s="4" t="s">
        <v>31914</v>
      </c>
      <c r="C25353" s="5" t="str">
        <f>IFERROR(__xludf.DUMMYFUNCTION("GOOGLETRANSLATE(B25353,""en"",""zh-CN"")"),"然后，跑步的人跌倒了，周围的其他人可以帮助和喝水。")</f>
        <v>然后，跑步的人跌倒了，周围的其他人可以帮助和喝水。</v>
      </c>
    </row>
    <row r="25354">
      <c r="A25354" s="4" t="s">
        <v>31915</v>
      </c>
      <c r="B25354" s="4" t="s">
        <v>31916</v>
      </c>
      <c r="C25354" s="5" t="str">
        <f>IFERROR(__xludf.DUMMYFUNCTION("GOOGLETRANSLATE(B25354,""en"",""zh-CN"")"),"玩家正在曲棍球竞技场打曲棍球。")</f>
        <v>玩家正在曲棍球竞技场打曲棍球。</v>
      </c>
    </row>
    <row r="25355">
      <c r="A25355" s="4" t="s">
        <v>31915</v>
      </c>
      <c r="B25355" s="4" t="s">
        <v>31917</v>
      </c>
      <c r="C25355" s="5" t="str">
        <f>IFERROR(__xludf.DUMMYFUNCTION("GOOGLETRANSLATE(B25355,""en"",""zh-CN"")"),"球员离开竞技场。")</f>
        <v>球员离开竞技场。</v>
      </c>
    </row>
    <row r="25356">
      <c r="A25356" s="4" t="s">
        <v>31915</v>
      </c>
      <c r="B25356" s="4" t="s">
        <v>31918</v>
      </c>
      <c r="C25356" s="5" t="str">
        <f>IFERROR(__xludf.DUMMYFUNCTION("GOOGLETRANSLATE(B25356,""en"",""zh-CN"")"),"一个绿色团队的球员朝着清晰的窗口奔跑。")</f>
        <v>一个绿色团队的球员朝着清晰的窗口奔跑。</v>
      </c>
    </row>
    <row r="25357">
      <c r="A25357" s="4" t="s">
        <v>31919</v>
      </c>
      <c r="B25357" s="4" t="s">
        <v>31920</v>
      </c>
      <c r="C25357" s="5" t="str">
        <f>IFERROR(__xludf.DUMMYFUNCTION("GOOGLETRANSLATE(B25357,""en"",""zh-CN"")"),"摄影机在麦当劳周围摇晃，并导致一个与收银员说话的人。")</f>
        <v>摄影机在麦当劳周围摇晃，并导致一个与收银员说话的人。</v>
      </c>
    </row>
    <row r="25358">
      <c r="A25358" s="4" t="s">
        <v>31919</v>
      </c>
      <c r="B25358" s="4" t="s">
        <v>31921</v>
      </c>
      <c r="C25358" s="5" t="str">
        <f>IFERROR(__xludf.DUMMYFUNCTION("GOOGLETRANSLATE(B25358,""en"",""zh-CN"")"),"然后显示了几张人与员工一起玩岩石剪刀的人。")</f>
        <v>然后显示了几张人与员工一起玩岩石剪刀的人。</v>
      </c>
    </row>
    <row r="25359">
      <c r="A25359" s="4" t="s">
        <v>31919</v>
      </c>
      <c r="B25359" s="4" t="s">
        <v>31922</v>
      </c>
      <c r="C25359" s="5" t="str">
        <f>IFERROR(__xludf.DUMMYFUNCTION("GOOGLETRANSLATE(B25359,""en"",""zh-CN"")"),"当人们赢得比赛时，他们会获得免费的冰淇淋。")</f>
        <v>当人们赢得比赛时，他们会获得免费的冰淇淋。</v>
      </c>
    </row>
    <row r="25360">
      <c r="A25360" s="4" t="s">
        <v>31923</v>
      </c>
      <c r="B25360" s="4" t="s">
        <v>31924</v>
      </c>
      <c r="C25360" s="5" t="str">
        <f>IFERROR(__xludf.DUMMYFUNCTION("GOOGLETRANSLATE(B25360,""en"",""zh-CN"")"),"看到一个冰箱打开，两个人抓住一块奶酪。")</f>
        <v>看到一个冰箱打开，两个人抓住一块奶酪。</v>
      </c>
    </row>
    <row r="25361">
      <c r="A25361" s="4" t="s">
        <v>31923</v>
      </c>
      <c r="B25361" s="4" t="s">
        <v>31925</v>
      </c>
      <c r="C25361" s="5" t="str">
        <f>IFERROR(__xludf.DUMMYFUNCTION("GOOGLETRANSLATE(B25361,""en"",""zh-CN"")"),"然后，两个人打架然后开始玩岩石剪刀的游戏。")</f>
        <v>然后，两个人打架然后开始玩岩石剪刀的游戏。</v>
      </c>
    </row>
    <row r="25362">
      <c r="A25362" s="4" t="s">
        <v>31923</v>
      </c>
      <c r="B25362" s="6" t="s">
        <v>31926</v>
      </c>
      <c r="C25362" s="5" t="str">
        <f>IFERROR(__xludf.DUMMYFUNCTION("GOOGLETRANSLATE(B25362,""en"",""zh-CN"")"),"他们使用各种工具和对象来播放以及较小的自身版本，这些版本会向后平移。")</f>
        <v>他们使用各种工具和对象来播放以及较小的自身版本，这些版本会向后平移。</v>
      </c>
    </row>
    <row r="25363">
      <c r="A25363" s="4" t="s">
        <v>31927</v>
      </c>
      <c r="B25363" s="4" t="s">
        <v>31928</v>
      </c>
      <c r="C25363" s="5" t="str">
        <f>IFERROR(__xludf.DUMMYFUNCTION("GOOGLETRANSLATE(B25363,""en"",""zh-CN"")"),"我们看到一个开放屏幕，然后是一个坐姿。")</f>
        <v>我们看到一个开放屏幕，然后是一个坐姿。</v>
      </c>
    </row>
    <row r="25364">
      <c r="A25364" s="4" t="s">
        <v>31927</v>
      </c>
      <c r="B25364" s="4" t="s">
        <v>31929</v>
      </c>
      <c r="C25364" s="5" t="str">
        <f>IFERROR(__xludf.DUMMYFUNCTION("GOOGLETRANSLATE(B25364,""en"",""zh-CN"")"),"我们看到一个人用一级剪长发。")</f>
        <v>我们看到一个人用一级剪长发。</v>
      </c>
    </row>
    <row r="25365">
      <c r="A25365" s="4" t="s">
        <v>31927</v>
      </c>
      <c r="B25365" s="4" t="s">
        <v>31930</v>
      </c>
      <c r="C25365" s="5" t="str">
        <f>IFERROR(__xludf.DUMMYFUNCTION("GOOGLETRANSLATE(B25365,""en"",""zh-CN"")"),"然后，这个人刷了她的钝头发。")</f>
        <v>然后，这个人刷了她的钝头发。</v>
      </c>
    </row>
    <row r="25366">
      <c r="A25366" s="4" t="s">
        <v>31927</v>
      </c>
      <c r="B25366" s="4" t="s">
        <v>31931</v>
      </c>
      <c r="C25366" s="5" t="str">
        <f>IFERROR(__xludf.DUMMYFUNCTION("GOOGLETRANSLATE(B25366,""en"",""zh-CN"")"),"那位女士转过身微笑。")</f>
        <v>那位女士转过身微笑。</v>
      </c>
    </row>
    <row r="25367">
      <c r="A25367" s="4" t="s">
        <v>31927</v>
      </c>
      <c r="B25367" s="4" t="s">
        <v>31932</v>
      </c>
      <c r="C25367" s="5" t="str">
        <f>IFERROR(__xludf.DUMMYFUNCTION("GOOGLETRANSLATE(B25367,""en"",""zh-CN"")"),"我们在之前和之后看到一个。")</f>
        <v>我们在之前和之后看到一个。</v>
      </c>
    </row>
    <row r="25368">
      <c r="A25368" s="4" t="s">
        <v>31927</v>
      </c>
      <c r="B25368" s="4" t="s">
        <v>31933</v>
      </c>
      <c r="C25368" s="5" t="str">
        <f>IFERROR(__xludf.DUMMYFUNCTION("GOOGLETRANSLATE(B25368,""en"",""zh-CN"")"),"然后，我们看到人们使用该工具的场景。")</f>
        <v>然后，我们看到人们使用该工具的场景。</v>
      </c>
    </row>
    <row r="25369">
      <c r="A25369" s="4" t="s">
        <v>31927</v>
      </c>
      <c r="B25369" s="4" t="s">
        <v>31934</v>
      </c>
      <c r="C25369" s="5" t="str">
        <f>IFERROR(__xludf.DUMMYFUNCTION("GOOGLETRANSLATE(B25369,""en"",""zh-CN"")"),"我们看到白色和蓝色的工具。")</f>
        <v>我们看到白色和蓝色的工具。</v>
      </c>
    </row>
    <row r="25370">
      <c r="A25370" s="4" t="s">
        <v>31927</v>
      </c>
      <c r="B25370" s="4" t="s">
        <v>31935</v>
      </c>
      <c r="C25370" s="5" t="str">
        <f>IFERROR(__xludf.DUMMYFUNCTION("GOOGLETRANSLATE(B25370,""en"",""zh-CN"")"),"可以看到关闭屏幕。")</f>
        <v>可以看到关闭屏幕。</v>
      </c>
    </row>
    <row r="25371">
      <c r="A25371" s="4" t="s">
        <v>31936</v>
      </c>
      <c r="B25371" s="4" t="s">
        <v>31937</v>
      </c>
      <c r="C25371" s="5" t="str">
        <f>IFERROR(__xludf.DUMMYFUNCTION("GOOGLETRANSLATE(B25371,""en"",""zh-CN"")"),"一群游泳者在潜水板上。")</f>
        <v>一群游泳者在潜水板上。</v>
      </c>
    </row>
    <row r="25372">
      <c r="A25372" s="4" t="s">
        <v>31936</v>
      </c>
      <c r="B25372" s="4" t="s">
        <v>31938</v>
      </c>
      <c r="C25372" s="5" t="str">
        <f>IFERROR(__xludf.DUMMYFUNCTION("GOOGLETRANSLATE(B25372,""en"",""zh-CN"")"),"一个男人突然从董事会掉下来。")</f>
        <v>一个男人突然从董事会掉下来。</v>
      </c>
    </row>
    <row r="25373">
      <c r="A25373" s="4" t="s">
        <v>31936</v>
      </c>
      <c r="B25373" s="4" t="s">
        <v>31939</v>
      </c>
      <c r="C25373" s="5" t="str">
        <f>IFERROR(__xludf.DUMMYFUNCTION("GOOGLETRANSLATE(B25373,""en"",""zh-CN"")"),"他在驶入水中的路上打了其他层次。")</f>
        <v>他在驶入水中的路上打了其他层次。</v>
      </c>
    </row>
    <row r="25374">
      <c r="A25374" s="4" t="s">
        <v>31940</v>
      </c>
      <c r="B25374" s="4" t="s">
        <v>31941</v>
      </c>
      <c r="C25374" s="5" t="str">
        <f>IFERROR(__xludf.DUMMYFUNCTION("GOOGLETRANSLATE(B25374,""en"",""zh-CN"")"),"一个女人在机器上进行一些锻炼。")</f>
        <v>一个女人在机器上进行一些锻炼。</v>
      </c>
    </row>
    <row r="25375">
      <c r="A25375" s="4" t="s">
        <v>31940</v>
      </c>
      <c r="B25375" s="4" t="s">
        <v>31942</v>
      </c>
      <c r="C25375" s="5" t="str">
        <f>IFERROR(__xludf.DUMMYFUNCTION("GOOGLETRANSLATE(B25375,""en"",""zh-CN"")"),"她的速度非常快，您可以看到她下车，然后再重新开始。")</f>
        <v>她的速度非常快，您可以看到她下车，然后再重新开始。</v>
      </c>
    </row>
    <row r="25376">
      <c r="A25376" s="4" t="s">
        <v>31940</v>
      </c>
      <c r="B25376" s="6" t="s">
        <v>31943</v>
      </c>
      <c r="C25376" s="5" t="str">
        <f>IFERROR(__xludf.DUMMYFUNCTION("GOOGLETRANSLATE(B25376,""en"",""zh-CN"")"),"她将手放在一块碎片上，这使她走向她的步伐和速度以及心跳和其他东西。")</f>
        <v>她将手放在一块碎片上，这使她走向她的步伐和速度以及心跳和其他东西。</v>
      </c>
    </row>
    <row r="25377">
      <c r="A25377" s="4" t="s">
        <v>31940</v>
      </c>
      <c r="B25377" s="4" t="s">
        <v>31944</v>
      </c>
      <c r="C25377" s="5" t="str">
        <f>IFERROR(__xludf.DUMMYFUNCTION("GOOGLETRANSLATE(B25377,""en"",""zh-CN"")"),"她改变了速度，喝了一些水，继续前进。")</f>
        <v>她改变了速度，喝了一些水，继续前进。</v>
      </c>
    </row>
    <row r="25378">
      <c r="A25378" s="4" t="s">
        <v>31945</v>
      </c>
      <c r="B25378" s="4" t="s">
        <v>31946</v>
      </c>
      <c r="C25378" s="5" t="str">
        <f>IFERROR(__xludf.DUMMYFUNCTION("GOOGLETRANSLATE(B25378,""en"",""zh-CN"")"),"显示了一个生锈的球，滚下某种类型的人。")</f>
        <v>显示了一个生锈的球，滚下某种类型的人。</v>
      </c>
    </row>
    <row r="25379">
      <c r="A25379" s="4" t="s">
        <v>31945</v>
      </c>
      <c r="B25379" s="6" t="s">
        <v>31947</v>
      </c>
      <c r="C25379" s="5" t="str">
        <f>IFERROR(__xludf.DUMMYFUNCTION("GOOGLETRANSLATE(B25379,""en"",""zh-CN"")"),"然后显示了几名奥运会运动员，将射击量放在脖子上并扔掉并测量距离。")</f>
        <v>然后显示了几名奥运会运动员，将射击量放在脖子上并扔掉并测量距离。</v>
      </c>
    </row>
    <row r="25380">
      <c r="A25380" s="4" t="s">
        <v>31945</v>
      </c>
      <c r="B25380" s="6" t="s">
        <v>31948</v>
      </c>
      <c r="C25380" s="5" t="str">
        <f>IFERROR(__xludf.DUMMYFUNCTION("GOOGLETRANSLATE(B25380,""en"",""zh-CN"")"),"终于显示了一个黑色记分牌，他们开始给获胜者获得奖牌，并展示该人代表的国家的旗帜。")</f>
        <v>终于显示了一个黑色记分牌，他们开始给获胜者获得奖牌，并展示该人代表的国家的旗帜。</v>
      </c>
    </row>
    <row r="25381">
      <c r="A25381" s="4" t="s">
        <v>31949</v>
      </c>
      <c r="B25381" s="4" t="s">
        <v>31950</v>
      </c>
      <c r="C25381" s="5" t="str">
        <f>IFERROR(__xludf.DUMMYFUNCTION("GOOGLETRANSLATE(B25381,""en"",""zh-CN"")"),"一个穿着实验室外套的女人在医院康复室。")</f>
        <v>一个穿着实验室外套的女人在医院康复室。</v>
      </c>
    </row>
    <row r="25382">
      <c r="A25382" s="4" t="s">
        <v>31949</v>
      </c>
      <c r="B25382" s="4" t="s">
        <v>31951</v>
      </c>
      <c r="C25382" s="5" t="str">
        <f>IFERROR(__xludf.DUMMYFUNCTION("GOOGLETRANSLATE(B25382,""en"",""zh-CN"")"),"她用肥皂很好地肥皂肥皂。")</f>
        <v>她用肥皂很好地肥皂肥皂。</v>
      </c>
    </row>
    <row r="25383">
      <c r="A25383" s="4" t="s">
        <v>31949</v>
      </c>
      <c r="B25383" s="4" t="s">
        <v>31952</v>
      </c>
      <c r="C25383" s="5" t="str">
        <f>IFERROR(__xludf.DUMMYFUNCTION("GOOGLETRANSLATE(B25383,""en"",""zh-CN"")"),"然后，她冲洗并彻底干燥。")</f>
        <v>然后，她冲洗并彻底干燥。</v>
      </c>
    </row>
    <row r="25384">
      <c r="A25384" s="4" t="s">
        <v>31953</v>
      </c>
      <c r="B25384" s="4" t="s">
        <v>31954</v>
      </c>
      <c r="C25384" s="5" t="str">
        <f>IFERROR(__xludf.DUMMYFUNCTION("GOOGLETRANSLATE(B25384,""en"",""zh-CN"")"),"一个男人将靴子拉到坐在椅子上的脚上。")</f>
        <v>一个男人将靴子拉到坐在椅子上的脚上。</v>
      </c>
    </row>
    <row r="25385">
      <c r="A25385" s="4" t="s">
        <v>31953</v>
      </c>
      <c r="B25385" s="4" t="s">
        <v>31955</v>
      </c>
      <c r="C25385" s="5" t="str">
        <f>IFERROR(__xludf.DUMMYFUNCTION("GOOGLETRANSLATE(B25385,""en"",""zh-CN"")"),"该男子将皮带固定在船上。")</f>
        <v>该男子将皮带固定在船上。</v>
      </c>
    </row>
    <row r="25386">
      <c r="A25386" s="4" t="s">
        <v>31953</v>
      </c>
      <c r="B25386" s="4" t="s">
        <v>31956</v>
      </c>
      <c r="C25386" s="5" t="str">
        <f>IFERROR(__xludf.DUMMYFUNCTION("GOOGLETRANSLATE(B25386,""en"",""zh-CN"")"),"一个人向男人展示了如何固定靴子上的皮带。")</f>
        <v>一个人向男人展示了如何固定靴子上的皮带。</v>
      </c>
    </row>
    <row r="25387">
      <c r="A25387" s="4" t="s">
        <v>31953</v>
      </c>
      <c r="B25387" s="4" t="s">
        <v>31957</v>
      </c>
      <c r="C25387" s="5" t="str">
        <f>IFERROR(__xludf.DUMMYFUNCTION("GOOGLETRANSLATE(B25387,""en"",""zh-CN"")"),"该男子在试图完成鞋子时摇晃。")</f>
        <v>该男子在试图完成鞋子时摇晃。</v>
      </c>
    </row>
    <row r="25388">
      <c r="A25388" s="4" t="s">
        <v>31958</v>
      </c>
      <c r="B25388" s="4" t="s">
        <v>31959</v>
      </c>
      <c r="C25388" s="5" t="str">
        <f>IFERROR(__xludf.DUMMYFUNCTION("GOOGLETRANSLATE(B25388,""en"",""zh-CN"")"),"看到一个年长的男人在手里拿着网球和球拍时在相机上说话。")</f>
        <v>看到一个年长的男人在手里拿着网球和球拍时在相机上说话。</v>
      </c>
    </row>
    <row r="25389">
      <c r="A25389" s="4" t="s">
        <v>31958</v>
      </c>
      <c r="B25389" s="6" t="s">
        <v>31960</v>
      </c>
      <c r="C25389" s="5" t="str">
        <f>IFERROR(__xludf.DUMMYFUNCTION("GOOGLETRANSLATE(B25389,""en"",""zh-CN"")"),"他将球拍和球向上移动，展示了如何正确输给球，然后他实际上以慢动作将球输送。")</f>
        <v>他将球拍和球向上移动，展示了如何正确输给球，然后他实际上以慢动作将球输送。</v>
      </c>
    </row>
    <row r="25390">
      <c r="A25390" s="4" t="s">
        <v>31958</v>
      </c>
      <c r="B25390" s="4" t="s">
        <v>31961</v>
      </c>
      <c r="C25390" s="5" t="str">
        <f>IFERROR(__xludf.DUMMYFUNCTION("GOOGLETRANSLATE(B25390,""en"",""zh-CN"")"),"同一镜头又显示了几次，以演示如何正确执行此发球。")</f>
        <v>同一镜头又显示了几次，以演示如何正确执行此发球。</v>
      </c>
    </row>
    <row r="25391">
      <c r="A25391" s="4" t="s">
        <v>31962</v>
      </c>
      <c r="B25391" s="4" t="s">
        <v>31963</v>
      </c>
      <c r="C25391" s="5" t="str">
        <f>IFERROR(__xludf.DUMMYFUNCTION("GOOGLETRANSLATE(B25391,""en"",""zh-CN"")"),"发生了一场室内BMX自行车比赛。")</f>
        <v>发生了一场室内BMX自行车比赛。</v>
      </c>
    </row>
    <row r="25392">
      <c r="A25392" s="4" t="s">
        <v>31962</v>
      </c>
      <c r="B25392" s="4" t="s">
        <v>31964</v>
      </c>
      <c r="C25392" s="5" t="str">
        <f>IFERROR(__xludf.DUMMYFUNCTION("GOOGLETRANSLATE(B25392,""en"",""zh-CN"")"),"开始后，每个人都尽快走上赛道。")</f>
        <v>开始后，每个人都尽快走上赛道。</v>
      </c>
    </row>
    <row r="25393">
      <c r="A25393" s="4" t="s">
        <v>31965</v>
      </c>
      <c r="B25393" s="4" t="s">
        <v>31966</v>
      </c>
      <c r="C25393" s="5" t="str">
        <f>IFERROR(__xludf.DUMMYFUNCTION("GOOGLETRANSLATE(B25393,""en"",""zh-CN"")"),"紫色的人与相机交谈。")</f>
        <v>紫色的人与相机交谈。</v>
      </c>
    </row>
    <row r="25394">
      <c r="A25394" s="4" t="s">
        <v>31965</v>
      </c>
      <c r="B25394" s="4" t="s">
        <v>31967</v>
      </c>
      <c r="C25394" s="5" t="str">
        <f>IFERROR(__xludf.DUMMYFUNCTION("GOOGLETRANSLATE(B25394,""en"",""zh-CN"")"),"紫色的人以缓慢的台阶向前走。")</f>
        <v>紫色的人以缓慢的台阶向前走。</v>
      </c>
    </row>
    <row r="25395">
      <c r="A25395" s="4" t="s">
        <v>31965</v>
      </c>
      <c r="B25395" s="4" t="s">
        <v>31968</v>
      </c>
      <c r="C25395" s="5" t="str">
        <f>IFERROR(__xludf.DUMMYFUNCTION("GOOGLETRANSLATE(B25395,""en"",""zh-CN"")"),"灰色的人展示了如何行走。")</f>
        <v>灰色的人展示了如何行走。</v>
      </c>
    </row>
    <row r="25396">
      <c r="A25396" s="4" t="s">
        <v>31965</v>
      </c>
      <c r="B25396" s="4" t="s">
        <v>31969</v>
      </c>
      <c r="C25396" s="5" t="str">
        <f>IFERROR(__xludf.DUMMYFUNCTION("GOOGLETRANSLATE(B25396,""en"",""zh-CN"")"),"灰色的人展示了不同的跳跃。")</f>
        <v>灰色的人展示了不同的跳跃。</v>
      </c>
    </row>
    <row r="25397">
      <c r="A25397" s="4" t="s">
        <v>31970</v>
      </c>
      <c r="B25397" s="4" t="s">
        <v>31971</v>
      </c>
      <c r="C25397" s="5" t="str">
        <f>IFERROR(__xludf.DUMMYFUNCTION("GOOGLETRANSLATE(B25397,""en"",""zh-CN"")"),"显示了草莓的特写。")</f>
        <v>显示了草莓的特写。</v>
      </c>
    </row>
    <row r="25398">
      <c r="A25398" s="4" t="s">
        <v>31970</v>
      </c>
      <c r="B25398" s="4" t="s">
        <v>31972</v>
      </c>
      <c r="C25398" s="5" t="str">
        <f>IFERROR(__xludf.DUMMYFUNCTION("GOOGLETRANSLATE(B25398,""en"",""zh-CN"")"),"一个女人正在和一系列水彩画交谈。")</f>
        <v>一个女人正在和一系列水彩画交谈。</v>
      </c>
    </row>
    <row r="25399">
      <c r="A25399" s="4" t="s">
        <v>31970</v>
      </c>
      <c r="B25399" s="4" t="s">
        <v>31973</v>
      </c>
      <c r="C25399" s="5" t="str">
        <f>IFERROR(__xludf.DUMMYFUNCTION("GOOGLETRANSLATE(B25399,""en"",""zh-CN"")"),"她演示了如何使用水彩画在画布上创造艺术品。")</f>
        <v>她演示了如何使用水彩画在画布上创造艺术品。</v>
      </c>
    </row>
    <row r="25400">
      <c r="A25400" s="4" t="s">
        <v>31974</v>
      </c>
      <c r="B25400" s="4" t="s">
        <v>31975</v>
      </c>
      <c r="C25400" s="5" t="str">
        <f>IFERROR(__xludf.DUMMYFUNCTION("GOOGLETRANSLATE(B25400,""en"",""zh-CN"")"),"有一个穿着粉红色衬衫的女人，黑色的短裤在大开阔的草坪上训练一只狗。")</f>
        <v>有一个穿着粉红色衬衫的女人，黑色的短裤在大开阔的草坪上训练一只狗。</v>
      </c>
    </row>
    <row r="25401">
      <c r="A25401" s="4" t="s">
        <v>31974</v>
      </c>
      <c r="B25401" s="4" t="s">
        <v>31976</v>
      </c>
      <c r="C25401" s="5" t="str">
        <f>IFERROR(__xludf.DUMMYFUNCTION("GOOGLETRANSLATE(B25401,""en"",""zh-CN"")"),"她正在扔粉红色的飞盘碟，供狗奔跑和获取。")</f>
        <v>她正在扔粉红色的飞盘碟，供狗奔跑和获取。</v>
      </c>
    </row>
    <row r="25402">
      <c r="A25402" s="4" t="s">
        <v>31974</v>
      </c>
      <c r="B25402" s="4" t="s">
        <v>31977</v>
      </c>
      <c r="C25402" s="5" t="str">
        <f>IFERROR(__xludf.DUMMYFUNCTION("GOOGLETRANSLATE(B25402,""en"",""zh-CN"")"),"每次她扔碟子时，狗都会兴奋，跑来跑去为她提供碟片。")</f>
        <v>每次她扔碟子时，狗都会兴奋，跑来跑去为她提供碟片。</v>
      </c>
    </row>
    <row r="25403">
      <c r="A25403" s="4" t="s">
        <v>31974</v>
      </c>
      <c r="B25403" s="4" t="s">
        <v>31978</v>
      </c>
      <c r="C25403" s="5" t="str">
        <f>IFERROR(__xludf.DUMMYFUNCTION("GOOGLETRANSLATE(B25403,""en"",""zh-CN"")"),"这只狗几乎每次都经过训练，可以在嘴里抓住椎间盘，而不会错过它。")</f>
        <v>这只狗几乎每次都经过训练，可以在嘴里抓住椎间盘，而不会错过它。</v>
      </c>
    </row>
    <row r="25404">
      <c r="A25404" s="4" t="s">
        <v>31974</v>
      </c>
      <c r="B25404" s="4" t="s">
        <v>31979</v>
      </c>
      <c r="C25404" s="5" t="str">
        <f>IFERROR(__xludf.DUMMYFUNCTION("GOOGLETRANSLATE(B25404,""en"",""zh-CN"")"),"很少有人站着看教练和狗。")</f>
        <v>很少有人站着看教练和狗。</v>
      </c>
    </row>
    <row r="25405">
      <c r="A25405" s="4" t="s">
        <v>31980</v>
      </c>
      <c r="B25405" s="4" t="s">
        <v>31981</v>
      </c>
      <c r="C25405" s="5" t="str">
        <f>IFERROR(__xludf.DUMMYFUNCTION("GOOGLETRANSLATE(B25405,""en"",""zh-CN"")"),"屏幕上出现一个标志。")</f>
        <v>屏幕上出现一个标志。</v>
      </c>
    </row>
    <row r="25406">
      <c r="A25406" s="4" t="s">
        <v>31980</v>
      </c>
      <c r="B25406" s="4" t="s">
        <v>31982</v>
      </c>
      <c r="C25406" s="5" t="str">
        <f>IFERROR(__xludf.DUMMYFUNCTION("GOOGLETRANSLATE(B25406,""en"",""zh-CN"")"),"在云之间看到太阳的景色。")</f>
        <v>在云之间看到太阳的景色。</v>
      </c>
    </row>
    <row r="25407">
      <c r="A25407" s="4" t="s">
        <v>31980</v>
      </c>
      <c r="B25407" s="4" t="s">
        <v>31983</v>
      </c>
      <c r="C25407" s="5" t="str">
        <f>IFERROR(__xludf.DUMMYFUNCTION("GOOGLETRANSLATE(B25407,""en"",""zh-CN"")"),"一个女人走到一个小男孩，后者把裤子放下，蹲在水桶前。")</f>
        <v>一个女人走到一个小男孩，后者把裤子放下，蹲在水桶前。</v>
      </c>
    </row>
    <row r="25408">
      <c r="A25408" s="4" t="s">
        <v>31980</v>
      </c>
      <c r="B25408" s="4" t="s">
        <v>31984</v>
      </c>
      <c r="C25408" s="5" t="str">
        <f>IFERROR(__xludf.DUMMYFUNCTION("GOOGLETRANSLATE(B25408,""en"",""zh-CN"")"),"她对他大喊，把他拖走了。")</f>
        <v>她对他大喊，把他拖走了。</v>
      </c>
    </row>
    <row r="25409">
      <c r="A25409" s="4" t="s">
        <v>31980</v>
      </c>
      <c r="B25409" s="4" t="s">
        <v>31985</v>
      </c>
      <c r="C25409" s="5" t="str">
        <f>IFERROR(__xludf.DUMMYFUNCTION("GOOGLETRANSLATE(B25409,""en"",""zh-CN"")"),"她向他展示了如何用肥皂起泡。")</f>
        <v>她向他展示了如何用肥皂起泡。</v>
      </c>
    </row>
    <row r="25410">
      <c r="A25410" s="4" t="s">
        <v>31980</v>
      </c>
      <c r="B25410" s="4" t="s">
        <v>31986</v>
      </c>
      <c r="C25410" s="5" t="str">
        <f>IFERROR(__xludf.DUMMYFUNCTION("GOOGLETRANSLATE(B25410,""en"",""zh-CN"")"),"然后，一群聚集的妇女在男孩手表和聆听时说话。")</f>
        <v>然后，一群聚集的妇女在男孩手表和聆听时说话。</v>
      </c>
    </row>
    <row r="25411">
      <c r="A25411" s="4" t="s">
        <v>31980</v>
      </c>
      <c r="B25411" s="4" t="s">
        <v>31987</v>
      </c>
      <c r="C25411" s="5" t="str">
        <f>IFERROR(__xludf.DUMMYFUNCTION("GOOGLETRANSLATE(B25411,""en"",""zh-CN"")"),"女人走开时看起来很难过。")</f>
        <v>女人走开时看起来很难过。</v>
      </c>
    </row>
    <row r="25412">
      <c r="A25412" s="4" t="s">
        <v>31980</v>
      </c>
      <c r="B25412" s="4" t="s">
        <v>31988</v>
      </c>
      <c r="C25412" s="5" t="str">
        <f>IFERROR(__xludf.DUMMYFUNCTION("GOOGLETRANSLATE(B25412,""en"",""zh-CN"")"),"一个男孩和女人走上去和另一个女人说话，她看上去很沮丧。")</f>
        <v>一个男孩和女人走上去和另一个女人说话，她看上去很沮丧。</v>
      </c>
    </row>
    <row r="25413">
      <c r="A25413" s="4" t="s">
        <v>31980</v>
      </c>
      <c r="B25413" s="4" t="s">
        <v>31989</v>
      </c>
      <c r="C25413" s="5" t="str">
        <f>IFERROR(__xludf.DUMMYFUNCTION("GOOGLETRANSLATE(B25413,""en"",""zh-CN"")"),"向女性展示了医生在谈论肮脏的手。")</f>
        <v>向女性展示了医生在谈论肮脏的手。</v>
      </c>
    </row>
    <row r="25414">
      <c r="A25414" s="4" t="s">
        <v>31980</v>
      </c>
      <c r="B25414" s="6" t="s">
        <v>31990</v>
      </c>
      <c r="C25414" s="5" t="str">
        <f>IFERROR(__xludf.DUMMYFUNCTION("GOOGLETRANSLATE(B25414,""en"",""zh-CN"")"),"然后，他们在外面展示，洗手，并在男孩展示不脏的时候给男孩医生。")</f>
        <v>然后，他们在外面展示，洗手，并在男孩展示不脏的时候给男孩医生。</v>
      </c>
    </row>
    <row r="25415">
      <c r="A25415" s="4" t="s">
        <v>31980</v>
      </c>
      <c r="B25415" s="4" t="s">
        <v>31991</v>
      </c>
      <c r="C25415" s="5" t="str">
        <f>IFERROR(__xludf.DUMMYFUNCTION("GOOGLETRANSLATE(B25415,""en"",""zh-CN"")"),"该小组庆祝活动中跳入空中。")</f>
        <v>该小组庆祝活动中跳入空中。</v>
      </c>
    </row>
    <row r="25416">
      <c r="A25416" s="4" t="s">
        <v>31992</v>
      </c>
      <c r="B25416" s="6" t="s">
        <v>31993</v>
      </c>
      <c r="C25416" s="5" t="str">
        <f>IFERROR(__xludf.DUMMYFUNCTION("GOOGLETRANSLATE(B25416,""en"",""zh-CN"")"),"看到两个女孩在相机上挥手，而一个女孩则喝一杯，另一个伴随着她的头发玩耍。")</f>
        <v>看到两个女孩在相机上挥手，而一个女孩则喝一杯，另一个伴随着她的头发玩耍。</v>
      </c>
    </row>
    <row r="25417">
      <c r="A25417" s="4" t="s">
        <v>31992</v>
      </c>
      <c r="B25417" s="6" t="s">
        <v>31994</v>
      </c>
      <c r="C25417" s="5" t="str">
        <f>IFERROR(__xludf.DUMMYFUNCTION("GOOGLETRANSLATE(B25417,""en"",""zh-CN"")"),"女孩们走来走去，然后从玻璃杯里喝酒，并为镜头做有趣的面孔。")</f>
        <v>女孩们走来走去，然后从玻璃杯里喝酒，并为镜头做有趣的面孔。</v>
      </c>
    </row>
    <row r="25418">
      <c r="A25418" s="4" t="s">
        <v>31995</v>
      </c>
      <c r="B25418" s="6" t="s">
        <v>31996</v>
      </c>
      <c r="C25418" s="5" t="str">
        <f>IFERROR(__xludf.DUMMYFUNCTION("GOOGLETRANSLATE(B25418,""en"",""zh-CN"")"),"一个女人被显示在厨房周围行走，打开水龙头，让水槽里充满水。")</f>
        <v>一个女人被显示在厨房周围行走，打开水龙头，让水槽里充满水。</v>
      </c>
    </row>
    <row r="25419">
      <c r="A25419" s="4" t="s">
        <v>31995</v>
      </c>
      <c r="B25419" s="4" t="s">
        <v>31997</v>
      </c>
      <c r="C25419" s="5" t="str">
        <f>IFERROR(__xludf.DUMMYFUNCTION("GOOGLETRANSLATE(B25419,""en"",""zh-CN"")"),"她被证明戴着手套，在水槽周围喷洒清洁剂，并用刷子擦洗。")</f>
        <v>她被证明戴着手套，在水槽周围喷洒清洁剂，并用刷子擦洗。</v>
      </c>
    </row>
    <row r="25420">
      <c r="A25420" s="4" t="s">
        <v>31995</v>
      </c>
      <c r="B25420" s="4" t="s">
        <v>31998</v>
      </c>
      <c r="C25420" s="5" t="str">
        <f>IFERROR(__xludf.DUMMYFUNCTION("GOOGLETRANSLATE(B25420,""en"",""zh-CN"")"),"她对清洁产品微笑，然后将其放到所显示的标签上。")</f>
        <v>她对清洁产品微笑，然后将其放到所显示的标签上。</v>
      </c>
    </row>
    <row r="25421">
      <c r="A25421" s="4" t="s">
        <v>31999</v>
      </c>
      <c r="B25421" s="4" t="s">
        <v>32000</v>
      </c>
      <c r="C25421" s="5" t="str">
        <f>IFERROR(__xludf.DUMMYFUNCTION("GOOGLETRANSLATE(B25421,""en"",""zh-CN"")"),"一个穿着游泳后备箱的人在户外，将自己固定在设备上。")</f>
        <v>一个穿着游泳后备箱的人在户外，将自己固定在设备上。</v>
      </c>
    </row>
    <row r="25422">
      <c r="A25422" s="4" t="s">
        <v>31999</v>
      </c>
      <c r="B25422" s="4" t="s">
        <v>32001</v>
      </c>
      <c r="C25422" s="5" t="str">
        <f>IFERROR(__xludf.DUMMYFUNCTION("GOOGLETRANSLATE(B25422,""en"",""zh-CN"")"),"他乘坐伞兵，进入水中。")</f>
        <v>他乘坐伞兵，进入水中。</v>
      </c>
    </row>
    <row r="25423">
      <c r="A25423" s="4" t="s">
        <v>31999</v>
      </c>
      <c r="B25423" s="4" t="s">
        <v>32002</v>
      </c>
      <c r="C25423" s="5" t="str">
        <f>IFERROR(__xludf.DUMMYFUNCTION("GOOGLETRANSLATE(B25423,""en"",""zh-CN"")"),"他开始在冲浪板上航行，随着加速的速度紧紧抓住。")</f>
        <v>他开始在冲浪板上航行，随着加速的速度紧紧抓住。</v>
      </c>
    </row>
    <row r="25424">
      <c r="A25424" s="4" t="s">
        <v>31999</v>
      </c>
      <c r="B25424" s="4" t="s">
        <v>32003</v>
      </c>
      <c r="C25424" s="5" t="str">
        <f>IFERROR(__xludf.DUMMYFUNCTION("GOOGLETRANSLATE(B25424,""en"",""zh-CN"")"),"然后，他在水中停下来，靠在他的身边。")</f>
        <v>然后，他在水中停下来，靠在他的身边。</v>
      </c>
    </row>
    <row r="25425">
      <c r="A25425" s="4" t="s">
        <v>32004</v>
      </c>
      <c r="B25425" s="4" t="s">
        <v>32005</v>
      </c>
      <c r="C25425" s="5" t="str">
        <f>IFERROR(__xludf.DUMMYFUNCTION("GOOGLETRANSLATE(B25425,""en"",""zh-CN"")"),"一个孩子在地面上玩霍普奇。")</f>
        <v>一个孩子在地面上玩霍普奇。</v>
      </c>
    </row>
    <row r="25426">
      <c r="A25426" s="4" t="s">
        <v>32004</v>
      </c>
      <c r="B25426" s="4" t="s">
        <v>32006</v>
      </c>
      <c r="C25426" s="5" t="str">
        <f>IFERROR(__xludf.DUMMYFUNCTION("GOOGLETRANSLATE(B25426,""en"",""zh-CN"")"),"他们在啤酒花板上来回走动。")</f>
        <v>他们在啤酒花板上来回走动。</v>
      </c>
    </row>
    <row r="25427">
      <c r="A25427" s="4" t="s">
        <v>32004</v>
      </c>
      <c r="B25427" s="4" t="s">
        <v>32007</v>
      </c>
      <c r="C25427" s="5" t="str">
        <f>IFERROR(__xludf.DUMMYFUNCTION("GOOGLETRANSLATE(B25427,""en"",""zh-CN"")"),"他们弯腰接一些东西。")</f>
        <v>他们弯腰接一些东西。</v>
      </c>
    </row>
    <row r="25428">
      <c r="A25428" s="4" t="s">
        <v>32008</v>
      </c>
      <c r="B25428" s="4" t="s">
        <v>32009</v>
      </c>
      <c r="C25428" s="5" t="str">
        <f>IFERROR(__xludf.DUMMYFUNCTION("GOOGLETRANSLATE(B25428,""en"",""zh-CN"")"),"显示一条狗走到建筑物的台阶。")</f>
        <v>显示一条狗走到建筑物的台阶。</v>
      </c>
    </row>
    <row r="25429">
      <c r="A25429" s="4" t="s">
        <v>32008</v>
      </c>
      <c r="B25429" s="4" t="s">
        <v>32010</v>
      </c>
      <c r="C25429" s="5" t="str">
        <f>IFERROR(__xludf.DUMMYFUNCTION("GOOGLETRANSLATE(B25429,""en"",""zh-CN"")"),"他们进去，这是一个狗美容沙龙。")</f>
        <v>他们进去，这是一个狗美容沙龙。</v>
      </c>
    </row>
    <row r="25430">
      <c r="A25430" s="4" t="s">
        <v>32008</v>
      </c>
      <c r="B25430" s="4" t="s">
        <v>32011</v>
      </c>
      <c r="C25430" s="5" t="str">
        <f>IFERROR(__xludf.DUMMYFUNCTION("GOOGLETRANSLATE(B25430,""en"",""zh-CN"")"),"在设备打开之前，显示了另一种语言的几个标志。")</f>
        <v>在设备打开之前，显示了另一种语言的几个标志。</v>
      </c>
    </row>
    <row r="25431">
      <c r="A25431" s="4" t="s">
        <v>32008</v>
      </c>
      <c r="B25431" s="4" t="s">
        <v>32012</v>
      </c>
      <c r="C25431" s="5" t="str">
        <f>IFERROR(__xludf.DUMMYFUNCTION("GOOGLETRANSLATE(B25431,""en"",""zh-CN"")"),"狗在机器上冲洗，肥皂，沐浴和剪裁。")</f>
        <v>狗在机器上冲洗，肥皂，沐浴和剪裁。</v>
      </c>
    </row>
    <row r="25432">
      <c r="A25432" s="4" t="s">
        <v>32013</v>
      </c>
      <c r="B25432" s="4" t="s">
        <v>32014</v>
      </c>
      <c r="C25432" s="5" t="str">
        <f>IFERROR(__xludf.DUMMYFUNCTION("GOOGLETRANSLATE(B25432,""en"",""zh-CN"")"),"从外面看到商店的正面。")</f>
        <v>从外面看到商店的正面。</v>
      </c>
    </row>
    <row r="25433">
      <c r="A25433" s="4" t="s">
        <v>32013</v>
      </c>
      <c r="B25433" s="4" t="s">
        <v>32015</v>
      </c>
      <c r="C25433" s="5" t="str">
        <f>IFERROR(__xludf.DUMMYFUNCTION("GOOGLETRANSLATE(B25433,""en"",""zh-CN"")"),"商店老板站在展示墙后面讨论。")</f>
        <v>商店老板站在展示墙后面讨论。</v>
      </c>
    </row>
    <row r="25434">
      <c r="A25434" s="4" t="s">
        <v>32013</v>
      </c>
      <c r="B25434" s="4" t="s">
        <v>32016</v>
      </c>
      <c r="C25434" s="5" t="str">
        <f>IFERROR(__xludf.DUMMYFUNCTION("GOOGLETRANSLATE(B25434,""en"",""zh-CN"")"),"彩弹球员在草地上遇到障碍，瞄准他们的武器。")</f>
        <v>彩弹球员在草地上遇到障碍，瞄准他们的武器。</v>
      </c>
    </row>
    <row r="25435">
      <c r="A25435" s="4" t="s">
        <v>32013</v>
      </c>
      <c r="B25435" s="4" t="s">
        <v>32017</v>
      </c>
      <c r="C25435" s="5" t="str">
        <f>IFERROR(__xludf.DUMMYFUNCTION("GOOGLETRANSLATE(B25435,""en"",""zh-CN"")"),"商店老板为这项运动展示了不同的面具。")</f>
        <v>商店老板为这项运动展示了不同的面具。</v>
      </c>
    </row>
    <row r="25436">
      <c r="A25436" s="4" t="s">
        <v>32018</v>
      </c>
      <c r="B25436" s="6" t="s">
        <v>32019</v>
      </c>
      <c r="C25436" s="5" t="str">
        <f>IFERROR(__xludf.DUMMYFUNCTION("GOOGLETRANSLATE(B25436,""en"",""zh-CN"")"),"看到一群人站在桌上足球桌旁，用杆子互相玩游戏。")</f>
        <v>看到一群人站在桌上足球桌旁，用杆子互相玩游戏。</v>
      </c>
    </row>
    <row r="25437">
      <c r="A25437" s="4" t="s">
        <v>32018</v>
      </c>
      <c r="B25437" s="6" t="s">
        <v>32020</v>
      </c>
      <c r="C25437" s="5" t="str">
        <f>IFERROR(__xludf.DUMMYFUNCTION("GOOGLETRANSLATE(B25437,""en"",""zh-CN"")"),"这些人继续玩游戏，而相机从上方捕获他们，最后两个步行。")</f>
        <v>这些人继续玩游戏，而相机从上方捕获他们，最后两个步行。</v>
      </c>
    </row>
    <row r="25438">
      <c r="A25438" s="4" t="s">
        <v>32021</v>
      </c>
      <c r="B25438" s="4" t="s">
        <v>32022</v>
      </c>
      <c r="C25438" s="5" t="str">
        <f>IFERROR(__xludf.DUMMYFUNCTION("GOOGLETRANSLATE(B25438,""en"",""zh-CN"")"),"一个穿着蓝色衬衫的男人喝一大杯啤酒。")</f>
        <v>一个穿着蓝色衬衫的男人喝一大杯啤酒。</v>
      </c>
    </row>
    <row r="25439">
      <c r="A25439" s="4" t="s">
        <v>32021</v>
      </c>
      <c r="B25439" s="4" t="s">
        <v>32023</v>
      </c>
      <c r="C25439" s="5" t="str">
        <f>IFERROR(__xludf.DUMMYFUNCTION("GOOGLETRANSLATE(B25439,""en"",""zh-CN"")"),"他旁边的金发男人在欢呼。")</f>
        <v>他旁边的金发男人在欢呼。</v>
      </c>
    </row>
    <row r="25440">
      <c r="A25440" s="4" t="s">
        <v>32021</v>
      </c>
      <c r="B25440" s="4" t="s">
        <v>32024</v>
      </c>
      <c r="C25440" s="5" t="str">
        <f>IFERROR(__xludf.DUMMYFUNCTION("GOOGLETRANSLATE(B25440,""en"",""zh-CN"")"),"穿着蓝色衬衫的男人喝完了饮料，放下了它，金发男人欢呼。")</f>
        <v>穿着蓝色衬衫的男人喝完了饮料，放下了它，金发男人欢呼。</v>
      </c>
    </row>
    <row r="25441">
      <c r="A25441" s="4" t="s">
        <v>32025</v>
      </c>
      <c r="B25441" s="4" t="s">
        <v>32026</v>
      </c>
      <c r="C25441" s="5" t="str">
        <f>IFERROR(__xludf.DUMMYFUNCTION("GOOGLETRANSLATE(B25441,""en"",""zh-CN"")"),"男子站在在屋顶健身房做体操的相似之处。")</f>
        <v>男子站在在屋顶健身房做体操的相似之处。</v>
      </c>
    </row>
    <row r="25442">
      <c r="A25442" s="4" t="s">
        <v>32025</v>
      </c>
      <c r="B25442" s="4" t="s">
        <v>32027</v>
      </c>
      <c r="C25442" s="5" t="str">
        <f>IFERROR(__xludf.DUMMYFUNCTION("GOOGLETRANSLATE(B25442,""en"",""zh-CN"")"),"人们在看着那个男人的角色。")</f>
        <v>人们在看着那个男人的角色。</v>
      </c>
    </row>
    <row r="25443">
      <c r="A25443" s="4" t="s">
        <v>32028</v>
      </c>
      <c r="B25443" s="4" t="s">
        <v>32029</v>
      </c>
      <c r="C25443" s="5" t="str">
        <f>IFERROR(__xludf.DUMMYFUNCTION("GOOGLETRANSLATE(B25443,""en"",""zh-CN"")"),"一个穿着白色外套的女孩旁边是男人，一个女人在台球桌的侧面。")</f>
        <v>一个穿着白色外套的女孩旁边是男人，一个女人在台球桌的侧面。</v>
      </c>
    </row>
    <row r="25444">
      <c r="A25444" s="4" t="s">
        <v>32028</v>
      </c>
      <c r="B25444" s="4" t="s">
        <v>32030</v>
      </c>
      <c r="C25444" s="5" t="str">
        <f>IFERROR(__xludf.DUMMYFUNCTION("GOOGLETRANSLATE(B25444,""en"",""zh-CN"")"),"然后，女孩走路并脱下外套，然后她拿起一个提示棒，在前面两个男人的前面弯曲。")</f>
        <v>然后，女孩走路并脱下外套，然后她拿起一个提示棒，在前面两个男人的前面弯曲。</v>
      </c>
    </row>
    <row r="25445">
      <c r="A25445" s="4" t="s">
        <v>32028</v>
      </c>
      <c r="B25445" s="6" t="s">
        <v>32031</v>
      </c>
      <c r="C25445" s="5" t="str">
        <f>IFERROR(__xludf.DUMMYFUNCTION("GOOGLETRANSLATE(B25445,""en"",""zh-CN"")"),"之后，女孩转身抓住男孩衬衫，一边做出性感的手势，然后她转身再次玩耍。")</f>
        <v>之后，女孩转身抓住男孩衬衫，一边做出性感的手势，然后她转身再次玩耍。</v>
      </c>
    </row>
    <row r="25446">
      <c r="A25446" s="4" t="s">
        <v>32028</v>
      </c>
      <c r="B25446" s="4" t="s">
        <v>32032</v>
      </c>
      <c r="C25446" s="5" t="str">
        <f>IFERROR(__xludf.DUMMYFUNCTION("GOOGLETRANSLATE(B25446,""en"",""zh-CN"")"),"一个男人想触摸一个女孩的屁股。")</f>
        <v>一个男人想触摸一个女孩的屁股。</v>
      </c>
    </row>
    <row r="25447">
      <c r="A25447" s="4" t="s">
        <v>32033</v>
      </c>
      <c r="B25447" s="4" t="s">
        <v>32034</v>
      </c>
      <c r="C25447" s="5" t="str">
        <f>IFERROR(__xludf.DUMMYFUNCTION("GOOGLETRANSLATE(B25447,""en"",""zh-CN"")"),"一个穿着紫色服装的女孩进入平衡梁。")</f>
        <v>一个穿着紫色服装的女孩进入平衡梁。</v>
      </c>
    </row>
    <row r="25448">
      <c r="A25448" s="4" t="s">
        <v>32033</v>
      </c>
      <c r="B25448" s="4" t="s">
        <v>32035</v>
      </c>
      <c r="C25448" s="5" t="str">
        <f>IFERROR(__xludf.DUMMYFUNCTION("GOOGLETRANSLATE(B25448,""en"",""zh-CN"")"),"她在平衡梁上做体操例程。")</f>
        <v>她在平衡梁上做体操例程。</v>
      </c>
    </row>
    <row r="25449">
      <c r="A25449" s="4" t="s">
        <v>32033</v>
      </c>
      <c r="B25449" s="4" t="s">
        <v>20674</v>
      </c>
      <c r="C25449" s="5" t="str">
        <f>IFERROR(__xludf.DUMMYFUNCTION("GOOGLETRANSLATE(B25449,""en"",""zh-CN"")"),"她用双手在空中卸下并降落在垫子上。")</f>
        <v>她用双手在空中卸下并降落在垫子上。</v>
      </c>
    </row>
    <row r="25450">
      <c r="A25450" s="4" t="s">
        <v>32036</v>
      </c>
      <c r="B25450" s="4" t="s">
        <v>32037</v>
      </c>
      <c r="C25450" s="5" t="str">
        <f>IFERROR(__xludf.DUMMYFUNCTION("GOOGLETRANSLATE(B25450,""en"",""zh-CN"")"),"一名运动员走到外面的田野上。")</f>
        <v>一名运动员走到外面的田野上。</v>
      </c>
    </row>
    <row r="25451">
      <c r="A25451" s="4" t="s">
        <v>32036</v>
      </c>
      <c r="B25451" s="4" t="s">
        <v>32038</v>
      </c>
      <c r="C25451" s="5" t="str">
        <f>IFERROR(__xludf.DUMMYFUNCTION("GOOGLETRANSLATE(B25451,""en"",""zh-CN"")"),"他在空中奔跑。")</f>
        <v>他在空中奔跑。</v>
      </c>
    </row>
    <row r="25452">
      <c r="A25452" s="4" t="s">
        <v>32036</v>
      </c>
      <c r="B25452" s="4" t="s">
        <v>32039</v>
      </c>
      <c r="C25452" s="5" t="str">
        <f>IFERROR(__xludf.DUMMYFUNCTION("GOOGLETRANSLATE(B25452,""en"",""zh-CN"")"),"他将标枪尽可能多地抛出，重复多次。")</f>
        <v>他将标枪尽可能多地抛出，重复多次。</v>
      </c>
    </row>
    <row r="25453">
      <c r="A25453" s="4" t="s">
        <v>32040</v>
      </c>
      <c r="B25453" s="4" t="s">
        <v>32041</v>
      </c>
      <c r="C25453" s="5" t="str">
        <f>IFERROR(__xludf.DUMMYFUNCTION("GOOGLETRANSLATE(B25453,""en"",""zh-CN"")"),"一个女人在桌子前，抱着猫。")</f>
        <v>一个女人在桌子前，抱着猫。</v>
      </c>
    </row>
    <row r="25454">
      <c r="A25454" s="4" t="s">
        <v>32040</v>
      </c>
      <c r="B25454" s="4" t="s">
        <v>32042</v>
      </c>
      <c r="C25454" s="5" t="str">
        <f>IFERROR(__xludf.DUMMYFUNCTION("GOOGLETRANSLATE(B25454,""en"",""zh-CN"")"),"她宠物猫使他平静下来。")</f>
        <v>她宠物猫使他平静下来。</v>
      </c>
    </row>
    <row r="25455">
      <c r="A25455" s="4" t="s">
        <v>32040</v>
      </c>
      <c r="B25455" s="4" t="s">
        <v>32043</v>
      </c>
      <c r="C25455" s="5" t="str">
        <f>IFERROR(__xludf.DUMMYFUNCTION("GOOGLETRANSLATE(B25455,""en"",""zh-CN"")"),"然后，她轻轻夹住他的脚趾甲。")</f>
        <v>然后，她轻轻夹住他的脚趾甲。</v>
      </c>
    </row>
    <row r="25456">
      <c r="A25456" s="4" t="s">
        <v>32044</v>
      </c>
      <c r="B25456" s="4" t="s">
        <v>32045</v>
      </c>
      <c r="C25456" s="5" t="str">
        <f>IFERROR(__xludf.DUMMYFUNCTION("GOOGLETRANSLATE(B25456,""en"",""zh-CN"")"),"似乎他们在电视上观看足球比赛。")</f>
        <v>似乎他们在电视上观看足球比赛。</v>
      </c>
    </row>
    <row r="25457">
      <c r="A25457" s="4" t="s">
        <v>32044</v>
      </c>
      <c r="B25457" s="4" t="s">
        <v>32046</v>
      </c>
      <c r="C25457" s="5" t="str">
        <f>IFERROR(__xludf.DUMMYFUNCTION("GOOGLETRANSLATE(B25457,""en"",""zh-CN"")"),"该站显示了正在观看的频道。")</f>
        <v>该站显示了正在观看的频道。</v>
      </c>
    </row>
    <row r="25458">
      <c r="A25458" s="4" t="s">
        <v>32044</v>
      </c>
      <c r="B25458" s="4" t="s">
        <v>32047</v>
      </c>
      <c r="C25458" s="5" t="str">
        <f>IFERROR(__xludf.DUMMYFUNCTION("GOOGLETRANSLATE(B25458,""en"",""zh-CN"")"),"球场上的妇女正在四处奔波，试图接球。")</f>
        <v>球场上的妇女正在四处奔波，试图接球。</v>
      </c>
    </row>
    <row r="25459">
      <c r="A25459" s="4" t="s">
        <v>32044</v>
      </c>
      <c r="B25459" s="4" t="s">
        <v>32048</v>
      </c>
      <c r="C25459" s="5" t="str">
        <f>IFERROR(__xludf.DUMMYFUNCTION("GOOGLETRANSLATE(B25459,""en"",""zh-CN"")"),"其中一位妇女一直奔向目标。")</f>
        <v>其中一位妇女一直奔向目标。</v>
      </c>
    </row>
    <row r="25460">
      <c r="A25460" s="4" t="s">
        <v>32049</v>
      </c>
      <c r="B25460" s="4" t="s">
        <v>32050</v>
      </c>
      <c r="C25460" s="5" t="str">
        <f>IFERROR(__xludf.DUMMYFUNCTION("GOOGLETRANSLATE(B25460,""en"",""zh-CN"")"),"一个男人站起来，扔石头。")</f>
        <v>一个男人站起来，扔石头。</v>
      </c>
    </row>
    <row r="25461">
      <c r="A25461" s="4" t="s">
        <v>32049</v>
      </c>
      <c r="B25461" s="4" t="s">
        <v>32051</v>
      </c>
      <c r="C25461" s="5" t="str">
        <f>IFERROR(__xludf.DUMMYFUNCTION("GOOGLETRANSLATE(B25461,""en"",""zh-CN"")"),"人们站着看着他。")</f>
        <v>人们站着看着他。</v>
      </c>
    </row>
    <row r="25462">
      <c r="A25462" s="4" t="s">
        <v>32049</v>
      </c>
      <c r="B25462" s="4" t="s">
        <v>32052</v>
      </c>
      <c r="C25462" s="5" t="str">
        <f>IFERROR(__xludf.DUMMYFUNCTION("GOOGLETRANSLATE(B25462,""en"",""zh-CN"")"),"一个人走进马车，骑车走了。")</f>
        <v>一个人走进马车，骑车走了。</v>
      </c>
    </row>
    <row r="25463">
      <c r="A25463" s="4" t="s">
        <v>32053</v>
      </c>
      <c r="B25463" s="4" t="s">
        <v>32054</v>
      </c>
      <c r="C25463" s="5" t="str">
        <f>IFERROR(__xludf.DUMMYFUNCTION("GOOGLETRANSLATE(B25463,""en"",""zh-CN"")"),"我们看到一个男孩刷牙，在浴室里跳舞。")</f>
        <v>我们看到一个男孩刷牙，在浴室里跳舞。</v>
      </c>
    </row>
    <row r="25464">
      <c r="A25464" s="4" t="s">
        <v>32053</v>
      </c>
      <c r="B25464" s="4" t="s">
        <v>32055</v>
      </c>
      <c r="C25464" s="5" t="str">
        <f>IFERROR(__xludf.DUMMYFUNCTION("GOOGLETRANSLATE(B25464,""en"",""zh-CN"")"),"男孩停下来看刷子。")</f>
        <v>男孩停下来看刷子。</v>
      </c>
    </row>
    <row r="25465">
      <c r="A25465" s="4" t="s">
        <v>32053</v>
      </c>
      <c r="B25465" s="4" t="s">
        <v>32056</v>
      </c>
      <c r="C25465" s="5" t="str">
        <f>IFERROR(__xludf.DUMMYFUNCTION("GOOGLETRANSLATE(B25465,""en"",""zh-CN"")"),"男孩回到刷牙和跳舞。")</f>
        <v>男孩回到刷牙和跳舞。</v>
      </c>
    </row>
    <row r="25466">
      <c r="A25466" s="4" t="s">
        <v>32053</v>
      </c>
      <c r="B25466" s="4" t="s">
        <v>32057</v>
      </c>
      <c r="C25466" s="5" t="str">
        <f>IFERROR(__xludf.DUMMYFUNCTION("GOOGLETRANSLATE(B25466,""en"",""zh-CN"")"),"这个男孩握住水槽片刻。")</f>
        <v>这个男孩握住水槽片刻。</v>
      </c>
    </row>
    <row r="25467">
      <c r="A25467" s="4" t="s">
        <v>32053</v>
      </c>
      <c r="B25467" s="4" t="s">
        <v>32058</v>
      </c>
      <c r="C25467" s="5" t="str">
        <f>IFERROR(__xludf.DUMMYFUNCTION("GOOGLETRANSLATE(B25467,""en"",""zh-CN"")"),"这个男孩再次握住水槽。")</f>
        <v>这个男孩再次握住水槽。</v>
      </c>
    </row>
    <row r="25468">
      <c r="A25468" s="4" t="s">
        <v>32059</v>
      </c>
      <c r="B25468" s="6" t="s">
        <v>32060</v>
      </c>
      <c r="C25468" s="5" t="str">
        <f>IFERROR(__xludf.DUMMYFUNCTION("GOOGLETRANSLATE(B25468,""en"",""zh-CN"")"),"墙壁上显示了一个近距离的墙壁，水向侧面喷洒，并导致几张图片，并在地面上喷洒。")</f>
        <v>墙壁上显示了一个近距离的墙壁，水向侧面喷洒，并导致几张图片，并在地面上喷洒。</v>
      </c>
    </row>
    <row r="25469">
      <c r="A25469" s="4" t="s">
        <v>32059</v>
      </c>
      <c r="B25469" s="6" t="s">
        <v>32061</v>
      </c>
      <c r="C25469" s="5" t="str">
        <f>IFERROR(__xludf.DUMMYFUNCTION("GOOGLETRANSLATE(B25469,""en"",""zh-CN"")"),"看到更多的人在显示更多图片的同时，在机器上抬起车以及将汽车抬起。")</f>
        <v>看到更多的人在显示更多图片的同时，在机器上抬起车以及将汽车抬起。</v>
      </c>
    </row>
    <row r="25470">
      <c r="A25470" s="4" t="s">
        <v>32062</v>
      </c>
      <c r="B25470" s="4" t="s">
        <v>32063</v>
      </c>
      <c r="C25470" s="5" t="str">
        <f>IFERROR(__xludf.DUMMYFUNCTION("GOOGLETRANSLATE(B25470,""en"",""zh-CN"")"),"这个人站在屋顶上说几句话。")</f>
        <v>这个人站在屋顶上说几句话。</v>
      </c>
    </row>
    <row r="25471">
      <c r="A25471" s="4" t="s">
        <v>32062</v>
      </c>
      <c r="B25471" s="4" t="s">
        <v>32064</v>
      </c>
      <c r="C25471" s="5" t="str">
        <f>IFERROR(__xludf.DUMMYFUNCTION("GOOGLETRANSLATE(B25471,""en"",""zh-CN"")"),"然后，他开始从屋顶上去除某些部分木头，然后将所有瓷砖堆积起来。")</f>
        <v>然后，他开始从屋顶上去除某些部分木头，然后将所有瓷砖堆积起来。</v>
      </c>
    </row>
    <row r="25472">
      <c r="A25472" s="4" t="s">
        <v>32062</v>
      </c>
      <c r="B25472" s="4" t="s">
        <v>32065</v>
      </c>
      <c r="C25472" s="5" t="str">
        <f>IFERROR(__xludf.DUMMYFUNCTION("GOOGLETRANSLATE(B25472,""en"",""zh-CN"")"),"然后，他把它们放在应该去的地方在屋顶上做一个全部。")</f>
        <v>然后，他把它们放在应该去的地方在屋顶上做一个全部。</v>
      </c>
    </row>
    <row r="25473">
      <c r="A25473" s="4" t="s">
        <v>32066</v>
      </c>
      <c r="B25473" s="4" t="s">
        <v>32067</v>
      </c>
      <c r="C25473" s="5" t="str">
        <f>IFERROR(__xludf.DUMMYFUNCTION("GOOGLETRANSLATE(B25473,""en"",""zh-CN"")"),"一个男人在院子里烧烤，同时唱歌的人在罐头和杯子里展示饮料。")</f>
        <v>一个男人在院子里烧烤，同时唱歌的人在罐头和杯子里展示饮料。</v>
      </c>
    </row>
    <row r="25474">
      <c r="A25474" s="4" t="s">
        <v>32066</v>
      </c>
      <c r="B25474" s="4" t="s">
        <v>32068</v>
      </c>
      <c r="C25474" s="5" t="str">
        <f>IFERROR(__xludf.DUMMYFUNCTION("GOOGLETRANSLATE(B25474,""en"",""zh-CN"")"),"然后人们走到酒吧，在里面喝啤酒。")</f>
        <v>然后人们走到酒吧，在里面喝啤酒。</v>
      </c>
    </row>
    <row r="25475">
      <c r="A25475" s="4" t="s">
        <v>32066</v>
      </c>
      <c r="B25475" s="4" t="s">
        <v>32069</v>
      </c>
      <c r="C25475" s="5" t="str">
        <f>IFERROR(__xludf.DUMMYFUNCTION("GOOGLETRANSLATE(B25475,""en"",""zh-CN"")"),"妇女从喷泉喝酒。")</f>
        <v>妇女从喷泉喝酒。</v>
      </c>
    </row>
    <row r="25476">
      <c r="A25476" s="4" t="s">
        <v>32066</v>
      </c>
      <c r="B25476" s="4" t="s">
        <v>32070</v>
      </c>
      <c r="C25476" s="5" t="str">
        <f>IFERROR(__xludf.DUMMYFUNCTION("GOOGLETRANSLATE(B25476,""en"",""zh-CN"")"),"一个男人在麦克风的前面说话，人们继续唱歌和展示啤酒。")</f>
        <v>一个男人在麦克风的前面说话，人们继续唱歌和展示啤酒。</v>
      </c>
    </row>
    <row r="25477">
      <c r="A25477" s="4" t="s">
        <v>32066</v>
      </c>
      <c r="B25477" s="4" t="s">
        <v>32071</v>
      </c>
      <c r="C25477" s="5" t="str">
        <f>IFERROR(__xludf.DUMMYFUNCTION("GOOGLETRANSLATE(B25477,""en"",""zh-CN"")"),"然后，人们再次唱歌，喝酒和跳舞。")</f>
        <v>然后，人们再次唱歌，喝酒和跳舞。</v>
      </c>
    </row>
    <row r="25478">
      <c r="A25478" s="4" t="s">
        <v>32072</v>
      </c>
      <c r="B25478" s="6" t="s">
        <v>32073</v>
      </c>
      <c r="C25478" s="5" t="str">
        <f>IFERROR(__xludf.DUMMYFUNCTION("GOOGLETRANSLATE(B25478,""en"",""zh-CN"")"),"看到一个女人在相机上说话，并导致她表演的腹部练习的剪辑在镜头上说话。")</f>
        <v>看到一个女人在相机上说话，并导致她表演的腹部练习的剪辑在镜头上说话。</v>
      </c>
    </row>
    <row r="25479">
      <c r="A25479" s="4" t="s">
        <v>32072</v>
      </c>
      <c r="B25479" s="6" t="s">
        <v>32074</v>
      </c>
      <c r="C25479" s="5" t="str">
        <f>IFERROR(__xludf.DUMMYFUNCTION("GOOGLETRANSLATE(B25479,""en"",""zh-CN"")"),"该名女子通过在不同地方移动手臂并与镜头说话，展示了如何做适当的坐下来。")</f>
        <v>该名女子通过在不同地方移动手臂并与镜头说话，展示了如何做适当的坐下来。</v>
      </c>
    </row>
    <row r="25480">
      <c r="A25480" s="4" t="s">
        <v>32075</v>
      </c>
      <c r="B25480" s="4" t="s">
        <v>32076</v>
      </c>
      <c r="C25480" s="5" t="str">
        <f>IFERROR(__xludf.DUMMYFUNCTION("GOOGLETRANSLATE(B25480,""en"",""zh-CN"")"),"一个人在迪斯尼乐园展示一碗冰淇淋。")</f>
        <v>一个人在迪斯尼乐园展示一碗冰淇淋。</v>
      </c>
    </row>
    <row r="25481">
      <c r="A25481" s="4" t="s">
        <v>32075</v>
      </c>
      <c r="B25481" s="4" t="s">
        <v>32077</v>
      </c>
      <c r="C25481" s="5" t="str">
        <f>IFERROR(__xludf.DUMMYFUNCTION("GOOGLETRANSLATE(B25481,""en"",""zh-CN"")"),"这个人喜欢一碗冰淇淋。")</f>
        <v>这个人喜欢一碗冰淇淋。</v>
      </c>
    </row>
    <row r="25482">
      <c r="A25482" s="4" t="s">
        <v>32075</v>
      </c>
      <c r="B25482" s="4" t="s">
        <v>32078</v>
      </c>
      <c r="C25482" s="5" t="str">
        <f>IFERROR(__xludf.DUMMYFUNCTION("GOOGLETRANSLATE(B25482,""en"",""zh-CN"")"),"一辆手推车沿着一条街道滚开，指挥家挂在窗外。")</f>
        <v>一辆手推车沿着一条街道滚开，指挥家挂在窗外。</v>
      </c>
    </row>
    <row r="25483">
      <c r="A25483" s="4" t="s">
        <v>32075</v>
      </c>
      <c r="B25483" s="4" t="s">
        <v>32079</v>
      </c>
      <c r="C25483" s="5" t="str">
        <f>IFERROR(__xludf.DUMMYFUNCTION("GOOGLETRANSLATE(B25483,""en"",""zh-CN"")"),"看到一条繁忙的街道，许多人走着看着停放的手推车。")</f>
        <v>看到一条繁忙的街道，许多人走着看着停放的手推车。</v>
      </c>
    </row>
    <row r="25484">
      <c r="A25484" s="4" t="s">
        <v>32080</v>
      </c>
      <c r="B25484" s="4" t="s">
        <v>32081</v>
      </c>
      <c r="C25484" s="5" t="str">
        <f>IFERROR(__xludf.DUMMYFUNCTION("GOOGLETRANSLATE(B25484,""en"",""zh-CN"")"),"摩托艇停着，一个男人骑了一个。")</f>
        <v>摩托艇停着，一个男人骑了一个。</v>
      </c>
    </row>
    <row r="25485">
      <c r="A25485" s="4" t="s">
        <v>32080</v>
      </c>
      <c r="B25485" s="6" t="s">
        <v>32082</v>
      </c>
      <c r="C25485" s="5" t="str">
        <f>IFERROR(__xludf.DUMMYFUNCTION("GOOGLETRANSLATE(B25485,""en"",""zh-CN"")"),"我们在屏幕上看到一个男人的名字，一个男人在船后和一个男人摩托滑雪和翻转。")</f>
        <v>我们在屏幕上看到一个男人的名字，一个男人在船后和一个男人摩托滑雪和翻转。</v>
      </c>
    </row>
    <row r="25486">
      <c r="A25486" s="4" t="s">
        <v>32080</v>
      </c>
      <c r="B25486" s="4" t="s">
        <v>32083</v>
      </c>
      <c r="C25486" s="5" t="str">
        <f>IFERROR(__xludf.DUMMYFUNCTION("GOOGLETRANSLATE(B25486,""en"",""zh-CN"")"),"两个男人在摩托艇上摇着头发。")</f>
        <v>两个男人在摩托艇上摇着头发。</v>
      </c>
    </row>
    <row r="25487">
      <c r="A25487" s="4" t="s">
        <v>32080</v>
      </c>
      <c r="B25487" s="4" t="s">
        <v>32084</v>
      </c>
      <c r="C25487" s="5" t="str">
        <f>IFERROR(__xludf.DUMMYFUNCTION("GOOGLETRANSLATE(B25487,""en"",""zh-CN"")"),"一个人的名字在屏幕上，我们看到一个人摩托艇。")</f>
        <v>一个人的名字在屏幕上，我们看到一个人摩托艇。</v>
      </c>
    </row>
    <row r="25488">
      <c r="A25488" s="4" t="s">
        <v>32080</v>
      </c>
      <c r="B25488" s="4" t="s">
        <v>32085</v>
      </c>
      <c r="C25488" s="5" t="str">
        <f>IFERROR(__xludf.DUMMYFUNCTION("GOOGLETRANSLATE(B25488,""en"",""zh-CN"")"),"摩托艇上的另一个名字和另一个男人。")</f>
        <v>摩托艇上的另一个名字和另一个男人。</v>
      </c>
    </row>
    <row r="25489">
      <c r="A25489" s="4" t="s">
        <v>32080</v>
      </c>
      <c r="B25489" s="4" t="s">
        <v>32086</v>
      </c>
      <c r="C25489" s="5" t="str">
        <f>IFERROR(__xludf.DUMMYFUNCTION("GOOGLETRANSLATE(B25489,""en"",""zh-CN"")"),"当他准备在船后滑雪时，我们看到了那个男人。")</f>
        <v>当他准备在船后滑雪时，我们看到了那个男人。</v>
      </c>
    </row>
    <row r="25490">
      <c r="A25490" s="4" t="s">
        <v>32080</v>
      </c>
      <c r="B25490" s="4" t="s">
        <v>32087</v>
      </c>
      <c r="C25490" s="5" t="str">
        <f>IFERROR(__xludf.DUMMYFUNCTION("GOOGLETRANSLATE(B25490,""en"",""zh-CN"")"),"我们看到了湖，然后看到了闭幕式。")</f>
        <v>我们看到了湖，然后看到了闭幕式。</v>
      </c>
    </row>
    <row r="25491">
      <c r="A25491" s="4" t="s">
        <v>32088</v>
      </c>
      <c r="B25491" s="4" t="s">
        <v>32089</v>
      </c>
      <c r="C25491" s="5" t="str">
        <f>IFERROR(__xludf.DUMMYFUNCTION("GOOGLETRANSLATE(B25491,""en"",""zh-CN"")"),"我们看到了一个黑屏和积分。")</f>
        <v>我们看到了一个黑屏和积分。</v>
      </c>
    </row>
    <row r="25492">
      <c r="A25492" s="4" t="s">
        <v>32088</v>
      </c>
      <c r="B25492" s="4" t="s">
        <v>32090</v>
      </c>
      <c r="C25492" s="5" t="str">
        <f>IFERROR(__xludf.DUMMYFUNCTION("GOOGLETRANSLATE(B25492,""en"",""zh-CN"")"),"一个人正在剪男人的头发。")</f>
        <v>一个人正在剪男人的头发。</v>
      </c>
    </row>
    <row r="25493">
      <c r="A25493" s="4" t="s">
        <v>32088</v>
      </c>
      <c r="B25493" s="4" t="s">
        <v>32091</v>
      </c>
      <c r="C25493" s="5" t="str">
        <f>IFERROR(__xludf.DUMMYFUNCTION("GOOGLETRANSLATE(B25493,""en"",""zh-CN"")"),"他们在背面切换到电动剃须刀。")</f>
        <v>他们在背面切换到电动剃须刀。</v>
      </c>
    </row>
    <row r="25494">
      <c r="A25494" s="4" t="s">
        <v>32088</v>
      </c>
      <c r="B25494" s="4" t="s">
        <v>32092</v>
      </c>
      <c r="C25494" s="5" t="str">
        <f>IFERROR(__xludf.DUMMYFUNCTION("GOOGLETRANSLATE(B25494,""en"",""zh-CN"")"),"该人手上使用剃须刀。")</f>
        <v>该人手上使用剃须刀。</v>
      </c>
    </row>
    <row r="25495">
      <c r="A25495" s="4" t="s">
        <v>32088</v>
      </c>
      <c r="B25495" s="4" t="s">
        <v>32093</v>
      </c>
      <c r="C25495" s="5" t="str">
        <f>IFERROR(__xludf.DUMMYFUNCTION("GOOGLETRANSLATE(B25495,""en"",""zh-CN"")"),"屏幕变为黑色片刻。")</f>
        <v>屏幕变为黑色片刻。</v>
      </c>
    </row>
    <row r="25496">
      <c r="A25496" s="4" t="s">
        <v>32088</v>
      </c>
      <c r="B25496" s="4" t="s">
        <v>32094</v>
      </c>
      <c r="C25496" s="5" t="str">
        <f>IFERROR(__xludf.DUMMYFUNCTION("GOOGLETRANSLATE(B25496,""en"",""zh-CN"")"),"我们看到屏幕再次变化，人将人的头部背面。")</f>
        <v>我们看到屏幕再次变化，人将人的头部背面。</v>
      </c>
    </row>
    <row r="25497">
      <c r="A25497" s="4" t="s">
        <v>32088</v>
      </c>
      <c r="B25497" s="4" t="s">
        <v>32095</v>
      </c>
      <c r="C25497" s="5" t="str">
        <f>IFERROR(__xludf.DUMMYFUNCTION("GOOGLETRANSLATE(B25497,""en"",""zh-CN"")"),"理发师接触剃须刀边缘。")</f>
        <v>理发师接触剃须刀边缘。</v>
      </c>
    </row>
    <row r="25498">
      <c r="A25498" s="4" t="s">
        <v>32088</v>
      </c>
      <c r="B25498" s="4" t="s">
        <v>32096</v>
      </c>
      <c r="C25498" s="5" t="str">
        <f>IFERROR(__xludf.DUMMYFUNCTION("GOOGLETRANSLATE(B25498,""en"",""zh-CN"")"),"屏幕淡入黑色，结束信用额度滚动。")</f>
        <v>屏幕淡入黑色，结束信用额度滚动。</v>
      </c>
    </row>
    <row r="25499">
      <c r="A25499" s="4" t="s">
        <v>32097</v>
      </c>
      <c r="B25499" s="4" t="s">
        <v>32098</v>
      </c>
      <c r="C25499" s="5" t="str">
        <f>IFERROR(__xludf.DUMMYFUNCTION("GOOGLETRANSLATE(B25499,""en"",""zh-CN"")"),"一群人骑着河上的各种独木舟。")</f>
        <v>一群人骑着河上的各种独木舟。</v>
      </c>
    </row>
    <row r="25500">
      <c r="A25500" s="4" t="s">
        <v>32097</v>
      </c>
      <c r="B25500" s="4" t="s">
        <v>32099</v>
      </c>
      <c r="C25500" s="5" t="str">
        <f>IFERROR(__xludf.DUMMYFUNCTION("GOOGLETRANSLATE(B25500,""en"",""zh-CN"")"),"一个男人向空中射出火焰，然后还有其他几个人。")</f>
        <v>一个男人向空中射出火焰，然后还有其他几个人。</v>
      </c>
    </row>
    <row r="25501">
      <c r="A25501" s="4" t="s">
        <v>32097</v>
      </c>
      <c r="B25501" s="4" t="s">
        <v>32100</v>
      </c>
      <c r="C25501" s="5" t="str">
        <f>IFERROR(__xludf.DUMMYFUNCTION("GOOGLETRANSLATE(B25501,""en"",""zh-CN"")"),"摄像头在一群穿着海盗和其他各种服装的人周围摇动。")</f>
        <v>摄像头在一群穿着海盗和其他各种服装的人周围摇动。</v>
      </c>
    </row>
    <row r="25502">
      <c r="A25502" s="4" t="s">
        <v>32101</v>
      </c>
      <c r="B25502" s="4" t="s">
        <v>32102</v>
      </c>
      <c r="C25502" s="5" t="str">
        <f>IFERROR(__xludf.DUMMYFUNCTION("GOOGLETRANSLATE(B25502,""en"",""zh-CN"")"),"看到几个人抓住滑雪板以及排队的汽车，人们互相交谈。")</f>
        <v>看到几个人抓住滑雪板以及排队的汽车，人们互相交谈。</v>
      </c>
    </row>
    <row r="25503">
      <c r="A25503" s="4" t="s">
        <v>32101</v>
      </c>
      <c r="B25503" s="4" t="s">
        <v>32103</v>
      </c>
      <c r="C25503" s="5" t="str">
        <f>IFERROR(__xludf.DUMMYFUNCTION("GOOGLETRANSLATE(B25503,""en"",""zh-CN"")"),"这导致了几个接一个地骑着山上的滑雪者。")</f>
        <v>这导致了几个接一个地骑着山上的滑雪者。</v>
      </c>
    </row>
    <row r="25504">
      <c r="A25504" s="4" t="s">
        <v>32101</v>
      </c>
      <c r="B25504" s="4" t="s">
        <v>32104</v>
      </c>
      <c r="C25504" s="5" t="str">
        <f>IFERROR(__xludf.DUMMYFUNCTION("GOOGLETRANSLATE(B25504,""en"",""zh-CN"")"),"人们一起骑着骑行和独奏，并以一个男人踢镜头结束。")</f>
        <v>人们一起骑着骑行和独奏，并以一个男人踢镜头结束。</v>
      </c>
    </row>
    <row r="25505">
      <c r="A25505" s="4" t="s">
        <v>32105</v>
      </c>
      <c r="B25505" s="6" t="s">
        <v>32106</v>
      </c>
      <c r="C25505" s="5" t="str">
        <f>IFERROR(__xludf.DUMMYFUNCTION("GOOGLETRANSLATE(B25505,""en"",""zh-CN"")"),"运动员穿上红色运动鞋，然后他与镜头交谈，然后在室内轨道上跑步。")</f>
        <v>运动员穿上红色运动鞋，然后他与镜头交谈，然后在室内轨道上跑步。</v>
      </c>
    </row>
    <row r="25506">
      <c r="A25506" s="4" t="s">
        <v>32105</v>
      </c>
      <c r="B25506" s="6" t="s">
        <v>32107</v>
      </c>
      <c r="C25506" s="5" t="str">
        <f>IFERROR(__xludf.DUMMYFUNCTION("GOOGLETRANSLATE(B25506,""en"",""zh-CN"")"),"他休息了一会儿，然后他的教练正在接受采访，然后场景改变了运动员开始练习，跑来跑去，然后跳了一些杆子。")</f>
        <v>他休息了一会儿，然后他的教练正在接受采访，然后场景改变了运动员开始练习，跑来跑去，然后跳了一些杆子。</v>
      </c>
    </row>
    <row r="25507">
      <c r="A25507" s="4" t="s">
        <v>32105</v>
      </c>
      <c r="B25507" s="4" t="s">
        <v>32108</v>
      </c>
      <c r="C25507" s="5" t="str">
        <f>IFERROR(__xludf.DUMMYFUNCTION("GOOGLETRANSLATE(B25507,""en"",""zh-CN"")"),"他做了一些练习和伸展运动。")</f>
        <v>他做了一些练习和伸展运动。</v>
      </c>
    </row>
    <row r="25508">
      <c r="A25508" s="4" t="s">
        <v>32109</v>
      </c>
      <c r="B25508" s="4" t="s">
        <v>32110</v>
      </c>
      <c r="C25508" s="5" t="str">
        <f>IFERROR(__xludf.DUMMYFUNCTION("GOOGLETRANSLATE(B25508,""en"",""zh-CN"")"),"穿着橙色衬衫的男孩正在玩电子游戏。")</f>
        <v>穿着橙色衬衫的男孩正在玩电子游戏。</v>
      </c>
    </row>
    <row r="25509">
      <c r="A25509" s="4" t="s">
        <v>32109</v>
      </c>
      <c r="B25509" s="4" t="s">
        <v>32111</v>
      </c>
      <c r="C25509" s="5" t="str">
        <f>IFERROR(__xludf.DUMMYFUNCTION("GOOGLETRANSLATE(B25509,""en"",""zh-CN"")"),"场景改变了游戏本身。")</f>
        <v>场景改变了游戏本身。</v>
      </c>
    </row>
    <row r="25510">
      <c r="A25510" s="4" t="s">
        <v>32109</v>
      </c>
      <c r="B25510" s="4" t="s">
        <v>32112</v>
      </c>
      <c r="C25510" s="5" t="str">
        <f>IFERROR(__xludf.DUMMYFUNCTION("GOOGLETRANSLATE(B25510,""en"",""zh-CN"")"),"场景变回男孩。")</f>
        <v>场景变回男孩。</v>
      </c>
    </row>
    <row r="25511">
      <c r="A25511" s="4" t="s">
        <v>32109</v>
      </c>
      <c r="B25511" s="4" t="s">
        <v>32113</v>
      </c>
      <c r="C25511" s="5" t="str">
        <f>IFERROR(__xludf.DUMMYFUNCTION("GOOGLETRANSLATE(B25511,""en"",""zh-CN"")"),"相机放大控制器。")</f>
        <v>相机放大控制器。</v>
      </c>
    </row>
    <row r="25512">
      <c r="A25512" s="4" t="s">
        <v>32109</v>
      </c>
      <c r="B25512" s="4" t="s">
        <v>32114</v>
      </c>
      <c r="C25512" s="5" t="str">
        <f>IFERROR(__xludf.DUMMYFUNCTION("GOOGLETRANSLATE(B25512,""en"",""zh-CN"")"),"场景可以追溯到游戏。")</f>
        <v>场景可以追溯到游戏。</v>
      </c>
    </row>
    <row r="25513">
      <c r="A25513" s="4" t="s">
        <v>32109</v>
      </c>
      <c r="B25513" s="4" t="s">
        <v>32115</v>
      </c>
      <c r="C25513" s="5" t="str">
        <f>IFERROR(__xludf.DUMMYFUNCTION("GOOGLETRANSLATE(B25513,""en"",""zh-CN"")"),"男孩的脸有一个特写。")</f>
        <v>男孩的脸有一个特写。</v>
      </c>
    </row>
    <row r="25514">
      <c r="A25514" s="4" t="s">
        <v>32109</v>
      </c>
      <c r="B25514" s="4" t="s">
        <v>32116</v>
      </c>
      <c r="C25514" s="5" t="str">
        <f>IFERROR(__xludf.DUMMYFUNCTION("GOOGLETRANSLATE(B25514,""en"",""zh-CN"")"),"相机带着男孩的头部向电视展示。")</f>
        <v>相机带着男孩的头部向电视展示。</v>
      </c>
    </row>
    <row r="25515">
      <c r="A25515" s="4" t="s">
        <v>32109</v>
      </c>
      <c r="B25515" s="4" t="s">
        <v>32117</v>
      </c>
      <c r="C25515" s="5" t="str">
        <f>IFERROR(__xludf.DUMMYFUNCTION("GOOGLETRANSLATE(B25515,""en"",""zh-CN"")"),"游戏一直在玩直到最后。")</f>
        <v>游戏一直在玩直到最后。</v>
      </c>
    </row>
    <row r="25516">
      <c r="A25516" s="4" t="s">
        <v>32109</v>
      </c>
      <c r="B25516" s="4" t="s">
        <v>32118</v>
      </c>
      <c r="C25516" s="5" t="str">
        <f>IFERROR(__xludf.DUMMYFUNCTION("GOOGLETRANSLATE(B25516,""en"",""zh-CN"")"),"男孩说些什么，电视上有数字。")</f>
        <v>男孩说些什么，电视上有数字。</v>
      </c>
    </row>
    <row r="25517">
      <c r="A25517" s="4" t="s">
        <v>32109</v>
      </c>
      <c r="B25517" s="4" t="s">
        <v>32119</v>
      </c>
      <c r="C25517" s="5" t="str">
        <f>IFERROR(__xludf.DUMMYFUNCTION("GOOGLETRANSLATE(B25517,""en"",""zh-CN"")"),"这个男孩再次说话。")</f>
        <v>这个男孩再次说话。</v>
      </c>
    </row>
    <row r="25518">
      <c r="A25518" s="4" t="s">
        <v>32109</v>
      </c>
      <c r="B25518" s="4" t="s">
        <v>32120</v>
      </c>
      <c r="C25518" s="5" t="str">
        <f>IFERROR(__xludf.DUMMYFUNCTION("GOOGLETRANSLATE(B25518,""en"",""zh-CN"")"),"男孩起身离开房间。")</f>
        <v>男孩起身离开房间。</v>
      </c>
    </row>
    <row r="25519">
      <c r="A25519" s="4" t="s">
        <v>32109</v>
      </c>
      <c r="B25519" s="4" t="s">
        <v>32121</v>
      </c>
      <c r="C25519" s="5" t="str">
        <f>IFERROR(__xludf.DUMMYFUNCTION("GOOGLETRANSLATE(B25519,""en"",""zh-CN"")"),"他去洗手间，正在揉眼睛。")</f>
        <v>他去洗手间，正在揉眼睛。</v>
      </c>
    </row>
    <row r="25520">
      <c r="A25520" s="4" t="s">
        <v>32109</v>
      </c>
      <c r="B25520" s="4" t="s">
        <v>32122</v>
      </c>
      <c r="C25520" s="5" t="str">
        <f>IFERROR(__xludf.DUMMYFUNCTION("GOOGLETRANSLATE(B25520,""en"",""zh-CN"")"),"他看着镜子，然后伸手去洗面，把一些手里放在手中。")</f>
        <v>他看着镜子，然后伸手去洗面，把一些手里放在手中。</v>
      </c>
    </row>
    <row r="25521">
      <c r="A25521" s="4" t="s">
        <v>32109</v>
      </c>
      <c r="B25521" s="4" t="s">
        <v>32123</v>
      </c>
      <c r="C25521" s="5" t="str">
        <f>IFERROR(__xludf.DUMMYFUNCTION("GOOGLETRANSLATE(B25521,""en"",""zh-CN"")"),"他将洗面奶扔在洗衣机上。")</f>
        <v>他将洗面奶扔在洗衣机上。</v>
      </c>
    </row>
    <row r="25522">
      <c r="A25522" s="4" t="s">
        <v>32109</v>
      </c>
      <c r="B25522" s="4" t="s">
        <v>32124</v>
      </c>
      <c r="C25522" s="5" t="str">
        <f>IFERROR(__xludf.DUMMYFUNCTION("GOOGLETRANSLATE(B25522,""en"",""zh-CN"")"),"他把头放在水槽里，愤怒地洗脸。")</f>
        <v>他把头放在水槽里，愤怒地洗脸。</v>
      </c>
    </row>
    <row r="25523">
      <c r="A25523" s="4" t="s">
        <v>32109</v>
      </c>
      <c r="B25523" s="4" t="s">
        <v>32125</v>
      </c>
      <c r="C25523" s="5" t="str">
        <f>IFERROR(__xludf.DUMMYFUNCTION("GOOGLETRANSLATE(B25523,""en"",""zh-CN"")"),"当他再次照镜子时，那是一个老人。")</f>
        <v>当他再次照镜子时，那是一个老人。</v>
      </c>
    </row>
    <row r="25524">
      <c r="A25524" s="4" t="s">
        <v>32109</v>
      </c>
      <c r="B25524" s="4" t="s">
        <v>32126</v>
      </c>
      <c r="C25524" s="5" t="str">
        <f>IFERROR(__xludf.DUMMYFUNCTION("GOOGLETRANSLATE(B25524,""en"",""zh-CN"")"),"他跌倒在地。")</f>
        <v>他跌倒在地。</v>
      </c>
    </row>
    <row r="25525">
      <c r="A25525" s="4" t="s">
        <v>32109</v>
      </c>
      <c r="B25525" s="4" t="s">
        <v>32127</v>
      </c>
      <c r="C25525" s="5" t="str">
        <f>IFERROR(__xludf.DUMMYFUNCTION("GOOGLETRANSLATE(B25525,""en"",""zh-CN"")"),"他再次洗脸，这次变成了头骨。")</f>
        <v>他再次洗脸，这次变成了头骨。</v>
      </c>
    </row>
    <row r="25526">
      <c r="A25526" s="4" t="s">
        <v>32109</v>
      </c>
      <c r="B25526" s="4" t="s">
        <v>32128</v>
      </c>
      <c r="C25526" s="5" t="str">
        <f>IFERROR(__xludf.DUMMYFUNCTION("GOOGLETRANSLATE(B25526,""en"",""zh-CN"")"),"他揉着脸，头骨掉进了水槽。")</f>
        <v>他揉着脸，头骨掉进了水槽。</v>
      </c>
    </row>
    <row r="25527">
      <c r="A25527" s="4" t="s">
        <v>32129</v>
      </c>
      <c r="B25527" s="4" t="s">
        <v>32130</v>
      </c>
      <c r="C25527" s="5" t="str">
        <f>IFERROR(__xludf.DUMMYFUNCTION("GOOGLETRANSLATE(B25527,""en"",""zh-CN"")"),"一个人把手握在镜头上。")</f>
        <v>一个人把手握在镜头上。</v>
      </c>
    </row>
    <row r="25528">
      <c r="A25528" s="4" t="s">
        <v>32129</v>
      </c>
      <c r="B25528" s="4" t="s">
        <v>32131</v>
      </c>
      <c r="C25528" s="5" t="str">
        <f>IFERROR(__xludf.DUMMYFUNCTION("GOOGLETRANSLATE(B25528,""en"",""zh-CN"")"),"然后，我们看到一个孩子在相机操作员面前穿着灰色滑雪。")</f>
        <v>然后，我们看到一个孩子在相机操作员面前穿着灰色滑雪。</v>
      </c>
    </row>
    <row r="25529">
      <c r="A25529" s="4" t="s">
        <v>32129</v>
      </c>
      <c r="B25529" s="4" t="s">
        <v>32132</v>
      </c>
      <c r="C25529" s="5" t="str">
        <f>IFERROR(__xludf.DUMMYFUNCTION("GOOGLETRANSLATE(B25529,""en"",""zh-CN"")"),"孩子从滑雪板上掉下来，躺在雪中。")</f>
        <v>孩子从滑雪板上掉下来，躺在雪中。</v>
      </c>
    </row>
    <row r="25530">
      <c r="A25530" s="4" t="s">
        <v>32129</v>
      </c>
      <c r="B25530" s="4" t="s">
        <v>32133</v>
      </c>
      <c r="C25530" s="5" t="str">
        <f>IFERROR(__xludf.DUMMYFUNCTION("GOOGLETRANSLATE(B25530,""en"",""zh-CN"")"),"相机人员停下来，擦去孩子们的窥视镜，然后关闭相机。")</f>
        <v>相机人员停下来，擦去孩子们的窥视镜，然后关闭相机。</v>
      </c>
    </row>
    <row r="25531">
      <c r="A25531" s="4" t="s">
        <v>32134</v>
      </c>
      <c r="B25531" s="4" t="s">
        <v>32135</v>
      </c>
      <c r="C25531" s="5" t="str">
        <f>IFERROR(__xludf.DUMMYFUNCTION("GOOGLETRANSLATE(B25531,""en"",""zh-CN"")"),"一匹马在黄门门后面，一个人坐在绳子上。")</f>
        <v>一匹马在黄门门后面，一个人坐在绳子上。</v>
      </c>
    </row>
    <row r="25532">
      <c r="A25532" s="4" t="s">
        <v>32134</v>
      </c>
      <c r="B25532" s="4" t="s">
        <v>32136</v>
      </c>
      <c r="C25532" s="5" t="str">
        <f>IFERROR(__xludf.DUMMYFUNCTION("GOOGLETRANSLATE(B25532,""en"",""zh-CN"")"),"大门打开，一条黑牛犊耗尽泥土场。")</f>
        <v>大门打开，一条黑牛犊耗尽泥土场。</v>
      </c>
    </row>
    <row r="25533">
      <c r="A25533" s="4" t="s">
        <v>32134</v>
      </c>
      <c r="B25533" s="4" t="s">
        <v>32137</v>
      </c>
      <c r="C25533" s="5" t="str">
        <f>IFERROR(__xludf.DUMMYFUNCTION("GOOGLETRANSLATE(B25533,""en"",""zh-CN"")"),"几乎立刻，那个男人扔了他的套索，跳下来固定牛。")</f>
        <v>几乎立刻，那个男人扔了他的套索，跳下来固定牛。</v>
      </c>
    </row>
    <row r="25534">
      <c r="A25534" s="4" t="s">
        <v>32134</v>
      </c>
      <c r="B25534" s="6" t="s">
        <v>32138</v>
      </c>
      <c r="C25534" s="5" t="str">
        <f>IFERROR(__xludf.DUMMYFUNCTION("GOOGLETRANSLATE(B25534,""en"",""zh-CN"")"),"一旦他完成，该男子就回到马，其他人出来将小牛拿出来。")</f>
        <v>一旦他完成，该男子就回到马，其他人出来将小牛拿出来。</v>
      </c>
    </row>
    <row r="25535">
      <c r="A25535" s="4" t="s">
        <v>32139</v>
      </c>
      <c r="B25535" s="4" t="s">
        <v>32140</v>
      </c>
      <c r="C25535" s="5" t="str">
        <f>IFERROR(__xludf.DUMMYFUNCTION("GOOGLETRANSLATE(B25535,""en"",""zh-CN"")"),"一台相机走近一个女孩，指着镜子里的眼睛。")</f>
        <v>一台相机走近一个女孩，指着镜子里的眼睛。</v>
      </c>
    </row>
    <row r="25536">
      <c r="A25536" s="4" t="s">
        <v>32139</v>
      </c>
      <c r="B25536" s="4" t="s">
        <v>32141</v>
      </c>
      <c r="C25536" s="5" t="str">
        <f>IFERROR(__xludf.DUMMYFUNCTION("GOOGLETRANSLATE(B25536,""en"",""zh-CN"")"),"然后，她向前弯曲，将脸贴在水下沿着脸上摩擦的水。")</f>
        <v>然后，她向前弯曲，将脸贴在水下沿着脸上摩擦的水。</v>
      </c>
    </row>
    <row r="25537">
      <c r="A25537" s="4" t="s">
        <v>32142</v>
      </c>
      <c r="B25537" s="4" t="s">
        <v>32143</v>
      </c>
      <c r="C25537" s="5" t="str">
        <f>IFERROR(__xludf.DUMMYFUNCTION("GOOGLETRANSLATE(B25537,""en"",""zh-CN"")"),"看到一名妇女握着手风琴，同时将拳头摇到空中。")</f>
        <v>看到一名妇女握着手风琴，同时将拳头摇到空中。</v>
      </c>
    </row>
    <row r="25538">
      <c r="A25538" s="4" t="s">
        <v>32142</v>
      </c>
      <c r="B25538" s="4" t="s">
        <v>32144</v>
      </c>
      <c r="C25538" s="5" t="str">
        <f>IFERROR(__xludf.DUMMYFUNCTION("GOOGLETRANSLATE(B25538,""en"",""zh-CN"")"),"看到一支乐队在她身后走来走去，她开始演奏。")</f>
        <v>看到一支乐队在她身后走来走去，她开始演奏。</v>
      </c>
    </row>
    <row r="25539">
      <c r="A25539" s="4" t="s">
        <v>32142</v>
      </c>
      <c r="B25539" s="4" t="s">
        <v>32145</v>
      </c>
      <c r="C25539" s="5" t="str">
        <f>IFERROR(__xludf.DUMMYFUNCTION("GOOGLETRANSLATE(B25539,""en"",""zh-CN"")"),"女孩继续与乐队一起演奏，并通过看相机结束。")</f>
        <v>女孩继续与乐队一起演奏，并通过看相机结束。</v>
      </c>
    </row>
    <row r="25540">
      <c r="A25540" s="4" t="s">
        <v>32146</v>
      </c>
      <c r="B25540" s="4" t="s">
        <v>32147</v>
      </c>
      <c r="C25540" s="5" t="str">
        <f>IFERROR(__xludf.DUMMYFUNCTION("GOOGLETRANSLATE(B25540,""en"",""zh-CN"")"),"看到一个男人闭上眼睛站在田野里，站着不动。")</f>
        <v>看到一个男人闭上眼睛站在田野里，站着不动。</v>
      </c>
    </row>
    <row r="25541">
      <c r="A25541" s="4" t="s">
        <v>32146</v>
      </c>
      <c r="B25541" s="4" t="s">
        <v>32148</v>
      </c>
      <c r="C25541" s="5" t="str">
        <f>IFERROR(__xludf.DUMMYFUNCTION("GOOGLETRANSLATE(B25541,""en"",""zh-CN"")"),"然后，那个男人开始在身体周围移动胳膊和腿。")</f>
        <v>然后，那个男人开始在身体周围移动胳膊和腿。</v>
      </c>
    </row>
    <row r="25542">
      <c r="A25542" s="4" t="s">
        <v>32146</v>
      </c>
      <c r="B25542" s="4" t="s">
        <v>32149</v>
      </c>
      <c r="C25542" s="5" t="str">
        <f>IFERROR(__xludf.DUMMYFUNCTION("GOOGLETRANSLATE(B25542,""en"",""zh-CN"")"),"他闭着眼睛继续移动身体。")</f>
        <v>他闭着眼睛继续移动身体。</v>
      </c>
    </row>
    <row r="25543">
      <c r="A25543" s="4" t="s">
        <v>32150</v>
      </c>
      <c r="B25543" s="4" t="s">
        <v>32151</v>
      </c>
      <c r="C25543" s="5" t="str">
        <f>IFERROR(__xludf.DUMMYFUNCTION("GOOGLETRANSLATE(B25543,""en"",""zh-CN"")"),"一个女人躺在桌子上，准备刺穿耳朵。")</f>
        <v>一个女人躺在桌子上，准备刺穿耳朵。</v>
      </c>
    </row>
    <row r="25544">
      <c r="A25544" s="4" t="s">
        <v>32150</v>
      </c>
      <c r="B25544" s="4" t="s">
        <v>32152</v>
      </c>
      <c r="C25544" s="5" t="str">
        <f>IFERROR(__xludf.DUMMYFUNCTION("GOOGLETRANSLATE(B25544,""en"",""zh-CN"")"),"负责该手术的人用一根小杆在两个地方刺穿了耳朵。")</f>
        <v>负责该手术的人用一根小杆在两个地方刺穿了耳朵。</v>
      </c>
    </row>
    <row r="25545">
      <c r="A25545" s="4" t="s">
        <v>32150</v>
      </c>
      <c r="B25545" s="4" t="s">
        <v>32153</v>
      </c>
      <c r="C25545" s="5" t="str">
        <f>IFERROR(__xludf.DUMMYFUNCTION("GOOGLETRANSLATE(B25545,""en"",""zh-CN"")"),"该人将软木塞应用于杆的一端。")</f>
        <v>该人将软木塞应用于杆的一端。</v>
      </c>
    </row>
    <row r="25546">
      <c r="A25546" s="4" t="s">
        <v>32150</v>
      </c>
      <c r="B25546" s="4" t="s">
        <v>32154</v>
      </c>
      <c r="C25546" s="5" t="str">
        <f>IFERROR(__xludf.DUMMYFUNCTION("GOOGLETRANSLATE(B25546,""en"",""zh-CN"")"),"该人通过最初的刺穿孔推动了不同的杆。")</f>
        <v>该人通过最初的刺穿孔推动了不同的杆。</v>
      </c>
    </row>
    <row r="25547">
      <c r="A25547" s="4" t="s">
        <v>32150</v>
      </c>
      <c r="B25547" s="4" t="s">
        <v>32155</v>
      </c>
      <c r="C25547" s="5" t="str">
        <f>IFERROR(__xludf.DUMMYFUNCTION("GOOGLETRANSLATE(B25547,""en"",""zh-CN"")"),"该人在两端都盖住新杆。")</f>
        <v>该人在两端都盖住新杆。</v>
      </c>
    </row>
    <row r="25548">
      <c r="A25548" s="4" t="s">
        <v>32150</v>
      </c>
      <c r="B25548" s="4" t="s">
        <v>32156</v>
      </c>
      <c r="C25548" s="5" t="str">
        <f>IFERROR(__xludf.DUMMYFUNCTION("GOOGLETRANSLATE(B25548,""en"",""zh-CN"")"),"那个女人炫耀了她的新刺眼和微笑。")</f>
        <v>那个女人炫耀了她的新刺眼和微笑。</v>
      </c>
    </row>
    <row r="25549">
      <c r="A25549" s="4" t="s">
        <v>32157</v>
      </c>
      <c r="B25549" s="4" t="s">
        <v>32158</v>
      </c>
      <c r="C25549" s="5" t="str">
        <f>IFERROR(__xludf.DUMMYFUNCTION("GOOGLETRANSLATE(B25549,""en"",""zh-CN"")"),"看到一个幼儿对镜头微笑，开始爬过猴子酒吧。")</f>
        <v>看到一个幼儿对镜头微笑，开始爬过猴子酒吧。</v>
      </c>
    </row>
    <row r="25550">
      <c r="A25550" s="4" t="s">
        <v>32157</v>
      </c>
      <c r="B25550" s="4" t="s">
        <v>32159</v>
      </c>
      <c r="C25550" s="5" t="str">
        <f>IFERROR(__xludf.DUMMYFUNCTION("GOOGLETRANSLATE(B25550,""en"",""zh-CN"")"),"她到达另一侧，然后向相机挥手。")</f>
        <v>她到达另一侧，然后向相机挥手。</v>
      </c>
    </row>
    <row r="25551">
      <c r="A25551" s="4" t="s">
        <v>32160</v>
      </c>
      <c r="B25551" s="4" t="s">
        <v>32161</v>
      </c>
      <c r="C25551" s="5" t="str">
        <f>IFERROR(__xludf.DUMMYFUNCTION("GOOGLETRANSLATE(B25551,""en"",""zh-CN"")"),"一个人手中握着小物体。")</f>
        <v>一个人手中握着小物体。</v>
      </c>
    </row>
    <row r="25552">
      <c r="A25552" s="4" t="s">
        <v>32160</v>
      </c>
      <c r="B25552" s="4" t="s">
        <v>32162</v>
      </c>
      <c r="C25552" s="5" t="str">
        <f>IFERROR(__xludf.DUMMYFUNCTION("GOOGLETRANSLATE(B25552,""en"",""zh-CN"")"),"该人将物体连续地应用于木质表面。")</f>
        <v>该人将物体连续地应用于木质表面。</v>
      </c>
    </row>
    <row r="25553">
      <c r="A25553" s="4" t="s">
        <v>32160</v>
      </c>
      <c r="B25553" s="4" t="s">
        <v>32163</v>
      </c>
      <c r="C25553" s="5" t="str">
        <f>IFERROR(__xludf.DUMMYFUNCTION("GOOGLETRANSLATE(B25553,""en"",""zh-CN"")"),"当人在较小的物体上摩擦时，它将白色残留物放在表面上。")</f>
        <v>当人在较小的物体上摩擦时，它将白色残留物放在表面上。</v>
      </c>
    </row>
    <row r="25554">
      <c r="A25554" s="4" t="s">
        <v>32160</v>
      </c>
      <c r="B25554" s="4" t="s">
        <v>32164</v>
      </c>
      <c r="C25554" s="5" t="str">
        <f>IFERROR(__xludf.DUMMYFUNCTION("GOOGLETRANSLATE(B25554,""en"",""zh-CN"")"),"当该人在棕色物体上摩擦时，它会清除残留物。")</f>
        <v>当该人在棕色物体上摩擦时，它会清除残留物。</v>
      </c>
    </row>
    <row r="25555">
      <c r="A25555" s="4" t="s">
        <v>32165</v>
      </c>
      <c r="B25555" s="4" t="s">
        <v>32166</v>
      </c>
      <c r="C25555" s="5" t="str">
        <f>IFERROR(__xludf.DUMMYFUNCTION("GOOGLETRANSLATE(B25555,""en"",""zh-CN"")"),"一个男人坐在几个鼓前面，敲打着节奏。")</f>
        <v>一个男人坐在几个鼓前面，敲打着节奏。</v>
      </c>
    </row>
    <row r="25556">
      <c r="A25556" s="4" t="s">
        <v>32165</v>
      </c>
      <c r="B25556" s="4" t="s">
        <v>32167</v>
      </c>
      <c r="C25556" s="5" t="str">
        <f>IFERROR(__xludf.DUMMYFUNCTION("GOOGLETRANSLATE(B25556,""en"",""zh-CN"")"),"他与镜头谈论他的歌曲以及他打算演奏的内容。")</f>
        <v>他与镜头谈论他的歌曲以及他打算演奏的内容。</v>
      </c>
    </row>
    <row r="25557">
      <c r="A25557" s="4" t="s">
        <v>32165</v>
      </c>
      <c r="B25557" s="4" t="s">
        <v>32168</v>
      </c>
      <c r="C25557" s="5" t="str">
        <f>IFERROR(__xludf.DUMMYFUNCTION("GOOGLETRANSLATE(B25557,""en"",""zh-CN"")"),"当摄像机摇进和向外打鼓时，该男子继续演奏。")</f>
        <v>当摄像机摇进和向外打鼓时，该男子继续演奏。</v>
      </c>
    </row>
    <row r="25558">
      <c r="A25558" s="4" t="s">
        <v>32169</v>
      </c>
      <c r="B25558" s="4" t="s">
        <v>32170</v>
      </c>
      <c r="C25558" s="5" t="str">
        <f>IFERROR(__xludf.DUMMYFUNCTION("GOOGLETRANSLATE(B25558,""en"",""zh-CN"")"),"一名黑人体操运动员准备在平行的酒吧展览中表演。")</f>
        <v>一名黑人体操运动员准备在平行的酒吧展览中表演。</v>
      </c>
    </row>
    <row r="25559">
      <c r="A25559" s="4" t="s">
        <v>32169</v>
      </c>
      <c r="B25559" s="6" t="s">
        <v>32171</v>
      </c>
      <c r="C25559" s="5" t="str">
        <f>IFERROR(__xludf.DUMMYFUNCTION("GOOGLETRANSLATE(B25559,""en"",""zh-CN"")"),"该男子安装平行条，进入倒立并进行一系列旋转和移动。")</f>
        <v>该男子安装平行条，进入倒立并进行一系列旋转和移动。</v>
      </c>
    </row>
    <row r="25560">
      <c r="A25560" s="4" t="s">
        <v>32169</v>
      </c>
      <c r="B25560" s="4" t="s">
        <v>32172</v>
      </c>
      <c r="C25560" s="5" t="str">
        <f>IFERROR(__xludf.DUMMYFUNCTION("GOOGLETRANSLATE(B25560,""en"",""zh-CN"")"),"体操运动员进入了他的下马，并在垫子上登陆了完美的降落。")</f>
        <v>体操运动员进入了他的下马，并在垫子上登陆了完美的降落。</v>
      </c>
    </row>
    <row r="25561">
      <c r="A25561" s="4" t="s">
        <v>32173</v>
      </c>
      <c r="B25561" s="4" t="s">
        <v>32174</v>
      </c>
      <c r="C25561" s="5" t="str">
        <f>IFERROR(__xludf.DUMMYFUNCTION("GOOGLETRANSLATE(B25561,""en"",""zh-CN"")"),"一个男人正在挂墙纸。")</f>
        <v>一个男人正在挂墙纸。</v>
      </c>
    </row>
    <row r="25562">
      <c r="A25562" s="4" t="s">
        <v>32173</v>
      </c>
      <c r="B25562" s="4" t="s">
        <v>32175</v>
      </c>
      <c r="C25562" s="5" t="str">
        <f>IFERROR(__xludf.DUMMYFUNCTION("GOOGLETRANSLATE(B25562,""en"",""zh-CN"")"),"他回头看着相机。")</f>
        <v>他回头看着相机。</v>
      </c>
    </row>
    <row r="25563">
      <c r="A25563" s="4" t="s">
        <v>32173</v>
      </c>
      <c r="B25563" s="4" t="s">
        <v>32176</v>
      </c>
      <c r="C25563" s="5" t="str">
        <f>IFERROR(__xludf.DUMMYFUNCTION("GOOGLETRANSLATE(B25563,""en"",""zh-CN"")"),"他从阶梯梯子下走了下来。")</f>
        <v>他从阶梯梯子下走了下来。</v>
      </c>
    </row>
    <row r="25564">
      <c r="A25564" s="4" t="s">
        <v>32173</v>
      </c>
      <c r="B25564" s="4" t="s">
        <v>32177</v>
      </c>
      <c r="C25564" s="5" t="str">
        <f>IFERROR(__xludf.DUMMYFUNCTION("GOOGLETRANSLATE(B25564,""en"",""zh-CN"")"),"带有墙纸的椅子出现。")</f>
        <v>带有墙纸的椅子出现。</v>
      </c>
    </row>
    <row r="25565">
      <c r="A25565" s="4" t="s">
        <v>32173</v>
      </c>
      <c r="B25565" s="4" t="s">
        <v>32178</v>
      </c>
      <c r="C25565" s="5" t="str">
        <f>IFERROR(__xludf.DUMMYFUNCTION("GOOGLETRANSLATE(B25565,""en"",""zh-CN"")"),"该男子正在摘下纸。")</f>
        <v>该男子正在摘下纸。</v>
      </c>
    </row>
    <row r="25566">
      <c r="A25566" s="4" t="s">
        <v>32179</v>
      </c>
      <c r="B25566" s="4" t="s">
        <v>32180</v>
      </c>
      <c r="C25566" s="5" t="str">
        <f>IFERROR(__xludf.DUMMYFUNCTION("GOOGLETRANSLATE(B25566,""en"",""zh-CN"")"),"有一个台球桌，上面有台球球。")</f>
        <v>有一个台球桌，上面有台球球。</v>
      </c>
    </row>
    <row r="25567">
      <c r="A25567" s="4" t="s">
        <v>32179</v>
      </c>
      <c r="B25567" s="4" t="s">
        <v>32181</v>
      </c>
      <c r="C25567" s="5" t="str">
        <f>IFERROR(__xludf.DUMMYFUNCTION("GOOGLETRANSLATE(B25567,""en"",""zh-CN"")"),"一个人手里有一个泳池提示。")</f>
        <v>一个人手里有一个泳池提示。</v>
      </c>
    </row>
    <row r="25568">
      <c r="A25568" s="4" t="s">
        <v>32179</v>
      </c>
      <c r="B25568" s="4" t="s">
        <v>32182</v>
      </c>
      <c r="C25568" s="5" t="str">
        <f>IFERROR(__xludf.DUMMYFUNCTION("GOOGLETRANSLATE(B25568,""en"",""zh-CN"")"),"他们将提示球击中了其他球。")</f>
        <v>他们将提示球击中了其他球。</v>
      </c>
    </row>
    <row r="25569">
      <c r="A25569" s="4" t="s">
        <v>32183</v>
      </c>
      <c r="B25569" s="4" t="s">
        <v>32184</v>
      </c>
      <c r="C25569" s="5" t="str">
        <f>IFERROR(__xludf.DUMMYFUNCTION("GOOGLETRANSLATE(B25569,""en"",""zh-CN"")"),"一个体育馆的架子握住手臂，跳到光束上。")</f>
        <v>一个体育馆的架子握住手臂，跳到光束上。</v>
      </c>
    </row>
    <row r="25570">
      <c r="A25570" s="4" t="s">
        <v>32183</v>
      </c>
      <c r="B25570" s="4" t="s">
        <v>32185</v>
      </c>
      <c r="C25570" s="5" t="str">
        <f>IFERROR(__xludf.DUMMYFUNCTION("GOOGLETRANSLATE(B25570,""en"",""zh-CN"")"),"他移动手臂，在一套酒吧上旋转自己的旋转。")</f>
        <v>他移动手臂，在一套酒吧上旋转自己的旋转。</v>
      </c>
    </row>
    <row r="25571">
      <c r="A25571" s="4" t="s">
        <v>32183</v>
      </c>
      <c r="B25571" s="4" t="s">
        <v>32186</v>
      </c>
      <c r="C25571" s="5" t="str">
        <f>IFERROR(__xludf.DUMMYFUNCTION("GOOGLETRANSLATE(B25571,""en"",""zh-CN"")"),"他确实倒立，翻转并跳下来完成例行工作。")</f>
        <v>他确实倒立，翻转并跳下来完成例行工作。</v>
      </c>
    </row>
    <row r="25572">
      <c r="A25572" s="4" t="s">
        <v>32187</v>
      </c>
      <c r="B25572" s="4" t="s">
        <v>32188</v>
      </c>
      <c r="C25572" s="5" t="str">
        <f>IFERROR(__xludf.DUMMYFUNCTION("GOOGLETRANSLATE(B25572,""en"",""zh-CN"")"),"一个男人戴上安全带，踩在桥上。")</f>
        <v>一个男人戴上安全带，踩在桥上。</v>
      </c>
    </row>
    <row r="25573">
      <c r="A25573" s="4" t="s">
        <v>32187</v>
      </c>
      <c r="B25573" s="4" t="s">
        <v>32189</v>
      </c>
      <c r="C25573" s="5" t="str">
        <f>IFERROR(__xludf.DUMMYFUNCTION("GOOGLETRANSLATE(B25573,""en"",""zh-CN"")"),"他从桥上跳下来，蹦极跳过一块水。")</f>
        <v>他从桥上跳下来，蹦极跳过一块水。</v>
      </c>
    </row>
    <row r="25574">
      <c r="A25574" s="4" t="s">
        <v>32187</v>
      </c>
      <c r="B25574" s="4" t="s">
        <v>32190</v>
      </c>
      <c r="C25574" s="5" t="str">
        <f>IFERROR(__xludf.DUMMYFUNCTION("GOOGLETRANSLATE(B25574,""en"",""zh-CN"")"),"一条船开车，把他放在船上。")</f>
        <v>一条船开车，把他放在船上。</v>
      </c>
    </row>
    <row r="25575">
      <c r="A25575" s="4" t="s">
        <v>32191</v>
      </c>
      <c r="B25575" s="6" t="s">
        <v>32192</v>
      </c>
      <c r="C25575" s="5" t="str">
        <f>IFERROR(__xludf.DUMMYFUNCTION("GOOGLETRANSLATE(B25575,""en"",""zh-CN"")"),"一个穿着假小子的女孩和一个穿着红色衬衫的男孩站在一个凌乱的房间里的房间里。")</f>
        <v>一个穿着假小子的女孩和一个穿着红色衬衫的男孩站在一个凌乱的房间里的房间里。</v>
      </c>
    </row>
    <row r="25576">
      <c r="A25576" s="4" t="s">
        <v>32191</v>
      </c>
      <c r="B25576" s="4" t="s">
        <v>32193</v>
      </c>
      <c r="C25576" s="5" t="str">
        <f>IFERROR(__xludf.DUMMYFUNCTION("GOOGLETRANSLATE(B25576,""en"",""zh-CN"")"),"两人开始互相抓住，他们开始莎莎舞。")</f>
        <v>两人开始互相抓住，他们开始莎莎舞。</v>
      </c>
    </row>
    <row r="25577">
      <c r="A25577" s="4" t="s">
        <v>32191</v>
      </c>
      <c r="B25577" s="4" t="s">
        <v>32194</v>
      </c>
      <c r="C25577" s="5" t="str">
        <f>IFERROR(__xludf.DUMMYFUNCTION("GOOGLETRANSLATE(B25577,""en"",""zh-CN"")"),"他们继续互相跳舞和旋转，并进行某种类型的莎莎舞。")</f>
        <v>他们继续互相跳舞和旋转，并进行某种类型的莎莎舞。</v>
      </c>
    </row>
    <row r="25578">
      <c r="A25578" s="4" t="s">
        <v>32195</v>
      </c>
      <c r="B25578" s="4" t="s">
        <v>32196</v>
      </c>
      <c r="C25578" s="5" t="str">
        <f>IFERROR(__xludf.DUMMYFUNCTION("GOOGLETRANSLATE(B25578,""en"",""zh-CN"")"),"这个女人被显示在一个地方呆了一会儿。")</f>
        <v>这个女人被显示在一个地方呆了一会儿。</v>
      </c>
    </row>
    <row r="25579">
      <c r="A25579" s="4" t="s">
        <v>32195</v>
      </c>
      <c r="B25579" s="4" t="s">
        <v>32197</v>
      </c>
      <c r="C25579" s="5" t="str">
        <f>IFERROR(__xludf.DUMMYFUNCTION("GOOGLETRANSLATE(B25579,""en"",""zh-CN"")"),"然后她移动将球扔到空中，然后回到自己所在的位置。")</f>
        <v>然后她移动将球扔到空中，然后回到自己所在的位置。</v>
      </c>
    </row>
    <row r="25580">
      <c r="A25580" s="4" t="s">
        <v>32195</v>
      </c>
      <c r="B25580" s="6" t="s">
        <v>32198</v>
      </c>
      <c r="C25580" s="5" t="str">
        <f>IFERROR(__xludf.DUMMYFUNCTION("GOOGLETRANSLATE(B25580,""en"",""zh-CN"")"),"然后她跳回去转身以较小的距离扔球，除了这次她的位置不正确。")</f>
        <v>然后她跳回去转身以较小的距离扔球，除了这次她的位置不正确。</v>
      </c>
    </row>
    <row r="25581">
      <c r="A25581" s="4" t="s">
        <v>32199</v>
      </c>
      <c r="B25581" s="4" t="s">
        <v>32200</v>
      </c>
      <c r="C25581" s="5" t="str">
        <f>IFERROR(__xludf.DUMMYFUNCTION("GOOGLETRANSLATE(B25581,""en"",""zh-CN"")"),"院子里出现一个标志，一辆红色的货车沿着道路行驶。")</f>
        <v>院子里出现一个标志，一辆红色的货车沿着道路行驶。</v>
      </c>
    </row>
    <row r="25582">
      <c r="A25582" s="4" t="s">
        <v>32199</v>
      </c>
      <c r="B25582" s="4" t="s">
        <v>32201</v>
      </c>
      <c r="C25582" s="5" t="str">
        <f>IFERROR(__xludf.DUMMYFUNCTION("GOOGLETRANSLATE(B25582,""en"",""zh-CN"")"),"之后，一个男人在桥下的一条水上出现管道。")</f>
        <v>之后，一个男人在桥下的一条水上出现管道。</v>
      </c>
    </row>
    <row r="25583">
      <c r="A25583" s="4" t="s">
        <v>32199</v>
      </c>
      <c r="B25583" s="6" t="s">
        <v>32202</v>
      </c>
      <c r="C25583" s="5" t="str">
        <f>IFERROR(__xludf.DUMMYFUNCTION("GOOGLETRANSLATE(B25583,""en"",""zh-CN"")"),"当他继续沿着河流下，他沿途撞上了几块岩石，开始上下摇摆，然后返回红色面包货车前。")</f>
        <v>当他继续沿着河流下，他沿途撞上了几块岩石，开始上下摇摆，然后返回红色面包货车前。</v>
      </c>
    </row>
    <row r="25584">
      <c r="A25584" s="4" t="s">
        <v>32203</v>
      </c>
      <c r="B25584" s="4" t="s">
        <v>32204</v>
      </c>
      <c r="C25584" s="5" t="str">
        <f>IFERROR(__xludf.DUMMYFUNCTION("GOOGLETRANSLATE(B25584,""en"",""zh-CN"")"),"一个女人看到与一群人一起笑，一个男人撞到另一个男人。")</f>
        <v>一个女人看到与一群人一起笑，一个男人撞到另一个男人。</v>
      </c>
    </row>
    <row r="25585">
      <c r="A25585" s="4" t="s">
        <v>32203</v>
      </c>
      <c r="B25585" s="4" t="s">
        <v>32205</v>
      </c>
      <c r="C25585" s="5" t="str">
        <f>IFERROR(__xludf.DUMMYFUNCTION("GOOGLETRANSLATE(B25585,""en"",""zh-CN"")"),"一个人递给一个男人一组飞镖，然后将它们扔到远处。")</f>
        <v>一个人递给一个男人一组飞镖，然后将它们扔到远处。</v>
      </c>
    </row>
    <row r="25586">
      <c r="A25586" s="4" t="s">
        <v>32203</v>
      </c>
      <c r="B25586" s="4" t="s">
        <v>32206</v>
      </c>
      <c r="C25586" s="5" t="str">
        <f>IFERROR(__xludf.DUMMYFUNCTION("GOOGLETRANSLATE(B25586,""en"",""zh-CN"")"),"人们继续讲话时，相机周围的镜头周围。")</f>
        <v>人们继续讲话时，相机周围的镜头周围。</v>
      </c>
    </row>
    <row r="25587">
      <c r="A25587" s="4" t="s">
        <v>32207</v>
      </c>
      <c r="B25587" s="6" t="s">
        <v>32208</v>
      </c>
      <c r="C25587" s="5" t="str">
        <f>IFERROR(__xludf.DUMMYFUNCTION("GOOGLETRANSLATE(B25587,""en"",""zh-CN"")"),"有两个家伙站在健身房的一个大蓝色垫子上，他们都戴着短裤和一双拳击手套。")</f>
        <v>有两个家伙站在健身房的一个大蓝色垫子上，他们都戴着短裤和一双拳击手套。</v>
      </c>
    </row>
    <row r="25588">
      <c r="A25588" s="4" t="s">
        <v>32207</v>
      </c>
      <c r="B25588" s="6" t="s">
        <v>32209</v>
      </c>
      <c r="C25588" s="5" t="str">
        <f>IFERROR(__xludf.DUMMYFUNCTION("GOOGLETRANSLATE(B25588,""en"",""zh-CN"")"),"这些男子正好广场，他们开始撞到彼此之间，短暂地停在拳和踢之间。")</f>
        <v>这些男子正好广场，他们开始撞到彼此之间，短暂地停在拳和踢之间。</v>
      </c>
    </row>
    <row r="25589">
      <c r="A25589" s="4" t="s">
        <v>32207</v>
      </c>
      <c r="B25589" s="6" t="s">
        <v>32210</v>
      </c>
      <c r="C25589" s="5" t="str">
        <f>IFERROR(__xludf.DUMMYFUNCTION("GOOGLETRANSLATE(B25589,""en"",""zh-CN"")"),"其中一个人踢另一个人太厉害了，一个被踢的人发疯了，撕下手套，走开，愤怒地扔了手套。")</f>
        <v>其中一个人踢另一个人太厉害了，一个被踢的人发疯了，撕下手套，走开，愤怒地扔了手套。</v>
      </c>
    </row>
    <row r="25590">
      <c r="A25590" s="4" t="s">
        <v>32211</v>
      </c>
      <c r="B25590" s="4" t="s">
        <v>32212</v>
      </c>
      <c r="C25590" s="5" t="str">
        <f>IFERROR(__xludf.DUMMYFUNCTION("GOOGLETRANSLATE(B25590,""en"",""zh-CN"")"),"一个人站在外面时鞠躬。")</f>
        <v>一个人站在外面时鞠躬。</v>
      </c>
    </row>
    <row r="25591">
      <c r="A25591" s="4" t="s">
        <v>32211</v>
      </c>
      <c r="B25591" s="4" t="s">
        <v>32213</v>
      </c>
      <c r="C25591" s="5" t="str">
        <f>IFERROR(__xludf.DUMMYFUNCTION("GOOGLETRANSLATE(B25591,""en"",""zh-CN"")"),"那个家伙开始在外面做空手道。")</f>
        <v>那个家伙开始在外面做空手道。</v>
      </c>
    </row>
    <row r="25592">
      <c r="A25592" s="4" t="s">
        <v>32211</v>
      </c>
      <c r="B25592" s="4" t="s">
        <v>32214</v>
      </c>
      <c r="C25592" s="5" t="str">
        <f>IFERROR(__xludf.DUMMYFUNCTION("GOOGLETRANSLATE(B25592,""en"",""zh-CN"")"),"这个家伙在室内进行空手道，然后离开。")</f>
        <v>这个家伙在室内进行空手道，然后离开。</v>
      </c>
    </row>
    <row r="25593">
      <c r="A25593" s="4" t="s">
        <v>32211</v>
      </c>
      <c r="B25593" s="4" t="s">
        <v>32215</v>
      </c>
      <c r="C25593" s="5" t="str">
        <f>IFERROR(__xludf.DUMMYFUNCTION("GOOGLETRANSLATE(B25593,""en"",""zh-CN"")"),"一只狗坐在毛衣上。")</f>
        <v>一只狗坐在毛衣上。</v>
      </c>
    </row>
    <row r="25594">
      <c r="A25594" s="4" t="s">
        <v>32216</v>
      </c>
      <c r="B25594" s="6" t="s">
        <v>32217</v>
      </c>
      <c r="C25594" s="5" t="str">
        <f>IFERROR(__xludf.DUMMYFUNCTION("GOOGLETRANSLATE(B25594,""en"",""zh-CN"")"),"看到两个人用一个拿着锅，另一个将他的食材交给相机说话。")</f>
        <v>看到两个人用一个拿着锅，另一个将他的食材交给相机说话。</v>
      </c>
    </row>
    <row r="25595">
      <c r="A25595" s="4" t="s">
        <v>32216</v>
      </c>
      <c r="B25595" s="4" t="s">
        <v>32218</v>
      </c>
      <c r="C25595" s="5" t="str">
        <f>IFERROR(__xludf.DUMMYFUNCTION("GOOGLETRANSLATE(B25595,""en"",""zh-CN"")"),"然后，另一个将成分混合到碗中，然后将其p嘴倒入锅中。")</f>
        <v>然后，另一个将成分混合到碗中，然后将其p嘴倒入锅中。</v>
      </c>
    </row>
    <row r="25596">
      <c r="A25596" s="4" t="s">
        <v>32216</v>
      </c>
      <c r="B25596" s="6" t="s">
        <v>32219</v>
      </c>
      <c r="C25596" s="5" t="str">
        <f>IFERROR(__xludf.DUMMYFUNCTION("GOOGLETRANSLATE(B25596,""en"",""zh-CN"")"),"越来越多的人进来咬人，一个小男孩在帮助和那个男人继续做饭。")</f>
        <v>越来越多的人进来咬人，一个小男孩在帮助和那个男人继续做饭。</v>
      </c>
    </row>
    <row r="25597">
      <c r="A25597" s="4" t="s">
        <v>32220</v>
      </c>
      <c r="B25597" s="4" t="s">
        <v>32221</v>
      </c>
      <c r="C25597" s="5" t="str">
        <f>IFERROR(__xludf.DUMMYFUNCTION("GOOGLETRANSLATE(B25597,""en"",""zh-CN"")"),"看到一个戴着眼镜的男人踏入框架并弹奏手风琴。")</f>
        <v>看到一个戴着眼镜的男人踏入框架并弹奏手风琴。</v>
      </c>
    </row>
    <row r="25598">
      <c r="A25598" s="4" t="s">
        <v>32220</v>
      </c>
      <c r="B25598" s="4" t="s">
        <v>32222</v>
      </c>
      <c r="C25598" s="5" t="str">
        <f>IFERROR(__xludf.DUMMYFUNCTION("GOOGLETRANSLATE(B25598,""en"",""zh-CN"")"),"该男子在远距离望去时继续玩耍，并通过微笑对相机停下来。")</f>
        <v>该男子在远距离望去时继续玩耍，并通过微笑对相机停下来。</v>
      </c>
    </row>
    <row r="25599">
      <c r="A25599" s="4" t="s">
        <v>32223</v>
      </c>
      <c r="B25599" s="4" t="s">
        <v>32224</v>
      </c>
      <c r="C25599" s="5" t="str">
        <f>IFERROR(__xludf.DUMMYFUNCTION("GOOGLETRANSLATE(B25599,""en"",""zh-CN"")"),"两个年轻的女孩在健身房里，他们在健身房中间的酒吧上做侧面的刺痛。")</f>
        <v>两个年轻的女孩在健身房里，他们在健身房中间的酒吧上做侧面的刺痛。</v>
      </c>
    </row>
    <row r="25600">
      <c r="A25600" s="4" t="s">
        <v>32223</v>
      </c>
      <c r="B25600" s="4" t="s">
        <v>32225</v>
      </c>
      <c r="C25600" s="5" t="str">
        <f>IFERROR(__xludf.DUMMYFUNCTION("GOOGLETRANSLATE(B25600,""en"",""zh-CN"")"),"然后，该视频以慢动作重播，并再次以更快的速度重播。")</f>
        <v>然后，该视频以慢动作重播，并再次以更快的速度重播。</v>
      </c>
    </row>
    <row r="25601">
      <c r="A25601" s="4" t="s">
        <v>32226</v>
      </c>
      <c r="B25601" s="6" t="s">
        <v>32227</v>
      </c>
      <c r="C25601" s="5" t="str">
        <f>IFERROR(__xludf.DUMMYFUNCTION("GOOGLETRANSLATE(B25601,""en"",""zh-CN"")"),"4男人在一个正方形的突破舞中，而人们聚集在他们周围看着他们跳舞，并在许多商店面前做技巧。")</f>
        <v>4男人在一个正方形的突破舞中，而人们聚集在他们周围看着他们跳舞，并在许多商店面前做技巧。</v>
      </c>
    </row>
    <row r="25602">
      <c r="A25602" s="4" t="s">
        <v>32226</v>
      </c>
      <c r="B25602" s="4" t="s">
        <v>32228</v>
      </c>
      <c r="C25602" s="5" t="str">
        <f>IFERROR(__xludf.DUMMYFUNCTION("GOOGLETRANSLATE(B25602,""en"",""zh-CN"")"),"屏幕上显示了休息舞者的名称。")</f>
        <v>屏幕上显示了休息舞者的名称。</v>
      </c>
    </row>
    <row r="25603">
      <c r="A25603" s="4" t="s">
        <v>32229</v>
      </c>
      <c r="B25603" s="4" t="s">
        <v>32230</v>
      </c>
      <c r="C25603" s="5" t="str">
        <f>IFERROR(__xludf.DUMMYFUNCTION("GOOGLETRANSLATE(B25603,""en"",""zh-CN"")"),"我们看到一个年轻的女孩点燃了香烟。")</f>
        <v>我们看到一个年轻的女孩点燃了香烟。</v>
      </c>
    </row>
    <row r="25604">
      <c r="A25604" s="4" t="s">
        <v>32229</v>
      </c>
      <c r="B25604" s="4" t="s">
        <v>32231</v>
      </c>
      <c r="C25604" s="5" t="str">
        <f>IFERROR(__xludf.DUMMYFUNCTION("GOOGLETRANSLATE(B25604,""en"",""zh-CN"")"),"然后，她把香烟从嘴里抽出来说话。")</f>
        <v>然后，她把香烟从嘴里抽出来说话。</v>
      </c>
    </row>
    <row r="25605">
      <c r="A25605" s="4" t="s">
        <v>32229</v>
      </c>
      <c r="B25605" s="4" t="s">
        <v>32232</v>
      </c>
      <c r="C25605" s="5" t="str">
        <f>IFERROR(__xludf.DUMMYFUNCTION("GOOGLETRANSLATE(B25605,""en"",""zh-CN"")"),"她将打火机交给另一个人，然后把手放在臀部上。")</f>
        <v>她将打火机交给另一个人，然后把手放在臀部上。</v>
      </c>
    </row>
    <row r="25606">
      <c r="A25606" s="4" t="s">
        <v>32233</v>
      </c>
      <c r="B25606" s="6" t="s">
        <v>32234</v>
      </c>
      <c r="C25606" s="5" t="str">
        <f>IFERROR(__xludf.DUMMYFUNCTION("GOOGLETRANSLATE(B25606,""en"",""zh-CN"")"),"一个男人站在房子外面，手里拿着一根大银线，上面有一条黄色的绳子。")</f>
        <v>一个男人站在房子外面，手里拿着一根大银线，上面有一条黄色的绳子。</v>
      </c>
    </row>
    <row r="25607">
      <c r="A25607" s="4" t="s">
        <v>32233</v>
      </c>
      <c r="B25607" s="6" t="s">
        <v>32235</v>
      </c>
      <c r="C25607" s="5" t="str">
        <f>IFERROR(__xludf.DUMMYFUNCTION("GOOGLETRANSLATE(B25607,""en"",""zh-CN"")"),"该男子用杆子和刷子开始清洁滑动玻璃门的内部，并在窗户的底座和内部清洗。")</f>
        <v>该男子用杆子和刷子开始清洁滑动玻璃门的内部，并在窗户的底座和内部清洗。</v>
      </c>
    </row>
    <row r="25608">
      <c r="A25608" s="4" t="s">
        <v>32233</v>
      </c>
      <c r="B25608" s="6" t="s">
        <v>32236</v>
      </c>
      <c r="C25608" s="5" t="str">
        <f>IFERROR(__xludf.DUMMYFUNCTION("GOOGLETRANSLATE(B25608,""en"",""zh-CN"")"),"然后，该男子停下来，开始与镜头交谈，并在他挥舞之前指向窗户。")</f>
        <v>然后，该男子停下来，开始与镜头交谈，并在他挥舞之前指向窗户。</v>
      </c>
    </row>
    <row r="25609">
      <c r="A25609" s="4" t="s">
        <v>32237</v>
      </c>
      <c r="B25609" s="4" t="s">
        <v>32238</v>
      </c>
      <c r="C25609" s="5" t="str">
        <f>IFERROR(__xludf.DUMMYFUNCTION("GOOGLETRANSLATE(B25609,""en"",""zh-CN"")"),"看到一个小孩希望沿着地板，当一个女人带领更多年轻的舞者。")</f>
        <v>看到一个小孩希望沿着地板，当一个女人带领更多年轻的舞者。</v>
      </c>
    </row>
    <row r="25610">
      <c r="A25610" s="4" t="s">
        <v>32237</v>
      </c>
      <c r="B25610" s="4" t="s">
        <v>32239</v>
      </c>
      <c r="C25610" s="5" t="str">
        <f>IFERROR(__xludf.DUMMYFUNCTION("GOOGLETRANSLATE(B25610,""en"",""zh-CN"")"),"她在大批人群面前排队，孩子们开始在舞台上跳舞。")</f>
        <v>她在大批人群面前排队，孩子们开始在舞台上跳舞。</v>
      </c>
    </row>
    <row r="25611">
      <c r="A25611" s="4" t="s">
        <v>32237</v>
      </c>
      <c r="B25611" s="4" t="s">
        <v>32240</v>
      </c>
      <c r="C25611" s="5" t="str">
        <f>IFERROR(__xludf.DUMMYFUNCTION("GOOGLETRANSLATE(B25611,""en"",""zh-CN"")"),"小孩子们继续跳舞并在舞台上旋转，走出舞台。")</f>
        <v>小孩子们继续跳舞并在舞台上旋转，走出舞台。</v>
      </c>
    </row>
    <row r="25612">
      <c r="A25612" s="4" t="s">
        <v>32241</v>
      </c>
      <c r="B25612" s="4" t="s">
        <v>32242</v>
      </c>
      <c r="C25612" s="5" t="str">
        <f>IFERROR(__xludf.DUMMYFUNCTION("GOOGLETRANSLATE(B25612,""en"",""zh-CN"")"),"来自不同国籍的妇女竞争跳远是一个体育场。")</f>
        <v>来自不同国籍的妇女竞争跳远是一个体育场。</v>
      </c>
    </row>
    <row r="25613">
      <c r="A25613" s="4" t="s">
        <v>32241</v>
      </c>
      <c r="B25613" s="4" t="s">
        <v>32243</v>
      </c>
      <c r="C25613" s="5" t="str">
        <f>IFERROR(__xludf.DUMMYFUNCTION("GOOGLETRANSLATE(B25613,""en"",""zh-CN"")"),"妇女继续参加跳远比赛。")</f>
        <v>妇女继续参加跳远比赛。</v>
      </c>
    </row>
    <row r="25614">
      <c r="A25614" s="4" t="s">
        <v>32241</v>
      </c>
      <c r="B25614" s="6" t="s">
        <v>32244</v>
      </c>
      <c r="C25614" s="5" t="str">
        <f>IFERROR(__xludf.DUMMYFUNCTION("GOOGLETRANSLATE(B25614,""en"",""zh-CN"")"),"一名运动员跑步，然后跳过并跳跃以表演跳远，而评委则保持棍子进行测量。")</f>
        <v>一名运动员跑步，然后跳过并跳跃以表演跳远，而评委则保持棍子进行测量。</v>
      </c>
    </row>
    <row r="25615">
      <c r="A25615" s="4" t="s">
        <v>32245</v>
      </c>
      <c r="B25615" s="6" t="s">
        <v>32246</v>
      </c>
      <c r="C25615" s="5" t="str">
        <f>IFERROR(__xludf.DUMMYFUNCTION("GOOGLETRANSLATE(B25615,""en"",""zh-CN"")"),"男人正站在一个绿地里，准备自己打板球，另一个男人是守望他，脱下帽子和太阳镜，这个人真的很汗，准备进行射击并得分他所做的一切，他们喜欢和他们享受和享受互相拥抱，男人扔球。")</f>
        <v>男人正站在一个绿地里，准备自己打板球，另一个男人是守望他，脱下帽子和太阳镜，这个人真的很汗，准备进行射击并得分他所做的一切，他们喜欢和他们享受和享受互相拥抱，男人扔球。</v>
      </c>
    </row>
    <row r="25616">
      <c r="A25616" s="4" t="s">
        <v>32245</v>
      </c>
      <c r="B25616" s="4" t="s">
        <v>32247</v>
      </c>
      <c r="C25616" s="5" t="str">
        <f>IFERROR(__xludf.DUMMYFUNCTION("GOOGLETRANSLATE(B25616,""en"",""zh-CN"")"),"男人正坐在客厅的沙发上，互相交谈和相机。")</f>
        <v>男人正坐在客厅的沙发上，互相交谈和相机。</v>
      </c>
    </row>
    <row r="25617">
      <c r="A25617" s="4" t="s">
        <v>32245</v>
      </c>
      <c r="B25617" s="4" t="s">
        <v>32248</v>
      </c>
      <c r="C25617" s="5" t="str">
        <f>IFERROR(__xludf.DUMMYFUNCTION("GOOGLETRANSLATE(B25617,""en"",""zh-CN"")"),"显示了视频的获奖者和信息。")</f>
        <v>显示了视频的获奖者和信息。</v>
      </c>
    </row>
    <row r="25618">
      <c r="A25618" s="4" t="s">
        <v>32249</v>
      </c>
      <c r="B25618" s="4" t="s">
        <v>32250</v>
      </c>
      <c r="C25618" s="5" t="str">
        <f>IFERROR(__xludf.DUMMYFUNCTION("GOOGLETRANSLATE(B25618,""en"",""zh-CN"")"),"标题屏幕以红色字母出现，然后在武术教室中消失。")</f>
        <v>标题屏幕以红色字母出现，然后在武术教室中消失。</v>
      </c>
    </row>
    <row r="25619">
      <c r="A25619" s="4" t="s">
        <v>32249</v>
      </c>
      <c r="B25619" s="6" t="s">
        <v>32251</v>
      </c>
      <c r="C25619" s="5" t="str">
        <f>IFERROR(__xludf.DUMMYFUNCTION("GOOGLETRANSLATE(B25619,""en"",""zh-CN"")"),"在一个小型武术教室里，学生们聚集在一起，唱歌，鼓掌和演奏乐器，围绕一个小圆圈进行5场Capoeira比赛，战斗机在其中跳舞，挥舞着腿和手臂，每场比赛的结尾，战斗机握手，拥抱和拥抱，拥抱和触摸音乐家。")</f>
        <v>在一个小型武术教室里，学生们聚集在一起，唱歌，鼓掌和演奏乐器，围绕一个小圆圈进行5场Capoeira比赛，战斗机在其中跳舞，挥舞着腿和手臂，每场比赛的结尾，战斗机握手，拥抱和拥抱，拥抱和触摸音乐家。</v>
      </c>
    </row>
    <row r="25620">
      <c r="A25620" s="4" t="s">
        <v>32249</v>
      </c>
      <c r="B25620" s="4" t="s">
        <v>32252</v>
      </c>
      <c r="C25620" s="5" t="str">
        <f>IFERROR(__xludf.DUMMYFUNCTION("GOOGLETRANSLATE(B25620,""en"",""zh-CN"")"),"然后是Capoeira学校带有徽标的关闭屏幕。")</f>
        <v>然后是Capoeira学校带有徽标的关闭屏幕。</v>
      </c>
    </row>
    <row r="25621">
      <c r="A25621" s="4" t="s">
        <v>32253</v>
      </c>
      <c r="B25621" s="4" t="s">
        <v>32254</v>
      </c>
      <c r="C25621" s="5" t="str">
        <f>IFERROR(__xludf.DUMMYFUNCTION("GOOGLETRANSLATE(B25621,""en"",""zh-CN"")"),"一台相机在城市和鞋店周围的各种镜头拍摄。")</f>
        <v>一台相机在城市和鞋店周围的各种镜头拍摄。</v>
      </c>
    </row>
    <row r="25622">
      <c r="A25622" s="4" t="s">
        <v>32253</v>
      </c>
      <c r="B25622" s="4" t="s">
        <v>32255</v>
      </c>
      <c r="C25622" s="5" t="str">
        <f>IFERROR(__xludf.DUMMYFUNCTION("GOOGLETRANSLATE(B25622,""en"",""zh-CN"")"),"数百人在一个地区走来走去，检查鞋子。")</f>
        <v>数百人在一个地区走来走去，检查鞋子。</v>
      </c>
    </row>
    <row r="25623">
      <c r="A25623" s="4" t="s">
        <v>32253</v>
      </c>
      <c r="B25623" s="4" t="s">
        <v>32256</v>
      </c>
      <c r="C25623" s="5" t="str">
        <f>IFERROR(__xludf.DUMMYFUNCTION("GOOGLETRANSLATE(B25623,""en"",""zh-CN"")"),"一个男人和一个女人谈论她喜欢穿什么鞋子。")</f>
        <v>一个男人和一个女人谈论她喜欢穿什么鞋子。</v>
      </c>
    </row>
    <row r="25624">
      <c r="A25624" s="4" t="s">
        <v>32253</v>
      </c>
      <c r="B25624" s="4" t="s">
        <v>32257</v>
      </c>
      <c r="C25624" s="5" t="str">
        <f>IFERROR(__xludf.DUMMYFUNCTION("GOOGLETRANSLATE(B25624,""en"",""zh-CN"")"),"人们一起跳舞并享受活动。")</f>
        <v>人们一起跳舞并享受活动。</v>
      </c>
    </row>
    <row r="25625">
      <c r="A25625" s="4" t="s">
        <v>32253</v>
      </c>
      <c r="B25625" s="4" t="s">
        <v>32258</v>
      </c>
      <c r="C25625" s="5" t="str">
        <f>IFERROR(__xludf.DUMMYFUNCTION("GOOGLETRANSLATE(B25625,""en"",""zh-CN"")"),"许多人在活动中吃了食物。")</f>
        <v>许多人在活动中吃了食物。</v>
      </c>
    </row>
    <row r="25626">
      <c r="A25626" s="4" t="s">
        <v>32253</v>
      </c>
      <c r="B25626" s="4" t="s">
        <v>32259</v>
      </c>
      <c r="C25626" s="5" t="str">
        <f>IFERROR(__xludf.DUMMYFUNCTION("GOOGLETRANSLATE(B25626,""en"",""zh-CN"")"),"几名跑步者正准备开始比赛。")</f>
        <v>几名跑步者正准备开始比赛。</v>
      </c>
    </row>
    <row r="25627">
      <c r="A25627" s="4" t="s">
        <v>32253</v>
      </c>
      <c r="B25627" s="4" t="s">
        <v>32260</v>
      </c>
      <c r="C25627" s="5" t="str">
        <f>IFERROR(__xludf.DUMMYFUNCTION("GOOGLETRANSLATE(B25627,""en"",""zh-CN"")"),"比赛开始，人们跑得很快。")</f>
        <v>比赛开始，人们跑得很快。</v>
      </c>
    </row>
    <row r="25628">
      <c r="A25628" s="4" t="s">
        <v>32253</v>
      </c>
      <c r="B25628" s="4" t="s">
        <v>32261</v>
      </c>
      <c r="C25628" s="5" t="str">
        <f>IFERROR(__xludf.DUMMYFUNCTION("GOOGLETRANSLATE(B25628,""en"",""zh-CN"")"),"比赛期间有几个人接受采访。")</f>
        <v>比赛期间有几个人接受采访。</v>
      </c>
    </row>
    <row r="25629">
      <c r="A25629" s="4" t="s">
        <v>32253</v>
      </c>
      <c r="B25629" s="4" t="s">
        <v>32262</v>
      </c>
      <c r="C25629" s="5" t="str">
        <f>IFERROR(__xludf.DUMMYFUNCTION("GOOGLETRANSLATE(B25629,""en"",""zh-CN"")"),"赢得比赛的那个人遇到了终点线。")</f>
        <v>赢得比赛的那个人遇到了终点线。</v>
      </c>
    </row>
    <row r="25630">
      <c r="A25630" s="4" t="s">
        <v>32253</v>
      </c>
      <c r="B25630" s="4" t="s">
        <v>32263</v>
      </c>
      <c r="C25630" s="5" t="str">
        <f>IFERROR(__xludf.DUMMYFUNCTION("GOOGLETRANSLATE(B25630,""en"",""zh-CN"")"),"还显示了更多的人完成。")</f>
        <v>还显示了更多的人完成。</v>
      </c>
    </row>
    <row r="25631">
      <c r="A25631" s="4" t="s">
        <v>32264</v>
      </c>
      <c r="B25631" s="4" t="s">
        <v>32265</v>
      </c>
      <c r="C25631" s="5" t="str">
        <f>IFERROR(__xludf.DUMMYFUNCTION("GOOGLETRANSLATE(B25631,""en"",""zh-CN"")"),"显示了成分列表，项目在白色表中。")</f>
        <v>显示了成分列表，项目在白色表中。</v>
      </c>
    </row>
    <row r="25632">
      <c r="A25632" s="4" t="s">
        <v>32264</v>
      </c>
      <c r="B25632" s="4" t="s">
        <v>32266</v>
      </c>
      <c r="C25632" s="5" t="str">
        <f>IFERROR(__xludf.DUMMYFUNCTION("GOOGLETRANSLATE(B25632,""en"",""zh-CN"")"),"拳头一袋茶是在开水中的苏梅尔，并在星巴克杯中加了一些糖浆。")</f>
        <v>拳头一袋茶是在开水中的苏梅尔，并在星巴克杯中加了一些糖浆。</v>
      </c>
    </row>
    <row r="25633">
      <c r="A25633" s="4" t="s">
        <v>32267</v>
      </c>
      <c r="B25633" s="4" t="s">
        <v>32268</v>
      </c>
      <c r="C25633" s="5" t="str">
        <f>IFERROR(__xludf.DUMMYFUNCTION("GOOGLETRANSLATE(B25633,""en"",""zh-CN"")"),"新闻台广告出现在屏幕上。")</f>
        <v>新闻台广告出现在屏幕上。</v>
      </c>
    </row>
    <row r="25634">
      <c r="A25634" s="4" t="s">
        <v>32267</v>
      </c>
      <c r="B25634" s="4" t="s">
        <v>32269</v>
      </c>
      <c r="C25634" s="5" t="str">
        <f>IFERROR(__xludf.DUMMYFUNCTION("GOOGLETRANSLATE(B25634,""en"",""zh-CN"")"),"我们在户外看到两名记者，与跑步团队的成员交谈。")</f>
        <v>我们在户外看到两名记者，与跑步团队的成员交谈。</v>
      </c>
    </row>
    <row r="25635">
      <c r="A25635" s="4" t="s">
        <v>32267</v>
      </c>
      <c r="B25635" s="4" t="s">
        <v>32270</v>
      </c>
      <c r="C25635" s="5" t="str">
        <f>IFERROR(__xludf.DUMMYFUNCTION("GOOGLETRANSLATE(B25635,""en"",""zh-CN"")"),"他们正在准备一场比赛，其中之一是怀孕。")</f>
        <v>他们正在准备一场比赛，其中之一是怀孕。</v>
      </c>
    </row>
    <row r="25636">
      <c r="A25636" s="4" t="s">
        <v>32267</v>
      </c>
      <c r="B25636" s="4" t="s">
        <v>32271</v>
      </c>
      <c r="C25636" s="5" t="str">
        <f>IFERROR(__xludf.DUMMYFUNCTION("GOOGLETRANSLATE(B25636,""en"",""zh-CN"")"),"人群显示步行到比赛将开始的地方。")</f>
        <v>人群显示步行到比赛将开始的地方。</v>
      </c>
    </row>
    <row r="25637">
      <c r="A25637" s="4" t="s">
        <v>32272</v>
      </c>
      <c r="B25637" s="4" t="s">
        <v>32273</v>
      </c>
      <c r="C25637" s="5" t="str">
        <f>IFERROR(__xludf.DUMMYFUNCTION("GOOGLETRANSLATE(B25637,""en"",""zh-CN"")"),"一个女人在厨房里，在一系列三明治固定装置前聊天。")</f>
        <v>一个女人在厨房里，在一系列三明治固定装置前聊天。</v>
      </c>
    </row>
    <row r="25638">
      <c r="A25638" s="4" t="s">
        <v>32272</v>
      </c>
      <c r="B25638" s="4" t="s">
        <v>32274</v>
      </c>
      <c r="C25638" s="5" t="str">
        <f>IFERROR(__xludf.DUMMYFUNCTION("GOOGLETRANSLATE(B25638,""en"",""zh-CN"")"),"她打开面包，涂抹肉，奶酪，泡菜和芥末。")</f>
        <v>她打开面包，涂抹肉，奶酪，泡菜和芥末。</v>
      </c>
    </row>
    <row r="25639">
      <c r="A25639" s="4" t="s">
        <v>32272</v>
      </c>
      <c r="B25639" s="4" t="s">
        <v>32275</v>
      </c>
      <c r="C25639" s="5" t="str">
        <f>IFERROR(__xludf.DUMMYFUNCTION("GOOGLETRANSLATE(B25639,""en"",""zh-CN"")"),"她关闭三明治，然后将它们放入加热的panini压力机中。")</f>
        <v>她关闭三明治，然后将它们放入加热的panini压力机中。</v>
      </c>
    </row>
    <row r="25640">
      <c r="A25640" s="4" t="s">
        <v>32272</v>
      </c>
      <c r="B25640" s="4" t="s">
        <v>32276</v>
      </c>
      <c r="C25640" s="5" t="str">
        <f>IFERROR(__xludf.DUMMYFUNCTION("GOOGLETRANSLATE(B25640,""en"",""zh-CN"")"),"她在烤烤时去除三明治，然后将它们盘盘。")</f>
        <v>她在烤烤时去除三明治，然后将它们盘盘。</v>
      </c>
    </row>
    <row r="25641">
      <c r="A25641" s="4" t="s">
        <v>32277</v>
      </c>
      <c r="B25641" s="6" t="s">
        <v>32278</v>
      </c>
      <c r="C25641" s="5" t="str">
        <f>IFERROR(__xludf.DUMMYFUNCTION("GOOGLETRANSLATE(B25641,""en"",""zh-CN"")"),"水中有两个男人穿着潜水衣，在挥舞着的冲浪板上躺在冲浪板上。")</f>
        <v>水中有两个男人穿着潜水衣，在挥舞着的冲浪板上躺在冲浪板上。</v>
      </c>
    </row>
    <row r="25642">
      <c r="A25642" s="4" t="s">
        <v>32277</v>
      </c>
      <c r="B25642" s="6" t="s">
        <v>32279</v>
      </c>
      <c r="C25642" s="5" t="str">
        <f>IFERROR(__xludf.DUMMYFUNCTION("GOOGLETRANSLATE(B25642,""en"",""zh-CN"")"),"摄影师正在一艘快速移动的船上，他继续录制仍在骑波浪的冲浪者进行视频，但现在他们站起来了。")</f>
        <v>摄影师正在一艘快速移动的船上，他继续录制仍在骑波浪的冲浪者进行视频，但现在他们站起来了。</v>
      </c>
    </row>
    <row r="25643">
      <c r="A25643" s="4" t="s">
        <v>32277</v>
      </c>
      <c r="B25643" s="6" t="s">
        <v>32280</v>
      </c>
      <c r="C25643" s="5" t="str">
        <f>IFERROR(__xludf.DUMMYFUNCTION("GOOGLETRANSLATE(B25643,""en"",""zh-CN"")"),"前面的冲浪者很乐意骑波浪持续很长时间，以至于他在空中举起两只手臂，然后将其放回原处。")</f>
        <v>前面的冲浪者很乐意骑波浪持续很长时间，以至于他在空中举起两只手臂，然后将其放回原处。</v>
      </c>
    </row>
    <row r="25644">
      <c r="A25644" s="4" t="s">
        <v>32277</v>
      </c>
      <c r="B25644" s="6" t="s">
        <v>32281</v>
      </c>
      <c r="C25644" s="5" t="str">
        <f>IFERROR(__xludf.DUMMYFUNCTION("GOOGLETRANSLATE(B25644,""en"",""zh-CN"")"),"后面的冲浪者开始失去平衡，而前线的那个人仍在站起来。")</f>
        <v>后面的冲浪者开始失去平衡，而前线的那个人仍在站起来。</v>
      </c>
    </row>
    <row r="25645">
      <c r="A25645" s="4" t="s">
        <v>32282</v>
      </c>
      <c r="B25645" s="6" t="s">
        <v>32283</v>
      </c>
      <c r="C25645" s="5" t="str">
        <f>IFERROR(__xludf.DUMMYFUNCTION("GOOGLETRANSLATE(B25645,""en"",""zh-CN"")"),"一个女人用指甲修剪器剪掉猫的后腿指甲，而一个人则束缚猫。")</f>
        <v>一个女人用指甲修剪器剪掉猫的后腿指甲，而一个人则束缚猫。</v>
      </c>
    </row>
    <row r="25646">
      <c r="A25646" s="4" t="s">
        <v>32282</v>
      </c>
      <c r="B25646" s="4" t="s">
        <v>32284</v>
      </c>
      <c r="C25646" s="5" t="str">
        <f>IFERROR(__xludf.DUMMYFUNCTION("GOOGLETRANSLATE(B25646,""en"",""zh-CN"")"),"然后，女人站在猫的前面，该人从脖子上握住猫。")</f>
        <v>然后，女人站在猫的前面，该人从脖子上握住猫。</v>
      </c>
    </row>
    <row r="25647">
      <c r="A25647" s="4" t="s">
        <v>32282</v>
      </c>
      <c r="B25647" s="4" t="s">
        <v>32285</v>
      </c>
      <c r="C25647" s="5" t="str">
        <f>IFERROR(__xludf.DUMMYFUNCTION("GOOGLETRANSLATE(B25647,""en"",""zh-CN"")"),"之后，女人剪了前腿的指甲，但猫踢了。")</f>
        <v>之后，女人剪了前腿的指甲，但猫踢了。</v>
      </c>
    </row>
    <row r="25648">
      <c r="A25648" s="4" t="s">
        <v>32282</v>
      </c>
      <c r="B25648" s="4" t="s">
        <v>32286</v>
      </c>
      <c r="C25648" s="5" t="str">
        <f>IFERROR(__xludf.DUMMYFUNCTION("GOOGLETRANSLATE(B25648,""en"",""zh-CN"")"),"穿着黑色衣服的人进入房间。")</f>
        <v>穿着黑色衣服的人进入房间。</v>
      </c>
    </row>
    <row r="25649">
      <c r="A25649" s="4" t="s">
        <v>32287</v>
      </c>
      <c r="B25649" s="4" t="s">
        <v>356</v>
      </c>
      <c r="C25649" s="5" t="str">
        <f>IFERROR(__xludf.DUMMYFUNCTION("GOOGLETRANSLATE(B25649,""en"",""zh-CN"")"),"该视频以标题序列开头。")</f>
        <v>该视频以标题序列开头。</v>
      </c>
    </row>
    <row r="25650">
      <c r="A25650" s="4" t="s">
        <v>32287</v>
      </c>
      <c r="B25650" s="4" t="s">
        <v>32288</v>
      </c>
      <c r="C25650" s="5" t="str">
        <f>IFERROR(__xludf.DUMMYFUNCTION("GOOGLETRANSLATE(B25650,""en"",""zh-CN"")"),"显示了几个棒球运动员的片段。")</f>
        <v>显示了几个棒球运动员的片段。</v>
      </c>
    </row>
    <row r="25651">
      <c r="A25651" s="4" t="s">
        <v>32287</v>
      </c>
      <c r="B25651" s="4" t="s">
        <v>32289</v>
      </c>
      <c r="C25651" s="5" t="str">
        <f>IFERROR(__xludf.DUMMYFUNCTION("GOOGLETRANSLATE(B25651,""en"",""zh-CN"")"),"在某一时刻，它显示了一个玩家与裁判争吵。")</f>
        <v>在某一时刻，它显示了一个玩家与裁判争吵。</v>
      </c>
    </row>
    <row r="25652">
      <c r="A25652" s="4" t="s">
        <v>32287</v>
      </c>
      <c r="B25652" s="4" t="s">
        <v>32290</v>
      </c>
      <c r="C25652" s="5" t="str">
        <f>IFERROR(__xludf.DUMMYFUNCTION("GOOGLETRANSLATE(B25652,""en"",""zh-CN"")"),"视频以另一个标题序列结尾。")</f>
        <v>视频以另一个标题序列结尾。</v>
      </c>
    </row>
    <row r="25653">
      <c r="A25653" s="4" t="s">
        <v>32291</v>
      </c>
      <c r="B25653" s="6" t="s">
        <v>32292</v>
      </c>
      <c r="C25653" s="5" t="str">
        <f>IFERROR(__xludf.DUMMYFUNCTION("GOOGLETRANSLATE(B25653,""en"",""zh-CN"")"),"看到一名戴着耳机的男人说话，然后开始在麦克风中演奏口琴。")</f>
        <v>看到一名戴着耳机的男人说话，然后开始在麦克风中演奏口琴。</v>
      </c>
    </row>
    <row r="25654">
      <c r="A25654" s="4" t="s">
        <v>32291</v>
      </c>
      <c r="B25654" s="4" t="s">
        <v>32293</v>
      </c>
      <c r="C25654" s="5" t="str">
        <f>IFERROR(__xludf.DUMMYFUNCTION("GOOGLETRANSLATE(B25654,""en"",""zh-CN"")"),"该男子继续演奏，相机以仪器的特写结束。")</f>
        <v>该男子继续演奏，相机以仪器的特写结束。</v>
      </c>
    </row>
    <row r="25655">
      <c r="A25655" s="4" t="s">
        <v>32294</v>
      </c>
      <c r="B25655" s="4" t="s">
        <v>32295</v>
      </c>
      <c r="C25655" s="5" t="str">
        <f>IFERROR(__xludf.DUMMYFUNCTION("GOOGLETRANSLATE(B25655,""en"",""zh-CN"")"),"看到一小群人站在一个房间里，一个女人站在前面。")</f>
        <v>看到一小群人站在一个房间里，一个女人站在前面。</v>
      </c>
    </row>
    <row r="25656">
      <c r="A25656" s="4" t="s">
        <v>32294</v>
      </c>
      <c r="B25656" s="4" t="s">
        <v>32296</v>
      </c>
      <c r="C25656" s="5" t="str">
        <f>IFERROR(__xludf.DUMMYFUNCTION("GOOGLETRANSLATE(B25656,""en"",""zh-CN"")"),"然后，女人在跟随她的同时开始与女人一起跳舞。")</f>
        <v>然后，女人在跟随她的同时开始与女人一起跳舞。</v>
      </c>
    </row>
    <row r="25657">
      <c r="A25657" s="4" t="s">
        <v>32294</v>
      </c>
      <c r="B25657" s="4" t="s">
        <v>32297</v>
      </c>
      <c r="C25657" s="5" t="str">
        <f>IFERROR(__xludf.DUMMYFUNCTION("GOOGLETRANSLATE(B25657,""en"",""zh-CN"")"),"女人与男人一起切换，然后开始跟随女人跳舞。")</f>
        <v>女人与男人一起切换，然后开始跟随女人跳舞。</v>
      </c>
    </row>
    <row r="25658">
      <c r="A25658" s="4" t="s">
        <v>32298</v>
      </c>
      <c r="B25658" s="4" t="s">
        <v>32299</v>
      </c>
      <c r="C25658" s="5" t="str">
        <f>IFERROR(__xludf.DUMMYFUNCTION("GOOGLETRANSLATE(B25658,""en"",""zh-CN"")"),"一件穿着蓝色衬衫的女人正沿着松弛的线条行走。")</f>
        <v>一件穿着蓝色衬衫的女人正沿着松弛的线条行走。</v>
      </c>
    </row>
    <row r="25659">
      <c r="A25659" s="4" t="s">
        <v>32298</v>
      </c>
      <c r="B25659" s="4" t="s">
        <v>32300</v>
      </c>
      <c r="C25659" s="5" t="str">
        <f>IFERROR(__xludf.DUMMYFUNCTION("GOOGLETRANSLATE(B25659,""en"",""zh-CN"")"),"她摔倒了，抓住了绳子。")</f>
        <v>她摔倒了，抓住了绳子。</v>
      </c>
    </row>
    <row r="25660">
      <c r="A25660" s="4" t="s">
        <v>32301</v>
      </c>
      <c r="B25660" s="4" t="s">
        <v>32302</v>
      </c>
      <c r="C25660" s="5" t="str">
        <f>IFERROR(__xludf.DUMMYFUNCTION("GOOGLETRANSLATE(B25660,""en"",""zh-CN"")"),"几个人聚集在湖上。")</f>
        <v>几个人聚集在湖上。</v>
      </c>
    </row>
    <row r="25661">
      <c r="A25661" s="4" t="s">
        <v>32301</v>
      </c>
      <c r="B25661" s="4" t="s">
        <v>32303</v>
      </c>
      <c r="C25661" s="5" t="str">
        <f>IFERROR(__xludf.DUMMYFUNCTION("GOOGLETRANSLATE(B25661,""en"",""zh-CN"")"),"显示了与风筝合影和飞行风筝的人的图像。")</f>
        <v>显示了与风筝合影和飞行风筝的人的图像。</v>
      </c>
    </row>
    <row r="25662">
      <c r="A25662" s="4" t="s">
        <v>32301</v>
      </c>
      <c r="B25662" s="4" t="s">
        <v>32304</v>
      </c>
      <c r="C25662" s="5" t="str">
        <f>IFERROR(__xludf.DUMMYFUNCTION("GOOGLETRANSLATE(B25662,""en"",""zh-CN"")"),"然后看到他们在海滩上驾驶风筝。")</f>
        <v>然后看到他们在海滩上驾驶风筝。</v>
      </c>
    </row>
    <row r="25663">
      <c r="A25663" s="4" t="s">
        <v>32305</v>
      </c>
      <c r="B25663" s="4" t="s">
        <v>32306</v>
      </c>
      <c r="C25663" s="5" t="str">
        <f>IFERROR(__xludf.DUMMYFUNCTION("GOOGLETRANSLATE(B25663,""en"",""zh-CN"")"),"在各个位置显示了各种鼓线。")</f>
        <v>在各个位置显示了各种鼓线。</v>
      </c>
    </row>
    <row r="25664">
      <c r="A25664" s="4" t="s">
        <v>32305</v>
      </c>
      <c r="B25664" s="6" t="s">
        <v>32307</v>
      </c>
      <c r="C25664" s="5" t="str">
        <f>IFERROR(__xludf.DUMMYFUNCTION("GOOGLETRANSLATE(B25664,""en"",""zh-CN"")"),"显示了几所学校，SB4T在右下角，当时是一群穿着蓝色衬衫和黑色裤子的人，开始表演并做出各种形式。")</f>
        <v>显示了几所学校，SB4T在右下角，当时是一群穿着蓝色衬衫和黑色裤子的人，开始表演并做出各种形式。</v>
      </c>
    </row>
    <row r="25665">
      <c r="A25665" s="4" t="s">
        <v>32308</v>
      </c>
      <c r="B25665" s="4" t="s">
        <v>32309</v>
      </c>
      <c r="C25665" s="5" t="str">
        <f>IFERROR(__xludf.DUMMYFUNCTION("GOOGLETRANSLATE(B25665,""en"",""zh-CN"")"),"从外面展示了陀螺仪餐厅。")</f>
        <v>从外面展示了陀螺仪餐厅。</v>
      </c>
    </row>
    <row r="25666">
      <c r="A25666" s="4" t="s">
        <v>32308</v>
      </c>
      <c r="B25666" s="4" t="s">
        <v>32310</v>
      </c>
      <c r="C25666" s="5" t="str">
        <f>IFERROR(__xludf.DUMMYFUNCTION("GOOGLETRANSLATE(B25666,""en"",""zh-CN"")"),"我们进入，厨师开始与相机交谈。")</f>
        <v>我们进入，厨师开始与相机交谈。</v>
      </c>
    </row>
    <row r="25667">
      <c r="A25667" s="4" t="s">
        <v>32308</v>
      </c>
      <c r="B25667" s="4" t="s">
        <v>32311</v>
      </c>
      <c r="C25667" s="5" t="str">
        <f>IFERROR(__xludf.DUMMYFUNCTION("GOOGLETRANSLATE(B25667,""en"",""zh-CN"")"),"他演示了如何制作陀螺三明治。")</f>
        <v>他演示了如何制作陀螺三明治。</v>
      </c>
    </row>
    <row r="25668">
      <c r="A25668" s="4" t="s">
        <v>32308</v>
      </c>
      <c r="B25668" s="6" t="s">
        <v>32312</v>
      </c>
      <c r="C25668" s="5" t="str">
        <f>IFERROR(__xludf.DUMMYFUNCTION("GOOGLETRANSLATE(B25668,""en"",""zh-CN"")"),"他将所有成分放在柜台上，剃光肉，然后开始将它们堆放在皮塔饼中。")</f>
        <v>他将所有成分放在柜台上，剃光肉，然后开始将它们堆放在皮塔饼中。</v>
      </c>
    </row>
    <row r="25669">
      <c r="A25669" s="4" t="s">
        <v>32308</v>
      </c>
      <c r="B25669" s="4" t="s">
        <v>32313</v>
      </c>
      <c r="C25669" s="5" t="str">
        <f>IFERROR(__xludf.DUMMYFUNCTION("GOOGLETRANSLATE(B25669,""en"",""zh-CN"")"),"他继续为相机说话，然后为摄影机为陀螺仪服务。")</f>
        <v>他继续为相机说话，然后为摄影机为陀螺仪服务。</v>
      </c>
    </row>
    <row r="25670">
      <c r="A25670" s="4" t="s">
        <v>32308</v>
      </c>
      <c r="B25670" s="4" t="s">
        <v>32314</v>
      </c>
      <c r="C25670" s="5" t="str">
        <f>IFERROR(__xludf.DUMMYFUNCTION("GOOGLETRANSLATE(B25670,""en"",""zh-CN"")"),"该男子吃了它，点头批准。")</f>
        <v>该男子吃了它，点头批准。</v>
      </c>
    </row>
    <row r="25671">
      <c r="A25671" s="4" t="s">
        <v>32315</v>
      </c>
      <c r="B25671" s="4" t="s">
        <v>32316</v>
      </c>
      <c r="C25671" s="5" t="str">
        <f>IFERROR(__xludf.DUMMYFUNCTION("GOOGLETRANSLATE(B25671,""en"",""zh-CN"")"),"看到一个人沿着金属杆在侧面移动时会在金属杆上产生火花。")</f>
        <v>看到一个人沿着金属杆在侧面移动时会在金属杆上产生火花。</v>
      </c>
    </row>
    <row r="25672">
      <c r="A25672" s="4" t="s">
        <v>32315</v>
      </c>
      <c r="B25672" s="4" t="s">
        <v>32317</v>
      </c>
      <c r="C25672" s="5" t="str">
        <f>IFERROR(__xludf.DUMMYFUNCTION("GOOGLETRANSLATE(B25672,""en"",""zh-CN"")"),"然后，他将火炬放下，放大了酒吧。")</f>
        <v>然后，他将火炬放下，放大了酒吧。</v>
      </c>
    </row>
    <row r="25673">
      <c r="A25673" s="4" t="s">
        <v>32318</v>
      </c>
      <c r="B25673" s="4" t="s">
        <v>32319</v>
      </c>
      <c r="C25673" s="5" t="str">
        <f>IFERROR(__xludf.DUMMYFUNCTION("GOOGLETRANSLATE(B25673,""en"",""zh-CN"")"),"一个人在竞技场上散步马。")</f>
        <v>一个人在竞技场上散步马。</v>
      </c>
    </row>
    <row r="25674">
      <c r="A25674" s="4" t="s">
        <v>32318</v>
      </c>
      <c r="B25674" s="4" t="s">
        <v>32320</v>
      </c>
      <c r="C25674" s="5" t="str">
        <f>IFERROR(__xludf.DUMMYFUNCTION("GOOGLETRANSLATE(B25674,""en"",""zh-CN"")"),"他们开始刷马的皮毛。")</f>
        <v>他们开始刷马的皮毛。</v>
      </c>
    </row>
    <row r="25675">
      <c r="A25675" s="4" t="s">
        <v>32318</v>
      </c>
      <c r="B25675" s="4" t="s">
        <v>32321</v>
      </c>
      <c r="C25675" s="5" t="str">
        <f>IFERROR(__xludf.DUMMYFUNCTION("GOOGLETRANSLATE(B25675,""en"",""zh-CN"")"),"他们刷马的耳朵。")</f>
        <v>他们刷马的耳朵。</v>
      </c>
    </row>
    <row r="25676">
      <c r="A25676" s="4" t="s">
        <v>32318</v>
      </c>
      <c r="B25676" s="4" t="s">
        <v>32322</v>
      </c>
      <c r="C25676" s="5" t="str">
        <f>IFERROR(__xludf.DUMMYFUNCTION("GOOGLETRANSLATE(B25676,""en"",""zh-CN"")"),"他们刷马的脸。")</f>
        <v>他们刷马的脸。</v>
      </c>
    </row>
    <row r="25677">
      <c r="A25677" s="4" t="s">
        <v>32323</v>
      </c>
      <c r="B25677" s="6" t="s">
        <v>32324</v>
      </c>
      <c r="C25677" s="5" t="str">
        <f>IFERROR(__xludf.DUMMYFUNCTION("GOOGLETRANSLATE(B25677,""en"",""zh-CN"")"),"看到一个有两个孩子的男人在相机上说话，一个人伸出双手并迅速走进他们。")</f>
        <v>看到一个有两个孩子的男人在相机上说话，一个人伸出双手并迅速走进他们。</v>
      </c>
    </row>
    <row r="25678">
      <c r="A25678" s="4" t="s">
        <v>32323</v>
      </c>
      <c r="B25678" s="6" t="s">
        <v>32325</v>
      </c>
      <c r="C25678" s="5" t="str">
        <f>IFERROR(__xludf.DUMMYFUNCTION("GOOGLETRANSLATE(B25678,""en"",""zh-CN"")"),"孩子们站在椅子上，将装饰品从树上拿下，同时向后移动到桌子上，将物体放在桌子上。")</f>
        <v>孩子们站在椅子上，将装饰品从树上拿下，同时向后移动到桌子上，将物体放在桌子上。</v>
      </c>
    </row>
    <row r="25679">
      <c r="A25679" s="4" t="s">
        <v>32323</v>
      </c>
      <c r="B25679" s="6" t="s">
        <v>32326</v>
      </c>
      <c r="C25679" s="5" t="str">
        <f>IFERROR(__xludf.DUMMYFUNCTION("GOOGLETRANSLATE(B25679,""en"",""zh-CN"")"),"然后，孩子们在跳舞，玩得开心的同时扫过地板，并以所有挥手向相机挥手结束。")</f>
        <v>然后，孩子们在跳舞，玩得开心的同时扫过地板，并以所有挥手向相机挥手结束。</v>
      </c>
    </row>
    <row r="25680">
      <c r="A25680" s="4" t="s">
        <v>32327</v>
      </c>
      <c r="B25680" s="6" t="s">
        <v>32328</v>
      </c>
      <c r="C25680" s="5" t="str">
        <f>IFERROR(__xludf.DUMMYFUNCTION("GOOGLETRANSLATE(B25680,""en"",""zh-CN"")"),"看到一个男人坐在一块运动器材上，开始在机器上向后移动第四。")</f>
        <v>看到一个男人坐在一块运动器材上，开始在机器上向后移动第四。</v>
      </c>
    </row>
    <row r="25681">
      <c r="A25681" s="4" t="s">
        <v>32327</v>
      </c>
      <c r="B25681" s="6" t="s">
        <v>32329</v>
      </c>
      <c r="C25681" s="5" t="str">
        <f>IFERROR(__xludf.DUMMYFUNCTION("GOOGLETRANSLATE(B25681,""en"",""zh-CN"")"),"该男子继续向后移动四分之一，同时将身体向后拉，结束，通过解开自己的脚并移动脚。")</f>
        <v>该男子继续向后移动四分之一，同时将身体向后拉，结束，通过解开自己的脚并移动脚。</v>
      </c>
    </row>
    <row r="25682">
      <c r="A25682" s="4" t="s">
        <v>32330</v>
      </c>
      <c r="B25682" s="4" t="s">
        <v>32331</v>
      </c>
      <c r="C25682" s="5" t="str">
        <f>IFERROR(__xludf.DUMMYFUNCTION("GOOGLETRANSLATE(B25682,""en"",""zh-CN"")"),"经销商正在二十一点桌上交易卡。")</f>
        <v>经销商正在二十一点桌上交易卡。</v>
      </c>
    </row>
    <row r="25683">
      <c r="A25683" s="4" t="s">
        <v>32330</v>
      </c>
      <c r="B25683" s="4" t="s">
        <v>32332</v>
      </c>
      <c r="C25683" s="5" t="str">
        <f>IFERROR(__xludf.DUMMYFUNCTION("GOOGLETRANSLATE(B25683,""en"",""zh-CN"")"),"人们坐在桌子旁玩。")</f>
        <v>人们坐在桌子旁玩。</v>
      </c>
    </row>
    <row r="25684">
      <c r="A25684" s="4" t="s">
        <v>32330</v>
      </c>
      <c r="B25684" s="4" t="s">
        <v>32333</v>
      </c>
      <c r="C25684" s="5" t="str">
        <f>IFERROR(__xludf.DUMMYFUNCTION("GOOGLETRANSLATE(B25684,""en"",""zh-CN"")"),"一件白衬衫的男人站在桌子旁边。")</f>
        <v>一件白衬衫的男人站在桌子旁边。</v>
      </c>
    </row>
    <row r="25685">
      <c r="A25685" s="4" t="s">
        <v>32334</v>
      </c>
      <c r="B25685" s="4" t="s">
        <v>32335</v>
      </c>
      <c r="C25685" s="5" t="str">
        <f>IFERROR(__xludf.DUMMYFUNCTION("GOOGLETRANSLATE(B25685,""en"",""zh-CN"")"),"一个年轻的女孩正在演示如何用分层的头发做辫子。")</f>
        <v>一个年轻的女孩正在演示如何用分层的头发做辫子。</v>
      </c>
    </row>
    <row r="25686">
      <c r="A25686" s="4" t="s">
        <v>32334</v>
      </c>
      <c r="B25686" s="4" t="s">
        <v>32336</v>
      </c>
      <c r="C25686" s="5" t="str">
        <f>IFERROR(__xludf.DUMMYFUNCTION("GOOGLETRANSLATE(B25686,""en"",""zh-CN"")"),"她首先将头发刷掉。")</f>
        <v>她首先将头发刷掉。</v>
      </c>
    </row>
    <row r="25687">
      <c r="A25687" s="4" t="s">
        <v>32334</v>
      </c>
      <c r="B25687" s="4" t="s">
        <v>32337</v>
      </c>
      <c r="C25687" s="5" t="str">
        <f>IFERROR(__xludf.DUMMYFUNCTION("GOOGLETRANSLATE(B25687,""en"",""zh-CN"")"),"然后，她将所有头发都带到右侧，并开始用单个辫子编织头发。")</f>
        <v>然后，她将所有头发都带到右侧，并开始用单个辫子编织头发。</v>
      </c>
    </row>
    <row r="25688">
      <c r="A25688" s="4" t="s">
        <v>32334</v>
      </c>
      <c r="B25688" s="4" t="s">
        <v>32338</v>
      </c>
      <c r="C25688" s="5" t="str">
        <f>IFERROR(__xludf.DUMMYFUNCTION("GOOGLETRANSLATE(B25688,""en"",""zh-CN"")"),"然后，她拿起一条领带并将其绑在辫子底部。")</f>
        <v>然后，她拿起一条领带并将其绑在辫子底部。</v>
      </c>
    </row>
    <row r="25689">
      <c r="A25689" s="4" t="s">
        <v>32334</v>
      </c>
      <c r="B25689" s="6" t="s">
        <v>32339</v>
      </c>
      <c r="C25689" s="5" t="str">
        <f>IFERROR(__xludf.DUMMYFUNCTION("GOOGLETRANSLATE(B25689,""en"",""zh-CN"")"),"她从橙色容器中取出一些凝胶，并在辫子的尖端上使用它来使头发光滑。")</f>
        <v>她从橙色容器中取出一些凝胶，并在辫子的尖端上使用它来使头发光滑。</v>
      </c>
    </row>
    <row r="25690">
      <c r="A25690" s="4" t="s">
        <v>32334</v>
      </c>
      <c r="B25690" s="4" t="s">
        <v>32340</v>
      </c>
      <c r="C25690" s="5" t="str">
        <f>IFERROR(__xludf.DUMMYFUNCTION("GOOGLETRANSLATE(B25690,""en"",""zh-CN"")"),"她进一步编织辫子的底部直到最后，并绑着另一个头发。")</f>
        <v>她进一步编织辫子的底部直到最后，并绑着另一个头发。</v>
      </c>
    </row>
    <row r="25691">
      <c r="A25691" s="4" t="s">
        <v>32334</v>
      </c>
      <c r="B25691" s="4" t="s">
        <v>32341</v>
      </c>
      <c r="C25691" s="5" t="str">
        <f>IFERROR(__xludf.DUMMYFUNCTION("GOOGLETRANSLATE(B25691,""en"",""zh-CN"")"),"然后，她拿起一个鲍比（Bobby）销，将短发钉在头顶的前后。")</f>
        <v>然后，她拿起一个鲍比（Bobby）销，将短发钉在头顶的前后。</v>
      </c>
    </row>
    <row r="25692">
      <c r="A25692" s="4" t="s">
        <v>32334</v>
      </c>
      <c r="B25692" s="4" t="s">
        <v>32342</v>
      </c>
      <c r="C25692" s="5" t="str">
        <f>IFERROR(__xludf.DUMMYFUNCTION("GOOGLETRANSLATE(B25692,""en"",""zh-CN"")"),"她将销钉固定在头发中，并挥舞着好再见。")</f>
        <v>她将销钉固定在头发中，并挥舞着好再见。</v>
      </c>
    </row>
    <row r="25693">
      <c r="A25693" s="4" t="s">
        <v>32343</v>
      </c>
      <c r="B25693" s="4" t="s">
        <v>32344</v>
      </c>
      <c r="C25693" s="5" t="str">
        <f>IFERROR(__xludf.DUMMYFUNCTION("GOOGLETRANSLATE(B25693,""en"",""zh-CN"")"),"看到两个人准备好站在一条轨道上，进入沙坑。")</f>
        <v>看到两个人准备好站在一条轨道上，进入沙坑。</v>
      </c>
    </row>
    <row r="25694">
      <c r="A25694" s="4" t="s">
        <v>32343</v>
      </c>
      <c r="B25694" s="4" t="s">
        <v>32345</v>
      </c>
      <c r="C25694" s="5" t="str">
        <f>IFERROR(__xludf.DUMMYFUNCTION("GOOGLETRANSLATE(B25694,""en"",""zh-CN"")"),"该男子躺下，另一个人举起旗帜，离开赛道。")</f>
        <v>该男子躺下，另一个人举起旗帜，离开赛道。</v>
      </c>
    </row>
    <row r="25695">
      <c r="A25695" s="4" t="s">
        <v>32346</v>
      </c>
      <c r="B25695" s="6" t="s">
        <v>32347</v>
      </c>
      <c r="C25695" s="5" t="str">
        <f>IFERROR(__xludf.DUMMYFUNCTION("GOOGLETRANSLATE(B25695,""en"",""zh-CN"")"),"看到一个女孩坐在桌子旁，手里拿着各种物体，将它们全部推在一起。")</f>
        <v>看到一个女孩坐在桌子旁，手里拿着各种物体，将它们全部推在一起。</v>
      </c>
    </row>
    <row r="25696">
      <c r="A25696" s="4" t="s">
        <v>32346</v>
      </c>
      <c r="B25696" s="6" t="s">
        <v>32348</v>
      </c>
      <c r="C25696" s="5" t="str">
        <f>IFERROR(__xludf.DUMMYFUNCTION("GOOGLETRANSLATE(B25696,""en"",""zh-CN"")"),"然后，她在棉球上擦针，然后将其推到铅笔上，并将其包裹在其周围。")</f>
        <v>然后，她在棉球上擦针，然后将其推到铅笔上，并将其包裹在其周围。</v>
      </c>
    </row>
    <row r="25697">
      <c r="A25697" s="4" t="s">
        <v>32346</v>
      </c>
      <c r="B25697" s="4" t="s">
        <v>32349</v>
      </c>
      <c r="C25697" s="5" t="str">
        <f>IFERROR(__xludf.DUMMYFUNCTION("GOOGLETRANSLATE(B25697,""en"",""zh-CN"")"),"然后，她举起一盒产品，然后将几个液体倒入碗中。")</f>
        <v>然后，她举起一盒产品，然后将几个液体倒入碗中。</v>
      </c>
    </row>
    <row r="25698">
      <c r="A25698" s="4" t="s">
        <v>32346</v>
      </c>
      <c r="B25698" s="6" t="s">
        <v>32350</v>
      </c>
      <c r="C25698" s="5" t="str">
        <f>IFERROR(__xludf.DUMMYFUNCTION("GOOGLETRANSLATE(B25698,""en"",""zh-CN"")"),"然后，她将针头浸入墨水中，然后用铅笔在腿上画出设计，最后用抹布擦掉它。")</f>
        <v>然后，她将针头浸入墨水中，然后用铅笔在腿上画出设计，最后用抹布擦掉它。</v>
      </c>
    </row>
    <row r="25699">
      <c r="A25699" s="4" t="s">
        <v>32351</v>
      </c>
      <c r="B25699" s="4" t="s">
        <v>32352</v>
      </c>
      <c r="C25699" s="5" t="str">
        <f>IFERROR(__xludf.DUMMYFUNCTION("GOOGLETRANSLATE(B25699,""en"",""zh-CN"")"),"一个主要的深色飞镖板是空的。")</f>
        <v>一个主要的深色飞镖板是空的。</v>
      </c>
    </row>
    <row r="25700">
      <c r="A25700" s="4" t="s">
        <v>32351</v>
      </c>
      <c r="B25700" s="4" t="s">
        <v>32353</v>
      </c>
      <c r="C25700" s="5" t="str">
        <f>IFERROR(__xludf.DUMMYFUNCTION("GOOGLETRANSLATE(B25700,""en"",""zh-CN"")"),"一个人在飞镖板上投掷飞镖。")</f>
        <v>一个人在飞镖板上投掷飞镖。</v>
      </c>
    </row>
    <row r="25701">
      <c r="A25701" s="4" t="s">
        <v>32351</v>
      </c>
      <c r="B25701" s="4" t="s">
        <v>32354</v>
      </c>
      <c r="C25701" s="5" t="str">
        <f>IFERROR(__xludf.DUMMYFUNCTION("GOOGLETRANSLATE(B25701,""en"",""zh-CN"")"),"飞镖击中了尔日。")</f>
        <v>飞镖击中了尔日。</v>
      </c>
    </row>
    <row r="25702">
      <c r="A25702" s="4" t="s">
        <v>32355</v>
      </c>
      <c r="B25702" s="4" t="s">
        <v>32356</v>
      </c>
      <c r="C25702" s="5" t="str">
        <f>IFERROR(__xludf.DUMMYFUNCTION("GOOGLETRANSLATE(B25702,""en"",""zh-CN"")"),"看到一小群人在红地毯上散步并互相交谈。")</f>
        <v>看到一小群人在红地毯上散步并互相交谈。</v>
      </c>
    </row>
    <row r="25703">
      <c r="A25703" s="4" t="s">
        <v>32355</v>
      </c>
      <c r="B25703" s="6" t="s">
        <v>32357</v>
      </c>
      <c r="C25703" s="5" t="str">
        <f>IFERROR(__xludf.DUMMYFUNCTION("GOOGLETRANSLATE(B25703,""en"",""zh-CN"")"),"然后看到一名运动员与新主持人说话，并显示了他玩和骑马的几枪。")</f>
        <v>然后看到一名运动员与新主持人说话，并显示了他玩和骑马的几枪。</v>
      </c>
    </row>
    <row r="25704">
      <c r="A25704" s="4" t="s">
        <v>32355</v>
      </c>
      <c r="B25704" s="4" t="s">
        <v>32358</v>
      </c>
      <c r="C25704" s="5" t="str">
        <f>IFERROR(__xludf.DUMMYFUNCTION("GOOGLETRANSLATE(B25704,""en"",""zh-CN"")"),"有更多的剪辑显示他参加一项运动并与主持人交谈并握手。")</f>
        <v>有更多的剪辑显示他参加一项运动并与主持人交谈并握手。</v>
      </c>
    </row>
    <row r="25705">
      <c r="A25705" s="4" t="s">
        <v>32359</v>
      </c>
      <c r="B25705" s="4" t="s">
        <v>32360</v>
      </c>
      <c r="C25705" s="5" t="str">
        <f>IFERROR(__xludf.DUMMYFUNCTION("GOOGLETRANSLATE(B25705,""en"",""zh-CN"")"),"一个女人用纸巾清洁时，在女孩的手臂上纹身。")</f>
        <v>一个女人用纸巾清洁时，在女孩的手臂上纹身。</v>
      </c>
    </row>
    <row r="25706">
      <c r="A25706" s="4" t="s">
        <v>32359</v>
      </c>
      <c r="B25706" s="4" t="s">
        <v>32361</v>
      </c>
      <c r="C25706" s="5" t="str">
        <f>IFERROR(__xludf.DUMMYFUNCTION("GOOGLETRANSLATE(B25706,""en"",""zh-CN"")"),"女孩在脸上做出疼痛手势。")</f>
        <v>女孩在脸上做出疼痛手势。</v>
      </c>
    </row>
    <row r="25707">
      <c r="A25707" s="4" t="s">
        <v>32362</v>
      </c>
      <c r="B25707" s="6" t="s">
        <v>32363</v>
      </c>
      <c r="C25707" s="5" t="str">
        <f>IFERROR(__xludf.DUMMYFUNCTION("GOOGLETRANSLATE(B25707,""en"",""zh-CN"")"),"这部电影的森林血腥镜头拍摄了一张男子，他在几次镜头中扮演乒乓球，最后他笑了。")</f>
        <v>这部电影的森林血腥镜头拍摄了一张男子，他在几次镜头中扮演乒乓球，最后他笑了。</v>
      </c>
    </row>
    <row r="25708">
      <c r="A25708" s="4" t="s">
        <v>32362</v>
      </c>
      <c r="B25708" s="6" t="s">
        <v>32364</v>
      </c>
      <c r="C25708" s="5" t="str">
        <f>IFERROR(__xludf.DUMMYFUNCTION("GOOGLETRANSLATE(B25708,""en"",""zh-CN"")"),"显示了更多的片段，演员彼此演奏，一个男人在与相机交谈时在计算机上展示镜头。")</f>
        <v>显示了更多的片段，演员彼此演奏，一个男人在与相机交谈时在计算机上展示镜头。</v>
      </c>
    </row>
    <row r="25709">
      <c r="A25709" s="4" t="s">
        <v>32362</v>
      </c>
      <c r="B25709" s="6" t="s">
        <v>32365</v>
      </c>
      <c r="C25709" s="5" t="str">
        <f>IFERROR(__xludf.DUMMYFUNCTION("GOOGLETRANSLATE(B25709,""en"",""zh-CN"")"),"汤姆·汉克斯（Tom Hanks）接受了几次有关该活动的采访，然后在比赛中最终坐下。")</f>
        <v>汤姆·汉克斯（Tom Hanks）接受了几次有关该活动的采访，然后在比赛中最终坐下。</v>
      </c>
    </row>
    <row r="25710">
      <c r="A25710" s="4" t="s">
        <v>32366</v>
      </c>
      <c r="B25710" s="4" t="s">
        <v>32367</v>
      </c>
      <c r="C25710" s="5" t="str">
        <f>IFERROR(__xludf.DUMMYFUNCTION("GOOGLETRANSLATE(B25710,""en"",""zh-CN"")"),"一个穿着遮阳板和太阳镜的女人穿着全黑的女人正在拿着桨。")</f>
        <v>一个穿着遮阳板和太阳镜的女人穿着全黑的女人正在拿着桨。</v>
      </c>
    </row>
    <row r="25711">
      <c r="A25711" s="4" t="s">
        <v>32366</v>
      </c>
      <c r="B25711" s="4" t="s">
        <v>32368</v>
      </c>
      <c r="C25711" s="5" t="str">
        <f>IFERROR(__xludf.DUMMYFUNCTION("GOOGLETRANSLATE(B25711,""en"",""zh-CN"")"),"一旦她说话，她就开始用白狗在双腿之间的白狗划皮艇。")</f>
        <v>一旦她说话，她就开始用白狗在双腿之间的白狗划皮艇。</v>
      </c>
    </row>
    <row r="25712">
      <c r="A25712" s="4" t="s">
        <v>32366</v>
      </c>
      <c r="B25712" s="6" t="s">
        <v>32369</v>
      </c>
      <c r="C25712" s="5" t="str">
        <f>IFERROR(__xludf.DUMMYFUNCTION("GOOGLETRANSLATE(B25712,""en"",""zh-CN"")"),"现在，那个女人从水中出来，开始进行手臂锻炼，头后的桨将其上下抬起。")</f>
        <v>现在，那个女人从水中出来，开始进行手臂锻炼，头后的桨将其上下抬起。</v>
      </c>
    </row>
    <row r="25713">
      <c r="A25713" s="4" t="s">
        <v>32366</v>
      </c>
      <c r="B25713" s="6" t="s">
        <v>32370</v>
      </c>
      <c r="C25713" s="5" t="str">
        <f>IFERROR(__xludf.DUMMYFUNCTION("GOOGLETRANSLATE(B25713,""en"",""zh-CN"")"),"然后，她添加了腿，然后开始在草地上伸出弓步，然后继续用手卷发。")</f>
        <v>然后，她添加了腿，然后开始在草地上伸出弓步，然后继续用手卷发。</v>
      </c>
    </row>
    <row r="25714">
      <c r="A25714" s="4" t="s">
        <v>32366</v>
      </c>
      <c r="B25714" s="4" t="s">
        <v>32371</v>
      </c>
      <c r="C25714" s="5" t="str">
        <f>IFERROR(__xludf.DUMMYFUNCTION("GOOGLETRANSLATE(B25714,""en"",""zh-CN"")"),"这位女士现在已经搬到露台，在她的背部进行腿部锻炼。")</f>
        <v>这位女士现在已经搬到露台，在她的背部进行腿部锻炼。</v>
      </c>
    </row>
    <row r="25715">
      <c r="A25715" s="4" t="s">
        <v>32372</v>
      </c>
      <c r="B25715" s="4" t="s">
        <v>32373</v>
      </c>
      <c r="C25715" s="5" t="str">
        <f>IFERROR(__xludf.DUMMYFUNCTION("GOOGLETRANSLATE(B25715,""en"",""zh-CN"")"),"一个女孩正站在外面的田野里，呼啦圈徘徊。")</f>
        <v>一个女孩正站在外面的田野里，呼啦圈徘徊。</v>
      </c>
    </row>
    <row r="25716">
      <c r="A25716" s="4" t="s">
        <v>32372</v>
      </c>
      <c r="B25716" s="4" t="s">
        <v>32374</v>
      </c>
      <c r="C25716" s="5" t="str">
        <f>IFERROR(__xludf.DUMMYFUNCTION("GOOGLETRANSLATE(B25716,""en"",""zh-CN"")"),"然后，另一个女孩试图做同样的事情，但她没有成功。")</f>
        <v>然后，另一个女孩试图做同样的事情，但她没有成功。</v>
      </c>
    </row>
    <row r="25717">
      <c r="A25717" s="4" t="s">
        <v>32372</v>
      </c>
      <c r="B25717" s="4" t="s">
        <v>32375</v>
      </c>
      <c r="C25717" s="5" t="str">
        <f>IFERROR(__xludf.DUMMYFUNCTION("GOOGLETRANSLATE(B25717,""en"",""zh-CN"")"),"第一个女孩回来了，因为第二个女孩仍在挣扎时，它毫不费力地做到了。")</f>
        <v>第一个女孩回来了，因为第二个女孩仍在挣扎时，它毫不费力地做到了。</v>
      </c>
    </row>
    <row r="25718">
      <c r="A25718" s="4" t="s">
        <v>32372</v>
      </c>
      <c r="B25718" s="4" t="s">
        <v>32376</v>
      </c>
      <c r="C25718" s="5" t="str">
        <f>IFERROR(__xludf.DUMMYFUNCTION("GOOGLETRANSLATE(B25718,""en"",""zh-CN"")"),"在最后一轮比赛中，女孩开始呼啦圈，喝苏打水并在草地上奔跑。")</f>
        <v>在最后一轮比赛中，女孩开始呼啦圈，喝苏打水并在草地上奔跑。</v>
      </c>
    </row>
    <row r="25719">
      <c r="A25719" s="4" t="s">
        <v>32377</v>
      </c>
      <c r="B25719" s="6" t="s">
        <v>32378</v>
      </c>
      <c r="C25719" s="5" t="str">
        <f>IFERROR(__xludf.DUMMYFUNCTION("GOOGLETRANSLATE(B25719,""en"",""zh-CN"")"),"当一个人在他的皮毛上来回移动真空时，黑色和棕色的下降正站在墙上。")</f>
        <v>当一个人在他的皮毛上来回移动真空时，黑色和棕色的下降正站在墙上。</v>
      </c>
    </row>
    <row r="25720">
      <c r="A25720" s="4" t="s">
        <v>32377</v>
      </c>
      <c r="B25720" s="6" t="s">
        <v>32379</v>
      </c>
      <c r="C25720" s="5" t="str">
        <f>IFERROR(__xludf.DUMMYFUNCTION("GOOGLETRANSLATE(B25720,""en"",""zh-CN"")"),"他的背部完成后，该人腿部抬起腿，然后将尾巴抬起，做孔，狗开始走开。")</f>
        <v>他的背部完成后，该人腿部抬起腿，然后将尾巴抬起，做孔，狗开始走开。</v>
      </c>
    </row>
    <row r="25721">
      <c r="A25721" s="4" t="s">
        <v>32377</v>
      </c>
      <c r="B25721" s="4" t="s">
        <v>32380</v>
      </c>
      <c r="C25721" s="5" t="str">
        <f>IFERROR(__xludf.DUMMYFUNCTION("GOOGLETRANSLATE(B25721,""en"",""zh-CN"")"),"然后，妇女必须抓住狗并抱他完成任务。")</f>
        <v>然后，妇女必须抓住狗并抱他完成任务。</v>
      </c>
    </row>
    <row r="25722">
      <c r="A25722" s="4" t="s">
        <v>32377</v>
      </c>
      <c r="B25722" s="4" t="s">
        <v>32381</v>
      </c>
      <c r="C25722" s="5" t="str">
        <f>IFERROR(__xludf.DUMMYFUNCTION("GOOGLETRANSLATE(B25722,""en"",""zh-CN"")"),"完成后，她将头发从真空中取出，然后将其倒入一个大的黑色垃圾袋中。")</f>
        <v>完成后，她将头发从真空中取出，然后将其倒入一个大的黑色垃圾袋中。</v>
      </c>
    </row>
    <row r="25723">
      <c r="A25723" s="4" t="s">
        <v>32382</v>
      </c>
      <c r="B25723" s="4" t="s">
        <v>32383</v>
      </c>
      <c r="C25723" s="5" t="str">
        <f>IFERROR(__xludf.DUMMYFUNCTION("GOOGLETRANSLATE(B25723,""en"",""zh-CN"")"),"金发女性奔跑跳跃并扭曲填充物。")</f>
        <v>金发女性奔跑跳跃并扭曲填充物。</v>
      </c>
    </row>
    <row r="25724">
      <c r="A25724" s="4" t="s">
        <v>32382</v>
      </c>
      <c r="B25724" s="4" t="s">
        <v>32384</v>
      </c>
      <c r="C25724" s="5" t="str">
        <f>IFERROR(__xludf.DUMMYFUNCTION("GOOGLETRANSLATE(B25724,""en"",""zh-CN"")"),"另一个女人跑来跑去，她没有做到这一点，她掉到了草地上。")</f>
        <v>另一个女人跑来跑去，她没有做到这一点，她掉到了草地上。</v>
      </c>
    </row>
    <row r="25725">
      <c r="A25725" s="4" t="s">
        <v>32382</v>
      </c>
      <c r="B25725" s="4" t="s">
        <v>32385</v>
      </c>
      <c r="C25725" s="5" t="str">
        <f>IFERROR(__xludf.DUMMYFUNCTION("GOOGLETRANSLATE(B25725,""en"",""zh-CN"")"),"她完全错过了跳跃，当她跌倒时击中了杆子。")</f>
        <v>她完全错过了跳跃，当她跌倒时击中了杆子。</v>
      </c>
    </row>
    <row r="25726">
      <c r="A25726" s="4" t="s">
        <v>32382</v>
      </c>
      <c r="B25726" s="4" t="s">
        <v>32386</v>
      </c>
      <c r="C25726" s="5" t="str">
        <f>IFERROR(__xludf.DUMMYFUNCTION("GOOGLETRANSLATE(B25726,""en"",""zh-CN"")"),"她在地面上笑着，一个男人来帮助她。")</f>
        <v>她在地面上笑着，一个男人来帮助她。</v>
      </c>
    </row>
    <row r="25727">
      <c r="A25727" s="4" t="s">
        <v>32387</v>
      </c>
      <c r="B25727" s="4" t="s">
        <v>32388</v>
      </c>
      <c r="C25727" s="5" t="str">
        <f>IFERROR(__xludf.DUMMYFUNCTION("GOOGLETRANSLATE(B25727,""en"",""zh-CN"")"),"一群人正坐在桑拿浴室里。")</f>
        <v>一群人正坐在桑拿浴室里。</v>
      </c>
    </row>
    <row r="25728">
      <c r="A25728" s="4" t="s">
        <v>32387</v>
      </c>
      <c r="B25728" s="4" t="s">
        <v>32389</v>
      </c>
      <c r="C25728" s="5" t="str">
        <f>IFERROR(__xludf.DUMMYFUNCTION("GOOGLETRANSLATE(B25728,""en"",""zh-CN"")"),"一个家伙站起来用小提琴站起来。")</f>
        <v>一个家伙站起来用小提琴站起来。</v>
      </c>
    </row>
    <row r="25729">
      <c r="A25729" s="4" t="s">
        <v>32387</v>
      </c>
      <c r="B25729" s="4" t="s">
        <v>32390</v>
      </c>
      <c r="C25729" s="5" t="str">
        <f>IFERROR(__xludf.DUMMYFUNCTION("GOOGLETRANSLATE(B25729,""en"",""zh-CN"")"),"这个家伙开始弹小提琴和跳舞。")</f>
        <v>这个家伙开始弹小提琴和跳舞。</v>
      </c>
    </row>
    <row r="25730">
      <c r="A25730" s="4" t="s">
        <v>32387</v>
      </c>
      <c r="B25730" s="4" t="s">
        <v>32391</v>
      </c>
      <c r="C25730" s="5" t="str">
        <f>IFERROR(__xludf.DUMMYFUNCTION("GOOGLETRANSLATE(B25730,""en"",""zh-CN"")"),"那个家伙跳舞时踢了鞋。")</f>
        <v>那个家伙跳舞时踢了鞋。</v>
      </c>
    </row>
    <row r="25731">
      <c r="A25731" s="4" t="s">
        <v>32387</v>
      </c>
      <c r="B25731" s="4" t="s">
        <v>32392</v>
      </c>
      <c r="C25731" s="5" t="str">
        <f>IFERROR(__xludf.DUMMYFUNCTION("GOOGLETRANSLATE(B25731,""en"",""zh-CN"")"),"那家伙坐下来弹小提琴。")</f>
        <v>那家伙坐下来弹小提琴。</v>
      </c>
    </row>
    <row r="25732">
      <c r="A25732" s="4" t="s">
        <v>32393</v>
      </c>
      <c r="B25732" s="4" t="s">
        <v>32394</v>
      </c>
      <c r="C25732" s="5" t="str">
        <f>IFERROR(__xludf.DUMMYFUNCTION("GOOGLETRANSLATE(B25732,""en"",""zh-CN"")"),"看到一个人骑着风筝沿着海洋骑着风筝，以快速的速度移动。")</f>
        <v>看到一个人骑着风筝沿着海洋骑着风筝，以快速的速度移动。</v>
      </c>
    </row>
    <row r="25733">
      <c r="A25733" s="4" t="s">
        <v>32393</v>
      </c>
      <c r="B25733" s="4" t="s">
        <v>32395</v>
      </c>
      <c r="C25733" s="5" t="str">
        <f>IFERROR(__xludf.DUMMYFUNCTION("GOOGLETRANSLATE(B25733,""en"",""zh-CN"")"),"当相机放大骑手时，该人继续骑行并最终坠毁。")</f>
        <v>当相机放大骑手时，该人继续骑行并最终坠毁。</v>
      </c>
    </row>
    <row r="25734">
      <c r="A25734" s="4" t="s">
        <v>32396</v>
      </c>
      <c r="B25734" s="6" t="s">
        <v>32397</v>
      </c>
      <c r="C25734" s="5" t="str">
        <f>IFERROR(__xludf.DUMMYFUNCTION("GOOGLETRANSLATE(B25734,""en"",""zh-CN"")"),"一群男孩站在一个房间里，在桌子上坐着很多透明的啤酒，他们都站在周围。")</f>
        <v>一群男孩站在一个房间里，在桌子上坐着很多透明的啤酒，他们都站在周围。</v>
      </c>
    </row>
    <row r="25735">
      <c r="A25735" s="4" t="s">
        <v>32396</v>
      </c>
      <c r="B25735" s="6" t="s">
        <v>32398</v>
      </c>
      <c r="C25735" s="5" t="str">
        <f>IFERROR(__xludf.DUMMYFUNCTION("GOOGLETRANSLATE(B25735,""en"",""zh-CN"")"),"男孩们用三角形的透明杯子开始在长桌子上开始一场啤酒乒乓球比赛，然后互相笑，笑与笑。")</f>
        <v>男孩们用三角形的透明杯子开始在长桌子上开始一场啤酒乒乓球比赛，然后互相笑，笑与笑。</v>
      </c>
    </row>
    <row r="25736">
      <c r="A25736" s="4" t="s">
        <v>32396</v>
      </c>
      <c r="B25736" s="4" t="s">
        <v>32399</v>
      </c>
      <c r="C25736" s="5" t="str">
        <f>IFERROR(__xludf.DUMMYFUNCTION("GOOGLETRANSLATE(B25736,""en"",""zh-CN"")"),"其中一个乒乓球降落在杯子里，其中一个男孩开始喝啤酒。")</f>
        <v>其中一个乒乓球降落在杯子里，其中一个男孩开始喝啤酒。</v>
      </c>
    </row>
    <row r="25737">
      <c r="A25737" s="4" t="s">
        <v>32396</v>
      </c>
      <c r="B25737" s="6" t="s">
        <v>32400</v>
      </c>
      <c r="C25737" s="5" t="str">
        <f>IFERROR(__xludf.DUMMYFUNCTION("GOOGLETRANSLATE(B25737,""en"",""zh-CN"")"),"当一位最终球员能够扔和拿下一个乒乓球时，该小组继续打啤酒乒乓球，一边站在杯赛上，那时男孩们庆祝并大笑。")</f>
        <v>当一位最终球员能够扔和拿下一个乒乓球时，该小组继续打啤酒乒乓球，一边站在杯赛上，那时男孩们庆祝并大笑。</v>
      </c>
    </row>
    <row r="25738">
      <c r="A25738" s="4" t="s">
        <v>32401</v>
      </c>
      <c r="B25738" s="6" t="s">
        <v>32402</v>
      </c>
      <c r="C25738" s="5" t="str">
        <f>IFERROR(__xludf.DUMMYFUNCTION("GOOGLETRANSLATE(B25738,""en"",""zh-CN"")"),"看到一小群人握手，站在一起，然后一个男人吹口哨，人们四处奔波。")</f>
        <v>看到一小群人握手，站在一起，然后一个男人吹口哨，人们四处奔波。</v>
      </c>
    </row>
    <row r="25739">
      <c r="A25739" s="4" t="s">
        <v>32401</v>
      </c>
      <c r="B25739" s="6" t="s">
        <v>32403</v>
      </c>
      <c r="C25739" s="5" t="str">
        <f>IFERROR(__xludf.DUMMYFUNCTION("GOOGLETRANSLATE(B25739,""en"",""zh-CN"")"),"然后，人们互相踢足球比赛，在桑迪场上奔跑，而教练在侧面大喊大叫，进球被阻塞。")</f>
        <v>然后，人们互相踢足球比赛，在桑迪场上奔跑，而教练在侧面大喊大叫，进球被阻塞。</v>
      </c>
    </row>
    <row r="25740">
      <c r="A25740" s="4" t="s">
        <v>32404</v>
      </c>
      <c r="B25740" s="4" t="s">
        <v>32405</v>
      </c>
      <c r="C25740" s="5" t="str">
        <f>IFERROR(__xludf.DUMMYFUNCTION("GOOGLETRANSLATE(B25740,""en"",""zh-CN"")"),"两名男子坐在桌子旁，双臂互相交叉。")</f>
        <v>两名男子坐在桌子旁，双臂互相交叉。</v>
      </c>
    </row>
    <row r="25741">
      <c r="A25741" s="4" t="s">
        <v>32404</v>
      </c>
      <c r="B25741" s="4" t="s">
        <v>32406</v>
      </c>
      <c r="C25741" s="5" t="str">
        <f>IFERROR(__xludf.DUMMYFUNCTION("GOOGLETRANSLATE(B25741,""en"",""zh-CN"")"),"他们抓住彼此的手，开始一场手臂摔跤比赛，一场大喊另一个。")</f>
        <v>他们抓住彼此的手，开始一场手臂摔跤比赛，一场大喊另一个。</v>
      </c>
    </row>
    <row r="25742">
      <c r="A25742" s="4" t="s">
        <v>32404</v>
      </c>
      <c r="B25742" s="4" t="s">
        <v>32407</v>
      </c>
      <c r="C25742" s="5" t="str">
        <f>IFERROR(__xludf.DUMMYFUNCTION("GOOGLETRANSLATE(B25742,""en"",""zh-CN"")"),"一个几乎赢了，但另一个几乎赢了，尖叫和推动时获胜。")</f>
        <v>一个几乎赢了，但另一个几乎赢了，尖叫和推动时获胜。</v>
      </c>
    </row>
    <row r="25743">
      <c r="A25743" s="4" t="s">
        <v>32408</v>
      </c>
      <c r="B25743" s="4" t="s">
        <v>32409</v>
      </c>
      <c r="C25743" s="5" t="str">
        <f>IFERROR(__xludf.DUMMYFUNCTION("GOOGLETRANSLATE(B25743,""en"",""zh-CN"")"),"一个坐在桌子上的年长女人在阅读她的书面作品。")</f>
        <v>一个坐在桌子上的年长女人在阅读她的书面作品。</v>
      </c>
    </row>
    <row r="25744">
      <c r="A25744" s="4" t="s">
        <v>32408</v>
      </c>
      <c r="B25744" s="4" t="s">
        <v>32410</v>
      </c>
      <c r="C25744" s="5" t="str">
        <f>IFERROR(__xludf.DUMMYFUNCTION("GOOGLETRANSLATE(B25744,""en"",""zh-CN"")"),"她的丈夫走到她身后，与她一起读书。")</f>
        <v>她的丈夫走到她身后，与她一起读书。</v>
      </c>
    </row>
    <row r="25745">
      <c r="A25745" s="4" t="s">
        <v>32408</v>
      </c>
      <c r="B25745" s="4" t="s">
        <v>32411</v>
      </c>
      <c r="C25745" s="5" t="str">
        <f>IFERROR(__xludf.DUMMYFUNCTION("GOOGLETRANSLATE(B25745,""en"",""zh-CN"")"),"屋顶工在屋顶上解决了一些问题，并放了一些新的木瓦。")</f>
        <v>屋顶工在屋顶上解决了一些问题，并放了一些新的木瓦。</v>
      </c>
    </row>
    <row r="25746">
      <c r="A25746" s="4" t="s">
        <v>32408</v>
      </c>
      <c r="B25746" s="4" t="s">
        <v>32412</v>
      </c>
      <c r="C25746" s="5" t="str">
        <f>IFERROR(__xludf.DUMMYFUNCTION("GOOGLETRANSLATE(B25746,""en"",""zh-CN"")"),"一名与公司打电话的妇女走上去，将电话交给丈夫。")</f>
        <v>一名与公司打电话的妇女走上去，将电话交给丈夫。</v>
      </c>
    </row>
    <row r="25747">
      <c r="A25747" s="4" t="s">
        <v>32413</v>
      </c>
      <c r="B25747" s="4" t="s">
        <v>32414</v>
      </c>
      <c r="C25747" s="5" t="str">
        <f>IFERROR(__xludf.DUMMYFUNCTION("GOOGLETRANSLATE(B25747,""en"",""zh-CN"")"),"一个男人走进健身房，在体重前弯腰。")</f>
        <v>一个男人走进健身房，在体重前弯腰。</v>
      </c>
    </row>
    <row r="25748">
      <c r="A25748" s="4" t="s">
        <v>32413</v>
      </c>
      <c r="B25748" s="4" t="s">
        <v>32415</v>
      </c>
      <c r="C25748" s="5" t="str">
        <f>IFERROR(__xludf.DUMMYFUNCTION("GOOGLETRANSLATE(B25748,""en"",""zh-CN"")"),"该男子试图举重两次并掉下来。")</f>
        <v>该男子试图举重两次并掉下来。</v>
      </c>
    </row>
    <row r="25749">
      <c r="A25749" s="4" t="s">
        <v>32413</v>
      </c>
      <c r="B25749" s="4" t="s">
        <v>32416</v>
      </c>
      <c r="C25749" s="5" t="str">
        <f>IFERROR(__xludf.DUMMYFUNCTION("GOOGLETRANSLATE(B25749,""en"",""zh-CN"")"),"该男子举重三次，走开。")</f>
        <v>该男子举重三次，走开。</v>
      </c>
    </row>
    <row r="25750">
      <c r="A25750" s="4" t="s">
        <v>32413</v>
      </c>
      <c r="B25750" s="4" t="s">
        <v>32417</v>
      </c>
      <c r="C25750" s="5" t="str">
        <f>IFERROR(__xludf.DUMMYFUNCTION("GOOGLETRANSLATE(B25750,""en"",""zh-CN"")"),"该男子举重两次。")</f>
        <v>该男子举重两次。</v>
      </c>
    </row>
    <row r="25751">
      <c r="A25751" s="4" t="s">
        <v>32413</v>
      </c>
      <c r="B25751" s="4" t="s">
        <v>32418</v>
      </c>
      <c r="C25751" s="5" t="str">
        <f>IFERROR(__xludf.DUMMYFUNCTION("GOOGLETRANSLATE(B25751,""en"",""zh-CN"")"),"该男子举重三次，走开。")</f>
        <v>该男子举重三次，走开。</v>
      </c>
    </row>
    <row r="25752">
      <c r="A25752" s="4" t="s">
        <v>32413</v>
      </c>
      <c r="B25752" s="4" t="s">
        <v>32419</v>
      </c>
      <c r="C25752" s="5" t="str">
        <f>IFERROR(__xludf.DUMMYFUNCTION("GOOGLETRANSLATE(B25752,""en"",""zh-CN"")"),"该男子举重两个尖齿，并取下举重皮带。")</f>
        <v>该男子举重两个尖齿，并取下举重皮带。</v>
      </c>
    </row>
    <row r="25753">
      <c r="A25753" s="4" t="s">
        <v>32420</v>
      </c>
      <c r="B25753" s="4" t="s">
        <v>32421</v>
      </c>
      <c r="C25753" s="5" t="str">
        <f>IFERROR(__xludf.DUMMYFUNCTION("GOOGLETRANSLATE(B25753,""en"",""zh-CN"")"),"小女孩走出房间。")</f>
        <v>小女孩走出房间。</v>
      </c>
    </row>
    <row r="25754">
      <c r="A25754" s="4" t="s">
        <v>32420</v>
      </c>
      <c r="B25754" s="4" t="s">
        <v>32422</v>
      </c>
      <c r="C25754" s="5" t="str">
        <f>IFERROR(__xludf.DUMMYFUNCTION("GOOGLETRANSLATE(B25754,""en"",""zh-CN"")"),"男孩把瓶子放在床下，然后拿着它然后喝。")</f>
        <v>男孩把瓶子放在床下，然后拿着它然后喝。</v>
      </c>
    </row>
    <row r="25755">
      <c r="A25755" s="4" t="s">
        <v>32420</v>
      </c>
      <c r="B25755" s="4" t="s">
        <v>32423</v>
      </c>
      <c r="C25755" s="5" t="str">
        <f>IFERROR(__xludf.DUMMYFUNCTION("GOOGLETRANSLATE(B25755,""en"",""zh-CN"")"),"当女孩回到房间时，男孩回到床上，假装睡觉。")</f>
        <v>当女孩回到房间时，男孩回到床上，假装睡觉。</v>
      </c>
    </row>
    <row r="25756">
      <c r="A25756" s="4" t="s">
        <v>32424</v>
      </c>
      <c r="B25756" s="4" t="s">
        <v>32425</v>
      </c>
      <c r="C25756" s="5" t="str">
        <f>IFERROR(__xludf.DUMMYFUNCTION("GOOGLETRANSLATE(B25756,""en"",""zh-CN"")"),"看到一大批人在一个地区徘徊，一个女人跑过他们。")</f>
        <v>看到一大批人在一个地区徘徊，一个女人跑过他们。</v>
      </c>
    </row>
    <row r="25757">
      <c r="A25757" s="4" t="s">
        <v>32424</v>
      </c>
      <c r="B25757" s="4" t="s">
        <v>32426</v>
      </c>
      <c r="C25757" s="5" t="str">
        <f>IFERROR(__xludf.DUMMYFUNCTION("GOOGLETRANSLATE(B25757,""en"",""zh-CN"")"),"看到该名女子在镜头上说话，并继续在海滩地区奔跑。")</f>
        <v>看到该名女子在镜头上说话，并继续在海滩地区奔跑。</v>
      </c>
    </row>
    <row r="25758">
      <c r="A25758" s="4" t="s">
        <v>32424</v>
      </c>
      <c r="B25758" s="6" t="s">
        <v>32427</v>
      </c>
      <c r="C25758" s="5" t="str">
        <f>IFERROR(__xludf.DUMMYFUNCTION("GOOGLETRANSLATE(B25758,""en"",""zh-CN"")"),"她沿着木板路和过去的人奔跑，最后参加比赛并接受采访。")</f>
        <v>她沿着木板路和过去的人奔跑，最后参加比赛并接受采访。</v>
      </c>
    </row>
    <row r="25759">
      <c r="A25759" s="4" t="s">
        <v>32428</v>
      </c>
      <c r="B25759" s="4" t="s">
        <v>32429</v>
      </c>
      <c r="C25759" s="5" t="str">
        <f>IFERROR(__xludf.DUMMYFUNCTION("GOOGLETRANSLATE(B25759,""en"",""zh-CN"")"),"看到一个人的手在弹钢琴，使那个人摆脱了演奏。")</f>
        <v>看到一个人的手在弹钢琴，使那个人摆脱了演奏。</v>
      </c>
    </row>
    <row r="25760">
      <c r="A25760" s="4" t="s">
        <v>32428</v>
      </c>
      <c r="B25760" s="4" t="s">
        <v>32430</v>
      </c>
      <c r="C25760" s="5" t="str">
        <f>IFERROR(__xludf.DUMMYFUNCTION("GOOGLETRANSLATE(B25760,""en"",""zh-CN"")"),"当男人继续弹钢琴时，人们看到人们微笑着挥舞着相机。")</f>
        <v>当男人继续弹钢琴时，人们看到人们微笑着挥舞着相机。</v>
      </c>
    </row>
    <row r="25761">
      <c r="A25761" s="4" t="s">
        <v>32428</v>
      </c>
      <c r="B25761" s="4" t="s">
        <v>32431</v>
      </c>
      <c r="C25761" s="5" t="str">
        <f>IFERROR(__xludf.DUMMYFUNCTION("GOOGLETRANSLATE(B25761,""en"",""zh-CN"")"),"摄像机从弹钢琴以及唱歌到相机上捕捉到他。")</f>
        <v>摄像机从弹钢琴以及唱歌到相机上捕捉到他。</v>
      </c>
    </row>
    <row r="25762">
      <c r="A25762" s="4" t="s">
        <v>32432</v>
      </c>
      <c r="B25762" s="4" t="s">
        <v>32433</v>
      </c>
      <c r="C25762" s="5" t="str">
        <f>IFERROR(__xludf.DUMMYFUNCTION("GOOGLETRANSLATE(B25762,""en"",""zh-CN"")"),"一名穿着洋红色紧身连衣裤的体操运动员正在马吧表演。")</f>
        <v>一名穿着洋红色紧身连衣裤的体操运动员正在马吧表演。</v>
      </c>
    </row>
    <row r="25763">
      <c r="A25763" s="4" t="s">
        <v>32432</v>
      </c>
      <c r="B25763" s="4" t="s">
        <v>32434</v>
      </c>
      <c r="C25763" s="5" t="str">
        <f>IFERROR(__xludf.DUMMYFUNCTION("GOOGLETRANSLATE(B25763,""en"",""zh-CN"")"),"她对面有一个法官小组并评估她。")</f>
        <v>她对面有一个法官小组并评估她。</v>
      </c>
    </row>
    <row r="25764">
      <c r="A25764" s="4" t="s">
        <v>32432</v>
      </c>
      <c r="B25764" s="4" t="s">
        <v>32435</v>
      </c>
      <c r="C25764" s="5" t="str">
        <f>IFERROR(__xludf.DUMMYFUNCTION("GOOGLETRANSLATE(B25764,""en"",""zh-CN"")"),"她直立在酒吧上，扭曲和pummel。")</f>
        <v>她直立在酒吧上，扭曲和pummel。</v>
      </c>
    </row>
    <row r="25765">
      <c r="A25765" s="4" t="s">
        <v>32432</v>
      </c>
      <c r="B25765" s="4" t="s">
        <v>32436</v>
      </c>
      <c r="C25765" s="5" t="str">
        <f>IFERROR(__xludf.DUMMYFUNCTION("GOOGLETRANSLATE(B25765,""en"",""zh-CN"")"),"她继续成功地在马杆上进行前翻转。")</f>
        <v>她继续成功地在马杆上进行前翻转。</v>
      </c>
    </row>
    <row r="25766">
      <c r="A25766" s="4" t="s">
        <v>32432</v>
      </c>
      <c r="B25766" s="4" t="s">
        <v>32437</v>
      </c>
      <c r="C25766" s="5" t="str">
        <f>IFERROR(__xludf.DUMMYFUNCTION("GOOGLETRANSLATE(B25766,""en"",""zh-CN"")"),"她从马吧跳下来进行后退后，完成了自己的回合。")</f>
        <v>她从马吧跳下来进行后退后，完成了自己的回合。</v>
      </c>
    </row>
    <row r="25767">
      <c r="A25767" s="4" t="s">
        <v>32432</v>
      </c>
      <c r="B25767" s="4" t="s">
        <v>32438</v>
      </c>
      <c r="C25767" s="5" t="str">
        <f>IFERROR(__xludf.DUMMYFUNCTION("GOOGLETRANSLATE(B25767,""en"",""zh-CN"")"),"然后，体操运动员离开了表演区域。")</f>
        <v>然后，体操运动员离开了表演区域。</v>
      </c>
    </row>
    <row r="25768">
      <c r="A25768" s="4" t="s">
        <v>32439</v>
      </c>
      <c r="B25768" s="4" t="s">
        <v>32440</v>
      </c>
      <c r="C25768" s="5" t="str">
        <f>IFERROR(__xludf.DUMMYFUNCTION("GOOGLETRANSLATE(B25768,""en"",""zh-CN"")"),"显示了桥梁的几枪，还有一个标志，人们站在壁架上。")</f>
        <v>显示了桥梁的几枪，还有一个标志，人们站在壁架上。</v>
      </c>
    </row>
    <row r="25769">
      <c r="A25769" s="4" t="s">
        <v>32439</v>
      </c>
      <c r="B25769" s="4" t="s">
        <v>32441</v>
      </c>
      <c r="C25769" s="5" t="str">
        <f>IFERROR(__xludf.DUMMYFUNCTION("GOOGLETRANSLATE(B25769,""en"",""zh-CN"")"),"然后，有两个男人从桥的侧面跳下，并用腿向上摆动。")</f>
        <v>然后，有两个男人从桥的侧面跳下，并用腿向上摆动。</v>
      </c>
    </row>
    <row r="25770">
      <c r="A25770" s="4" t="s">
        <v>32442</v>
      </c>
      <c r="B25770" s="4" t="s">
        <v>32443</v>
      </c>
      <c r="C25770" s="5" t="str">
        <f>IFERROR(__xludf.DUMMYFUNCTION("GOOGLETRANSLATE(B25770,""en"",""zh-CN"")"),"看到一个男人在相机上说话，并导致锅里的水沸腾。")</f>
        <v>看到一个男人在相机上说话，并导致锅里的水沸腾。</v>
      </c>
    </row>
    <row r="25771">
      <c r="A25771" s="4" t="s">
        <v>32442</v>
      </c>
      <c r="B25771" s="4" t="s">
        <v>32444</v>
      </c>
      <c r="C25771" s="5" t="str">
        <f>IFERROR(__xludf.DUMMYFUNCTION("GOOGLETRANSLATE(B25771,""en"",""zh-CN"")"),"他咬了一口意大利面，结束于他仍然微笑着镜头。")</f>
        <v>他咬了一口意大利面，结束于他仍然微笑着镜头。</v>
      </c>
    </row>
    <row r="25772">
      <c r="A25772" s="4" t="s">
        <v>32445</v>
      </c>
      <c r="B25772" s="4" t="s">
        <v>32446</v>
      </c>
      <c r="C25772" s="5" t="str">
        <f>IFERROR(__xludf.DUMMYFUNCTION("GOOGLETRANSLATE(B25772,""en"",""zh-CN"")"),"看到沙发上的特写镜头随后是一个人走进框架的人。")</f>
        <v>看到沙发上的特写镜头随后是一个人走进框架的人。</v>
      </c>
    </row>
    <row r="25773">
      <c r="A25773" s="4" t="s">
        <v>32445</v>
      </c>
      <c r="B25773" s="4" t="s">
        <v>32447</v>
      </c>
      <c r="C25773" s="5" t="str">
        <f>IFERROR(__xludf.DUMMYFUNCTION("GOOGLETRANSLATE(B25773,""en"",""zh-CN"")"),"然后，该人坐下来，站起来。")</f>
        <v>然后，该人坐下来，站起来。</v>
      </c>
    </row>
    <row r="25774">
      <c r="A25774" s="4" t="s">
        <v>32445</v>
      </c>
      <c r="B25774" s="4" t="s">
        <v>32448</v>
      </c>
      <c r="C25774" s="5" t="str">
        <f>IFERROR(__xludf.DUMMYFUNCTION("GOOGLETRANSLATE(B25774,""en"",""zh-CN"")"),"然后，该人穿上一双鞋子，走出框架。")</f>
        <v>然后，该人穿上一双鞋子，走出框架。</v>
      </c>
    </row>
    <row r="25775">
      <c r="A25775" s="4" t="s">
        <v>32449</v>
      </c>
      <c r="B25775" s="4" t="s">
        <v>32450</v>
      </c>
      <c r="C25775" s="5" t="str">
        <f>IFERROR(__xludf.DUMMYFUNCTION("GOOGLETRANSLATE(B25775,""en"",""zh-CN"")"),"一个穿着黑色衬衫的男人坐着，在黑色背景前弹吉他。")</f>
        <v>一个穿着黑色衬衫的男人坐着，在黑色背景前弹吉他。</v>
      </c>
    </row>
    <row r="25776">
      <c r="A25776" s="4" t="s">
        <v>32449</v>
      </c>
      <c r="B25776" s="4" t="s">
        <v>32451</v>
      </c>
      <c r="C25776" s="5" t="str">
        <f>IFERROR(__xludf.DUMMYFUNCTION("GOOGLETRANSLATE(B25776,""en"",""zh-CN"")"),"最初，他开始慢慢弹吉他以找到适当的节奏。")</f>
        <v>最初，他开始慢慢弹吉他以找到适当的节奏。</v>
      </c>
    </row>
    <row r="25777">
      <c r="A25777" s="4" t="s">
        <v>32449</v>
      </c>
      <c r="B25777" s="4" t="s">
        <v>32452</v>
      </c>
      <c r="C25777" s="5" t="str">
        <f>IFERROR(__xludf.DUMMYFUNCTION("GOOGLETRANSLATE(B25777,""en"",""zh-CN"")"),"比他开始越来越快地播放音符。")</f>
        <v>比他开始越来越快地播放音符。</v>
      </c>
    </row>
    <row r="25778">
      <c r="A25778" s="4" t="s">
        <v>32449</v>
      </c>
      <c r="B25778" s="4" t="s">
        <v>32453</v>
      </c>
      <c r="C25778" s="5" t="str">
        <f>IFERROR(__xludf.DUMMYFUNCTION("GOOGLETRANSLATE(B25778,""en"",""zh-CN"")"),"最后，他看着吉他，并在播放这首歌时调整了手指。")</f>
        <v>最后，他看着吉他，并在播放这首歌时调整了手指。</v>
      </c>
    </row>
    <row r="25779">
      <c r="A25779" s="4" t="s">
        <v>32454</v>
      </c>
      <c r="B25779" s="4" t="s">
        <v>32455</v>
      </c>
      <c r="C25779" s="5" t="str">
        <f>IFERROR(__xludf.DUMMYFUNCTION("GOOGLETRANSLATE(B25779,""en"",""zh-CN"")"),"我们看到人们将电子设备放在桌上足球桌上。")</f>
        <v>我们看到人们将电子设备放在桌上足球桌上。</v>
      </c>
    </row>
    <row r="25780">
      <c r="A25780" s="4" t="s">
        <v>32454</v>
      </c>
      <c r="B25780" s="4" t="s">
        <v>32456</v>
      </c>
      <c r="C25780" s="5" t="str">
        <f>IFERROR(__xludf.DUMMYFUNCTION("GOOGLETRANSLATE(B25780,""en"",""zh-CN"")"),"我们看到酒吧在移动，然后看到两个人坐在桌子旁。")</f>
        <v>我们看到酒吧在移动，然后看到两个人坐在桌子旁。</v>
      </c>
    </row>
    <row r="25781">
      <c r="A25781" s="4" t="s">
        <v>32454</v>
      </c>
      <c r="B25781" s="4" t="s">
        <v>32457</v>
      </c>
      <c r="C25781" s="5" t="str">
        <f>IFERROR(__xludf.DUMMYFUNCTION("GOOGLETRANSLATE(B25781,""en"",""zh-CN"")"),"我们看到一群人在一个狭窄的房间里打桌。")</f>
        <v>我们看到一群人在一个狭窄的房间里打桌。</v>
      </c>
    </row>
    <row r="25782">
      <c r="A25782" s="4" t="s">
        <v>32458</v>
      </c>
      <c r="B25782" s="4" t="s">
        <v>32459</v>
      </c>
      <c r="C25782" s="5" t="str">
        <f>IFERROR(__xludf.DUMMYFUNCTION("GOOGLETRANSLATE(B25782,""en"",""zh-CN"")"),"一大批人站在桥上。")</f>
        <v>一大批人站在桥上。</v>
      </c>
    </row>
    <row r="25783">
      <c r="A25783" s="4" t="s">
        <v>32458</v>
      </c>
      <c r="B25783" s="4" t="s">
        <v>32460</v>
      </c>
      <c r="C25783" s="5" t="str">
        <f>IFERROR(__xludf.DUMMYFUNCTION("GOOGLETRANSLATE(B25783,""en"",""zh-CN"")"),"他们正在寻找下面的快速水域。")</f>
        <v>他们正在寻找下面的快速水域。</v>
      </c>
    </row>
    <row r="25784">
      <c r="A25784" s="4" t="s">
        <v>32458</v>
      </c>
      <c r="B25784" s="4" t="s">
        <v>32461</v>
      </c>
      <c r="C25784" s="5" t="str">
        <f>IFERROR(__xludf.DUMMYFUNCTION("GOOGLETRANSLATE(B25784,""en"",""zh-CN"")"),"独木舟上的几个人穿过桥梁，这是终点线。")</f>
        <v>独木舟上的几个人穿过桥梁，这是终点线。</v>
      </c>
    </row>
    <row r="25785">
      <c r="A25785" s="4" t="s">
        <v>32462</v>
      </c>
      <c r="B25785" s="4" t="s">
        <v>32463</v>
      </c>
      <c r="C25785" s="5" t="str">
        <f>IFERROR(__xludf.DUMMYFUNCTION("GOOGLETRANSLATE(B25785,""en"",""zh-CN"")"),"穿着比基尼的模特打开了现场，并在i-pad屏幕后面讲话。")</f>
        <v>穿着比基尼的模特打开了现场，并在i-pad屏幕后面讲话。</v>
      </c>
    </row>
    <row r="25786">
      <c r="A25786" s="4" t="s">
        <v>32462</v>
      </c>
      <c r="B25786" s="4" t="s">
        <v>32464</v>
      </c>
      <c r="C25786" s="5" t="str">
        <f>IFERROR(__xludf.DUMMYFUNCTION("GOOGLETRANSLATE(B25786,""en"",""zh-CN"")"),"一顿饭在煎锅中煮熟。")</f>
        <v>一顿饭在煎锅中煮熟。</v>
      </c>
    </row>
    <row r="25787">
      <c r="A25787" s="4" t="s">
        <v>32462</v>
      </c>
      <c r="B25787" s="4" t="s">
        <v>32465</v>
      </c>
      <c r="C25787" s="5" t="str">
        <f>IFERROR(__xludf.DUMMYFUNCTION("GOOGLETRANSLATE(B25787,""en"",""zh-CN"")"),"人们骑船钓鱼。")</f>
        <v>人们骑船钓鱼。</v>
      </c>
    </row>
    <row r="25788">
      <c r="A25788" s="4" t="s">
        <v>32462</v>
      </c>
      <c r="B25788" s="4" t="s">
        <v>32466</v>
      </c>
      <c r="C25788" s="5" t="str">
        <f>IFERROR(__xludf.DUMMYFUNCTION("GOOGLETRANSLATE(B25788,""en"",""zh-CN"")"),"冲浪者在海洋中骑大海浪。")</f>
        <v>冲浪者在海洋中骑大海浪。</v>
      </c>
    </row>
    <row r="25789">
      <c r="A25789" s="4" t="s">
        <v>32462</v>
      </c>
      <c r="B25789" s="4" t="s">
        <v>32467</v>
      </c>
      <c r="C25789" s="5" t="str">
        <f>IFERROR(__xludf.DUMMYFUNCTION("GOOGLETRANSLATE(B25789,""en"",""zh-CN"")"),"摩托艇将冲浪者拉向海洋中的海浪。")</f>
        <v>摩托艇将冲浪者拉向海洋中的海浪。</v>
      </c>
    </row>
    <row r="25790">
      <c r="A25790" s="4" t="s">
        <v>32468</v>
      </c>
      <c r="B25790" s="4" t="s">
        <v>32469</v>
      </c>
      <c r="C25790" s="5" t="str">
        <f>IFERROR(__xludf.DUMMYFUNCTION("GOOGLETRANSLATE(B25790,""en"",""zh-CN"")"),"我们看到一群在海上比赛中的划船者。")</f>
        <v>我们看到一群在海上比赛中的划船者。</v>
      </c>
    </row>
    <row r="25791">
      <c r="A25791" s="4" t="s">
        <v>32468</v>
      </c>
      <c r="B25791" s="4" t="s">
        <v>32470</v>
      </c>
      <c r="C25791" s="5" t="str">
        <f>IFERROR(__xludf.DUMMYFUNCTION("GOOGLETRANSLATE(B25791,""en"",""zh-CN"")"),"我们看到比赛的开始，划船者起飞。")</f>
        <v>我们看到比赛的开始，划船者起飞。</v>
      </c>
    </row>
    <row r="25792">
      <c r="A25792" s="4" t="s">
        <v>32468</v>
      </c>
      <c r="B25792" s="4" t="s">
        <v>32471</v>
      </c>
      <c r="C25792" s="5" t="str">
        <f>IFERROR(__xludf.DUMMYFUNCTION("GOOGLETRANSLATE(B25792,""en"",""zh-CN"")"),"他们经过水中的一条小船。")</f>
        <v>他们经过水中的一条小船。</v>
      </c>
    </row>
    <row r="25793">
      <c r="A25793" s="4" t="s">
        <v>32468</v>
      </c>
      <c r="B25793" s="4" t="s">
        <v>32472</v>
      </c>
      <c r="C25793" s="5" t="str">
        <f>IFERROR(__xludf.DUMMYFUNCTION("GOOGLETRANSLATE(B25793,""en"",""zh-CN"")"),"我们看到一支球队近距离。")</f>
        <v>我们看到一支球队近距离。</v>
      </c>
    </row>
    <row r="25794">
      <c r="A25794" s="4" t="s">
        <v>32468</v>
      </c>
      <c r="B25794" s="4" t="s">
        <v>32473</v>
      </c>
      <c r="C25794" s="5" t="str">
        <f>IFERROR(__xludf.DUMMYFUNCTION("GOOGLETRANSLATE(B25794,""en"",""zh-CN"")"),"我们在屏幕上看到一个分数板。")</f>
        <v>我们在屏幕上看到一个分数板。</v>
      </c>
    </row>
    <row r="25795">
      <c r="A25795" s="4" t="s">
        <v>32468</v>
      </c>
      <c r="B25795" s="4" t="s">
        <v>32474</v>
      </c>
      <c r="C25795" s="5" t="str">
        <f>IFERROR(__xludf.DUMMYFUNCTION("GOOGLETRANSLATE(B25795,""en"",""zh-CN"")"),"赛车手通过横幅，我们再次看到绿色团队。")</f>
        <v>赛车手通过横幅，我们再次看到绿色团队。</v>
      </c>
    </row>
    <row r="25796">
      <c r="A25796" s="4" t="s">
        <v>32468</v>
      </c>
      <c r="B25796" s="4" t="s">
        <v>32475</v>
      </c>
      <c r="C25796" s="5" t="str">
        <f>IFERROR(__xludf.DUMMYFUNCTION("GOOGLETRANSLATE(B25796,""en"",""zh-CN"")"),"比赛结束了，我们看到人群鼓掌。")</f>
        <v>比赛结束了，我们看到人群鼓掌。</v>
      </c>
    </row>
    <row r="25797">
      <c r="A25797" s="4" t="s">
        <v>32468</v>
      </c>
      <c r="B25797" s="4" t="s">
        <v>32476</v>
      </c>
      <c r="C25797" s="5" t="str">
        <f>IFERROR(__xludf.DUMMYFUNCTION("GOOGLETRANSLATE(B25797,""en"",""zh-CN"")"),"我们看到了最终成绩，场景结束了。")</f>
        <v>我们看到了最终成绩，场景结束了。</v>
      </c>
    </row>
    <row r="25798">
      <c r="A25798" s="4" t="s">
        <v>32477</v>
      </c>
      <c r="B25798" s="6" t="s">
        <v>32478</v>
      </c>
      <c r="C25798" s="5" t="str">
        <f>IFERROR(__xludf.DUMMYFUNCTION("GOOGLETRANSLATE(B25798,""en"",""zh-CN"")"),"看到一名妇女与一个男人一起举办新闻节，并导致一个人带出狗并抚摸狗。")</f>
        <v>看到一名妇女与一个男人一起举办新闻节，并导致一个人带出狗并抚摸狗。</v>
      </c>
    </row>
    <row r="25799">
      <c r="A25799" s="4" t="s">
        <v>32477</v>
      </c>
      <c r="B25799" s="6" t="s">
        <v>32479</v>
      </c>
      <c r="C25799" s="5" t="str">
        <f>IFERROR(__xludf.DUMMYFUNCTION("GOOGLETRANSLATE(B25799,""en"",""zh-CN"")"),"然后，该男子演示了在主人继续讲话并宠爱狗时如何正确修饰狗。")</f>
        <v>然后，该男子演示了在主人继续讲话并宠爱狗时如何正确修饰狗。</v>
      </c>
    </row>
    <row r="25800">
      <c r="A25800" s="4" t="s">
        <v>32480</v>
      </c>
      <c r="B25800" s="4" t="s">
        <v>32481</v>
      </c>
      <c r="C25800" s="5" t="str">
        <f>IFERROR(__xludf.DUMMYFUNCTION("GOOGLETRANSLATE(B25800,""en"",""zh-CN"")"),"看到一个男人在船后的水上挥舞着骑着水。")</f>
        <v>看到一个男人在船后的水上挥舞着骑着水。</v>
      </c>
    </row>
    <row r="25801">
      <c r="A25801" s="4" t="s">
        <v>32480</v>
      </c>
      <c r="B25801" s="4" t="s">
        <v>32482</v>
      </c>
      <c r="C25801" s="5" t="str">
        <f>IFERROR(__xludf.DUMMYFUNCTION("GOOGLETRANSLATE(B25801,""en"",""zh-CN"")"),"该男子在几个剪辑中显示出一个用摄像机的技巧，这会影响他的动作。")</f>
        <v>该男子在几个剪辑中显示出一个用摄像机的技巧，这会影响他的动作。</v>
      </c>
    </row>
    <row r="25802">
      <c r="A25802" s="4" t="s">
        <v>32480</v>
      </c>
      <c r="B25802" s="4" t="s">
        <v>32483</v>
      </c>
      <c r="C25802" s="5" t="str">
        <f>IFERROR(__xludf.DUMMYFUNCTION("GOOGLETRANSLATE(B25802,""en"",""zh-CN"")"),"该男子继续在董事会上骑行，而文字似乎给出了指示。")</f>
        <v>该男子继续在董事会上骑行，而文字似乎给出了指示。</v>
      </c>
    </row>
    <row r="25803">
      <c r="A25803" s="4" t="s">
        <v>32484</v>
      </c>
      <c r="B25803" s="4" t="s">
        <v>32485</v>
      </c>
      <c r="C25803" s="5" t="str">
        <f>IFERROR(__xludf.DUMMYFUNCTION("GOOGLETRANSLATE(B25803,""en"",""zh-CN"")"),"有一个大型体育馆，三个体操运动员正在表演体操。")</f>
        <v>有一个大型体育馆，三个体操运动员正在表演体操。</v>
      </c>
    </row>
    <row r="25804">
      <c r="A25804" s="4" t="s">
        <v>32484</v>
      </c>
      <c r="B25804" s="6" t="s">
        <v>32486</v>
      </c>
      <c r="C25804" s="5" t="str">
        <f>IFERROR(__xludf.DUMMYFUNCTION("GOOGLETRANSLATE(B25804,""en"",""zh-CN"")"),"橙色紧身连衣裤上有一名体操运动员在杆上摇摆，他旁边的另一个体操运动员也在酒吧摇摆。")</f>
        <v>橙色紧身连衣裤上有一名体操运动员在杆上摇摆，他旁边的另一个体操运动员也在酒吧摇摆。</v>
      </c>
    </row>
    <row r="25805">
      <c r="A25805" s="4" t="s">
        <v>32484</v>
      </c>
      <c r="B25805" s="6" t="s">
        <v>32487</v>
      </c>
      <c r="C25805" s="5" t="str">
        <f>IFERROR(__xludf.DUMMYFUNCTION("GOOGLETRANSLATE(B25805,""en"",""zh-CN"")"),"他们俩都颠倒过来，站在手上几秒钟，然后向下摆动。")</f>
        <v>他们俩都颠倒过来，站在手上几秒钟，然后向下摆动。</v>
      </c>
    </row>
    <row r="25806">
      <c r="A25806" s="4" t="s">
        <v>32484</v>
      </c>
      <c r="B25806" s="4" t="s">
        <v>32488</v>
      </c>
      <c r="C25806" s="5" t="str">
        <f>IFERROR(__xludf.DUMMYFUNCTION("GOOGLETRANSLATE(B25806,""en"",""zh-CN"")"),"第三名体操运动员在他们后面表演，进行前后翻转。")</f>
        <v>第三名体操运动员在他们后面表演，进行前后翻转。</v>
      </c>
    </row>
    <row r="25807">
      <c r="A25807" s="4" t="s">
        <v>32484</v>
      </c>
      <c r="B25807" s="6" t="s">
        <v>32489</v>
      </c>
      <c r="C25807" s="5" t="str">
        <f>IFERROR(__xludf.DUMMYFUNCTION("GOOGLETRANSLATE(B25807,""en"",""zh-CN"")"),"橙色紧身连衣裤中的体操运动员进行了另一个前摆动，然后从酒吧下车走开。")</f>
        <v>橙色紧身连衣裤中的体操运动员进行了另一个前摆动，然后从酒吧下车走开。</v>
      </c>
    </row>
    <row r="25808">
      <c r="A25808" s="4" t="s">
        <v>32490</v>
      </c>
      <c r="B25808" s="4" t="s">
        <v>32491</v>
      </c>
      <c r="C25808" s="5" t="str">
        <f>IFERROR(__xludf.DUMMYFUNCTION("GOOGLETRANSLATE(B25808,""en"",""zh-CN"")"),"一个黑色的女性在她的头上有黑色围巾的房间中显示。")</f>
        <v>一个黑色的女性在她的头上有黑色围巾的房间中显示。</v>
      </c>
    </row>
    <row r="25809">
      <c r="A25809" s="4" t="s">
        <v>32490</v>
      </c>
      <c r="B25809" s="4" t="s">
        <v>32492</v>
      </c>
      <c r="C25809" s="5" t="str">
        <f>IFERROR(__xludf.DUMMYFUNCTION("GOOGLETRANSLATE(B25809,""en"",""zh-CN"")"),"然后将她面对的黑点放​​大，然后开始在上面涂抹一些东西。")</f>
        <v>然后将她面对的黑点放​​大，然后开始在上面涂抹一些东西。</v>
      </c>
    </row>
    <row r="25810">
      <c r="A25810" s="4" t="s">
        <v>32490</v>
      </c>
      <c r="B25810" s="6" t="s">
        <v>32493</v>
      </c>
      <c r="C25810" s="5" t="str">
        <f>IFERROR(__xludf.DUMMYFUNCTION("GOOGLETRANSLATE(B25810,""en"",""zh-CN"")"),"接下来，她喷了一些喷雾剂，这使她的皮肤非常油腻，直到视频结束为止。")</f>
        <v>接下来，她喷了一些喷雾剂，这使她的皮肤非常油腻，直到视频结束为止。</v>
      </c>
    </row>
    <row r="25811">
      <c r="A25811" s="4" t="s">
        <v>32494</v>
      </c>
      <c r="B25811" s="4" t="s">
        <v>32495</v>
      </c>
      <c r="C25811" s="5" t="str">
        <f>IFERROR(__xludf.DUMMYFUNCTION("GOOGLETRANSLATE(B25811,""en"",""zh-CN"")"),"我们看到一棵树有叶子在吹着。")</f>
        <v>我们看到一棵树有叶子在吹着。</v>
      </c>
    </row>
    <row r="25812">
      <c r="A25812" s="4" t="s">
        <v>32494</v>
      </c>
      <c r="B25812" s="4" t="s">
        <v>32496</v>
      </c>
      <c r="C25812" s="5" t="str">
        <f>IFERROR(__xludf.DUMMYFUNCTION("GOOGLETRANSLATE(B25812,""en"",""zh-CN"")"),"一个人耙开院子，和相机交谈。")</f>
        <v>一个人耙开院子，和相机交谈。</v>
      </c>
    </row>
    <row r="25813">
      <c r="A25813" s="4" t="s">
        <v>32494</v>
      </c>
      <c r="B25813" s="4" t="s">
        <v>32497</v>
      </c>
      <c r="C25813" s="5" t="str">
        <f>IFERROR(__xludf.DUMMYFUNCTION("GOOGLETRANSLATE(B25813,""en"",""zh-CN"")"),"该男子选择了四个耙子。")</f>
        <v>该男子选择了四个耙子。</v>
      </c>
    </row>
    <row r="25814">
      <c r="A25814" s="4" t="s">
        <v>32494</v>
      </c>
      <c r="B25814" s="4" t="s">
        <v>32498</v>
      </c>
      <c r="C25814" s="5" t="str">
        <f>IFERROR(__xludf.DUMMYFUNCTION("GOOGLETRANSLATE(B25814,""en"",""zh-CN"")"),"那个男人在垃圾里扔了一些草。")</f>
        <v>那个男人在垃圾里扔了一些草。</v>
      </c>
    </row>
    <row r="25815">
      <c r="A25815" s="4" t="s">
        <v>32494</v>
      </c>
      <c r="B25815" s="4" t="s">
        <v>32499</v>
      </c>
      <c r="C25815" s="5" t="str">
        <f>IFERROR(__xludf.DUMMYFUNCTION("GOOGLETRANSLATE(B25815,""en"",""zh-CN"")"),"该男子捡起来，闻到带叶的树枝的气味。")</f>
        <v>该男子捡起来，闻到带叶的树枝的气味。</v>
      </c>
    </row>
    <row r="25816">
      <c r="A25816" s="4" t="s">
        <v>32494</v>
      </c>
      <c r="B25816" s="4" t="s">
        <v>32500</v>
      </c>
      <c r="C25816" s="5" t="str">
        <f>IFERROR(__xludf.DUMMYFUNCTION("GOOGLETRANSLATE(B25816,""en"",""zh-CN"")"),"那个男人把耙子扔进院子里。")</f>
        <v>那个男人把耙子扔进院子里。</v>
      </c>
    </row>
    <row r="25817">
      <c r="A25817" s="4" t="s">
        <v>32494</v>
      </c>
      <c r="B25817" s="4" t="s">
        <v>32501</v>
      </c>
      <c r="C25817" s="5" t="str">
        <f>IFERROR(__xludf.DUMMYFUNCTION("GOOGLETRANSLATE(B25817,""en"",""zh-CN"")"),"该男子洒在院子里，将它们耙起来。")</f>
        <v>该男子洒在院子里，将它们耙起来。</v>
      </c>
    </row>
    <row r="25818">
      <c r="A25818" s="4" t="s">
        <v>32494</v>
      </c>
      <c r="B25818" s="4" t="s">
        <v>32502</v>
      </c>
      <c r="C25818" s="5" t="str">
        <f>IFERROR(__xludf.DUMMYFUNCTION("GOOGLETRANSLATE(B25818,""en"",""zh-CN"")"),"然后，我们再次看到树枝，再次离开。")</f>
        <v>然后，我们再次看到树枝，再次离开。</v>
      </c>
    </row>
    <row r="25819">
      <c r="A25819" s="4" t="s">
        <v>32503</v>
      </c>
      <c r="B25819" s="4" t="s">
        <v>32504</v>
      </c>
      <c r="C25819" s="5" t="str">
        <f>IFERROR(__xludf.DUMMYFUNCTION("GOOGLETRANSLATE(B25819,""en"",""zh-CN"")"),"一名男工人走到大象。")</f>
        <v>一名男工人走到大象。</v>
      </c>
    </row>
    <row r="25820">
      <c r="A25820" s="4" t="s">
        <v>32503</v>
      </c>
      <c r="B25820" s="4" t="s">
        <v>32505</v>
      </c>
      <c r="C25820" s="5" t="str">
        <f>IFERROR(__xludf.DUMMYFUNCTION("GOOGLETRANSLATE(B25820,""en"",""zh-CN"")"),"他给大象飞镖。")</f>
        <v>他给大象飞镖。</v>
      </c>
    </row>
    <row r="25821">
      <c r="A25821" s="4" t="s">
        <v>32503</v>
      </c>
      <c r="B25821" s="4" t="s">
        <v>32506</v>
      </c>
      <c r="C25821" s="5" t="str">
        <f>IFERROR(__xludf.DUMMYFUNCTION("GOOGLETRANSLATE(B25821,""en"",""zh-CN"")"),"大象和一个女人轮流向目标投掷飞镖。")</f>
        <v>大象和一个女人轮流向目标投掷飞镖。</v>
      </c>
    </row>
    <row r="25822">
      <c r="A25822" s="4" t="s">
        <v>32507</v>
      </c>
      <c r="B25822" s="4" t="s">
        <v>32508</v>
      </c>
      <c r="C25822" s="5" t="str">
        <f>IFERROR(__xludf.DUMMYFUNCTION("GOOGLETRANSLATE(B25822,""en"",""zh-CN"")"),"看到一个年轻人坐在游泳池的底部。")</f>
        <v>看到一个年轻人坐在游泳池的底部。</v>
      </c>
    </row>
    <row r="25823">
      <c r="A25823" s="4" t="s">
        <v>32507</v>
      </c>
      <c r="B25823" s="4" t="s">
        <v>32509</v>
      </c>
      <c r="C25823" s="5" t="str">
        <f>IFERROR(__xludf.DUMMYFUNCTION("GOOGLETRANSLATE(B25823,""en"",""zh-CN"")"),"他在微笑时开始靠近相机。")</f>
        <v>他在微笑时开始靠近相机。</v>
      </c>
    </row>
    <row r="25824">
      <c r="A25824" s="4" t="s">
        <v>32507</v>
      </c>
      <c r="B25824" s="4" t="s">
        <v>32510</v>
      </c>
      <c r="C25824" s="5" t="str">
        <f>IFERROR(__xludf.DUMMYFUNCTION("GOOGLETRANSLATE(B25824,""en"",""zh-CN"")"),"然后，他撞到墙壁上，向上移动。")</f>
        <v>然后，他撞到墙壁上，向上移动。</v>
      </c>
    </row>
    <row r="25825">
      <c r="A25825" s="4" t="s">
        <v>32511</v>
      </c>
      <c r="B25825" s="4" t="s">
        <v>32512</v>
      </c>
      <c r="C25825" s="5" t="str">
        <f>IFERROR(__xludf.DUMMYFUNCTION("GOOGLETRANSLATE(B25825,""en"",""zh-CN"")"),"显示了各种海洋的镜头以及沿着水的船只。")</f>
        <v>显示了各种海洋的镜头以及沿着水的船只。</v>
      </c>
    </row>
    <row r="25826">
      <c r="A25826" s="4" t="s">
        <v>32511</v>
      </c>
      <c r="B25826" s="4" t="s">
        <v>32513</v>
      </c>
      <c r="C25826" s="5" t="str">
        <f>IFERROR(__xludf.DUMMYFUNCTION("GOOGLETRANSLATE(B25826,""en"",""zh-CN"")"),"人们看到人们躺在海滩上，彼此交谈并在船后骑行。")</f>
        <v>人们看到人们躺在海滩上，彼此交谈并在船后骑行。</v>
      </c>
    </row>
    <row r="25827">
      <c r="A25827" s="4" t="s">
        <v>32511</v>
      </c>
      <c r="B25827" s="4" t="s">
        <v>32514</v>
      </c>
      <c r="C25827" s="5" t="str">
        <f>IFERROR(__xludf.DUMMYFUNCTION("GOOGLETRANSLATE(B25827,""en"",""zh-CN"")"),"人们看到了近距离的鱼，就像骑着水一起冲浪的人一样。")</f>
        <v>人们看到了近距离的鱼，就像骑着水一起冲浪的人一样。</v>
      </c>
    </row>
    <row r="25828">
      <c r="A25828" s="4" t="s">
        <v>32515</v>
      </c>
      <c r="B25828" s="4" t="s">
        <v>32516</v>
      </c>
      <c r="C25828" s="5" t="str">
        <f>IFERROR(__xludf.DUMMYFUNCTION("GOOGLETRANSLATE(B25828,""en"",""zh-CN"")"),"运动员在一个充满人的体育场中成功地表现跳高。")</f>
        <v>运动员在一个充满人的体育场中成功地表现跳高。</v>
      </c>
    </row>
    <row r="25829">
      <c r="A25829" s="4" t="s">
        <v>32515</v>
      </c>
      <c r="B25829" s="4" t="s">
        <v>32517</v>
      </c>
      <c r="C25829" s="5" t="str">
        <f>IFERROR(__xludf.DUMMYFUNCTION("GOOGLETRANSLATE(B25829,""en"",""zh-CN"")"),"运动员跳跃，但触摸水平杆。")</f>
        <v>运动员跳跃，但触摸水平杆。</v>
      </c>
    </row>
    <row r="25830">
      <c r="A25830" s="4" t="s">
        <v>32515</v>
      </c>
      <c r="B25830" s="4" t="s">
        <v>32518</v>
      </c>
      <c r="C25830" s="5" t="str">
        <f>IFERROR(__xludf.DUMMYFUNCTION("GOOGLETRANSLATE(B25830,""en"",""zh-CN"")"),"其他运动员在乌鸦队的比赛中表现跳高。")</f>
        <v>其他运动员在乌鸦队的比赛中表现跳高。</v>
      </c>
    </row>
    <row r="25831">
      <c r="A25831" s="4" t="s">
        <v>32519</v>
      </c>
      <c r="B25831" s="4" t="s">
        <v>32520</v>
      </c>
      <c r="C25831" s="5" t="str">
        <f>IFERROR(__xludf.DUMMYFUNCTION("GOOGLETRANSLATE(B25831,""en"",""zh-CN"")"),"一个女人正在将马走到田野上。")</f>
        <v>一个女人正在将马走到田野上。</v>
      </c>
    </row>
    <row r="25832">
      <c r="A25832" s="4" t="s">
        <v>32519</v>
      </c>
      <c r="B25832" s="4" t="s">
        <v>32521</v>
      </c>
      <c r="C25832" s="5" t="str">
        <f>IFERROR(__xludf.DUMMYFUNCTION("GOOGLETRANSLATE(B25832,""en"",""zh-CN"")"),"马尾巴被编织回，她穿着粉红色。")</f>
        <v>马尾巴被编织回，她穿着粉红色。</v>
      </c>
    </row>
    <row r="25833">
      <c r="A25833" s="4" t="s">
        <v>32519</v>
      </c>
      <c r="B25833" s="4" t="s">
        <v>32522</v>
      </c>
      <c r="C25833" s="5" t="str">
        <f>IFERROR(__xludf.DUMMYFUNCTION("GOOGLETRANSLATE(B25833,""en"",""zh-CN"")"),"那位女士骑着马，骑着球骑着球。")</f>
        <v>那位女士骑着马，骑着球骑着球。</v>
      </c>
    </row>
    <row r="25834">
      <c r="A25834" s="4" t="s">
        <v>32519</v>
      </c>
      <c r="B25834" s="4" t="s">
        <v>32523</v>
      </c>
      <c r="C25834" s="5" t="str">
        <f>IFERROR(__xludf.DUMMYFUNCTION("GOOGLETRANSLATE(B25834,""en"",""zh-CN"")"),"当马在沙滩上骑行时，马的尾巴不再是编织的。")</f>
        <v>当马在沙滩上骑行时，马的尾巴不再是编织的。</v>
      </c>
    </row>
    <row r="25835">
      <c r="A25835" s="4" t="s">
        <v>32524</v>
      </c>
      <c r="B25835" s="6" t="s">
        <v>32525</v>
      </c>
      <c r="C25835" s="5" t="str">
        <f>IFERROR(__xludf.DUMMYFUNCTION("GOOGLETRANSLATE(B25835,""en"",""zh-CN"")"),"在出现徽标之前，三名妇女坐在桌子编织围巾和帽子后面的房间里。")</f>
        <v>在出现徽标之前，三名妇女坐在桌子编织围巾和帽子后面的房间里。</v>
      </c>
    </row>
    <row r="25836">
      <c r="A25836" s="4" t="s">
        <v>32524</v>
      </c>
      <c r="B25836" s="4" t="s">
        <v>32526</v>
      </c>
      <c r="C25836" s="5" t="str">
        <f>IFERROR(__xludf.DUMMYFUNCTION("GOOGLETRANSLATE(B25836,""en"",""zh-CN"")"),"他们都重新出现，并在讲话时开始编织紫色围巾。")</f>
        <v>他们都重新出现，并在讲话时开始编织紫色围巾。</v>
      </c>
    </row>
    <row r="25837">
      <c r="A25837" s="4" t="s">
        <v>32524</v>
      </c>
      <c r="B25837" s="4" t="s">
        <v>32527</v>
      </c>
      <c r="C25837" s="5" t="str">
        <f>IFERROR(__xludf.DUMMYFUNCTION("GOOGLETRANSLATE(B25837,""en"",""zh-CN"")"),"接下来，每位女士开始谈论并展示他们为谁制作特殊服装的照片。")</f>
        <v>接下来，每位女士开始谈论并展示他们为谁制作特殊服装的照片。</v>
      </c>
    </row>
    <row r="25838">
      <c r="A25838" s="4" t="s">
        <v>32528</v>
      </c>
      <c r="B25838" s="4" t="s">
        <v>32529</v>
      </c>
      <c r="C25838" s="5" t="str">
        <f>IFERROR(__xludf.DUMMYFUNCTION("GOOGLETRANSLATE(B25838,""en"",""zh-CN"")"),"光着膀子的男人正在仰卧起来。")</f>
        <v>光着膀子的男人正在仰卧起来。</v>
      </c>
    </row>
    <row r="25839">
      <c r="A25839" s="4" t="s">
        <v>32528</v>
      </c>
      <c r="B25839" s="4" t="s">
        <v>32530</v>
      </c>
      <c r="C25839" s="5" t="str">
        <f>IFERROR(__xludf.DUMMYFUNCTION("GOOGLETRANSLATE(B25839,""en"",""zh-CN"")"),"当她的双腿在机器上时，女人正在仰卧起来。")</f>
        <v>当她的双腿在机器上时，女人正在仰卧起来。</v>
      </c>
    </row>
    <row r="25840">
      <c r="A25840" s="4" t="s">
        <v>32528</v>
      </c>
      <c r="B25840" s="4" t="s">
        <v>32531</v>
      </c>
      <c r="C25840" s="5" t="str">
        <f>IFERROR(__xludf.DUMMYFUNCTION("GOOGLETRANSLATE(B25840,""en"",""zh-CN"")"),"那个女人仰卧起着男人的脚。")</f>
        <v>那个女人仰卧起着男人的脚。</v>
      </c>
    </row>
    <row r="25841">
      <c r="A25841" s="4" t="s">
        <v>32528</v>
      </c>
      <c r="B25841" s="4" t="s">
        <v>32532</v>
      </c>
      <c r="C25841" s="5" t="str">
        <f>IFERROR(__xludf.DUMMYFUNCTION("GOOGLETRANSLATE(B25841,""en"",""zh-CN"")"),"该男子在腿下面有大瑜伽球时移动双腿。")</f>
        <v>该男子在腿下面有大瑜伽球时移动双腿。</v>
      </c>
    </row>
    <row r="25842">
      <c r="A25842" s="4" t="s">
        <v>32533</v>
      </c>
      <c r="B25842" s="4" t="s">
        <v>32534</v>
      </c>
      <c r="C25842" s="5" t="str">
        <f>IFERROR(__xludf.DUMMYFUNCTION("GOOGLETRANSLATE(B25842,""en"",""zh-CN"")"),"两名骑自行车的人正在沿着粗糙的地形骑自行车。")</f>
        <v>两名骑自行车的人正在沿着粗糙的地形骑自行车。</v>
      </c>
    </row>
    <row r="25843">
      <c r="A25843" s="4" t="s">
        <v>32533</v>
      </c>
      <c r="B25843" s="4" t="s">
        <v>32535</v>
      </c>
      <c r="C25843" s="5" t="str">
        <f>IFERROR(__xludf.DUMMYFUNCTION("GOOGLETRANSLATE(B25843,""en"",""zh-CN"")"),"他们穿着带有防护头盔和衣服的骑自行车装备。")</f>
        <v>他们穿着带有防护头盔和衣服的骑自行车装备。</v>
      </c>
    </row>
    <row r="25844">
      <c r="A25844" s="4" t="s">
        <v>32533</v>
      </c>
      <c r="B25844" s="4" t="s">
        <v>32536</v>
      </c>
      <c r="C25844" s="5" t="str">
        <f>IFERROR(__xludf.DUMMYFUNCTION("GOOGLETRANSLATE(B25844,""en"",""zh-CN"")"),"他们在摩托车上沿着丘陵的斜坡和不平坦的地形。")</f>
        <v>他们在摩托车上沿着丘陵的斜坡和不平坦的地形。</v>
      </c>
    </row>
    <row r="25845">
      <c r="A25845" s="4" t="s">
        <v>32533</v>
      </c>
      <c r="B25845" s="4" t="s">
        <v>32537</v>
      </c>
      <c r="C25845" s="5" t="str">
        <f>IFERROR(__xludf.DUMMYFUNCTION("GOOGLETRANSLATE(B25845,""en"",""zh-CN"")"),"他们高速穿越极度陡峭和危险的土路。")</f>
        <v>他们高速穿越极度陡峭和危险的土路。</v>
      </c>
    </row>
    <row r="25846">
      <c r="A25846" s="4" t="s">
        <v>32533</v>
      </c>
      <c r="B25846" s="4" t="s">
        <v>32538</v>
      </c>
      <c r="C25846" s="5" t="str">
        <f>IFERROR(__xludf.DUMMYFUNCTION("GOOGLETRANSLATE(B25846,""en"",""zh-CN"")"),"他们还越过在土路上创建的坡道。")</f>
        <v>他们还越过在土路上创建的坡道。</v>
      </c>
    </row>
    <row r="25847">
      <c r="A25847" s="4" t="s">
        <v>32533</v>
      </c>
      <c r="B25847" s="4" t="s">
        <v>32539</v>
      </c>
      <c r="C25847" s="5" t="str">
        <f>IFERROR(__xludf.DUMMYFUNCTION("GOOGLETRANSLATE(B25847,""en"",""zh-CN"")"),"当他们在身后创造一片灰尘时，他们继续以高速骑自行车。")</f>
        <v>当他们在身后创造一片灰尘时，他们继续以高速骑自行车。</v>
      </c>
    </row>
    <row r="25848">
      <c r="A25848" s="4" t="s">
        <v>32540</v>
      </c>
      <c r="B25848" s="6" t="s">
        <v>32541</v>
      </c>
      <c r="C25848" s="5" t="str">
        <f>IFERROR(__xludf.DUMMYFUNCTION("GOOGLETRANSLATE(B25848,""en"",""zh-CN"")"),"出现了一个黑屏，一个黑色的三角形带有蓝色和绿色的灯光，中间出现在中间，中间出现了红色的精美字母，并阅读“ Lovey's Nails”。")</f>
        <v>出现了一个黑屏，一个黑色的三角形带有蓝色和绿色的灯光，中间出现在中间，中间出现了红色的精美字母，并阅读“ Lovey's Nails”。</v>
      </c>
    </row>
    <row r="25849">
      <c r="A25849" s="4" t="s">
        <v>32540</v>
      </c>
      <c r="B25849" s="6" t="s">
        <v>32542</v>
      </c>
      <c r="C25849" s="5" t="str">
        <f>IFERROR(__xludf.DUMMYFUNCTION("GOOGLETRANSLATE(B25849,""en"",""zh-CN"")"),"在不同的黑色屏幕上出现了更多字体，他们一起阅读“ Maleficent Nails”和“如果您拥有美国Puntas Rojas Si Tienes，则更容易使用红色指甲”。")</f>
        <v>在不同的黑色屏幕上出现了更多字体，他们一起阅读“ Maleficent Nails”和“如果您拥有美国Puntas Rojas Si Tienes，则更容易使用红色指甲”。</v>
      </c>
    </row>
    <row r="25850">
      <c r="A25850" s="4" t="s">
        <v>32540</v>
      </c>
      <c r="B25850" s="6" t="s">
        <v>32543</v>
      </c>
      <c r="C25850" s="5" t="str">
        <f>IFERROR(__xludf.DUMMYFUNCTION("GOOGLETRANSLATE(B25850,""en"",""zh-CN"")"),"该名女子现在正在从左手的指甲上卸下指甲油，涂油，然后超级胶水将指甲假在她的左手上，并将假的指甲切成尖的形状。")</f>
        <v>该名女子现在正在从左手的指甲上卸下指甲油，涂油，然后超级胶水将指甲假在她的左手上，并将假的指甲切成尖的形状。</v>
      </c>
    </row>
    <row r="25851">
      <c r="A25851" s="4" t="s">
        <v>32540</v>
      </c>
      <c r="B25851" s="6" t="s">
        <v>32544</v>
      </c>
      <c r="C25851" s="5" t="str">
        <f>IFERROR(__xludf.DUMMYFUNCTION("GOOGLETRANSLATE(B25851,""en"",""zh-CN"")"),"然后，该名女子打开一个小的红色厚液体容器，取一件油漆刷并将其涂在她的假尖头指甲上，并在每个假尖的指甲上涂几层外套，然后一旦将红色干燥，然后将其涂抹，然后将其涂抹在肉上在整个指甲上都包括红色尖端，将它们塑造，文件，将它们打磨，然后用刷子刷掉粉末。")</f>
        <v>然后，该名女子打开一个小的红色厚液体容器，取一件油漆刷并将其涂在她的假尖头指甲上，并在每个假尖的指甲上涂几层外套，然后一旦将红色干燥，然后将其涂抹，然后将其涂抹在肉上在整个指甲上都包括红色尖端，将它们塑造，文件，将它们打磨，然后用刷子刷掉粉末。</v>
      </c>
    </row>
    <row r="25852">
      <c r="A25852" s="4" t="s">
        <v>32540</v>
      </c>
      <c r="B25852" s="6" t="s">
        <v>32545</v>
      </c>
      <c r="C25852" s="5" t="str">
        <f>IFERROR(__xludf.DUMMYFUNCTION("GOOGLETRANSLATE(B25852,""en"",""zh-CN"")"),"然后，女人用透明的外套将指甲的顶部涂成钉子的顶部，然后将钉子翻过来，也将底面涂上涂漆，并将两只手放在一起，以显示其在底面和顶部的外观。")</f>
        <v>然后，女人用透明的外套将指甲的顶部涂成钉子的顶部，然后将钉子翻过来，也将底面涂上涂漆，并将两只手放在一起，以显示其在底面和顶部的外观。</v>
      </c>
    </row>
    <row r="25853">
      <c r="A25853" s="4" t="s">
        <v>32540</v>
      </c>
      <c r="B25853" s="6" t="s">
        <v>32546</v>
      </c>
      <c r="C25853" s="5" t="str">
        <f>IFERROR(__xludf.DUMMYFUNCTION("GOOGLETRANSLATE(B25853,""en"",""zh-CN"")"),"当她展示靠近脸部时，这个女人现在正表现出她的脸，然后举起一个名为“俄罗斯红色”的Mac唇膏，她将其应用到嘴唇上，然后微笑，并通过她的刚完成的指甲和嘴唇来表明以几个角度显示它，然后以静止拍摄图片和什至《静止镜头》一词结束。")</f>
        <v>当她展示靠近脸部时，这个女人现在正表现出她的脸，然后举起一个名为“俄罗斯红色”的Mac唇膏，她将其应用到嘴唇上，然后微笑，并通过她的刚完成的指甲和嘴唇来表明以几个角度显示它，然后以静止拍摄图片和什至《静止镜头》一词结束。</v>
      </c>
    </row>
    <row r="25854">
      <c r="A25854" s="4" t="s">
        <v>32547</v>
      </c>
      <c r="B25854" s="6" t="s">
        <v>32548</v>
      </c>
      <c r="C25854" s="5" t="str">
        <f>IFERROR(__xludf.DUMMYFUNCTION("GOOGLETRANSLATE(B25854,""en"",""zh-CN"")"),"两支球队打冰曲棍球是白人队的成绩，而漂白的人则欢呼，然后红队为他的球队得分，然后继续比赛。")</f>
        <v>两支球队打冰曲棍球是白人队的成绩，而漂白的人则欢呼，然后红队为他的球队得分，然后继续比赛。</v>
      </c>
    </row>
    <row r="25855">
      <c r="A25855" s="4" t="s">
        <v>32547</v>
      </c>
      <c r="B25855" s="4" t="s">
        <v>32549</v>
      </c>
      <c r="C25855" s="5" t="str">
        <f>IFERROR(__xludf.DUMMYFUNCTION("GOOGLETRANSLATE(B25855,""en"",""zh-CN"")"),"白人团队得分，球员互相拥抱，人群表示赞赏。")</f>
        <v>白人团队得分，球员互相拥抱，人群表示赞赏。</v>
      </c>
    </row>
    <row r="25856">
      <c r="A25856" s="4" t="s">
        <v>32547</v>
      </c>
      <c r="B25856" s="4" t="s">
        <v>32550</v>
      </c>
      <c r="C25856" s="5" t="str">
        <f>IFERROR(__xludf.DUMMYFUNCTION("GOOGLETRANSLATE(B25856,""en"",""zh-CN"")"),"在红队得分之后。")</f>
        <v>在红队得分之后。</v>
      </c>
    </row>
    <row r="25857">
      <c r="A25857" s="4" t="s">
        <v>32547</v>
      </c>
      <c r="B25857" s="4" t="s">
        <v>32551</v>
      </c>
      <c r="C25857" s="5" t="str">
        <f>IFERROR(__xludf.DUMMYFUNCTION("GOOGLETRANSLATE(B25857,""en"",""zh-CN"")"),"球员在半场比赛中去更衣室。")</f>
        <v>球员在半场比赛中去更衣室。</v>
      </c>
    </row>
    <row r="25858">
      <c r="A25858" s="4" t="s">
        <v>32547</v>
      </c>
      <c r="B25858" s="4" t="s">
        <v>32552</v>
      </c>
      <c r="C25858" s="5" t="str">
        <f>IFERROR(__xludf.DUMMYFUNCTION("GOOGLETRANSLATE(B25858,""en"",""zh-CN"")"),"然后，球员继续比赛，红队得分并赢得比赛。")</f>
        <v>然后，球员继续比赛，红队得分并赢得比赛。</v>
      </c>
    </row>
    <row r="25859">
      <c r="A25859" s="4" t="s">
        <v>32553</v>
      </c>
      <c r="B25859" s="4" t="s">
        <v>32554</v>
      </c>
      <c r="C25859" s="5" t="str">
        <f>IFERROR(__xludf.DUMMYFUNCTION("GOOGLETRANSLATE(B25859,""en"",""zh-CN"")"),"人们在房间里打鼓。")</f>
        <v>人们在房间里打鼓。</v>
      </c>
    </row>
    <row r="25860">
      <c r="A25860" s="4" t="s">
        <v>32553</v>
      </c>
      <c r="B25860" s="4" t="s">
        <v>32555</v>
      </c>
      <c r="C25860" s="5" t="str">
        <f>IFERROR(__xludf.DUMMYFUNCTION("GOOGLETRANSLATE(B25860,""en"",""zh-CN"")"),"他们开始在房间里来回行进。")</f>
        <v>他们开始在房间里来回行进。</v>
      </c>
    </row>
    <row r="25861">
      <c r="A25861" s="4" t="s">
        <v>32553</v>
      </c>
      <c r="B25861" s="4" t="s">
        <v>32556</v>
      </c>
      <c r="C25861" s="5" t="str">
        <f>IFERROR(__xludf.DUMMYFUNCTION("GOOGLETRANSLATE(B25861,""en"",""zh-CN"")"),"后面的一个人正在弹奏符号。")</f>
        <v>后面的一个人正在弹奏符号。</v>
      </c>
    </row>
    <row r="25862">
      <c r="A25862" s="4" t="s">
        <v>32557</v>
      </c>
      <c r="B25862" s="6" t="s">
        <v>32558</v>
      </c>
      <c r="C25862" s="5" t="str">
        <f>IFERROR(__xludf.DUMMYFUNCTION("GOOGLETRANSLATE(B25862,""en"",""zh-CN"")"),"相机在房间周围摇晃，然后进入房间，将纸擦下并在中间放一个盒子。")</f>
        <v>相机在房间周围摇晃，然后进入房间，将纸擦下并在中间放一个盒子。</v>
      </c>
    </row>
    <row r="25863">
      <c r="A25863" s="4" t="s">
        <v>32557</v>
      </c>
      <c r="B25863" s="4" t="s">
        <v>32559</v>
      </c>
      <c r="C25863" s="5" t="str">
        <f>IFERROR(__xludf.DUMMYFUNCTION("GOOGLETRANSLATE(B25863,""en"",""zh-CN"")"),"女人将盒子包裹在纸上，推向侧面。")</f>
        <v>女人将盒子包裹在纸上，推向侧面。</v>
      </c>
    </row>
    <row r="25864">
      <c r="A25864" s="4" t="s">
        <v>32557</v>
      </c>
      <c r="B25864" s="6" t="s">
        <v>32560</v>
      </c>
      <c r="C25864" s="5" t="str">
        <f>IFERROR(__xludf.DUMMYFUNCTION("GOOGLETRANSLATE(B25864,""en"",""zh-CN"")"),"她贴上侧面，并使用缎带将盒子绑起来，并通过解开包装并显示内部的内容来结束。")</f>
        <v>她贴上侧面，并使用缎带将盒子绑起来，并通过解开包装并显示内部的内容来结束。</v>
      </c>
    </row>
    <row r="25865">
      <c r="A25865" s="4" t="s">
        <v>32561</v>
      </c>
      <c r="B25865" s="6" t="s">
        <v>32562</v>
      </c>
      <c r="C25865" s="5" t="str">
        <f>IFERROR(__xludf.DUMMYFUNCTION("GOOGLETRANSLATE(B25865,""en"",""zh-CN"")"),"打字机的打字噪音在开始时会出现，并且显示了一个故事的标题。")</f>
        <v>打字机的打字噪音在开始时会出现，并且显示了一个故事的标题。</v>
      </c>
    </row>
    <row r="25866">
      <c r="A25866" s="4" t="s">
        <v>32561</v>
      </c>
      <c r="B25866" s="6" t="s">
        <v>32563</v>
      </c>
      <c r="C25866" s="5" t="str">
        <f>IFERROR(__xludf.DUMMYFUNCTION("GOOGLETRANSLATE(B25866,""en"",""zh-CN"")"),"然后，向两个男人展示了雕像和地面外面的雪，当他们完成后，有人掉到了地上。")</f>
        <v>然后，向两个男人展示了雕像和地面外面的雪，当他们完成后，有人掉到了地上。</v>
      </c>
    </row>
    <row r="25867">
      <c r="A25867" s="4" t="s">
        <v>32564</v>
      </c>
      <c r="B25867" s="4" t="s">
        <v>32565</v>
      </c>
      <c r="C25867" s="5" t="str">
        <f>IFERROR(__xludf.DUMMYFUNCTION("GOOGLETRANSLATE(B25867,""en"",""zh-CN"")"),"包括保安人员在内的人们正站在购物中心的篱笆后面。")</f>
        <v>包括保安人员在内的人们正站在购物中心的篱笆后面。</v>
      </c>
    </row>
    <row r="25868">
      <c r="A25868" s="4" t="s">
        <v>32564</v>
      </c>
      <c r="B25868" s="4" t="s">
        <v>32566</v>
      </c>
      <c r="C25868" s="5" t="str">
        <f>IFERROR(__xludf.DUMMYFUNCTION("GOOGLETRANSLATE(B25868,""en"",""zh-CN"")"),"我们看到一个穿着高档外套的年轻人谈话，然后在整个房间里扔飞镖。")</f>
        <v>我们看到一个穿着高档外套的年轻人谈话，然后在整个房间里扔飞镖。</v>
      </c>
    </row>
    <row r="25869">
      <c r="A25869" s="4" t="s">
        <v>32564</v>
      </c>
      <c r="B25869" s="4" t="s">
        <v>32567</v>
      </c>
      <c r="C25869" s="5" t="str">
        <f>IFERROR(__xludf.DUMMYFUNCTION("GOOGLETRANSLATE(B25869,""en"",""zh-CN"")"),"该男子不再扔掉，躲开了片刻，然后继续投掷。")</f>
        <v>该男子不再扔掉，躲开了片刻，然后继续投掷。</v>
      </c>
    </row>
    <row r="25870">
      <c r="A25870" s="4" t="s">
        <v>32564</v>
      </c>
      <c r="B25870" s="4" t="s">
        <v>32568</v>
      </c>
      <c r="C25870" s="5" t="str">
        <f>IFERROR(__xludf.DUMMYFUNCTION("GOOGLETRANSLATE(B25870,""en"",""zh-CN"")"),"一位女士擦掉了人的脸，男人和他的随行人员开始离开该地区。")</f>
        <v>一位女士擦掉了人的脸，男人和他的随行人员开始离开该地区。</v>
      </c>
    </row>
    <row r="25871">
      <c r="A25871" s="4" t="s">
        <v>32569</v>
      </c>
      <c r="B25871" s="4" t="s">
        <v>32570</v>
      </c>
      <c r="C25871" s="5" t="str">
        <f>IFERROR(__xludf.DUMMYFUNCTION("GOOGLETRANSLATE(B25871,""en"",""zh-CN"")"),"戴着蓝色头盔的男子在河里划皮划艇，展示了如何使用行。")</f>
        <v>戴着蓝色头盔的男子在河里划皮划艇，展示了如何使用行。</v>
      </c>
    </row>
    <row r="25872">
      <c r="A25872" s="4" t="s">
        <v>32569</v>
      </c>
      <c r="B25872" s="4" t="s">
        <v>32571</v>
      </c>
      <c r="C25872" s="5" t="str">
        <f>IFERROR(__xludf.DUMMYFUNCTION("GOOGLETRANSLATE(B25872,""en"",""zh-CN"")"),"河里的人坐在黄色皮划艇上，拿着一排。")</f>
        <v>河里的人坐在黄色皮划艇上，拿着一排。</v>
      </c>
    </row>
    <row r="25873">
      <c r="A25873" s="4" t="s">
        <v>32569</v>
      </c>
      <c r="B25873" s="4" t="s">
        <v>32572</v>
      </c>
      <c r="C25873" s="5" t="str">
        <f>IFERROR(__xludf.DUMMYFUNCTION("GOOGLETRANSLATE(B25873,""en"",""zh-CN"")"),"人正在皮划艇中与当前战斗。")</f>
        <v>人正在皮划艇中与当前战斗。</v>
      </c>
    </row>
    <row r="25874">
      <c r="A25874" s="4" t="s">
        <v>32573</v>
      </c>
      <c r="B25874" s="4" t="s">
        <v>32574</v>
      </c>
      <c r="C25874" s="5" t="str">
        <f>IFERROR(__xludf.DUMMYFUNCTION("GOOGLETRANSLATE(B25874,""en"",""zh-CN"")"),"我们在布料上看到一个盒子。")</f>
        <v>我们在布料上看到一个盒子。</v>
      </c>
    </row>
    <row r="25875">
      <c r="A25875" s="4" t="s">
        <v>32573</v>
      </c>
      <c r="B25875" s="4" t="s">
        <v>32575</v>
      </c>
      <c r="C25875" s="5" t="str">
        <f>IFERROR(__xludf.DUMMYFUNCTION("GOOGLETRANSLATE(B25875,""en"",""zh-CN"")"),"一个人将盒子包裹在织物上并将其绑起来。")</f>
        <v>一个人将盒子包裹在织物上并将其绑起来。</v>
      </c>
    </row>
    <row r="25876">
      <c r="A25876" s="4" t="s">
        <v>32573</v>
      </c>
      <c r="B25876" s="4" t="s">
        <v>32576</v>
      </c>
      <c r="C25876" s="5" t="str">
        <f>IFERROR(__xludf.DUMMYFUNCTION("GOOGLETRANSLATE(B25876,""en"",""zh-CN"")"),"我们看到人包裹在织物上的瓶子上。")</f>
        <v>我们看到人包裹在织物上的瓶子上。</v>
      </c>
    </row>
    <row r="25877">
      <c r="A25877" s="4" t="s">
        <v>32573</v>
      </c>
      <c r="B25877" s="4" t="s">
        <v>32577</v>
      </c>
      <c r="C25877" s="5" t="str">
        <f>IFERROR(__xludf.DUMMYFUNCTION("GOOGLETRANSLATE(B25877,""en"",""zh-CN"")"),"然后，他们将两个瓶子放在袋子里并绑住。")</f>
        <v>然后，他们将两个瓶子放在袋子里并绑住。</v>
      </c>
    </row>
    <row r="25878">
      <c r="A25878" s="4" t="s">
        <v>32573</v>
      </c>
      <c r="B25878" s="4" t="s">
        <v>1380</v>
      </c>
      <c r="C25878" s="5" t="str">
        <f>IFERROR(__xludf.DUMMYFUNCTION("GOOGLETRANSLATE(B25878,""en"",""zh-CN"")"),"然后，我们看到结局。")</f>
        <v>然后，我们看到结局。</v>
      </c>
    </row>
    <row r="25879">
      <c r="A25879" s="4" t="s">
        <v>32578</v>
      </c>
      <c r="B25879" s="4" t="s">
        <v>32579</v>
      </c>
      <c r="C25879" s="5" t="str">
        <f>IFERROR(__xludf.DUMMYFUNCTION("GOOGLETRANSLATE(B25879,""en"",""zh-CN"")"),"我们看到了绿色开放屏幕。")</f>
        <v>我们看到了绿色开放屏幕。</v>
      </c>
    </row>
    <row r="25880">
      <c r="A25880" s="4" t="s">
        <v>32578</v>
      </c>
      <c r="B25880" s="4" t="s">
        <v>32580</v>
      </c>
      <c r="C25880" s="5" t="str">
        <f>IFERROR(__xludf.DUMMYFUNCTION("GOOGLETRANSLATE(B25880,""en"",""zh-CN"")"),"然后，我们看到一个人用推杆铲雪。")</f>
        <v>然后，我们看到一个人用推杆铲雪。</v>
      </c>
    </row>
    <row r="25881">
      <c r="A25881" s="4" t="s">
        <v>32578</v>
      </c>
      <c r="B25881" s="4" t="s">
        <v>32581</v>
      </c>
      <c r="C25881" s="5" t="str">
        <f>IFERROR(__xludf.DUMMYFUNCTION("GOOGLETRANSLATE(B25881,""en"",""zh-CN"")"),"我们看到一个标题屏幕。")</f>
        <v>我们看到一个标题屏幕。</v>
      </c>
    </row>
    <row r="25882">
      <c r="A25882" s="4" t="s">
        <v>32578</v>
      </c>
      <c r="B25882" s="4" t="s">
        <v>32582</v>
      </c>
      <c r="C25882" s="5" t="str">
        <f>IFERROR(__xludf.DUMMYFUNCTION("GOOGLETRANSLATE(B25882,""en"",""zh-CN"")"),"我们我们一个男人用铲子耕种溜冰场。")</f>
        <v>我们我们一个男人用铲子耕种溜冰场。</v>
      </c>
    </row>
    <row r="25883">
      <c r="A25883" s="4" t="s">
        <v>32578</v>
      </c>
      <c r="B25883" s="4" t="s">
        <v>32583</v>
      </c>
      <c r="C25883" s="5" t="str">
        <f>IFERROR(__xludf.DUMMYFUNCTION("GOOGLETRANSLATE(B25883,""en"",""zh-CN"")"),"然后，我们看到产品屏幕。")</f>
        <v>然后，我们看到产品屏幕。</v>
      </c>
    </row>
    <row r="25884">
      <c r="A25884" s="4" t="s">
        <v>32578</v>
      </c>
      <c r="B25884" s="4" t="s">
        <v>27504</v>
      </c>
      <c r="C25884" s="5" t="str">
        <f>IFERROR(__xludf.DUMMYFUNCTION("GOOGLETRANSLATE(B25884,""en"",""zh-CN"")"),"我们看到了关闭标题屏幕。")</f>
        <v>我们看到了关闭标题屏幕。</v>
      </c>
    </row>
    <row r="25885">
      <c r="A25885" s="4" t="s">
        <v>32584</v>
      </c>
      <c r="B25885" s="4" t="s">
        <v>32585</v>
      </c>
      <c r="C25885" s="5" t="str">
        <f>IFERROR(__xludf.DUMMYFUNCTION("GOOGLETRANSLATE(B25885,""en"",""zh-CN"")"),"一件蓝色衬衫的女孩拿着一包假手指指甲。")</f>
        <v>一件蓝色衬衫的女孩拿着一包假手指指甲。</v>
      </c>
    </row>
    <row r="25886">
      <c r="A25886" s="4" t="s">
        <v>32584</v>
      </c>
      <c r="B25886" s="4" t="s">
        <v>32586</v>
      </c>
      <c r="C25886" s="5" t="str">
        <f>IFERROR(__xludf.DUMMYFUNCTION("GOOGLETRANSLATE(B25886,""en"",""zh-CN"")"),"她将它们粘在手指指甲上。")</f>
        <v>她将它们粘在手指指甲上。</v>
      </c>
    </row>
    <row r="25887">
      <c r="A25887" s="4" t="s">
        <v>32584</v>
      </c>
      <c r="B25887" s="4" t="s">
        <v>32587</v>
      </c>
      <c r="C25887" s="5" t="str">
        <f>IFERROR(__xludf.DUMMYFUNCTION("GOOGLETRANSLATE(B25887,""en"",""zh-CN"")"),"她正在向相机上示出手指指甲。")</f>
        <v>她正在向相机上示出手指指甲。</v>
      </c>
    </row>
    <row r="25888">
      <c r="A25888" s="4" t="s">
        <v>32588</v>
      </c>
      <c r="B25888" s="4" t="s">
        <v>32589</v>
      </c>
      <c r="C25888" s="5" t="str">
        <f>IFERROR(__xludf.DUMMYFUNCTION("GOOGLETRANSLATE(B25888,""en"",""zh-CN"")"),"一群人站在二十一点桌子前。")</f>
        <v>一群人站在二十一点桌子前。</v>
      </c>
    </row>
    <row r="25889">
      <c r="A25889" s="4" t="s">
        <v>32588</v>
      </c>
      <c r="B25889" s="4" t="s">
        <v>32590</v>
      </c>
      <c r="C25889" s="5" t="str">
        <f>IFERROR(__xludf.DUMMYFUNCTION("GOOGLETRANSLATE(B25889,""en"",""zh-CN"")"),"二十一点随之而来的卡片将卡在桌子上。")</f>
        <v>二十一点随之而来的卡片将卡在桌子上。</v>
      </c>
    </row>
    <row r="25890">
      <c r="A25890" s="4" t="s">
        <v>32591</v>
      </c>
      <c r="B25890" s="6" t="s">
        <v>32592</v>
      </c>
      <c r="C25890" s="5" t="str">
        <f>IFERROR(__xludf.DUMMYFUNCTION("GOOGLETRANSLATE(B25890,""en"",""zh-CN"")"),"显示液体被倒入碗中，然后将菠萝和苹果切成薄片，然后将其混合到碗中。")</f>
        <v>显示液体被倒入碗中，然后将菠萝和苹果切成薄片，然后将其混合到碗中。</v>
      </c>
    </row>
    <row r="25891">
      <c r="A25891" s="4" t="s">
        <v>32591</v>
      </c>
      <c r="B25891" s="6" t="s">
        <v>32593</v>
      </c>
      <c r="C25891" s="5" t="str">
        <f>IFERROR(__xludf.DUMMYFUNCTION("GOOGLETRANSLATE(B25891,""en"",""zh-CN"")"),"然后，该人切断了更多的水果，并将其添加到碗中，并将其全部混合在一起以创建一个水果碗。")</f>
        <v>然后，该人切断了更多的水果，并将其添加到碗中，并将其全部混合在一起以创建一个水果碗。</v>
      </c>
    </row>
    <row r="25892">
      <c r="A25892" s="4" t="s">
        <v>32594</v>
      </c>
      <c r="B25892" s="6" t="s">
        <v>32595</v>
      </c>
      <c r="C25892" s="5" t="str">
        <f>IFERROR(__xludf.DUMMYFUNCTION("GOOGLETRANSLATE(B25892,""en"",""zh-CN"")"),"一名妇女在一个大绿色的田野里说话，在带有大目标的白皮书前举着弓箭和箭头。")</f>
        <v>一名妇女在一个大绿色的田野里说话，在带有大目标的白皮书前举着弓箭和箭头。</v>
      </c>
    </row>
    <row r="25893">
      <c r="A25893" s="4" t="s">
        <v>32594</v>
      </c>
      <c r="B25893" s="4" t="s">
        <v>32596</v>
      </c>
      <c r="C25893" s="5" t="str">
        <f>IFERROR(__xludf.DUMMYFUNCTION("GOOGLETRANSLATE(B25893,""en"",""zh-CN"")"),"在她开始之前，她将弓箭组装在箭头上，并击中了董事会。")</f>
        <v>在她开始之前，她将弓箭组装在箭头上，并击中了董事会。</v>
      </c>
    </row>
    <row r="25894">
      <c r="A25894" s="4" t="s">
        <v>32594</v>
      </c>
      <c r="B25894" s="6" t="s">
        <v>32597</v>
      </c>
      <c r="C25894" s="5" t="str">
        <f>IFERROR(__xludf.DUMMYFUNCTION("GOOGLETRANSLATE(B25894,""en"",""zh-CN"")"),"然后，她演示了将弓再次放入他们的正确方法，以及在释放箭头之前应该如何握住箭头。")</f>
        <v>然后，她演示了将弓再次放入他们的正确方法，以及在释放箭头之前应该如何握住箭头。</v>
      </c>
    </row>
    <row r="25895">
      <c r="A25895" s="4" t="s">
        <v>32594</v>
      </c>
      <c r="B25895" s="4" t="s">
        <v>32598</v>
      </c>
      <c r="C25895" s="5" t="str">
        <f>IFERROR(__xludf.DUMMYFUNCTION("GOOGLETRANSLATE(B25895,""en"",""zh-CN"")"),"之后，显示了一排人，他们都开始射击弓箭。")</f>
        <v>之后，显示了一排人，他们都开始射击弓箭。</v>
      </c>
    </row>
    <row r="25896">
      <c r="A25896" s="4" t="s">
        <v>32599</v>
      </c>
      <c r="B25896" s="6" t="s">
        <v>32600</v>
      </c>
      <c r="C25896" s="5" t="str">
        <f>IFERROR(__xludf.DUMMYFUNCTION("GOOGLETRANSLATE(B25896,""en"",""zh-CN"")"),"一个小男孩，穿着蓝色和黄色的连帽衫和灰色的汗裤，站在户外网球场上。")</f>
        <v>一个小男孩，穿着蓝色和黄色的连帽衫和灰色的汗裤，站在户外网球场上。</v>
      </c>
    </row>
    <row r="25897">
      <c r="A25897" s="4" t="s">
        <v>32599</v>
      </c>
      <c r="B25897" s="4" t="s">
        <v>32601</v>
      </c>
      <c r="C25897" s="5" t="str">
        <f>IFERROR(__xludf.DUMMYFUNCTION("GOOGLETRANSLATE(B25897,""en"",""zh-CN"")"),"当他在球场上弹跳黄色和橙色的网球时，他拿着一个蓝色的球拍。")</f>
        <v>当他在球场上弹跳黄色和橙色的网球时，他拿着一个蓝色的球拍。</v>
      </c>
    </row>
    <row r="25898">
      <c r="A25898" s="4" t="s">
        <v>32599</v>
      </c>
      <c r="B25898" s="4" t="s">
        <v>32602</v>
      </c>
      <c r="C25898" s="5" t="str">
        <f>IFERROR(__xludf.DUMMYFUNCTION("GOOGLETRANSLATE(B25898,""en"",""zh-CN"")"),"他从球击球的第一份发球开始。")</f>
        <v>他从球击球的第一份发球开始。</v>
      </c>
    </row>
    <row r="25899">
      <c r="A25899" s="4" t="s">
        <v>32599</v>
      </c>
      <c r="B25899" s="4" t="s">
        <v>32603</v>
      </c>
      <c r="C25899" s="5" t="str">
        <f>IFERROR(__xludf.DUMMYFUNCTION("GOOGLETRANSLATE(B25899,""en"",""zh-CN"")"),"然后他拿起另一个球，弹跳并再次服役。")</f>
        <v>然后他拿起另一个球，弹跳并再次服役。</v>
      </c>
    </row>
    <row r="25900">
      <c r="A25900" s="4" t="s">
        <v>32599</v>
      </c>
      <c r="B25900" s="4" t="s">
        <v>32604</v>
      </c>
      <c r="C25900" s="5" t="str">
        <f>IFERROR(__xludf.DUMMYFUNCTION("GOOGLETRANSLATE(B25900,""en"",""zh-CN"")"),"球越过网，落在球场的另一侧。")</f>
        <v>球越过网，落在球场的另一侧。</v>
      </c>
    </row>
    <row r="25901">
      <c r="A25901" s="4" t="s">
        <v>32599</v>
      </c>
      <c r="B25901" s="4" t="s">
        <v>32605</v>
      </c>
      <c r="C25901" s="5" t="str">
        <f>IFERROR(__xludf.DUMMYFUNCTION("GOOGLETRANSLATE(B25901,""en"",""zh-CN"")"),"他第三次获得另一个球，并在尝试服役时将其从手上丢掉。")</f>
        <v>他第三次获得另一个球，并在尝试服役时将其从手上丢掉。</v>
      </c>
    </row>
    <row r="25902">
      <c r="A25902" s="4" t="s">
        <v>32606</v>
      </c>
      <c r="B25902" s="4" t="s">
        <v>32607</v>
      </c>
      <c r="C25902" s="5" t="str">
        <f>IFERROR(__xludf.DUMMYFUNCTION("GOOGLETRANSLATE(B25902,""en"",""zh-CN"")"),"一个小女孩在游乐园飞镖奖励游戏中。")</f>
        <v>一个小女孩在游乐园飞镖奖励游戏中。</v>
      </c>
    </row>
    <row r="25903">
      <c r="A25903" s="4" t="s">
        <v>32606</v>
      </c>
      <c r="B25903" s="6" t="s">
        <v>32608</v>
      </c>
      <c r="C25903" s="5" t="str">
        <f>IFERROR(__xludf.DUMMYFUNCTION("GOOGLETRANSLATE(B25903,""en"",""zh-CN"")"),"一位在看台上工作的女士问她想使用多少飞镖，她给了女孩飞镖。")</f>
        <v>一位在看台上工作的女士问她想使用多少飞镖，她给了女孩飞镖。</v>
      </c>
    </row>
    <row r="25904">
      <c r="A25904" s="4" t="s">
        <v>32606</v>
      </c>
      <c r="B25904" s="6" t="s">
        <v>32609</v>
      </c>
      <c r="C25904" s="5" t="str">
        <f>IFERROR(__xludf.DUMMYFUNCTION("GOOGLETRANSLATE(B25904,""en"",""zh-CN"")"),"女孩开始扔飞镖，她只能击中一个气球，她寻求帮助，但没有得到帮助。")</f>
        <v>女孩开始扔飞镖，她只能击中一个气球，她寻求帮助，但没有得到帮助。</v>
      </c>
    </row>
    <row r="25905">
      <c r="A25905" s="4" t="s">
        <v>32610</v>
      </c>
      <c r="B25905" s="4" t="s">
        <v>32611</v>
      </c>
      <c r="C25905" s="5" t="str">
        <f>IFERROR(__xludf.DUMMYFUNCTION("GOOGLETRANSLATE(B25905,""en"",""zh-CN"")"),"我们在黑色背景上看到标题。")</f>
        <v>我们在黑色背景上看到标题。</v>
      </c>
    </row>
    <row r="25906">
      <c r="A25906" s="4" t="s">
        <v>32610</v>
      </c>
      <c r="B25906" s="4" t="s">
        <v>32612</v>
      </c>
      <c r="C25906" s="5" t="str">
        <f>IFERROR(__xludf.DUMMYFUNCTION("GOOGLETRANSLATE(B25906,""en"",""zh-CN"")"),"我们看到一把刀和锐化器，一个人抱着它们。")</f>
        <v>我们看到一把刀和锐化器，一个人抱着它们。</v>
      </c>
    </row>
    <row r="25907">
      <c r="A25907" s="4" t="s">
        <v>32610</v>
      </c>
      <c r="B25907" s="4" t="s">
        <v>32613</v>
      </c>
      <c r="C25907" s="5" t="str">
        <f>IFERROR(__xludf.DUMMYFUNCTION("GOOGLETRANSLATE(B25907,""en"",""zh-CN"")"),"我们看到男人剪了番茄和纸。")</f>
        <v>我们看到男人剪了番茄和纸。</v>
      </c>
    </row>
    <row r="25908">
      <c r="A25908" s="4" t="s">
        <v>32610</v>
      </c>
      <c r="B25908" s="4" t="s">
        <v>32614</v>
      </c>
      <c r="C25908" s="5" t="str">
        <f>IFERROR(__xludf.DUMMYFUNCTION("GOOGLETRANSLATE(B25908,""en"",""zh-CN"")"),"该人使用锐化，然后切成番茄，并轻松地纸。")</f>
        <v>该人使用锐化，然后切成番茄，并轻松地纸。</v>
      </c>
    </row>
    <row r="25909">
      <c r="A25909" s="4" t="s">
        <v>32610</v>
      </c>
      <c r="B25909" s="4" t="s">
        <v>32615</v>
      </c>
      <c r="C25909" s="5" t="str">
        <f>IFERROR(__xludf.DUMMYFUNCTION("GOOGLETRANSLATE(B25909,""en"",""zh-CN"")"),"削刀，切番茄，向我们展示磨刀器。")</f>
        <v>削刀，切番茄，向我们展示磨刀器。</v>
      </c>
    </row>
    <row r="25910">
      <c r="A25910" s="4" t="s">
        <v>32610</v>
      </c>
      <c r="B25910" s="4" t="s">
        <v>19168</v>
      </c>
      <c r="C25910" s="5" t="str">
        <f>IFERROR(__xludf.DUMMYFUNCTION("GOOGLETRANSLATE(B25910,""en"",""zh-CN"")"),"我们看到了视频的结局。")</f>
        <v>我们看到了视频的结局。</v>
      </c>
    </row>
    <row r="25911">
      <c r="A25911" s="4" t="s">
        <v>32616</v>
      </c>
      <c r="B25911" s="6" t="s">
        <v>32617</v>
      </c>
      <c r="C25911" s="5" t="str">
        <f>IFERROR(__xludf.DUMMYFUNCTION("GOOGLETRANSLATE(B25911,""en"",""zh-CN"")"),"使用两个男孩的家庭和一个母亲为示范准备南瓜的家族，展示了一个南瓜刀，南瓜刀和南瓜灯的商业广告。")</f>
        <v>使用两个男孩的家庭和一个母亲为示范准备南瓜的家族，展示了一个南瓜刀，南瓜刀和南瓜灯的商业广告。</v>
      </c>
    </row>
    <row r="25912">
      <c r="A25912" s="4" t="s">
        <v>32616</v>
      </c>
      <c r="B25912" s="4" t="s">
        <v>32618</v>
      </c>
      <c r="C25912" s="5" t="str">
        <f>IFERROR(__xludf.DUMMYFUNCTION("GOOGLETRANSLATE(B25912,""en"",""zh-CN"")"),"显示了一个小男孩，使用南瓜刀将面孔切成南瓜。")</f>
        <v>显示了一个小男孩，使用南瓜刀将面孔切成南瓜。</v>
      </c>
    </row>
    <row r="25913">
      <c r="A25913" s="4" t="s">
        <v>32616</v>
      </c>
      <c r="B25913" s="4" t="s">
        <v>32619</v>
      </c>
      <c r="C25913" s="5" t="str">
        <f>IFERROR(__xludf.DUMMYFUNCTION("GOOGLETRANSLATE(B25913,""en"",""zh-CN"")"),"然后显示男孩使用南瓜勺将南瓜sc。")</f>
        <v>然后显示男孩使用南瓜勺将南瓜sc。</v>
      </c>
    </row>
    <row r="25914">
      <c r="A25914" s="4" t="s">
        <v>32616</v>
      </c>
      <c r="B25914" s="6" t="s">
        <v>32620</v>
      </c>
      <c r="C25914" s="5" t="str">
        <f>IFERROR(__xludf.DUMMYFUNCTION("GOOGLETRANSLATE(B25914,""en"",""zh-CN"")"),"然后显示一个男孩，将南瓜灯放在南瓜的内部，因为母亲俯身并在两个男孩和成品南瓜之间微笑，这些南瓜现在刻有雕刻的面孔，里面有发光的灯光。")</f>
        <v>然后显示一个男孩，将南瓜灯放在南瓜的内部，因为母亲俯身并在两个男孩和成品南瓜之间微笑，这些南瓜现在刻有雕刻的面孔，里面有发光的灯光。</v>
      </c>
    </row>
    <row r="25915">
      <c r="A25915" s="4" t="s">
        <v>32621</v>
      </c>
      <c r="B25915" s="6" t="s">
        <v>32622</v>
      </c>
      <c r="C25915" s="5" t="str">
        <f>IFERROR(__xludf.DUMMYFUNCTION("GOOGLETRANSLATE(B25915,""en"",""zh-CN"")"),"看到数十人骑着一座尘土飞扬的山丘，而相机周围的人骑着越野自行车。")</f>
        <v>看到数十人骑着一座尘土飞扬的山丘，而相机周围的人骑着越野自行车。</v>
      </c>
    </row>
    <row r="25916">
      <c r="A25916" s="4" t="s">
        <v>32621</v>
      </c>
      <c r="B25916" s="6" t="s">
        <v>32623</v>
      </c>
      <c r="C25916" s="5" t="str">
        <f>IFERROR(__xludf.DUMMYFUNCTION("GOOGLETRANSLATE(B25916,""en"",""zh-CN"")"),"人们一直沿着这条路骑行，而其他几个人则在侧面看着骑手，并跟随骑手沿着赛道骑行。")</f>
        <v>人们一直沿着这条路骑行，而其他几个人则在侧面看着骑手，并跟随骑手沿着赛道骑行。</v>
      </c>
    </row>
    <row r="25917">
      <c r="A25917" s="4" t="s">
        <v>32624</v>
      </c>
      <c r="B25917" s="4" t="s">
        <v>32625</v>
      </c>
      <c r="C25917" s="5" t="str">
        <f>IFERROR(__xludf.DUMMYFUNCTION("GOOGLETRANSLATE(B25917,""en"",""zh-CN"")"),"一群妇女在户外田野上打曲棍球，上面覆盖着草。")</f>
        <v>一群妇女在户外田野上打曲棍球，上面覆盖着草。</v>
      </c>
    </row>
    <row r="25918">
      <c r="A25918" s="4" t="s">
        <v>32624</v>
      </c>
      <c r="B25918" s="4" t="s">
        <v>32626</v>
      </c>
      <c r="C25918" s="5" t="str">
        <f>IFERROR(__xludf.DUMMYFUNCTION("GOOGLETRANSLATE(B25918,""en"",""zh-CN"")"),"妇女拿着曲棍球棒，在球场上奔跑。")</f>
        <v>妇女拿着曲棍球棒，在球场上奔跑。</v>
      </c>
    </row>
    <row r="25919">
      <c r="A25919" s="4" t="s">
        <v>32624</v>
      </c>
      <c r="B25919" s="6" t="s">
        <v>32627</v>
      </c>
      <c r="C25919" s="5" t="str">
        <f>IFERROR(__xludf.DUMMYFUNCTION("GOOGLETRANSLATE(B25919,""en"",""zh-CN"")"),"红队和蓝队继续打曲棍球，而一名裁判员则持球和后卫的后卫。")</f>
        <v>红队和蓝队继续打曲棍球，而一名裁判员则持球和后卫的后卫。</v>
      </c>
    </row>
    <row r="25920">
      <c r="A25920" s="4" t="s">
        <v>32628</v>
      </c>
      <c r="B25920" s="4" t="s">
        <v>32629</v>
      </c>
      <c r="C25920" s="5" t="str">
        <f>IFERROR(__xludf.DUMMYFUNCTION("GOOGLETRANSLATE(B25920,""en"",""zh-CN"")"),"有些男人在三只拳击手看着游泳池。")</f>
        <v>有些男人在三只拳击手看着游泳池。</v>
      </c>
    </row>
    <row r="25921">
      <c r="A25921" s="4" t="s">
        <v>32628</v>
      </c>
      <c r="B25921" s="4" t="s">
        <v>32630</v>
      </c>
      <c r="C25921" s="5" t="str">
        <f>IFERROR(__xludf.DUMMYFUNCTION("GOOGLETRANSLATE(B25921,""en"",""zh-CN"")"),"拳击手站在台球桌旁，试图用线索射击球。")</f>
        <v>拳击手站在台球桌旁，试图用线索射击球。</v>
      </c>
    </row>
    <row r="25922">
      <c r="A25922" s="4" t="s">
        <v>32631</v>
      </c>
      <c r="B25922" s="4" t="s">
        <v>32632</v>
      </c>
      <c r="C25922" s="5" t="str">
        <f>IFERROR(__xludf.DUMMYFUNCTION("GOOGLETRANSLATE(B25922,""en"",""zh-CN"")"),"一个人在桌子上设置了一个计时器。")</f>
        <v>一个人在桌子上设置了一个计时器。</v>
      </c>
    </row>
    <row r="25923">
      <c r="A25923" s="4" t="s">
        <v>32631</v>
      </c>
      <c r="B25923" s="4" t="s">
        <v>32633</v>
      </c>
      <c r="C25923" s="5" t="str">
        <f>IFERROR(__xludf.DUMMYFUNCTION("GOOGLETRANSLATE(B25923,""en"",""zh-CN"")"),"然后，他试图解决一个色块拼图。")</f>
        <v>然后，他试图解决一个色块拼图。</v>
      </c>
    </row>
    <row r="25924">
      <c r="A25924" s="4" t="s">
        <v>32631</v>
      </c>
      <c r="B25924" s="4" t="s">
        <v>32634</v>
      </c>
      <c r="C25924" s="5" t="str">
        <f>IFERROR(__xludf.DUMMYFUNCTION("GOOGLETRANSLATE(B25924,""en"",""zh-CN"")"),"他仅在8秒钟内完成了难题。")</f>
        <v>他仅在8秒钟内完成了难题。</v>
      </c>
    </row>
    <row r="25925">
      <c r="A25925" s="4" t="s">
        <v>32635</v>
      </c>
      <c r="B25925" s="4" t="s">
        <v>32636</v>
      </c>
      <c r="C25925" s="5" t="str">
        <f>IFERROR(__xludf.DUMMYFUNCTION("GOOGLETRANSLATE(B25925,""en"",""zh-CN"")"),"一个女孩手里拿着呼啦圈。")</f>
        <v>一个女孩手里拿着呼啦圈。</v>
      </c>
    </row>
    <row r="25926">
      <c r="A25926" s="4" t="s">
        <v>32635</v>
      </c>
      <c r="B25926" s="4" t="s">
        <v>32637</v>
      </c>
      <c r="C25926" s="5" t="str">
        <f>IFERROR(__xludf.DUMMYFUNCTION("GOOGLETRANSLATE(B25926,""en"",""zh-CN"")"),"女孩和镜头说话。")</f>
        <v>女孩和镜头说话。</v>
      </c>
    </row>
    <row r="25927">
      <c r="A25927" s="4" t="s">
        <v>32635</v>
      </c>
      <c r="B25927" s="4" t="s">
        <v>32638</v>
      </c>
      <c r="C25927" s="5" t="str">
        <f>IFERROR(__xludf.DUMMYFUNCTION("GOOGLETRANSLATE(B25927,""en"",""zh-CN"")"),"这个女孩展示了呼啦圈。")</f>
        <v>这个女孩展示了呼啦圈。</v>
      </c>
    </row>
    <row r="25928">
      <c r="A25928" s="4" t="s">
        <v>32635</v>
      </c>
      <c r="B25928" s="4" t="s">
        <v>32639</v>
      </c>
      <c r="C25928" s="5" t="str">
        <f>IFERROR(__xludf.DUMMYFUNCTION("GOOGLETRANSLATE(B25928,""en"",""zh-CN"")"),"女孩放下呼啦圈并摆姿势。")</f>
        <v>女孩放下呼啦圈并摆姿势。</v>
      </c>
    </row>
    <row r="25929">
      <c r="A25929" s="4" t="s">
        <v>32640</v>
      </c>
      <c r="B25929" s="4" t="s">
        <v>32641</v>
      </c>
      <c r="C25929" s="5" t="str">
        <f>IFERROR(__xludf.DUMMYFUNCTION("GOOGLETRANSLATE(B25929,""en"",""zh-CN"")"),"一群骑自行车的人为越野自行车比赛做准备。")</f>
        <v>一群骑自行车的人为越野自行车比赛做准备。</v>
      </c>
    </row>
    <row r="25930">
      <c r="A25930" s="4" t="s">
        <v>32640</v>
      </c>
      <c r="B25930" s="6" t="s">
        <v>32642</v>
      </c>
      <c r="C25930" s="5" t="str">
        <f>IFERROR(__xludf.DUMMYFUNCTION("GOOGLETRANSLATE(B25930,""en"",""zh-CN"")"),"他们起飞，越过山丘和尖锐的角落，有些人从自行车上掉下来，愤怒地踢了它。")</f>
        <v>他们起飞，越过山丘和尖锐的角落，有些人从自行车上掉下来，愤怒地踢了它。</v>
      </c>
    </row>
    <row r="25931">
      <c r="A25931" s="4" t="s">
        <v>32643</v>
      </c>
      <c r="B25931" s="6" t="s">
        <v>32644</v>
      </c>
      <c r="C25931" s="5" t="str">
        <f>IFERROR(__xludf.DUMMYFUNCTION("GOOGLETRANSLATE(B25931,""en"",""zh-CN"")"),"一个男孩坐在房间里，在拿着演示如何使用电子烟的同时与相机交谈。")</f>
        <v>一个男孩坐在房间里，在拿着演示如何使用电子烟的同时与相机交谈。</v>
      </c>
    </row>
    <row r="25932">
      <c r="A25932" s="4" t="s">
        <v>32643</v>
      </c>
      <c r="B25932" s="4" t="s">
        <v>32645</v>
      </c>
      <c r="C25932" s="5" t="str">
        <f>IFERROR(__xludf.DUMMYFUNCTION("GOOGLETRANSLATE(B25932,""en"",""zh-CN"")"),"男孩拧开烟以揭示内部机制。")</f>
        <v>男孩拧开烟以揭示内部机制。</v>
      </c>
    </row>
    <row r="25933">
      <c r="A25933" s="4" t="s">
        <v>32643</v>
      </c>
      <c r="B25933" s="6" t="s">
        <v>32646</v>
      </c>
      <c r="C25933" s="5" t="str">
        <f>IFERROR(__xludf.DUMMYFUNCTION("GOOGLETRANSLATE(B25933,""en"",""zh-CN"")"),"这个男孩把香烟放回原处，开始抽烟，因为一个女人在背景中走路，然后他继续与镜头交谈。")</f>
        <v>这个男孩把香烟放回原处，开始抽烟，因为一个女人在背景中走路，然后他继续与镜头交谈。</v>
      </c>
    </row>
    <row r="25934">
      <c r="A25934" s="4" t="s">
        <v>32647</v>
      </c>
      <c r="B25934" s="6" t="s">
        <v>32648</v>
      </c>
      <c r="C25934" s="5" t="str">
        <f>IFERROR(__xludf.DUMMYFUNCTION("GOOGLETRANSLATE(B25934,""en"",""zh-CN"")"),"展示了织物的特写，并导致一个男人把他们放在墙上，一个女人和一个男人说话。")</f>
        <v>展示了织物的特写，并导致一个男人把他们放在墙上，一个女人和一个男人说话。</v>
      </c>
    </row>
    <row r="25935">
      <c r="A25935" s="4" t="s">
        <v>32647</v>
      </c>
      <c r="B25935" s="4" t="s">
        <v>32649</v>
      </c>
      <c r="C25935" s="5" t="str">
        <f>IFERROR(__xludf.DUMMYFUNCTION("GOOGLETRANSLATE(B25935,""en"",""zh-CN"")"),"一个人将纸张放在桌子上，并向男人展示如何正确放上墙纸。")</f>
        <v>一个人将纸张放在桌子上，并向男人展示如何正确放上墙纸。</v>
      </c>
    </row>
    <row r="25936">
      <c r="A25936" s="4" t="s">
        <v>32647</v>
      </c>
      <c r="B25936" s="6" t="s">
        <v>32650</v>
      </c>
      <c r="C25936" s="5" t="str">
        <f>IFERROR(__xludf.DUMMYFUNCTION("GOOGLETRANSLATE(B25936,""en"",""zh-CN"")"),"然后，一个男人对相机说话，最后以信息提供，并把更多的纸放下。")</f>
        <v>然后，一个男人对相机说话，最后以信息提供，并把更多的纸放下。</v>
      </c>
    </row>
    <row r="25937">
      <c r="A25937" s="4" t="s">
        <v>32651</v>
      </c>
      <c r="B25937" s="4" t="s">
        <v>32652</v>
      </c>
      <c r="C25937" s="5" t="str">
        <f>IFERROR(__xludf.DUMMYFUNCTION("GOOGLETRANSLATE(B25937,""en"",""zh-CN"")"),"看到一名运动女子站在一个慢速运动中的圈子中，进行讨论。")</f>
        <v>看到一名运动女子站在一个慢速运动中的圈子中，进行讨论。</v>
      </c>
    </row>
    <row r="25938">
      <c r="A25938" s="4" t="s">
        <v>32651</v>
      </c>
      <c r="B25938" s="4" t="s">
        <v>32653</v>
      </c>
      <c r="C25938" s="5" t="str">
        <f>IFERROR(__xludf.DUMMYFUNCTION("GOOGLETRANSLATE(B25938,""en"",""zh-CN"")"),"然后，她握住物体，然后将其从远处扔掉。")</f>
        <v>然后，她握住物体，然后将其从远处扔掉。</v>
      </c>
    </row>
    <row r="25939">
      <c r="A25939" s="4" t="s">
        <v>32654</v>
      </c>
      <c r="B25939" s="4" t="s">
        <v>32655</v>
      </c>
      <c r="C25939" s="5" t="str">
        <f>IFERROR(__xludf.DUMMYFUNCTION("GOOGLETRANSLATE(B25939,""en"",""zh-CN"")"),"一位穿着灰色衬衫的男人坐在椅子上。")</f>
        <v>一位穿着灰色衬衫的男人坐在椅子上。</v>
      </c>
    </row>
    <row r="25940">
      <c r="A25940" s="4" t="s">
        <v>32654</v>
      </c>
      <c r="B25940" s="4" t="s">
        <v>32656</v>
      </c>
      <c r="C25940" s="5" t="str">
        <f>IFERROR(__xludf.DUMMYFUNCTION("GOOGLETRANSLATE(B25940,""en"",""zh-CN"")"),"该男子继续讲话时用刷子指着一个空的画布。")</f>
        <v>该男子继续讲话时用刷子指着一个空的画布。</v>
      </c>
    </row>
    <row r="25941">
      <c r="A25941" s="4" t="s">
        <v>32654</v>
      </c>
      <c r="B25941" s="4" t="s">
        <v>32657</v>
      </c>
      <c r="C25941" s="5" t="str">
        <f>IFERROR(__xludf.DUMMYFUNCTION("GOOGLETRANSLATE(B25941,""en"",""zh-CN"")"),"该男子握住刷子，将刷子浸入颜色上，然后开始在更大的画布上绘画。")</f>
        <v>该男子握住刷子，将刷子浸入颜色上，然后开始在更大的画布上绘画。</v>
      </c>
    </row>
    <row r="25942">
      <c r="A25942" s="4" t="s">
        <v>32658</v>
      </c>
      <c r="B25942" s="4" t="s">
        <v>32659</v>
      </c>
      <c r="C25942" s="5" t="str">
        <f>IFERROR(__xludf.DUMMYFUNCTION("GOOGLETRANSLATE(B25942,""en"",""zh-CN"")"),"看到一个女人微笑着在相机上说话。")</f>
        <v>看到一个女人微笑着在相机上说话。</v>
      </c>
    </row>
    <row r="25943">
      <c r="A25943" s="4" t="s">
        <v>32658</v>
      </c>
      <c r="B25943" s="4" t="s">
        <v>32660</v>
      </c>
      <c r="C25943" s="5" t="str">
        <f>IFERROR(__xludf.DUMMYFUNCTION("GOOGLETRANSLATE(B25943,""en"",""zh-CN"")"),"看到另一个男人和另一个男人坐在她身后。")</f>
        <v>看到另一个男人和另一个男人坐在她身后。</v>
      </c>
    </row>
    <row r="25944">
      <c r="A25944" s="4" t="s">
        <v>32658</v>
      </c>
      <c r="B25944" s="4" t="s">
        <v>32661</v>
      </c>
      <c r="C25944" s="5" t="str">
        <f>IFERROR(__xludf.DUMMYFUNCTION("GOOGLETRANSLATE(B25944,""en"",""zh-CN"")"),"那个女人继续说话，而前面的男人清洁了对方的鞋子。")</f>
        <v>那个女人继续说话，而前面的男人清洁了对方的鞋子。</v>
      </c>
    </row>
    <row r="25945">
      <c r="A25945" s="4" t="s">
        <v>32662</v>
      </c>
      <c r="B25945" s="4" t="s">
        <v>32663</v>
      </c>
      <c r="C25945" s="5" t="str">
        <f>IFERROR(__xludf.DUMMYFUNCTION("GOOGLETRANSLATE(B25945,""en"",""zh-CN"")"),"人们在室内竞技场踢足球。")</f>
        <v>人们在室内竞技场踢足球。</v>
      </c>
    </row>
    <row r="25946">
      <c r="A25946" s="4" t="s">
        <v>32662</v>
      </c>
      <c r="B25946" s="4" t="s">
        <v>32664</v>
      </c>
      <c r="C25946" s="5" t="str">
        <f>IFERROR(__xludf.DUMMYFUNCTION("GOOGLETRANSLATE(B25946,""en"",""zh-CN"")"),"他们射击并将目标打入网。")</f>
        <v>他们射击并将目标打入网。</v>
      </c>
    </row>
    <row r="25947">
      <c r="A25947" s="4" t="s">
        <v>32662</v>
      </c>
      <c r="B25947" s="4" t="s">
        <v>32665</v>
      </c>
      <c r="C25947" s="5" t="str">
        <f>IFERROR(__xludf.DUMMYFUNCTION("GOOGLETRANSLATE(B25947,""en"",""zh-CN"")"),"球员在球场上拥抱。")</f>
        <v>球员在球场上拥抱。</v>
      </c>
    </row>
    <row r="25948">
      <c r="A25948" s="4" t="s">
        <v>32666</v>
      </c>
      <c r="B25948" s="4" t="s">
        <v>32667</v>
      </c>
      <c r="C25948" s="5" t="str">
        <f>IFERROR(__xludf.DUMMYFUNCTION("GOOGLETRANSLATE(B25948,""en"",""zh-CN"")"),"一个人用包裹的手指抛光鞋子。")</f>
        <v>一个人用包裹的手指抛光鞋子。</v>
      </c>
    </row>
    <row r="25949">
      <c r="A25949" s="4" t="s">
        <v>32666</v>
      </c>
      <c r="B25949" s="4" t="s">
        <v>32668</v>
      </c>
      <c r="C25949" s="5" t="str">
        <f>IFERROR(__xludf.DUMMYFUNCTION("GOOGLETRANSLATE(B25949,""en"",""zh-CN"")"),"然后，该人抓住波兰糊和水以抛光鞋子。")</f>
        <v>然后，该人抓住波兰糊和水以抛光鞋子。</v>
      </c>
    </row>
    <row r="25950">
      <c r="A25950" s="4" t="s">
        <v>32666</v>
      </c>
      <c r="B25950" s="4" t="s">
        <v>32669</v>
      </c>
      <c r="C25950" s="5" t="str">
        <f>IFERROR(__xludf.DUMMYFUNCTION("GOOGLETRANSLATE(B25950,""en"",""zh-CN"")"),"之后，该人在鞋子上滴水并继续抛光。")</f>
        <v>之后，该人在鞋子上滴水并继续抛光。</v>
      </c>
    </row>
    <row r="25951">
      <c r="A25951" s="4" t="s">
        <v>32670</v>
      </c>
      <c r="B25951" s="4" t="s">
        <v>32671</v>
      </c>
      <c r="C25951" s="5" t="str">
        <f>IFERROR(__xludf.DUMMYFUNCTION("GOOGLETRANSLATE(B25951,""en"",""zh-CN"")"),"包裹的礼物正在排队。")</f>
        <v>包裹的礼物正在排队。</v>
      </c>
    </row>
    <row r="25952">
      <c r="A25952" s="4" t="s">
        <v>32670</v>
      </c>
      <c r="B25952" s="4" t="s">
        <v>32672</v>
      </c>
      <c r="C25952" s="5" t="str">
        <f>IFERROR(__xludf.DUMMYFUNCTION("GOOGLETRANSLATE(B25952,""en"",""zh-CN"")"),"一个人正在推出包装纸，并使用尺子将其压低。")</f>
        <v>一个人正在推出包装纸，并使用尺子将其压低。</v>
      </c>
    </row>
    <row r="25953">
      <c r="A25953" s="4" t="s">
        <v>32670</v>
      </c>
      <c r="B25953" s="4" t="s">
        <v>32673</v>
      </c>
      <c r="C25953" s="5" t="str">
        <f>IFERROR(__xludf.DUMMYFUNCTION("GOOGLETRANSLATE(B25953,""en"",""zh-CN"")"),"包装纸的顶部设置了一个盒子。")</f>
        <v>包装纸的顶部设置了一个盒子。</v>
      </c>
    </row>
    <row r="25954">
      <c r="A25954" s="4" t="s">
        <v>32670</v>
      </c>
      <c r="B25954" s="4" t="s">
        <v>32674</v>
      </c>
      <c r="C25954" s="5" t="str">
        <f>IFERROR(__xludf.DUMMYFUNCTION("GOOGLETRANSLATE(B25954,""en"",""zh-CN"")"),"该人开始包裹现在。")</f>
        <v>该人开始包裹现在。</v>
      </c>
    </row>
    <row r="25955">
      <c r="A25955" s="4" t="s">
        <v>32670</v>
      </c>
      <c r="B25955" s="4" t="s">
        <v>32675</v>
      </c>
      <c r="C25955" s="5" t="str">
        <f>IFERROR(__xludf.DUMMYFUNCTION("GOOGLETRANSLATE(B25955,""en"",""zh-CN"")"),"他们正在切纸。")</f>
        <v>他们正在切纸。</v>
      </c>
    </row>
    <row r="25956">
      <c r="A25956" s="4" t="s">
        <v>32670</v>
      </c>
      <c r="B25956" s="4" t="s">
        <v>32676</v>
      </c>
      <c r="C25956" s="5" t="str">
        <f>IFERROR(__xludf.DUMMYFUNCTION("GOOGLETRANSLATE(B25956,""en"",""zh-CN"")"),"他们继续包裹现在。")</f>
        <v>他们继续包裹现在。</v>
      </c>
    </row>
    <row r="25957">
      <c r="A25957" s="4" t="s">
        <v>32670</v>
      </c>
      <c r="B25957" s="4" t="s">
        <v>32677</v>
      </c>
      <c r="C25957" s="5" t="str">
        <f>IFERROR(__xludf.DUMMYFUNCTION("GOOGLETRANSLATE(B25957,""en"",""zh-CN"")"),"他们使用胶带将纸固定在上面。")</f>
        <v>他们使用胶带将纸固定在上面。</v>
      </c>
    </row>
    <row r="25958">
      <c r="A25958" s="4" t="s">
        <v>32670</v>
      </c>
      <c r="B25958" s="4" t="s">
        <v>32678</v>
      </c>
      <c r="C25958" s="5" t="str">
        <f>IFERROR(__xludf.DUMMYFUNCTION("GOOGLETRANSLATE(B25958,""en"",""zh-CN"")"),"他们折叠薄纸以包裹在盒子的中间。")</f>
        <v>他们折叠薄纸以包裹在盒子的中间。</v>
      </c>
    </row>
    <row r="25959">
      <c r="A25959" s="4" t="s">
        <v>32670</v>
      </c>
      <c r="B25959" s="4" t="s">
        <v>32679</v>
      </c>
      <c r="C25959" s="5" t="str">
        <f>IFERROR(__xludf.DUMMYFUNCTION("GOOGLETRANSLATE(B25959,""en"",""zh-CN"")"),"他们将卷发丝带包裹在盒子上，然后将其绑在弓上。")</f>
        <v>他们将卷发丝带包裹在盒子上，然后将其绑在弓上。</v>
      </c>
    </row>
    <row r="25960">
      <c r="A25960" s="4" t="s">
        <v>32670</v>
      </c>
      <c r="B25960" s="4" t="s">
        <v>32680</v>
      </c>
      <c r="C25960" s="5" t="str">
        <f>IFERROR(__xludf.DUMMYFUNCTION("GOOGLETRANSLATE(B25960,""en"",""zh-CN"")"),"使用剪刀卷曲弓的末端。")</f>
        <v>使用剪刀卷曲弓的末端。</v>
      </c>
    </row>
    <row r="25961">
      <c r="A25961" s="4" t="s">
        <v>32670</v>
      </c>
      <c r="B25961" s="4" t="s">
        <v>32681</v>
      </c>
      <c r="C25961" s="5" t="str">
        <f>IFERROR(__xludf.DUMMYFUNCTION("GOOGLETRANSLATE(B25961,""en"",""zh-CN"")"),"他们将一朵银花粘在现在。")</f>
        <v>他们将一朵银花粘在现在。</v>
      </c>
    </row>
    <row r="25962">
      <c r="A25962" s="4" t="s">
        <v>32682</v>
      </c>
      <c r="B25962" s="4" t="s">
        <v>32683</v>
      </c>
      <c r="C25962" s="5" t="str">
        <f>IFERROR(__xludf.DUMMYFUNCTION("GOOGLETRANSLATE(B25962,""en"",""zh-CN"")"),"这是手臂摔跤技巧的视频。")</f>
        <v>这是手臂摔跤技巧的视频。</v>
      </c>
    </row>
    <row r="25963">
      <c r="A25963" s="4" t="s">
        <v>32682</v>
      </c>
      <c r="B25963" s="4" t="s">
        <v>32684</v>
      </c>
      <c r="C25963" s="5" t="str">
        <f>IFERROR(__xludf.DUMMYFUNCTION("GOOGLETRANSLATE(B25963,""en"",""zh-CN"")"),"显示带有标题的屏幕描述视频。")</f>
        <v>显示带有标题的屏幕描述视频。</v>
      </c>
    </row>
    <row r="25964">
      <c r="A25964" s="4" t="s">
        <v>32682</v>
      </c>
      <c r="B25964" s="6" t="s">
        <v>32685</v>
      </c>
      <c r="C25964" s="5" t="str">
        <f>IFERROR(__xludf.DUMMYFUNCTION("GOOGLETRANSLATE(B25964,""en"",""zh-CN"")"),"有两个男人在手臂摔跤桌上，一个穿着白色T恤和眼镜的男人正在告知如何适当准备以姿态，手臂姿势，手指姿势，手腕放置，身体位置，身体和手臂运动的手臂摔跤比赛。")</f>
        <v>有两个男人在手臂摔跤桌上，一个穿着白色T恤和眼镜的男人正在告知如何适当准备以姿态，手臂姿势，手指姿势，手腕放置，身体位置，身体和手臂运动的手臂摔跤比赛。</v>
      </c>
    </row>
    <row r="25965">
      <c r="A25965" s="4" t="s">
        <v>32682</v>
      </c>
      <c r="B25965" s="4" t="s">
        <v>32686</v>
      </c>
      <c r="C25965" s="5" t="str">
        <f>IFERROR(__xludf.DUMMYFUNCTION("GOOGLETRANSLATE(B25965,""en"",""zh-CN"")"),"另一个带有标题的黑屏。")</f>
        <v>另一个带有标题的黑屏。</v>
      </c>
    </row>
    <row r="25966">
      <c r="A25966" s="4" t="s">
        <v>32682</v>
      </c>
      <c r="B25966" s="6" t="s">
        <v>32687</v>
      </c>
      <c r="C25966" s="5" t="str">
        <f>IFERROR(__xludf.DUMMYFUNCTION("GOOGLETRANSLATE(B25966,""en"",""zh-CN"")"),"穿着白色T恤的那个人在手臂摔跤比赛中表现出几种站立的方法，双脚在地面上，将一条腿缠绕在手臂摔跤桌上。")</f>
        <v>穿着白色T恤的那个人在手臂摔跤比赛中表现出几种站立的方法，双脚在地面上，将一条腿缠绕在手臂摔跤桌上。</v>
      </c>
    </row>
    <row r="25967">
      <c r="A25967" s="4" t="s">
        <v>32682</v>
      </c>
      <c r="B25967" s="4" t="s">
        <v>32688</v>
      </c>
      <c r="C25967" s="5" t="str">
        <f>IFERROR(__xludf.DUMMYFUNCTION("GOOGLETRANSLATE(B25967,""en"",""zh-CN"")"),"另一个黑屏出现，并带有有关寻找手臂摔跤俱乐部的标题。")</f>
        <v>另一个黑屏出现，并带有有关寻找手臂摔跤俱乐部的标题。</v>
      </c>
    </row>
    <row r="25968">
      <c r="A25968" s="4" t="s">
        <v>32682</v>
      </c>
      <c r="B25968" s="6" t="s">
        <v>32689</v>
      </c>
      <c r="C25968" s="5" t="str">
        <f>IFERROR(__xludf.DUMMYFUNCTION("GOOGLETRANSLATE(B25968,""en"",""zh-CN"")"),"戴着眼镜的那个人仍在与另一个男人的手臂摔跤桌上一起提供网站地址和社交媒体网站。")</f>
        <v>戴着眼镜的那个人仍在与另一个男人的手臂摔跤桌上一起提供网站地址和社交媒体网站。</v>
      </c>
    </row>
    <row r="25969">
      <c r="A25969" s="4" t="s">
        <v>32682</v>
      </c>
      <c r="B25969" s="4" t="s">
        <v>32690</v>
      </c>
      <c r="C25969" s="5" t="str">
        <f>IFERROR(__xludf.DUMMYFUNCTION("GOOGLETRANSLATE(B25969,""en"",""zh-CN"")"),"屏幕变黑，有信用滚动，然后是公司名称。")</f>
        <v>屏幕变黑，有信用滚动，然后是公司名称。</v>
      </c>
    </row>
    <row r="25970">
      <c r="A25970" s="4" t="s">
        <v>32691</v>
      </c>
      <c r="B25970" s="4" t="s">
        <v>32692</v>
      </c>
      <c r="C25970" s="5" t="str">
        <f>IFERROR(__xludf.DUMMYFUNCTION("GOOGLETRANSLATE(B25970,""en"",""zh-CN"")"),"一个秃头的男人正在聊天，两张年轻男性的照片在屏幕上闪烁着漂亮的头发。")</f>
        <v>一个秃头的男人正在聊天，两张年轻男性的照片在屏幕上闪烁着漂亮的头发。</v>
      </c>
    </row>
    <row r="25971">
      <c r="A25971" s="4" t="s">
        <v>32691</v>
      </c>
      <c r="B25971" s="6" t="s">
        <v>32693</v>
      </c>
      <c r="C25971" s="5" t="str">
        <f>IFERROR(__xludf.DUMMYFUNCTION("GOOGLETRANSLATE(B25971,""en"",""zh-CN"")"),"然后，该男子开始使用一个与图片中男孩类似的发型的人体模特头，他展示了在嗡嗡作响，剪切，梳理和手指梳理头发时如何实现发型。")</f>
        <v>然后，该男子开始使用一个与图片中男孩类似的发型的人体模特头，他展示了在嗡嗡作响，剪切，梳理和手指梳理头发时如何实现发型。</v>
      </c>
    </row>
    <row r="25972">
      <c r="A25972" s="4" t="s">
        <v>32691</v>
      </c>
      <c r="B25972" s="4" t="s">
        <v>32694</v>
      </c>
      <c r="C25972" s="5" t="str">
        <f>IFERROR(__xludf.DUMMYFUNCTION("GOOGLETRANSLATE(B25972,""en"",""zh-CN"")"),"出现了一个带有白色字母的黑屏，他们读了“感谢您的兴起！请订阅！！”。")</f>
        <v>出现了一个带有白色字母的黑屏，他们读了“感谢您的兴起！请订阅！！”。</v>
      </c>
    </row>
    <row r="25973">
      <c r="A25973" s="4" t="s">
        <v>32695</v>
      </c>
      <c r="B25973" s="4" t="s">
        <v>32696</v>
      </c>
      <c r="C25973" s="5" t="str">
        <f>IFERROR(__xludf.DUMMYFUNCTION("GOOGLETRANSLATE(B25973,""en"",""zh-CN"")"),"一个老人将球传给一群小孩，并最终踢球。")</f>
        <v>一个老人将球传给一群小孩，并最终踢球。</v>
      </c>
    </row>
    <row r="25974">
      <c r="A25974" s="4" t="s">
        <v>32695</v>
      </c>
      <c r="B25974" s="4" t="s">
        <v>32697</v>
      </c>
      <c r="C25974" s="5" t="str">
        <f>IFERROR(__xludf.DUMMYFUNCTION("GOOGLETRANSLATE(B25974,""en"",""zh-CN"")"),"当其他孩子奔跑并一直奔向本垒板时，该男子奔跑。")</f>
        <v>当其他孩子奔跑并一直奔向本垒板时，该男子奔跑。</v>
      </c>
    </row>
    <row r="25975">
      <c r="A25975" s="4" t="s">
        <v>32695</v>
      </c>
      <c r="B25975" s="4" t="s">
        <v>32698</v>
      </c>
      <c r="C25975" s="5" t="str">
        <f>IFERROR(__xludf.DUMMYFUNCTION("GOOGLETRANSLATE(B25975,""en"",""zh-CN"")"),"一个女人用球在基地前奔跑，男人绊倒了她。")</f>
        <v>一个女人用球在基地前奔跑，男人绊倒了她。</v>
      </c>
    </row>
    <row r="25976">
      <c r="A25976" s="4" t="s">
        <v>32695</v>
      </c>
      <c r="B25976" s="4" t="s">
        <v>32699</v>
      </c>
      <c r="C25976" s="5" t="str">
        <f>IFERROR(__xludf.DUMMYFUNCTION("GOOGLETRANSLATE(B25976,""en"",""zh-CN"")"),"他帮助她俩。")</f>
        <v>他帮助她俩。</v>
      </c>
    </row>
    <row r="25977">
      <c r="A25977" s="4" t="s">
        <v>32700</v>
      </c>
      <c r="B25977" s="4" t="s">
        <v>32701</v>
      </c>
      <c r="C25977" s="5" t="str">
        <f>IFERROR(__xludf.DUMMYFUNCTION("GOOGLETRANSLATE(B25977,""en"",""zh-CN"")"),"牛仔参加牛仔竞技比赛。")</f>
        <v>牛仔参加牛仔竞技比赛。</v>
      </c>
    </row>
    <row r="25978">
      <c r="A25978" s="4" t="s">
        <v>32700</v>
      </c>
      <c r="B25978" s="4" t="s">
        <v>32702</v>
      </c>
      <c r="C25978" s="5" t="str">
        <f>IFERROR(__xludf.DUMMYFUNCTION("GOOGLETRANSLATE(B25978,""en"",""zh-CN"")"),"男人骑马从大门上骑着马，然后将公牛绑住，然后卸下并绑腿。")</f>
        <v>男人骑马从大门上骑着马，然后将公牛绑住，然后卸下并绑腿。</v>
      </c>
    </row>
    <row r="25979">
      <c r="A25979" s="4" t="s">
        <v>32700</v>
      </c>
      <c r="B25979" s="4" t="s">
        <v>32703</v>
      </c>
      <c r="C25979" s="5" t="str">
        <f>IFERROR(__xludf.DUMMYFUNCTION("GOOGLETRANSLATE(B25979,""en"",""zh-CN"")"),"获胜者挥舞着他的帽子，并受到其他骑手的祝贺。")</f>
        <v>获胜者挥舞着他的帽子，并受到其他骑手的祝贺。</v>
      </c>
    </row>
    <row r="25980">
      <c r="A25980" s="4" t="s">
        <v>32704</v>
      </c>
      <c r="B25980" s="6" t="s">
        <v>32705</v>
      </c>
      <c r="C25980" s="5" t="str">
        <f>IFERROR(__xludf.DUMMYFUNCTION("GOOGLETRANSLATE(B25980,""en"",""zh-CN"")"),"一个男人坐在鼓盘时与相机交谈，而另一个人在背景中弹鼓。")</f>
        <v>一个男人坐在鼓盘时与相机交谈，而另一个人在背景中弹鼓。</v>
      </c>
    </row>
    <row r="25981">
      <c r="A25981" s="4" t="s">
        <v>32704</v>
      </c>
      <c r="B25981" s="4" t="s">
        <v>32706</v>
      </c>
      <c r="C25981" s="5" t="str">
        <f>IFERROR(__xludf.DUMMYFUNCTION("GOOGLETRANSLATE(B25981,""en"",""zh-CN"")"),"第一个男人弹鼓。")</f>
        <v>第一个男人弹鼓。</v>
      </c>
    </row>
    <row r="25982">
      <c r="A25982" s="4" t="s">
        <v>32704</v>
      </c>
      <c r="B25982" s="4" t="s">
        <v>32707</v>
      </c>
      <c r="C25982" s="5" t="str">
        <f>IFERROR(__xludf.DUMMYFUNCTION("GOOGLETRANSLATE(B25982,""en"",""zh-CN"")"),"第一个男人停止玩耍，转向相机。")</f>
        <v>第一个男人停止玩耍，转向相机。</v>
      </c>
    </row>
    <row r="25983">
      <c r="A25983" s="4" t="s">
        <v>32708</v>
      </c>
      <c r="B25983" s="4" t="s">
        <v>32709</v>
      </c>
      <c r="C25983" s="5" t="str">
        <f>IFERROR(__xludf.DUMMYFUNCTION("GOOGLETRANSLATE(B25983,""en"",""zh-CN"")"),"我们看到了白色的打开屏幕。")</f>
        <v>我们看到了白色的打开屏幕。</v>
      </c>
    </row>
    <row r="25984">
      <c r="A25984" s="4" t="s">
        <v>32708</v>
      </c>
      <c r="B25984" s="4" t="s">
        <v>32710</v>
      </c>
      <c r="C25984" s="5" t="str">
        <f>IFERROR(__xludf.DUMMYFUNCTION("GOOGLETRANSLATE(B25984,""en"",""zh-CN"")"),"一个穿着跳跃的男人将袋子扔在他的肩膀上，离开了一辆储物银行。")</f>
        <v>一个穿着跳跃的男人将袋子扔在他的肩膀上，离开了一辆储物银行。</v>
      </c>
    </row>
    <row r="25985">
      <c r="A25985" s="4" t="s">
        <v>32708</v>
      </c>
      <c r="B25985" s="4" t="s">
        <v>32711</v>
      </c>
      <c r="C25985" s="5" t="str">
        <f>IFERROR(__xludf.DUMMYFUNCTION("GOOGLETRANSLATE(B25985,""en"",""zh-CN"")"),"跳高高跷的那个人从一条城市街上的警察奔跑。")</f>
        <v>跳高高跷的那个人从一条城市街上的警察奔跑。</v>
      </c>
    </row>
    <row r="25986">
      <c r="A25986" s="4" t="s">
        <v>32708</v>
      </c>
      <c r="B25986" s="4" t="s">
        <v>32712</v>
      </c>
      <c r="C25986" s="5" t="str">
        <f>IFERROR(__xludf.DUMMYFUNCTION("GOOGLETRANSLATE(B25986,""en"",""zh-CN"")"),"该男子推过市场。")</f>
        <v>该男子推过市场。</v>
      </c>
    </row>
    <row r="25987">
      <c r="A25987" s="4" t="s">
        <v>32708</v>
      </c>
      <c r="B25987" s="4" t="s">
        <v>32713</v>
      </c>
      <c r="C25987" s="5" t="str">
        <f>IFERROR(__xludf.DUMMYFUNCTION("GOOGLETRANSLATE(B25987,""en"",""zh-CN"")"),"该男子跳过一名女士推动的婴儿车。")</f>
        <v>该男子跳过一名女士推动的婴儿车。</v>
      </c>
    </row>
    <row r="25988">
      <c r="A25988" s="4" t="s">
        <v>32708</v>
      </c>
      <c r="B25988" s="4" t="s">
        <v>32714</v>
      </c>
      <c r="C25988" s="5" t="str">
        <f>IFERROR(__xludf.DUMMYFUNCTION("GOOGLETRANSLATE(B25988,""en"",""zh-CN"")"),"该男子跳过卡车，越过栅栏失去了警察。")</f>
        <v>该男子跳过卡车，越过栅栏失去了警察。</v>
      </c>
    </row>
    <row r="25989">
      <c r="A25989" s="4" t="s">
        <v>32708</v>
      </c>
      <c r="B25989" s="4" t="s">
        <v>32715</v>
      </c>
      <c r="C25989" s="5" t="str">
        <f>IFERROR(__xludf.DUMMYFUNCTION("GOOGLETRANSLATE(B25989,""en"",""zh-CN"")"),"该男子沿着城市街道和上楼梯穿过滑板公园。")</f>
        <v>该男子沿着城市街道和上楼梯穿过滑板公园。</v>
      </c>
    </row>
    <row r="25990">
      <c r="A25990" s="4" t="s">
        <v>32708</v>
      </c>
      <c r="B25990" s="4" t="s">
        <v>32716</v>
      </c>
      <c r="C25990" s="5" t="str">
        <f>IFERROR(__xludf.DUMMYFUNCTION("GOOGLETRANSLATE(B25990,""en"",""zh-CN"")"),"该名男子打开包，算出他的现金。")</f>
        <v>该名男子打开包，算出他的现金。</v>
      </c>
    </row>
    <row r="25991">
      <c r="A25991" s="4" t="s">
        <v>32708</v>
      </c>
      <c r="B25991" s="4" t="s">
        <v>27504</v>
      </c>
      <c r="C25991" s="5" t="str">
        <f>IFERROR(__xludf.DUMMYFUNCTION("GOOGLETRANSLATE(B25991,""en"",""zh-CN"")"),"我们看到了关闭标题屏幕。")</f>
        <v>我们看到了关闭标题屏幕。</v>
      </c>
    </row>
    <row r="25992">
      <c r="A25992" s="4" t="s">
        <v>32717</v>
      </c>
      <c r="B25992" s="6" t="s">
        <v>32718</v>
      </c>
      <c r="C25992" s="5" t="str">
        <f>IFERROR(__xludf.DUMMYFUNCTION("GOOGLETRANSLATE(B25992,""en"",""zh-CN"")"),"一大批人都在碰碰车上骑行，绕着轨道驾驶，互相碰撞。")</f>
        <v>一大批人都在碰碰车上骑行，绕着轨道驾驶，互相碰撞。</v>
      </c>
    </row>
    <row r="25993">
      <c r="A25993" s="4" t="s">
        <v>32717</v>
      </c>
      <c r="B25993" s="4" t="s">
        <v>32719</v>
      </c>
      <c r="C25993" s="5" t="str">
        <f>IFERROR(__xludf.DUMMYFUNCTION("GOOGLETRANSLATE(B25993,""en"",""zh-CN"")"),"人们继续四处逛逛，以一个男人和两个孩子走出去结束。")</f>
        <v>人们继续四处逛逛，以一个男人和两个孩子走出去结束。</v>
      </c>
    </row>
    <row r="25994">
      <c r="A25994" s="4" t="s">
        <v>32720</v>
      </c>
      <c r="B25994" s="4" t="s">
        <v>32721</v>
      </c>
      <c r="C25994" s="5" t="str">
        <f>IFERROR(__xludf.DUMMYFUNCTION("GOOGLETRANSLATE(B25994,""en"",""zh-CN"")"),"屏幕上的介绍显示，引入了冬季抛出视频。")</f>
        <v>屏幕上的介绍显示，引入了冬季抛出视频。</v>
      </c>
    </row>
    <row r="25995">
      <c r="A25995" s="4" t="s">
        <v>32720</v>
      </c>
      <c r="B25995" s="4" t="s">
        <v>32722</v>
      </c>
      <c r="C25995" s="5" t="str">
        <f>IFERROR(__xludf.DUMMYFUNCTION("GOOGLETRANSLATE(B25995,""en"",""zh-CN"")"),"一个男人确实在圆圈中旋转，完成了庆祝自己距离的掷球。")</f>
        <v>一个男人确实在圆圈中旋转，完成了庆祝自己距离的掷球。</v>
      </c>
    </row>
    <row r="25996">
      <c r="A25996" s="4" t="s">
        <v>32720</v>
      </c>
      <c r="B25996" s="4" t="s">
        <v>32723</v>
      </c>
      <c r="C25996" s="5" t="str">
        <f>IFERROR(__xludf.DUMMYFUNCTION("GOOGLETRANSLATE(B25996,""en"",""zh-CN"")"),"他为自己准备就绪而为另一场比赛做准备。")</f>
        <v>他为自己准备就绪而为另一场比赛做准备。</v>
      </c>
    </row>
    <row r="25997">
      <c r="A25997" s="4" t="s">
        <v>32720</v>
      </c>
      <c r="B25997" s="4" t="s">
        <v>32724</v>
      </c>
      <c r="C25997" s="5" t="str">
        <f>IFERROR(__xludf.DUMMYFUNCTION("GOOGLETRANSLATE(B25997,""en"",""zh-CN"")"),"他完成了比赛，为另一个做准备。")</f>
        <v>他完成了比赛，为另一个做准备。</v>
      </c>
    </row>
    <row r="25998">
      <c r="A25998" s="4" t="s">
        <v>32720</v>
      </c>
      <c r="B25998" s="4" t="s">
        <v>32725</v>
      </c>
      <c r="C25998" s="5" t="str">
        <f>IFERROR(__xludf.DUMMYFUNCTION("GOOGLETRANSLATE(B25998,""en"",""zh-CN"")"),"他完成了下一个掷球并为下一场做准备。")</f>
        <v>他完成了下一个掷球并为下一场做准备。</v>
      </c>
    </row>
    <row r="25999">
      <c r="A25999" s="4" t="s">
        <v>32720</v>
      </c>
      <c r="B25999" s="4" t="s">
        <v>32726</v>
      </c>
      <c r="C25999" s="5" t="str">
        <f>IFERROR(__xludf.DUMMYFUNCTION("GOOGLETRANSLATE(B25999,""en"",""zh-CN"")"),"他完成了最后一球，再次庆祝了一段距离。")</f>
        <v>他完成了最后一球，再次庆祝了一段距离。</v>
      </c>
    </row>
    <row r="26000">
      <c r="A26000" s="4" t="s">
        <v>32720</v>
      </c>
      <c r="B26000" s="4" t="s">
        <v>32727</v>
      </c>
      <c r="C26000" s="5" t="str">
        <f>IFERROR(__xludf.DUMMYFUNCTION("GOOGLETRANSLATE(B26000,""en"",""zh-CN"")"),"视频以屏幕上显示的文字结尾。")</f>
        <v>视频以屏幕上显示的文字结尾。</v>
      </c>
    </row>
    <row r="26001">
      <c r="A26001" s="4" t="s">
        <v>32728</v>
      </c>
      <c r="B26001" s="4" t="s">
        <v>32729</v>
      </c>
      <c r="C26001" s="5" t="str">
        <f>IFERROR(__xludf.DUMMYFUNCTION("GOOGLETRANSLATE(B26001,""en"",""zh-CN"")"),"两个女孩在客厅的电视机前练习舞蹈动作。")</f>
        <v>两个女孩在客厅的电视机前练习舞蹈动作。</v>
      </c>
    </row>
    <row r="26002">
      <c r="A26002" s="4" t="s">
        <v>32728</v>
      </c>
      <c r="B26002" s="4" t="s">
        <v>32730</v>
      </c>
      <c r="C26002" s="5" t="str">
        <f>IFERROR(__xludf.DUMMYFUNCTION("GOOGLETRANSLATE(B26002,""en"",""zh-CN"")"),"其中一个女孩穿着红色衬衫，另一个女孩穿着一件深蓝色衬衫。")</f>
        <v>其中一个女孩穿着红色衬衫，另一个女孩穿着一件深蓝色衬衫。</v>
      </c>
    </row>
    <row r="26003">
      <c r="A26003" s="4" t="s">
        <v>32728</v>
      </c>
      <c r="B26003" s="4" t="s">
        <v>32731</v>
      </c>
      <c r="C26003" s="5" t="str">
        <f>IFERROR(__xludf.DUMMYFUNCTION("GOOGLETRANSLATE(B26003,""en"",""zh-CN"")"),"他们正在练习舞厅跳舞。")</f>
        <v>他们正在练习舞厅跳舞。</v>
      </c>
    </row>
    <row r="26004">
      <c r="A26004" s="4" t="s">
        <v>32728</v>
      </c>
      <c r="B26004" s="4" t="s">
        <v>32732</v>
      </c>
      <c r="C26004" s="5" t="str">
        <f>IFERROR(__xludf.DUMMYFUNCTION("GOOGLETRANSLATE(B26004,""en"",""zh-CN"")"),"他们轮流摇摆并旋转着圆圈。")</f>
        <v>他们轮流摇摆并旋转着圆圈。</v>
      </c>
    </row>
    <row r="26005">
      <c r="A26005" s="4" t="s">
        <v>32728</v>
      </c>
      <c r="B26005" s="4" t="s">
        <v>32733</v>
      </c>
      <c r="C26005" s="5" t="str">
        <f>IFERROR(__xludf.DUMMYFUNCTION("GOOGLETRANSLATE(B26005,""en"",""zh-CN"")"),"当他们节奏地遵循步骤时，他们还遵循腿部运动的模式。")</f>
        <v>当他们节奏地遵循步骤时，他们还遵循腿部运动的模式。</v>
      </c>
    </row>
    <row r="26006">
      <c r="A26006" s="4" t="s">
        <v>32728</v>
      </c>
      <c r="B26006" s="4" t="s">
        <v>32734</v>
      </c>
      <c r="C26006" s="5" t="str">
        <f>IFERROR(__xludf.DUMMYFUNCTION("GOOGLETRANSLATE(B26006,""en"",""zh-CN"")"),"完成后，他们俩都咯咯笑着走开。")</f>
        <v>完成后，他们俩都咯咯笑着走开。</v>
      </c>
    </row>
    <row r="26007">
      <c r="A26007" s="4" t="s">
        <v>32735</v>
      </c>
      <c r="B26007" s="4" t="s">
        <v>32736</v>
      </c>
      <c r="C26007" s="5" t="str">
        <f>IFERROR(__xludf.DUMMYFUNCTION("GOOGLETRANSLATE(B26007,""en"",""zh-CN"")"),"图片显示了一个静止的图像，dog遍布美国的单词上映。")</f>
        <v>图片显示了一个静止的图像，dog遍布美国的单词上映。</v>
      </c>
    </row>
    <row r="26008">
      <c r="A26008" s="4" t="s">
        <v>32735</v>
      </c>
      <c r="B26008" s="6" t="s">
        <v>32737</v>
      </c>
      <c r="C26008" s="5" t="str">
        <f>IFERROR(__xludf.DUMMYFUNCTION("GOOGLETRANSLATE(B26008,""en"",""zh-CN"")"),"然后，一对中年夫妇在与狗在他们身后漫游的狗交谈的原木上，另一个坐在大巨石岩石上的人说话。")</f>
        <v>然后，一对中年夫妇在与狗在他们身后漫游的狗交谈的原木上，另一个坐在大巨石岩石上的人说话。</v>
      </c>
    </row>
    <row r="26009">
      <c r="A26009" s="4" t="s">
        <v>32735</v>
      </c>
      <c r="B26009" s="4" t="s">
        <v>32738</v>
      </c>
      <c r="C26009" s="5" t="str">
        <f>IFERROR(__xludf.DUMMYFUNCTION("GOOGLETRANSLATE(B26009,""en"",""zh-CN"")"),"然后显示了几张狗的图像，然后单独出现了女人。")</f>
        <v>然后显示了几张狗的图像，然后单独出现了女人。</v>
      </c>
    </row>
    <row r="26010">
      <c r="A26010" s="4" t="s">
        <v>32735</v>
      </c>
      <c r="B26010" s="4" t="s">
        <v>32739</v>
      </c>
      <c r="C26010" s="5" t="str">
        <f>IFERROR(__xludf.DUMMYFUNCTION("GOOGLETRANSLATE(B26010,""en"",""zh-CN"")"),"然后显示了另一组图像，其中狗正在帮助狗。")</f>
        <v>然后显示了另一组图像，其中狗正在帮助狗。</v>
      </c>
    </row>
    <row r="26011">
      <c r="A26011" s="4" t="s">
        <v>32735</v>
      </c>
      <c r="B26011" s="4" t="s">
        <v>32740</v>
      </c>
      <c r="C26011" s="5" t="str">
        <f>IFERROR(__xludf.DUMMYFUNCTION("GOOGLETRANSLATE(B26011,""en"",""zh-CN"")"),"然后，男人与女士重新出现，他们再次开始交谈。")</f>
        <v>然后，男人与女士重新出现，他们再次开始交谈。</v>
      </c>
    </row>
    <row r="26012">
      <c r="A26012" s="4" t="s">
        <v>32735</v>
      </c>
      <c r="B26012" s="4" t="s">
        <v>32741</v>
      </c>
      <c r="C26012" s="5" t="str">
        <f>IFERROR(__xludf.DUMMYFUNCTION("GOOGLETRANSLATE(B26012,""en"",""zh-CN"")"),"最后，该男子走了下来，出现了一个黑屏，显示了多个网站。")</f>
        <v>最后，该男子走了下来，出现了一个黑屏，显示了多个网站。</v>
      </c>
    </row>
    <row r="26013">
      <c r="A26013" s="4" t="s">
        <v>32742</v>
      </c>
      <c r="B26013" s="4" t="s">
        <v>32743</v>
      </c>
      <c r="C26013" s="5" t="str">
        <f>IFERROR(__xludf.DUMMYFUNCTION("GOOGLETRANSLATE(B26013,""en"",""zh-CN"")"),"一些男孩在健身房里。")</f>
        <v>一些男孩在健身房里。</v>
      </c>
    </row>
    <row r="26014">
      <c r="A26014" s="4" t="s">
        <v>32742</v>
      </c>
      <c r="B26014" s="4" t="s">
        <v>32744</v>
      </c>
      <c r="C26014" s="5" t="str">
        <f>IFERROR(__xludf.DUMMYFUNCTION("GOOGLETRANSLATE(B26014,""en"",""zh-CN"")"),"他们轮流堆叠一堆轮胎。")</f>
        <v>他们轮流堆叠一堆轮胎。</v>
      </c>
    </row>
    <row r="26015">
      <c r="A26015" s="4" t="s">
        <v>32742</v>
      </c>
      <c r="B26015" s="4" t="s">
        <v>32745</v>
      </c>
      <c r="C26015" s="5" t="str">
        <f>IFERROR(__xludf.DUMMYFUNCTION("GOOGLETRANSLATE(B26015,""en"",""zh-CN"")"),"每次添加后，其中一个跳跃并站在顶部。")</f>
        <v>每次添加后，其中一个跳跃并站在顶部。</v>
      </c>
    </row>
    <row r="26016">
      <c r="A26016" s="4" t="s">
        <v>32746</v>
      </c>
      <c r="B26016" s="4" t="s">
        <v>32747</v>
      </c>
      <c r="C26016" s="5" t="str">
        <f>IFERROR(__xludf.DUMMYFUNCTION("GOOGLETRANSLATE(B26016,""en"",""zh-CN"")"),"男人在一个笨拙的健身房里伸展腿，在椅子前进行运动。")</f>
        <v>男人在一个笨拙的健身房里伸展腿，在椅子前进行运动。</v>
      </c>
    </row>
    <row r="26017">
      <c r="A26017" s="4" t="s">
        <v>32746</v>
      </c>
      <c r="B26017" s="4" t="s">
        <v>32748</v>
      </c>
      <c r="C26017" s="5" t="str">
        <f>IFERROR(__xludf.DUMMYFUNCTION("GOOGLETRANSLATE(B26017,""en"",""zh-CN"")"),"该人弯曲另一只腿并伸展。")</f>
        <v>该人弯曲另一只腿并伸展。</v>
      </c>
    </row>
    <row r="26018">
      <c r="A26018" s="4" t="s">
        <v>32749</v>
      </c>
      <c r="B26018" s="4" t="s">
        <v>32750</v>
      </c>
      <c r="C26018" s="5" t="str">
        <f>IFERROR(__xludf.DUMMYFUNCTION("GOOGLETRANSLATE(B26018,""en"",""zh-CN"")"),"一个男人跪下来抓住体重，而一个男人看着他。")</f>
        <v>一个男人跪下来抓住体重，而一个男人看着他。</v>
      </c>
    </row>
    <row r="26019">
      <c r="A26019" s="4" t="s">
        <v>32749</v>
      </c>
      <c r="B26019" s="4" t="s">
        <v>32751</v>
      </c>
      <c r="C26019" s="5" t="str">
        <f>IFERROR(__xludf.DUMMYFUNCTION("GOOGLETRANSLATE(B26019,""en"",""zh-CN"")"),"一个裸照的胖子练习举重男人后面。")</f>
        <v>一个裸照的胖子练习举重男人后面。</v>
      </c>
    </row>
    <row r="26020">
      <c r="A26020" s="4" t="s">
        <v>32749</v>
      </c>
      <c r="B26020" s="4" t="s">
        <v>32752</v>
      </c>
      <c r="C26020" s="5" t="str">
        <f>IFERROR(__xludf.DUMMYFUNCTION("GOOGLETRANSLATE(B26020,""en"",""zh-CN"")"),"一个人的背部举重。")</f>
        <v>一个人的背部举重。</v>
      </c>
    </row>
    <row r="26021">
      <c r="A26021" s="4" t="s">
        <v>32749</v>
      </c>
      <c r="B26021" s="4" t="s">
        <v>32753</v>
      </c>
      <c r="C26021" s="5" t="str">
        <f>IFERROR(__xludf.DUMMYFUNCTION("GOOGLETRANSLATE(B26021,""en"",""zh-CN"")"),"然后，该男子将重量放到地板上后，举重。")</f>
        <v>然后，该男子将重量放到地板上后，举重。</v>
      </c>
    </row>
    <row r="26022">
      <c r="A26022" s="4" t="s">
        <v>32749</v>
      </c>
      <c r="B26022" s="4" t="s">
        <v>32754</v>
      </c>
      <c r="C26022" s="5" t="str">
        <f>IFERROR(__xludf.DUMMYFUNCTION("GOOGLETRANSLATE(B26022,""en"",""zh-CN"")"),"同样，该男子再次跪下，将重物抬起头顶，然后将其放下。")</f>
        <v>同样，该男子再次跪下，将重物抬起头顶，然后将其放下。</v>
      </c>
    </row>
    <row r="26023">
      <c r="A26023" s="4" t="s">
        <v>32755</v>
      </c>
      <c r="B26023" s="4" t="s">
        <v>32756</v>
      </c>
      <c r="C26023" s="5" t="str">
        <f>IFERROR(__xludf.DUMMYFUNCTION("GOOGLETRANSLATE(B26023,""en"",""zh-CN"")"),"两个人坐在桌子旁。")</f>
        <v>两个人坐在桌子旁。</v>
      </c>
    </row>
    <row r="26024">
      <c r="A26024" s="4" t="s">
        <v>32755</v>
      </c>
      <c r="B26024" s="4" t="s">
        <v>32757</v>
      </c>
      <c r="C26024" s="5" t="str">
        <f>IFERROR(__xludf.DUMMYFUNCTION("GOOGLETRANSLATE(B26024,""en"",""zh-CN"")"),"那个最接近相机钩针编织的人。")</f>
        <v>那个最接近相机钩针编织的人。</v>
      </c>
    </row>
    <row r="26025">
      <c r="A26025" s="4" t="s">
        <v>32755</v>
      </c>
      <c r="B26025" s="4" t="s">
        <v>32758</v>
      </c>
      <c r="C26025" s="5" t="str">
        <f>IFERROR(__xludf.DUMMYFUNCTION("GOOGLETRANSLATE(B26025,""en"",""zh-CN"")"),"最接近摄像机的那个人抓挠耳朵。")</f>
        <v>最接近摄像机的那个人抓挠耳朵。</v>
      </c>
    </row>
    <row r="26026">
      <c r="A26026" s="4" t="s">
        <v>32759</v>
      </c>
      <c r="B26026" s="4" t="s">
        <v>32760</v>
      </c>
      <c r="C26026" s="5" t="str">
        <f>IFERROR(__xludf.DUMMYFUNCTION("GOOGLETRANSLATE(B26026,""en"",""zh-CN"")"),"一个人持有标枪并准备启动它。")</f>
        <v>一个人持有标枪并准备启动它。</v>
      </c>
    </row>
    <row r="26027">
      <c r="A26027" s="4" t="s">
        <v>32759</v>
      </c>
      <c r="B26027" s="4" t="s">
        <v>32761</v>
      </c>
      <c r="C26027" s="5" t="str">
        <f>IFERROR(__xludf.DUMMYFUNCTION("GOOGLETRANSLATE(B26027,""en"",""zh-CN"")"),"然后，该男子运行并发射标枪。")</f>
        <v>然后，该男子运行并发射标枪。</v>
      </c>
    </row>
    <row r="26028">
      <c r="A26028" s="4" t="s">
        <v>32762</v>
      </c>
      <c r="B26028" s="4" t="s">
        <v>32763</v>
      </c>
      <c r="C26028" s="5" t="str">
        <f>IFERROR(__xludf.DUMMYFUNCTION("GOOGLETRANSLATE(B26028,""en"",""zh-CN"")"),"一个女人演示了如何将墙纸涂在墙上。")</f>
        <v>一个女人演示了如何将墙纸涂在墙上。</v>
      </c>
    </row>
    <row r="26029">
      <c r="A26029" s="4" t="s">
        <v>32762</v>
      </c>
      <c r="B26029" s="4" t="s">
        <v>32764</v>
      </c>
      <c r="C26029" s="5" t="str">
        <f>IFERROR(__xludf.DUMMYFUNCTION("GOOGLETRANSLATE(B26029,""en"",""zh-CN"")"),"女人拿起应用墙纸所需的各种工具。")</f>
        <v>女人拿起应用墙纸所需的各种工具。</v>
      </c>
    </row>
    <row r="26030">
      <c r="A26030" s="4" t="s">
        <v>32762</v>
      </c>
      <c r="B26030" s="6" t="s">
        <v>32765</v>
      </c>
      <c r="C26030" s="5" t="str">
        <f>IFERROR(__xludf.DUMMYFUNCTION("GOOGLETRANSLATE(B26030,""en"",""zh-CN"")"),"该名女士在简短的演示段中应用论文之前证明了这一过程。")</f>
        <v>该名女士在简短的演示段中应用论文之前证明了这一过程。</v>
      </c>
    </row>
    <row r="26031">
      <c r="A26031" s="4" t="s">
        <v>32762</v>
      </c>
      <c r="B26031" s="4" t="s">
        <v>32766</v>
      </c>
      <c r="C26031" s="5" t="str">
        <f>IFERROR(__xludf.DUMMYFUNCTION("GOOGLETRANSLATE(B26031,""en"",""zh-CN"")"),"然后，女人开始逐步将墙纸应用于墙壁。")</f>
        <v>然后，女人开始逐步将墙纸应用于墙壁。</v>
      </c>
    </row>
    <row r="26032">
      <c r="A26032" s="4" t="s">
        <v>32767</v>
      </c>
      <c r="B26032" s="4" t="s">
        <v>32768</v>
      </c>
      <c r="C26032" s="5" t="str">
        <f>IFERROR(__xludf.DUMMYFUNCTION("GOOGLETRANSLATE(B26032,""en"",""zh-CN"")"),"一个人的赤脚在楼梯上行走。")</f>
        <v>一个人的赤脚在楼梯上行走。</v>
      </c>
    </row>
    <row r="26033">
      <c r="A26033" s="4" t="s">
        <v>32767</v>
      </c>
      <c r="B26033" s="4" t="s">
        <v>32769</v>
      </c>
      <c r="C26033" s="5" t="str">
        <f>IFERROR(__xludf.DUMMYFUNCTION("GOOGLETRANSLATE(B26033,""en"",""zh-CN"")"),"然后，向不同的人展示了潜水板中的潜水。")</f>
        <v>然后，向不同的人展示了潜水板中的潜水。</v>
      </c>
    </row>
    <row r="26034">
      <c r="A26034" s="4" t="s">
        <v>32767</v>
      </c>
      <c r="B26034" s="4" t="s">
        <v>32770</v>
      </c>
      <c r="C26034" s="5" t="str">
        <f>IFERROR(__xludf.DUMMYFUNCTION("GOOGLETRANSLATE(B26034,""en"",""zh-CN"")"),"女子和男孩也在跳跃，每个人都降落在室外游泳池中。")</f>
        <v>女子和男孩也在跳跃，每个人都降落在室外游泳池中。</v>
      </c>
    </row>
    <row r="26035">
      <c r="A26035" s="4" t="s">
        <v>32771</v>
      </c>
      <c r="B26035" s="4" t="s">
        <v>32772</v>
      </c>
      <c r="C26035" s="5" t="str">
        <f>IFERROR(__xludf.DUMMYFUNCTION("GOOGLETRANSLATE(B26035,""en"",""zh-CN"")"),"一名雌性躺在她的背部锻炼身体的内部。")</f>
        <v>一名雌性躺在她的背部锻炼身体的内部。</v>
      </c>
    </row>
    <row r="26036">
      <c r="A26036" s="4" t="s">
        <v>32771</v>
      </c>
      <c r="B26036" s="4" t="s">
        <v>32773</v>
      </c>
      <c r="C26036" s="5" t="str">
        <f>IFERROR(__xludf.DUMMYFUNCTION("GOOGLETRANSLATE(B26036,""en"",""zh-CN"")"),"她穿着黑色和粉红色，锻炼时看起来很舒适。")</f>
        <v>她穿着黑色和粉红色，锻炼时看起来很舒适。</v>
      </c>
    </row>
    <row r="26037">
      <c r="A26037" s="4" t="s">
        <v>32771</v>
      </c>
      <c r="B26037" s="4" t="s">
        <v>32774</v>
      </c>
      <c r="C26037" s="5" t="str">
        <f>IFERROR(__xludf.DUMMYFUNCTION("GOOGLETRANSLATE(B26037,""en"",""zh-CN"")"),"她抬起手臂，双腿抬高到身体的中心。")</f>
        <v>她抬起手臂，双腿抬高到身体的中心。</v>
      </c>
    </row>
    <row r="26038">
      <c r="A26038" s="4" t="s">
        <v>32771</v>
      </c>
      <c r="B26038" s="4" t="s">
        <v>32775</v>
      </c>
      <c r="C26038" s="5" t="str">
        <f>IFERROR(__xludf.DUMMYFUNCTION("GOOGLETRANSLATE(B26038,""en"",""zh-CN"")"),"她反复做了一段时间。")</f>
        <v>她反复做了一段时间。</v>
      </c>
    </row>
    <row r="26039">
      <c r="A26039" s="4" t="s">
        <v>32776</v>
      </c>
      <c r="B26039" s="4" t="s">
        <v>19329</v>
      </c>
      <c r="C26039" s="5" t="str">
        <f>IFERROR(__xludf.DUMMYFUNCTION("GOOGLETRANSLATE(B26039,""en"",""zh-CN"")"),"我们看到正在玩曲棍球游戏。")</f>
        <v>我们看到正在玩曲棍球游戏。</v>
      </c>
    </row>
    <row r="26040">
      <c r="A26040" s="4" t="s">
        <v>32776</v>
      </c>
      <c r="B26040" s="4" t="s">
        <v>32777</v>
      </c>
      <c r="C26040" s="5" t="str">
        <f>IFERROR(__xludf.DUMMYFUNCTION("GOOGLETRANSLATE(B26040,""en"",""zh-CN"")"),"球员们急忙开始战斗。")</f>
        <v>球员们急忙开始战斗。</v>
      </c>
    </row>
    <row r="26041">
      <c r="A26041" s="4" t="s">
        <v>32776</v>
      </c>
      <c r="B26041" s="4" t="s">
        <v>32778</v>
      </c>
      <c r="C26041" s="5" t="str">
        <f>IFERROR(__xludf.DUMMYFUNCTION("GOOGLETRANSLATE(B26041,""en"",""zh-CN"")"),"一个人猛击某人的头。")</f>
        <v>一个人猛击某人的头。</v>
      </c>
    </row>
    <row r="26042">
      <c r="A26042" s="4" t="s">
        <v>32776</v>
      </c>
      <c r="B26042" s="4" t="s">
        <v>32779</v>
      </c>
      <c r="C26042" s="5" t="str">
        <f>IFERROR(__xludf.DUMMYFUNCTION("GOOGLETRANSLATE(B26042,""en"",""zh-CN"")"),"教练正试图与另一位教练作战。")</f>
        <v>教练正试图与另一位教练作战。</v>
      </c>
    </row>
    <row r="26043">
      <c r="A26043" s="4" t="s">
        <v>32776</v>
      </c>
      <c r="B26043" s="4" t="s">
        <v>32780</v>
      </c>
      <c r="C26043" s="5" t="str">
        <f>IFERROR(__xludf.DUMMYFUNCTION("GOOGLETRANSLATE(B26043,""en"",""zh-CN"")"),"一个男人爬过阳台试图打架。")</f>
        <v>一个男人爬过阳台试图打架。</v>
      </c>
    </row>
    <row r="26044">
      <c r="A26044" s="4" t="s">
        <v>32776</v>
      </c>
      <c r="B26044" s="4" t="s">
        <v>32781</v>
      </c>
      <c r="C26044" s="5" t="str">
        <f>IFERROR(__xludf.DUMMYFUNCTION("GOOGLETRANSLATE(B26044,""en"",""zh-CN"")"),"红队聚集并互相拥抱。")</f>
        <v>红队聚集并互相拥抱。</v>
      </c>
    </row>
    <row r="26045">
      <c r="A26045" s="4" t="s">
        <v>32782</v>
      </c>
      <c r="B26045" s="4" t="s">
        <v>32783</v>
      </c>
      <c r="C26045" s="5" t="str">
        <f>IFERROR(__xludf.DUMMYFUNCTION("GOOGLETRANSLATE(B26045,""en"",""zh-CN"")"),"排球教练站在拿着球的网旁说话。")</f>
        <v>排球教练站在拿着球的网旁说话。</v>
      </c>
    </row>
    <row r="26046">
      <c r="A26046" s="4" t="s">
        <v>32782</v>
      </c>
      <c r="B26046" s="4" t="s">
        <v>32784</v>
      </c>
      <c r="C26046" s="5" t="str">
        <f>IFERROR(__xludf.DUMMYFUNCTION("GOOGLETRANSLATE(B26046,""en"",""zh-CN"")"),"两组女孩跑到法庭中间抓住排球。")</f>
        <v>两组女孩跑到法庭中间抓住排球。</v>
      </c>
    </row>
    <row r="26047">
      <c r="A26047" s="4" t="s">
        <v>32782</v>
      </c>
      <c r="B26047" s="4" t="s">
        <v>32785</v>
      </c>
      <c r="C26047" s="5" t="str">
        <f>IFERROR(__xludf.DUMMYFUNCTION("GOOGLETRANSLATE(B26047,""en"",""zh-CN"")"),"他们互相扔球。")</f>
        <v>他们互相扔球。</v>
      </c>
    </row>
    <row r="26048">
      <c r="A26048" s="4" t="s">
        <v>32782</v>
      </c>
      <c r="B26048" s="4" t="s">
        <v>32786</v>
      </c>
      <c r="C26048" s="5" t="str">
        <f>IFERROR(__xludf.DUMMYFUNCTION("GOOGLETRANSLATE(B26048,""en"",""zh-CN"")"),"看到教练给出指示。")</f>
        <v>看到教练给出指示。</v>
      </c>
    </row>
    <row r="26049">
      <c r="A26049" s="4" t="s">
        <v>32782</v>
      </c>
      <c r="B26049" s="4" t="s">
        <v>32787</v>
      </c>
      <c r="C26049" s="5" t="str">
        <f>IFERROR(__xludf.DUMMYFUNCTION("GOOGLETRANSLATE(B26049,""en"",""zh-CN"")"),"女孩们继续互相扔球。")</f>
        <v>女孩们继续互相扔球。</v>
      </c>
    </row>
    <row r="26050">
      <c r="A26050" s="4" t="s">
        <v>32782</v>
      </c>
      <c r="B26050" s="4" t="s">
        <v>32788</v>
      </c>
      <c r="C26050" s="5" t="str">
        <f>IFERROR(__xludf.DUMMYFUNCTION("GOOGLETRANSLATE(B26050,""en"",""zh-CN"")"),"两个女孩站在场外讲话。")</f>
        <v>两个女孩站在场外讲话。</v>
      </c>
    </row>
    <row r="26051">
      <c r="A26051" s="4" t="s">
        <v>32789</v>
      </c>
      <c r="B26051" s="4" t="s">
        <v>32790</v>
      </c>
      <c r="C26051" s="5" t="str">
        <f>IFERROR(__xludf.DUMMYFUNCTION("GOOGLETRANSLATE(B26051,""en"",""zh-CN"")"),"人们坐在休息室里坐着无聊。")</f>
        <v>人们坐在休息室里坐着无聊。</v>
      </c>
    </row>
    <row r="26052">
      <c r="A26052" s="4" t="s">
        <v>32789</v>
      </c>
      <c r="B26052" s="4" t="s">
        <v>32791</v>
      </c>
      <c r="C26052" s="5" t="str">
        <f>IFERROR(__xludf.DUMMYFUNCTION("GOOGLETRANSLATE(B26052,""en"",""zh-CN"")"),"一个男人走着拿着便携式啤酒乒乓球桌。")</f>
        <v>一个男人走着拿着便携式啤酒乒乓球桌。</v>
      </c>
    </row>
    <row r="26053">
      <c r="A26053" s="4" t="s">
        <v>32789</v>
      </c>
      <c r="B26053" s="4" t="s">
        <v>32792</v>
      </c>
      <c r="C26053" s="5" t="str">
        <f>IFERROR(__xludf.DUMMYFUNCTION("GOOGLETRANSLATE(B26053,""en"",""zh-CN"")"),"人们为他感到兴奋。")</f>
        <v>人们为他感到兴奋。</v>
      </c>
    </row>
    <row r="26054">
      <c r="A26054" s="4" t="s">
        <v>32789</v>
      </c>
      <c r="B26054" s="4" t="s">
        <v>32793</v>
      </c>
      <c r="C26054" s="5" t="str">
        <f>IFERROR(__xludf.DUMMYFUNCTION("GOOGLETRANSLATE(B26054,""en"",""zh-CN"")"),"他们演奏几轮啤酒乒乓球。")</f>
        <v>他们演奏几轮啤酒乒乓球。</v>
      </c>
    </row>
    <row r="26055">
      <c r="A26055" s="4" t="s">
        <v>32789</v>
      </c>
      <c r="B26055" s="4" t="s">
        <v>32794</v>
      </c>
      <c r="C26055" s="5" t="str">
        <f>IFERROR(__xludf.DUMMYFUNCTION("GOOGLETRANSLATE(B26055,""en"",""zh-CN"")"),"一个男人在一群人面前举起乒乓球。")</f>
        <v>一个男人在一群人面前举起乒乓球。</v>
      </c>
    </row>
    <row r="26056">
      <c r="A26056" s="4" t="s">
        <v>32789</v>
      </c>
      <c r="B26056" s="4" t="s">
        <v>32795</v>
      </c>
      <c r="C26056" s="5" t="str">
        <f>IFERROR(__xludf.DUMMYFUNCTION("GOOGLETRANSLATE(B26056,""en"",""zh-CN"")"),"文字出现在屏幕上。")</f>
        <v>文字出现在屏幕上。</v>
      </c>
    </row>
    <row r="26057">
      <c r="A26057" s="4" t="s">
        <v>32796</v>
      </c>
      <c r="B26057" s="4" t="s">
        <v>32797</v>
      </c>
      <c r="C26057" s="5" t="str">
        <f>IFERROR(__xludf.DUMMYFUNCTION("GOOGLETRANSLATE(B26057,""en"",""zh-CN"")"),"一名滑板运动员沿着陡峭的道路滚动。")</f>
        <v>一名滑板运动员沿着陡峭的道路滚动。</v>
      </c>
    </row>
    <row r="26058">
      <c r="A26058" s="4" t="s">
        <v>32796</v>
      </c>
      <c r="B26058" s="4" t="s">
        <v>32798</v>
      </c>
      <c r="C26058" s="5" t="str">
        <f>IFERROR(__xludf.DUMMYFUNCTION("GOOGLETRANSLATE(B26058,""en"",""zh-CN"")"),"滑板手从公共街道的中间滚动。")</f>
        <v>滑板手从公共街道的中间滚动。</v>
      </c>
    </row>
    <row r="26059">
      <c r="A26059" s="4" t="s">
        <v>32796</v>
      </c>
      <c r="B26059" s="4" t="s">
        <v>32799</v>
      </c>
      <c r="C26059" s="5" t="str">
        <f>IFERROR(__xludf.DUMMYFUNCTION("GOOGLETRANSLATE(B26059,""en"",""zh-CN"")"),"“公平的橡树长板”一词以及溜冰者出现的信用。")</f>
        <v>“公平的橡树长板”一词以及溜冰者出现的信用。</v>
      </c>
    </row>
    <row r="26060">
      <c r="A26060" s="4" t="s">
        <v>32800</v>
      </c>
      <c r="B26060" s="4" t="s">
        <v>32801</v>
      </c>
      <c r="C26060" s="5" t="str">
        <f>IFERROR(__xludf.DUMMYFUNCTION("GOOGLETRANSLATE(B26060,""en"",""zh-CN"")"),"一只猫躺在沙发上。")</f>
        <v>一只猫躺在沙发上。</v>
      </c>
    </row>
    <row r="26061">
      <c r="A26061" s="4" t="s">
        <v>32800</v>
      </c>
      <c r="B26061" s="4" t="s">
        <v>32802</v>
      </c>
      <c r="C26061" s="5" t="str">
        <f>IFERROR(__xludf.DUMMYFUNCTION("GOOGLETRANSLATE(B26061,""en"",""zh-CN"")"),"一个人捡起猫，将其放在腿上。")</f>
        <v>一个人捡起猫，将其放在腿上。</v>
      </c>
    </row>
    <row r="26062">
      <c r="A26062" s="4" t="s">
        <v>32800</v>
      </c>
      <c r="B26062" s="4" t="s">
        <v>32803</v>
      </c>
      <c r="C26062" s="5" t="str">
        <f>IFERROR(__xludf.DUMMYFUNCTION("GOOGLETRANSLATE(B26062,""en"",""zh-CN"")"),"他们开始剪裁猫指甲。")</f>
        <v>他们开始剪裁猫指甲。</v>
      </c>
    </row>
    <row r="26063">
      <c r="A26063" s="4" t="s">
        <v>32804</v>
      </c>
      <c r="B26063" s="4" t="s">
        <v>32805</v>
      </c>
      <c r="C26063" s="5" t="str">
        <f>IFERROR(__xludf.DUMMYFUNCTION("GOOGLETRANSLATE(B26063,""en"",""zh-CN"")"),"一辆比基尼有一个女人，带着呼啦圈越过人。")</f>
        <v>一辆比基尼有一个女人，带着呼啦圈越过人。</v>
      </c>
    </row>
    <row r="26064">
      <c r="A26064" s="4" t="s">
        <v>32804</v>
      </c>
      <c r="B26064" s="6" t="s">
        <v>32806</v>
      </c>
      <c r="C26064" s="5" t="str">
        <f>IFERROR(__xludf.DUMMYFUNCTION("GOOGLETRANSLATE(B26064,""en"",""zh-CN"")"),"她去了草地，开始盘旋，她度过了一段美好的时光跳舞和挣扎。")</f>
        <v>她去了草地，开始盘旋，她度过了一段美好的时光跳舞和挣扎。</v>
      </c>
    </row>
    <row r="26065">
      <c r="A26065" s="4" t="s">
        <v>32804</v>
      </c>
      <c r="B26065" s="4" t="s">
        <v>32807</v>
      </c>
      <c r="C26065" s="5" t="str">
        <f>IFERROR(__xludf.DUMMYFUNCTION("GOOGLETRANSLATE(B26065,""en"",""zh-CN"")"),"然后，其他人也在四处跳舞，也徘徊，做技巧和享受这一天。")</f>
        <v>然后，其他人也在四处跳舞，也徘徊，做技巧和享受这一天。</v>
      </c>
    </row>
    <row r="26066">
      <c r="A26066" s="4" t="s">
        <v>32804</v>
      </c>
      <c r="B26066" s="4" t="s">
        <v>32808</v>
      </c>
      <c r="C26066" s="5" t="str">
        <f>IFERROR(__xludf.DUMMYFUNCTION("GOOGLETRANSLATE(B26066,""en"",""zh-CN"")"),"每个人都在看着两个女孩在商店外面徘徊。")</f>
        <v>每个人都在看着两个女孩在商店外面徘徊。</v>
      </c>
    </row>
    <row r="26067">
      <c r="A26067" s="4" t="s">
        <v>32809</v>
      </c>
      <c r="B26067" s="4" t="s">
        <v>32810</v>
      </c>
      <c r="C26067" s="5" t="str">
        <f>IFERROR(__xludf.DUMMYFUNCTION("GOOGLETRANSLATE(B26067,""en"",""zh-CN"")"),"一个小女孩在下雪的一天外面。")</f>
        <v>一个小女孩在下雪的一天外面。</v>
      </c>
    </row>
    <row r="26068">
      <c r="A26068" s="4" t="s">
        <v>32809</v>
      </c>
      <c r="B26068" s="4" t="s">
        <v>32811</v>
      </c>
      <c r="C26068" s="5" t="str">
        <f>IFERROR(__xludf.DUMMYFUNCTION("GOOGLETRANSLATE(B26068,""en"",""zh-CN"")"),"她正在玩在车道上吸引的啤酒花。")</f>
        <v>她正在玩在车道上吸引的啤酒花。</v>
      </c>
    </row>
    <row r="26069">
      <c r="A26069" s="4" t="s">
        <v>32809</v>
      </c>
      <c r="B26069" s="4" t="s">
        <v>32812</v>
      </c>
      <c r="C26069" s="5" t="str">
        <f>IFERROR(__xludf.DUMMYFUNCTION("GOOGLETRANSLATE(B26069,""en"",""zh-CN"")"),"她沿着每个正方形跳动，然后转到开始。")</f>
        <v>她沿着每个正方形跳动，然后转到开始。</v>
      </c>
    </row>
    <row r="26070">
      <c r="A26070" s="4" t="s">
        <v>32813</v>
      </c>
      <c r="B26070" s="4" t="s">
        <v>32814</v>
      </c>
      <c r="C26070" s="5" t="str">
        <f>IFERROR(__xludf.DUMMYFUNCTION("GOOGLETRANSLATE(B26070,""en"",""zh-CN"")"),"毛巾和玻璃在一块泡沫和金属旁边的桌子上。")</f>
        <v>毛巾和玻璃在一块泡沫和金属旁边的桌子上。</v>
      </c>
    </row>
    <row r="26071">
      <c r="A26071" s="4" t="s">
        <v>32813</v>
      </c>
      <c r="B26071" s="4" t="s">
        <v>32815</v>
      </c>
      <c r="C26071" s="5" t="str">
        <f>IFERROR(__xludf.DUMMYFUNCTION("GOOGLETRANSLATE(B26071,""en"",""zh-CN"")"),"一个持有它的男人正在显示一个工具。")</f>
        <v>一个持有它的男人正在显示一个工具。</v>
      </c>
    </row>
    <row r="26072">
      <c r="A26072" s="4" t="s">
        <v>32813</v>
      </c>
      <c r="B26072" s="4" t="s">
        <v>32816</v>
      </c>
      <c r="C26072" s="5" t="str">
        <f>IFERROR(__xludf.DUMMYFUNCTION("GOOGLETRANSLATE(B26072,""en"",""zh-CN"")"),"金属用于在他面前磨刀。")</f>
        <v>金属用于在他面前磨刀。</v>
      </c>
    </row>
    <row r="26073">
      <c r="A26073" s="4" t="s">
        <v>32817</v>
      </c>
      <c r="B26073" s="6" t="s">
        <v>32818</v>
      </c>
      <c r="C26073" s="5" t="str">
        <f>IFERROR(__xludf.DUMMYFUNCTION("GOOGLETRANSLATE(B26073,""en"",""zh-CN"")"),"看到一群人在一个区域周围闲逛，围绕着啤酒乒乓球比赛。")</f>
        <v>看到一群人在一个区域周围闲逛，围绕着啤酒乒乓球比赛。</v>
      </c>
    </row>
    <row r="26074">
      <c r="A26074" s="4" t="s">
        <v>32817</v>
      </c>
      <c r="B26074" s="4" t="s">
        <v>32819</v>
      </c>
      <c r="C26074" s="5" t="str">
        <f>IFERROR(__xludf.DUMMYFUNCTION("GOOGLETRANSLATE(B26074,""en"",""zh-CN"")"),"人们打啤酒乒乓球和第四，一个女人最终喝了一杯。")</f>
        <v>人们打啤酒乒乓球和第四，一个女人最终喝了一杯。</v>
      </c>
    </row>
    <row r="26075">
      <c r="A26075" s="4" t="s">
        <v>32820</v>
      </c>
      <c r="B26075" s="4" t="s">
        <v>32821</v>
      </c>
      <c r="C26075" s="5" t="str">
        <f>IFERROR(__xludf.DUMMYFUNCTION("GOOGLETRANSLATE(B26075,""en"",""zh-CN"")"),"舞蹈课是在编排例程，每个人通常彼此同步。")</f>
        <v>舞蹈课是在编排例程，每个人通常彼此同步。</v>
      </c>
    </row>
    <row r="26076">
      <c r="A26076" s="4" t="s">
        <v>32820</v>
      </c>
      <c r="B26076" s="4" t="s">
        <v>32822</v>
      </c>
      <c r="C26076" s="5" t="str">
        <f>IFERROR(__xludf.DUMMYFUNCTION("GOOGLETRANSLATE(B26076,""en"",""zh-CN"")"),"他们来回移动，上下移动，摇晃胸部。")</f>
        <v>他们来回移动，上下移动，摇晃胸部。</v>
      </c>
    </row>
    <row r="26077">
      <c r="A26077" s="4" t="s">
        <v>32823</v>
      </c>
      <c r="B26077" s="6" t="s">
        <v>32824</v>
      </c>
      <c r="C26077" s="5" t="str">
        <f>IFERROR(__xludf.DUMMYFUNCTION("GOOGLETRANSLATE(B26077,""en"",""zh-CN"")"),"一个穿着白人亚洲人的男人启发的服装站在户外，被树木包围着，在草地上包围，并进行了几种缓慢的武术和冥想动作。")</f>
        <v>一个穿着白人亚洲人的男人启发的服装站在户外，被树木包围着，在草地上包围，并进行了几种缓慢的武术和冥想动作。</v>
      </c>
    </row>
    <row r="26078">
      <c r="A26078" s="4" t="s">
        <v>32823</v>
      </c>
      <c r="B26078" s="6" t="s">
        <v>32825</v>
      </c>
      <c r="C26078" s="5" t="str">
        <f>IFERROR(__xludf.DUMMYFUNCTION("GOOGLETRANSLATE(B26078,""en"",""zh-CN"")"),"场景始于一片裸露的绿色割草，被高高的树木包围着，背景中的建筑物以外的背景。")</f>
        <v>场景始于一片裸露的绿色割草，被高高的树木包围着，背景中的建筑物以外的背景。</v>
      </c>
    </row>
    <row r="26079">
      <c r="A26079" s="4" t="s">
        <v>32823</v>
      </c>
      <c r="B26079" s="6" t="s">
        <v>32826</v>
      </c>
      <c r="C26079" s="5" t="str">
        <f>IFERROR(__xludf.DUMMYFUNCTION("GOOGLETRANSLATE(B26079,""en"",""zh-CN"")"),"该男子跑进框架进入草的中心，自己中心，进行腿部抬起，然后进行几次缓慢的手动移动。")</f>
        <v>该男子跑进框架进入草的中心，自己中心，进行腿部抬起，然后进行几次缓慢的手动移动。</v>
      </c>
    </row>
    <row r="26080">
      <c r="A26080" s="4" t="s">
        <v>32823</v>
      </c>
      <c r="B26080" s="6" t="s">
        <v>32827</v>
      </c>
      <c r="C26080" s="5" t="str">
        <f>IFERROR(__xludf.DUMMYFUNCTION("GOOGLETRANSLATE(B26080,""en"",""zh-CN"")"),"该男子继续用脚，手，膝盖和肩膀在草地上移动，有时将脚踩在地面上。")</f>
        <v>该男子继续用脚，手，膝盖和肩膀在草地上移动，有时将脚踩在地面上。</v>
      </c>
    </row>
    <row r="26081">
      <c r="A26081" s="4" t="s">
        <v>32828</v>
      </c>
      <c r="B26081" s="4" t="s">
        <v>32829</v>
      </c>
      <c r="C26081" s="5" t="str">
        <f>IFERROR(__xludf.DUMMYFUNCTION("GOOGLETRANSLATE(B26081,""en"",""zh-CN"")"),"这是关于如何将密封涂在屋顶上的方法的方法。")</f>
        <v>这是关于如何将密封涂在屋顶上的方法的方法。</v>
      </c>
    </row>
    <row r="26082">
      <c r="A26082" s="4" t="s">
        <v>32828</v>
      </c>
      <c r="B26082" s="4" t="s">
        <v>32830</v>
      </c>
      <c r="C26082" s="5" t="str">
        <f>IFERROR(__xludf.DUMMYFUNCTION("GOOGLETRANSLATE(B26082,""en"",""zh-CN"")"),"黑色的东西放在屋顶的侧面。")</f>
        <v>黑色的东西放在屋顶的侧面。</v>
      </c>
    </row>
    <row r="26083">
      <c r="A26083" s="4" t="s">
        <v>32828</v>
      </c>
      <c r="B26083" s="4" t="s">
        <v>32831</v>
      </c>
      <c r="C26083" s="5" t="str">
        <f>IFERROR(__xludf.DUMMYFUNCTION("GOOGLETRANSLATE(B26083,""en"",""zh-CN"")"),"屋顶被密封。")</f>
        <v>屋顶被密封。</v>
      </c>
    </row>
    <row r="26084">
      <c r="A26084" s="4" t="s">
        <v>32832</v>
      </c>
      <c r="B26084" s="6" t="s">
        <v>32833</v>
      </c>
      <c r="C26084" s="5" t="str">
        <f>IFERROR(__xludf.DUMMYFUNCTION("GOOGLETRANSLATE(B26084,""en"",""zh-CN"")"),"看到一大批人相互踢出一场战争比赛，并互相拉绳子。")</f>
        <v>看到一大批人相互踢出一场战争比赛，并互相拉绳子。</v>
      </c>
    </row>
    <row r="26085">
      <c r="A26085" s="4" t="s">
        <v>32832</v>
      </c>
      <c r="B26085" s="6" t="s">
        <v>32834</v>
      </c>
      <c r="C26085" s="5" t="str">
        <f>IFERROR(__xludf.DUMMYFUNCTION("GOOGLETRANSLATE(B26085,""en"",""zh-CN"")"),"人们继续互相比赛，并以一支球队获胜和人群欢呼结束。")</f>
        <v>人们继续互相比赛，并以一支球队获胜和人群欢呼结束。</v>
      </c>
    </row>
    <row r="26086">
      <c r="A26086" s="4" t="s">
        <v>32835</v>
      </c>
      <c r="B26086" s="4" t="s">
        <v>32836</v>
      </c>
      <c r="C26086" s="5" t="str">
        <f>IFERROR(__xludf.DUMMYFUNCTION("GOOGLETRANSLATE(B26086,""en"",""zh-CN"")"),"屏幕上的图形显示有关篮球演习的网站。")</f>
        <v>屏幕上的图形显示有关篮球演习的网站。</v>
      </c>
    </row>
    <row r="26087">
      <c r="A26087" s="4" t="s">
        <v>32835</v>
      </c>
      <c r="B26087" s="4" t="s">
        <v>32837</v>
      </c>
      <c r="C26087" s="5" t="str">
        <f>IFERROR(__xludf.DUMMYFUNCTION("GOOGLETRANSLATE(B26087,""en"",""zh-CN"")"),"一些年轻人在室内篮球场上进行了一些篮球演习。")</f>
        <v>一些年轻人在室内篮球场上进行了一些篮球演习。</v>
      </c>
    </row>
    <row r="26088">
      <c r="A26088" s="4" t="s">
        <v>32835</v>
      </c>
      <c r="B26088" s="6" t="s">
        <v>32838</v>
      </c>
      <c r="C26088" s="5" t="str">
        <f>IFERROR(__xludf.DUMMYFUNCTION("GOOGLETRANSLATE(B26088,""en"",""zh-CN"")"),"一个年长的男人开始解释练习，同时显示了更多的录像，展示了这些演习。")</f>
        <v>一个年长的男人开始解释练习，同时显示了更多的录像，展示了这些演习。</v>
      </c>
    </row>
    <row r="26089">
      <c r="A26089" s="4" t="s">
        <v>32835</v>
      </c>
      <c r="B26089" s="6" t="s">
        <v>32839</v>
      </c>
      <c r="C26089" s="5" t="str">
        <f>IFERROR(__xludf.DUMMYFUNCTION("GOOGLETRANSLATE(B26089,""en"",""zh-CN"")"),"屏幕变黑，更多文字提醒观看者访问网站以获取更多信息。")</f>
        <v>屏幕变黑，更多文字提醒观看者访问网站以获取更多信息。</v>
      </c>
    </row>
    <row r="26090">
      <c r="A26090" s="4" t="s">
        <v>32840</v>
      </c>
      <c r="B26090" s="6" t="s">
        <v>32841</v>
      </c>
      <c r="C26090" s="5" t="str">
        <f>IFERROR(__xludf.DUMMYFUNCTION("GOOGLETRANSLATE(B26090,""en"",""zh-CN"")"),"女人正在和另一个站在走廊上的绿色储物柜前面的人交谈，一个男人走到手上拿着黄色玫瑰的女孩。")</f>
        <v>女人正在和另一个站在走廊上的绿色储物柜前面的人交谈，一个男人走到手上拿着黄色玫瑰的女孩。</v>
      </c>
    </row>
    <row r="26091">
      <c r="A26091" s="4" t="s">
        <v>32840</v>
      </c>
      <c r="B26091" s="4" t="s">
        <v>32842</v>
      </c>
      <c r="C26091" s="5" t="str">
        <f>IFERROR(__xludf.DUMMYFUNCTION("GOOGLETRANSLATE(B26091,""en"",""zh-CN"")"),"一个女人在大厅里拿着漱口水，与相机谈论它。")</f>
        <v>一个女人在大厅里拿着漱口水，与相机谈论它。</v>
      </c>
    </row>
    <row r="26092">
      <c r="A26092" s="4" t="s">
        <v>32840</v>
      </c>
      <c r="B26092" s="4" t="s">
        <v>32843</v>
      </c>
      <c r="C26092" s="5" t="str">
        <f>IFERROR(__xludf.DUMMYFUNCTION("GOOGLETRANSLATE(B26092,""en"",""zh-CN"")"),"女人在洗手面前，用漱口水清洁嘴。")</f>
        <v>女人在洗手面前，用漱口水清洁嘴。</v>
      </c>
    </row>
    <row r="26093">
      <c r="A26093" s="4" t="s">
        <v>32840</v>
      </c>
      <c r="B26093" s="4" t="s">
        <v>32844</v>
      </c>
      <c r="C26093" s="5" t="str">
        <f>IFERROR(__xludf.DUMMYFUNCTION("GOOGLETRANSLATE(B26093,""en"",""zh-CN"")"),"这个女人在大厅里与男孩们交谈，她的新鲜呼吸似乎留下了深刻的印象。")</f>
        <v>这个女人在大厅里与男孩们交谈，她的新鲜呼吸似乎留下了深刻的印象。</v>
      </c>
    </row>
    <row r="26094">
      <c r="A26094" s="4" t="s">
        <v>32845</v>
      </c>
      <c r="B26094" s="4" t="s">
        <v>32846</v>
      </c>
      <c r="C26094" s="5" t="str">
        <f>IFERROR(__xludf.DUMMYFUNCTION("GOOGLETRANSLATE(B26094,""en"",""zh-CN"")"),"显示了戴着头盔的孩子。")</f>
        <v>显示了戴着头盔的孩子。</v>
      </c>
    </row>
    <row r="26095">
      <c r="A26095" s="4" t="s">
        <v>32845</v>
      </c>
      <c r="B26095" s="4" t="s">
        <v>32847</v>
      </c>
      <c r="C26095" s="5" t="str">
        <f>IFERROR(__xludf.DUMMYFUNCTION("GOOGLETRANSLATE(B26095,""en"",""zh-CN"")"),"骑自行车的其他几个孩子骑着坡道。")</f>
        <v>骑自行车的其他几个孩子骑着坡道。</v>
      </c>
    </row>
    <row r="26096">
      <c r="A26096" s="4" t="s">
        <v>32845</v>
      </c>
      <c r="B26096" s="4" t="s">
        <v>32848</v>
      </c>
      <c r="C26096" s="5" t="str">
        <f>IFERROR(__xludf.DUMMYFUNCTION("GOOGLETRANSLATE(B26096,""en"",""zh-CN"")"),"一个人沿着他们奔跑。")</f>
        <v>一个人沿着他们奔跑。</v>
      </c>
    </row>
    <row r="26097">
      <c r="A26097" s="4" t="s">
        <v>32845</v>
      </c>
      <c r="B26097" s="4" t="s">
        <v>32849</v>
      </c>
      <c r="C26097" s="5" t="str">
        <f>IFERROR(__xludf.DUMMYFUNCTION("GOOGLETRANSLATE(B26097,""en"",""zh-CN"")"),"十字架终点线。")</f>
        <v>十字架终点线。</v>
      </c>
    </row>
    <row r="26098">
      <c r="A26098" s="4" t="s">
        <v>32850</v>
      </c>
      <c r="B26098" s="6" t="s">
        <v>32851</v>
      </c>
      <c r="C26098" s="5" t="str">
        <f>IFERROR(__xludf.DUMMYFUNCTION("GOOGLETRANSLATE(B26098,""en"",""zh-CN"")"),"一个特殊效果视频剪辑出现在屏幕中间的跑步机和白色单词上的人出现，上面写着“ Citynews Health”。")</f>
        <v>一个特殊效果视频剪辑出现在屏幕中间的跑步机和白色单词上的人出现，上面写着“ Citynews Health”。</v>
      </c>
    </row>
    <row r="26099">
      <c r="A26099" s="4" t="s">
        <v>32850</v>
      </c>
      <c r="B26099" s="6" t="s">
        <v>32852</v>
      </c>
      <c r="C26099" s="5" t="str">
        <f>IFERROR(__xludf.DUMMYFUNCTION("GOOGLETRANSLATE(B26099,""en"",""zh-CN"")"),"一个男人和女人的新闻播放器出现在凳子上，都穿着工作着装，并与镜头交谈。")</f>
        <v>一个男人和女人的新闻播放器出现在凳子上，都穿着工作着装，并与镜头交谈。</v>
      </c>
    </row>
    <row r="26100">
      <c r="A26100" s="4" t="s">
        <v>32850</v>
      </c>
      <c r="B26100" s="6" t="s">
        <v>32853</v>
      </c>
      <c r="C26100" s="5" t="str">
        <f>IFERROR(__xludf.DUMMYFUNCTION("GOOGLETRANSLATE(B26100,""en"",""zh-CN"")"),"现在，新闻播音员的女人在户外展示，并在海滩上与人们交谈，并在晒日光浴，涂抹晒太阳的人和各种类型的晒黑乳液。")</f>
        <v>现在，新闻播音员的女人在户外展示，并在海滩上与人们交谈，并在晒日光浴，涂抹晒太阳的人和各种类型的晒黑乳液。</v>
      </c>
    </row>
    <row r="26101">
      <c r="A26101" s="4" t="s">
        <v>32850</v>
      </c>
      <c r="B26101" s="6" t="s">
        <v>32854</v>
      </c>
      <c r="C26101" s="5" t="str">
        <f>IFERROR(__xludf.DUMMYFUNCTION("GOOGLETRANSLATE(B26101,""en"",""zh-CN"")"),"Newscaster的女人现在坐在海滩上，拿着一瓶晒黑乳液，开始在她的手臂上涂抹乳液。")</f>
        <v>Newscaster的女人现在坐在海滩上，拿着一瓶晒黑乳液，开始在她的手臂上涂抹乳液。</v>
      </c>
    </row>
    <row r="26102">
      <c r="A26102" s="4" t="s">
        <v>32850</v>
      </c>
      <c r="B26102" s="6" t="s">
        <v>32855</v>
      </c>
      <c r="C26102" s="5" t="str">
        <f>IFERROR(__xludf.DUMMYFUNCTION("GOOGLETRANSLATE(B26102,""en"",""zh-CN"")"),"一个新的剪辑出现在新闻快报的女人面试医生的情况下，然后在医生站起来与她说话时，一个女人坐在椅子上，下面的旗帜说他的名字叫“ Paul Cohen Dermatorks博士”，各种剪辑在他之间的阳光下玩耍。")</f>
        <v>一个新的剪辑出现在新闻快报的女人面试医生的情况下，然后在医生站起来与她说话时，一个女人坐在椅子上，下面的旗帜说他的名字叫“ Paul Cohen Dermatorks博士”，各种剪辑在他之间的阳光下玩耍。</v>
      </c>
    </row>
    <row r="26103">
      <c r="A26103" s="4" t="s">
        <v>32850</v>
      </c>
      <c r="B26103" s="6" t="s">
        <v>32856</v>
      </c>
      <c r="C26103" s="5" t="str">
        <f>IFERROR(__xludf.DUMMYFUNCTION("GOOGLETRANSLATE(B26103,""en"",""zh-CN"")"),"新闻播音员的女人与她早些时候一起出现的男人回到室内，并以微笑结束。")</f>
        <v>新闻播音员的女人与她早些时候一起出现的男人回到室内，并以微笑结束。</v>
      </c>
    </row>
    <row r="26104">
      <c r="A26104" s="4" t="s">
        <v>32857</v>
      </c>
      <c r="B26104" s="4" t="s">
        <v>32858</v>
      </c>
      <c r="C26104" s="5" t="str">
        <f>IFERROR(__xludf.DUMMYFUNCTION("GOOGLETRANSLATE(B26104,""en"",""zh-CN"")"),"有几个剪辑显示了男人彼此交谈以及骑越野自行车的剪辑。")</f>
        <v>有几个剪辑显示了男人彼此交谈以及骑越野自行车的剪辑。</v>
      </c>
    </row>
    <row r="26105">
      <c r="A26105" s="4" t="s">
        <v>32857</v>
      </c>
      <c r="B26105" s="4" t="s">
        <v>32859</v>
      </c>
      <c r="C26105" s="5" t="str">
        <f>IFERROR(__xludf.DUMMYFUNCTION("GOOGLETRANSLATE(B26105,""en"",""zh-CN"")"),"显示了更多的剪辑，人们互相骑行并欢呼。")</f>
        <v>显示了更多的剪辑，人们互相骑行并欢呼。</v>
      </c>
    </row>
    <row r="26106">
      <c r="A26106" s="4" t="s">
        <v>32857</v>
      </c>
      <c r="B26106" s="4" t="s">
        <v>32860</v>
      </c>
      <c r="C26106" s="5" t="str">
        <f>IFERROR(__xludf.DUMMYFUNCTION("GOOGLETRANSLATE(B26106,""en"",""zh-CN"")"),"车手继续绕着赛道，最终炫耀跳跃。")</f>
        <v>车手继续绕着赛道，最终炫耀跳跃。</v>
      </c>
    </row>
    <row r="26107">
      <c r="A26107" s="4" t="s">
        <v>32861</v>
      </c>
      <c r="B26107" s="4" t="s">
        <v>32862</v>
      </c>
      <c r="C26107" s="5" t="str">
        <f>IFERROR(__xludf.DUMMYFUNCTION("GOOGLETRANSLATE(B26107,""en"",""zh-CN"")"),"桌子里有一个大burguer。")</f>
        <v>桌子里有一个大burguer。</v>
      </c>
    </row>
    <row r="26108">
      <c r="A26108" s="4" t="s">
        <v>32861</v>
      </c>
      <c r="B26108" s="4" t="s">
        <v>32863</v>
      </c>
      <c r="C26108" s="5" t="str">
        <f>IFERROR(__xludf.DUMMYFUNCTION("GOOGLETRANSLATE(B26108,""en"",""zh-CN"")"),"女人正在和镜头打磨，我在墙上带有很多壁纸。")</f>
        <v>女人正在和镜头打磨，我在墙上带有很多壁纸。</v>
      </c>
    </row>
    <row r="26109">
      <c r="A26109" s="4" t="s">
        <v>32861</v>
      </c>
      <c r="B26109" s="6" t="s">
        <v>32864</v>
      </c>
      <c r="C26109" s="5" t="str">
        <f>IFERROR(__xludf.DUMMYFUNCTION("GOOGLETRANSLATE(B26109,""en"",""zh-CN"")"),"女人抓住一个三明治并在其中撒上黄油，然后将腌菜，切达干酪，果酱和猪肉放在上面，然后将黄油放在上面并烤面包，当三明治准备就绪时，将其切成一半，然后将其放在盘子中。")</f>
        <v>女人抓住一个三明治并在其中撒上黄油，然后将腌菜，切达干酪，果酱和猪肉放在上面，然后将黄油放在上面并烤面包，当三明治准备就绪时，将其切成一半，然后将其放在盘子中。</v>
      </c>
    </row>
    <row r="26110">
      <c r="A26110" s="4" t="s">
        <v>32865</v>
      </c>
      <c r="B26110" s="4" t="s">
        <v>32866</v>
      </c>
      <c r="C26110" s="5" t="str">
        <f>IFERROR(__xludf.DUMMYFUNCTION("GOOGLETRANSLATE(B26110,""en"",""zh-CN"")"),"人们在棕色的地板上骑车车。")</f>
        <v>人们在棕色的地板上骑车车。</v>
      </c>
    </row>
    <row r="26111">
      <c r="A26111" s="4" t="s">
        <v>32865</v>
      </c>
      <c r="B26111" s="4" t="s">
        <v>32867</v>
      </c>
      <c r="C26111" s="5" t="str">
        <f>IFERROR(__xludf.DUMMYFUNCTION("GOOGLETRANSLATE(B26111,""en"",""zh-CN"")"),"男孩的红色保险杠汽车被卡在专栏上。")</f>
        <v>男孩的红色保险杠汽车被卡在专栏上。</v>
      </c>
    </row>
    <row r="26112">
      <c r="A26112" s="4" t="s">
        <v>32865</v>
      </c>
      <c r="B26112" s="4" t="s">
        <v>32868</v>
      </c>
      <c r="C26112" s="5" t="str">
        <f>IFERROR(__xludf.DUMMYFUNCTION("GOOGLETRANSLATE(B26112,""en"",""zh-CN"")"),"一位黑色吉尔巴布（Jilbab）的女士波浪。")</f>
        <v>一位黑色吉尔巴布（Jilbab）的女士波浪。</v>
      </c>
    </row>
    <row r="26113">
      <c r="A26113" s="4" t="s">
        <v>32865</v>
      </c>
      <c r="B26113" s="4" t="s">
        <v>32869</v>
      </c>
      <c r="C26113" s="5" t="str">
        <f>IFERROR(__xludf.DUMMYFUNCTION("GOOGLETRANSLATE(B26113,""en"",""zh-CN"")"),"富人汽车与男人的相撞。")</f>
        <v>富人汽车与男人的相撞。</v>
      </c>
    </row>
    <row r="26114">
      <c r="A26114" s="4" t="s">
        <v>32865</v>
      </c>
      <c r="B26114" s="4" t="s">
        <v>32870</v>
      </c>
      <c r="C26114" s="5" t="str">
        <f>IFERROR(__xludf.DUMMYFUNCTION("GOOGLETRANSLATE(B26114,""en"",""zh-CN"")"),"一个家伙走过棕色的地板。")</f>
        <v>一个家伙走过棕色的地板。</v>
      </c>
    </row>
    <row r="26115">
      <c r="A26115" s="4" t="s">
        <v>32871</v>
      </c>
      <c r="B26115" s="6" t="s">
        <v>32872</v>
      </c>
      <c r="C26115" s="5" t="str">
        <f>IFERROR(__xludf.DUMMYFUNCTION("GOOGLETRANSLATE(B26115,""en"",""zh-CN"")"),"看到男人将产品放在女人的头发中，然后吹干头发并刷掉头发。")</f>
        <v>看到男人将产品放在女人的头发中，然后吹干头发并刷掉头发。</v>
      </c>
    </row>
    <row r="26116">
      <c r="A26116" s="4" t="s">
        <v>32871</v>
      </c>
      <c r="B26116" s="4" t="s">
        <v>32873</v>
      </c>
      <c r="C26116" s="5" t="str">
        <f>IFERROR(__xludf.DUMMYFUNCTION("GOOGLETRANSLATE(B26116,""en"",""zh-CN"")"),"然后，该人将女人的头发剪掉几英寸，而最终移动较慢。")</f>
        <v>然后，该人将女人的头发剪掉几英寸，而最终移动较慢。</v>
      </c>
    </row>
    <row r="26117">
      <c r="A26117" s="4" t="s">
        <v>32874</v>
      </c>
      <c r="B26117" s="4" t="s">
        <v>32875</v>
      </c>
      <c r="C26117" s="5" t="str">
        <f>IFERROR(__xludf.DUMMYFUNCTION("GOOGLETRANSLATE(B26117,""en"",""zh-CN"")"),"一组型号聚集在洗车场上。")</f>
        <v>一组型号聚集在洗车场上。</v>
      </c>
    </row>
    <row r="26118">
      <c r="A26118" s="4" t="s">
        <v>32874</v>
      </c>
      <c r="B26118" s="4" t="s">
        <v>32876</v>
      </c>
      <c r="C26118" s="5" t="str">
        <f>IFERROR(__xludf.DUMMYFUNCTION("GOOGLETRANSLATE(B26118,""en"",""zh-CN"")"),"汽车拉进去，女人正在用肥皂肥皂下车。")</f>
        <v>汽车拉进去，女人正在用肥皂肥皂下车。</v>
      </c>
    </row>
    <row r="26119">
      <c r="A26119" s="4" t="s">
        <v>32874</v>
      </c>
      <c r="B26119" s="4" t="s">
        <v>32877</v>
      </c>
      <c r="C26119" s="5" t="str">
        <f>IFERROR(__xludf.DUMMYFUNCTION("GOOGLETRANSLATE(B26119,""en"",""zh-CN"")"),"然后，他们冲洗并擦干汽车。")</f>
        <v>然后，他们冲洗并擦干汽车。</v>
      </c>
    </row>
    <row r="26120">
      <c r="A26120" s="4" t="s">
        <v>32878</v>
      </c>
      <c r="B26120" s="4" t="s">
        <v>32879</v>
      </c>
      <c r="C26120" s="5" t="str">
        <f>IFERROR(__xludf.DUMMYFUNCTION("GOOGLETRANSLATE(B26120,""en"",""zh-CN"")"),"一个小男孩在丛林健身房玩耍，而一个男人与他交谈并记录。")</f>
        <v>一个小男孩在丛林健身房玩耍，而一个男人与他交谈并记录。</v>
      </c>
    </row>
    <row r="26121">
      <c r="A26121" s="4" t="s">
        <v>32878</v>
      </c>
      <c r="B26121" s="4" t="s">
        <v>32880</v>
      </c>
      <c r="C26121" s="5" t="str">
        <f>IFERROR(__xludf.DUMMYFUNCTION("GOOGLETRANSLATE(B26121,""en"",""zh-CN"")"),"他上楼梯，向下滑动几次。")</f>
        <v>他上楼梯，向下滑动几次。</v>
      </c>
    </row>
    <row r="26122">
      <c r="A26122" s="4" t="s">
        <v>32878</v>
      </c>
      <c r="B26122" s="4" t="s">
        <v>32881</v>
      </c>
      <c r="C26122" s="5" t="str">
        <f>IFERROR(__xludf.DUMMYFUNCTION("GOOGLETRANSLATE(B26122,""en"",""zh-CN"")"),"完成后，他走过去，拥抱一位女士坐在轮椅上。")</f>
        <v>完成后，他走过去，拥抱一位女士坐在轮椅上。</v>
      </c>
    </row>
    <row r="26123">
      <c r="A26123" s="4" t="s">
        <v>32882</v>
      </c>
      <c r="B26123" s="4" t="s">
        <v>32883</v>
      </c>
      <c r="C26123" s="5" t="str">
        <f>IFERROR(__xludf.DUMMYFUNCTION("GOOGLETRANSLATE(B26123,""en"",""zh-CN"")"),"有一个家庭装修专家，演示了如何从墙壁上删除墙纸。")</f>
        <v>有一个家庭装修专家，演示了如何从墙壁上删除墙纸。</v>
      </c>
    </row>
    <row r="26124">
      <c r="A26124" s="4" t="s">
        <v>32882</v>
      </c>
      <c r="B26124" s="6" t="s">
        <v>32884</v>
      </c>
      <c r="C26124" s="5" t="str">
        <f>IFERROR(__xludf.DUMMYFUNCTION("GOOGLETRANSLATE(B26124,""en"",""zh-CN"")"),"他通过将家具从墙壁上移开，并用塑料床单覆盖家具来开始准备空间。")</f>
        <v>他通过将家具从墙壁上移开，并用塑料床单覆盖家具来开始准备空间。</v>
      </c>
    </row>
    <row r="26125">
      <c r="A26125" s="4" t="s">
        <v>32882</v>
      </c>
      <c r="B26125" s="4" t="s">
        <v>32885</v>
      </c>
      <c r="C26125" s="5" t="str">
        <f>IFERROR(__xludf.DUMMYFUNCTION("GOOGLETRANSLATE(B26125,""en"",""zh-CN"")"),"他还从窗户上删除了窗户处理。")</f>
        <v>他还从窗户上删除了窗户处理。</v>
      </c>
    </row>
    <row r="26126">
      <c r="A26126" s="4" t="s">
        <v>32882</v>
      </c>
      <c r="B26126" s="6" t="s">
        <v>32886</v>
      </c>
      <c r="C26126" s="5" t="str">
        <f>IFERROR(__xludf.DUMMYFUNCTION("GOOGLETRANSLATE(B26126,""en"",""zh-CN"")"),"他展示了如何在电线，开关和电路方面采取预防措施。")</f>
        <v>他展示了如何在电线，开关和电路方面采取预防措施。</v>
      </c>
    </row>
    <row r="26127">
      <c r="A26127" s="4" t="s">
        <v>32882</v>
      </c>
      <c r="B26127" s="4" t="s">
        <v>32887</v>
      </c>
      <c r="C26127" s="5" t="str">
        <f>IFERROR(__xludf.DUMMYFUNCTION("GOOGLETRANSLATE(B26127,""en"",""zh-CN"")"),"然后他展示了如何使用粉丝通风房间。")</f>
        <v>然后他展示了如何使用粉丝通风房间。</v>
      </c>
    </row>
    <row r="26128">
      <c r="A26128" s="4" t="s">
        <v>32882</v>
      </c>
      <c r="B26128" s="4" t="s">
        <v>32888</v>
      </c>
      <c r="C26128" s="5" t="str">
        <f>IFERROR(__xludf.DUMMYFUNCTION("GOOGLETRANSLATE(B26128,""en"",""zh-CN"")"),"他进行搜查，开始搜寻墙纸。")</f>
        <v>他进行搜查，开始搜寻墙纸。</v>
      </c>
    </row>
    <row r="26129">
      <c r="A26129" s="4" t="s">
        <v>32882</v>
      </c>
      <c r="B26129" s="4" t="s">
        <v>32889</v>
      </c>
      <c r="C26129" s="5" t="str">
        <f>IFERROR(__xludf.DUMMYFUNCTION("GOOGLETRANSLATE(B26129,""en"",""zh-CN"")"),"他使用油漆辊将墙纸浸泡以容易去除。")</f>
        <v>他使用油漆辊将墙纸浸泡以容易去除。</v>
      </c>
    </row>
    <row r="26130">
      <c r="A26130" s="4" t="s">
        <v>32882</v>
      </c>
      <c r="B26130" s="4" t="s">
        <v>32890</v>
      </c>
      <c r="C26130" s="5" t="str">
        <f>IFERROR(__xludf.DUMMYFUNCTION("GOOGLETRANSLATE(B26130,""en"",""zh-CN"")"),"然后，他演示了如何也可以使用蒸汽来松开墙纸。")</f>
        <v>然后，他演示了如何也可以使用蒸汽来松开墙纸。</v>
      </c>
    </row>
    <row r="26131">
      <c r="A26131" s="4" t="s">
        <v>32882</v>
      </c>
      <c r="B26131" s="4" t="s">
        <v>32891</v>
      </c>
      <c r="C26131" s="5" t="str">
        <f>IFERROR(__xludf.DUMMYFUNCTION("GOOGLETRANSLATE(B26131,""en"",""zh-CN"")"),"然后，他开始慢慢从墙上剥离纸。")</f>
        <v>然后，他开始慢慢从墙上剥离纸。</v>
      </c>
    </row>
    <row r="26132">
      <c r="A26132" s="4" t="s">
        <v>32882</v>
      </c>
      <c r="B26132" s="4" t="s">
        <v>32892</v>
      </c>
      <c r="C26132" s="5" t="str">
        <f>IFERROR(__xludf.DUMMYFUNCTION("GOOGLETRANSLATE(B26132,""en"",""zh-CN"")"),"他重新润湿表面，并使用扁平工具去除任何顽固的墙纸。")</f>
        <v>他重新润湿表面，并使用扁平工具去除任何顽固的墙纸。</v>
      </c>
    </row>
    <row r="26133">
      <c r="A26133" s="4" t="s">
        <v>32882</v>
      </c>
      <c r="B26133" s="4" t="s">
        <v>32893</v>
      </c>
      <c r="C26133" s="5" t="str">
        <f>IFERROR(__xludf.DUMMYFUNCTION("GOOGLETRANSLATE(B26133,""en"",""zh-CN"")"),"他终于使用海绵和肥皂水清洁墙壁以清除任何残留的墙纸。")</f>
        <v>他终于使用海绵和肥皂水清洁墙壁以清除任何残留的墙纸。</v>
      </c>
    </row>
    <row r="26134">
      <c r="A26134" s="4" t="s">
        <v>32882</v>
      </c>
      <c r="B26134" s="4" t="s">
        <v>32894</v>
      </c>
      <c r="C26134" s="5" t="str">
        <f>IFERROR(__xludf.DUMMYFUNCTION("GOOGLETRANSLATE(B26134,""en"",""zh-CN"")"),"他展示了如何应用底漆以准备墙壁进行绘画。")</f>
        <v>他展示了如何应用底漆以准备墙壁进行绘画。</v>
      </c>
    </row>
    <row r="26135">
      <c r="A26135" s="4" t="s">
        <v>32882</v>
      </c>
      <c r="B26135" s="4" t="s">
        <v>32895</v>
      </c>
      <c r="C26135" s="5" t="str">
        <f>IFERROR(__xludf.DUMMYFUNCTION("GOOGLETRANSLATE(B26135,""en"",""zh-CN"")"),"Lowe的公司网站提供了有关如何使用这些技术的信息。")</f>
        <v>Lowe的公司网站提供了有关如何使用这些技术的信息。</v>
      </c>
    </row>
    <row r="26136">
      <c r="A26136" s="4" t="s">
        <v>32896</v>
      </c>
      <c r="B26136" s="6" t="s">
        <v>32897</v>
      </c>
      <c r="C26136" s="5" t="str">
        <f>IFERROR(__xludf.DUMMYFUNCTION("GOOGLETRANSLATE(B26136,""en"",""zh-CN"")"),"厨师在一个coutner的前面打磨，在不同的盘子里用切碎的食材打磨，然后与相机交谈。")</f>
        <v>厨师在一个coutner的前面打磨，在不同的盘子里用切碎的食材打磨，然后与相机交谈。</v>
      </c>
    </row>
    <row r="26137">
      <c r="A26137" s="4" t="s">
        <v>32896</v>
      </c>
      <c r="B26137" s="4" t="s">
        <v>32898</v>
      </c>
      <c r="C26137" s="5" t="str">
        <f>IFERROR(__xludf.DUMMYFUNCTION("GOOGLETRANSLATE(B26137,""en"",""zh-CN"")"),"人在锅上喷油，加入鸡蛋和蔬菜的混合物。")</f>
        <v>人在锅上喷油，加入鸡蛋和蔬菜的混合物。</v>
      </c>
    </row>
    <row r="26138">
      <c r="A26138" s="4" t="s">
        <v>32896</v>
      </c>
      <c r="B26138" s="4" t="s">
        <v>32899</v>
      </c>
      <c r="C26138" s="5" t="str">
        <f>IFERROR(__xludf.DUMMYFUNCTION("GOOGLETRANSLATE(B26138,""en"",""zh-CN"")"),"男人站在厨房里和相机说话给食谱。")</f>
        <v>男人站在厨房里和相机说话给食谱。</v>
      </c>
    </row>
    <row r="26139">
      <c r="A26139" s="4" t="s">
        <v>32900</v>
      </c>
      <c r="B26139" s="4" t="s">
        <v>32901</v>
      </c>
      <c r="C26139" s="5" t="str">
        <f>IFERROR(__xludf.DUMMYFUNCTION("GOOGLETRANSLATE(B26139,""en"",""zh-CN"")"),"两支球队在田野比赛中试图得分。")</f>
        <v>两支球队在田野比赛中试图得分。</v>
      </c>
    </row>
    <row r="26140">
      <c r="A26140" s="4" t="s">
        <v>32900</v>
      </c>
      <c r="B26140" s="4" t="s">
        <v>32902</v>
      </c>
      <c r="C26140" s="5" t="str">
        <f>IFERROR(__xludf.DUMMYFUNCTION("GOOGLETRANSLATE(B26140,""en"",""zh-CN"")"),"蓝队的一名球员在场上摔倒了。")</f>
        <v>蓝队的一名球员在场上摔倒了。</v>
      </c>
    </row>
    <row r="26141">
      <c r="A26141" s="4" t="s">
        <v>32900</v>
      </c>
      <c r="B26141" s="6" t="s">
        <v>32903</v>
      </c>
      <c r="C26141" s="5" t="str">
        <f>IFERROR(__xludf.DUMMYFUNCTION("GOOGLETRANSLATE(B26141,""en"",""zh-CN"")"),"另一位蓝色球员从界限中拿出球，将其放在比赛中，然后重返比赛。")</f>
        <v>另一位蓝色球员从界限中拿出球，将其放在比赛中，然后重返比赛。</v>
      </c>
    </row>
    <row r="26142">
      <c r="A26142" s="4" t="s">
        <v>32900</v>
      </c>
      <c r="B26142" s="4" t="s">
        <v>32904</v>
      </c>
      <c r="C26142" s="5" t="str">
        <f>IFERROR(__xludf.DUMMYFUNCTION("GOOGLETRANSLATE(B26142,""en"",""zh-CN"")"),"TE教练开始欢乐和球员跳跃。")</f>
        <v>TE教练开始欢乐和球员跳跃。</v>
      </c>
    </row>
    <row r="26143">
      <c r="A26143" s="4" t="s">
        <v>32905</v>
      </c>
      <c r="B26143" s="4" t="s">
        <v>32906</v>
      </c>
      <c r="C26143" s="5" t="str">
        <f>IFERROR(__xludf.DUMMYFUNCTION("GOOGLETRANSLATE(B26143,""en"",""zh-CN"")"),"两个男人在地板上扫扫一下扫帚，另一个将其拉到一根绳子上。")</f>
        <v>两个男人在地板上扫扫一下扫帚，另一个将其拉到一根绳子上。</v>
      </c>
    </row>
    <row r="26144">
      <c r="A26144" s="4" t="s">
        <v>32905</v>
      </c>
      <c r="B26144" s="4" t="s">
        <v>32907</v>
      </c>
      <c r="C26144" s="5" t="str">
        <f>IFERROR(__xludf.DUMMYFUNCTION("GOOGLETRANSLATE(B26144,""en"",""zh-CN"")"),"一个人跟在后面，两人的洗牌最终将冰球移到一个洞中。")</f>
        <v>一个人跟在后面，两人的洗牌最终将冰球移到一个洞中。</v>
      </c>
    </row>
    <row r="26145">
      <c r="A26145" s="4" t="s">
        <v>32905</v>
      </c>
      <c r="B26145" s="4" t="s">
        <v>32908</v>
      </c>
      <c r="C26145" s="5" t="str">
        <f>IFERROR(__xludf.DUMMYFUNCTION("GOOGLETRANSLATE(B26145,""en"",""zh-CN"")"),"这三个人互相欢呼，互相拥抱。")</f>
        <v>这三个人互相欢呼，互相拥抱。</v>
      </c>
    </row>
    <row r="26146">
      <c r="A26146" s="4" t="s">
        <v>32909</v>
      </c>
      <c r="B26146" s="4" t="s">
        <v>32910</v>
      </c>
      <c r="C26146" s="5" t="str">
        <f>IFERROR(__xludf.DUMMYFUNCTION("GOOGLETRANSLATE(B26146,""en"",""zh-CN"")"),"该视频始于汽车商店中的轮胎特写。")</f>
        <v>该视频始于汽车商店中的轮胎特写。</v>
      </c>
    </row>
    <row r="26147">
      <c r="A26147" s="4" t="s">
        <v>32909</v>
      </c>
      <c r="B26147" s="4" t="s">
        <v>32911</v>
      </c>
      <c r="C26147" s="5" t="str">
        <f>IFERROR(__xludf.DUMMYFUNCTION("GOOGLETRANSLATE(B26147,""en"",""zh-CN"")"),"摄影师用他的手在轮胎上展示特定的位置，并更靠近放大。")</f>
        <v>摄影师用他的手在轮胎上展示特定的位置，并更靠近放大。</v>
      </c>
    </row>
    <row r="26148">
      <c r="A26148" s="4" t="s">
        <v>32909</v>
      </c>
      <c r="B26148" s="4" t="s">
        <v>32912</v>
      </c>
      <c r="C26148" s="5" t="str">
        <f>IFERROR(__xludf.DUMMYFUNCTION("GOOGLETRANSLATE(B26148,""en"",""zh-CN"")"),"该男子放下相机，开始在轮胎上工作。")</f>
        <v>该男子放下相机，开始在轮胎上工作。</v>
      </c>
    </row>
    <row r="26149">
      <c r="A26149" s="4" t="s">
        <v>32909</v>
      </c>
      <c r="B26149" s="4" t="s">
        <v>32913</v>
      </c>
      <c r="C26149" s="5" t="str">
        <f>IFERROR(__xludf.DUMMYFUNCTION("GOOGLETRANSLATE(B26149,""en"",""zh-CN"")"),"他再次抓住相机以显示不同的螺丝。")</f>
        <v>他再次抓住相机以显示不同的螺丝。</v>
      </c>
    </row>
    <row r="26150">
      <c r="A26150" s="4" t="s">
        <v>32909</v>
      </c>
      <c r="B26150" s="4" t="s">
        <v>32914</v>
      </c>
      <c r="C26150" s="5" t="str">
        <f>IFERROR(__xludf.DUMMYFUNCTION("GOOGLETRANSLATE(B26150,""en"",""zh-CN"")"),"视频结束了轮胎的两侧。")</f>
        <v>视频结束了轮胎的两侧。</v>
      </c>
    </row>
    <row r="26151">
      <c r="A26151" s="4" t="s">
        <v>32915</v>
      </c>
      <c r="B26151" s="4" t="s">
        <v>32916</v>
      </c>
      <c r="C26151" s="5" t="str">
        <f>IFERROR(__xludf.DUMMYFUNCTION("GOOGLETRANSLATE(B26151,""en"",""zh-CN"")"),"相机在淋浴摊上的墙壁上锅。")</f>
        <v>相机在淋浴摊上的墙壁上锅。</v>
      </c>
    </row>
    <row r="26152">
      <c r="A26152" s="4" t="s">
        <v>32915</v>
      </c>
      <c r="B26152" s="4" t="s">
        <v>32917</v>
      </c>
      <c r="C26152" s="5" t="str">
        <f>IFERROR(__xludf.DUMMYFUNCTION("GOOGLETRANSLATE(B26152,""en"",""zh-CN"")"),"一个人板块并在墙上安装瓷砖。")</f>
        <v>一个人板块并在墙上安装瓷砖。</v>
      </c>
    </row>
    <row r="26153">
      <c r="A26153" s="4" t="s">
        <v>32915</v>
      </c>
      <c r="B26153" s="4" t="s">
        <v>24144</v>
      </c>
      <c r="C26153" s="5" t="str">
        <f>IFERROR(__xludf.DUMMYFUNCTION("GOOGLETRANSLATE(B26153,""en"",""zh-CN"")"),"该男子和相机交谈。")</f>
        <v>该男子和相机交谈。</v>
      </c>
    </row>
    <row r="26154">
      <c r="A26154" s="4" t="s">
        <v>32915</v>
      </c>
      <c r="B26154" s="4" t="s">
        <v>32918</v>
      </c>
      <c r="C26154" s="5" t="str">
        <f>IFERROR(__xludf.DUMMYFUNCTION("GOOGLETRANSLATE(B26154,""en"",""zh-CN"")"),"该人将灌浆应用于瓷砖之间的缝隙。")</f>
        <v>该人将灌浆应用于瓷砖之间的缝隙。</v>
      </c>
    </row>
    <row r="26155">
      <c r="A26155" s="4" t="s">
        <v>32915</v>
      </c>
      <c r="B26155" s="4" t="s">
        <v>32919</v>
      </c>
      <c r="C26155" s="5" t="str">
        <f>IFERROR(__xludf.DUMMYFUNCTION("GOOGLETRANSLATE(B26155,""en"",""zh-CN"")"),"该男子衡量并切割一个瓷砖以在淋浴中安装。")</f>
        <v>该男子衡量并切割一个瓷砖以在淋浴中安装。</v>
      </c>
    </row>
    <row r="26156">
      <c r="A26156" s="4" t="s">
        <v>32915</v>
      </c>
      <c r="B26156" s="4" t="s">
        <v>32920</v>
      </c>
      <c r="C26156" s="5" t="str">
        <f>IFERROR(__xludf.DUMMYFUNCTION("GOOGLETRANSLATE(B26156,""en"",""zh-CN"")"),"该男子安装肥皂盘。")</f>
        <v>该男子安装肥皂盘。</v>
      </c>
    </row>
    <row r="26157">
      <c r="A26157" s="4" t="s">
        <v>32915</v>
      </c>
      <c r="B26157" s="4" t="s">
        <v>32921</v>
      </c>
      <c r="C26157" s="5" t="str">
        <f>IFERROR(__xludf.DUMMYFUNCTION("GOOGLETRANSLATE(B26157,""en"",""zh-CN"")"),"滚动文本显示在蓝屏上。")</f>
        <v>滚动文本显示在蓝屏上。</v>
      </c>
    </row>
    <row r="26158">
      <c r="A26158" s="4" t="s">
        <v>32922</v>
      </c>
      <c r="B26158" s="4" t="s">
        <v>32923</v>
      </c>
      <c r="C26158" s="5" t="str">
        <f>IFERROR(__xludf.DUMMYFUNCTION("GOOGLETRANSLATE(B26158,""en"",""zh-CN"")"),"有一个仅针对啤酒游戏开放的设施，因此人们可以玩。")</f>
        <v>有一个仅针对啤酒游戏开放的设施，因此人们可以玩。</v>
      </c>
    </row>
    <row r="26159">
      <c r="A26159" s="4" t="s">
        <v>32922</v>
      </c>
      <c r="B26159" s="4" t="s">
        <v>32924</v>
      </c>
      <c r="C26159" s="5" t="str">
        <f>IFERROR(__xludf.DUMMYFUNCTION("GOOGLETRANSLATE(B26159,""en"",""zh-CN"")"),"每个人都喜欢它，并很高兴能在其他喜欢玩的人周围到那里。")</f>
        <v>每个人都喜欢它，并很高兴能在其他喜欢玩的人周围到那里。</v>
      </c>
    </row>
    <row r="26160">
      <c r="A26160" s="4" t="s">
        <v>32922</v>
      </c>
      <c r="B26160" s="6" t="s">
        <v>32925</v>
      </c>
      <c r="C26160" s="5" t="str">
        <f>IFERROR(__xludf.DUMMYFUNCTION("GOOGLETRANSLATE(B26160,""en"",""zh-CN"")"),"许多不同的小组都在玩和谈论它，甚至玩岩石剪刀，看看谁先去。")</f>
        <v>许多不同的小组都在玩和谈论它，甚至玩岩石剪刀，看看谁先去。</v>
      </c>
    </row>
    <row r="26161">
      <c r="A26161" s="4" t="s">
        <v>32922</v>
      </c>
      <c r="B26161" s="4" t="s">
        <v>32926</v>
      </c>
      <c r="C26161" s="5" t="str">
        <f>IFERROR(__xludf.DUMMYFUNCTION("GOOGLETRANSLATE(B26161,""en"",""zh-CN"")"),"无论谁是获胜者，比赛结束时都会获得支票。")</f>
        <v>无论谁是获胜者，比赛结束时都会获得支票。</v>
      </c>
    </row>
    <row r="26162">
      <c r="A26162" s="4" t="s">
        <v>32927</v>
      </c>
      <c r="B26162" s="6" t="s">
        <v>32928</v>
      </c>
      <c r="C26162" s="5" t="str">
        <f>IFERROR(__xludf.DUMMYFUNCTION("GOOGLETRANSLATE(B26162,""en"",""zh-CN"")"),"一大批人在购物中心，看着人们建立了一个黑色大地板和大黑色墙壁的区域。")</f>
        <v>一大批人在购物中心，看着人们建立了一个黑色大地板和大黑色墙壁的区域。</v>
      </c>
    </row>
    <row r="26163">
      <c r="A26163" s="4" t="s">
        <v>32927</v>
      </c>
      <c r="B26163" s="6" t="s">
        <v>32929</v>
      </c>
      <c r="C26163" s="5" t="str">
        <f>IFERROR(__xludf.DUMMYFUNCTION("GOOGLETRANSLATE(B26163,""en"",""zh-CN"")"),"突然，有人穿着穿着轻便西服的人在黑色区域跳舞，他们从1-7人变化，替代西装颜色从白色，然后再变成红色，然后再回到白色。")</f>
        <v>突然，有人穿着穿着轻便西服的人在黑色区域跳舞，他们从1-7人变化，替代西装颜色从白色，然后再变成红色，然后再回到白色。</v>
      </c>
    </row>
    <row r="26164">
      <c r="A26164" s="4" t="s">
        <v>32927</v>
      </c>
      <c r="B26164" s="4" t="s">
        <v>32930</v>
      </c>
      <c r="C26164" s="5" t="str">
        <f>IFERROR(__xludf.DUMMYFUNCTION("GOOGLETRANSLATE(B26164,""en"",""zh-CN"")"),"他们的穿着西装脱颖而出，舞蹈结束了。")</f>
        <v>他们的穿着西装脱颖而出，舞蹈结束了。</v>
      </c>
    </row>
    <row r="26165">
      <c r="A26165" s="4" t="s">
        <v>32931</v>
      </c>
      <c r="B26165" s="4" t="s">
        <v>32932</v>
      </c>
      <c r="C26165" s="5" t="str">
        <f>IFERROR(__xludf.DUMMYFUNCTION("GOOGLETRANSLATE(B26165,""en"",""zh-CN"")"),"一个驾驶移动拖拉机的男人四处走动，向前看。")</f>
        <v>一个驾驶移动拖拉机的男人四处走动，向前看。</v>
      </c>
    </row>
    <row r="26166">
      <c r="A26166" s="4" t="s">
        <v>32931</v>
      </c>
      <c r="B26166" s="4" t="s">
        <v>32933</v>
      </c>
      <c r="C26166" s="5" t="str">
        <f>IFERROR(__xludf.DUMMYFUNCTION("GOOGLETRANSLATE(B26166,""en"",""zh-CN"")"),"他开始在机器上再次移动，割草并转向乐器。")</f>
        <v>他开始在机器上再次移动，割草并转向乐器。</v>
      </c>
    </row>
    <row r="26167">
      <c r="A26167" s="4" t="s">
        <v>32931</v>
      </c>
      <c r="B26167" s="4" t="s">
        <v>32934</v>
      </c>
      <c r="C26167" s="5" t="str">
        <f>IFERROR(__xludf.DUMMYFUNCTION("GOOGLETRANSLATE(B26167,""en"",""zh-CN"")"),"一个骑自行车的男人向前看，笑着，这个男人最终走了。")</f>
        <v>一个骑自行车的男人向前看，笑着，这个男人最终走了。</v>
      </c>
    </row>
    <row r="26168">
      <c r="A26168" s="4" t="s">
        <v>32935</v>
      </c>
      <c r="B26168" s="4" t="s">
        <v>32936</v>
      </c>
      <c r="C26168" s="5" t="str">
        <f>IFERROR(__xludf.DUMMYFUNCTION("GOOGLETRANSLATE(B26168,""en"",""zh-CN"")"),"展示了一位纹身艺术家，上面写着艺术家在相机上说话，给纹身。")</f>
        <v>展示了一位纹身艺术家，上面写着艺术家在相机上说话，给纹身。</v>
      </c>
    </row>
    <row r="26169">
      <c r="A26169" s="4" t="s">
        <v>32935</v>
      </c>
      <c r="B26169" s="6" t="s">
        <v>32937</v>
      </c>
      <c r="C26169" s="5" t="str">
        <f>IFERROR(__xludf.DUMMYFUNCTION("GOOGLETRANSLATE(B26169,""en"",""zh-CN"")"),"他们展示了他们完成的作品的各种图像，并表现出墨水和制作设计。")</f>
        <v>他们展示了他们完成的作品的各种图像，并表现出墨水和制作设计。</v>
      </c>
    </row>
    <row r="26170">
      <c r="A26170" s="4" t="s">
        <v>32938</v>
      </c>
      <c r="B26170" s="4" t="s">
        <v>32939</v>
      </c>
      <c r="C26170" s="5" t="str">
        <f>IFERROR(__xludf.DUMMYFUNCTION("GOOGLETRANSLATE(B26170,""en"",""zh-CN"")"),"一个男孩戴着头盔和剑在舞台上行走。")</f>
        <v>一个男孩戴着头盔和剑在舞台上行走。</v>
      </c>
    </row>
    <row r="26171">
      <c r="A26171" s="4" t="s">
        <v>32938</v>
      </c>
      <c r="B26171" s="4" t="s">
        <v>32940</v>
      </c>
      <c r="C26171" s="5" t="str">
        <f>IFERROR(__xludf.DUMMYFUNCTION("GOOGLETRANSLATE(B26171,""en"",""zh-CN"")"),"这个男孩遇到了另一个男孩，他们的脸上露出了婴儿脸。")</f>
        <v>这个男孩遇到了另一个男孩，他们的脸上露出了婴儿脸。</v>
      </c>
    </row>
    <row r="26172">
      <c r="A26172" s="4" t="s">
        <v>32938</v>
      </c>
      <c r="B26172" s="4" t="s">
        <v>32941</v>
      </c>
      <c r="C26172" s="5" t="str">
        <f>IFERROR(__xludf.DUMMYFUNCTION("GOOGLETRANSLATE(B26172,""en"",""zh-CN"")"),"一个男人表现出我的秃头，在他的头顶上方。")</f>
        <v>一个男人表现出我的秃头，在他的头顶上方。</v>
      </c>
    </row>
    <row r="26173">
      <c r="A26173" s="4" t="s">
        <v>32938</v>
      </c>
      <c r="B26173" s="4" t="s">
        <v>32942</v>
      </c>
      <c r="C26173" s="5" t="str">
        <f>IFERROR(__xludf.DUMMYFUNCTION("GOOGLETRANSLATE(B26173,""en"",""zh-CN"")"),"当问号出现在他们的头上时，男孩分开了。")</f>
        <v>当问号出现在他们的头上时，男孩分开了。</v>
      </c>
    </row>
    <row r="26174">
      <c r="A26174" s="4" t="s">
        <v>32938</v>
      </c>
      <c r="B26174" s="4" t="s">
        <v>32943</v>
      </c>
      <c r="C26174" s="5" t="str">
        <f>IFERROR(__xludf.DUMMYFUNCTION("GOOGLETRANSLATE(B26174,""en"",""zh-CN"")"),"显示了视频的描述。")</f>
        <v>显示了视频的描述。</v>
      </c>
    </row>
    <row r="26175">
      <c r="A26175" s="4" t="s">
        <v>32938</v>
      </c>
      <c r="B26175" s="4" t="s">
        <v>32944</v>
      </c>
      <c r="C26175" s="5" t="str">
        <f>IFERROR(__xludf.DUMMYFUNCTION("GOOGLETRANSLATE(B26175,""en"",""zh-CN"")"),"男孩继续在舞台上抢作为。")</f>
        <v>男孩继续在舞台上抢作为。</v>
      </c>
    </row>
    <row r="26176">
      <c r="A26176" s="4" t="s">
        <v>32938</v>
      </c>
      <c r="B26176" s="4" t="s">
        <v>32945</v>
      </c>
      <c r="C26176" s="5" t="str">
        <f>IFERROR(__xludf.DUMMYFUNCTION("GOOGLETRANSLATE(B26176,""en"",""zh-CN"")"),"假装报价在他们的头上显示出来，并继续晶石。")</f>
        <v>假装报价在他们的头上显示出来，并继续晶石。</v>
      </c>
    </row>
    <row r="26177">
      <c r="A26177" s="4" t="s">
        <v>32938</v>
      </c>
      <c r="B26177" s="4" t="s">
        <v>32946</v>
      </c>
      <c r="C26177" s="5" t="str">
        <f>IFERROR(__xludf.DUMMYFUNCTION("GOOGLETRANSLATE(B26177,""en"",""zh-CN"")"),"左边的男孩变成了火焰，他们恢复了兴奋，继续晶石。")</f>
        <v>左边的男孩变成了火焰，他们恢复了兴奋，继续晶石。</v>
      </c>
    </row>
    <row r="26178">
      <c r="A26178" s="4" t="s">
        <v>32938</v>
      </c>
      <c r="B26178" s="4" t="s">
        <v>32947</v>
      </c>
      <c r="C26178" s="5" t="str">
        <f>IFERROR(__xludf.DUMMYFUNCTION("GOOGLETRANSLATE(B26178,""en"",""zh-CN"")"),"舞台点亮了绿色，它们分开，然后回到Spar。")</f>
        <v>舞台点亮了绿色，它们分开，然后回到Spar。</v>
      </c>
    </row>
    <row r="26179">
      <c r="A26179" s="4" t="s">
        <v>32938</v>
      </c>
      <c r="B26179" s="4" t="s">
        <v>32948</v>
      </c>
      <c r="C26179" s="5" t="str">
        <f>IFERROR(__xludf.DUMMYFUNCTION("GOOGLETRANSLATE(B26179,""en"",""zh-CN"")"),"舞台亮起了蓝色，因为愚蠢的报价出现在权利头上的男孩上。")</f>
        <v>舞台亮起了蓝色，因为愚蠢的报价出现在权利头上的男孩上。</v>
      </c>
    </row>
    <row r="26180">
      <c r="A26180" s="4" t="s">
        <v>32949</v>
      </c>
      <c r="B26180" s="4" t="s">
        <v>32950</v>
      </c>
      <c r="C26180" s="5" t="str">
        <f>IFERROR(__xludf.DUMMYFUNCTION("GOOGLETRANSLATE(B26180,""en"",""zh-CN"")"),"一个人骑着马进入竞技场。")</f>
        <v>一个人骑着马进入竞技场。</v>
      </c>
    </row>
    <row r="26181">
      <c r="A26181" s="4" t="s">
        <v>32949</v>
      </c>
      <c r="B26181" s="4" t="s">
        <v>32951</v>
      </c>
      <c r="C26181" s="5" t="str">
        <f>IFERROR(__xludf.DUMMYFUNCTION("GOOGLETRANSLATE(B26181,""en"",""zh-CN"")"),"他跳下马，绑着小腿。")</f>
        <v>他跳下马，绑着小腿。</v>
      </c>
    </row>
    <row r="26182">
      <c r="A26182" s="4" t="s">
        <v>32949</v>
      </c>
      <c r="B26182" s="4" t="s">
        <v>32952</v>
      </c>
      <c r="C26182" s="5" t="str">
        <f>IFERROR(__xludf.DUMMYFUNCTION("GOOGLETRANSLATE(B26182,""en"",""zh-CN"")"),"他站起来，回到马。")</f>
        <v>他站起来，回到马。</v>
      </c>
    </row>
    <row r="26183">
      <c r="A26183" s="4" t="s">
        <v>32949</v>
      </c>
      <c r="B26183" s="4" t="s">
        <v>32953</v>
      </c>
      <c r="C26183" s="5" t="str">
        <f>IFERROR(__xludf.DUMMYFUNCTION("GOOGLETRANSLATE(B26183,""en"",""zh-CN"")"),"两个人来放下小牛在舞台上。")</f>
        <v>两个人来放下小牛在舞台上。</v>
      </c>
    </row>
    <row r="26184">
      <c r="A26184" s="4" t="s">
        <v>32954</v>
      </c>
      <c r="B26184" s="4" t="s">
        <v>32955</v>
      </c>
      <c r="C26184" s="5" t="str">
        <f>IFERROR(__xludf.DUMMYFUNCTION("GOOGLETRANSLATE(B26184,""en"",""zh-CN"")"),"看到一个男人在拿着刮板时在相机上说话。")</f>
        <v>看到一个男人在拿着刮板时在相机上说话。</v>
      </c>
    </row>
    <row r="26185">
      <c r="A26185" s="4" t="s">
        <v>32954</v>
      </c>
      <c r="B26185" s="4" t="s">
        <v>32956</v>
      </c>
      <c r="C26185" s="5" t="str">
        <f>IFERROR(__xludf.DUMMYFUNCTION("GOOGLETRANSLATE(B26185,""en"",""zh-CN"")"),"他在与镜头说话时将刮板沿着汽车推开。")</f>
        <v>他在与镜头说话时将刮板沿着汽车推开。</v>
      </c>
    </row>
    <row r="26186">
      <c r="A26186" s="4" t="s">
        <v>32954</v>
      </c>
      <c r="B26186" s="4" t="s">
        <v>32957</v>
      </c>
      <c r="C26186" s="5" t="str">
        <f>IFERROR(__xludf.DUMMYFUNCTION("GOOGLETRANSLATE(B26186,""en"",""zh-CN"")"),"最后，他滑入雪中。")</f>
        <v>最后，他滑入雪中。</v>
      </c>
    </row>
    <row r="26187">
      <c r="A26187" s="4" t="s">
        <v>32958</v>
      </c>
      <c r="B26187" s="4" t="s">
        <v>32959</v>
      </c>
      <c r="C26187" s="5" t="str">
        <f>IFERROR(__xludf.DUMMYFUNCTION("GOOGLETRANSLATE(B26187,""en"",""zh-CN"")"),"一群人在节日警棍演奏中表演。")</f>
        <v>一群人在节日警棍演奏中表演。</v>
      </c>
    </row>
    <row r="26188">
      <c r="A26188" s="4" t="s">
        <v>32958</v>
      </c>
      <c r="B26188" s="4" t="s">
        <v>32960</v>
      </c>
      <c r="C26188" s="5" t="str">
        <f>IFERROR(__xludf.DUMMYFUNCTION("GOOGLETRANSLATE(B26188,""en"",""zh-CN"")"),"女孩们继续跳舞，上下运动，旋转着警棍。")</f>
        <v>女孩们继续跳舞，上下运动，旋转着警棍。</v>
      </c>
    </row>
    <row r="26189">
      <c r="A26189" s="4" t="s">
        <v>32958</v>
      </c>
      <c r="B26189" s="4" t="s">
        <v>32961</v>
      </c>
      <c r="C26189" s="5" t="str">
        <f>IFERROR(__xludf.DUMMYFUNCTION("GOOGLETRANSLATE(B26189,""en"",""zh-CN"")"),"灯光开始闪烁，女孩在舞台后面形成一条直线。")</f>
        <v>灯光开始闪烁，女孩在舞台后面形成一条直线。</v>
      </c>
    </row>
    <row r="26190">
      <c r="A26190" s="4" t="s">
        <v>32958</v>
      </c>
      <c r="B26190" s="4" t="s">
        <v>32962</v>
      </c>
      <c r="C26190" s="5" t="str">
        <f>IFERROR(__xludf.DUMMYFUNCTION("GOOGLETRANSLATE(B26190,""en"",""zh-CN"")"),"在独奏会期间，女孩们做相同的例程，但不是水平线形成垂直线。")</f>
        <v>在独奏会期间，女孩们做相同的例程，但不是水平线形成垂直线。</v>
      </c>
    </row>
    <row r="26191">
      <c r="A26191" s="4" t="s">
        <v>32958</v>
      </c>
      <c r="B26191" s="4" t="s">
        <v>32963</v>
      </c>
      <c r="C26191" s="5" t="str">
        <f>IFERROR(__xludf.DUMMYFUNCTION("GOOGLETRANSLATE(B26191,""en"",""zh-CN"")"),"完成后，他们将朝舞台的后部移动，然后在窗帘后面跳舞。")</f>
        <v>完成后，他们将朝舞台的后部移动，然后在窗帘后面跳舞。</v>
      </c>
    </row>
    <row r="26192">
      <c r="A26192" s="4" t="s">
        <v>32964</v>
      </c>
      <c r="B26192" s="4" t="s">
        <v>32965</v>
      </c>
      <c r="C26192" s="5" t="str">
        <f>IFERROR(__xludf.DUMMYFUNCTION("GOOGLETRANSLATE(B26192,""en"",""zh-CN"")"),"一个男人在房间里穿斗牛套装。")</f>
        <v>一个男人在房间里穿斗牛套装。</v>
      </c>
    </row>
    <row r="26193">
      <c r="A26193" s="4" t="s">
        <v>32964</v>
      </c>
      <c r="B26193" s="4" t="s">
        <v>32966</v>
      </c>
      <c r="C26193" s="5" t="str">
        <f>IFERROR(__xludf.DUMMYFUNCTION("GOOGLETRANSLATE(B26193,""en"",""zh-CN"")"),"斗牛士用碗在体育场里用红色斗篷进行战斗。")</f>
        <v>斗牛士用碗在体育场里用红色斗篷进行战斗。</v>
      </c>
    </row>
    <row r="26194">
      <c r="A26194" s="4" t="s">
        <v>32964</v>
      </c>
      <c r="B26194" s="4" t="s">
        <v>32967</v>
      </c>
      <c r="C26194" s="5" t="str">
        <f>IFERROR(__xludf.DUMMYFUNCTION("GOOGLETRANSLATE(B26194,""en"",""zh-CN"")"),"男孩在竞技场一起练习使用红色斗篷。")</f>
        <v>男孩在竞技场一起练习使用红色斗篷。</v>
      </c>
    </row>
    <row r="26195">
      <c r="A26195" s="4" t="s">
        <v>32964</v>
      </c>
      <c r="B26195" s="6" t="s">
        <v>32968</v>
      </c>
      <c r="C26195" s="5" t="str">
        <f>IFERROR(__xludf.DUMMYFUNCTION("GOOGLETRANSLATE(B26195,""en"",""zh-CN"")"),"人们从斗牛士那里获得签名，并在街上进行有关活动的采访。")</f>
        <v>人们从斗牛士那里获得签名，并在街上进行有关活动的采访。</v>
      </c>
    </row>
    <row r="26196">
      <c r="A26196" s="4" t="s">
        <v>32964</v>
      </c>
      <c r="B26196" s="4" t="s">
        <v>32969</v>
      </c>
      <c r="C26196" s="5" t="str">
        <f>IFERROR(__xludf.DUMMYFUNCTION("GOOGLETRANSLATE(B26196,""en"",""zh-CN"")"),"公牛从远处奔跑并向斗牛士倾斜。")</f>
        <v>公牛从远处奔跑并向斗牛士倾斜。</v>
      </c>
    </row>
    <row r="26197">
      <c r="A26197" s="4" t="s">
        <v>32964</v>
      </c>
      <c r="B26197" s="4" t="s">
        <v>32970</v>
      </c>
      <c r="C26197" s="5" t="str">
        <f>IFERROR(__xludf.DUMMYFUNCTION("GOOGLETRANSLATE(B26197,""en"",""zh-CN"")"),"斗牛士以他的后背面对公牛为人群欢呼。")</f>
        <v>斗牛士以他的后背面对公牛为人群欢呼。</v>
      </c>
    </row>
    <row r="26198">
      <c r="A26198" s="4" t="s">
        <v>32971</v>
      </c>
      <c r="B26198" s="6" t="s">
        <v>32972</v>
      </c>
      <c r="C26198" s="5" t="str">
        <f>IFERROR(__xludf.DUMMYFUNCTION("GOOGLETRANSLATE(B26198,""en"",""zh-CN"")"),"一个穿着黑色T恤的男人独自站在厨房里，以动画方式与相机交谈，并准备花生酱和果冻三明治。")</f>
        <v>一个穿着黑色T恤的男人独自站在厨房里，以动画方式与相机交谈，并准备花生酱和果冻三明治。</v>
      </c>
    </row>
    <row r="26199">
      <c r="A26199" s="4" t="s">
        <v>32971</v>
      </c>
      <c r="B26199" s="6" t="s">
        <v>32973</v>
      </c>
      <c r="C26199" s="5" t="str">
        <f>IFERROR(__xludf.DUMMYFUNCTION("GOOGLETRANSLATE(B26199,""en"",""zh-CN"")"),"该男子站在厨房台面前，拿出两块面包后，拿起一罐花生酱和一瓶果冻。")</f>
        <v>该男子站在厨房台面前，拿出两块面包后，拿起一罐花生酱和一瓶果冻。</v>
      </c>
    </row>
    <row r="26200">
      <c r="A26200" s="4" t="s">
        <v>32971</v>
      </c>
      <c r="B26200" s="4" t="s">
        <v>32974</v>
      </c>
      <c r="C26200" s="5" t="str">
        <f>IFERROR(__xludf.DUMMYFUNCTION("GOOGLETRANSLATE(B26200,""en"",""zh-CN"")"),"该男子将果冻和花生酱放在面包上。")</f>
        <v>该男子将果冻和花生酱放在面包上。</v>
      </c>
    </row>
    <row r="26201">
      <c r="A26201" s="4" t="s">
        <v>32971</v>
      </c>
      <c r="B26201" s="6" t="s">
        <v>32975</v>
      </c>
      <c r="C26201" s="5" t="str">
        <f>IFERROR(__xludf.DUMMYFUNCTION("GOOGLETRANSLATE(B26201,""en"",""zh-CN"")"),"该男子咬进三明治，再次开始说话，将三明治猛撞在盘子上，然后走开。")</f>
        <v>该男子咬进三明治，再次开始说话，将三明治猛撞在盘子上，然后走开。</v>
      </c>
    </row>
    <row r="26202">
      <c r="A26202" s="4" t="s">
        <v>32976</v>
      </c>
      <c r="B26202" s="4" t="s">
        <v>32977</v>
      </c>
      <c r="C26202" s="5" t="str">
        <f>IFERROR(__xludf.DUMMYFUNCTION("GOOGLETRANSLATE(B26202,""en"",""zh-CN"")"),"人们热身时，人们会在排球场上显示。")</f>
        <v>人们热身时，人们会在排球场上显示。</v>
      </c>
    </row>
    <row r="26203">
      <c r="A26203" s="4" t="s">
        <v>32976</v>
      </c>
      <c r="B26203" s="4" t="s">
        <v>32978</v>
      </c>
      <c r="C26203" s="5" t="str">
        <f>IFERROR(__xludf.DUMMYFUNCTION("GOOGLETRANSLATE(B26203,""en"",""zh-CN"")"),"女孩们在网上来回弹球。")</f>
        <v>女孩们在网上来回弹球。</v>
      </c>
    </row>
    <row r="26204">
      <c r="A26204" s="4" t="s">
        <v>32976</v>
      </c>
      <c r="B26204" s="4" t="s">
        <v>32979</v>
      </c>
      <c r="C26204" s="5" t="str">
        <f>IFERROR(__xludf.DUMMYFUNCTION("GOOGLETRANSLATE(B26204,""en"",""zh-CN"")"),"他们试图在比赛真正开始时将球与对手保持联系。")</f>
        <v>他们试图在比赛真正开始时将球与对手保持联系。</v>
      </c>
    </row>
    <row r="26205">
      <c r="A26205" s="4" t="s">
        <v>32980</v>
      </c>
      <c r="B26205" s="6" t="s">
        <v>32981</v>
      </c>
      <c r="C26205" s="5" t="str">
        <f>IFERROR(__xludf.DUMMYFUNCTION("GOOGLETRANSLATE(B26205,""en"",""zh-CN"")"),"看到一个女人在拿着各种拖​​把的相机上说话，并将其展示给相机。")</f>
        <v>看到一个女人在拿着各种拖​​把的相机上说话，并将其展示给相机。</v>
      </c>
    </row>
    <row r="26206">
      <c r="A26206" s="4" t="s">
        <v>32980</v>
      </c>
      <c r="B26206" s="4" t="s">
        <v>32982</v>
      </c>
      <c r="C26206" s="5" t="str">
        <f>IFERROR(__xludf.DUMMYFUNCTION("GOOGLETRANSLATE(B26206,""en"",""zh-CN"")"),"然后，她将拖把浸入水桶中，然后沿着地板洗涤。")</f>
        <v>然后，她将拖把浸入水桶中，然后沿着地板洗涤。</v>
      </c>
    </row>
    <row r="26207">
      <c r="A26207" s="4" t="s">
        <v>32980</v>
      </c>
      <c r="B26207" s="6" t="s">
        <v>32983</v>
      </c>
      <c r="C26207" s="5" t="str">
        <f>IFERROR(__xludf.DUMMYFUNCTION("GOOGLETRANSLATE(B26207,""en"",""zh-CN"")"),"她继续讲话时继续说话，并将它们拆开并展示它们的工作方式。")</f>
        <v>她继续讲话时继续说话，并将它们拆开并展示它们的工作方式。</v>
      </c>
    </row>
    <row r="26208">
      <c r="A26208" s="4" t="s">
        <v>32984</v>
      </c>
      <c r="B26208" s="4" t="s">
        <v>32985</v>
      </c>
      <c r="C26208" s="5" t="str">
        <f>IFERROR(__xludf.DUMMYFUNCTION("GOOGLETRANSLATE(B26208,""en"",""zh-CN"")"),"一群男人和男孩在雪地上山上。")</f>
        <v>一群男人和男孩在雪地上山上。</v>
      </c>
    </row>
    <row r="26209">
      <c r="A26209" s="4" t="s">
        <v>32984</v>
      </c>
      <c r="B26209" s="4" t="s">
        <v>32986</v>
      </c>
      <c r="C26209" s="5" t="str">
        <f>IFERROR(__xludf.DUMMYFUNCTION("GOOGLETRANSLATE(B26209,""en"",""zh-CN"")"),"他们滚雪球并骑汽车，然后滑下山坡。")</f>
        <v>他们滚雪球并骑汽车，然后滑下山坡。</v>
      </c>
    </row>
    <row r="26210">
      <c r="A26210" s="4" t="s">
        <v>32984</v>
      </c>
      <c r="B26210" s="4" t="s">
        <v>32987</v>
      </c>
      <c r="C26210" s="5" t="str">
        <f>IFERROR(__xludf.DUMMYFUNCTION("GOOGLETRANSLATE(B26210,""en"",""zh-CN"")"),"它们被显示出滑雪并执行许多技巧，随着他们的走动而旋转和翻转。")</f>
        <v>它们被显示出滑雪并执行许多技巧，随着他们的走动而旋转和翻转。</v>
      </c>
    </row>
    <row r="26211">
      <c r="A26211" s="4" t="s">
        <v>32988</v>
      </c>
      <c r="B26211" s="4" t="s">
        <v>32989</v>
      </c>
      <c r="C26211" s="5" t="str">
        <f>IFERROR(__xludf.DUMMYFUNCTION("GOOGLETRANSLATE(B26211,""en"",""zh-CN"")"),"我们看到一个男孩在玩手风琴。")</f>
        <v>我们看到一个男孩在玩手风琴。</v>
      </c>
    </row>
    <row r="26212">
      <c r="A26212" s="4" t="s">
        <v>32988</v>
      </c>
      <c r="B26212" s="4" t="s">
        <v>32990</v>
      </c>
      <c r="C26212" s="5" t="str">
        <f>IFERROR(__xludf.DUMMYFUNCTION("GOOGLETRANSLATE(B26212,""en"",""zh-CN"")"),"男孩将手滑过钥匙。")</f>
        <v>男孩将手滑过钥匙。</v>
      </c>
    </row>
    <row r="26213">
      <c r="A26213" s="4" t="s">
        <v>32988</v>
      </c>
      <c r="B26213" s="4" t="s">
        <v>32991</v>
      </c>
      <c r="C26213" s="5" t="str">
        <f>IFERROR(__xludf.DUMMYFUNCTION("GOOGLETRANSLATE(B26213,""en"",""zh-CN"")"),"一张纸进入右下方的场景。")</f>
        <v>一张纸进入右下方的场景。</v>
      </c>
    </row>
    <row r="26214">
      <c r="A26214" s="4" t="s">
        <v>32988</v>
      </c>
      <c r="B26214" s="4" t="s">
        <v>32992</v>
      </c>
      <c r="C26214" s="5" t="str">
        <f>IFERROR(__xludf.DUMMYFUNCTION("GOOGLETRANSLATE(B26214,""en"",""zh-CN"")"),"男孩结束了，屏幕变黑了。")</f>
        <v>男孩结束了，屏幕变黑了。</v>
      </c>
    </row>
    <row r="26215">
      <c r="A26215" s="4" t="s">
        <v>32993</v>
      </c>
      <c r="B26215" s="4" t="s">
        <v>25249</v>
      </c>
      <c r="C26215" s="5" t="str">
        <f>IFERROR(__xludf.DUMMYFUNCTION("GOOGLETRANSLATE(B26215,""en"",""zh-CN"")"),"显示了剪辑的信用。")</f>
        <v>显示了剪辑的信用。</v>
      </c>
    </row>
    <row r="26216">
      <c r="A26216" s="4" t="s">
        <v>32993</v>
      </c>
      <c r="B26216" s="4" t="s">
        <v>32994</v>
      </c>
      <c r="C26216" s="5" t="str">
        <f>IFERROR(__xludf.DUMMYFUNCTION("GOOGLETRANSLATE(B26216,""en"",""zh-CN"")"),"手用电动工具钻一个孔。")</f>
        <v>手用电动工具钻一个孔。</v>
      </c>
    </row>
    <row r="26217">
      <c r="A26217" s="4" t="s">
        <v>32993</v>
      </c>
      <c r="B26217" s="4" t="s">
        <v>32995</v>
      </c>
      <c r="C26217" s="5" t="str">
        <f>IFERROR(__xludf.DUMMYFUNCTION("GOOGLETRANSLATE(B26217,""en"",""zh-CN"")"),"手用电动工具将两个钉子拧入孔中。")</f>
        <v>手用电动工具将两个钉子拧入孔中。</v>
      </c>
    </row>
    <row r="26218">
      <c r="A26218" s="4" t="s">
        <v>32993</v>
      </c>
      <c r="B26218" s="4" t="s">
        <v>32996</v>
      </c>
      <c r="C26218" s="5" t="str">
        <f>IFERROR(__xludf.DUMMYFUNCTION("GOOGLETRANSLATE(B26218,""en"",""zh-CN"")"),"该人带着电动工具离开。")</f>
        <v>该人带着电动工具离开。</v>
      </c>
    </row>
    <row r="26219">
      <c r="A26219" s="4" t="s">
        <v>32997</v>
      </c>
      <c r="B26219" s="4" t="s">
        <v>32998</v>
      </c>
      <c r="C26219" s="5" t="str">
        <f>IFERROR(__xludf.DUMMYFUNCTION("GOOGLETRANSLATE(B26219,""en"",""zh-CN"")"),"几个孩子在游泳池里玩水球游戏。")</f>
        <v>几个孩子在游泳池里玩水球游戏。</v>
      </c>
    </row>
    <row r="26220">
      <c r="A26220" s="4" t="s">
        <v>32997</v>
      </c>
      <c r="B26220" s="4" t="s">
        <v>32999</v>
      </c>
      <c r="C26220" s="5" t="str">
        <f>IFERROR(__xludf.DUMMYFUNCTION("GOOGLETRANSLATE(B26220,""en"",""zh-CN"")"),"其中一个女孩接球，随着人群的欢呼，进入网球。")</f>
        <v>其中一个女孩接球，随着人群的欢呼，进入网球。</v>
      </c>
    </row>
    <row r="26221">
      <c r="A26221" s="4" t="s">
        <v>32997</v>
      </c>
      <c r="B26221" s="4" t="s">
        <v>33000</v>
      </c>
      <c r="C26221" s="5" t="str">
        <f>IFERROR(__xludf.DUMMYFUNCTION("GOOGLETRANSLATE(B26221,""en"",""zh-CN"")"),"游戏重置，球队开始再次比赛。")</f>
        <v>游戏重置，球队开始再次比赛。</v>
      </c>
    </row>
    <row r="26222">
      <c r="A26222" s="4" t="s">
        <v>33001</v>
      </c>
      <c r="B26222" s="4" t="s">
        <v>33002</v>
      </c>
      <c r="C26222" s="5" t="str">
        <f>IFERROR(__xludf.DUMMYFUNCTION("GOOGLETRANSLATE(B26222,""en"",""zh-CN"")"),"两名男子在与另外两个男人一起演奏乒乓球的聚会上演讲。")</f>
        <v>两名男子在与另外两个男人一起演奏乒乓球的聚会上演讲。</v>
      </c>
    </row>
    <row r="26223">
      <c r="A26223" s="4" t="s">
        <v>33001</v>
      </c>
      <c r="B26223" s="6" t="s">
        <v>33003</v>
      </c>
      <c r="C26223" s="5" t="str">
        <f>IFERROR(__xludf.DUMMYFUNCTION("GOOGLETRANSLATE(B26223,""en"",""zh-CN"")"),"这些人不断将球带入杯子后，第四，另一个跳动在另一个后面。")</f>
        <v>这些人不断将球带入杯子后，第四，另一个跳动在另一个后面。</v>
      </c>
    </row>
    <row r="26224">
      <c r="A26224" s="4" t="s">
        <v>33004</v>
      </c>
      <c r="B26224" s="4" t="s">
        <v>33005</v>
      </c>
      <c r="C26224" s="5" t="str">
        <f>IFERROR(__xludf.DUMMYFUNCTION("GOOGLETRANSLATE(B26224,""en"",""zh-CN"")"),"水槽被污秽覆盖。")</f>
        <v>水槽被污秽覆盖。</v>
      </c>
    </row>
    <row r="26225">
      <c r="A26225" s="4" t="s">
        <v>33004</v>
      </c>
      <c r="B26225" s="4" t="s">
        <v>33006</v>
      </c>
      <c r="C26225" s="5" t="str">
        <f>IFERROR(__xludf.DUMMYFUNCTION("GOOGLETRANSLATE(B26225,""en"",""zh-CN"")"),"一瓶被固定在相机上。")</f>
        <v>一瓶被固定在相机上。</v>
      </c>
    </row>
    <row r="26226">
      <c r="A26226" s="4" t="s">
        <v>33004</v>
      </c>
      <c r="B26226" s="4" t="s">
        <v>33007</v>
      </c>
      <c r="C26226" s="5" t="str">
        <f>IFERROR(__xludf.DUMMYFUNCTION("GOOGLETRANSLATE(B26226,""en"",""zh-CN"")"),"水在海绵上流过。")</f>
        <v>水在海绵上流过。</v>
      </c>
    </row>
    <row r="26227">
      <c r="A26227" s="4" t="s">
        <v>33004</v>
      </c>
      <c r="B26227" s="4" t="s">
        <v>33008</v>
      </c>
      <c r="C26227" s="5" t="str">
        <f>IFERROR(__xludf.DUMMYFUNCTION("GOOGLETRANSLATE(B26227,""en"",""zh-CN"")"),"将溶液倒在海绵上，并清洁水槽。")</f>
        <v>将溶液倒在海绵上，并清洁水槽。</v>
      </c>
    </row>
    <row r="26228">
      <c r="A26228" s="4" t="s">
        <v>33009</v>
      </c>
      <c r="B26228" s="6" t="s">
        <v>33010</v>
      </c>
      <c r="C26228" s="5" t="str">
        <f>IFERROR(__xludf.DUMMYFUNCTION("GOOGLETRANSLATE(B26228,""en"",""zh-CN"")"),"一个穿着白衬衫和黑色轨道裤子的十几岁的男孩正在户外篮球场上射击。")</f>
        <v>一个穿着白衬衫和黑色轨道裤子的十几岁的男孩正在户外篮球场上射击。</v>
      </c>
    </row>
    <row r="26229">
      <c r="A26229" s="4" t="s">
        <v>33009</v>
      </c>
      <c r="B26229" s="4" t="s">
        <v>33011</v>
      </c>
      <c r="C26229" s="5" t="str">
        <f>IFERROR(__xludf.DUMMYFUNCTION("GOOGLETRANSLATE(B26229,""en"",""zh-CN"")"),"法院周围有一些锥体。")</f>
        <v>法院周围有一些锥体。</v>
      </c>
    </row>
    <row r="26230">
      <c r="A26230" s="4" t="s">
        <v>33009</v>
      </c>
      <c r="B26230" s="4" t="s">
        <v>33012</v>
      </c>
      <c r="C26230" s="5" t="str">
        <f>IFERROR(__xludf.DUMMYFUNCTION("GOOGLETRANSLATE(B26230,""en"",""zh-CN"")"),"这个男孩继续跑步，运球和射击篮球。")</f>
        <v>这个男孩继续跑步，运球和射击篮球。</v>
      </c>
    </row>
    <row r="26231">
      <c r="A26231" s="4" t="s">
        <v>33009</v>
      </c>
      <c r="B26231" s="4" t="s">
        <v>33013</v>
      </c>
      <c r="C26231" s="5" t="str">
        <f>IFERROR(__xludf.DUMMYFUNCTION("GOOGLETRANSLATE(B26231,""en"",""zh-CN"")"),"他击中了一个篮筐，然后停下来打球。")</f>
        <v>他击中了一个篮筐，然后停下来打球。</v>
      </c>
    </row>
    <row r="26232">
      <c r="A26232" s="4" t="s">
        <v>33014</v>
      </c>
      <c r="B26232" s="4" t="s">
        <v>33015</v>
      </c>
      <c r="C26232" s="5" t="str">
        <f>IFERROR(__xludf.DUMMYFUNCTION("GOOGLETRANSLATE(B26232,""en"",""zh-CN"")"),"显示了一张地图，然后在水中浮在水中显示两条大鱼。")</f>
        <v>显示了一张地图，然后在水中浮在水中显示两条大鱼。</v>
      </c>
    </row>
    <row r="26233">
      <c r="A26233" s="4" t="s">
        <v>33014</v>
      </c>
      <c r="B26233" s="4" t="s">
        <v>33016</v>
      </c>
      <c r="C26233" s="5" t="str">
        <f>IFERROR(__xludf.DUMMYFUNCTION("GOOGLETRANSLATE(B26233,""en"",""zh-CN"")"),"两名男子在船上，他们在鱼上航行。")</f>
        <v>两名男子在船上，他们在鱼上航行。</v>
      </c>
    </row>
    <row r="26234">
      <c r="A26234" s="4" t="s">
        <v>33014</v>
      </c>
      <c r="B26234" s="4" t="s">
        <v>33017</v>
      </c>
      <c r="C26234" s="5" t="str">
        <f>IFERROR(__xludf.DUMMYFUNCTION("GOOGLETRANSLATE(B26234,""en"",""zh-CN"")"),"然后显示水下视图，您可以看到鸭子的底部。")</f>
        <v>然后显示水下视图，您可以看到鸭子的底部。</v>
      </c>
    </row>
    <row r="26235">
      <c r="A26235" s="4" t="s">
        <v>33014</v>
      </c>
      <c r="B26235" s="4" t="s">
        <v>33018</v>
      </c>
      <c r="C26235" s="5" t="str">
        <f>IFERROR(__xludf.DUMMYFUNCTION("GOOGLETRANSLATE(B26235,""en"",""zh-CN"")"),"然后显示了几只男子和船只，一条邮件捕获了一条鱼。")</f>
        <v>然后显示了几只男子和船只，一条邮件捕获了一条鱼。</v>
      </c>
    </row>
    <row r="26236">
      <c r="A26236" s="4" t="s">
        <v>33014</v>
      </c>
      <c r="B26236" s="6" t="s">
        <v>33019</v>
      </c>
      <c r="C26236" s="5" t="str">
        <f>IFERROR(__xludf.DUMMYFUNCTION("GOOGLETRANSLATE(B26236,""en"",""zh-CN"")"),"之后，一个穿着全黑色的男人在水下，并显示了一架水直升机，然后该男子回去拿着相机并用大鱼玩耍的水。")</f>
        <v>之后，一个穿着全黑色的男人在水下，并显示了一架水直升机，然后该男子回去拿着相机并用大鱼玩耍的水。</v>
      </c>
    </row>
    <row r="26237">
      <c r="A26237" s="4" t="s">
        <v>33014</v>
      </c>
      <c r="B26237" s="6" t="s">
        <v>33020</v>
      </c>
      <c r="C26237" s="5" t="str">
        <f>IFERROR(__xludf.DUMMYFUNCTION("GOOGLETRANSLATE(B26237,""en"",""zh-CN"")"),"显示了更多内容，男性继续跳下船，并在水下展示他们的发现，并在自己和另一张地图上倾倒水。")</f>
        <v>显示了更多内容，男性继续跳下船，并在水下展示他们的发现，并在自己和另一张地图上倾倒水。</v>
      </c>
    </row>
    <row r="26238">
      <c r="A26238" s="4" t="s">
        <v>33021</v>
      </c>
      <c r="B26238" s="4" t="s">
        <v>33022</v>
      </c>
      <c r="C26238" s="5" t="str">
        <f>IFERROR(__xludf.DUMMYFUNCTION("GOOGLETRANSLATE(B26238,""en"",""zh-CN"")"),"两个人在打壁球。")</f>
        <v>两个人在打壁球。</v>
      </c>
    </row>
    <row r="26239">
      <c r="A26239" s="4" t="s">
        <v>33021</v>
      </c>
      <c r="B26239" s="4" t="s">
        <v>33023</v>
      </c>
      <c r="C26239" s="5" t="str">
        <f>IFERROR(__xludf.DUMMYFUNCTION("GOOGLETRANSLATE(B26239,""en"",""zh-CN"")"),"球在球员后面。")</f>
        <v>球在球员后面。</v>
      </c>
    </row>
    <row r="26240">
      <c r="A26240" s="4" t="s">
        <v>33021</v>
      </c>
      <c r="B26240" s="4" t="s">
        <v>33024</v>
      </c>
      <c r="C26240" s="5" t="str">
        <f>IFERROR(__xludf.DUMMYFUNCTION("GOOGLETRANSLATE(B26240,""en"",""zh-CN"")"),"他们恢复比赛和跳跃。")</f>
        <v>他们恢复比赛和跳跃。</v>
      </c>
    </row>
    <row r="26241">
      <c r="A26241" s="4" t="s">
        <v>33021</v>
      </c>
      <c r="B26241" s="4" t="s">
        <v>33025</v>
      </c>
      <c r="C26241" s="5" t="str">
        <f>IFERROR(__xludf.DUMMYFUNCTION("GOOGLETRANSLATE(B26241,""en"",""zh-CN"")"),"球再次得到球员。")</f>
        <v>球再次得到球员。</v>
      </c>
    </row>
    <row r="26242">
      <c r="A26242" s="4" t="s">
        <v>33021</v>
      </c>
      <c r="B26242" s="4" t="s">
        <v>33026</v>
      </c>
      <c r="C26242" s="5" t="str">
        <f>IFERROR(__xludf.DUMMYFUNCTION("GOOGLETRANSLATE(B26242,""en"",""zh-CN"")"),"黄色的男人重新开始了一场新比赛。")</f>
        <v>黄色的男人重新开始了一场新比赛。</v>
      </c>
    </row>
    <row r="26243">
      <c r="A26243" s="4" t="s">
        <v>33021</v>
      </c>
      <c r="B26243" s="4" t="s">
        <v>33027</v>
      </c>
      <c r="C26243" s="5" t="str">
        <f>IFERROR(__xludf.DUMMYFUNCTION("GOOGLETRANSLATE(B26243,""en"",""zh-CN"")"),"蓝色的男人走到窗户，用贴纸弄乱。")</f>
        <v>蓝色的男人走到窗户，用贴纸弄乱。</v>
      </c>
    </row>
    <row r="26244">
      <c r="A26244" s="4" t="s">
        <v>33021</v>
      </c>
      <c r="B26244" s="4" t="s">
        <v>33028</v>
      </c>
      <c r="C26244" s="5" t="str">
        <f>IFERROR(__xludf.DUMMYFUNCTION("GOOGLETRANSLATE(B26244,""en"",""zh-CN"")"),"黄色男子试图重新启动一场新比赛。")</f>
        <v>黄色男子试图重新启动一场新比赛。</v>
      </c>
    </row>
    <row r="26245">
      <c r="A26245" s="4" t="s">
        <v>33021</v>
      </c>
      <c r="B26245" s="4" t="s">
        <v>33029</v>
      </c>
      <c r="C26245" s="5" t="str">
        <f>IFERROR(__xludf.DUMMYFUNCTION("GOOGLETRANSLATE(B26245,""en"",""zh-CN"")"),"蓝色的男人击中了角球，然后向后回滚。")</f>
        <v>蓝色的男人击中了角球，然后向后回滚。</v>
      </c>
    </row>
    <row r="26246">
      <c r="A26246" s="4" t="s">
        <v>33021</v>
      </c>
      <c r="B26246" s="4" t="s">
        <v>33030</v>
      </c>
      <c r="C26246" s="5" t="str">
        <f>IFERROR(__xludf.DUMMYFUNCTION("GOOGLETRANSLATE(B26246,""en"",""zh-CN"")"),"他们开始了另一轮壁球。")</f>
        <v>他们开始了另一轮壁球。</v>
      </c>
    </row>
    <row r="26247">
      <c r="A26247" s="4" t="s">
        <v>33031</v>
      </c>
      <c r="B26247" s="4" t="s">
        <v>33032</v>
      </c>
      <c r="C26247" s="5" t="str">
        <f>IFERROR(__xludf.DUMMYFUNCTION("GOOGLETRANSLATE(B26247,""en"",""zh-CN"")"),"一个女孩刺穿鼻子。")</f>
        <v>一个女孩刺穿鼻子。</v>
      </c>
    </row>
    <row r="26248">
      <c r="A26248" s="4" t="s">
        <v>33031</v>
      </c>
      <c r="B26248" s="4" t="s">
        <v>33033</v>
      </c>
      <c r="C26248" s="5" t="str">
        <f>IFERROR(__xludf.DUMMYFUNCTION("GOOGLETRANSLATE(B26248,""en"",""zh-CN"")"),"刺穿之前，鼻子清洁。")</f>
        <v>刺穿之前，鼻子清洁。</v>
      </c>
    </row>
    <row r="26249">
      <c r="A26249" s="4" t="s">
        <v>33031</v>
      </c>
      <c r="B26249" s="4" t="s">
        <v>33034</v>
      </c>
      <c r="C26249" s="5" t="str">
        <f>IFERROR(__xludf.DUMMYFUNCTION("GOOGLETRANSLATE(B26249,""en"",""zh-CN"")"),"她和镜头说话。")</f>
        <v>她和镜头说话。</v>
      </c>
    </row>
    <row r="26250">
      <c r="A26250" s="4" t="s">
        <v>33031</v>
      </c>
      <c r="B26250" s="4" t="s">
        <v>33035</v>
      </c>
      <c r="C26250" s="5" t="str">
        <f>IFERROR(__xludf.DUMMYFUNCTION("GOOGLETRANSLATE(B26250,""en"",""zh-CN"")"),"该男子刺穿了她的鼻子。")</f>
        <v>该男子刺穿了她的鼻子。</v>
      </c>
    </row>
    <row r="26251">
      <c r="A26251" s="4" t="s">
        <v>33036</v>
      </c>
      <c r="B26251" s="4" t="s">
        <v>33037</v>
      </c>
      <c r="C26251" s="5" t="str">
        <f>IFERROR(__xludf.DUMMYFUNCTION("GOOGLETRANSLATE(B26251,""en"",""zh-CN"")"),"显示了住所的风景。")</f>
        <v>显示了住所的风景。</v>
      </c>
    </row>
    <row r="26252">
      <c r="A26252" s="4" t="s">
        <v>33036</v>
      </c>
      <c r="B26252" s="6" t="s">
        <v>33038</v>
      </c>
      <c r="C26252" s="5" t="str">
        <f>IFERROR(__xludf.DUMMYFUNCTION("GOOGLETRANSLATE(B26252,""en"",""zh-CN"")"),"一个男人从树篱后面出现，他拿着一个石灰绿色的树篱切割机，他开始围绕着树篱，首先在顶部开始割伤他们，然后他集中在侧面和底部。")</f>
        <v>一个男人从树篱后面出现，他拿着一个石灰绿色的树篱切割机，他开始围绕着树篱，首先在顶部开始割伤他们，然后他集中在侧面和底部。</v>
      </c>
    </row>
    <row r="26253">
      <c r="A26253" s="4" t="s">
        <v>33036</v>
      </c>
      <c r="B26253" s="4" t="s">
        <v>33039</v>
      </c>
      <c r="C26253" s="5" t="str">
        <f>IFERROR(__xludf.DUMMYFUNCTION("GOOGLETRANSLATE(B26253,""en"",""zh-CN"")"),"然后，该男子将树篱切割器移动，并集中在树篱的顶部。")</f>
        <v>然后，该男子将树篱切割器移动，并集中在树篱的顶部。</v>
      </c>
    </row>
    <row r="26254">
      <c r="A26254" s="4" t="s">
        <v>33040</v>
      </c>
      <c r="B26254" s="6" t="s">
        <v>33041</v>
      </c>
      <c r="C26254" s="5" t="str">
        <f>IFERROR(__xludf.DUMMYFUNCTION("GOOGLETRANSLATE(B26254,""en"",""zh-CN"")"),"看到有四个人在体育馆的后部击中一个球，并用网球球拍在墙壁上击中了第四人。")</f>
        <v>看到有四个人在体育馆的后部击中一个球，并用网球球拍在墙壁上击中了第四人。</v>
      </c>
    </row>
    <row r="26255">
      <c r="A26255" s="4" t="s">
        <v>33040</v>
      </c>
      <c r="B26255" s="4" t="s">
        <v>33042</v>
      </c>
      <c r="C26255" s="5" t="str">
        <f>IFERROR(__xludf.DUMMYFUNCTION("GOOGLETRANSLATE(B26255,""en"",""zh-CN"")"),"这些人继续互相玩耍，结束时彼此握手。")</f>
        <v>这些人继续互相玩耍，结束时彼此握手。</v>
      </c>
    </row>
    <row r="26256">
      <c r="A26256" s="4" t="s">
        <v>33043</v>
      </c>
      <c r="B26256" s="4" t="s">
        <v>33044</v>
      </c>
      <c r="C26256" s="5" t="str">
        <f>IFERROR(__xludf.DUMMYFUNCTION("GOOGLETRANSLATE(B26256,""en"",""zh-CN"")"),"看到一个男人站在镜头前，挂在一组风笛上。")</f>
        <v>看到一个男人站在镜头前，挂在一组风笛上。</v>
      </c>
    </row>
    <row r="26257">
      <c r="A26257" s="4" t="s">
        <v>33043</v>
      </c>
      <c r="B26257" s="4" t="s">
        <v>20772</v>
      </c>
      <c r="C26257" s="5" t="str">
        <f>IFERROR(__xludf.DUMMYFUNCTION("GOOGLETRANSLATE(B26257,""en"",""zh-CN"")"),"然后，该男子开始在相机前弹奏乐器。")</f>
        <v>然后，该男子开始在相机前弹奏乐器。</v>
      </c>
    </row>
    <row r="26258">
      <c r="A26258" s="4" t="s">
        <v>33043</v>
      </c>
      <c r="B26258" s="4" t="s">
        <v>33045</v>
      </c>
      <c r="C26258" s="5" t="str">
        <f>IFERROR(__xludf.DUMMYFUNCTION("GOOGLETRANSLATE(B26258,""en"",""zh-CN"")"),"该男子在这里和那里休息时继续演奏，最后显示文本。")</f>
        <v>该男子在这里和那里休息时继续演奏，最后显示文本。</v>
      </c>
    </row>
    <row r="26259">
      <c r="A26259" s="4" t="s">
        <v>33046</v>
      </c>
      <c r="B26259" s="4" t="s">
        <v>33047</v>
      </c>
      <c r="C26259" s="5" t="str">
        <f>IFERROR(__xludf.DUMMYFUNCTION("GOOGLETRANSLATE(B26259,""en"",""zh-CN"")"),"看到一个女人在草坪周围耙树叶，而三只狗则站在她附近并握住玩具。")</f>
        <v>看到一个女人在草坪周围耙树叶，而三只狗则站在她附近并握住玩具。</v>
      </c>
    </row>
    <row r="26260">
      <c r="A26260" s="4" t="s">
        <v>33046</v>
      </c>
      <c r="B26260" s="6" t="s">
        <v>33048</v>
      </c>
      <c r="C26260" s="5" t="str">
        <f>IFERROR(__xludf.DUMMYFUNCTION("GOOGLETRANSLATE(B26260,""en"",""zh-CN"")"),"当狗用玩具周围漫游时，女人继续耙开，她逐渐捡起它们并将它们扔给狗。")</f>
        <v>当狗用玩具周围漫游时，女人继续耙开，她逐渐捡起它们并将它们扔给狗。</v>
      </c>
    </row>
    <row r="26261">
      <c r="A26261" s="4" t="s">
        <v>33049</v>
      </c>
      <c r="B26261" s="4" t="s">
        <v>33050</v>
      </c>
      <c r="C26261" s="5" t="str">
        <f>IFERROR(__xludf.DUMMYFUNCTION("GOOGLETRANSLATE(B26261,""en"",""zh-CN"")"),"有几个男人在室内房间里打foos ball，上面有木板。")</f>
        <v>有几个男人在室内房间里打foos ball，上面有木板。</v>
      </c>
    </row>
    <row r="26262">
      <c r="A26262" s="4" t="s">
        <v>33049</v>
      </c>
      <c r="B26262" s="4" t="s">
        <v>33051</v>
      </c>
      <c r="C26262" s="5" t="str">
        <f>IFERROR(__xludf.DUMMYFUNCTION("GOOGLETRANSLATE(B26262,""en"",""zh-CN"")"),"当他们来回击球时，他们全神贯注于游戏。")</f>
        <v>当他们来回击球时，他们全神贯注于游戏。</v>
      </c>
    </row>
    <row r="26263">
      <c r="A26263" s="4" t="s">
        <v>33052</v>
      </c>
      <c r="B26263" s="6" t="s">
        <v>33053</v>
      </c>
      <c r="C26263" s="5" t="str">
        <f>IFERROR(__xludf.DUMMYFUNCTION("GOOGLETRANSLATE(B26263,""en"",""zh-CN"")"),"一个女人向前弯曲，将左臂伸到前面，并抬起腿上，右手伸到肩膀上。")</f>
        <v>一个女人向前弯曲，将左臂伸到前面，并抬起腿上，右手伸到肩膀上。</v>
      </c>
    </row>
    <row r="26264">
      <c r="A26264" s="4" t="s">
        <v>33052</v>
      </c>
      <c r="B26264" s="4" t="s">
        <v>33054</v>
      </c>
      <c r="C26264" s="5" t="str">
        <f>IFERROR(__xludf.DUMMYFUNCTION("GOOGLETRANSLATE(B26264,""en"",""zh-CN"")"),"然后，女人转向左边，扔球并旋转她的身体。")</f>
        <v>然后，女人转向左边，扔球并旋转她的身体。</v>
      </c>
    </row>
    <row r="26265">
      <c r="A26265" s="4" t="s">
        <v>33055</v>
      </c>
      <c r="B26265" s="4" t="s">
        <v>33056</v>
      </c>
      <c r="C26265" s="5" t="str">
        <f>IFERROR(__xludf.DUMMYFUNCTION("GOOGLETRANSLATE(B26265,""en"",""zh-CN"")"),"一个女人在运动中带领一类男孩和女孩。")</f>
        <v>一个女人在运动中带领一类男孩和女孩。</v>
      </c>
    </row>
    <row r="26266">
      <c r="A26266" s="4" t="s">
        <v>33055</v>
      </c>
      <c r="B26266" s="4" t="s">
        <v>33057</v>
      </c>
      <c r="C26266" s="5" t="str">
        <f>IFERROR(__xludf.DUMMYFUNCTION("GOOGLETRANSLATE(B26266,""en"",""zh-CN"")"),"他们使用草干上下跳跃，然后左右跳来跳去。")</f>
        <v>他们使用草干上下跳跃，然后左右跳来跳去。</v>
      </c>
    </row>
    <row r="26267">
      <c r="A26267" s="4" t="s">
        <v>33055</v>
      </c>
      <c r="B26267" s="4" t="s">
        <v>33058</v>
      </c>
      <c r="C26267" s="5" t="str">
        <f>IFERROR(__xludf.DUMMYFUNCTION("GOOGLETRANSLATE(B26267,""en"",""zh-CN"")"),"然后他们跑到位，跳下草原。")</f>
        <v>然后他们跑到位，跳下草原。</v>
      </c>
    </row>
    <row r="26268">
      <c r="A26268" s="4" t="s">
        <v>33055</v>
      </c>
      <c r="B26268" s="4" t="s">
        <v>33059</v>
      </c>
      <c r="C26268" s="5" t="str">
        <f>IFERROR(__xludf.DUMMYFUNCTION("GOOGLETRANSLATE(B26268,""en"",""zh-CN"")"),"他们放慢脚步，在鼓掌前冷却。")</f>
        <v>他们放慢脚步，在鼓掌前冷却。</v>
      </c>
    </row>
    <row r="26269">
      <c r="A26269" s="4" t="s">
        <v>33060</v>
      </c>
      <c r="B26269" s="4" t="s">
        <v>33061</v>
      </c>
      <c r="C26269" s="5" t="str">
        <f>IFERROR(__xludf.DUMMYFUNCTION("GOOGLETRANSLATE(B26269,""en"",""zh-CN"")"),"女人在海上可减肥中，一个男人在她身后。")</f>
        <v>女人在海上可减肥中，一个男人在她身后。</v>
      </c>
    </row>
    <row r="26270">
      <c r="A26270" s="4" t="s">
        <v>33060</v>
      </c>
      <c r="B26270" s="4" t="s">
        <v>33062</v>
      </c>
      <c r="C26270" s="5" t="str">
        <f>IFERROR(__xludf.DUMMYFUNCTION("GOOGLETRANSLATE(B26270,""en"",""zh-CN"")"),"他们正在看鱼和树干。")</f>
        <v>他们正在看鱼和树干。</v>
      </c>
    </row>
    <row r="26271">
      <c r="A26271" s="4" t="s">
        <v>33060</v>
      </c>
      <c r="B26271" s="4" t="s">
        <v>33063</v>
      </c>
      <c r="C26271" s="5" t="str">
        <f>IFERROR(__xludf.DUMMYFUNCTION("GOOGLETRANSLATE(B26271,""en"",""zh-CN"")"),"男人在海底潜水。")</f>
        <v>男人在海底潜水。</v>
      </c>
    </row>
    <row r="26272">
      <c r="A26272" s="4" t="s">
        <v>33064</v>
      </c>
      <c r="B26272" s="4" t="s">
        <v>33065</v>
      </c>
      <c r="C26272" s="5" t="str">
        <f>IFERROR(__xludf.DUMMYFUNCTION("GOOGLETRANSLATE(B26272,""en"",""zh-CN"")"),"一群男孩排成一列，打鼓。")</f>
        <v>一群男孩排成一列，打鼓。</v>
      </c>
    </row>
    <row r="26273">
      <c r="A26273" s="4" t="s">
        <v>33064</v>
      </c>
      <c r="B26273" s="4" t="s">
        <v>33066</v>
      </c>
      <c r="C26273" s="5" t="str">
        <f>IFERROR(__xludf.DUMMYFUNCTION("GOOGLETRANSLATE(B26273,""en"",""zh-CN"")"),"游泳池里有几支球队。")</f>
        <v>游泳池里有几支球队。</v>
      </c>
    </row>
    <row r="26274">
      <c r="A26274" s="4" t="s">
        <v>33064</v>
      </c>
      <c r="B26274" s="4" t="s">
        <v>27454</v>
      </c>
      <c r="C26274" s="5" t="str">
        <f>IFERROR(__xludf.DUMMYFUNCTION("GOOGLETRANSLATE(B26274,""en"",""zh-CN"")"),"他们正在玩水球游戏。")</f>
        <v>他们正在玩水球游戏。</v>
      </c>
    </row>
    <row r="26275">
      <c r="A26275" s="4" t="s">
        <v>33067</v>
      </c>
      <c r="B26275" s="4" t="s">
        <v>33068</v>
      </c>
      <c r="C26275" s="5" t="str">
        <f>IFERROR(__xludf.DUMMYFUNCTION("GOOGLETRANSLATE(B26275,""en"",""zh-CN"")"),"看到一个女人在镜头上与某人说话，并带领自己打鼓。")</f>
        <v>看到一个女人在镜头上与某人说话，并带领自己打鼓。</v>
      </c>
    </row>
    <row r="26276">
      <c r="A26276" s="4" t="s">
        <v>33067</v>
      </c>
      <c r="B26276" s="4" t="s">
        <v>33069</v>
      </c>
      <c r="C26276" s="5" t="str">
        <f>IFERROR(__xludf.DUMMYFUNCTION("GOOGLETRANSLATE(B26276,""en"",""zh-CN"")"),"另一个男人走进框架，开始与女人一起演奏鼓。")</f>
        <v>另一个男人走进框架，开始与女人一起演奏鼓。</v>
      </c>
    </row>
    <row r="26277">
      <c r="A26277" s="4" t="s">
        <v>33067</v>
      </c>
      <c r="B26277" s="6" t="s">
        <v>33070</v>
      </c>
      <c r="C26277" s="5" t="str">
        <f>IFERROR(__xludf.DUMMYFUNCTION("GOOGLETRANSLATE(B26277,""en"",""zh-CN"")"),"一个小孩出现在前面，有点抓住女人，而男人仍然打鼓。")</f>
        <v>一个小孩出现在前面，有点抓住女人，而男人仍然打鼓。</v>
      </c>
    </row>
    <row r="26278">
      <c r="A26278" s="4" t="s">
        <v>33071</v>
      </c>
      <c r="B26278" s="6" t="s">
        <v>33072</v>
      </c>
      <c r="C26278" s="5" t="str">
        <f>IFERROR(__xludf.DUMMYFUNCTION("GOOGLETRANSLATE(B26278,""en"",""zh-CN"")"),"看到一大批人互相打躲避球，将球向后丢了第四。")</f>
        <v>看到一大批人互相打躲避球，将球向后丢了第四。</v>
      </c>
    </row>
    <row r="26279">
      <c r="A26279" s="4" t="s">
        <v>33071</v>
      </c>
      <c r="B26279" s="6" t="s">
        <v>33073</v>
      </c>
      <c r="C26279" s="5" t="str">
        <f>IFERROR(__xludf.DUMMYFUNCTION("GOOGLETRANSLATE(B26279,""en"",""zh-CN"")"),"当人们继续玩耍时，许多人在场外观看比赛，而有些人则走进和走出框架。")</f>
        <v>当人们继续玩耍时，许多人在场外观看比赛，而有些人则走进和走出框架。</v>
      </c>
    </row>
    <row r="26280">
      <c r="A26280" s="4" t="s">
        <v>33074</v>
      </c>
      <c r="B26280" s="4" t="s">
        <v>33075</v>
      </c>
      <c r="C26280" s="5" t="str">
        <f>IFERROR(__xludf.DUMMYFUNCTION("GOOGLETRANSLATE(B26280,""en"",""zh-CN"")"),"一名亚洲妇女站着拿着一张带有金色字母的卡的卡在其背面。")</f>
        <v>一名亚洲妇女站着拿着一张带有金色字母的卡的卡在其背面。</v>
      </c>
    </row>
    <row r="26281">
      <c r="A26281" s="4" t="s">
        <v>33074</v>
      </c>
      <c r="B26281" s="6" t="s">
        <v>33076</v>
      </c>
      <c r="C26281" s="5" t="str">
        <f>IFERROR(__xludf.DUMMYFUNCTION("GOOGLETRANSLATE(B26281,""en"",""zh-CN"")"),"一个剪辑开始播放，它显示出大型田野里的各种男人在嬉戏时，观众看着。")</f>
        <v>一个剪辑开始播放，它显示出大型田野里的各种男人在嬉戏时，观众看着。</v>
      </c>
    </row>
    <row r="26282">
      <c r="A26282" s="4" t="s">
        <v>33074</v>
      </c>
      <c r="B26282" s="4" t="s">
        <v>33077</v>
      </c>
      <c r="C26282" s="5" t="str">
        <f>IFERROR(__xludf.DUMMYFUNCTION("GOOGLETRANSLATE(B26282,""en"",""zh-CN"")"),"然后，一个年轻人向一个大的银杯展示了一个大的银杯，这是一个老男人交给他的。")</f>
        <v>然后，一个年轻人向一个大的银杯展示了一个大的银杯，这是一个老男人交给他的。</v>
      </c>
    </row>
    <row r="26283">
      <c r="A26283" s="4" t="s">
        <v>33078</v>
      </c>
      <c r="B26283" s="4" t="s">
        <v>33079</v>
      </c>
      <c r="C26283" s="5" t="str">
        <f>IFERROR(__xludf.DUMMYFUNCTION("GOOGLETRANSLATE(B26283,""en"",""zh-CN"")"),"一个女人躺在她的背上做腹肌。")</f>
        <v>一个女人躺在她的背上做腹肌。</v>
      </c>
    </row>
    <row r="26284">
      <c r="A26284" s="4" t="s">
        <v>33078</v>
      </c>
      <c r="B26284" s="4" t="s">
        <v>33080</v>
      </c>
      <c r="C26284" s="5" t="str">
        <f>IFERROR(__xludf.DUMMYFUNCTION("GOOGLETRANSLATE(B26284,""en"",""zh-CN"")"),"那个女人跪在胸前，用手拉头。")</f>
        <v>那个女人跪在胸前，用手拉头。</v>
      </c>
    </row>
    <row r="26285">
      <c r="A26285" s="4" t="s">
        <v>33078</v>
      </c>
      <c r="B26285" s="4" t="s">
        <v>33081</v>
      </c>
      <c r="C26285" s="5" t="str">
        <f>IFERROR(__xludf.DUMMYFUNCTION("GOOGLETRANSLATE(B26285,""en"",""zh-CN"")"),"然后，那个女人停下来，狗对她走了。")</f>
        <v>然后，那个女人停下来，狗对她走了。</v>
      </c>
    </row>
    <row r="26286">
      <c r="A26286" s="4" t="s">
        <v>33082</v>
      </c>
      <c r="B26286" s="4" t="s">
        <v>33083</v>
      </c>
      <c r="C26286" s="5" t="str">
        <f>IFERROR(__xludf.DUMMYFUNCTION("GOOGLETRANSLATE(B26286,""en"",""zh-CN"")"),"一支年轻的男孩团队在空手道比赛中在健身房。")</f>
        <v>一支年轻的男孩团队在空手道比赛中在健身房。</v>
      </c>
    </row>
    <row r="26287">
      <c r="A26287" s="4" t="s">
        <v>33082</v>
      </c>
      <c r="B26287" s="6" t="s">
        <v>33084</v>
      </c>
      <c r="C26287" s="5" t="str">
        <f>IFERROR(__xludf.DUMMYFUNCTION("GOOGLETRANSLATE(B26287,""en"",""zh-CN"")"),"一个女人将儿子走到垫子上，开始固定垫子，准备他面对对手。")</f>
        <v>一个女人将儿子走到垫子上，开始固定垫子，准备他面对对手。</v>
      </c>
    </row>
    <row r="26288">
      <c r="A26288" s="4" t="s">
        <v>33082</v>
      </c>
      <c r="B26288" s="4" t="s">
        <v>33085</v>
      </c>
      <c r="C26288" s="5" t="str">
        <f>IFERROR(__xludf.DUMMYFUNCTION("GOOGLETRANSLATE(B26288,""en"",""zh-CN"")"),"两个人走到垫子上，裁判给了他们开始的信号。")</f>
        <v>两个人走到垫子上，裁判给了他们开始的信号。</v>
      </c>
    </row>
    <row r="26289">
      <c r="A26289" s="4" t="s">
        <v>33082</v>
      </c>
      <c r="B26289" s="4" t="s">
        <v>33086</v>
      </c>
      <c r="C26289" s="5" t="str">
        <f>IFERROR(__xludf.DUMMYFUNCTION("GOOGLETRANSLATE(B26289,""en"",""zh-CN"")"),"当男孩接近时，他踢了对手的头部。")</f>
        <v>当男孩接近时，他踢了对手的头部。</v>
      </c>
    </row>
    <row r="26290">
      <c r="A26290" s="4" t="s">
        <v>33082</v>
      </c>
      <c r="B26290" s="6" t="s">
        <v>33087</v>
      </c>
      <c r="C26290" s="5" t="str">
        <f>IFERROR(__xludf.DUMMYFUNCTION("GOOGLETRANSLATE(B26290,""en"",""zh-CN"")"),"被踢的男孩掉在地上，他的母亲急忙确保他没事，因为另一个男孩膝盖膝盖。")</f>
        <v>被踢的男孩掉在地上，他的母亲急忙确保他没事，因为另一个男孩膝盖膝盖。</v>
      </c>
    </row>
    <row r="26291">
      <c r="A26291" s="4" t="s">
        <v>33082</v>
      </c>
      <c r="B26291" s="6" t="s">
        <v>33088</v>
      </c>
      <c r="C26291" s="5" t="str">
        <f>IFERROR(__xludf.DUMMYFUNCTION("GOOGLETRANSLATE(B26291,""en"",""zh-CN"")"),"一旦男孩没事，裁判就开始做出几个手势，他们得出结论，小男孩去了他的母亲，然后走向曾经拿着相机的人。")</f>
        <v>一旦男孩没事，裁判就开始做出几个手势，他们得出结论，小男孩去了他的母亲，然后走向曾经拿着相机的人。</v>
      </c>
    </row>
    <row r="26292">
      <c r="A26292" s="4" t="s">
        <v>33089</v>
      </c>
      <c r="B26292" s="6" t="s">
        <v>33090</v>
      </c>
      <c r="C26292" s="5" t="str">
        <f>IFERROR(__xludf.DUMMYFUNCTION("GOOGLETRANSLATE(B26292,""en"",""zh-CN"")"),"看到一个蒙住眼睛的男人坐在桌子旁，一个计时器旁边是他试图解决rubix立方体。")</f>
        <v>看到一个蒙住眼睛的男人坐在桌子旁，一个计时器旁边是他试图解决rubix立方体。</v>
      </c>
    </row>
    <row r="26293">
      <c r="A26293" s="4" t="s">
        <v>33089</v>
      </c>
      <c r="B26293" s="4" t="s">
        <v>33091</v>
      </c>
      <c r="C26293" s="5" t="str">
        <f>IFERROR(__xludf.DUMMYFUNCTION("GOOGLETRANSLATE(B26293,""en"",""zh-CN"")"),"该男子完成了立方体，计时器停止了，而站在他旁边的人则记录了自己的时间。")</f>
        <v>该男子完成了立方体，计时器停止了，而站在他旁边的人则记录了自己的时间。</v>
      </c>
    </row>
    <row r="26294">
      <c r="A26294" s="4" t="s">
        <v>33089</v>
      </c>
      <c r="B26294" s="6" t="s">
        <v>33092</v>
      </c>
      <c r="C26294" s="5" t="str">
        <f>IFERROR(__xludf.DUMMYFUNCTION("GOOGLETRANSLATE(B26294,""en"",""zh-CN"")"),"看到另一个男人在背景中四处走动，而相机则四处奔向更多的人解决立方体。")</f>
        <v>看到另一个男人在背景中四处走动，而相机则四处奔向更多的人解决立方体。</v>
      </c>
    </row>
    <row r="26295">
      <c r="A26295" s="4" t="s">
        <v>33093</v>
      </c>
      <c r="B26295" s="4" t="s">
        <v>33094</v>
      </c>
      <c r="C26295" s="5" t="str">
        <f>IFERROR(__xludf.DUMMYFUNCTION("GOOGLETRANSLATE(B26295,""en"",""zh-CN"")"),"在体操地板上显示一个女孩，准备做一个警棍的例行活动。")</f>
        <v>在体操地板上显示一个女孩，准备做一个警棍的例行活动。</v>
      </c>
    </row>
    <row r="26296">
      <c r="A26296" s="4" t="s">
        <v>33093</v>
      </c>
      <c r="B26296" s="4" t="s">
        <v>33095</v>
      </c>
      <c r="C26296" s="5" t="str">
        <f>IFERROR(__xludf.DUMMYFUNCTION("GOOGLETRANSLATE(B26296,""en"",""zh-CN"")"),"当她开始在地板上跳舞并旋转警棍时，例行程序开始。")</f>
        <v>当她开始在地板上跳舞并旋转警棍时，例行程序开始。</v>
      </c>
    </row>
    <row r="26297">
      <c r="A26297" s="4" t="s">
        <v>33093</v>
      </c>
      <c r="B26297" s="4" t="s">
        <v>33096</v>
      </c>
      <c r="C26297" s="5" t="str">
        <f>IFERROR(__xludf.DUMMYFUNCTION("GOOGLETRANSLATE(B26297,""en"",""zh-CN"")"),"当人群欢呼时，例行程序结束了她从舞台上跑出的。")</f>
        <v>当人群欢呼时，例行程序结束了她从舞台上跑出的。</v>
      </c>
    </row>
    <row r="26298">
      <c r="A26298" s="4" t="s">
        <v>33097</v>
      </c>
      <c r="B26298" s="4" t="s">
        <v>33098</v>
      </c>
      <c r="C26298" s="5" t="str">
        <f>IFERROR(__xludf.DUMMYFUNCTION("GOOGLETRANSLATE(B26298,""en"",""zh-CN"")"),"看到一个人沿着水移动，同时也以慢动作显示。")</f>
        <v>看到一个人沿着水移动，同时也以慢动作显示。</v>
      </c>
    </row>
    <row r="26299">
      <c r="A26299" s="4" t="s">
        <v>33097</v>
      </c>
      <c r="B26299" s="4" t="s">
        <v>33099</v>
      </c>
      <c r="C26299" s="5" t="str">
        <f>IFERROR(__xludf.DUMMYFUNCTION("GOOGLETRANSLATE(B26299,""en"",""zh-CN"")"),"该人将自己推到水下，并继续在下面移动。")</f>
        <v>该人将自己推到水下，并继续在下面移动。</v>
      </c>
    </row>
    <row r="26300">
      <c r="A26300" s="4" t="s">
        <v>33097</v>
      </c>
      <c r="B26300" s="4" t="s">
        <v>33100</v>
      </c>
      <c r="C26300" s="5" t="str">
        <f>IFERROR(__xludf.DUMMYFUNCTION("GOOGLETRANSLATE(B26300,""en"",""zh-CN"")"),"相机从几个角度捕获了男人。")</f>
        <v>相机从几个角度捕获了男人。</v>
      </c>
    </row>
    <row r="26301">
      <c r="A26301" s="4" t="s">
        <v>33101</v>
      </c>
      <c r="B26301" s="4" t="s">
        <v>33102</v>
      </c>
      <c r="C26301" s="5" t="str">
        <f>IFERROR(__xludf.DUMMYFUNCTION("GOOGLETRANSLATE(B26301,""en"",""zh-CN"")"),"洛杉矶，好莱坞及周边地区周围有遥远的景象。")</f>
        <v>洛杉矶，好莱坞及周边地区周围有遥远的景象。</v>
      </c>
    </row>
    <row r="26302">
      <c r="A26302" s="4" t="s">
        <v>33101</v>
      </c>
      <c r="B26302" s="4" t="s">
        <v>33103</v>
      </c>
      <c r="C26302" s="5" t="str">
        <f>IFERROR(__xludf.DUMMYFUNCTION("GOOGLETRANSLATE(B26302,""en"",""zh-CN"")"),"然后，一个男人在充满食材和炊具的桌子后面说话。")</f>
        <v>然后，一个男人在充满食材和炊具的桌子后面说话。</v>
      </c>
    </row>
    <row r="26303">
      <c r="A26303" s="4" t="s">
        <v>33101</v>
      </c>
      <c r="B26303" s="4" t="s">
        <v>33104</v>
      </c>
      <c r="C26303" s="5" t="str">
        <f>IFERROR(__xludf.DUMMYFUNCTION("GOOGLETRANSLATE(B26303,""en"",""zh-CN"")"),"然后，该男子炫耀他的一些蔬菜和食材，并闻到它们的味道。")</f>
        <v>然后，该男子炫耀他的一些蔬菜和食材，并闻到它们的味道。</v>
      </c>
    </row>
    <row r="26304">
      <c r="A26304" s="4" t="s">
        <v>33101</v>
      </c>
      <c r="B26304" s="4" t="s">
        <v>33105</v>
      </c>
      <c r="C26304" s="5" t="str">
        <f>IFERROR(__xludf.DUMMYFUNCTION("GOOGLETRANSLATE(B26304,""en"",""zh-CN"")"),"他通过将柠檬挤进一碗浸泡过的蔬菜来开始做饭。")</f>
        <v>他通过将柠檬挤进一碗浸泡过的蔬菜来开始做饭。</v>
      </c>
    </row>
    <row r="26305">
      <c r="A26305" s="4" t="s">
        <v>33101</v>
      </c>
      <c r="B26305" s="6" t="s">
        <v>33106</v>
      </c>
      <c r="C26305" s="5" t="str">
        <f>IFERROR(__xludf.DUMMYFUNCTION("GOOGLETRANSLATE(B26305,""en"",""zh-CN"")"),"然后，他将洋葱，柠檬汁，胡椒粉，油（他闻起来）和其他一些蔬菜放在盘子上。")</f>
        <v>然后，他将洋葱，柠檬汁，胡椒粉，油（他闻起来）和其他一些蔬菜放在盘子上。</v>
      </c>
    </row>
    <row r="26306">
      <c r="A26306" s="4" t="s">
        <v>33101</v>
      </c>
      <c r="B26306" s="4" t="s">
        <v>33107</v>
      </c>
      <c r="C26306" s="5" t="str">
        <f>IFERROR(__xludf.DUMMYFUNCTION("GOOGLETRANSLATE(B26306,""en"",""zh-CN"")"),"然后，他将奶酪切到一个带碎纸的地方。")</f>
        <v>然后，他将奶酪切到一个带碎纸的地方。</v>
      </c>
    </row>
    <row r="26307">
      <c r="A26307" s="4" t="s">
        <v>33101</v>
      </c>
      <c r="B26307" s="4" t="s">
        <v>33108</v>
      </c>
      <c r="C26307" s="5" t="str">
        <f>IFERROR(__xludf.DUMMYFUNCTION("GOOGLETRANSLATE(B26307,""en"",""zh-CN"")"),"他将切碎的奶酪放在原始盘子上。")</f>
        <v>他将切碎的奶酪放在原始盘子上。</v>
      </c>
    </row>
    <row r="26308">
      <c r="A26308" s="4" t="s">
        <v>33101</v>
      </c>
      <c r="B26308" s="4" t="s">
        <v>33109</v>
      </c>
      <c r="C26308" s="5" t="str">
        <f>IFERROR(__xludf.DUMMYFUNCTION("GOOGLETRANSLATE(B26308,""en"",""zh-CN"")"),"之后，他选择一些草药，然后将它们放在盘子上。")</f>
        <v>之后，他选择一些草药，然后将它们放在盘子上。</v>
      </c>
    </row>
    <row r="26309">
      <c r="A26309" s="4" t="s">
        <v>33101</v>
      </c>
      <c r="B26309" s="4" t="s">
        <v>33110</v>
      </c>
      <c r="C26309" s="5" t="str">
        <f>IFERROR(__xludf.DUMMYFUNCTION("GOOGLETRANSLATE(B26309,""en"",""zh-CN"")"),"然后，他将盐和更多的胡椒粉加到原始盘子中。")</f>
        <v>然后，他将盐和更多的胡椒粉加到原始盘子中。</v>
      </c>
    </row>
    <row r="26310">
      <c r="A26310" s="4" t="s">
        <v>33101</v>
      </c>
      <c r="B26310" s="4" t="s">
        <v>33111</v>
      </c>
      <c r="C26310" s="5" t="str">
        <f>IFERROR(__xludf.DUMMYFUNCTION("GOOGLETRANSLATE(B26310,""en"",""zh-CN"")"),"然后，他谈论一瓶油，并在原始盘子中添加一些油。")</f>
        <v>然后，他谈论一瓶油，并在原始盘子中添加一些油。</v>
      </c>
    </row>
    <row r="26311">
      <c r="A26311" s="4" t="s">
        <v>33101</v>
      </c>
      <c r="B26311" s="4" t="s">
        <v>33112</v>
      </c>
      <c r="C26311" s="5" t="str">
        <f>IFERROR(__xludf.DUMMYFUNCTION("GOOGLETRANSLATE(B26311,""en"",""zh-CN"")"),"他还向盘子添加了不同类型的油。")</f>
        <v>他还向盘子添加了不同类型的油。</v>
      </c>
    </row>
    <row r="26312">
      <c r="A26312" s="4" t="s">
        <v>33101</v>
      </c>
      <c r="B26312" s="4" t="s">
        <v>33113</v>
      </c>
      <c r="C26312" s="5" t="str">
        <f>IFERROR(__xludf.DUMMYFUNCTION("GOOGLETRANSLATE(B26312,""en"",""zh-CN"")"),"然后有成品食品板的不同夹子和角度。")</f>
        <v>然后有成品食品板的不同夹子和角度。</v>
      </c>
    </row>
    <row r="26313">
      <c r="A26313" s="4" t="s">
        <v>33114</v>
      </c>
      <c r="B26313" s="4" t="s">
        <v>33115</v>
      </c>
      <c r="C26313" s="5" t="str">
        <f>IFERROR(__xludf.DUMMYFUNCTION("GOOGLETRANSLATE(B26313,""en"",""zh-CN"")"),"一个人完成了一大堆俯卧撑，然后介绍了躲避球的概念。")</f>
        <v>一个人完成了一大堆俯卧撑，然后介绍了躲避球的概念。</v>
      </c>
    </row>
    <row r="26314">
      <c r="A26314" s="4" t="s">
        <v>33114</v>
      </c>
      <c r="B26314" s="4" t="s">
        <v>33116</v>
      </c>
      <c r="C26314" s="5" t="str">
        <f>IFERROR(__xludf.DUMMYFUNCTION("GOOGLETRANSLATE(B26314,""en"",""zh-CN"")"),"法院显示了图形。")</f>
        <v>法院显示了图形。</v>
      </c>
    </row>
    <row r="26315">
      <c r="A26315" s="4" t="s">
        <v>33114</v>
      </c>
      <c r="B26315" s="4" t="s">
        <v>33117</v>
      </c>
      <c r="C26315" s="5" t="str">
        <f>IFERROR(__xludf.DUMMYFUNCTION("GOOGLETRANSLATE(B26315,""en"",""zh-CN"")"),"两支球队排队互相比赛。")</f>
        <v>两支球队排队互相比赛。</v>
      </c>
    </row>
    <row r="26316">
      <c r="A26316" s="4" t="s">
        <v>33114</v>
      </c>
      <c r="B26316" s="4" t="s">
        <v>33118</v>
      </c>
      <c r="C26316" s="5" t="str">
        <f>IFERROR(__xludf.DUMMYFUNCTION("GOOGLETRANSLATE(B26316,""en"",""zh-CN"")"),"引入了排除人并阻止球的概念。")</f>
        <v>引入了排除人并阻止球的概念。</v>
      </c>
    </row>
    <row r="26317">
      <c r="A26317" s="4" t="s">
        <v>33114</v>
      </c>
      <c r="B26317" s="4" t="s">
        <v>33119</v>
      </c>
      <c r="C26317" s="5" t="str">
        <f>IFERROR(__xludf.DUMMYFUNCTION("GOOGLETRANSLATE(B26317,""en"",""zh-CN"")"),"团队互相祝贺，表现出体育精神。")</f>
        <v>团队互相祝贺，表现出体育精神。</v>
      </c>
    </row>
    <row r="26318">
      <c r="A26318" s="4" t="s">
        <v>33114</v>
      </c>
      <c r="B26318" s="4" t="s">
        <v>33120</v>
      </c>
      <c r="C26318" s="5" t="str">
        <f>IFERROR(__xludf.DUMMYFUNCTION("GOOGLETRANSLATE(B26318,""en"",""zh-CN"")"),"屏幕上显示了更多规则，突出显示了玩家安全。")</f>
        <v>屏幕上显示了更多规则，突出显示了玩家安全。</v>
      </c>
    </row>
    <row r="26319">
      <c r="A26319" s="4" t="s">
        <v>33121</v>
      </c>
      <c r="B26319" s="6" t="s">
        <v>33122</v>
      </c>
      <c r="C26319" s="5" t="str">
        <f>IFERROR(__xludf.DUMMYFUNCTION("GOOGLETRANSLATE(B26319,""en"",""zh-CN"")"),"一个人在几个不同的镜头中看到一个人，沿着水骑着技巧，而其他人则在他周围骑行。")</f>
        <v>一个人在几个不同的镜头中看到一个人，沿着水骑着技巧，而其他人则在他周围骑行。</v>
      </c>
    </row>
    <row r="26320">
      <c r="A26320" s="4" t="s">
        <v>33121</v>
      </c>
      <c r="B26320" s="4" t="s">
        <v>33123</v>
      </c>
      <c r="C26320" s="5" t="str">
        <f>IFERROR(__xludf.DUMMYFUNCTION("GOOGLETRANSLATE(B26320,""en"",""zh-CN"")"),"该男子继续沿着水面执行技巧，并以视频淡化为黑色。")</f>
        <v>该男子继续沿着水面执行技巧，并以视频淡化为黑色。</v>
      </c>
    </row>
    <row r="26321">
      <c r="A26321" s="4" t="s">
        <v>33124</v>
      </c>
      <c r="B26321" s="4" t="s">
        <v>33125</v>
      </c>
      <c r="C26321" s="5" t="str">
        <f>IFERROR(__xludf.DUMMYFUNCTION("GOOGLETRANSLATE(B26321,""en"",""zh-CN"")"),"一个绿色的人物走在街上。")</f>
        <v>一个绿色的人物走在街上。</v>
      </c>
    </row>
    <row r="26322">
      <c r="A26322" s="4" t="s">
        <v>33124</v>
      </c>
      <c r="B26322" s="4" t="s">
        <v>33126</v>
      </c>
      <c r="C26322" s="5" t="str">
        <f>IFERROR(__xludf.DUMMYFUNCTION("GOOGLETRANSLATE(B26322,""en"",""zh-CN"")"),"出现了无尽的其他绿色人物。")</f>
        <v>出现了无尽的其他绿色人物。</v>
      </c>
    </row>
    <row r="26323">
      <c r="A26323" s="4" t="s">
        <v>33124</v>
      </c>
      <c r="B26323" s="4" t="s">
        <v>33127</v>
      </c>
      <c r="C26323" s="5" t="str">
        <f>IFERROR(__xludf.DUMMYFUNCTION("GOOGLETRANSLATE(B26323,""en"",""zh-CN"")"),"每个人物都在walking狗。")</f>
        <v>每个人物都在walking狗。</v>
      </c>
    </row>
    <row r="26324">
      <c r="A26324" s="4" t="s">
        <v>33124</v>
      </c>
      <c r="B26324" s="4" t="s">
        <v>33128</v>
      </c>
      <c r="C26324" s="5" t="str">
        <f>IFERROR(__xludf.DUMMYFUNCTION("GOOGLETRANSLATE(B26324,""en"",""zh-CN"")"),"剪辑似乎是一个循环。")</f>
        <v>剪辑似乎是一个循环。</v>
      </c>
    </row>
    <row r="26325">
      <c r="A26325" s="4" t="s">
        <v>33129</v>
      </c>
      <c r="B26325" s="4" t="s">
        <v>33130</v>
      </c>
      <c r="C26325" s="5" t="str">
        <f>IFERROR(__xludf.DUMMYFUNCTION("GOOGLETRANSLATE(B26325,""en"",""zh-CN"")"),"人们坐在河上的皮划艇上。")</f>
        <v>人们坐在河上的皮划艇上。</v>
      </c>
    </row>
    <row r="26326">
      <c r="A26326" s="4" t="s">
        <v>33129</v>
      </c>
      <c r="B26326" s="4" t="s">
        <v>33131</v>
      </c>
      <c r="C26326" s="5" t="str">
        <f>IFERROR(__xludf.DUMMYFUNCTION("GOOGLETRANSLATE(B26326,""en"",""zh-CN"")"),"他们正在划船。")</f>
        <v>他们正在划船。</v>
      </c>
    </row>
    <row r="26327">
      <c r="A26327" s="4" t="s">
        <v>33129</v>
      </c>
      <c r="B26327" s="4" t="s">
        <v>33132</v>
      </c>
      <c r="C26327" s="5" t="str">
        <f>IFERROR(__xludf.DUMMYFUNCTION("GOOGLETRANSLATE(B26327,""en"",""zh-CN"")"),"人们站在海滩上，脖子上有奖牌。")</f>
        <v>人们站在海滩上，脖子上有奖牌。</v>
      </c>
    </row>
    <row r="26328">
      <c r="A26328" s="4" t="s">
        <v>33133</v>
      </c>
      <c r="B26328" s="4" t="s">
        <v>33134</v>
      </c>
      <c r="C26328" s="5" t="str">
        <f>IFERROR(__xludf.DUMMYFUNCTION("GOOGLETRANSLATE(B26328,""en"",""zh-CN"")"),"我们看到一个男人在赛道上奔跑。")</f>
        <v>我们看到一个男人在赛道上奔跑。</v>
      </c>
    </row>
    <row r="26329">
      <c r="A26329" s="4" t="s">
        <v>33133</v>
      </c>
      <c r="B26329" s="4" t="s">
        <v>33135</v>
      </c>
      <c r="C26329" s="5" t="str">
        <f>IFERROR(__xludf.DUMMYFUNCTION("GOOGLETRANSLATE(B26329,""en"",""zh-CN"")"),"该男子用一根长棍子进行跳远。")</f>
        <v>该男子用一根长棍子进行跳远。</v>
      </c>
    </row>
    <row r="26330">
      <c r="A26330" s="4" t="s">
        <v>33133</v>
      </c>
      <c r="B26330" s="4" t="s">
        <v>33136</v>
      </c>
      <c r="C26330" s="5" t="str">
        <f>IFERROR(__xludf.DUMMYFUNCTION("GOOGLETRANSLATE(B26330,""en"",""zh-CN"")"),"然后，我们看到男人尝试并反复失败。")</f>
        <v>然后，我们看到男人尝试并反复失败。</v>
      </c>
    </row>
    <row r="26331">
      <c r="A26331" s="4" t="s">
        <v>33133</v>
      </c>
      <c r="B26331" s="4" t="s">
        <v>33137</v>
      </c>
      <c r="C26331" s="5" t="str">
        <f>IFERROR(__xludf.DUMMYFUNCTION("GOOGLETRANSLATE(B26331,""en"",""zh-CN"")"),"我们看到男人的衬衫被卡在杆上。")</f>
        <v>我们看到男人的衬衫被卡在杆上。</v>
      </c>
    </row>
    <row r="26332">
      <c r="A26332" s="4" t="s">
        <v>33138</v>
      </c>
      <c r="B26332" s="4" t="s">
        <v>33139</v>
      </c>
      <c r="C26332" s="5" t="str">
        <f>IFERROR(__xludf.DUMMYFUNCTION("GOOGLETRANSLATE(B26332,""en"",""zh-CN"")"),"看到鼓的近距离，接着是一个走进框架的人。")</f>
        <v>看到鼓的近距离，接着是一个走进框架的人。</v>
      </c>
    </row>
    <row r="26333">
      <c r="A26333" s="4" t="s">
        <v>33138</v>
      </c>
      <c r="B26333" s="4" t="s">
        <v>33140</v>
      </c>
      <c r="C26333" s="5" t="str">
        <f>IFERROR(__xludf.DUMMYFUNCTION("GOOGLETRANSLATE(B26333,""en"",""zh-CN"")"),"该人坐在鼓前，开始连续播放。")</f>
        <v>该人坐在鼓前，开始连续播放。</v>
      </c>
    </row>
    <row r="26334">
      <c r="A26334" s="4" t="s">
        <v>33138</v>
      </c>
      <c r="B26334" s="6" t="s">
        <v>33141</v>
      </c>
      <c r="C26334" s="5" t="str">
        <f>IFERROR(__xludf.DUMMYFUNCTION("GOOGLETRANSLATE(B26334,""en"",""zh-CN"")"),"当相机捕捉他的动作时，该男子继续越来越快地演奏鼓。")</f>
        <v>当相机捕捉他的动作时，该男子继续越来越快地演奏鼓。</v>
      </c>
    </row>
    <row r="26335">
      <c r="A26335" s="4" t="s">
        <v>33142</v>
      </c>
      <c r="B26335" s="4" t="s">
        <v>33143</v>
      </c>
      <c r="C26335" s="5" t="str">
        <f>IFERROR(__xludf.DUMMYFUNCTION("GOOGLETRANSLATE(B26335,""en"",""zh-CN"")"),"看到一个人沿着院子推开割草机，然后将机器移动到院子周围。")</f>
        <v>看到一个人沿着院子推开割草机，然后将机器移动到院子周围。</v>
      </c>
    </row>
    <row r="26336">
      <c r="A26336" s="4" t="s">
        <v>33142</v>
      </c>
      <c r="B26336" s="6" t="s">
        <v>33144</v>
      </c>
      <c r="C26336" s="5" t="str">
        <f>IFERROR(__xludf.DUMMYFUNCTION("GOOGLETRANSLATE(B26336,""en"",""zh-CN"")"),"当另一个男人继续修剪草坪时，看到另一个男人从卡车上抓起机器。")</f>
        <v>当另一个男人继续修剪草坪时，看到另一个男人从卡车上抓起机器。</v>
      </c>
    </row>
    <row r="26337">
      <c r="A26337" s="4" t="s">
        <v>33145</v>
      </c>
      <c r="B26337" s="4" t="s">
        <v>33146</v>
      </c>
      <c r="C26337" s="5" t="str">
        <f>IFERROR(__xludf.DUMMYFUNCTION("GOOGLETRANSLATE(B26337,""en"",""zh-CN"")"),"一名孕妇正在慢慢移动在房间里。")</f>
        <v>一名孕妇正在慢慢移动在房间里。</v>
      </c>
    </row>
    <row r="26338">
      <c r="A26338" s="4" t="s">
        <v>33145</v>
      </c>
      <c r="B26338" s="4" t="s">
        <v>33147</v>
      </c>
      <c r="C26338" s="5" t="str">
        <f>IFERROR(__xludf.DUMMYFUNCTION("GOOGLETRANSLATE(B26338,""en"",""zh-CN"")"),"她走了一步。")</f>
        <v>她走了一步。</v>
      </c>
    </row>
    <row r="26339">
      <c r="A26339" s="4" t="s">
        <v>33145</v>
      </c>
      <c r="B26339" s="4" t="s">
        <v>33148</v>
      </c>
      <c r="C26339" s="5" t="str">
        <f>IFERROR(__xludf.DUMMYFUNCTION("GOOGLETRANSLATE(B26339,""en"",""zh-CN"")"),"她举起脚和手臂，做了几次武术。")</f>
        <v>她举起脚和手臂，做了几次武术。</v>
      </c>
    </row>
    <row r="26340">
      <c r="A26340" s="4" t="s">
        <v>33149</v>
      </c>
      <c r="B26340" s="4" t="s">
        <v>33150</v>
      </c>
      <c r="C26340" s="5" t="str">
        <f>IFERROR(__xludf.DUMMYFUNCTION("GOOGLETRANSLATE(B26340,""en"",""zh-CN"")"),"看到一个男人坐在椅子上，紧张地看着相机，而另一个男人则坐在他身后。")</f>
        <v>看到一个男人坐在椅子上，紧张地看着相机，而另一个男人则坐在他身后。</v>
      </c>
    </row>
    <row r="26341">
      <c r="A26341" s="4" t="s">
        <v>33149</v>
      </c>
      <c r="B26341" s="6" t="s">
        <v>33151</v>
      </c>
      <c r="C26341" s="5" t="str">
        <f>IFERROR(__xludf.DUMMYFUNCTION("GOOGLETRANSLATE(B26341,""en"",""zh-CN"")"),"然后，男人开始纹身男人的胸部，那个男人不时抬头看着相机。")</f>
        <v>然后，男人开始纹身男人的胸部，那个男人不时抬头看着相机。</v>
      </c>
    </row>
    <row r="26342">
      <c r="A26342" s="4" t="s">
        <v>33152</v>
      </c>
      <c r="B26342" s="4" t="s">
        <v>33153</v>
      </c>
      <c r="C26342" s="5" t="str">
        <f>IFERROR(__xludf.DUMMYFUNCTION("GOOGLETRANSLATE(B26342,""en"",""zh-CN"")"),"有一个女人在木头上扔刀，把它们扔掉。")</f>
        <v>有一个女人在木头上扔刀，把它们扔掉。</v>
      </c>
    </row>
    <row r="26343">
      <c r="A26343" s="4" t="s">
        <v>33152</v>
      </c>
      <c r="B26343" s="4" t="s">
        <v>33154</v>
      </c>
      <c r="C26343" s="5" t="str">
        <f>IFERROR(__xludf.DUMMYFUNCTION("GOOGLETRANSLATE(B26343,""en"",""zh-CN"")"),"最后，其他人都坐下来吃冰棍。")</f>
        <v>最后，其他人都坐下来吃冰棍。</v>
      </c>
    </row>
    <row r="26344">
      <c r="A26344" s="4" t="s">
        <v>33155</v>
      </c>
      <c r="B26344" s="4" t="s">
        <v>33156</v>
      </c>
      <c r="C26344" s="5" t="str">
        <f>IFERROR(__xludf.DUMMYFUNCTION("GOOGLETRANSLATE(B26344,""en"",""zh-CN"")"),"一个穿着灰色T恤的男人站在桌子旁，带有计算机监视器显示计时器。")</f>
        <v>一个穿着灰色T恤的男人站在桌子旁，带有计算机监视器显示计时器。</v>
      </c>
    </row>
    <row r="26345">
      <c r="A26345" s="4" t="s">
        <v>33155</v>
      </c>
      <c r="B26345" s="4" t="s">
        <v>33157</v>
      </c>
      <c r="C26345" s="5" t="str">
        <f>IFERROR(__xludf.DUMMYFUNCTION("GOOGLETRANSLATE(B26345,""en"",""zh-CN"")"),"该男子握着一个魔方，并在开始解决魔方时开始计时器。")</f>
        <v>该男子握着一个魔方，并在开始解决魔方时开始计时器。</v>
      </c>
    </row>
    <row r="26346">
      <c r="A26346" s="4" t="s">
        <v>33155</v>
      </c>
      <c r="B26346" s="4" t="s">
        <v>33158</v>
      </c>
      <c r="C26346" s="5" t="str">
        <f>IFERROR(__xludf.DUMMYFUNCTION("GOOGLETRANSLATE(B26346,""en"",""zh-CN"")"),"当该男子完成魔方时，他放弃了难题，并在26秒内停止了计时器。")</f>
        <v>当该男子完成魔方时，他放弃了难题，并在26秒内停止了计时器。</v>
      </c>
    </row>
    <row r="26347">
      <c r="A26347" s="4" t="s">
        <v>33159</v>
      </c>
      <c r="B26347" s="4" t="s">
        <v>33160</v>
      </c>
      <c r="C26347" s="5" t="str">
        <f>IFERROR(__xludf.DUMMYFUNCTION("GOOGLETRANSLATE(B26347,""en"",""zh-CN"")"),"我们看到一个黑色的打开标题屏幕。")</f>
        <v>我们看到一个黑色的打开标题屏幕。</v>
      </c>
    </row>
    <row r="26348">
      <c r="A26348" s="4" t="s">
        <v>33159</v>
      </c>
      <c r="B26348" s="4" t="s">
        <v>33161</v>
      </c>
      <c r="C26348" s="5" t="str">
        <f>IFERROR(__xludf.DUMMYFUNCTION("GOOGLETRANSLATE(B26348,""en"",""zh-CN"")"),"我们看到一条船漂浮在海洋中，人们坐在船上。")</f>
        <v>我们看到一条船漂浮在海洋中，人们坐在船上。</v>
      </c>
    </row>
    <row r="26349">
      <c r="A26349" s="4" t="s">
        <v>33159</v>
      </c>
      <c r="B26349" s="4" t="s">
        <v>33162</v>
      </c>
      <c r="C26349" s="5" t="str">
        <f>IFERROR(__xludf.DUMMYFUNCTION("GOOGLETRANSLATE(B26349,""en"",""zh-CN"")"),"三人在潜水装备的水下看海豹。")</f>
        <v>三人在潜水装备的水下看海豹。</v>
      </c>
    </row>
    <row r="26350">
      <c r="A26350" s="4" t="s">
        <v>33159</v>
      </c>
      <c r="B26350" s="4" t="s">
        <v>33163</v>
      </c>
      <c r="C26350" s="5" t="str">
        <f>IFERROR(__xludf.DUMMYFUNCTION("GOOGLETRANSLATE(B26350,""en"",""zh-CN"")"),"我们看到一个男人和一个女人一起游泳，女士在镜头前挥手。")</f>
        <v>我们看到一个男人和一个女人一起游泳，女士在镜头前挥手。</v>
      </c>
    </row>
    <row r="26351">
      <c r="A26351" s="4" t="s">
        <v>33159</v>
      </c>
      <c r="B26351" s="4" t="s">
        <v>33164</v>
      </c>
      <c r="C26351" s="5" t="str">
        <f>IFERROR(__xludf.DUMMYFUNCTION("GOOGLETRANSLATE(B26351,""en"",""zh-CN"")"),"这位女士用手和海浪制作了一个爆炸标志。")</f>
        <v>这位女士用手和海浪制作了一个爆炸标志。</v>
      </c>
    </row>
    <row r="26352">
      <c r="A26352" s="4" t="s">
        <v>33159</v>
      </c>
      <c r="B26352" s="4" t="s">
        <v>33165</v>
      </c>
      <c r="C26352" s="5" t="str">
        <f>IFERROR(__xludf.DUMMYFUNCTION("GOOGLETRANSLATE(B26352,""en"",""zh-CN"")"),"那位女士拿出嘴，耸了耸肩。")</f>
        <v>那位女士拿出嘴，耸了耸肩。</v>
      </c>
    </row>
    <row r="26353">
      <c r="A26353" s="4" t="s">
        <v>33159</v>
      </c>
      <c r="B26353" s="4" t="s">
        <v>33166</v>
      </c>
      <c r="C26353" s="5" t="str">
        <f>IFERROR(__xludf.DUMMYFUNCTION("GOOGLETRANSLATE(B26353,""en"",""zh-CN"")"),"我们看到人们回到船上，男人和女孩互相拥抱。")</f>
        <v>我们看到人们回到船上，男人和女孩互相拥抱。</v>
      </c>
    </row>
    <row r="26354">
      <c r="A26354" s="4" t="s">
        <v>33159</v>
      </c>
      <c r="B26354" s="4" t="s">
        <v>33167</v>
      </c>
      <c r="C26354" s="5" t="str">
        <f>IFERROR(__xludf.DUMMYFUNCTION("GOOGLETRANSLATE(B26354,""en"",""zh-CN"")"),"我们看到天空中的气球高。")</f>
        <v>我们看到天空中的气球高。</v>
      </c>
    </row>
    <row r="26355">
      <c r="A26355" s="4" t="s">
        <v>33168</v>
      </c>
      <c r="B26355" s="4" t="s">
        <v>33169</v>
      </c>
      <c r="C26355" s="5" t="str">
        <f>IFERROR(__xludf.DUMMYFUNCTION("GOOGLETRANSLATE(B26355,""en"",""zh-CN"")"),"三名白色的男人正在一个房间里进行空手道动作。")</f>
        <v>三名白色的男人正在一个房间里进行空手道动作。</v>
      </c>
    </row>
    <row r="26356">
      <c r="A26356" s="4" t="s">
        <v>33168</v>
      </c>
      <c r="B26356" s="4" t="s">
        <v>33170</v>
      </c>
      <c r="C26356" s="5" t="str">
        <f>IFERROR(__xludf.DUMMYFUNCTION("GOOGLETRANSLATE(B26356,""en"",""zh-CN"")"),"他们在空中踢了几次。")</f>
        <v>他们在空中踢了几次。</v>
      </c>
    </row>
    <row r="26357">
      <c r="A26357" s="4" t="s">
        <v>33168</v>
      </c>
      <c r="B26357" s="4" t="s">
        <v>33171</v>
      </c>
      <c r="C26357" s="5" t="str">
        <f>IFERROR(__xludf.DUMMYFUNCTION("GOOGLETRANSLATE(B26357,""en"",""zh-CN"")"),"两个人开始互相战斗。")</f>
        <v>两个人开始互相战斗。</v>
      </c>
    </row>
    <row r="26358">
      <c r="A26358" s="4" t="s">
        <v>33172</v>
      </c>
      <c r="B26358" s="4" t="s">
        <v>33173</v>
      </c>
      <c r="C26358" s="5" t="str">
        <f>IFERROR(__xludf.DUMMYFUNCTION("GOOGLETRANSLATE(B26358,""en"",""zh-CN"")"),"一个大的蓝色球被扔在空中。")</f>
        <v>一个大的蓝色球被扔在空中。</v>
      </c>
    </row>
    <row r="26359">
      <c r="A26359" s="4" t="s">
        <v>33172</v>
      </c>
      <c r="B26359" s="4" t="s">
        <v>33174</v>
      </c>
      <c r="C26359" s="5" t="str">
        <f>IFERROR(__xludf.DUMMYFUNCTION("GOOGLETRANSLATE(B26359,""en"",""zh-CN"")"),"一个孩子跑来抓一个蓝色的大球。")</f>
        <v>一个孩子跑来抓一个蓝色的大球。</v>
      </c>
    </row>
    <row r="26360">
      <c r="A26360" s="4" t="s">
        <v>33172</v>
      </c>
      <c r="B26360" s="4" t="s">
        <v>33175</v>
      </c>
      <c r="C26360" s="5" t="str">
        <f>IFERROR(__xludf.DUMMYFUNCTION("GOOGLETRANSLATE(B26360,""en"",""zh-CN"")"),"孩子落在草坪上。")</f>
        <v>孩子落在草坪上。</v>
      </c>
    </row>
    <row r="26361">
      <c r="A26361" s="4" t="s">
        <v>33176</v>
      </c>
      <c r="B26361" s="4" t="s">
        <v>33177</v>
      </c>
      <c r="C26361" s="5" t="str">
        <f>IFERROR(__xludf.DUMMYFUNCTION("GOOGLETRANSLATE(B26361,""en"",""zh-CN"")"),"一个女人来屏幕上介绍有关锻炼的视频。")</f>
        <v>一个女人来屏幕上介绍有关锻炼的视频。</v>
      </c>
    </row>
    <row r="26362">
      <c r="A26362" s="4" t="s">
        <v>33176</v>
      </c>
      <c r="B26362" s="4" t="s">
        <v>33178</v>
      </c>
      <c r="C26362" s="5" t="str">
        <f>IFERROR(__xludf.DUMMYFUNCTION("GOOGLETRANSLATE(B26362,""en"",""zh-CN"")"),"当她与几位参与者教授旋转课程时，同一位女人被表现出来。")</f>
        <v>当她与几位参与者教授旋转课程时，同一位女人被表现出来。</v>
      </c>
    </row>
    <row r="26363">
      <c r="A26363" s="4" t="s">
        <v>33176</v>
      </c>
      <c r="B26363" s="4" t="s">
        <v>33179</v>
      </c>
      <c r="C26363" s="5" t="str">
        <f>IFERROR(__xludf.DUMMYFUNCTION("GOOGLETRANSLATE(B26363,""en"",""zh-CN"")"),"她从自行车上休息一下，并在地板上进行腹部锻炼。")</f>
        <v>她从自行车上休息一下，并在地板上进行腹部锻炼。</v>
      </c>
    </row>
    <row r="26364">
      <c r="A26364" s="4" t="s">
        <v>33176</v>
      </c>
      <c r="B26364" s="4" t="s">
        <v>33180</v>
      </c>
      <c r="C26364" s="5" t="str">
        <f>IFERROR(__xludf.DUMMYFUNCTION("GOOGLETRANSLATE(B26364,""en"",""zh-CN"")"),"视频以最后显示的结束信用结束。")</f>
        <v>视频以最后显示的结束信用结束。</v>
      </c>
    </row>
    <row r="26365">
      <c r="A26365" s="4" t="s">
        <v>33181</v>
      </c>
      <c r="B26365" s="4" t="s">
        <v>33182</v>
      </c>
      <c r="C26365" s="5" t="str">
        <f>IFERROR(__xludf.DUMMYFUNCTION("GOOGLETRANSLATE(B26365,""en"",""zh-CN"")"),"一个人坐在笔记本电脑和立方体难题上。")</f>
        <v>一个人坐在笔记本电脑和立方体难题上。</v>
      </c>
    </row>
    <row r="26366">
      <c r="A26366" s="4" t="s">
        <v>33181</v>
      </c>
      <c r="B26366" s="4" t="s">
        <v>33183</v>
      </c>
      <c r="C26366" s="5" t="str">
        <f>IFERROR(__xludf.DUMMYFUNCTION("GOOGLETRANSLATE(B26366,""en"",""zh-CN"")"),"然后，该人解决了一个立方体难题。")</f>
        <v>然后，该人解决了一个立方体难题。</v>
      </c>
    </row>
    <row r="26367">
      <c r="A26367" s="4" t="s">
        <v>33181</v>
      </c>
      <c r="B26367" s="4" t="s">
        <v>33184</v>
      </c>
      <c r="C26367" s="5" t="str">
        <f>IFERROR(__xludf.DUMMYFUNCTION("GOOGLETRANSLATE(B26367,""en"",""zh-CN"")"),"之后，该人解决了立方难题将其放在笔记本电脑上。")</f>
        <v>之后，该人解决了立方难题将其放在笔记本电脑上。</v>
      </c>
    </row>
    <row r="26368">
      <c r="A26368" s="4" t="s">
        <v>33185</v>
      </c>
      <c r="B26368" s="4" t="s">
        <v>33186</v>
      </c>
      <c r="C26368" s="5" t="str">
        <f>IFERROR(__xludf.DUMMYFUNCTION("GOOGLETRANSLATE(B26368,""en"",""zh-CN"")"),"一群人在有氧运动课上运动。")</f>
        <v>一群人在有氧运动课上运动。</v>
      </c>
    </row>
    <row r="26369">
      <c r="A26369" s="4" t="s">
        <v>33185</v>
      </c>
      <c r="B26369" s="4" t="s">
        <v>33187</v>
      </c>
      <c r="C26369" s="5" t="str">
        <f>IFERROR(__xludf.DUMMYFUNCTION("GOOGLETRANSLATE(B26369,""en"",""zh-CN"")"),"他们正在使用步进，跳舞和跳下设备。")</f>
        <v>他们正在使用步进，跳舞和跳下设备。</v>
      </c>
    </row>
    <row r="26370">
      <c r="A26370" s="4" t="s">
        <v>33188</v>
      </c>
      <c r="B26370" s="4" t="s">
        <v>33189</v>
      </c>
      <c r="C26370" s="5" t="str">
        <f>IFERROR(__xludf.DUMMYFUNCTION("GOOGLETRANSLATE(B26370,""en"",""zh-CN"")"),"在外面看到两个小孩。")</f>
        <v>在外面看到两个小孩。</v>
      </c>
    </row>
    <row r="26371">
      <c r="A26371" s="4" t="s">
        <v>33188</v>
      </c>
      <c r="B26371" s="4" t="s">
        <v>33190</v>
      </c>
      <c r="C26371" s="5" t="str">
        <f>IFERROR(__xludf.DUMMYFUNCTION("GOOGLETRANSLATE(B26371,""en"",""zh-CN"")"),"一个向后滑动，而另一个则站在侧面。")</f>
        <v>一个向后滑动，而另一个则站在侧面。</v>
      </c>
    </row>
    <row r="26372">
      <c r="A26372" s="4" t="s">
        <v>33188</v>
      </c>
      <c r="B26372" s="4" t="s">
        <v>33191</v>
      </c>
      <c r="C26372" s="5" t="str">
        <f>IFERROR(__xludf.DUMMYFUNCTION("GOOGLETRANSLATE(B26372,""en"",""zh-CN"")"),"一个人踢另一个男孩，他弯腰。")</f>
        <v>一个人踢另一个男孩，他弯腰。</v>
      </c>
    </row>
    <row r="26373">
      <c r="A26373" s="4" t="s">
        <v>33192</v>
      </c>
      <c r="B26373" s="4" t="s">
        <v>33193</v>
      </c>
      <c r="C26373" s="5" t="str">
        <f>IFERROR(__xludf.DUMMYFUNCTION("GOOGLETRANSLATE(B26373,""en"",""zh-CN"")"),"啤酒和其他酒精在厨房的柜台上显示。")</f>
        <v>啤酒和其他酒精在厨房的柜台上显示。</v>
      </c>
    </row>
    <row r="26374">
      <c r="A26374" s="4" t="s">
        <v>33192</v>
      </c>
      <c r="B26374" s="4" t="s">
        <v>33194</v>
      </c>
      <c r="C26374" s="5" t="str">
        <f>IFERROR(__xludf.DUMMYFUNCTION("GOOGLETRANSLATE(B26374,""en"",""zh-CN"")"),"一个人拿起啤酒的投手，开始与镜头交谈。")</f>
        <v>一个人拿起啤酒的投手，开始与镜头交谈。</v>
      </c>
    </row>
    <row r="26375">
      <c r="A26375" s="4" t="s">
        <v>33192</v>
      </c>
      <c r="B26375" s="4" t="s">
        <v>33195</v>
      </c>
      <c r="C26375" s="5" t="str">
        <f>IFERROR(__xludf.DUMMYFUNCTION("GOOGLETRANSLATE(B26375,""en"",""zh-CN"")"),"该男子继续喝整个啤酒的投手。")</f>
        <v>该男子继续喝整个啤酒的投手。</v>
      </c>
    </row>
    <row r="26376">
      <c r="A26376" s="4" t="s">
        <v>33196</v>
      </c>
      <c r="B26376" s="4" t="s">
        <v>33197</v>
      </c>
      <c r="C26376" s="5" t="str">
        <f>IFERROR(__xludf.DUMMYFUNCTION("GOOGLETRANSLATE(B26376,""en"",""zh-CN"")"),"一位女士在厨房里说话，并在屏幕上获得奖牌，我们看到蛋糕和烹饪的镜头。")</f>
        <v>一位女士在厨房里说话，并在屏幕上获得奖牌，我们看到蛋糕和烹饪的镜头。</v>
      </c>
    </row>
    <row r="26377">
      <c r="A26377" s="4" t="s">
        <v>33196</v>
      </c>
      <c r="B26377" s="4" t="s">
        <v>33198</v>
      </c>
      <c r="C26377" s="5" t="str">
        <f>IFERROR(__xludf.DUMMYFUNCTION("GOOGLETRANSLATE(B26377,""en"",""zh-CN"")"),"我们看到女士做蛋糕并指示。")</f>
        <v>我们看到女士做蛋糕并指示。</v>
      </c>
    </row>
    <row r="26378">
      <c r="A26378" s="4" t="s">
        <v>33196</v>
      </c>
      <c r="B26378" s="4" t="s">
        <v>33199</v>
      </c>
      <c r="C26378" s="5" t="str">
        <f>IFERROR(__xludf.DUMMYFUNCTION("GOOGLETRANSLATE(B26378,""en"",""zh-CN"")"),"这位女士拿起并准备了蛋糕锅。")</f>
        <v>这位女士拿起并准备了蛋糕锅。</v>
      </c>
    </row>
    <row r="26379">
      <c r="A26379" s="4" t="s">
        <v>33196</v>
      </c>
      <c r="B26379" s="6" t="s">
        <v>33200</v>
      </c>
      <c r="C26379" s="5" t="str">
        <f>IFERROR(__xludf.DUMMYFUNCTION("GOOGLETRANSLATE(B26379,""en"",""zh-CN"")"),"这位女士将其干成分混合在一起，然后将它们与红色食品颜色混合在混合器中，然后将它们倒入蛋糕锅中煮熟并在架子上冷却。")</f>
        <v>这位女士将其干成分混合在一起，然后将它们与红色食品颜色混合在混合器中，然后将它们倒入蛋糕锅中煮熟并在架子上冷却。</v>
      </c>
    </row>
    <row r="26380">
      <c r="A26380" s="4" t="s">
        <v>33196</v>
      </c>
      <c r="B26380" s="4" t="s">
        <v>33201</v>
      </c>
      <c r="C26380" s="5" t="str">
        <f>IFERROR(__xludf.DUMMYFUNCTION("GOOGLETRANSLATE(B26380,""en"",""zh-CN"")"),"这位女士在搅拌机中进行糖霜，并将糖霜放在蛋糕层和顶部。")</f>
        <v>这位女士在搅拌机中进行糖霜，并将糖霜放在蛋糕层和顶部。</v>
      </c>
    </row>
    <row r="26381">
      <c r="A26381" s="4" t="s">
        <v>33196</v>
      </c>
      <c r="B26381" s="4" t="s">
        <v>33202</v>
      </c>
      <c r="C26381" s="5" t="str">
        <f>IFERROR(__xludf.DUMMYFUNCTION("GOOGLETRANSLATE(B26381,""en"",""zh-CN"")"),"女士切了蛋糕，我们看到了结尾的标题屏幕。")</f>
        <v>女士切了蛋糕，我们看到了结尾的标题屏幕。</v>
      </c>
    </row>
    <row r="26382">
      <c r="A26382" s="4" t="s">
        <v>33203</v>
      </c>
      <c r="B26382" s="6" t="s">
        <v>33204</v>
      </c>
      <c r="C26382" s="5" t="str">
        <f>IFERROR(__xludf.DUMMYFUNCTION("GOOGLETRANSLATE(B26382,""en"",""zh-CN"")"),"一名戴着防护头盔的妇女在站在棕榈树旁边的户外时说话。")</f>
        <v>一名戴着防护头盔的妇女在站在棕榈树旁边的户外时说话。</v>
      </c>
    </row>
    <row r="26383">
      <c r="A26383" s="4" t="s">
        <v>33203</v>
      </c>
      <c r="B26383" s="4" t="s">
        <v>33205</v>
      </c>
      <c r="C26383" s="5" t="str">
        <f>IFERROR(__xludf.DUMMYFUNCTION("GOOGLETRANSLATE(B26383,""en"",""zh-CN"")"),"女人正戴着溜旱冰和防护装备站在人行道上。")</f>
        <v>女人正戴着溜旱冰和防护装备站在人行道上。</v>
      </c>
    </row>
    <row r="26384">
      <c r="A26384" s="4" t="s">
        <v>33203</v>
      </c>
      <c r="B26384" s="6" t="s">
        <v>33206</v>
      </c>
      <c r="C26384" s="5" t="str">
        <f>IFERROR(__xludf.DUMMYFUNCTION("GOOGLETRANSLATE(B26384,""en"",""zh-CN"")"),"该名女子对相机说话，并展示了在人行道上滑冰的不同技术。")</f>
        <v>该名女子对相机说话，并展示了在人行道上滑冰的不同技术。</v>
      </c>
    </row>
    <row r="26385">
      <c r="A26385" s="4" t="s">
        <v>33207</v>
      </c>
      <c r="B26385" s="4" t="s">
        <v>33208</v>
      </c>
      <c r="C26385" s="5" t="str">
        <f>IFERROR(__xludf.DUMMYFUNCTION("GOOGLETRANSLATE(B26385,""en"",""zh-CN"")"),"我们看到两个男孩在火车上说话。")</f>
        <v>我们看到两个男孩在火车上说话。</v>
      </c>
    </row>
    <row r="26386">
      <c r="A26386" s="4" t="s">
        <v>33207</v>
      </c>
      <c r="B26386" s="4" t="s">
        <v>33209</v>
      </c>
      <c r="C26386" s="5" t="str">
        <f>IFERROR(__xludf.DUMMYFUNCTION("GOOGLETRANSLATE(B26386,""en"",""zh-CN"")"),"它在隧道中变黑。")</f>
        <v>它在隧道中变黑。</v>
      </c>
    </row>
    <row r="26387">
      <c r="A26387" s="4" t="s">
        <v>33207</v>
      </c>
      <c r="B26387" s="4" t="s">
        <v>33210</v>
      </c>
      <c r="C26387" s="5" t="str">
        <f>IFERROR(__xludf.DUMMYFUNCTION("GOOGLETRANSLATE(B26387,""en"",""zh-CN"")"),"有人向男孩扔东西。")</f>
        <v>有人向男孩扔东西。</v>
      </c>
    </row>
    <row r="26388">
      <c r="A26388" s="4" t="s">
        <v>33207</v>
      </c>
      <c r="B26388" s="4" t="s">
        <v>33211</v>
      </c>
      <c r="C26388" s="5" t="str">
        <f>IFERROR(__xludf.DUMMYFUNCTION("GOOGLETRANSLATE(B26388,""en"",""zh-CN"")"),"我们看到男孩在一条住宅街上骑滑板。")</f>
        <v>我们看到男孩在一条住宅街上骑滑板。</v>
      </c>
    </row>
    <row r="26389">
      <c r="A26389" s="4" t="s">
        <v>33207</v>
      </c>
      <c r="B26389" s="4" t="s">
        <v>33212</v>
      </c>
      <c r="C26389" s="5" t="str">
        <f>IFERROR(__xludf.DUMMYFUNCTION("GOOGLETRANSLATE(B26389,""en"",""zh-CN"")"),"一个男人向后骑行。")</f>
        <v>一个男人向后骑行。</v>
      </c>
    </row>
    <row r="26390">
      <c r="A26390" s="4" t="s">
        <v>33207</v>
      </c>
      <c r="B26390" s="4" t="s">
        <v>33213</v>
      </c>
      <c r="C26390" s="5" t="str">
        <f>IFERROR(__xludf.DUMMYFUNCTION("GOOGLETRANSLATE(B26390,""en"",""zh-CN"")"),"我们看到一个男孩从他的滑板上摔下来。")</f>
        <v>我们看到一个男孩从他的滑板上摔下来。</v>
      </c>
    </row>
    <row r="26391">
      <c r="A26391" s="4" t="s">
        <v>33207</v>
      </c>
      <c r="B26391" s="4" t="s">
        <v>33214</v>
      </c>
      <c r="C26391" s="5" t="str">
        <f>IFERROR(__xludf.DUMMYFUNCTION("GOOGLETRANSLATE(B26391,""en"",""zh-CN"")"),"我们在墙上看到数字三。")</f>
        <v>我们在墙上看到数字三。</v>
      </c>
    </row>
    <row r="26392">
      <c r="A26392" s="4" t="s">
        <v>33207</v>
      </c>
      <c r="B26392" s="4" t="s">
        <v>33215</v>
      </c>
      <c r="C26392" s="5" t="str">
        <f>IFERROR(__xludf.DUMMYFUNCTION("GOOGLETRANSLATE(B26392,""en"",""zh-CN"")"),"我们看到一个人跳下滑板。")</f>
        <v>我们看到一个人跳下滑板。</v>
      </c>
    </row>
    <row r="26393">
      <c r="A26393" s="4" t="s">
        <v>33216</v>
      </c>
      <c r="B26393" s="4" t="s">
        <v>33217</v>
      </c>
      <c r="C26393" s="5" t="str">
        <f>IFERROR(__xludf.DUMMYFUNCTION("GOOGLETRANSLATE(B26393,""en"",""zh-CN"")"),"简介导致一个女人看着镜子，化妆。")</f>
        <v>简介导致一个女人看着镜子，化妆。</v>
      </c>
    </row>
    <row r="26394">
      <c r="A26394" s="4" t="s">
        <v>33216</v>
      </c>
      <c r="B26394" s="4" t="s">
        <v>33218</v>
      </c>
      <c r="C26394" s="5" t="str">
        <f>IFERROR(__xludf.DUMMYFUNCTION("GOOGLETRANSLATE(B26394,""en"",""zh-CN"")"),"她戴着眼镜，向下看镜子。")</f>
        <v>她戴着眼镜，向下看镜子。</v>
      </c>
    </row>
    <row r="26395">
      <c r="A26395" s="4" t="s">
        <v>33216</v>
      </c>
      <c r="B26395" s="4" t="s">
        <v>33219</v>
      </c>
      <c r="C26395" s="5" t="str">
        <f>IFERROR(__xludf.DUMMYFUNCTION("GOOGLETRANSLATE(B26395,""en"",""zh-CN"")"),"她转过身，以徽标显示。")</f>
        <v>她转过身，以徽标显示。</v>
      </c>
    </row>
    <row r="26396">
      <c r="A26396" s="4" t="s">
        <v>33220</v>
      </c>
      <c r="B26396" s="4" t="s">
        <v>33221</v>
      </c>
      <c r="C26396" s="5" t="str">
        <f>IFERROR(__xludf.DUMMYFUNCTION("GOOGLETRANSLATE(B26396,""en"",""zh-CN"")"),"一组曲棍球运动员在田野上显示。")</f>
        <v>一组曲棍球运动员在田野上显示。</v>
      </c>
    </row>
    <row r="26397">
      <c r="A26397" s="4" t="s">
        <v>33220</v>
      </c>
      <c r="B26397" s="4" t="s">
        <v>33222</v>
      </c>
      <c r="C26397" s="5" t="str">
        <f>IFERROR(__xludf.DUMMYFUNCTION("GOOGLETRANSLATE(B26397,""en"",""zh-CN"")"),"他们跑来跑去，试图使球彼此远离。")</f>
        <v>他们跑来跑去，试图使球彼此远离。</v>
      </c>
    </row>
    <row r="26398">
      <c r="A26398" s="4" t="s">
        <v>33220</v>
      </c>
      <c r="B26398" s="4" t="s">
        <v>33223</v>
      </c>
      <c r="C26398" s="5" t="str">
        <f>IFERROR(__xludf.DUMMYFUNCTION("GOOGLETRANSLATE(B26398,""en"",""zh-CN"")"),"他们显示出慢动作。")</f>
        <v>他们显示出慢动作。</v>
      </c>
    </row>
    <row r="26399">
      <c r="A26399" s="4" t="s">
        <v>33224</v>
      </c>
      <c r="B26399" s="4" t="s">
        <v>33225</v>
      </c>
      <c r="C26399" s="5" t="str">
        <f>IFERROR(__xludf.DUMMYFUNCTION("GOOGLETRANSLATE(B26399,""en"",""zh-CN"")"),"一个戴着塑料头盖的男人在吃冰淇淋。")</f>
        <v>一个戴着塑料头盖的男人在吃冰淇淋。</v>
      </c>
    </row>
    <row r="26400">
      <c r="A26400" s="4" t="s">
        <v>33224</v>
      </c>
      <c r="B26400" s="6" t="s">
        <v>33226</v>
      </c>
      <c r="C26400" s="5" t="str">
        <f>IFERROR(__xludf.DUMMYFUNCTION("GOOGLETRANSLATE(B26400,""en"",""zh-CN"")"),"我们看到植物的内部，饼干被压碎并放入香草冰淇淋的容器中，然后分类。")</f>
        <v>我们看到植物的内部，饼干被压碎并放入香草冰淇淋的容器中，然后分类。</v>
      </c>
    </row>
    <row r="26401">
      <c r="A26401" s="4" t="s">
        <v>33224</v>
      </c>
      <c r="B26401" s="6" t="s">
        <v>33227</v>
      </c>
      <c r="C26401" s="5" t="str">
        <f>IFERROR(__xludf.DUMMYFUNCTION("GOOGLETRANSLATE(B26401,""en"",""zh-CN"")"),"冰淇淋填充品脱，并在添加其他成分并填充品脱之前将其混合在巨大的穹顶中。")</f>
        <v>冰淇淋填充品脱，并在添加其他成分并填充品脱之前将其混合在巨大的穹顶中。</v>
      </c>
    </row>
    <row r="26402">
      <c r="A26402" s="4" t="s">
        <v>33224</v>
      </c>
      <c r="B26402" s="4" t="s">
        <v>33228</v>
      </c>
      <c r="C26402" s="5" t="str">
        <f>IFERROR(__xludf.DUMMYFUNCTION("GOOGLETRANSLATE(B26402,""en"",""zh-CN"")"),"然后，我们看到正在创建冰棍，然后才能向一个男人和女人吃食物。")</f>
        <v>然后，我们看到正在创建冰棍，然后才能向一个男人和女人吃食物。</v>
      </c>
    </row>
    <row r="26403">
      <c r="A26403" s="4" t="s">
        <v>33229</v>
      </c>
      <c r="B26403" s="4" t="s">
        <v>33230</v>
      </c>
      <c r="C26403" s="5" t="str">
        <f>IFERROR(__xludf.DUMMYFUNCTION("GOOGLETRANSLATE(B26403,""en"",""zh-CN"")"),"一个戴着手套的男人握着一对钳子，并将物体放在介于两者之间。")</f>
        <v>一个戴着手套的男人握着一对钳子，并将物体放在介于两者之间。</v>
      </c>
    </row>
    <row r="26404">
      <c r="A26404" s="4" t="s">
        <v>33229</v>
      </c>
      <c r="B26404" s="4" t="s">
        <v>33231</v>
      </c>
      <c r="C26404" s="5" t="str">
        <f>IFERROR(__xludf.DUMMYFUNCTION("GOOGLETRANSLATE(B26404,""en"",""zh-CN"")"),"他激发了创建火焰的物体，并戴上面具以保护自己。")</f>
        <v>他激发了创建火焰的物体，并戴上面具以保护自己。</v>
      </c>
    </row>
    <row r="26405">
      <c r="A26405" s="4" t="s">
        <v>33229</v>
      </c>
      <c r="B26405" s="4" t="s">
        <v>33232</v>
      </c>
      <c r="C26405" s="5" t="str">
        <f>IFERROR(__xludf.DUMMYFUNCTION("GOOGLETRANSLATE(B26405,""en"",""zh-CN"")"),"他继续燃烧物体，展示了自己燃烧的东西。")</f>
        <v>他继续燃烧物体，展示了自己燃烧的东西。</v>
      </c>
    </row>
    <row r="26406">
      <c r="A26406" s="4" t="s">
        <v>33233</v>
      </c>
      <c r="B26406" s="4" t="s">
        <v>33234</v>
      </c>
      <c r="C26406" s="5" t="str">
        <f>IFERROR(__xludf.DUMMYFUNCTION("GOOGLETRANSLATE(B26406,""en"",""zh-CN"")"),"一个男孩跳高潜水板。")</f>
        <v>一个男孩跳高潜水板。</v>
      </c>
    </row>
    <row r="26407">
      <c r="A26407" s="4" t="s">
        <v>33233</v>
      </c>
      <c r="B26407" s="4" t="s">
        <v>33235</v>
      </c>
      <c r="C26407" s="5" t="str">
        <f>IFERROR(__xludf.DUMMYFUNCTION("GOOGLETRANSLATE(B26407,""en"",""zh-CN"")"),"然后，这个男孩跳了三次，但跌倒在他的后背上大大溅出。")</f>
        <v>然后，这个男孩跳了三次，但跌倒在他的后背上大大溅出。</v>
      </c>
    </row>
    <row r="26408">
      <c r="A26408" s="4" t="s">
        <v>33236</v>
      </c>
      <c r="B26408" s="4" t="s">
        <v>33237</v>
      </c>
      <c r="C26408" s="5" t="str">
        <f>IFERROR(__xludf.DUMMYFUNCTION("GOOGLETRANSLATE(B26408,""en"",""zh-CN"")"),"一个年轻人在走廊的熨衣板上熨烫一件衬衫。")</f>
        <v>一个年轻人在走廊的熨衣板上熨烫一件衬衫。</v>
      </c>
    </row>
    <row r="26409">
      <c r="A26409" s="4" t="s">
        <v>33236</v>
      </c>
      <c r="B26409" s="4" t="s">
        <v>33238</v>
      </c>
      <c r="C26409" s="5" t="str">
        <f>IFERROR(__xludf.DUMMYFUNCTION("GOOGLETRANSLATE(B26409,""en"",""zh-CN"")"),"该男子调整相机并恢复熨烫。")</f>
        <v>该男子调整相机并恢复熨烫。</v>
      </c>
    </row>
    <row r="26410">
      <c r="A26410" s="4" t="s">
        <v>33236</v>
      </c>
      <c r="B26410" s="4" t="s">
        <v>33239</v>
      </c>
      <c r="C26410" s="5" t="str">
        <f>IFERROR(__xludf.DUMMYFUNCTION("GOOGLETRANSLATE(B26410,""en"",""zh-CN"")"),"该男子完成了熨烫，然后将相机转开。")</f>
        <v>该男子完成了熨烫，然后将相机转开。</v>
      </c>
    </row>
    <row r="26411">
      <c r="A26411" s="4" t="s">
        <v>33240</v>
      </c>
      <c r="B26411" s="4" t="s">
        <v>33241</v>
      </c>
      <c r="C26411" s="5" t="str">
        <f>IFERROR(__xludf.DUMMYFUNCTION("GOOGLETRANSLATE(B26411,""en"",""zh-CN"")"),"一个穿着红色衬衫的男人跪下。")</f>
        <v>一个穿着红色衬衫的男人跪下。</v>
      </c>
    </row>
    <row r="26412">
      <c r="A26412" s="4" t="s">
        <v>33240</v>
      </c>
      <c r="B26412" s="4" t="s">
        <v>33242</v>
      </c>
      <c r="C26412" s="5" t="str">
        <f>IFERROR(__xludf.DUMMYFUNCTION("GOOGLETRANSLATE(B26412,""en"",""zh-CN"")"),"另一个穿着黑色衬衫的男人站在他面前。")</f>
        <v>另一个穿着黑色衬衫的男人站在他面前。</v>
      </c>
    </row>
    <row r="26413">
      <c r="A26413" s="4" t="s">
        <v>33240</v>
      </c>
      <c r="B26413" s="4" t="s">
        <v>33243</v>
      </c>
      <c r="C26413" s="5" t="str">
        <f>IFERROR(__xludf.DUMMYFUNCTION("GOOGLETRANSLATE(B26413,""en"",""zh-CN"")"),"他们正在骑自行车。")</f>
        <v>他们正在骑自行车。</v>
      </c>
    </row>
    <row r="26414">
      <c r="A26414" s="4" t="s">
        <v>33244</v>
      </c>
      <c r="B26414" s="4" t="s">
        <v>33245</v>
      </c>
      <c r="C26414" s="5" t="str">
        <f>IFERROR(__xludf.DUMMYFUNCTION("GOOGLETRANSLATE(B26414,""en"",""zh-CN"")"),"女人说明如何用礼品纸包裹盒子。")</f>
        <v>女人说明如何用礼品纸包裹盒子。</v>
      </c>
    </row>
    <row r="26415">
      <c r="A26415" s="4" t="s">
        <v>33244</v>
      </c>
      <c r="B26415" s="4" t="s">
        <v>33246</v>
      </c>
      <c r="C26415" s="5" t="str">
        <f>IFERROR(__xludf.DUMMYFUNCTION("GOOGLETRANSLATE(B26415,""en"",""zh-CN"")"),"然后，女人用胶带将纸切成纸张，并在盒子上缠绕。")</f>
        <v>然后，女人用胶带将纸切成纸张，并在盒子上缠绕。</v>
      </c>
    </row>
    <row r="26416">
      <c r="A26416" s="4" t="s">
        <v>33244</v>
      </c>
      <c r="B26416" s="6" t="s">
        <v>33247</v>
      </c>
      <c r="C26416" s="5" t="str">
        <f>IFERROR(__xludf.DUMMYFUNCTION("GOOGLETRANSLATE(B26416,""en"",""zh-CN"")"),"之后，女人折叠纸的侧面并切成一块以安装盒子，然后在解释时将胶带关节末端。")</f>
        <v>之后，女人折叠纸的侧面并切成一块以安装盒子，然后在解释时将胶带关节末端。</v>
      </c>
    </row>
    <row r="26417">
      <c r="A26417" s="4" t="s">
        <v>33248</v>
      </c>
      <c r="B26417" s="4" t="s">
        <v>33249</v>
      </c>
      <c r="C26417" s="5" t="str">
        <f>IFERROR(__xludf.DUMMYFUNCTION("GOOGLETRANSLATE(B26417,""en"",""zh-CN"")"),"当相机看着她的进食时，看到一个年轻的女孩在舔冰淇淋锥。")</f>
        <v>当相机看着她的进食时，看到一个年轻的女孩在舔冰淇淋锥。</v>
      </c>
    </row>
    <row r="26418">
      <c r="A26418" s="4" t="s">
        <v>33248</v>
      </c>
      <c r="B26418" s="4" t="s">
        <v>33250</v>
      </c>
      <c r="C26418" s="5" t="str">
        <f>IFERROR(__xludf.DUMMYFUNCTION("GOOGLETRANSLATE(B26418,""en"",""zh-CN"")"),"她继续吃冰淇淋蛋筒，向远处望去。")</f>
        <v>她继续吃冰淇淋蛋筒，向远处望去。</v>
      </c>
    </row>
    <row r="26419">
      <c r="A26419" s="4" t="s">
        <v>33251</v>
      </c>
      <c r="B26419" s="4" t="s">
        <v>33252</v>
      </c>
      <c r="C26419" s="5" t="str">
        <f>IFERROR(__xludf.DUMMYFUNCTION("GOOGLETRANSLATE(B26419,""en"",""zh-CN"")"),"一个穿着牛仔裤和T恤衫的男人在托盘中滚动一个油漆辊。")</f>
        <v>一个穿着牛仔裤和T恤衫的男人在托盘中滚动一个油漆辊。</v>
      </c>
    </row>
    <row r="26420">
      <c r="A26420" s="4" t="s">
        <v>33251</v>
      </c>
      <c r="B26420" s="6" t="s">
        <v>33253</v>
      </c>
      <c r="C26420" s="5" t="str">
        <f>IFERROR(__xludf.DUMMYFUNCTION("GOOGLETRANSLATE(B26420,""en"",""zh-CN"")"),"该男子用滚筒将更多油漆涂在篱笆上，并获得更多油漆，直到他抬起滚筒并感到高兴。")</f>
        <v>该男子用滚筒将更多油漆涂在篱笆上，并获得更多油漆，直到他抬起滚筒并感到高兴。</v>
      </c>
    </row>
    <row r="26421">
      <c r="A26421" s="4" t="s">
        <v>33251</v>
      </c>
      <c r="B26421" s="4" t="s">
        <v>33254</v>
      </c>
      <c r="C26421" s="5" t="str">
        <f>IFERROR(__xludf.DUMMYFUNCTION("GOOGLETRANSLATE(B26421,""en"",""zh-CN"")"),"这个男人从托盘上刷上了更多的油漆。")</f>
        <v>这个男人从托盘上刷上了更多的油漆。</v>
      </c>
    </row>
    <row r="26422">
      <c r="A26422" s="4" t="s">
        <v>33251</v>
      </c>
      <c r="B26422" s="4" t="s">
        <v>33255</v>
      </c>
      <c r="C26422" s="5" t="str">
        <f>IFERROR(__xludf.DUMMYFUNCTION("GOOGLETRANSLATE(B26422,""en"",""zh-CN"")"),"该男子完成了绘画篱笆的片段，然后放下了滚筒。")</f>
        <v>该男子完成了绘画篱笆的片段，然后放下了滚筒。</v>
      </c>
    </row>
    <row r="26423">
      <c r="A26423" s="4" t="s">
        <v>33256</v>
      </c>
      <c r="B26423" s="4" t="s">
        <v>33257</v>
      </c>
      <c r="C26423" s="5" t="str">
        <f>IFERROR(__xludf.DUMMYFUNCTION("GOOGLETRANSLATE(B26423,""en"",""zh-CN"")"),"有几个人在板上长时间骑自行车。")</f>
        <v>有几个人在板上长时间骑自行车。</v>
      </c>
    </row>
    <row r="26424">
      <c r="A26424" s="4" t="s">
        <v>33256</v>
      </c>
      <c r="B26424" s="4" t="s">
        <v>33258</v>
      </c>
      <c r="C26424" s="5" t="str">
        <f>IFERROR(__xludf.DUMMYFUNCTION("GOOGLETRANSLATE(B26424,""en"",""zh-CN"")"),"一个人有白色手套，正在他们面前抓住那个人。")</f>
        <v>一个人有白色手套，正在他们面前抓住那个人。</v>
      </c>
    </row>
    <row r="26425">
      <c r="A26425" s="4" t="s">
        <v>33256</v>
      </c>
      <c r="B26425" s="4" t="s">
        <v>33259</v>
      </c>
      <c r="C26425" s="5" t="str">
        <f>IFERROR(__xludf.DUMMYFUNCTION("GOOGLETRANSLATE(B26425,""en"",""zh-CN"")"),"末尾屏幕上的单词在屏幕上。")</f>
        <v>末尾屏幕上的单词在屏幕上。</v>
      </c>
    </row>
    <row r="26426">
      <c r="A26426" s="4" t="s">
        <v>33260</v>
      </c>
      <c r="B26426" s="4" t="s">
        <v>33261</v>
      </c>
      <c r="C26426" s="5" t="str">
        <f>IFERROR(__xludf.DUMMYFUNCTION("GOOGLETRANSLATE(B26426,""en"",""zh-CN"")"),"男人在滑雪板上滑行的山丘滑动，穿过小旗。")</f>
        <v>男人在滑雪板上滑行的山丘滑动，穿过小旗。</v>
      </c>
    </row>
    <row r="26427">
      <c r="A26427" s="4" t="s">
        <v>33260</v>
      </c>
      <c r="B26427" s="4" t="s">
        <v>33262</v>
      </c>
      <c r="C26427" s="5" t="str">
        <f>IFERROR(__xludf.DUMMYFUNCTION("GOOGLETRANSLATE(B26427,""en"",""zh-CN"")"),"男人在黑暗的房间里与镜头说话。")</f>
        <v>男人在黑暗的房间里与镜头说话。</v>
      </c>
    </row>
    <row r="26428">
      <c r="A26428" s="4" t="s">
        <v>33260</v>
      </c>
      <c r="B26428" s="6" t="s">
        <v>33263</v>
      </c>
      <c r="C26428" s="5" t="str">
        <f>IFERROR(__xludf.DUMMYFUNCTION("GOOGLETRANSLATE(B26428,""en"",""zh-CN"")"),"人在雪地上滑雪，视频在侧面时显示了身体的正确位置。")</f>
        <v>人在雪地上滑雪，视频在侧面时显示了身体的正确位置。</v>
      </c>
    </row>
    <row r="26429">
      <c r="A26429" s="4" t="s">
        <v>33264</v>
      </c>
      <c r="B26429" s="4" t="s">
        <v>33265</v>
      </c>
      <c r="C26429" s="5" t="str">
        <f>IFERROR(__xludf.DUMMYFUNCTION("GOOGLETRANSLATE(B26429,""en"",""zh-CN"")"),"看到一个男人和女儿只穿着袜子和一件长衬衫滑入框架。")</f>
        <v>看到一个男人和女儿只穿着袜子和一件长衬衫滑入框架。</v>
      </c>
    </row>
    <row r="26430">
      <c r="A26430" s="4" t="s">
        <v>33264</v>
      </c>
      <c r="B26430" s="4" t="s">
        <v>33266</v>
      </c>
      <c r="C26430" s="5" t="str">
        <f>IFERROR(__xludf.DUMMYFUNCTION("GOOGLETRANSLATE(B26430,""en"",""zh-CN"")"),"看到两者拿着拖把，开始互相唱歌。")</f>
        <v>看到两者拿着拖把，开始互相唱歌。</v>
      </c>
    </row>
    <row r="26431">
      <c r="A26431" s="4" t="s">
        <v>33264</v>
      </c>
      <c r="B26431" s="4" t="s">
        <v>33267</v>
      </c>
      <c r="C26431" s="5" t="str">
        <f>IFERROR(__xludf.DUMMYFUNCTION("GOOGLETRANSLATE(B26431,""en"",""zh-CN"")"),"两人继续跳舞并互相唱歌。")</f>
        <v>两人继续跳舞并互相唱歌。</v>
      </c>
    </row>
    <row r="26432">
      <c r="A26432" s="4" t="s">
        <v>33268</v>
      </c>
      <c r="B26432" s="4" t="s">
        <v>33269</v>
      </c>
      <c r="C26432" s="5" t="str">
        <f>IFERROR(__xludf.DUMMYFUNCTION("GOOGLETRANSLATE(B26432,""en"",""zh-CN"")"),"水肺潜水员在岩石脸附近的海洋中游泳和滑水。")</f>
        <v>水肺潜水员在岩石脸附近的海洋中游泳和滑水。</v>
      </c>
    </row>
    <row r="26433">
      <c r="A26433" s="4" t="s">
        <v>33268</v>
      </c>
      <c r="B26433" s="4" t="s">
        <v>33270</v>
      </c>
      <c r="C26433" s="5" t="str">
        <f>IFERROR(__xludf.DUMMYFUNCTION("GOOGLETRANSLATE(B26433,""en"",""zh-CN"")"),"水肺潜水员制作手势和笑话。")</f>
        <v>水肺潜水员制作手势和笑话。</v>
      </c>
    </row>
    <row r="26434">
      <c r="A26434" s="4" t="s">
        <v>33268</v>
      </c>
      <c r="B26434" s="4" t="s">
        <v>33271</v>
      </c>
      <c r="C26434" s="5" t="str">
        <f>IFERROR(__xludf.DUMMYFUNCTION("GOOGLETRANSLATE(B26434,""en"",""zh-CN"")"),"这些人靠近视线。")</f>
        <v>这些人靠近视线。</v>
      </c>
    </row>
    <row r="26435">
      <c r="A26435" s="4" t="s">
        <v>33272</v>
      </c>
      <c r="B26435" s="6" t="s">
        <v>33273</v>
      </c>
      <c r="C26435" s="5" t="str">
        <f>IFERROR(__xludf.DUMMYFUNCTION("GOOGLETRANSLATE(B26435,""en"",""zh-CN"")"),"显示了滑雪板的近距离，后面是一个人用棍棒向山上滑雪。")</f>
        <v>显示了滑雪板的近距离，后面是一个人用棍棒向山上滑雪。</v>
      </c>
    </row>
    <row r="26436">
      <c r="A26436" s="4" t="s">
        <v>33272</v>
      </c>
      <c r="B26436" s="6" t="s">
        <v>33274</v>
      </c>
      <c r="C26436" s="5" t="str">
        <f>IFERROR(__xludf.DUMMYFUNCTION("GOOGLETRANSLATE(B26436,""en"",""zh-CN"")"),"该人不断地使用滑雪板在山上骑行，并放大人们，然后停在底部。")</f>
        <v>该人不断地使用滑雪板在山上骑行，并放大人们，然后停在底部。</v>
      </c>
    </row>
    <row r="26437">
      <c r="A26437" s="4" t="s">
        <v>33275</v>
      </c>
      <c r="B26437" s="4" t="s">
        <v>33276</v>
      </c>
      <c r="C26437" s="5" t="str">
        <f>IFERROR(__xludf.DUMMYFUNCTION("GOOGLETRANSLATE(B26437,""en"",""zh-CN"")"),"看到一个男人准备好站立，将手臂放在他的两边。")</f>
        <v>看到一个男人准备好站立，将手臂放在他的两边。</v>
      </c>
    </row>
    <row r="26438">
      <c r="A26438" s="4" t="s">
        <v>33275</v>
      </c>
      <c r="B26438" s="4" t="s">
        <v>33277</v>
      </c>
      <c r="C26438" s="5" t="str">
        <f>IFERROR(__xludf.DUMMYFUNCTION("GOOGLETRANSLATE(B26438,""en"",""zh-CN"")"),"然后，该男子跳上一组不平衡的酒吧，开始进行体操例行。")</f>
        <v>然后，该男子跳上一组不平衡的酒吧，开始进行体操例行。</v>
      </c>
    </row>
    <row r="26439">
      <c r="A26439" s="4" t="s">
        <v>33275</v>
      </c>
      <c r="B26439" s="4" t="s">
        <v>33278</v>
      </c>
      <c r="C26439" s="5" t="str">
        <f>IFERROR(__xludf.DUMMYFUNCTION("GOOGLETRANSLATE(B26439,""en"",""zh-CN"")"),"该男子自己四处旋转，结束了，双臂抬起头。")</f>
        <v>该男子自己四处旋转，结束了，双臂抬起头。</v>
      </c>
    </row>
    <row r="26440">
      <c r="A26440" s="4" t="s">
        <v>33279</v>
      </c>
      <c r="B26440" s="4" t="s">
        <v>33280</v>
      </c>
      <c r="C26440" s="5" t="str">
        <f>IFERROR(__xludf.DUMMYFUNCTION("GOOGLETRANSLATE(B26440,""en"",""zh-CN"")"),"两个女人在厨房里洗碗。")</f>
        <v>两个女人在厨房里洗碗。</v>
      </c>
    </row>
    <row r="26441">
      <c r="A26441" s="4" t="s">
        <v>33279</v>
      </c>
      <c r="B26441" s="4" t="s">
        <v>33281</v>
      </c>
      <c r="C26441" s="5" t="str">
        <f>IFERROR(__xludf.DUMMYFUNCTION("GOOGLETRANSLATE(B26441,""en"",""zh-CN"")"),"他们在厨房里来回走动。")</f>
        <v>他们在厨房里来回走动。</v>
      </c>
    </row>
    <row r="26442">
      <c r="A26442" s="4" t="s">
        <v>33279</v>
      </c>
      <c r="B26442" s="4" t="s">
        <v>33282</v>
      </c>
      <c r="C26442" s="5" t="str">
        <f>IFERROR(__xludf.DUMMYFUNCTION("GOOGLETRANSLATE(B26442,""en"",""zh-CN"")"),"场景是非常快速的。")</f>
        <v>场景是非常快速的。</v>
      </c>
    </row>
    <row r="26443">
      <c r="A26443" s="4" t="s">
        <v>33283</v>
      </c>
      <c r="B26443" s="4" t="s">
        <v>33284</v>
      </c>
      <c r="C26443" s="5" t="str">
        <f>IFERROR(__xludf.DUMMYFUNCTION("GOOGLETRANSLATE(B26443,""en"",""zh-CN"")"),"一个男人和女人一起坐在舞台上。")</f>
        <v>一个男人和女人一起坐在舞台上。</v>
      </c>
    </row>
    <row r="26444">
      <c r="A26444" s="4" t="s">
        <v>33283</v>
      </c>
      <c r="B26444" s="4" t="s">
        <v>33285</v>
      </c>
      <c r="C26444" s="5" t="str">
        <f>IFERROR(__xludf.DUMMYFUNCTION("GOOGLETRANSLATE(B26444,""en"",""zh-CN"")"),"他们在谈论探戈舞。")</f>
        <v>他们在谈论探戈舞。</v>
      </c>
    </row>
    <row r="26445">
      <c r="A26445" s="4" t="s">
        <v>33283</v>
      </c>
      <c r="B26445" s="4" t="s">
        <v>33286</v>
      </c>
      <c r="C26445" s="5" t="str">
        <f>IFERROR(__xludf.DUMMYFUNCTION("GOOGLETRANSLATE(B26445,""en"",""zh-CN"")"),"他们在观众面前旋转并旋转。")</f>
        <v>他们在观众面前旋转并旋转。</v>
      </c>
    </row>
    <row r="26446">
      <c r="A26446" s="4" t="s">
        <v>33287</v>
      </c>
      <c r="B26446" s="4" t="s">
        <v>33288</v>
      </c>
      <c r="C26446" s="5" t="str">
        <f>IFERROR(__xludf.DUMMYFUNCTION("GOOGLETRANSLATE(B26446,""en"",""zh-CN"")"),"关于走路线的新闻报道。")</f>
        <v>关于走路线的新闻报道。</v>
      </c>
    </row>
    <row r="26447">
      <c r="A26447" s="4" t="s">
        <v>33287</v>
      </c>
      <c r="B26447" s="4" t="s">
        <v>33289</v>
      </c>
      <c r="C26447" s="5" t="str">
        <f>IFERROR(__xludf.DUMMYFUNCTION("GOOGLETRANSLATE(B26447,""en"",""zh-CN"")"),"各个层次的人都走路，撒谎和冥想绳索。")</f>
        <v>各个层次的人都走路，撒谎和冥想绳索。</v>
      </c>
    </row>
    <row r="26448">
      <c r="A26448" s="4" t="s">
        <v>33287</v>
      </c>
      <c r="B26448" s="4" t="s">
        <v>33290</v>
      </c>
      <c r="C26448" s="5" t="str">
        <f>IFERROR(__xludf.DUMMYFUNCTION("GOOGLETRANSLATE(B26448,""en"",""zh-CN"")"),"有些人走过即将到来的划线者。")</f>
        <v>有些人走过即将到来的划线者。</v>
      </c>
    </row>
    <row r="26449">
      <c r="A26449" s="4" t="s">
        <v>33291</v>
      </c>
      <c r="B26449" s="4" t="s">
        <v>33292</v>
      </c>
      <c r="C26449" s="5" t="str">
        <f>IFERROR(__xludf.DUMMYFUNCTION("GOOGLETRANSLATE(B26449,""en"",""zh-CN"")"),"一个女人把口红放在前镜子的前面。")</f>
        <v>一个女人把口红放在前镜子的前面。</v>
      </c>
    </row>
    <row r="26450">
      <c r="A26450" s="4" t="s">
        <v>33291</v>
      </c>
      <c r="B26450" s="4" t="s">
        <v>33293</v>
      </c>
      <c r="C26450" s="5" t="str">
        <f>IFERROR(__xludf.DUMMYFUNCTION("GOOGLETRANSLATE(B26450,""en"",""zh-CN"")"),"然后她和她旁边的其他青少年一起笑。")</f>
        <v>然后她和她旁边的其他青少年一起笑。</v>
      </c>
    </row>
    <row r="26451">
      <c r="A26451" s="4" t="s">
        <v>33294</v>
      </c>
      <c r="B26451" s="4" t="s">
        <v>33295</v>
      </c>
      <c r="C26451" s="5" t="str">
        <f>IFERROR(__xludf.DUMMYFUNCTION("GOOGLETRANSLATE(B26451,""en"",""zh-CN"")"),"一个男人正在和浴室里的相机交谈。")</f>
        <v>一个男人正在和浴室里的相机交谈。</v>
      </c>
    </row>
    <row r="26452">
      <c r="A26452" s="4" t="s">
        <v>33294</v>
      </c>
      <c r="B26452" s="4" t="s">
        <v>33296</v>
      </c>
      <c r="C26452" s="5" t="str">
        <f>IFERROR(__xludf.DUMMYFUNCTION("GOOGLETRANSLATE(B26452,""en"",""zh-CN"")"),"然后，在编织之前，向他展示了刷牙，喷涂和造型。")</f>
        <v>然后，在编织之前，向他展示了刷牙，喷涂和造型。</v>
      </c>
    </row>
    <row r="26453">
      <c r="A26453" s="4" t="s">
        <v>33294</v>
      </c>
      <c r="B26453" s="4" t="s">
        <v>33297</v>
      </c>
      <c r="C26453" s="5" t="str">
        <f>IFERROR(__xludf.DUMMYFUNCTION("GOOGLETRANSLATE(B26453,""en"",""zh-CN"")"),"完成后，她为相机摆姿势。")</f>
        <v>完成后，她为相机摆姿势。</v>
      </c>
    </row>
    <row r="26454">
      <c r="A26454" s="4" t="s">
        <v>33298</v>
      </c>
      <c r="B26454" s="4" t="s">
        <v>33299</v>
      </c>
      <c r="C26454" s="5" t="str">
        <f>IFERROR(__xludf.DUMMYFUNCTION("GOOGLETRANSLATE(B26454,""en"",""zh-CN"")"),"该男子指示四名妇女做饭。")</f>
        <v>该男子指示四名妇女做饭。</v>
      </c>
    </row>
    <row r="26455">
      <c r="A26455" s="4" t="s">
        <v>33298</v>
      </c>
      <c r="B26455" s="4" t="s">
        <v>33300</v>
      </c>
      <c r="C26455" s="5" t="str">
        <f>IFERROR(__xludf.DUMMYFUNCTION("GOOGLETRANSLATE(B26455,""en"",""zh-CN"")"),"该男子将油，洋葱，大蒜和辣椒添加到锅中。")</f>
        <v>该男子将油，洋葱，大蒜和辣椒添加到锅中。</v>
      </c>
    </row>
    <row r="26456">
      <c r="A26456" s="4" t="s">
        <v>33298</v>
      </c>
      <c r="B26456" s="4" t="s">
        <v>33301</v>
      </c>
      <c r="C26456" s="5" t="str">
        <f>IFERROR(__xludf.DUMMYFUNCTION("GOOGLETRANSLATE(B26456,""en"",""zh-CN"")"),"该男子在锅中添加蛤。")</f>
        <v>该男子在锅中添加蛤。</v>
      </c>
    </row>
    <row r="26457">
      <c r="A26457" s="4" t="s">
        <v>33298</v>
      </c>
      <c r="B26457" s="4" t="s">
        <v>33302</v>
      </c>
      <c r="C26457" s="5" t="str">
        <f>IFERROR(__xludf.DUMMYFUNCTION("GOOGLETRANSLATE(B26457,""en"",""zh-CN"")"),"该男子在锅中添加汤。")</f>
        <v>该男子在锅中添加汤。</v>
      </c>
    </row>
    <row r="26458">
      <c r="A26458" s="4" t="s">
        <v>33298</v>
      </c>
      <c r="B26458" s="4" t="s">
        <v>33303</v>
      </c>
      <c r="C26458" s="5" t="str">
        <f>IFERROR(__xludf.DUMMYFUNCTION("GOOGLETRANSLATE(B26458,""en"",""zh-CN"")"),"该男子将意大利面煮在一个单独的锅中。")</f>
        <v>该男子将意大利面煮在一个单独的锅中。</v>
      </c>
    </row>
    <row r="26459">
      <c r="A26459" s="4" t="s">
        <v>33298</v>
      </c>
      <c r="B26459" s="4" t="s">
        <v>33304</v>
      </c>
      <c r="C26459" s="5" t="str">
        <f>IFERROR(__xludf.DUMMYFUNCTION("GOOGLETRANSLATE(B26459,""en"",""zh-CN"")"),"妇女聚集在锅中看面食。")</f>
        <v>妇女聚集在锅中看面食。</v>
      </c>
    </row>
    <row r="26460">
      <c r="A26460" s="4" t="s">
        <v>33298</v>
      </c>
      <c r="B26460" s="4" t="s">
        <v>33305</v>
      </c>
      <c r="C26460" s="5" t="str">
        <f>IFERROR(__xludf.DUMMYFUNCTION("GOOGLETRANSLATE(B26460,""en"",""zh-CN"")"),"该男子完成酱汁并将其倒入锅中。")</f>
        <v>该男子完成酱汁并将其倒入锅中。</v>
      </c>
    </row>
    <row r="26461">
      <c r="A26461" s="4" t="s">
        <v>33298</v>
      </c>
      <c r="B26461" s="4" t="s">
        <v>33306</v>
      </c>
      <c r="C26461" s="5" t="str">
        <f>IFERROR(__xludf.DUMMYFUNCTION("GOOGLETRANSLATE(B26461,""en"",""zh-CN"")"),"该男子添加了意大利面。")</f>
        <v>该男子添加了意大利面。</v>
      </c>
    </row>
    <row r="26462">
      <c r="A26462" s="4" t="s">
        <v>33298</v>
      </c>
      <c r="B26462" s="4" t="s">
        <v>33307</v>
      </c>
      <c r="C26462" s="5" t="str">
        <f>IFERROR(__xludf.DUMMYFUNCTION("GOOGLETRANSLATE(B26462,""en"",""zh-CN"")"),"该男子将面食添加到盘子中。")</f>
        <v>该男子将面食添加到盘子中。</v>
      </c>
    </row>
    <row r="26463">
      <c r="A26463" s="4" t="s">
        <v>33298</v>
      </c>
      <c r="B26463" s="4" t="s">
        <v>33308</v>
      </c>
      <c r="C26463" s="5" t="str">
        <f>IFERROR(__xludf.DUMMYFUNCTION("GOOGLETRANSLATE(B26463,""en"",""zh-CN"")"),"女人们尝试意大利面。")</f>
        <v>女人们尝试意大利面。</v>
      </c>
    </row>
    <row r="26464">
      <c r="A26464" s="4" t="s">
        <v>33298</v>
      </c>
      <c r="B26464" s="4" t="s">
        <v>33309</v>
      </c>
      <c r="C26464" s="5" t="str">
        <f>IFERROR(__xludf.DUMMYFUNCTION("GOOGLETRANSLATE(B26464,""en"",""zh-CN"")"),"每个人都笑了，似乎很高兴。")</f>
        <v>每个人都笑了，似乎很高兴。</v>
      </c>
    </row>
    <row r="26465">
      <c r="A26465" s="4" t="s">
        <v>33298</v>
      </c>
      <c r="B26465" s="4" t="s">
        <v>33310</v>
      </c>
      <c r="C26465" s="5" t="str">
        <f>IFERROR(__xludf.DUMMYFUNCTION("GOOGLETRANSLATE(B26465,""en"",""zh-CN"")"),"该男子开始召集门票。")</f>
        <v>该男子开始召集门票。</v>
      </c>
    </row>
    <row r="26466">
      <c r="A26466" s="4" t="s">
        <v>33298</v>
      </c>
      <c r="B26466" s="4" t="s">
        <v>33311</v>
      </c>
      <c r="C26466" s="5" t="str">
        <f>IFERROR(__xludf.DUMMYFUNCTION("GOOGLETRANSLATE(B26466,""en"",""zh-CN"")"),"女人煮男人刚教给他们做的那道菜。")</f>
        <v>女人煮男人刚教给他们做的那道菜。</v>
      </c>
    </row>
    <row r="26467">
      <c r="A26467" s="4" t="s">
        <v>33298</v>
      </c>
      <c r="B26467" s="4" t="s">
        <v>33312</v>
      </c>
      <c r="C26467" s="5" t="str">
        <f>IFERROR(__xludf.DUMMYFUNCTION("GOOGLETRANSLATE(B26467,""en"",""zh-CN"")"),"这个人帮助他们并给他们指针。")</f>
        <v>这个人帮助他们并给他们指针。</v>
      </c>
    </row>
    <row r="26468">
      <c r="A26468" s="4" t="s">
        <v>33298</v>
      </c>
      <c r="B26468" s="4" t="s">
        <v>33313</v>
      </c>
      <c r="C26468" s="5" t="str">
        <f>IFERROR(__xludf.DUMMYFUNCTION("GOOGLETRANSLATE(B26468,""en"",""zh-CN"")"),"女人们试图做饭时看起来很焦虑。")</f>
        <v>女人们试图做饭时看起来很焦虑。</v>
      </c>
    </row>
    <row r="26469">
      <c r="A26469" s="4" t="s">
        <v>33298</v>
      </c>
      <c r="B26469" s="4" t="s">
        <v>33314</v>
      </c>
      <c r="C26469" s="5" t="str">
        <f>IFERROR(__xludf.DUMMYFUNCTION("GOOGLETRANSLATE(B26469,""en"",""zh-CN"")"),"服务员开始服务盘子。")</f>
        <v>服务员开始服务盘子。</v>
      </c>
    </row>
    <row r="26470">
      <c r="A26470" s="4" t="s">
        <v>33315</v>
      </c>
      <c r="B26470" s="4" t="s">
        <v>33316</v>
      </c>
      <c r="C26470" s="5" t="str">
        <f>IFERROR(__xludf.DUMMYFUNCTION("GOOGLETRANSLATE(B26470,""en"",""zh-CN"")"),"一名建筑工人站在建筑物中，拿着拖把和水桶。")</f>
        <v>一名建筑工人站在建筑物中，拿着拖把和水桶。</v>
      </c>
    </row>
    <row r="26471">
      <c r="A26471" s="4" t="s">
        <v>33315</v>
      </c>
      <c r="B26471" s="4" t="s">
        <v>33317</v>
      </c>
      <c r="C26471" s="5" t="str">
        <f>IFERROR(__xludf.DUMMYFUNCTION("GOOGLETRANSLATE(B26471,""en"",""zh-CN"")"),"他炫耀了水桶和解决方案，然后在演示中擦地板。")</f>
        <v>他炫耀了水桶和解决方案，然后在演示中擦地板。</v>
      </c>
    </row>
    <row r="26472">
      <c r="A26472" s="4" t="s">
        <v>33315</v>
      </c>
      <c r="B26472" s="4" t="s">
        <v>33318</v>
      </c>
      <c r="C26472" s="5" t="str">
        <f>IFERROR(__xludf.DUMMYFUNCTION("GOOGLETRANSLATE(B26472,""en"",""zh-CN"")"),"站立在一侧之前，他使地板完全干净有光泽。")</f>
        <v>站立在一侧之前，他使地板完全干净有光泽。</v>
      </c>
    </row>
    <row r="26473">
      <c r="A26473" s="4" t="s">
        <v>33319</v>
      </c>
      <c r="B26473" s="4" t="s">
        <v>33320</v>
      </c>
      <c r="C26473" s="5" t="str">
        <f>IFERROR(__xludf.DUMMYFUNCTION("GOOGLETRANSLATE(B26473,""en"",""zh-CN"")"),"女人站在一个拿着铁的客厅里。")</f>
        <v>女人站在一个拿着铁的客厅里。</v>
      </c>
    </row>
    <row r="26474">
      <c r="A26474" s="4" t="s">
        <v>33319</v>
      </c>
      <c r="B26474" s="4" t="s">
        <v>33321</v>
      </c>
      <c r="C26474" s="5" t="str">
        <f>IFERROR(__xludf.DUMMYFUNCTION("GOOGLETRANSLATE(B26474,""en"",""zh-CN"")"),"穿着粉红色衬衫的女人正在熨烫蓝色衬衫。")</f>
        <v>穿着粉红色衬衫的女人正在熨烫蓝色衬衫。</v>
      </c>
    </row>
    <row r="26475">
      <c r="A26475" s="4" t="s">
        <v>33319</v>
      </c>
      <c r="B26475" s="4" t="s">
        <v>33322</v>
      </c>
      <c r="C26475" s="5" t="str">
        <f>IFERROR(__xludf.DUMMYFUNCTION("GOOGLETRANSLATE(B26475,""en"",""zh-CN"")"),"安静的客厅配有旧家具。")</f>
        <v>安静的客厅配有旧家具。</v>
      </c>
    </row>
    <row r="26476">
      <c r="A26476" s="4" t="s">
        <v>33323</v>
      </c>
      <c r="B26476" s="4" t="s">
        <v>33324</v>
      </c>
      <c r="C26476" s="5" t="str">
        <f>IFERROR(__xludf.DUMMYFUNCTION("GOOGLETRANSLATE(B26476,""en"",""zh-CN"")"),"一个女人正在耙树叶成大堆。")</f>
        <v>一个女人正在耙树叶成大堆。</v>
      </c>
    </row>
    <row r="26477">
      <c r="A26477" s="4" t="s">
        <v>33323</v>
      </c>
      <c r="B26477" s="4" t="s">
        <v>33325</v>
      </c>
      <c r="C26477" s="5" t="str">
        <f>IFERROR(__xludf.DUMMYFUNCTION("GOOGLETRANSLATE(B26477,""en"",""zh-CN"")"),"一个男人正在叶子上割草机。")</f>
        <v>一个男人正在叶子上割草机。</v>
      </c>
    </row>
    <row r="26478">
      <c r="A26478" s="4" t="s">
        <v>33323</v>
      </c>
      <c r="B26478" s="4" t="s">
        <v>33326</v>
      </c>
      <c r="C26478" s="5" t="str">
        <f>IFERROR(__xludf.DUMMYFUNCTION("GOOGLETRANSLATE(B26478,""en"",""zh-CN"")"),"他把一些叶子放入花园床上。")</f>
        <v>他把一些叶子放入花园床上。</v>
      </c>
    </row>
    <row r="26479">
      <c r="A26479" s="4" t="s">
        <v>33327</v>
      </c>
      <c r="B26479" s="4" t="s">
        <v>33328</v>
      </c>
      <c r="C26479" s="5" t="str">
        <f>IFERROR(__xludf.DUMMYFUNCTION("GOOGLETRANSLATE(B26479,""en"",""zh-CN"")"),"看到一个女人在相机上说话，并导致她熨烫一条裤子。")</f>
        <v>看到一个女人在相机上说话，并导致她熨烫一条裤子。</v>
      </c>
    </row>
    <row r="26480">
      <c r="A26480" s="4" t="s">
        <v>33327</v>
      </c>
      <c r="B26480" s="4" t="s">
        <v>33329</v>
      </c>
      <c r="C26480" s="5" t="str">
        <f>IFERROR(__xludf.DUMMYFUNCTION("GOOGLETRANSLATE(B26480,""en"",""zh-CN"")"),"该名女子在上下移动熨斗时继续熨烫裤子。")</f>
        <v>该名女子在上下移动熨斗时继续熨烫裤子。</v>
      </c>
    </row>
    <row r="26481">
      <c r="A26481" s="4" t="s">
        <v>33330</v>
      </c>
      <c r="B26481" s="4" t="s">
        <v>33331</v>
      </c>
      <c r="C26481" s="5" t="str">
        <f>IFERROR(__xludf.DUMMYFUNCTION("GOOGLETRANSLATE(B26481,""en"",""zh-CN"")"),"我们看到很多花哨的食物。")</f>
        <v>我们看到很多花哨的食物。</v>
      </c>
    </row>
    <row r="26482">
      <c r="A26482" s="4" t="s">
        <v>33330</v>
      </c>
      <c r="B26482" s="4" t="s">
        <v>33332</v>
      </c>
      <c r="C26482" s="5" t="str">
        <f>IFERROR(__xludf.DUMMYFUNCTION("GOOGLETRANSLATE(B26482,""en"",""zh-CN"")"),"然后，我们放大盘子。")</f>
        <v>然后，我们放大盘子。</v>
      </c>
    </row>
    <row r="26483">
      <c r="A26483" s="4" t="s">
        <v>33330</v>
      </c>
      <c r="B26483" s="4" t="s">
        <v>33333</v>
      </c>
      <c r="C26483" s="5" t="str">
        <f>IFERROR(__xludf.DUMMYFUNCTION("GOOGLETRANSLATE(B26483,""en"",""zh-CN"")"),"我们在盘子上看到阴影。")</f>
        <v>我们在盘子上看到阴影。</v>
      </c>
    </row>
    <row r="26484">
      <c r="A26484" s="4" t="s">
        <v>33330</v>
      </c>
      <c r="B26484" s="4" t="s">
        <v>33334</v>
      </c>
      <c r="C26484" s="5" t="str">
        <f>IFERROR(__xludf.DUMMYFUNCTION("GOOGLETRANSLATE(B26484,""en"",""zh-CN"")"),"右边的一个男人捡起几盘。")</f>
        <v>右边的一个男人捡起几盘。</v>
      </c>
    </row>
    <row r="26485">
      <c r="A26485" s="4" t="s">
        <v>33335</v>
      </c>
      <c r="B26485" s="4" t="s">
        <v>33336</v>
      </c>
      <c r="C26485" s="5" t="str">
        <f>IFERROR(__xludf.DUMMYFUNCTION("GOOGLETRANSLATE(B26485,""en"",""zh-CN"")"),"一名穿着健身装备的女人站立，挂在一个很长的冲头袋上。")</f>
        <v>一名穿着健身装备的女人站立，挂在一个很长的冲头袋上。</v>
      </c>
    </row>
    <row r="26486">
      <c r="A26486" s="4" t="s">
        <v>33335</v>
      </c>
      <c r="B26486" s="4" t="s">
        <v>33337</v>
      </c>
      <c r="C26486" s="5" t="str">
        <f>IFERROR(__xludf.DUMMYFUNCTION("GOOGLETRANSLATE(B26486,""en"",""zh-CN"")"),"突然，那个女人跳了起来，跨越了袋子。")</f>
        <v>突然，那个女人跳了起来，跨越了袋子。</v>
      </c>
    </row>
    <row r="26487">
      <c r="A26487" s="4" t="s">
        <v>33335</v>
      </c>
      <c r="B26487" s="6" t="s">
        <v>33338</v>
      </c>
      <c r="C26487" s="5" t="str">
        <f>IFERROR(__xludf.DUMMYFUNCTION("GOOGLETRANSLATE(B26487,""en"",""zh-CN"")"),"慢慢地，那个女人在仍然跨过袋子的同时放下了她的身体上半部，而袋子和她一起摇摆时坐了5个坐着​​。")</f>
        <v>慢慢地，那个女人在仍然跨过袋子的同时放下了她的身体上半部，而袋子和她一起摇摆时坐了5个坐着​​。</v>
      </c>
    </row>
    <row r="26488">
      <c r="A26488" s="4" t="s">
        <v>33335</v>
      </c>
      <c r="B26488" s="4" t="s">
        <v>33339</v>
      </c>
      <c r="C26488" s="5" t="str">
        <f>IFERROR(__xludf.DUMMYFUNCTION("GOOGLETRANSLATE(B26488,""en"",""zh-CN"")"),"那个女人握住袋子，微笑，然后跳下。")</f>
        <v>那个女人握住袋子，微笑，然后跳下。</v>
      </c>
    </row>
    <row r="26489">
      <c r="A26489" s="4" t="s">
        <v>33340</v>
      </c>
      <c r="B26489" s="4" t="s">
        <v>33341</v>
      </c>
      <c r="C26489" s="5" t="str">
        <f>IFERROR(__xludf.DUMMYFUNCTION("GOOGLETRANSLATE(B26489,""en"",""zh-CN"")"),"一个女人和一个年轻的女孩在游泳池里游泳。")</f>
        <v>一个女人和一个年轻的女孩在游泳池里游泳。</v>
      </c>
    </row>
    <row r="26490">
      <c r="A26490" s="4" t="s">
        <v>33340</v>
      </c>
      <c r="B26490" s="4" t="s">
        <v>33342</v>
      </c>
      <c r="C26490" s="5" t="str">
        <f>IFERROR(__xludf.DUMMYFUNCTION("GOOGLETRANSLATE(B26490,""en"",""zh-CN"")"),"这个年轻的女孩在游泳时坚持那个女人。")</f>
        <v>这个年轻的女孩在游泳时坚持那个女人。</v>
      </c>
    </row>
    <row r="26491">
      <c r="A26491" s="4" t="s">
        <v>33340</v>
      </c>
      <c r="B26491" s="4" t="s">
        <v>33343</v>
      </c>
      <c r="C26491" s="5" t="str">
        <f>IFERROR(__xludf.DUMMYFUNCTION("GOOGLETRANSLATE(B26491,""en"",""zh-CN"")"),"那个年轻的女孩放手在女人附近游泳。")</f>
        <v>那个年轻的女孩放手在女人附近游泳。</v>
      </c>
    </row>
    <row r="26492">
      <c r="A26492" s="4" t="s">
        <v>33340</v>
      </c>
      <c r="B26492" s="4" t="s">
        <v>33344</v>
      </c>
      <c r="C26492" s="5" t="str">
        <f>IFERROR(__xludf.DUMMYFUNCTION("GOOGLETRANSLATE(B26492,""en"",""zh-CN"")"),"年轻的女孩和女人牵着手，游泳到游泳池的表面。")</f>
        <v>年轻的女孩和女人牵着手，游泳到游泳池的表面。</v>
      </c>
    </row>
    <row r="26493">
      <c r="A26493" s="4" t="s">
        <v>33340</v>
      </c>
      <c r="B26493" s="4" t="s">
        <v>33345</v>
      </c>
      <c r="C26493" s="5" t="str">
        <f>IFERROR(__xludf.DUMMYFUNCTION("GOOGLETRANSLATE(B26493,""en"",""zh-CN"")"),"女人坚持了女孩。")</f>
        <v>女人坚持了女孩。</v>
      </c>
    </row>
    <row r="26494">
      <c r="A26494" s="4" t="s">
        <v>33346</v>
      </c>
      <c r="B26494" s="4" t="s">
        <v>33347</v>
      </c>
      <c r="C26494" s="5" t="str">
        <f>IFERROR(__xludf.DUMMYFUNCTION("GOOGLETRANSLATE(B26494,""en"",""zh-CN"")"),"看到一大批人绕着一个沙坑奔跑，踢足球。")</f>
        <v>看到一大批人绕着一个沙坑奔跑，踢足球。</v>
      </c>
    </row>
    <row r="26495">
      <c r="A26495" s="4" t="s">
        <v>33346</v>
      </c>
      <c r="B26495" s="4" t="s">
        <v>33348</v>
      </c>
      <c r="C26495" s="5" t="str">
        <f>IFERROR(__xludf.DUMMYFUNCTION("GOOGLETRANSLATE(B26495,""en"",""zh-CN"")"),"人们继续互相踢足球，最后等待电话。")</f>
        <v>人们继续互相踢足球，最后等待电话。</v>
      </c>
    </row>
    <row r="26496">
      <c r="A26496" s="4" t="s">
        <v>33349</v>
      </c>
      <c r="B26496" s="4" t="s">
        <v>33350</v>
      </c>
      <c r="C26496" s="5" t="str">
        <f>IFERROR(__xludf.DUMMYFUNCTION("GOOGLETRANSLATE(B26496,""en"",""zh-CN"")"),"一个女人在她的腿上抱着一只小猫。")</f>
        <v>一个女人在她的腿上抱着一只小猫。</v>
      </c>
    </row>
    <row r="26497">
      <c r="A26497" s="4" t="s">
        <v>33349</v>
      </c>
      <c r="B26497" s="4" t="s">
        <v>33351</v>
      </c>
      <c r="C26497" s="5" t="str">
        <f>IFERROR(__xludf.DUMMYFUNCTION("GOOGLETRANSLATE(B26497,""en"",""zh-CN"")"),"一个人正在剪指甲上的猫。")</f>
        <v>一个人正在剪指甲上的猫。</v>
      </c>
    </row>
    <row r="26498">
      <c r="A26498" s="4" t="s">
        <v>33352</v>
      </c>
      <c r="B26498" s="4" t="s">
        <v>33353</v>
      </c>
      <c r="C26498" s="5" t="str">
        <f>IFERROR(__xludf.DUMMYFUNCTION("GOOGLETRANSLATE(B26498,""en"",""zh-CN"")"),"两名健美妇女坐在桌子旁。")</f>
        <v>两名健美妇女坐在桌子旁。</v>
      </c>
    </row>
    <row r="26499">
      <c r="A26499" s="4" t="s">
        <v>33352</v>
      </c>
      <c r="B26499" s="4" t="s">
        <v>33354</v>
      </c>
      <c r="C26499" s="5" t="str">
        <f>IFERROR(__xludf.DUMMYFUNCTION("GOOGLETRANSLATE(B26499,""en"",""zh-CN"")"),"他们正在摔跤，争夺胜利。")</f>
        <v>他们正在摔跤，争夺胜利。</v>
      </c>
    </row>
    <row r="26500">
      <c r="A26500" s="4" t="s">
        <v>33352</v>
      </c>
      <c r="B26500" s="4" t="s">
        <v>33355</v>
      </c>
      <c r="C26500" s="5" t="str">
        <f>IFERROR(__xludf.DUMMYFUNCTION("GOOGLETRANSLATE(B26500,""en"",""zh-CN"")"),"当有胜利者时，两个女人握手。")</f>
        <v>当有胜利者时，两个女人握手。</v>
      </c>
    </row>
    <row r="26501">
      <c r="A26501" s="4" t="s">
        <v>33356</v>
      </c>
      <c r="B26501" s="4" t="s">
        <v>33357</v>
      </c>
      <c r="C26501" s="5" t="str">
        <f>IFERROR(__xludf.DUMMYFUNCTION("GOOGLETRANSLATE(B26501,""en"",""zh-CN"")"),"绿色和白人团队脱颖而出。")</f>
        <v>绿色和白人团队脱颖而出。</v>
      </c>
    </row>
    <row r="26502">
      <c r="A26502" s="4" t="s">
        <v>33356</v>
      </c>
      <c r="B26502" s="4" t="s">
        <v>33358</v>
      </c>
      <c r="C26502" s="5" t="str">
        <f>IFERROR(__xludf.DUMMYFUNCTION("GOOGLETRANSLATE(B26502,""en"",""zh-CN"")"),"绿色和白人团队在拔河比赛中拉起了绳索。")</f>
        <v>绿色和白人团队在拔河比赛中拉起了绳索。</v>
      </c>
    </row>
    <row r="26503">
      <c r="A26503" s="4" t="s">
        <v>33356</v>
      </c>
      <c r="B26503" s="4" t="s">
        <v>33359</v>
      </c>
      <c r="C26503" s="5" t="str">
        <f>IFERROR(__xludf.DUMMYFUNCTION("GOOGLETRANSLATE(B26503,""en"",""zh-CN"")"),"红色和黑人队在拔河比赛中拉起了绳索。")</f>
        <v>红色和黑人队在拔河比赛中拉起了绳索。</v>
      </c>
    </row>
    <row r="26504">
      <c r="A26504" s="4" t="s">
        <v>33356</v>
      </c>
      <c r="B26504" s="4" t="s">
        <v>33360</v>
      </c>
      <c r="C26504" s="5" t="str">
        <f>IFERROR(__xludf.DUMMYFUNCTION("GOOGLETRANSLATE(B26504,""en"",""zh-CN"")"),"绿色和白人团队反复采取措施，观众欢呼雀跃。")</f>
        <v>绿色和白人团队反复采取措施，观众欢呼雀跃。</v>
      </c>
    </row>
    <row r="26505">
      <c r="A26505" s="4" t="s">
        <v>33356</v>
      </c>
      <c r="B26505" s="4" t="s">
        <v>33361</v>
      </c>
      <c r="C26505" s="5" t="str">
        <f>IFERROR(__xludf.DUMMYFUNCTION("GOOGLETRANSLATE(B26505,""en"",""zh-CN"")"),"绿色和白色的团队正拿着绳子。")</f>
        <v>绿色和白色的团队正拿着绳子。</v>
      </c>
    </row>
    <row r="26506">
      <c r="A26506" s="4" t="s">
        <v>33362</v>
      </c>
      <c r="B26506" s="4" t="s">
        <v>33363</v>
      </c>
      <c r="C26506" s="5" t="str">
        <f>IFERROR(__xludf.DUMMYFUNCTION("GOOGLETRANSLATE(B26506,""en"",""zh-CN"")"),"一个穿着黄色衬衫的男人在膝盖上分层地板上的水泥。")</f>
        <v>一个穿着黄色衬衫的男人在膝盖上分层地板上的水泥。</v>
      </c>
    </row>
    <row r="26507">
      <c r="A26507" s="4" t="s">
        <v>33362</v>
      </c>
      <c r="B26507" s="4" t="s">
        <v>33364</v>
      </c>
      <c r="C26507" s="5" t="str">
        <f>IFERROR(__xludf.DUMMYFUNCTION("GOOGLETRANSLATE(B26507,""en"",""zh-CN"")"),"他停了一秒钟，抬头。")</f>
        <v>他停了一秒钟，抬头。</v>
      </c>
    </row>
    <row r="26508">
      <c r="A26508" s="4" t="s">
        <v>33362</v>
      </c>
      <c r="B26508" s="4" t="s">
        <v>33365</v>
      </c>
      <c r="C26508" s="5" t="str">
        <f>IFERROR(__xludf.DUMMYFUNCTION("GOOGLETRANSLATE(B26508,""en"",""zh-CN"")"),"该男子回到用水泥分层地板。")</f>
        <v>该男子回到用水泥分层地板。</v>
      </c>
    </row>
    <row r="26509">
      <c r="A26509" s="4" t="s">
        <v>33366</v>
      </c>
      <c r="B26509" s="6" t="s">
        <v>33367</v>
      </c>
      <c r="C26509" s="5" t="str">
        <f>IFERROR(__xludf.DUMMYFUNCTION("GOOGLETRANSLATE(B26509,""en"",""zh-CN"")"),"看到一个小男孩从桶里拉出一把拖把，然后他将拖把推到地板上。")</f>
        <v>看到一个小男孩从桶里拉出一把拖把，然后他将拖把推到地板上。</v>
      </c>
    </row>
    <row r="26510">
      <c r="A26510" s="4" t="s">
        <v>33366</v>
      </c>
      <c r="B26510" s="6" t="s">
        <v>33368</v>
      </c>
      <c r="C26510" s="5" t="str">
        <f>IFERROR(__xludf.DUMMYFUNCTION("GOOGLETRANSLATE(B26510,""en"",""zh-CN"")"),"相机向远处的一个女人摇晃，男孩继续将拖把沿着地板推。")</f>
        <v>相机向远处的一个女人摇晃，男孩继续将拖把沿着地板推。</v>
      </c>
    </row>
    <row r="26511">
      <c r="A26511" s="4" t="s">
        <v>33369</v>
      </c>
      <c r="B26511" s="4" t="s">
        <v>33370</v>
      </c>
      <c r="C26511" s="5" t="str">
        <f>IFERROR(__xludf.DUMMYFUNCTION("GOOGLETRANSLATE(B26511,""en"",""zh-CN"")"),"一个人在圣诞树上散布树枝。")</f>
        <v>一个人在圣诞树上散布树枝。</v>
      </c>
    </row>
    <row r="26512">
      <c r="A26512" s="4" t="s">
        <v>33369</v>
      </c>
      <c r="B26512" s="4" t="s">
        <v>33371</v>
      </c>
      <c r="C26512" s="5" t="str">
        <f>IFERROR(__xludf.DUMMYFUNCTION("GOOGLETRANSLATE(B26512,""en"",""zh-CN"")"),"该人在树上悬垂着闪亮的金属丝。")</f>
        <v>该人在树上悬垂着闪亮的金属丝。</v>
      </c>
    </row>
    <row r="26513">
      <c r="A26513" s="4" t="s">
        <v>33369</v>
      </c>
      <c r="B26513" s="4" t="s">
        <v>33372</v>
      </c>
      <c r="C26513" s="5" t="str">
        <f>IFERROR(__xludf.DUMMYFUNCTION("GOOGLETRANSLATE(B26513,""en"",""zh-CN"")"),"该人将圣诞灯泡悬挂在树上。")</f>
        <v>该人将圣诞灯泡悬挂在树上。</v>
      </c>
    </row>
    <row r="26514">
      <c r="A26514" s="4" t="s">
        <v>33369</v>
      </c>
      <c r="B26514" s="4" t="s">
        <v>33373</v>
      </c>
      <c r="C26514" s="5" t="str">
        <f>IFERROR(__xludf.DUMMYFUNCTION("GOOGLETRANSLATE(B26514,""en"",""zh-CN"")"),"一个孩子来看，看着装饰树的人然后四处玩耍。")</f>
        <v>一个孩子来看，看着装饰树的人然后四处玩耍。</v>
      </c>
    </row>
    <row r="26515">
      <c r="A26515" s="4" t="s">
        <v>33369</v>
      </c>
      <c r="B26515" s="4" t="s">
        <v>33374</v>
      </c>
      <c r="C26515" s="5" t="str">
        <f>IFERROR(__xludf.DUMMYFUNCTION("GOOGLETRANSLATE(B26515,""en"",""zh-CN"")"),"该人卷起一块纯粹的织物来堆放。")</f>
        <v>该人卷起一块纯粹的织物来堆放。</v>
      </c>
    </row>
    <row r="26516">
      <c r="A26516" s="4" t="s">
        <v>33375</v>
      </c>
      <c r="B26516" s="4" t="s">
        <v>33376</v>
      </c>
      <c r="C26516" s="5" t="str">
        <f>IFERROR(__xludf.DUMMYFUNCTION("GOOGLETRANSLATE(B26516,""en"",""zh-CN"")"),"展示了斗牛舞台上的各种人群场景。")</f>
        <v>展示了斗牛舞台上的各种人群场景。</v>
      </c>
    </row>
    <row r="26517">
      <c r="A26517" s="4" t="s">
        <v>33375</v>
      </c>
      <c r="B26517" s="4" t="s">
        <v>33377</v>
      </c>
      <c r="C26517" s="5" t="str">
        <f>IFERROR(__xludf.DUMMYFUNCTION("GOOGLETRANSLATE(B26517,""en"",""zh-CN"")"),"斗牛士走进环区。")</f>
        <v>斗牛士走进环区。</v>
      </c>
    </row>
    <row r="26518">
      <c r="A26518" s="4" t="s">
        <v>33375</v>
      </c>
      <c r="B26518" s="4" t="s">
        <v>33378</v>
      </c>
      <c r="C26518" s="5" t="str">
        <f>IFERROR(__xludf.DUMMYFUNCTION("GOOGLETRANSLATE(B26518,""en"",""zh-CN"")"),"显示了一群马匹和骑手。")</f>
        <v>显示了一群马匹和骑手。</v>
      </c>
    </row>
    <row r="26519">
      <c r="A26519" s="4" t="s">
        <v>33375</v>
      </c>
      <c r="B26519" s="4" t="s">
        <v>33379</v>
      </c>
      <c r="C26519" s="5" t="str">
        <f>IFERROR(__xludf.DUMMYFUNCTION("GOOGLETRANSLATE(B26519,""en"",""zh-CN"")"),"显示了与公牛相互作用的斗牛士的场景。")</f>
        <v>显示了与公牛相互作用的斗牛士的场景。</v>
      </c>
    </row>
    <row r="26520">
      <c r="A26520" s="4" t="s">
        <v>33375</v>
      </c>
      <c r="B26520" s="4" t="s">
        <v>33380</v>
      </c>
      <c r="C26520" s="5" t="str">
        <f>IFERROR(__xludf.DUMMYFUNCTION("GOOGLETRANSLATE(B26520,""en"",""zh-CN"")"),"人群为斗牛士欢呼。")</f>
        <v>人群为斗牛士欢呼。</v>
      </c>
    </row>
    <row r="26521">
      <c r="A26521" s="4" t="s">
        <v>33375</v>
      </c>
      <c r="B26521" s="4" t="s">
        <v>33381</v>
      </c>
      <c r="C26521" s="5" t="str">
        <f>IFERROR(__xludf.DUMMYFUNCTION("GOOGLETRANSLATE(B26521,""en"",""zh-CN"")"),"斗牛士悬挂在人们的肩膀上并游行。")</f>
        <v>斗牛士悬挂在人们的肩膀上并游行。</v>
      </c>
    </row>
    <row r="26522">
      <c r="A26522" s="4" t="s">
        <v>33382</v>
      </c>
      <c r="B26522" s="4" t="s">
        <v>33383</v>
      </c>
      <c r="C26522" s="5" t="str">
        <f>IFERROR(__xludf.DUMMYFUNCTION("GOOGLETRANSLATE(B26522,""en"",""zh-CN"")"),"女人正靠在台球桌上，专注于球。")</f>
        <v>女人正靠在台球桌上，专注于球。</v>
      </c>
    </row>
    <row r="26523">
      <c r="A26523" s="4" t="s">
        <v>33382</v>
      </c>
      <c r="B26523" s="4" t="s">
        <v>33384</v>
      </c>
      <c r="C26523" s="5" t="str">
        <f>IFERROR(__xludf.DUMMYFUNCTION("GOOGLETRANSLATE(B26523,""en"",""zh-CN"")"),"那个女人击球并欢呼。")</f>
        <v>那个女人击球并欢呼。</v>
      </c>
    </row>
    <row r="26524">
      <c r="A26524" s="4" t="s">
        <v>33382</v>
      </c>
      <c r="B26524" s="4" t="s">
        <v>33385</v>
      </c>
      <c r="C26524" s="5" t="str">
        <f>IFERROR(__xludf.DUMMYFUNCTION("GOOGLETRANSLATE(B26524,""en"",""zh-CN"")"),"女人再次击球并开始跳。")</f>
        <v>女人再次击球并开始跳。</v>
      </c>
    </row>
    <row r="26525">
      <c r="A26525" s="4" t="s">
        <v>33386</v>
      </c>
      <c r="B26525" s="4" t="s">
        <v>33387</v>
      </c>
      <c r="C26525" s="5" t="str">
        <f>IFERROR(__xludf.DUMMYFUNCTION("GOOGLETRANSLATE(B26525,""en"",""zh-CN"")"),"一个紧身连衣裤中的男人正在吹着他的手，使自己热身开始跑步。")</f>
        <v>一个紧身连衣裤中的男人正在吹着他的手，使自己热身开始跑步。</v>
      </c>
    </row>
    <row r="26526">
      <c r="A26526" s="4" t="s">
        <v>33386</v>
      </c>
      <c r="B26526" s="4" t="s">
        <v>33388</v>
      </c>
      <c r="C26526" s="5" t="str">
        <f>IFERROR(__xludf.DUMMYFUNCTION("GOOGLETRANSLATE(B26526,""en"",""zh-CN"")"),"一旦他开始，他就会超级快速跳入沙子。")</f>
        <v>一旦他开始，他就会超级快速跳入沙子。</v>
      </c>
    </row>
    <row r="26527">
      <c r="A26527" s="4" t="s">
        <v>33386</v>
      </c>
      <c r="B26527" s="4" t="s">
        <v>33389</v>
      </c>
      <c r="C26527" s="5" t="str">
        <f>IFERROR(__xludf.DUMMYFUNCTION("GOOGLETRANSLATE(B26527,""en"",""zh-CN"")"),"他们显示了他的奔跑和慢动作的重放。")</f>
        <v>他们显示了他的奔跑和慢动作的重放。</v>
      </c>
    </row>
    <row r="26528">
      <c r="A26528" s="4" t="s">
        <v>33386</v>
      </c>
      <c r="B26528" s="4" t="s">
        <v>33390</v>
      </c>
      <c r="C26528" s="5" t="str">
        <f>IFERROR(__xludf.DUMMYFUNCTION("GOOGLETRANSLATE(B26528,""en"",""zh-CN"")"),"当他完成后，他在舞台上漫步，并在接着摄像机后面。")</f>
        <v>当他完成后，他在舞台上漫步，并在接着摄像机后面。</v>
      </c>
    </row>
    <row r="26529">
      <c r="A26529" s="4" t="s">
        <v>33391</v>
      </c>
      <c r="B26529" s="6" t="s">
        <v>33392</v>
      </c>
      <c r="C26529" s="5" t="str">
        <f>IFERROR(__xludf.DUMMYFUNCTION("GOOGLETRANSLATE(B26529,""en"",""zh-CN"")"),"一个小女孩站在厨房里，开始将柠檬挤进水碗中，一个人站在她身边。")</f>
        <v>一个小女孩站在厨房里，开始将柠檬挤进水碗中，一个人站在她身边。</v>
      </c>
    </row>
    <row r="26530">
      <c r="A26530" s="4" t="s">
        <v>33391</v>
      </c>
      <c r="B26530" s="6" t="s">
        <v>33393</v>
      </c>
      <c r="C26530" s="5" t="str">
        <f>IFERROR(__xludf.DUMMYFUNCTION("GOOGLETRANSLATE(B26530,""en"",""zh-CN"")"),"当一个女人走过厨房，把东西放在柜台上时，小女孩吮吸着手指和微笑。")</f>
        <v>当一个女人走过厨房，把东西放在柜台上时，小女孩吮吸着手指和微笑。</v>
      </c>
    </row>
    <row r="26531">
      <c r="A26531" s="4" t="s">
        <v>33391</v>
      </c>
      <c r="B26531" s="4" t="s">
        <v>33394</v>
      </c>
      <c r="C26531" s="5" t="str">
        <f>IFERROR(__xludf.DUMMYFUNCTION("GOOGLETRANSLATE(B26531,""en"",""zh-CN"")"),"小女孩张开嘴站在厨房里，玩着头发。")</f>
        <v>小女孩张开嘴站在厨房里，玩着头发。</v>
      </c>
    </row>
    <row r="26532">
      <c r="A26532" s="4" t="s">
        <v>33391</v>
      </c>
      <c r="B26532" s="6" t="s">
        <v>33395</v>
      </c>
      <c r="C26532" s="5" t="str">
        <f>IFERROR(__xludf.DUMMYFUNCTION("GOOGLETRANSLATE(B26532,""en"",""zh-CN"")"),"这个女孩开始用一碗水果在柜台前坐着坐在柜台前，然后与镜头交谈，再次在厨房里行走，然后在水碗中放含水的柠檬，女人开始帮助她。")</f>
        <v>这个女孩开始用一碗水果在柜台前坐着坐在柜台前，然后与镜头交谈，再次在厨房里行走，然后在水碗中放含水的柠檬，女人开始帮助她。</v>
      </c>
    </row>
    <row r="26533">
      <c r="A26533" s="4" t="s">
        <v>33391</v>
      </c>
      <c r="B26533" s="6" t="s">
        <v>33396</v>
      </c>
      <c r="C26533" s="5" t="str">
        <f>IFERROR(__xludf.DUMMYFUNCTION("GOOGLETRANSLATE(B26533,""en"",""zh-CN"")"),"女人在水槽里清理她的手，女孩在厨房里走路，不断挤柠檬。")</f>
        <v>女人在水槽里清理她的手，女孩在厨房里走路，不断挤柠檬。</v>
      </c>
    </row>
    <row r="26534">
      <c r="A26534" s="4" t="s">
        <v>33397</v>
      </c>
      <c r="B26534" s="4" t="s">
        <v>33398</v>
      </c>
      <c r="C26534" s="5" t="str">
        <f>IFERROR(__xludf.DUMMYFUNCTION("GOOGLETRANSLATE(B26534,""en"",""zh-CN"")"),"看到一个人使用机器和其他帮助的人将地板放在地面上。")</f>
        <v>看到一个人使用机器和其他帮助的人将地板放在地面上。</v>
      </c>
    </row>
    <row r="26535">
      <c r="A26535" s="4" t="s">
        <v>33397</v>
      </c>
      <c r="B26535" s="6" t="s">
        <v>33399</v>
      </c>
      <c r="C26535" s="5" t="str">
        <f>IFERROR(__xludf.DUMMYFUNCTION("GOOGLETRANSLATE(B26535,""en"",""zh-CN"")"),"显示了一些人向下推地板并用火炬将其固定在适当的位置。")</f>
        <v>显示了一些人向下推地板并用火炬将其固定在适当的位置。</v>
      </c>
    </row>
    <row r="26536">
      <c r="A26536" s="4" t="s">
        <v>33397</v>
      </c>
      <c r="B26536" s="6" t="s">
        <v>33400</v>
      </c>
      <c r="C26536" s="5" t="str">
        <f>IFERROR(__xludf.DUMMYFUNCTION("GOOGLETRANSLATE(B26536,""en"",""zh-CN"")"),"该男子继续在热垫上展示蒸汽和完成的屋顶时继续工作。")</f>
        <v>该男子继续在热垫上展示蒸汽和完成的屋顶时继续工作。</v>
      </c>
    </row>
    <row r="26537">
      <c r="A26537" s="4" t="s">
        <v>33401</v>
      </c>
      <c r="B26537" s="4" t="s">
        <v>33402</v>
      </c>
      <c r="C26537" s="5" t="str">
        <f>IFERROR(__xludf.DUMMYFUNCTION("GOOGLETRANSLATE(B26537,""en"",""zh-CN"")"),"一条大浪正朝着海岸坠毁。")</f>
        <v>一条大浪正朝着海岸坠毁。</v>
      </c>
    </row>
    <row r="26538">
      <c r="A26538" s="4" t="s">
        <v>33401</v>
      </c>
      <c r="B26538" s="4" t="s">
        <v>33403</v>
      </c>
      <c r="C26538" s="5" t="str">
        <f>IFERROR(__xludf.DUMMYFUNCTION("GOOGLETRANSLATE(B26538,""en"",""zh-CN"")"),"一名冲浪者在水中撕裂。")</f>
        <v>一名冲浪者在水中撕裂。</v>
      </c>
    </row>
    <row r="26539">
      <c r="A26539" s="4" t="s">
        <v>33401</v>
      </c>
      <c r="B26539" s="4" t="s">
        <v>33404</v>
      </c>
      <c r="C26539" s="5" t="str">
        <f>IFERROR(__xludf.DUMMYFUNCTION("GOOGLETRANSLATE(B26539,""en"",""zh-CN"")"),"出现了彩虹，然后我们看到海滩上的船只，海浪中有更多的冲浪者。")</f>
        <v>出现了彩虹，然后我们看到海滩上的船只，海浪中有更多的冲浪者。</v>
      </c>
    </row>
    <row r="26540">
      <c r="A26540" s="4" t="s">
        <v>33405</v>
      </c>
      <c r="B26540" s="4" t="s">
        <v>33406</v>
      </c>
      <c r="C26540" s="5" t="str">
        <f>IFERROR(__xludf.DUMMYFUNCTION("GOOGLETRANSLATE(B26540,""en"",""zh-CN"")"),"一位新闻记者正在谈论托儿所持有的当地筹款人。")</f>
        <v>一位新闻记者正在谈论托儿所持有的当地筹款人。</v>
      </c>
    </row>
    <row r="26541">
      <c r="A26541" s="4" t="s">
        <v>33405</v>
      </c>
      <c r="B26541" s="4" t="s">
        <v>33407</v>
      </c>
      <c r="C26541" s="5" t="str">
        <f>IFERROR(__xludf.DUMMYFUNCTION("GOOGLETRANSLATE(B26541,""en"",""zh-CN"")"),"有几个人聚集在一起来支持这一事业。")</f>
        <v>有几个人聚集在一起来支持这一事业。</v>
      </c>
    </row>
    <row r="26542">
      <c r="A26542" s="4" t="s">
        <v>33405</v>
      </c>
      <c r="B26542" s="6" t="s">
        <v>33408</v>
      </c>
      <c r="C26542" s="5" t="str">
        <f>IFERROR(__xludf.DUMMYFUNCTION("GOOGLETRANSLATE(B26542,""en"",""zh-CN"")"),"建立了一个柠檬水摊位，人们正在购买柠檬水以捐赠钱来捐款。")</f>
        <v>建立了一个柠檬水摊位，人们正在购买柠檬水以捐赠钱来捐款。</v>
      </c>
    </row>
    <row r="26543">
      <c r="A26543" s="4" t="s">
        <v>33405</v>
      </c>
      <c r="B26543" s="4" t="s">
        <v>33409</v>
      </c>
      <c r="C26543" s="5" t="str">
        <f>IFERROR(__xludf.DUMMYFUNCTION("GOOGLETRANSLATE(B26543,""en"",""zh-CN"")"),"其中一位父母正在与新闻记者谈论筹款人。")</f>
        <v>其中一位父母正在与新闻记者谈论筹款人。</v>
      </c>
    </row>
    <row r="26544">
      <c r="A26544" s="4" t="s">
        <v>33405</v>
      </c>
      <c r="B26544" s="4" t="s">
        <v>33410</v>
      </c>
      <c r="C26544" s="5" t="str">
        <f>IFERROR(__xludf.DUMMYFUNCTION("GOOGLETRANSLATE(B26544,""en"",""zh-CN"")"),"当他们喝柠檬水时，又有三个父母站着聊天。")</f>
        <v>当他们喝柠檬水时，又有三个父母站着聊天。</v>
      </c>
    </row>
    <row r="26545">
      <c r="A26545" s="4" t="s">
        <v>33405</v>
      </c>
      <c r="B26545" s="4" t="s">
        <v>33411</v>
      </c>
      <c r="C26545" s="5" t="str">
        <f>IFERROR(__xludf.DUMMYFUNCTION("GOOGLETRANSLATE(B26545,""en"",""zh-CN"")"),"为女孩，汉娜（Hannah）的照片显示了一张照片。")</f>
        <v>为女孩，汉娜（Hannah）的照片显示了一张照片。</v>
      </c>
    </row>
    <row r="26546">
      <c r="A26546" s="4" t="s">
        <v>33412</v>
      </c>
      <c r="B26546" s="4" t="s">
        <v>33413</v>
      </c>
      <c r="C26546" s="5" t="str">
        <f>IFERROR(__xludf.DUMMYFUNCTION("GOOGLETRANSLATE(B26546,""en"",""zh-CN"")"),"啦啦队用手欢呼。")</f>
        <v>啦啦队用手欢呼。</v>
      </c>
    </row>
    <row r="26547">
      <c r="A26547" s="4" t="s">
        <v>33412</v>
      </c>
      <c r="B26547" s="4" t="s">
        <v>33414</v>
      </c>
      <c r="C26547" s="5" t="str">
        <f>IFERROR(__xludf.DUMMYFUNCTION("GOOGLETRANSLATE(B26547,""en"",""zh-CN"")"),"他们走在地板上，站着不动。")</f>
        <v>他们走在地板上，站着不动。</v>
      </c>
    </row>
    <row r="26548">
      <c r="A26548" s="4" t="s">
        <v>33412</v>
      </c>
      <c r="B26548" s="4" t="s">
        <v>33415</v>
      </c>
      <c r="C26548" s="5" t="str">
        <f>IFERROR(__xludf.DUMMYFUNCTION("GOOGLETRANSLATE(B26548,""en"",""zh-CN"")"),"他们表演了一个欢呼的领导习惯。")</f>
        <v>他们表演了一个欢呼的领导习惯。</v>
      </c>
    </row>
    <row r="26549">
      <c r="A26549" s="4" t="s">
        <v>33412</v>
      </c>
      <c r="B26549" s="4" t="s">
        <v>33416</v>
      </c>
      <c r="C26549" s="5" t="str">
        <f>IFERROR(__xludf.DUMMYFUNCTION("GOOGLETRANSLATE(B26549,""en"",""zh-CN"")"),"四个女孩被举起并握住腿。")</f>
        <v>四个女孩被举起并握住腿。</v>
      </c>
    </row>
    <row r="26550">
      <c r="A26550" s="4" t="s">
        <v>33412</v>
      </c>
      <c r="B26550" s="4" t="s">
        <v>33417</v>
      </c>
      <c r="C26550" s="5" t="str">
        <f>IFERROR(__xludf.DUMMYFUNCTION("GOOGLETRANSLATE(B26550,""en"",""zh-CN"")"),"两个女孩在空中抬起，两个女孩被翻转，然后两个女孩抬起两个女孩。")</f>
        <v>两个女孩在空中抬起，两个女孩被翻转，然后两个女孩抬起两个女孩。</v>
      </c>
    </row>
    <row r="26551">
      <c r="A26551" s="4" t="s">
        <v>33412</v>
      </c>
      <c r="B26551" s="4" t="s">
        <v>33418</v>
      </c>
      <c r="C26551" s="5" t="str">
        <f>IFERROR(__xludf.DUMMYFUNCTION("GOOGLETRANSLATE(B26551,""en"",""zh-CN"")"),"四个女孩被举起，握住另外两个女孩，增加了三分之一。")</f>
        <v>四个女孩被举起，握住另外两个女孩，增加了三分之一。</v>
      </c>
    </row>
    <row r="26552">
      <c r="A26552" s="4" t="s">
        <v>33412</v>
      </c>
      <c r="B26552" s="4" t="s">
        <v>33419</v>
      </c>
      <c r="C26552" s="5" t="str">
        <f>IFERROR(__xludf.DUMMYFUNCTION("GOOGLETRANSLATE(B26552,""en"",""zh-CN"")"),"前面的两个女孩举起了一个红色标志。")</f>
        <v>前面的两个女孩举起了一个红色标志。</v>
      </c>
    </row>
    <row r="26553">
      <c r="A26553" s="4" t="s">
        <v>33412</v>
      </c>
      <c r="B26553" s="4" t="s">
        <v>33420</v>
      </c>
      <c r="C26553" s="5" t="str">
        <f>IFERROR(__xludf.DUMMYFUNCTION("GOOGLETRANSLATE(B26553,""en"",""zh-CN"")"),"三个女孩被抬起，他们每个人都抱着另一个女孩。")</f>
        <v>三个女孩被抬起，他们每个人都抱着另一个女孩。</v>
      </c>
    </row>
    <row r="26554">
      <c r="A26554" s="4" t="s">
        <v>33421</v>
      </c>
      <c r="B26554" s="4" t="s">
        <v>33422</v>
      </c>
      <c r="C26554" s="5" t="str">
        <f>IFERROR(__xludf.DUMMYFUNCTION("GOOGLETRANSLATE(B26554,""en"",""zh-CN"")"),"几个人在桌上足球比赛中互相比赛。")</f>
        <v>几个人在桌上足球比赛中互相比赛。</v>
      </c>
    </row>
    <row r="26555">
      <c r="A26555" s="4" t="s">
        <v>33421</v>
      </c>
      <c r="B26555" s="4" t="s">
        <v>33423</v>
      </c>
      <c r="C26555" s="5" t="str">
        <f>IFERROR(__xludf.DUMMYFUNCTION("GOOGLETRANSLATE(B26555,""en"",""zh-CN"")"),"两个人在后台走过。")</f>
        <v>两个人在后台走过。</v>
      </c>
    </row>
    <row r="26556">
      <c r="A26556" s="4" t="s">
        <v>33421</v>
      </c>
      <c r="B26556" s="4" t="s">
        <v>33424</v>
      </c>
      <c r="C26556" s="5" t="str">
        <f>IFERROR(__xludf.DUMMYFUNCTION("GOOGLETRANSLATE(B26556,""en"",""zh-CN"")"),"另外两个人在后台走过。")</f>
        <v>另外两个人在后台走过。</v>
      </c>
    </row>
    <row r="26557">
      <c r="A26557" s="4" t="s">
        <v>33425</v>
      </c>
      <c r="B26557" s="4" t="s">
        <v>33426</v>
      </c>
      <c r="C26557" s="5" t="str">
        <f>IFERROR(__xludf.DUMMYFUNCTION("GOOGLETRANSLATE(B26557,""en"",""zh-CN"")"),"他的母亲有两个小孩站在厨房洗碗中。")</f>
        <v>他的母亲有两个小孩站在厨房洗碗中。</v>
      </c>
    </row>
    <row r="26558">
      <c r="A26558" s="4" t="s">
        <v>33425</v>
      </c>
      <c r="B26558" s="4" t="s">
        <v>33427</v>
      </c>
      <c r="C26558" s="5" t="str">
        <f>IFERROR(__xludf.DUMMYFUNCTION("GOOGLETRANSLATE(B26558,""en"",""zh-CN"")"),"小女孩拿起蓝色海绵清洗了她的盘子，然后下来开始走来走去。")</f>
        <v>小女孩拿起蓝色海绵清洗了她的盘子，然后下来开始走来走去。</v>
      </c>
    </row>
    <row r="26559">
      <c r="A26559" s="4" t="s">
        <v>33425</v>
      </c>
      <c r="B26559" s="6" t="s">
        <v>33428</v>
      </c>
      <c r="C26559" s="5" t="str">
        <f>IFERROR(__xludf.DUMMYFUNCTION("GOOGLETRANSLATE(B26559,""en"",""zh-CN"")"),"母子都仍然在水槽里，她站在他的旁边，也帮助他清洁他的菜。")</f>
        <v>母子都仍然在水槽里，她站在他的旁边，也帮助他清洁他的菜。</v>
      </c>
    </row>
    <row r="26560">
      <c r="A26560" s="4" t="s">
        <v>33429</v>
      </c>
      <c r="B26560" s="6" t="s">
        <v>33430</v>
      </c>
      <c r="C26560" s="5" t="str">
        <f>IFERROR(__xludf.DUMMYFUNCTION("GOOGLETRANSLATE(B26560,""en"",""zh-CN"")"),"一群人，儿童和家庭生活，旅行和冰鱼在巨大的冰和积雪覆盖的土地上。")</f>
        <v>一群人，儿童和家庭生活，旅行和冰鱼在巨大的冰和积雪覆盖的土地上。</v>
      </c>
    </row>
    <row r="26561">
      <c r="A26561" s="4" t="s">
        <v>33429</v>
      </c>
      <c r="B26561" s="6" t="s">
        <v>33431</v>
      </c>
      <c r="C26561" s="5" t="str">
        <f>IFERROR(__xludf.DUMMYFUNCTION("GOOGLETRANSLATE(B26561,""en"",""zh-CN"")"),"一群男人和一个女人在镜头上与镜头交谈，同时展示了在冰上冰洞的冰洞中捕获和钓鱼的鱼。")</f>
        <v>一群男人和一个女人在镜头上与镜头交谈，同时展示了在冰上冰洞的冰洞中捕获和钓鱼的鱼。</v>
      </c>
    </row>
    <row r="26562">
      <c r="A26562" s="4" t="s">
        <v>33429</v>
      </c>
      <c r="B26562" s="4" t="s">
        <v>33432</v>
      </c>
      <c r="C26562" s="5" t="str">
        <f>IFERROR(__xludf.DUMMYFUNCTION("GOOGLETRANSLATE(B26562,""en"",""zh-CN"")"),"几个人在冰洞里钓鱼，附近有孩子，而其他人则越过冰块。")</f>
        <v>几个人在冰洞里钓鱼，附近有孩子，而其他人则越过冰块。</v>
      </c>
    </row>
    <row r="26563">
      <c r="A26563" s="4" t="s">
        <v>33429</v>
      </c>
      <c r="B26563" s="6" t="s">
        <v>33433</v>
      </c>
      <c r="C26563" s="5" t="str">
        <f>IFERROR(__xludf.DUMMYFUNCTION("GOOGLETRANSLATE(B26563,""en"",""zh-CN"")"),"展示了鱼类，该地区的本地动物，厕所，冰上的汽车，拿着鱼的人，刚抓到的鱼和冰洞，鱼与狗一起拉雪雪橇。")</f>
        <v>展示了鱼类，该地区的本地动物，厕所，冰上的汽车，拿着鱼的人，刚抓到的鱼和冰洞，鱼与狗一起拉雪雪橇。</v>
      </c>
    </row>
    <row r="26564">
      <c r="A26564" s="4" t="s">
        <v>33434</v>
      </c>
      <c r="B26564" s="4" t="s">
        <v>33435</v>
      </c>
      <c r="C26564" s="5" t="str">
        <f>IFERROR(__xludf.DUMMYFUNCTION("GOOGLETRANSLATE(B26564,""en"",""zh-CN"")"),"看到一个女孩坐在户外，在与镜头说话时举起一瓶防晒霜。")</f>
        <v>看到一个女孩坐在户外，在与镜头说话时举起一瓶防晒霜。</v>
      </c>
    </row>
    <row r="26565">
      <c r="A26565" s="4" t="s">
        <v>33434</v>
      </c>
      <c r="B26565" s="4" t="s">
        <v>33436</v>
      </c>
      <c r="C26565" s="5" t="str">
        <f>IFERROR(__xludf.DUMMYFUNCTION("GOOGLETRANSLATE(B26565,""en"",""zh-CN"")"),"然后，女孩摇晃瓶子，将其倒入她的手中，然后将其擦在她的身体上。")</f>
        <v>然后，女孩摇晃瓶子，将其倒入她的手中，然后将其擦在她的身体上。</v>
      </c>
    </row>
    <row r="26566">
      <c r="A26566" s="4" t="s">
        <v>33437</v>
      </c>
      <c r="B26566" s="4" t="s">
        <v>33438</v>
      </c>
      <c r="C26566" s="5" t="str">
        <f>IFERROR(__xludf.DUMMYFUNCTION("GOOGLETRANSLATE(B26566,""en"",""zh-CN"")"),"显示了一条大轨道，有几个人一次骑在管子上。")</f>
        <v>显示了一条大轨道，有几个人一次骑在管子上。</v>
      </c>
    </row>
    <row r="26567">
      <c r="A26567" s="4" t="s">
        <v>33437</v>
      </c>
      <c r="B26567" s="4" t="s">
        <v>33439</v>
      </c>
      <c r="C26567" s="5" t="str">
        <f>IFERROR(__xludf.DUMMYFUNCTION("GOOGLETRANSLATE(B26567,""en"",""zh-CN"")"),"一个男人记录了一个试管的闭合，并将其推入站在雪中的女人。")</f>
        <v>一个男人记录了一个试管的闭合，并将其推入站在雪中的女人。</v>
      </c>
    </row>
    <row r="26568">
      <c r="A26568" s="4" t="s">
        <v>33437</v>
      </c>
      <c r="B26568" s="4" t="s">
        <v>33440</v>
      </c>
      <c r="C26568" s="5" t="str">
        <f>IFERROR(__xludf.DUMMYFUNCTION("GOOGLETRANSLATE(B26568,""en"",""zh-CN"")"),"她开始在手机上说话，同一剪辑再次以慢动作显示。")</f>
        <v>她开始在手机上说话，同一剪辑再次以慢动作显示。</v>
      </c>
    </row>
    <row r="26569">
      <c r="A26569" s="4" t="s">
        <v>33441</v>
      </c>
      <c r="B26569" s="4" t="s">
        <v>33442</v>
      </c>
      <c r="C26569" s="5" t="str">
        <f>IFERROR(__xludf.DUMMYFUNCTION("GOOGLETRANSLATE(B26569,""en"",""zh-CN"")"),"一个女人说话展示鞋子，然后用布清洗。")</f>
        <v>一个女人说话展示鞋子，然后用布清洗。</v>
      </c>
    </row>
    <row r="26570">
      <c r="A26570" s="4" t="s">
        <v>33441</v>
      </c>
      <c r="B26570" s="4" t="s">
        <v>33443</v>
      </c>
      <c r="C26570" s="5" t="str">
        <f>IFERROR(__xludf.DUMMYFUNCTION("GOOGLETRANSLATE(B26570,""en"",""zh-CN"")"),"女人把油放在布上，擦洗鞋子。")</f>
        <v>女人把油放在布上，擦洗鞋子。</v>
      </c>
    </row>
    <row r="26571">
      <c r="A26571" s="4" t="s">
        <v>33441</v>
      </c>
      <c r="B26571" s="4" t="s">
        <v>33444</v>
      </c>
      <c r="C26571" s="5" t="str">
        <f>IFERROR(__xludf.DUMMYFUNCTION("GOOGLETRANSLATE(B26571,""en"",""zh-CN"")"),"然后，女人服用鞋抛光剂并涂在鞋子上。")</f>
        <v>然后，女人服用鞋抛光剂并涂在鞋子上。</v>
      </c>
    </row>
    <row r="26572">
      <c r="A26572" s="4" t="s">
        <v>33445</v>
      </c>
      <c r="B26572" s="4" t="s">
        <v>33446</v>
      </c>
      <c r="C26572" s="5" t="str">
        <f>IFERROR(__xludf.DUMMYFUNCTION("GOOGLETRANSLATE(B26572,""en"",""zh-CN"")"),"一个女人在海洋中伞兵。")</f>
        <v>一个女人在海洋中伞兵。</v>
      </c>
    </row>
    <row r="26573">
      <c r="A26573" s="4" t="s">
        <v>33445</v>
      </c>
      <c r="B26573" s="4" t="s">
        <v>33447</v>
      </c>
      <c r="C26573" s="5" t="str">
        <f>IFERROR(__xludf.DUMMYFUNCTION("GOOGLETRANSLATE(B26573,""en"",""zh-CN"")"),"她经历了艰难的海浪。")</f>
        <v>她经历了艰难的海浪。</v>
      </c>
    </row>
    <row r="26574">
      <c r="A26574" s="4" t="s">
        <v>33445</v>
      </c>
      <c r="B26574" s="4" t="s">
        <v>33448</v>
      </c>
      <c r="C26574" s="5" t="str">
        <f>IFERROR(__xludf.DUMMYFUNCTION("GOOGLETRANSLATE(B26574,""en"",""zh-CN"")"),"她绕过一波大浪，这把她撞倒了。")</f>
        <v>她绕过一波大浪，这把她撞倒了。</v>
      </c>
    </row>
    <row r="26575">
      <c r="A26575" s="4" t="s">
        <v>33449</v>
      </c>
      <c r="B26575" s="4" t="s">
        <v>33450</v>
      </c>
      <c r="C26575" s="5" t="str">
        <f>IFERROR(__xludf.DUMMYFUNCTION("GOOGLETRANSLATE(B26575,""en"",""zh-CN"")"),"看到一名年轻女子戴着帽子站在法庭上，拿着网球球拍。")</f>
        <v>看到一名年轻女子戴着帽子站在法庭上，拿着网球球拍。</v>
      </c>
    </row>
    <row r="26576">
      <c r="A26576" s="4" t="s">
        <v>33449</v>
      </c>
      <c r="B26576" s="4" t="s">
        <v>33451</v>
      </c>
      <c r="C26576" s="5" t="str">
        <f>IFERROR(__xludf.DUMMYFUNCTION("GOOGLETRANSLATE(B26576,""en"",""zh-CN"")"),"然后，女孩将球扔向空中，然后将球撞到远处。")</f>
        <v>然后，女孩将球扔向空中，然后将球撞到远处。</v>
      </c>
    </row>
    <row r="26577">
      <c r="A26577" s="4" t="s">
        <v>33449</v>
      </c>
      <c r="B26577" s="4" t="s">
        <v>33452</v>
      </c>
      <c r="C26577" s="5" t="str">
        <f>IFERROR(__xludf.DUMMYFUNCTION("GOOGLETRANSLATE(B26577,""en"",""zh-CN"")"),"她回头看着相机。")</f>
        <v>她回头看着相机。</v>
      </c>
    </row>
    <row r="26578">
      <c r="A26578" s="4" t="s">
        <v>33453</v>
      </c>
      <c r="B26578" s="4" t="s">
        <v>33454</v>
      </c>
      <c r="C26578" s="5" t="str">
        <f>IFERROR(__xludf.DUMMYFUNCTION("GOOGLETRANSLATE(B26578,""en"",""zh-CN"")"),"看到汽车的近距离接着，人们走进框架并洗车。")</f>
        <v>看到汽车的近距离接着，人们走进框架并洗车。</v>
      </c>
    </row>
    <row r="26579">
      <c r="A26579" s="4" t="s">
        <v>33453</v>
      </c>
      <c r="B26579" s="4" t="s">
        <v>33455</v>
      </c>
      <c r="C26579" s="5" t="str">
        <f>IFERROR(__xludf.DUMMYFUNCTION("GOOGLETRANSLATE(B26579,""en"",""zh-CN"")"),"人们清洁外部以及内部，然后将汽车滚动到外面。")</f>
        <v>人们清洁外部以及内部，然后将汽车滚动到外面。</v>
      </c>
    </row>
    <row r="26580">
      <c r="A26580" s="4" t="s">
        <v>33453</v>
      </c>
      <c r="B26580" s="4" t="s">
        <v>33456</v>
      </c>
      <c r="C26580" s="5" t="str">
        <f>IFERROR(__xludf.DUMMYFUNCTION("GOOGLETRANSLATE(B26580,""en"",""zh-CN"")"),"他们将汽车停放，然后继续将其擦拭，然后将其干燥。")</f>
        <v>他们将汽车停放，然后继续将其擦拭，然后将其干燥。</v>
      </c>
    </row>
    <row r="26581">
      <c r="A26581" s="4" t="s">
        <v>33457</v>
      </c>
      <c r="B26581" s="4" t="s">
        <v>33458</v>
      </c>
      <c r="C26581" s="5" t="str">
        <f>IFERROR(__xludf.DUMMYFUNCTION("GOOGLETRANSLATE(B26581,""en"",""zh-CN"")"),"河岸上的人们在河上乘坐河流和筏子上有波动的水。")</f>
        <v>河岸上的人们在河上乘坐河流和筏子上有波动的水。</v>
      </c>
    </row>
    <row r="26582">
      <c r="A26582" s="4" t="s">
        <v>33457</v>
      </c>
      <c r="B26582" s="4" t="s">
        <v>33459</v>
      </c>
      <c r="C26582" s="5" t="str">
        <f>IFERROR(__xludf.DUMMYFUNCTION("GOOGLETRANSLATE(B26582,""en"",""zh-CN"")"),"两个人在红色的独木舟上。")</f>
        <v>两个人在红色的独木舟上。</v>
      </c>
    </row>
    <row r="26583">
      <c r="A26583" s="4" t="s">
        <v>33457</v>
      </c>
      <c r="B26583" s="4" t="s">
        <v>33460</v>
      </c>
      <c r="C26583" s="5" t="str">
        <f>IFERROR(__xludf.DUMMYFUNCTION("GOOGLETRANSLATE(B26583,""en"",""zh-CN"")"),"一群a子在河上走，同时也穿着独木舟的人。")</f>
        <v>一群a子在河上走，同时也穿着独木舟的人。</v>
      </c>
    </row>
    <row r="26584">
      <c r="A26584" s="4" t="s">
        <v>33457</v>
      </c>
      <c r="B26584" s="4" t="s">
        <v>33461</v>
      </c>
      <c r="C26584" s="5" t="str">
        <f>IFERROR(__xludf.DUMMYFUNCTION("GOOGLETRANSLATE(B26584,""en"",""zh-CN"")"),"after徒到达平静的水域，然后一支球队庆祝胜利。")</f>
        <v>after徒到达平静的水域，然后一支球队庆祝胜利。</v>
      </c>
    </row>
    <row r="26585">
      <c r="A26585" s="4" t="s">
        <v>33462</v>
      </c>
      <c r="B26585" s="4" t="s">
        <v>33463</v>
      </c>
      <c r="C26585" s="5" t="str">
        <f>IFERROR(__xludf.DUMMYFUNCTION("GOOGLETRANSLATE(B26585,""en"",""zh-CN"")"),"一个摄像机朝一个男人坐着抽烟。")</f>
        <v>一个摄像机朝一个男人坐着抽烟。</v>
      </c>
    </row>
    <row r="26586">
      <c r="A26586" s="4" t="s">
        <v>33462</v>
      </c>
      <c r="B26586" s="4" t="s">
        <v>33464</v>
      </c>
      <c r="C26586" s="5" t="str">
        <f>IFERROR(__xludf.DUMMYFUNCTION("GOOGLETRANSLATE(B26586,""en"",""zh-CN"")"),"另一个男人乘车走过去，开始挖掘垃圾。")</f>
        <v>另一个男人乘车走过去，开始挖掘垃圾。</v>
      </c>
    </row>
    <row r="26587">
      <c r="A26587" s="4" t="s">
        <v>33462</v>
      </c>
      <c r="B26587" s="6" t="s">
        <v>33465</v>
      </c>
      <c r="C26587" s="5" t="str">
        <f>IFERROR(__xludf.DUMMYFUNCTION("GOOGLETRANSLATE(B26587,""en"",""zh-CN"")"),"吸烟的人开始与无家可归的人谈论生活如何糟透了，以及他如何与无家可归的人建立联系。")</f>
        <v>吸烟的人开始与无家可归的人谈论生活如何糟透了，以及他如何与无家可归的人建立联系。</v>
      </c>
    </row>
    <row r="26588">
      <c r="A26588" s="4" t="s">
        <v>33466</v>
      </c>
      <c r="B26588" s="4" t="s">
        <v>33467</v>
      </c>
      <c r="C26588" s="5" t="str">
        <f>IFERROR(__xludf.DUMMYFUNCTION("GOOGLETRANSLATE(B26588,""en"",""zh-CN"")"),"我们看到户外图像，然后在厨房里一个男人。")</f>
        <v>我们看到户外图像，然后在厨房里一个男人。</v>
      </c>
    </row>
    <row r="26589">
      <c r="A26589" s="4" t="s">
        <v>33466</v>
      </c>
      <c r="B26589" s="4" t="s">
        <v>33468</v>
      </c>
      <c r="C26589" s="5" t="str">
        <f>IFERROR(__xludf.DUMMYFUNCTION("GOOGLETRANSLATE(B26589,""en"",""zh-CN"")"),"我们在桌子上看到成分。")</f>
        <v>我们在桌子上看到成分。</v>
      </c>
    </row>
    <row r="26590">
      <c r="A26590" s="4" t="s">
        <v>33466</v>
      </c>
      <c r="B26590" s="4" t="s">
        <v>33469</v>
      </c>
      <c r="C26590" s="5" t="str">
        <f>IFERROR(__xludf.DUMMYFUNCTION("GOOGLETRANSLATE(B26590,""en"",""zh-CN"")"),"该男子将成分混合在搅拌碗中。")</f>
        <v>该男子将成分混合在搅拌碗中。</v>
      </c>
    </row>
    <row r="26591">
      <c r="A26591" s="4" t="s">
        <v>33466</v>
      </c>
      <c r="B26591" s="4" t="s">
        <v>33470</v>
      </c>
      <c r="C26591" s="5" t="str">
        <f>IFERROR(__xludf.DUMMYFUNCTION("GOOGLETRANSLATE(B26591,""en"",""zh-CN"")"),"该男子搅拌混合物，然后将混合器重新打开。")</f>
        <v>该男子搅拌混合物，然后将混合器重新打开。</v>
      </c>
    </row>
    <row r="26592">
      <c r="A26592" s="4" t="s">
        <v>33466</v>
      </c>
      <c r="B26592" s="4" t="s">
        <v>33471</v>
      </c>
      <c r="C26592" s="5" t="str">
        <f>IFERROR(__xludf.DUMMYFUNCTION("GOOGLETRANSLATE(B26592,""en"",""zh-CN"")"),"该男子将混合物混合在一起，然后将其倒入蛋糕锅中。")</f>
        <v>该男子将混合物混合在一起，然后将其倒入蛋糕锅中。</v>
      </c>
    </row>
    <row r="26593">
      <c r="A26593" s="4" t="s">
        <v>33466</v>
      </c>
      <c r="B26593" s="4" t="s">
        <v>33472</v>
      </c>
      <c r="C26593" s="5" t="str">
        <f>IFERROR(__xludf.DUMMYFUNCTION("GOOGLETRANSLATE(B26593,""en"",""zh-CN"")"),"该男子敲打锅，然后将蛋糕放在烤箱中。")</f>
        <v>该男子敲打锅，然后将蛋糕放在烤箱中。</v>
      </c>
    </row>
    <row r="26594">
      <c r="A26594" s="4" t="s">
        <v>33466</v>
      </c>
      <c r="B26594" s="4" t="s">
        <v>33473</v>
      </c>
      <c r="C26594" s="5" t="str">
        <f>IFERROR(__xludf.DUMMYFUNCTION("GOOGLETRANSLATE(B26594,""en"",""zh-CN"")"),"我们看到炊具，纸杯蛋糕和男人烹饪。")</f>
        <v>我们看到炊具，纸杯蛋糕和男人烹饪。</v>
      </c>
    </row>
    <row r="26595">
      <c r="A26595" s="4" t="s">
        <v>33466</v>
      </c>
      <c r="B26595" s="4" t="s">
        <v>33474</v>
      </c>
      <c r="C26595" s="5" t="str">
        <f>IFERROR(__xludf.DUMMYFUNCTION("GOOGLETRANSLATE(B26595,""en"",""zh-CN"")"),"然后查看明亮的端屏幕。")</f>
        <v>然后查看明亮的端屏幕。</v>
      </c>
    </row>
    <row r="26596">
      <c r="A26596" s="4" t="s">
        <v>33475</v>
      </c>
      <c r="B26596" s="6" t="s">
        <v>33476</v>
      </c>
      <c r="C26596" s="5" t="str">
        <f>IFERROR(__xludf.DUMMYFUNCTION("GOOGLETRANSLATE(B26596,""en"",""zh-CN"")"),"出现了一个黑色介绍屏幕，其中包含白色单词，上面写着“名为“体操元素平行条”，然后是“音乐：夜间您昨晚在哪里”，最后一个屏幕包括外国单词一个电子邮件和网站。")</f>
        <v>出现了一个黑色介绍屏幕，其中包含白色单词，上面写着“名为“体操元素平行条”，然后是“音乐：夜间您昨晚在哪里”，最后一个屏幕包括外国单词一个电子邮件和网站。</v>
      </c>
    </row>
    <row r="26597">
      <c r="A26597" s="4" t="s">
        <v>33475</v>
      </c>
      <c r="B26597" s="6" t="s">
        <v>33477</v>
      </c>
      <c r="C26597" s="5" t="str">
        <f>IFERROR(__xludf.DUMMYFUNCTION("GOOGLETRANSLATE(B26597,""en"",""zh-CN"")"),"在体育馆的不同平行条上，不同的男人的各种短剪辑正在倒立，在观众看时摇摆并做其他各种技巧。")</f>
        <v>在体育馆的不同平行条上，不同的男人的各种短剪辑正在倒立，在观众看时摇摆并做其他各种技巧。</v>
      </c>
    </row>
    <row r="26598">
      <c r="A26598" s="4" t="s">
        <v>33475</v>
      </c>
      <c r="B26598" s="6" t="s">
        <v>33478</v>
      </c>
      <c r="C26598" s="5" t="str">
        <f>IFERROR(__xludf.DUMMYFUNCTION("GOOGLETRANSLATE(B26598,""en"",""zh-CN"")"),"平行酒吧上的最后一个人似乎正在健身房练习，没有大量的观众在寻找。")</f>
        <v>平行酒吧上的最后一个人似乎正在健身房练习，没有大量的观众在寻找。</v>
      </c>
    </row>
    <row r="26599">
      <c r="A26599" s="4" t="s">
        <v>33479</v>
      </c>
      <c r="B26599" s="4" t="s">
        <v>33480</v>
      </c>
      <c r="C26599" s="5" t="str">
        <f>IFERROR(__xludf.DUMMYFUNCTION("GOOGLETRANSLATE(B26599,""en"",""zh-CN"")"),"一群人在晴天进行简单的步骤有氧运动。")</f>
        <v>一群人在晴天进行简单的步骤有氧运动。</v>
      </c>
    </row>
    <row r="26600">
      <c r="A26600" s="4" t="s">
        <v>33479</v>
      </c>
      <c r="B26600" s="6" t="s">
        <v>33481</v>
      </c>
      <c r="C26600" s="5" t="str">
        <f>IFERROR(__xludf.DUMMYFUNCTION("GOOGLETRANSLATE(B26600,""en"",""zh-CN"")"),"有氧运动教练将班级切换到新的有氧运动中，其中小组在他们面前跳出手臂，并在采取措施时进行鼓掌。")</f>
        <v>有氧运动教练将班级切换到新的有氧运动中，其中小组在他们面前跳出手臂，并在采取措施时进行鼓掌。</v>
      </c>
    </row>
    <row r="26601">
      <c r="A26601" s="4" t="s">
        <v>33479</v>
      </c>
      <c r="B26601" s="4" t="s">
        <v>33482</v>
      </c>
      <c r="C26601" s="5" t="str">
        <f>IFERROR(__xludf.DUMMYFUNCTION("GOOGLETRANSLATE(B26601,""en"",""zh-CN"")"),"他们的下一步行动是在迈出一步时将手放在天空中。")</f>
        <v>他们的下一步行动是在迈出一步时将手放在天空中。</v>
      </c>
    </row>
    <row r="26602">
      <c r="A26602" s="4" t="s">
        <v>33483</v>
      </c>
      <c r="B26602" s="4" t="s">
        <v>33484</v>
      </c>
      <c r="C26602" s="5" t="str">
        <f>IFERROR(__xludf.DUMMYFUNCTION("GOOGLETRANSLATE(B26602,""en"",""zh-CN"")"),"男人正站在屏幕前与镜头说话。")</f>
        <v>男人正站在屏幕前与镜头说话。</v>
      </c>
    </row>
    <row r="26603">
      <c r="A26603" s="4" t="s">
        <v>33483</v>
      </c>
      <c r="B26603" s="4" t="s">
        <v>33485</v>
      </c>
      <c r="C26603" s="5" t="str">
        <f>IFERROR(__xludf.DUMMYFUNCTION("GOOGLETRANSLATE(B26603,""en"",""zh-CN"")"),"一个女人正在和一只猫一起玩，它的桌子上的钉子剪了猫的指甲。")</f>
        <v>一个女人正在和一只猫一起玩，它的桌子上的钉子剪了猫的指甲。</v>
      </c>
    </row>
    <row r="26604">
      <c r="A26604" s="4" t="s">
        <v>33486</v>
      </c>
      <c r="B26604" s="4" t="s">
        <v>33487</v>
      </c>
      <c r="C26604" s="5" t="str">
        <f>IFERROR(__xludf.DUMMYFUNCTION("GOOGLETRANSLATE(B26604,""en"",""zh-CN"")"),"当公牛把她撞倒时，看到一名妇女骑着公牛，其他人跑进去帮助。")</f>
        <v>当公牛把她撞倒时，看到一名妇女骑着公牛，其他人跑进去帮助。</v>
      </c>
    </row>
    <row r="26605">
      <c r="A26605" s="4" t="s">
        <v>33486</v>
      </c>
      <c r="B26605" s="6" t="s">
        <v>33488</v>
      </c>
      <c r="C26605" s="5" t="str">
        <f>IFERROR(__xludf.DUMMYFUNCTION("GOOGLETRANSLATE(B26605,""en"",""zh-CN"")"),"显示了更多的人试图嘲笑公牛，并通过受伤和其他帮助而结束。")</f>
        <v>显示了更多的人试图嘲笑公牛，并通过受伤和其他帮助而结束。</v>
      </c>
    </row>
    <row r="26606">
      <c r="A26606" s="4" t="s">
        <v>33489</v>
      </c>
      <c r="B26606" s="6" t="s">
        <v>33490</v>
      </c>
      <c r="C26606" s="5" t="str">
        <f>IFERROR(__xludf.DUMMYFUNCTION("GOOGLETRANSLATE(B26606,""en"",""zh-CN"")"),"显示器的近距离显示，后面是一个女人坐在框架上并与相机交谈。")</f>
        <v>显示器的近距离显示，后面是一个女人坐在框架上并与相机交谈。</v>
      </c>
    </row>
    <row r="26607">
      <c r="A26607" s="4" t="s">
        <v>33489</v>
      </c>
      <c r="B26607" s="4" t="s">
        <v>33491</v>
      </c>
      <c r="C26607" s="5" t="str">
        <f>IFERROR(__xludf.DUMMYFUNCTION("GOOGLETRANSLATE(B26607,""en"",""zh-CN"")"),"然后，她捡起长笛，开始弹奏，并停下来在两者之间说话。")</f>
        <v>然后，她捡起长笛，开始弹奏，并停下来在两者之间说话。</v>
      </c>
    </row>
    <row r="26608">
      <c r="A26608" s="4" t="s">
        <v>33489</v>
      </c>
      <c r="B26608" s="4" t="s">
        <v>33492</v>
      </c>
      <c r="C26608" s="5" t="str">
        <f>IFERROR(__xludf.DUMMYFUNCTION("GOOGLETRANSLATE(B26608,""en"",""zh-CN"")"),"她再次演奏乐器，停下来放下它并与镜头说话。")</f>
        <v>她再次演奏乐器，停下来放下它并与镜头说话。</v>
      </c>
    </row>
    <row r="26609">
      <c r="A26609" s="4" t="s">
        <v>33493</v>
      </c>
      <c r="B26609" s="6" t="s">
        <v>33494</v>
      </c>
      <c r="C26609" s="5" t="str">
        <f>IFERROR(__xludf.DUMMYFUNCTION("GOOGLETRANSLATE(B26609,""en"",""zh-CN"")"),"出现了一个黑屏，并迅速白色的单词飞过它，他们说“这里是为全屏设置的”。")</f>
        <v>出现了一个黑屏，并迅速白色的单词飞过它，他们说“这里是为全屏设置的”。</v>
      </c>
    </row>
    <row r="26610">
      <c r="A26610" s="4" t="s">
        <v>33493</v>
      </c>
      <c r="B26610" s="6" t="s">
        <v>33495</v>
      </c>
      <c r="C26610" s="5" t="str">
        <f>IFERROR(__xludf.DUMMYFUNCTION("GOOGLETRANSLATE(B26610,""en"",""zh-CN"")"),"出现了一座白雪皑皑的山的图片，屏幕上的白色单词说“ Hartel Productions”。")</f>
        <v>出现了一座白雪皑皑的山的图片，屏幕上的白色单词说“ Hartel Productions”。</v>
      </c>
    </row>
    <row r="26611">
      <c r="A26611" s="4" t="s">
        <v>33493</v>
      </c>
      <c r="B26611" s="6" t="s">
        <v>33496</v>
      </c>
      <c r="C26611" s="5" t="str">
        <f>IFERROR(__xludf.DUMMYFUNCTION("GOOGLETRANSLATE(B26611,""en"",""zh-CN"")"),"一个木板出现在一个室外区域，它说的是“蛤beach县公园欢迎北天​​停车”，然后用黄色的文字出现，说“狗步行”。")</f>
        <v>一个木板出现在一个室外区域，它说的是“蛤beach县公园欢迎北天​​停车”，然后用黄色的文字出现，说“狗步行”。</v>
      </c>
    </row>
    <row r="26612">
      <c r="A26612" s="4" t="s">
        <v>33493</v>
      </c>
      <c r="B26612" s="6" t="s">
        <v>33497</v>
      </c>
      <c r="C26612" s="5" t="str">
        <f>IFERROR(__xludf.DUMMYFUNCTION("GOOGLETRANSLATE(B26612,""en"",""zh-CN"")"),"各种各样的人与狗一起散步或独自沿着道路行走，以及该地区的各种镜头以及它们的标题。")</f>
        <v>各种各样的人与狗一起散步或独自沿着道路行走，以及该地区的各种镜头以及它们的标题。</v>
      </c>
    </row>
    <row r="26613">
      <c r="A26613" s="4" t="s">
        <v>33493</v>
      </c>
      <c r="B26613" s="6" t="s">
        <v>33498</v>
      </c>
      <c r="C26613" s="5" t="str">
        <f>IFERROR(__xludf.DUMMYFUNCTION("GOOGLETRANSLATE(B26613,""en"",""zh-CN"")"),"最后，仍然有狗被装上车，汽车上的狗，一个男人用步行者装载汽车，一个闭合的标志，然后黄色的单词显示为“末端”，然后淡化为黑色。")</f>
        <v>最后，仍然有狗被装上车，汽车上的狗，一个男人用步行者装载汽车，一个闭合的标志，然后黄色的单词显示为“末端”，然后淡化为黑色。</v>
      </c>
    </row>
    <row r="26614">
      <c r="A26614" s="4" t="s">
        <v>33499</v>
      </c>
      <c r="B26614" s="4" t="s">
        <v>33500</v>
      </c>
      <c r="C26614" s="5" t="str">
        <f>IFERROR(__xludf.DUMMYFUNCTION("GOOGLETRANSLATE(B26614,""en"",""zh-CN"")"),"一位女士跪在灌木丛和谈话前。")</f>
        <v>一位女士跪在灌木丛和谈话前。</v>
      </c>
    </row>
    <row r="26615">
      <c r="A26615" s="4" t="s">
        <v>33499</v>
      </c>
      <c r="B26615" s="4" t="s">
        <v>33501</v>
      </c>
      <c r="C26615" s="5" t="str">
        <f>IFERROR(__xludf.DUMMYFUNCTION("GOOGLETRANSLATE(B26615,""en"",""zh-CN"")"),"女士使用园艺剪来修剪灌木丛。")</f>
        <v>女士使用园艺剪来修剪灌木丛。</v>
      </c>
    </row>
    <row r="26616">
      <c r="A26616" s="4" t="s">
        <v>33499</v>
      </c>
      <c r="B26616" s="4" t="s">
        <v>33502</v>
      </c>
      <c r="C26616" s="5" t="str">
        <f>IFERROR(__xludf.DUMMYFUNCTION("GOOGLETRANSLATE(B26616,""en"",""zh-CN"")"),"女士站着并修剪灌木丛。")</f>
        <v>女士站着并修剪灌木丛。</v>
      </c>
    </row>
    <row r="26617">
      <c r="A26617" s="4" t="s">
        <v>33499</v>
      </c>
      <c r="B26617" s="4" t="s">
        <v>33503</v>
      </c>
      <c r="C26617" s="5" t="str">
        <f>IFERROR(__xludf.DUMMYFUNCTION("GOOGLETRANSLATE(B26617,""en"",""zh-CN"")"),"女士再次跪下，继续与镜头交谈。")</f>
        <v>女士再次跪下，继续与镜头交谈。</v>
      </c>
    </row>
    <row r="26618">
      <c r="A26618" s="4" t="s">
        <v>33504</v>
      </c>
      <c r="B26618" s="6" t="s">
        <v>33505</v>
      </c>
      <c r="C26618" s="5" t="str">
        <f>IFERROR(__xludf.DUMMYFUNCTION("GOOGLETRANSLATE(B26618,""en"",""zh-CN"")"),"一个小女孩正站在她的浴室里，展示她如何用漱口水冲洗嘴。")</f>
        <v>一个小女孩正站在她的浴室里，展示她如何用漱口水冲洗嘴。</v>
      </c>
    </row>
    <row r="26619">
      <c r="A26619" s="4" t="s">
        <v>33504</v>
      </c>
      <c r="B26619" s="6" t="s">
        <v>33506</v>
      </c>
      <c r="C26619" s="5" t="str">
        <f>IFERROR(__xludf.DUMMYFUNCTION("GOOGLETRANSLATE(B26619,""en"",""zh-CN"")"),"她从杯子里s着一口李斯特琳的嘴，在哥哥录像带时将其握在嘴里几秒钟。")</f>
        <v>她从杯子里s着一口李斯特琳的嘴，在哥哥录像带时将其握在嘴里几秒钟。</v>
      </c>
    </row>
    <row r="26620">
      <c r="A26620" s="4" t="s">
        <v>33504</v>
      </c>
      <c r="B26620" s="4" t="s">
        <v>33507</v>
      </c>
      <c r="C26620" s="5" t="str">
        <f>IFERROR(__xludf.DUMMYFUNCTION("GOOGLETRANSLATE(B26620,""en"",""zh-CN"")"),"另一个小女孩走在她身后，看着她的冲洗。")</f>
        <v>另一个小女孩走在她身后，看着她的冲洗。</v>
      </c>
    </row>
    <row r="26621">
      <c r="A26621" s="4" t="s">
        <v>33504</v>
      </c>
      <c r="B26621" s="4" t="s">
        <v>33508</v>
      </c>
      <c r="C26621" s="5" t="str">
        <f>IFERROR(__xludf.DUMMYFUNCTION("GOOGLETRANSLATE(B26621,""en"",""zh-CN"")"),"她长时间将漱口水握在嘴里，然后将其吐在水槽中。")</f>
        <v>她长时间将漱口水握在嘴里，然后将其吐在水槽中。</v>
      </c>
    </row>
    <row r="26622">
      <c r="A26622" s="4" t="s">
        <v>33509</v>
      </c>
      <c r="B26622" s="4" t="s">
        <v>33510</v>
      </c>
      <c r="C26622" s="5" t="str">
        <f>IFERROR(__xludf.DUMMYFUNCTION("GOOGLETRANSLATE(B26622,""en"",""zh-CN"")"),"看到一个男人用靠近他的脸的相机说话。")</f>
        <v>看到一个男人用靠近他的脸的相机说话。</v>
      </c>
    </row>
    <row r="26623">
      <c r="A26623" s="4" t="s">
        <v>33509</v>
      </c>
      <c r="B26623" s="4" t="s">
        <v>33511</v>
      </c>
      <c r="C26623" s="5" t="str">
        <f>IFERROR(__xludf.DUMMYFUNCTION("GOOGLETRANSLATE(B26623,""en"",""zh-CN"")"),"另一个戴着头盔的人站在附近。")</f>
        <v>另一个戴着头盔的人站在附近。</v>
      </c>
    </row>
    <row r="26624">
      <c r="A26624" s="4" t="s">
        <v>33509</v>
      </c>
      <c r="B26624" s="4" t="s">
        <v>33512</v>
      </c>
      <c r="C26624" s="5" t="str">
        <f>IFERROR(__xludf.DUMMYFUNCTION("GOOGLETRANSLATE(B26624,""en"",""zh-CN"")"),"在男人说话旁边的一辆汽车中看到第三个人。")</f>
        <v>在男人说话旁边的一辆汽车中看到第三个人。</v>
      </c>
    </row>
    <row r="26625">
      <c r="A26625" s="4" t="s">
        <v>33509</v>
      </c>
      <c r="B26625" s="4" t="s">
        <v>33513</v>
      </c>
      <c r="C26625" s="5" t="str">
        <f>IFERROR(__xludf.DUMMYFUNCTION("GOOGLETRANSLATE(B26625,""en"",""zh-CN"")"),"戴着头盔的那个人在滑板上沿着街上开始。")</f>
        <v>戴着头盔的那个人在滑板上沿着街上开始。</v>
      </c>
    </row>
    <row r="26626">
      <c r="A26626" s="4" t="s">
        <v>33509</v>
      </c>
      <c r="B26626" s="4" t="s">
        <v>33514</v>
      </c>
      <c r="C26626" s="5" t="str">
        <f>IFERROR(__xludf.DUMMYFUNCTION("GOOGLETRANSLATE(B26626,""en"",""zh-CN"")"),"该男子在滑板上沿着几个非常陡峭的山丘走了下来。")</f>
        <v>该男子在滑板上沿着几个非常陡峭的山丘走了下来。</v>
      </c>
    </row>
    <row r="26627">
      <c r="A26627" s="4" t="s">
        <v>33509</v>
      </c>
      <c r="B26627" s="4" t="s">
        <v>33515</v>
      </c>
      <c r="C26627" s="5" t="str">
        <f>IFERROR(__xludf.DUMMYFUNCTION("GOOGLETRANSLATE(B26627,""en"",""zh-CN"")"),"该男子骑着停车标志。")</f>
        <v>该男子骑着停车标志。</v>
      </c>
    </row>
    <row r="26628">
      <c r="A26628" s="4" t="s">
        <v>33509</v>
      </c>
      <c r="B26628" s="4" t="s">
        <v>33516</v>
      </c>
      <c r="C26628" s="5" t="str">
        <f>IFERROR(__xludf.DUMMYFUNCTION("GOOGLETRANSLATE(B26628,""en"",""zh-CN"")"),"带着相机和车上的男人在滑板上拍摄男人。")</f>
        <v>带着相机和车上的男人在滑板上拍摄男人。</v>
      </c>
    </row>
    <row r="26629">
      <c r="A26629" s="4" t="s">
        <v>33509</v>
      </c>
      <c r="B26629" s="4" t="s">
        <v>33517</v>
      </c>
      <c r="C26629" s="5" t="str">
        <f>IFERROR(__xludf.DUMMYFUNCTION("GOOGLETRANSLATE(B26629,""en"",""zh-CN"")"),"停车标志之后，汽车在滑板上经过该男子。")</f>
        <v>停车标志之后，汽车在滑板上经过该男子。</v>
      </c>
    </row>
    <row r="26630">
      <c r="A26630" s="4" t="s">
        <v>33509</v>
      </c>
      <c r="B26630" s="4" t="s">
        <v>33518</v>
      </c>
      <c r="C26630" s="5" t="str">
        <f>IFERROR(__xludf.DUMMYFUNCTION("GOOGLETRANSLATE(B26630,""en"",""zh-CN"")"),"汽车停下来，滑板上的那个人停下来，越过他们，拿起滑板。")</f>
        <v>汽车停下来，滑板上的那个人停下来，越过他们，拿起滑板。</v>
      </c>
    </row>
    <row r="26631">
      <c r="A26631" s="4" t="s">
        <v>33519</v>
      </c>
      <c r="B26631" s="4" t="s">
        <v>33520</v>
      </c>
      <c r="C26631" s="5" t="str">
        <f>IFERROR(__xludf.DUMMYFUNCTION("GOOGLETRANSLATE(B26631,""en"",""zh-CN"")"),"一个吉他和麦克风的人表演音乐。")</f>
        <v>一个吉他和麦克风的人表演音乐。</v>
      </c>
    </row>
    <row r="26632">
      <c r="A26632" s="4" t="s">
        <v>33519</v>
      </c>
      <c r="B26632" s="4" t="s">
        <v>33521</v>
      </c>
      <c r="C26632" s="5" t="str">
        <f>IFERROR(__xludf.DUMMYFUNCTION("GOOGLETRANSLATE(B26632,""en"",""zh-CN"")"),"带有白色吉他图形图形和网站的黑屏出现。")</f>
        <v>带有白色吉他图形图形和网站的黑屏出现。</v>
      </c>
    </row>
    <row r="26633">
      <c r="A26633" s="4" t="s">
        <v>33519</v>
      </c>
      <c r="B26633" s="4" t="s">
        <v>33522</v>
      </c>
      <c r="C26633" s="5" t="str">
        <f>IFERROR(__xludf.DUMMYFUNCTION("GOOGLETRANSLATE(B26633,""en"",""zh-CN"")"),"该男子停止演奏，然后用白色吉他的黑屏和网站再次出现。")</f>
        <v>该男子停止演奏，然后用白色吉他的黑屏和网站再次出现。</v>
      </c>
    </row>
    <row r="26634">
      <c r="A26634" s="4" t="s">
        <v>33523</v>
      </c>
      <c r="B26634" s="4" t="s">
        <v>33524</v>
      </c>
      <c r="C26634" s="5" t="str">
        <f>IFERROR(__xludf.DUMMYFUNCTION("GOOGLETRANSLATE(B26634,""en"",""zh-CN"")"),"看到一名运动员走进一个圆圈，准备自己投掷射门。")</f>
        <v>看到一名运动员走进一个圆圈，准备自己投掷射门。</v>
      </c>
    </row>
    <row r="26635">
      <c r="A26635" s="4" t="s">
        <v>33523</v>
      </c>
      <c r="B26635" s="6" t="s">
        <v>33525</v>
      </c>
      <c r="C26635" s="5" t="str">
        <f>IFERROR(__xludf.DUMMYFUNCTION("GOOGLETRANSLATE(B26635,""en"",""zh-CN"")"),"该男子在旋转后几次将物体扔了几次，几个人在场边看。")</f>
        <v>该男子在旋转后几次将物体扔了几次，几个人在场边看。</v>
      </c>
    </row>
    <row r="26636">
      <c r="A26636" s="4" t="s">
        <v>33526</v>
      </c>
      <c r="B26636" s="4" t="s">
        <v>33527</v>
      </c>
      <c r="C26636" s="5" t="str">
        <f>IFERROR(__xludf.DUMMYFUNCTION("GOOGLETRANSLATE(B26636,""en"",""zh-CN"")"),"徽标和大师润滑电视单词出现在黑屏上。")</f>
        <v>徽标和大师润滑电视单词出现在黑屏上。</v>
      </c>
    </row>
    <row r="26637">
      <c r="A26637" s="4" t="s">
        <v>33526</v>
      </c>
      <c r="B26637" s="6" t="s">
        <v>33528</v>
      </c>
      <c r="C26637" s="5" t="str">
        <f>IFERROR(__xludf.DUMMYFUNCTION("GOOGLETRANSLATE(B26637,""en"",""zh-CN"")"),"一个年轻人正站立并在业务中聊天，而其他年轻人正在清洁并详细说明银色车内和外部。")</f>
        <v>一个年轻人正站立并在业务中聊天，而其他年轻人正在清洁并详细说明银色车内和外部。</v>
      </c>
    </row>
    <row r="26638">
      <c r="A26638" s="4" t="s">
        <v>33526</v>
      </c>
      <c r="B26638" s="4" t="s">
        <v>33529</v>
      </c>
      <c r="C26638" s="5" t="str">
        <f>IFERROR(__xludf.DUMMYFUNCTION("GOOGLETRANSLATE(B26638,""en"",""zh-CN"")"),"现在清洁的车辆从车库里撤出，并远离业务。")</f>
        <v>现在清洁的车辆从车库里撤出，并远离业务。</v>
      </c>
    </row>
    <row r="26639">
      <c r="A26639" s="4" t="s">
        <v>33526</v>
      </c>
      <c r="B26639" s="4" t="s">
        <v>33530</v>
      </c>
      <c r="C26639" s="5" t="str">
        <f>IFERROR(__xludf.DUMMYFUNCTION("GOOGLETRANSLATE(B26639,""en"",""zh-CN"")"),"现在，车辆停了下来，两个年轻人用干布将其擦拭。")</f>
        <v>现在，车辆停了下来，两个年轻人用干布将其擦拭。</v>
      </c>
    </row>
    <row r="26640">
      <c r="A26640" s="4" t="s">
        <v>33526</v>
      </c>
      <c r="B26640" s="4" t="s">
        <v>33531</v>
      </c>
      <c r="C26640" s="5" t="str">
        <f>IFERROR(__xludf.DUMMYFUNCTION("GOOGLETRANSLATE(B26640,""en"",""zh-CN"")"),"年轻人独奏的更多剪辑以及他们先前重播的所有清洁工作。")</f>
        <v>年轻人独奏的更多剪辑以及他们先前重播的所有清洁工作。</v>
      </c>
    </row>
    <row r="26641">
      <c r="A26641" s="4" t="s">
        <v>33526</v>
      </c>
      <c r="B26641" s="4" t="s">
        <v>33532</v>
      </c>
      <c r="C26641" s="5" t="str">
        <f>IFERROR(__xludf.DUMMYFUNCTION("GOOGLETRANSLATE(B26641,""en"",""zh-CN"")"),"红色，白色和蓝色的旗帜，带有“洗手式洗车”一词。")</f>
        <v>红色，白色和蓝色的旗帜，带有“洗手式洗车”一词。</v>
      </c>
    </row>
    <row r="26642">
      <c r="A26642" s="4" t="s">
        <v>33526</v>
      </c>
      <c r="B26642" s="6" t="s">
        <v>33533</v>
      </c>
      <c r="C26642" s="5" t="str">
        <f>IFERROR(__xludf.DUMMYFUNCTION("GOOGLETRANSLATE(B26642,""en"",""zh-CN"")"),"当男人出现的单词出现并阅读“ MasterLube洗手间750 Broadwater Ave（406）294-5530）时，这位年轻人的更多剪辑和清洁循环的重播和清洁循环的重播。")</f>
        <v>当男人出现的单词出现并阅读“ MasterLube洗手间750 Broadwater Ave（406）294-5530）时，这位年轻人的更多剪辑和清洁循环的重播和清洁循环的重播。</v>
      </c>
    </row>
    <row r="26643">
      <c r="A26643" s="4" t="s">
        <v>33526</v>
      </c>
      <c r="B26643" s="4" t="s">
        <v>33534</v>
      </c>
      <c r="C26643" s="5" t="str">
        <f>IFERROR(__xludf.DUMMYFUNCTION("GOOGLETRANSLATE(B26643,""en"",""zh-CN"")"),"旗帜再次显示，它逐渐淡化为带有徽标和单词MasterLube单词的黑屏。")</f>
        <v>旗帜再次显示，它逐渐淡化为带有徽标和单词MasterLube单词的黑屏。</v>
      </c>
    </row>
    <row r="26644">
      <c r="A26644" s="4" t="s">
        <v>33535</v>
      </c>
      <c r="B26644" s="6" t="s">
        <v>33536</v>
      </c>
      <c r="C26644" s="5" t="str">
        <f>IFERROR(__xludf.DUMMYFUNCTION("GOOGLETRANSLATE(B26644,""en"",""zh-CN"")"),"屏幕上的许多健身人士闪烁，徽标la肌肉迅速闪烁。")</f>
        <v>屏幕上的许多健身人士闪烁，徽标la肌肉迅速闪烁。</v>
      </c>
    </row>
    <row r="26645">
      <c r="A26645" s="4" t="s">
        <v>33535</v>
      </c>
      <c r="B26645" s="6" t="s">
        <v>33537</v>
      </c>
      <c r="C26645" s="5" t="str">
        <f>IFERROR(__xludf.DUMMYFUNCTION("GOOGLETRANSLATE(B26645,""en"",""zh-CN"")"),"一群人出现，他们正在骑自行车踩踏板，正在做有氧运动车间，而前面戴着头带的男人一直在谈论。")</f>
        <v>一群人出现，他们正在骑自行车踩踏板，正在做有氧运动车间，而前面戴着头带的男人一直在谈论。</v>
      </c>
    </row>
    <row r="26646">
      <c r="A26646" s="4" t="s">
        <v>33535</v>
      </c>
      <c r="B26646" s="6" t="s">
        <v>33538</v>
      </c>
      <c r="C26646" s="5" t="str">
        <f>IFERROR(__xludf.DUMMYFUNCTION("GOOGLETRANSLATE(B26646,""en"",""zh-CN"")"),"出现了Outro屏幕，这是一个白色的屏幕，就像一开始一样鞋子鞋子的鞋子鞋子和“更多访问Lamuscle Dot TV”的单词。")</f>
        <v>出现了Outro屏幕，这是一个白色的屏幕，就像一开始一样鞋子鞋子的鞋子鞋子和“更多访问Lamuscle Dot TV”的单词。</v>
      </c>
    </row>
    <row r="26647">
      <c r="A26647" s="4" t="s">
        <v>33539</v>
      </c>
      <c r="B26647" s="4" t="s">
        <v>33540</v>
      </c>
      <c r="C26647" s="5" t="str">
        <f>IFERROR(__xludf.DUMMYFUNCTION("GOOGLETRANSLATE(B26647,""en"",""zh-CN"")"),"一个男人正在完成魔方。")</f>
        <v>一个男人正在完成魔方。</v>
      </c>
    </row>
    <row r="26648">
      <c r="A26648" s="4" t="s">
        <v>33539</v>
      </c>
      <c r="B26648" s="4" t="s">
        <v>33541</v>
      </c>
      <c r="C26648" s="5" t="str">
        <f>IFERROR(__xludf.DUMMYFUNCTION("GOOGLETRANSLATE(B26648,""en"",""zh-CN"")"),"一个计时器坐在他旁边的桌子上。")</f>
        <v>一个计时器坐在他旁边的桌子上。</v>
      </c>
    </row>
    <row r="26649">
      <c r="A26649" s="4" t="s">
        <v>33539</v>
      </c>
      <c r="B26649" s="4" t="s">
        <v>33542</v>
      </c>
      <c r="C26649" s="5" t="str">
        <f>IFERROR(__xludf.DUMMYFUNCTION("GOOGLETRANSLATE(B26649,""en"",""zh-CN"")"),"他将完整的魔方放在桌子上。")</f>
        <v>他将完整的魔方放在桌子上。</v>
      </c>
    </row>
    <row r="26650">
      <c r="A26650" s="4" t="s">
        <v>33543</v>
      </c>
      <c r="B26650" s="4" t="s">
        <v>33544</v>
      </c>
      <c r="C26650" s="5" t="str">
        <f>IFERROR(__xludf.DUMMYFUNCTION("GOOGLETRANSLATE(B26650,""en"",""zh-CN"")"),"人们很快跑到海滩上。")</f>
        <v>人们很快跑到海滩上。</v>
      </c>
    </row>
    <row r="26651">
      <c r="A26651" s="4" t="s">
        <v>33543</v>
      </c>
      <c r="B26651" s="4" t="s">
        <v>33545</v>
      </c>
      <c r="C26651" s="5" t="str">
        <f>IFERROR(__xludf.DUMMYFUNCTION("GOOGLETRANSLATE(B26651,""en"",""zh-CN"")"),"然后，他们开始向相机做奇怪的面孔。")</f>
        <v>然后，他们开始向相机做奇怪的面孔。</v>
      </c>
    </row>
    <row r="26652">
      <c r="A26652" s="4" t="s">
        <v>33543</v>
      </c>
      <c r="B26652" s="4" t="s">
        <v>33546</v>
      </c>
      <c r="C26652" s="5" t="str">
        <f>IFERROR(__xludf.DUMMYFUNCTION("GOOGLETRANSLATE(B26652,""en"",""zh-CN"")"),"他们开始弹跳并在某种弹力绳上做技巧。")</f>
        <v>他们开始弹跳并在某种弹力绳上做技巧。</v>
      </c>
    </row>
    <row r="26653">
      <c r="A26653" s="4" t="s">
        <v>33543</v>
      </c>
      <c r="B26653" s="4" t="s">
        <v>33547</v>
      </c>
      <c r="C26653" s="5" t="str">
        <f>IFERROR(__xludf.DUMMYFUNCTION("GOOGLETRANSLATE(B26653,""en"",""zh-CN"")"),"一些技巧看起来像是非常极端的。")</f>
        <v>一些技巧看起来像是非常极端的。</v>
      </c>
    </row>
    <row r="26654">
      <c r="A26654" s="4" t="s">
        <v>33548</v>
      </c>
      <c r="B26654" s="6" t="s">
        <v>33549</v>
      </c>
      <c r="C26654" s="5" t="str">
        <f>IFERROR(__xludf.DUMMYFUNCTION("GOOGLETRANSLATE(B26654,""en"",""zh-CN"")"),"看到一名妇女不时地与镜头说话时，熨烫板熨烫衬衫。")</f>
        <v>看到一名妇女不时地与镜头说话时，熨烫板熨烫衬衫。</v>
      </c>
    </row>
    <row r="26655">
      <c r="A26655" s="4" t="s">
        <v>33548</v>
      </c>
      <c r="B26655" s="4" t="s">
        <v>33550</v>
      </c>
      <c r="C26655" s="5" t="str">
        <f>IFERROR(__xludf.DUMMYFUNCTION("GOOGLETRANSLATE(B26655,""en"",""zh-CN"")"),"将衬衫在桌子周围熨烫，并将其固定在桌子上。")</f>
        <v>将衬衫在桌子周围熨烫，并将其固定在桌子上。</v>
      </c>
    </row>
    <row r="26656">
      <c r="A26656" s="4" t="s">
        <v>33551</v>
      </c>
      <c r="B26656" s="4" t="s">
        <v>33552</v>
      </c>
      <c r="C26656" s="5" t="str">
        <f>IFERROR(__xludf.DUMMYFUNCTION("GOOGLETRANSLATE(B26656,""en"",""zh-CN"")"),"一个长长，黑色的卷发的女人穿着随意穿着，说话和蹲在屋顶上。")</f>
        <v>一个长长，黑色的卷发的女人穿着随意穿着，说话和蹲在屋顶上。</v>
      </c>
    </row>
    <row r="26657">
      <c r="A26657" s="4" t="s">
        <v>33551</v>
      </c>
      <c r="B26657" s="6" t="s">
        <v>33553</v>
      </c>
      <c r="C26657" s="5" t="str">
        <f>IFERROR(__xludf.DUMMYFUNCTION("GOOGLETRANSLATE(B26657,""en"",""zh-CN"")"),"那个女人然后站起来，走到屋顶的一部分，在那里她抬起屋顶上的黑色木瓦。")</f>
        <v>那个女人然后站起来，走到屋顶的一部分，在那里她抬起屋顶上的黑色木瓦。</v>
      </c>
    </row>
    <row r="26658">
      <c r="A26658" s="4" t="s">
        <v>33551</v>
      </c>
      <c r="B26658" s="4" t="s">
        <v>33554</v>
      </c>
      <c r="C26658" s="5" t="str">
        <f>IFERROR(__xludf.DUMMYFUNCTION("GOOGLETRANSLATE(B26658,""en"",""zh-CN"")"),"这个女人现在站在房子前面的地面上，微笑着说话。")</f>
        <v>这个女人现在站在房子前面的地面上，微笑着说话。</v>
      </c>
    </row>
    <row r="26659">
      <c r="A26659" s="4" t="s">
        <v>33551</v>
      </c>
      <c r="B26659" s="4" t="s">
        <v>33555</v>
      </c>
      <c r="C26659" s="5" t="str">
        <f>IFERROR(__xludf.DUMMYFUNCTION("GOOGLETRANSLATE(B26659,""en"",""zh-CN"")"),"一辆大卡车拉到房子里，一个人开始将木瓦卸在屋顶上。")</f>
        <v>一辆大卡车拉到房子里，一个人开始将木瓦卸在屋顶上。</v>
      </c>
    </row>
    <row r="26660">
      <c r="A26660" s="4" t="s">
        <v>33551</v>
      </c>
      <c r="B26660" s="6" t="s">
        <v>33556</v>
      </c>
      <c r="C26660" s="5" t="str">
        <f>IFERROR(__xludf.DUMMYFUNCTION("GOOGLETRANSLATE(B26660,""en"",""zh-CN"")"),"女人用铲子回到屋顶上，铲除所有旧木瓦，然后将它们倒在一个大垃圾箱中。")</f>
        <v>女人用铲子回到屋顶上，铲除所有旧木瓦，然后将它们倒在一个大垃圾箱中。</v>
      </c>
    </row>
    <row r="26661">
      <c r="A26661" s="4" t="s">
        <v>33551</v>
      </c>
      <c r="B26661" s="6" t="s">
        <v>33557</v>
      </c>
      <c r="C26661" s="5" t="str">
        <f>IFERROR(__xludf.DUMMYFUNCTION("GOOGLETRANSLATE(B26661,""en"",""zh-CN"")"),"现在，男人正在铺设长长的黑色材料，并将其钉在屋顶上，并将木瓦钉下来。")</f>
        <v>现在，男人正在铺设长长的黑色材料，并将其钉在屋顶上，并将木瓦钉下来。</v>
      </c>
    </row>
    <row r="26662">
      <c r="A26662" s="4" t="s">
        <v>33551</v>
      </c>
      <c r="B26662" s="4" t="s">
        <v>33558</v>
      </c>
      <c r="C26662" s="5" t="str">
        <f>IFERROR(__xludf.DUMMYFUNCTION("GOOGLETRANSLATE(B26662,""en"",""zh-CN"")"),"屋顶已经完成，整个房屋的景色显示出可以展示成品屋顶。")</f>
        <v>屋顶已经完成，整个房屋的景色显示出可以展示成品屋顶。</v>
      </c>
    </row>
    <row r="26663">
      <c r="A26663" s="4" t="s">
        <v>33551</v>
      </c>
      <c r="B26663" s="4" t="s">
        <v>33559</v>
      </c>
      <c r="C26663" s="5" t="str">
        <f>IFERROR(__xludf.DUMMYFUNCTION("GOOGLETRANSLATE(B26663,""en"",""zh-CN"")"),"那个女人正站在家里，说话时微笑。")</f>
        <v>那个女人正站在家里，说话时微笑。</v>
      </c>
    </row>
    <row r="26664">
      <c r="A26664" s="4" t="s">
        <v>33560</v>
      </c>
      <c r="B26664" s="4" t="s">
        <v>33561</v>
      </c>
      <c r="C26664" s="5" t="str">
        <f>IFERROR(__xludf.DUMMYFUNCTION("GOOGLETRANSLATE(B26664,""en"",""zh-CN"")"),"一台相机将两个人一起放大，一起骑着独木舟。")</f>
        <v>一台相机将两个人一起放大，一起骑着独木舟。</v>
      </c>
    </row>
    <row r="26665">
      <c r="A26665" s="4" t="s">
        <v>33560</v>
      </c>
      <c r="B26665" s="4" t="s">
        <v>33562</v>
      </c>
      <c r="C26665" s="5" t="str">
        <f>IFERROR(__xludf.DUMMYFUNCTION("GOOGLETRANSLATE(B26665,""en"",""zh-CN"")"),"相机靠近，捕捉到人们在河上进一步划船的人们。")</f>
        <v>相机靠近，捕捉到人们在河上进一步划船的人们。</v>
      </c>
    </row>
    <row r="26666">
      <c r="A26666" s="4" t="s">
        <v>33563</v>
      </c>
      <c r="B26666" s="4" t="s">
        <v>33564</v>
      </c>
      <c r="C26666" s="5" t="str">
        <f>IFERROR(__xludf.DUMMYFUNCTION("GOOGLETRANSLATE(B26666,""en"",""zh-CN"")"),"我们看到一个男人主场拿着鼓。")</f>
        <v>我们看到一个男人主场拿着鼓。</v>
      </c>
    </row>
    <row r="26667">
      <c r="A26667" s="4" t="s">
        <v>33563</v>
      </c>
      <c r="B26667" s="4" t="s">
        <v>33565</v>
      </c>
      <c r="C26667" s="5" t="str">
        <f>IFERROR(__xludf.DUMMYFUNCTION("GOOGLETRANSLATE(B26667,""en"",""zh-CN"")"),"然后，我们看到那个男人在鼓上演奏。")</f>
        <v>然后，我们看到那个男人在鼓上演奏。</v>
      </c>
    </row>
    <row r="26668">
      <c r="A26668" s="4" t="s">
        <v>33563</v>
      </c>
      <c r="B26668" s="4" t="s">
        <v>33566</v>
      </c>
      <c r="C26668" s="5" t="str">
        <f>IFERROR(__xludf.DUMMYFUNCTION("GOOGLETRANSLATE(B26668,""en"",""zh-CN"")"),"该男子向左击中了鼓声。")</f>
        <v>该男子向左击中了鼓声。</v>
      </c>
    </row>
    <row r="26669">
      <c r="A26669" s="4" t="s">
        <v>33563</v>
      </c>
      <c r="B26669" s="4" t="s">
        <v>33567</v>
      </c>
      <c r="C26669" s="5" t="str">
        <f>IFERROR(__xludf.DUMMYFUNCTION("GOOGLETRANSLATE(B26669,""en"",""zh-CN"")"),"那个男人把手放在鼓上。")</f>
        <v>那个男人把手放在鼓上。</v>
      </c>
    </row>
    <row r="26670">
      <c r="A26670" s="4" t="s">
        <v>33563</v>
      </c>
      <c r="B26670" s="4" t="s">
        <v>33568</v>
      </c>
      <c r="C26670" s="5" t="str">
        <f>IFERROR(__xludf.DUMMYFUNCTION("GOOGLETRANSLATE(B26670,""en"",""zh-CN"")"),"该男子停止支付鼓。")</f>
        <v>该男子停止支付鼓。</v>
      </c>
    </row>
    <row r="26671">
      <c r="A26671" s="4" t="s">
        <v>33569</v>
      </c>
      <c r="B26671" s="4" t="s">
        <v>33570</v>
      </c>
      <c r="C26671" s="5" t="str">
        <f>IFERROR(__xludf.DUMMYFUNCTION("GOOGLETRANSLATE(B26671,""en"",""zh-CN"")"),"一个孩子帮助将割草机与成年人一起割草。")</f>
        <v>一个孩子帮助将割草机与成年人一起割草。</v>
      </c>
    </row>
    <row r="26672">
      <c r="A26672" s="4" t="s">
        <v>33569</v>
      </c>
      <c r="B26672" s="4" t="s">
        <v>33571</v>
      </c>
      <c r="C26672" s="5" t="str">
        <f>IFERROR(__xludf.DUMMYFUNCTION("GOOGLETRANSLATE(B26672,""en"",""zh-CN"")"),"一个男人和一个孩子在附近看着大院子的草坪。")</f>
        <v>一个男人和一个孩子在附近看着大院子的草坪。</v>
      </c>
    </row>
    <row r="26673">
      <c r="A26673" s="4" t="s">
        <v>33569</v>
      </c>
      <c r="B26673" s="6" t="s">
        <v>33572</v>
      </c>
      <c r="C26673" s="5" t="str">
        <f>IFERROR(__xludf.DUMMYFUNCTION("GOOGLETRANSLATE(B26673,""en"",""zh-CN"")"),"该名男子将割草机上的收藏料袋清空，将其清空成垃圾桶，然后将其卸下。")</f>
        <v>该名男子将割草机上的收藏料袋清空，将其清空成垃圾桶，然后将其卸下。</v>
      </c>
    </row>
    <row r="26674">
      <c r="A26674" s="4" t="s">
        <v>33569</v>
      </c>
      <c r="B26674" s="4" t="s">
        <v>33573</v>
      </c>
      <c r="C26674" s="5" t="str">
        <f>IFERROR(__xludf.DUMMYFUNCTION("GOOGLETRANSLATE(B26674,""en"",""zh-CN"")"),"关闭时，孩子与割草机一起玩。")</f>
        <v>关闭时，孩子与割草机一起玩。</v>
      </c>
    </row>
    <row r="26675">
      <c r="A26675" s="4" t="s">
        <v>33574</v>
      </c>
      <c r="B26675" s="4" t="s">
        <v>33575</v>
      </c>
      <c r="C26675" s="5" t="str">
        <f>IFERROR(__xludf.DUMMYFUNCTION("GOOGLETRANSLATE(B26675,""en"",""zh-CN"")"),"一个人在空中扔网球并击球。")</f>
        <v>一个人在空中扔网球并击球。</v>
      </c>
    </row>
    <row r="26676">
      <c r="A26676" s="4" t="s">
        <v>33574</v>
      </c>
      <c r="B26676" s="4" t="s">
        <v>33576</v>
      </c>
      <c r="C26676" s="5" t="str">
        <f>IFERROR(__xludf.DUMMYFUNCTION("GOOGLETRANSLATE(B26676,""en"",""zh-CN"")"),"两个人开始谈论这一网球的举动，以及您应该如何正确握住球拍。")</f>
        <v>两个人开始谈论这一网球的举动，以及您应该如何正确握住球拍。</v>
      </c>
    </row>
    <row r="26677">
      <c r="A26677" s="4" t="s">
        <v>33574</v>
      </c>
      <c r="B26677" s="4" t="s">
        <v>33577</v>
      </c>
      <c r="C26677" s="5" t="str">
        <f>IFERROR(__xludf.DUMMYFUNCTION("GOOGLETRANSLATE(B26677,""en"",""zh-CN"")"),"该男子演示了如何扔球以及如何挥杆。")</f>
        <v>该男子演示了如何扔球以及如何挥杆。</v>
      </c>
    </row>
    <row r="26678">
      <c r="A26678" s="4" t="s">
        <v>33574</v>
      </c>
      <c r="B26678" s="4" t="s">
        <v>33578</v>
      </c>
      <c r="C26678" s="5" t="str">
        <f>IFERROR(__xludf.DUMMYFUNCTION("GOOGLETRANSLATE(B26678,""en"",""zh-CN"")"),"该男子继续讨论何时击球以进行此举以及如何正确执行它。")</f>
        <v>该男子继续讨论何时击球以进行此举以及如何正确执行它。</v>
      </c>
    </row>
    <row r="26679">
      <c r="A26679" s="4" t="s">
        <v>33579</v>
      </c>
      <c r="B26679" s="6" t="s">
        <v>33580</v>
      </c>
      <c r="C26679" s="5" t="str">
        <f>IFERROR(__xludf.DUMMYFUNCTION("GOOGLETRANSLATE(B26679,""en"",""zh-CN"")"),"一个穿着白色围栏服装的男人用双手绑在一起，穿着皮革的女人走去。")</f>
        <v>一个穿着白色围栏服装的男人用双手绑在一起，穿着皮革的女人走去。</v>
      </c>
    </row>
    <row r="26680">
      <c r="A26680" s="4" t="s">
        <v>33579</v>
      </c>
      <c r="B26680" s="4" t="s">
        <v>33581</v>
      </c>
      <c r="C26680" s="5" t="str">
        <f>IFERROR(__xludf.DUMMYFUNCTION("GOOGLETRANSLATE(B26680,""en"",""zh-CN"")"),"他握住她的腰，在看着男人围栏后面对她说话。")</f>
        <v>他握住她的腰，在看着男人围栏后面对她说话。</v>
      </c>
    </row>
    <row r="26681">
      <c r="A26681" s="4" t="s">
        <v>33579</v>
      </c>
      <c r="B26681" s="4" t="s">
        <v>33582</v>
      </c>
      <c r="C26681" s="5" t="str">
        <f>IFERROR(__xludf.DUMMYFUNCTION("GOOGLETRANSLATE(B26681,""en"",""zh-CN"")"),"他们挑衅地与另一对夫妇说话，这些人准备战斗。")</f>
        <v>他们挑衅地与另一对夫妇说话，这些人准备战斗。</v>
      </c>
    </row>
    <row r="26682">
      <c r="A26682" s="4" t="s">
        <v>33579</v>
      </c>
      <c r="B26682" s="4" t="s">
        <v>33583</v>
      </c>
      <c r="C26682" s="5" t="str">
        <f>IFERROR(__xludf.DUMMYFUNCTION("GOOGLETRANSLATE(B26682,""en"",""zh-CN"")"),"当年长的绅士捏眼并再次战斗时，这些人回去了第四。")</f>
        <v>当年长的绅士捏眼并再次战斗时，这些人回去了第四。</v>
      </c>
    </row>
    <row r="26683">
      <c r="A26683" s="4" t="s">
        <v>33579</v>
      </c>
      <c r="B26683" s="4" t="s">
        <v>33584</v>
      </c>
      <c r="C26683" s="5" t="str">
        <f>IFERROR(__xludf.DUMMYFUNCTION("GOOGLETRANSLATE(B26683,""en"",""zh-CN"")"),"这些人变得烦躁，一个叶子穿着衬衫。")</f>
        <v>这些人变得烦躁，一个叶子穿着衬衫。</v>
      </c>
    </row>
    <row r="26684">
      <c r="A26684" s="4" t="s">
        <v>33585</v>
      </c>
      <c r="B26684" s="4" t="s">
        <v>33586</v>
      </c>
      <c r="C26684" s="5" t="str">
        <f>IFERROR(__xludf.DUMMYFUNCTION("GOOGLETRANSLATE(B26684,""en"",""zh-CN"")"),"看到一个戴着帽子的男人拿着网球球拍，上下弹跳。")</f>
        <v>看到一个戴着帽子的男人拿着网球球拍，上下弹跳。</v>
      </c>
    </row>
    <row r="26685">
      <c r="A26685" s="4" t="s">
        <v>33585</v>
      </c>
      <c r="B26685" s="4" t="s">
        <v>33587</v>
      </c>
      <c r="C26685" s="5" t="str">
        <f>IFERROR(__xludf.DUMMYFUNCTION("GOOGLETRANSLATE(B26685,""en"",""zh-CN"")"),"然后，该男子将球服役，并在四人之间进行网球比赛。")</f>
        <v>然后，该男子将球服役，并在四人之间进行网球比赛。</v>
      </c>
    </row>
    <row r="26686">
      <c r="A26686" s="4" t="s">
        <v>33585</v>
      </c>
      <c r="B26686" s="6" t="s">
        <v>33588</v>
      </c>
      <c r="C26686" s="5" t="str">
        <f>IFERROR(__xludf.DUMMYFUNCTION("GOOGLETRANSLATE(B26686,""en"",""zh-CN"")"),"当其他队友互相交谈，并再次以慢动作表现出他的打击时，播音员笑了。")</f>
        <v>当其他队友互相交谈，并再次以慢动作表现出他的打击时，播音员笑了。</v>
      </c>
    </row>
    <row r="26687">
      <c r="A26687" s="4" t="s">
        <v>33589</v>
      </c>
      <c r="B26687" s="4" t="s">
        <v>33590</v>
      </c>
      <c r="C26687" s="5" t="str">
        <f>IFERROR(__xludf.DUMMYFUNCTION("GOOGLETRANSLATE(B26687,""en"",""zh-CN"")"),"图为一支绿色和黄色的曲棍球队，并在地图上显示了位置。")</f>
        <v>图为一支绿色和黄色的曲棍球队，并在地图上显示了位置。</v>
      </c>
    </row>
    <row r="26688">
      <c r="A26688" s="4" t="s">
        <v>33589</v>
      </c>
      <c r="B26688" s="4" t="s">
        <v>33591</v>
      </c>
      <c r="C26688" s="5" t="str">
        <f>IFERROR(__xludf.DUMMYFUNCTION("GOOGLETRANSLATE(B26688,""en"",""zh-CN"")"),"然后，该视频恢复了游戏，并显示了团队正在参加的场地。")</f>
        <v>然后，该视频恢复了游戏，并显示了团队正在参加的场地。</v>
      </c>
    </row>
    <row r="26689">
      <c r="A26689" s="4" t="s">
        <v>33589</v>
      </c>
      <c r="B26689" s="6" t="s">
        <v>33592</v>
      </c>
      <c r="C26689" s="5" t="str">
        <f>IFERROR(__xludf.DUMMYFUNCTION("GOOGLETRANSLATE(B26689,""en"",""zh-CN"")"),"之后，显示了几名球员在溜冰场周围滑冰，然后穿着黑色马球的秃头男性开始与相机交谈。")</f>
        <v>之后，显示了几名球员在溜冰场周围滑冰，然后穿着黑色马球的秃头男性开始与相机交谈。</v>
      </c>
    </row>
    <row r="26690">
      <c r="A26690" s="4" t="s">
        <v>33589</v>
      </c>
      <c r="B26690" s="6" t="s">
        <v>33593</v>
      </c>
      <c r="C26690" s="5" t="str">
        <f>IFERROR(__xludf.DUMMYFUNCTION("GOOGLETRANSLATE(B26690,""en"",""zh-CN"")"),"完成后，替补席将被踩踏，比赛开始于两支球队之间的裁判，他们开始比赛。")</f>
        <v>完成后，替补席将被踩踏，比赛开始于两支球队之间的裁判，他们开始比赛。</v>
      </c>
    </row>
    <row r="26691">
      <c r="A26691" s="4" t="s">
        <v>33589</v>
      </c>
      <c r="B26691" s="6" t="s">
        <v>33594</v>
      </c>
      <c r="C26691" s="5" t="str">
        <f>IFERROR(__xludf.DUMMYFUNCTION("GOOGLETRANSLATE(B26691,""en"",""zh-CN"")"),"随着他们的继续，秃头的人是表演并继续说话，他们在他，玩家和奥运会之间继续闪烁。")</f>
        <v>随着他们的继续，秃头的人是表演并继续说话，他们在他，玩家和奥运会之间继续闪烁。</v>
      </c>
    </row>
    <row r="26692">
      <c r="A26692" s="4" t="s">
        <v>33595</v>
      </c>
      <c r="B26692" s="6" t="s">
        <v>33596</v>
      </c>
      <c r="C26692" s="5" t="str">
        <f>IFERROR(__xludf.DUMMYFUNCTION("GOOGLETRANSLATE(B26692,""en"",""zh-CN"")"),"看到各种运动员站在一个大型体育场的中间，并导致一个女人投掷射门，然后走开。")</f>
        <v>看到各种运动员站在一个大型体育场的中间，并导致一个女人投掷射门，然后走开。</v>
      </c>
    </row>
    <row r="26693">
      <c r="A26693" s="4" t="s">
        <v>33595</v>
      </c>
      <c r="B26693" s="6" t="s">
        <v>33597</v>
      </c>
      <c r="C26693" s="5" t="str">
        <f>IFERROR(__xludf.DUMMYFUNCTION("GOOGLETRANSLATE(B26693,""en"",""zh-CN"")"),"看到越来越多的人走上去，扔了一个妇女，一个女人用美国国旗奔跑，与其他人站在讲台上。")</f>
        <v>看到越来越多的人走上去，扔了一个妇女，一个女人用美国国旗奔跑，与其他人站在讲台上。</v>
      </c>
    </row>
    <row r="26694">
      <c r="A26694" s="4" t="s">
        <v>33598</v>
      </c>
      <c r="B26694" s="6" t="s">
        <v>33599</v>
      </c>
      <c r="C26694" s="5" t="str">
        <f>IFERROR(__xludf.DUMMYFUNCTION("GOOGLETRANSLATE(B26694,""en"",""zh-CN"")"),"相机放大了厨师在锅中的刮刀周围旋转，并将更多的食材放入锅中。")</f>
        <v>相机放大了厨师在锅中的刮刀周围旋转，并将更多的食材放入锅中。</v>
      </c>
    </row>
    <row r="26695">
      <c r="A26695" s="4" t="s">
        <v>33598</v>
      </c>
      <c r="B26695" s="4" t="s">
        <v>33600</v>
      </c>
      <c r="C26695" s="5" t="str">
        <f>IFERROR(__xludf.DUMMYFUNCTION("GOOGLETRANSLATE(B26695,""en"",""zh-CN"")"),"他绕着混合物搅拌，并在放下铲子时将其压在侧面。")</f>
        <v>他绕着混合物搅拌，并在放下铲子时将其压在侧面。</v>
      </c>
    </row>
    <row r="26696">
      <c r="A26696" s="4" t="s">
        <v>33601</v>
      </c>
      <c r="B26696" s="4" t="s">
        <v>33602</v>
      </c>
      <c r="C26696" s="5" t="str">
        <f>IFERROR(__xludf.DUMMYFUNCTION("GOOGLETRANSLATE(B26696,""en"",""zh-CN"")"),"看到两根电线铺设在桌子上，一个人将盒子放在顶部。")</f>
        <v>看到两根电线铺设在桌子上，一个人将盒子放在顶部。</v>
      </c>
    </row>
    <row r="26697">
      <c r="A26697" s="4" t="s">
        <v>33601</v>
      </c>
      <c r="B26697" s="4" t="s">
        <v>33603</v>
      </c>
      <c r="C26697" s="5" t="str">
        <f>IFERROR(__xludf.DUMMYFUNCTION("GOOGLETRANSLATE(B26697,""en"",""zh-CN"")"),"该人用电线包裹盒子，并在顶部绑上弓。")</f>
        <v>该人用电线包裹盒子，并在顶部绑上弓。</v>
      </c>
    </row>
    <row r="26698">
      <c r="A26698" s="4" t="s">
        <v>33601</v>
      </c>
      <c r="B26698" s="4" t="s">
        <v>33604</v>
      </c>
      <c r="C26698" s="5" t="str">
        <f>IFERROR(__xludf.DUMMYFUNCTION("GOOGLETRANSLATE(B26698,""en"",""zh-CN"")"),"该人将糖果甘蔗与盒子绑在一起，并将其显示在相机上。")</f>
        <v>该人将糖果甘蔗与盒子绑在一起，并将其显示在相机上。</v>
      </c>
    </row>
    <row r="26699">
      <c r="A26699" s="4" t="s">
        <v>33605</v>
      </c>
      <c r="B26699" s="4" t="s">
        <v>33606</v>
      </c>
      <c r="C26699" s="5" t="str">
        <f>IFERROR(__xludf.DUMMYFUNCTION("GOOGLETRANSLATE(B26699,""en"",""zh-CN"")"),"看到一个男人拿着一个末端的马铃薯的动力演习，人们在他周围剥皮。")</f>
        <v>看到一个男人拿着一个末端的马铃薯的动力演习，人们在他周围剥皮。</v>
      </c>
    </row>
    <row r="26700">
      <c r="A26700" s="4" t="s">
        <v>33605</v>
      </c>
      <c r="B26700" s="4" t="s">
        <v>33607</v>
      </c>
      <c r="C26700" s="5" t="str">
        <f>IFERROR(__xludf.DUMMYFUNCTION("GOOGLETRANSLATE(B26700,""en"",""zh-CN"")"),"该男子打开钻头，并用另一个人指向侧面。")</f>
        <v>该男子打开钻头，并用另一个人指向侧面。</v>
      </c>
    </row>
    <row r="26701">
      <c r="A26701" s="4" t="s">
        <v>33608</v>
      </c>
      <c r="B26701" s="6" t="s">
        <v>33609</v>
      </c>
      <c r="C26701" s="5" t="str">
        <f>IFERROR(__xludf.DUMMYFUNCTION("GOOGLETRANSLATE(B26701,""en"",""zh-CN"")"),"看到两名男子握住彼此的手臂，并带领他们表演了一场手臂摔跤比赛。")</f>
        <v>看到两名男子握住彼此的手臂，并带领他们表演了一场手臂摔跤比赛。</v>
      </c>
    </row>
    <row r="26702">
      <c r="A26702" s="4" t="s">
        <v>33608</v>
      </c>
      <c r="B26702" s="6" t="s">
        <v>33610</v>
      </c>
      <c r="C26702" s="5" t="str">
        <f>IFERROR(__xludf.DUMMYFUNCTION("GOOGLETRANSLATE(B26702,""en"",""zh-CN"")"),"一个人在继续玩耍的同时抽烟，那个男人抬起手臂时挥舞着。")</f>
        <v>一个人在继续玩耍的同时抽烟，那个男人抬起手臂时挥舞着。</v>
      </c>
    </row>
    <row r="26703">
      <c r="A26703" s="4" t="s">
        <v>33611</v>
      </c>
      <c r="B26703" s="4" t="s">
        <v>33612</v>
      </c>
      <c r="C26703" s="5" t="str">
        <f>IFERROR(__xludf.DUMMYFUNCTION("GOOGLETRANSLATE(B26703,""en"",""zh-CN"")"),"看到一个男人有一个大杆。")</f>
        <v>看到一个男人有一个大杆。</v>
      </c>
    </row>
    <row r="26704">
      <c r="A26704" s="4" t="s">
        <v>33611</v>
      </c>
      <c r="B26704" s="4" t="s">
        <v>33613</v>
      </c>
      <c r="C26704" s="5" t="str">
        <f>IFERROR(__xludf.DUMMYFUNCTION("GOOGLETRANSLATE(B26704,""en"",""zh-CN"")"),"背景中的一大群人在看台上。")</f>
        <v>背景中的一大群人在看台上。</v>
      </c>
    </row>
    <row r="26705">
      <c r="A26705" s="4" t="s">
        <v>33611</v>
      </c>
      <c r="B26705" s="4" t="s">
        <v>33614</v>
      </c>
      <c r="C26705" s="5" t="str">
        <f>IFERROR(__xludf.DUMMYFUNCTION("GOOGLETRANSLATE(B26705,""en"",""zh-CN"")"),"带有杆子的人奔跑并扔掉它，然后撞到地面。")</f>
        <v>带有杆子的人奔跑并扔掉它，然后撞到地面。</v>
      </c>
    </row>
    <row r="26706">
      <c r="A26706" s="4" t="s">
        <v>33611</v>
      </c>
      <c r="B26706" s="4" t="s">
        <v>33615</v>
      </c>
      <c r="C26706" s="5" t="str">
        <f>IFERROR(__xludf.DUMMYFUNCTION("GOOGLETRANSLATE(B26706,""en"",""zh-CN"")"),"杆飞过空气，降落在田野上的85号。")</f>
        <v>杆飞过空气，降落在田野上的85号。</v>
      </c>
    </row>
    <row r="26707">
      <c r="A26707" s="4" t="s">
        <v>33611</v>
      </c>
      <c r="B26707" s="4" t="s">
        <v>33616</v>
      </c>
      <c r="C26707" s="5" t="str">
        <f>IFERROR(__xludf.DUMMYFUNCTION("GOOGLETRANSLATE(B26707,""en"",""zh-CN"")"),"几个人跑到了杆子上。")</f>
        <v>几个人跑到了杆子上。</v>
      </c>
    </row>
    <row r="26708">
      <c r="A26708" s="4" t="s">
        <v>33611</v>
      </c>
      <c r="B26708" s="4" t="s">
        <v>33617</v>
      </c>
      <c r="C26708" s="5" t="str">
        <f>IFERROR(__xludf.DUMMYFUNCTION("GOOGLETRANSLATE(B26708,""en"",""zh-CN"")"),"在看台上看到男人。")</f>
        <v>在看台上看到男人。</v>
      </c>
    </row>
    <row r="26709">
      <c r="A26709" s="4" t="s">
        <v>33611</v>
      </c>
      <c r="B26709" s="4" t="s">
        <v>33618</v>
      </c>
      <c r="C26709" s="5" t="str">
        <f>IFERROR(__xludf.DUMMYFUNCTION("GOOGLETRANSLATE(B26709,""en"",""zh-CN"")"),"看到扔杆子的那个人穿上夹克。")</f>
        <v>看到扔杆子的那个人穿上夹克。</v>
      </c>
    </row>
    <row r="26710">
      <c r="A26710" s="4" t="s">
        <v>33611</v>
      </c>
      <c r="B26710" s="4" t="s">
        <v>33619</v>
      </c>
      <c r="C26710" s="5" t="str">
        <f>IFERROR(__xludf.DUMMYFUNCTION("GOOGLETRANSLATE(B26710,""en"",""zh-CN"")"),"许多人走来走去，坐在场上。")</f>
        <v>许多人走来走去，坐在场上。</v>
      </c>
    </row>
    <row r="26711">
      <c r="A26711" s="4" t="s">
        <v>33611</v>
      </c>
      <c r="B26711" s="4" t="s">
        <v>33620</v>
      </c>
      <c r="C26711" s="5" t="str">
        <f>IFERROR(__xludf.DUMMYFUNCTION("GOOGLETRANSLATE(B26711,""en"",""zh-CN"")"),"看到这个男人再次扔了杆子。")</f>
        <v>看到这个男人再次扔了杆子。</v>
      </c>
    </row>
    <row r="26712">
      <c r="A26712" s="4" t="s">
        <v>33621</v>
      </c>
      <c r="B26712" s="6" t="s">
        <v>33622</v>
      </c>
      <c r="C26712" s="5" t="str">
        <f>IFERROR(__xludf.DUMMYFUNCTION("GOOGLETRANSLATE(B26712,""en"",""zh-CN"")"),"显示了一台机器的特写，显示了印刷纸，并导致图片周围工作的人。")</f>
        <v>显示了一台机器的特写，显示了印刷纸，并导致图片周围工作的人。</v>
      </c>
    </row>
    <row r="26713">
      <c r="A26713" s="4" t="s">
        <v>33621</v>
      </c>
      <c r="B26713" s="6" t="s">
        <v>33623</v>
      </c>
      <c r="C26713" s="5" t="str">
        <f>IFERROR(__xludf.DUMMYFUNCTION("GOOGLETRANSLATE(B26713,""en"",""zh-CN"")"),"人们继续使用机器合作，将纸放在纸上并将其放在桌子上。")</f>
        <v>人们继续使用机器合作，将纸放在纸上并将其放在桌子上。</v>
      </c>
    </row>
    <row r="26714">
      <c r="A26714" s="4" t="s">
        <v>33621</v>
      </c>
      <c r="B26714" s="4" t="s">
        <v>33624</v>
      </c>
      <c r="C26714" s="5" t="str">
        <f>IFERROR(__xludf.DUMMYFUNCTION("GOOGLETRANSLATE(B26714,""en"",""zh-CN"")"),"然后看到人们将纸张挂在墙上，最后将纸挂在墙上。")</f>
        <v>然后看到人们将纸张挂在墙上，最后将纸挂在墙上。</v>
      </c>
    </row>
    <row r="26715">
      <c r="A26715" s="4" t="s">
        <v>33625</v>
      </c>
      <c r="B26715" s="4" t="s">
        <v>33626</v>
      </c>
      <c r="C26715" s="5" t="str">
        <f>IFERROR(__xludf.DUMMYFUNCTION("GOOGLETRANSLATE(B26715,""en"",""zh-CN"")"),"保险杠乘车挤满了人，许多人已经崩溃了。")</f>
        <v>保险杠乘车挤满了人，许多人已经崩溃了。</v>
      </c>
    </row>
    <row r="26716">
      <c r="A26716" s="4" t="s">
        <v>33625</v>
      </c>
      <c r="B26716" s="4" t="s">
        <v>33627</v>
      </c>
      <c r="C26716" s="5" t="str">
        <f>IFERROR(__xludf.DUMMYFUNCTION("GOOGLETRANSLATE(B26716,""en"",""zh-CN"")"),"一个男人在相机上闪烁和平标志，度过了愉快的时光。")</f>
        <v>一个男人在相机上闪烁和平标志，度过了愉快的时光。</v>
      </c>
    </row>
    <row r="26717">
      <c r="A26717" s="4" t="s">
        <v>33625</v>
      </c>
      <c r="B26717" s="4" t="s">
        <v>33628</v>
      </c>
      <c r="C26717" s="5" t="str">
        <f>IFERROR(__xludf.DUMMYFUNCTION("GOOGLETRANSLATE(B26717,""en"",""zh-CN"")"),"9辆汽车终于走了，但他左右撞了。")</f>
        <v>9辆汽车终于走了，但他左右撞了。</v>
      </c>
    </row>
    <row r="26718">
      <c r="A26718" s="4" t="s">
        <v>33625</v>
      </c>
      <c r="B26718" s="4" t="s">
        <v>33629</v>
      </c>
      <c r="C26718" s="5" t="str">
        <f>IFERROR(__xludf.DUMMYFUNCTION("GOOGLETRANSLATE(B26718,""en"",""zh-CN"")"),"一个男人逆转他身后的另一辆车。")</f>
        <v>一个男人逆转他身后的另一辆车。</v>
      </c>
    </row>
    <row r="26719">
      <c r="A26719" s="4" t="s">
        <v>33625</v>
      </c>
      <c r="B26719" s="4" t="s">
        <v>33630</v>
      </c>
      <c r="C26719" s="5" t="str">
        <f>IFERROR(__xludf.DUMMYFUNCTION("GOOGLETRANSLATE(B26719,""en"",""zh-CN"")"),"赛道中间发生了大量的堆积。")</f>
        <v>赛道中间发生了大量的堆积。</v>
      </c>
    </row>
    <row r="26720">
      <c r="A26720" s="4" t="s">
        <v>33631</v>
      </c>
      <c r="B26720" s="4" t="s">
        <v>33632</v>
      </c>
      <c r="C26720" s="5" t="str">
        <f>IFERROR(__xludf.DUMMYFUNCTION("GOOGLETRANSLATE(B26720,""en"",""zh-CN"")"),"看到一个男人坐在鼓盘后面演奏的鼓声。")</f>
        <v>看到一个男人坐在鼓盘后面演奏的鼓声。</v>
      </c>
    </row>
    <row r="26721">
      <c r="A26721" s="4" t="s">
        <v>33631</v>
      </c>
      <c r="B26721" s="4" t="s">
        <v>33633</v>
      </c>
      <c r="C26721" s="5" t="str">
        <f>IFERROR(__xludf.DUMMYFUNCTION("GOOGLETRANSLATE(B26721,""en"",""zh-CN"")"),"当他与镜头说话时，相机在他的动作周围旋转。")</f>
        <v>当他与镜头说话时，相机在他的动作周围旋转。</v>
      </c>
    </row>
    <row r="26722">
      <c r="A26722" s="4" t="s">
        <v>33631</v>
      </c>
      <c r="B26722" s="6" t="s">
        <v>33634</v>
      </c>
      <c r="C26722" s="5" t="str">
        <f>IFERROR(__xludf.DUMMYFUNCTION("GOOGLETRANSLATE(B26722,""en"",""zh-CN"")"),"显示了他在演奏以及唱歌和其他人在他周围演奏乐器的更多镜头。")</f>
        <v>显示了他在演奏以及唱歌和其他人在他周围演奏乐器的更多镜头。</v>
      </c>
    </row>
    <row r="26723">
      <c r="A26723" s="4" t="s">
        <v>33635</v>
      </c>
      <c r="B26723" s="4" t="s">
        <v>33636</v>
      </c>
      <c r="C26723" s="5" t="str">
        <f>IFERROR(__xludf.DUMMYFUNCTION("GOOGLETRANSLATE(B26723,""en"",""zh-CN"")"),"一个男孩准备在健身房跳跃。")</f>
        <v>一个男孩准备在健身房跳跃。</v>
      </c>
    </row>
    <row r="26724">
      <c r="A26724" s="4" t="s">
        <v>33635</v>
      </c>
      <c r="B26724" s="4" t="s">
        <v>33637</v>
      </c>
      <c r="C26724" s="5" t="str">
        <f>IFERROR(__xludf.DUMMYFUNCTION("GOOGLETRANSLATE(B26724,""en"",""zh-CN"")"),"他带着跳高棒起飞。")</f>
        <v>他带着跳高棒起飞。</v>
      </c>
    </row>
    <row r="26725">
      <c r="A26725" s="4" t="s">
        <v>33635</v>
      </c>
      <c r="B26725" s="4" t="s">
        <v>33638</v>
      </c>
      <c r="C26725" s="5" t="str">
        <f>IFERROR(__xludf.DUMMYFUNCTION("GOOGLETRANSLATE(B26725,""en"",""zh-CN"")"),"他跳跃并降落在安全垫上。")</f>
        <v>他跳跃并降落在安全垫上。</v>
      </c>
    </row>
    <row r="26726">
      <c r="A26726" s="4" t="s">
        <v>33639</v>
      </c>
      <c r="B26726" s="4" t="s">
        <v>33640</v>
      </c>
      <c r="C26726" s="5" t="str">
        <f>IFERROR(__xludf.DUMMYFUNCTION("GOOGLETRANSLATE(B26726,""en"",""zh-CN"")"),"一个人的双手钉指甲，后面是两个女人在镜头说话。")</f>
        <v>一个人的双手钉指甲，后面是两个女人在镜头说话。</v>
      </c>
    </row>
    <row r="26727">
      <c r="A26727" s="4" t="s">
        <v>33639</v>
      </c>
      <c r="B26727" s="6" t="s">
        <v>33641</v>
      </c>
      <c r="C26727" s="5" t="str">
        <f>IFERROR(__xludf.DUMMYFUNCTION("GOOGLETRANSLATE(B26727,""en"",""zh-CN"")"),"在妇女继续讲话时，纸上显示了几个物体，并开始在指甲上进行设计。")</f>
        <v>在妇女继续讲话时，纸上显示了几个物体，并开始在指甲上进行设计。</v>
      </c>
    </row>
    <row r="26728">
      <c r="A26728" s="4" t="s">
        <v>33642</v>
      </c>
      <c r="B26728" s="4" t="s">
        <v>6958</v>
      </c>
      <c r="C26728" s="5" t="str">
        <f>IFERROR(__xludf.DUMMYFUNCTION("GOOGLETRANSLATE(B26728,""en"",""zh-CN"")"),"我们看到一个白色的打开屏幕。")</f>
        <v>我们看到一个白色的打开屏幕。</v>
      </c>
    </row>
    <row r="26729">
      <c r="A26729" s="4" t="s">
        <v>33642</v>
      </c>
      <c r="B26729" s="4" t="s">
        <v>33643</v>
      </c>
      <c r="C26729" s="5" t="str">
        <f>IFERROR(__xludf.DUMMYFUNCTION("GOOGLETRANSLATE(B26729,""en"",""zh-CN"")"),"然后，我们看到一个男人拿着东西包裹在塑料袋中。")</f>
        <v>然后，我们看到一个男人拿着东西包裹在塑料袋中。</v>
      </c>
    </row>
    <row r="26730">
      <c r="A26730" s="4" t="s">
        <v>33642</v>
      </c>
      <c r="B26730" s="4" t="s">
        <v>33644</v>
      </c>
      <c r="C26730" s="5" t="str">
        <f>IFERROR(__xludf.DUMMYFUNCTION("GOOGLETRANSLATE(B26730,""en"",""zh-CN"")"),"一个女人加入男人。")</f>
        <v>一个女人加入男人。</v>
      </c>
    </row>
    <row r="26731">
      <c r="A26731" s="4" t="s">
        <v>33642</v>
      </c>
      <c r="B26731" s="4" t="s">
        <v>33645</v>
      </c>
      <c r="C26731" s="5" t="str">
        <f>IFERROR(__xludf.DUMMYFUNCTION("GOOGLETRANSLATE(B26731,""en"",""zh-CN"")"),"该男子打开塑料袋。")</f>
        <v>该男子打开塑料袋。</v>
      </c>
    </row>
    <row r="26732">
      <c r="A26732" s="4" t="s">
        <v>33642</v>
      </c>
      <c r="B26732" s="4" t="s">
        <v>33646</v>
      </c>
      <c r="C26732" s="5" t="str">
        <f>IFERROR(__xludf.DUMMYFUNCTION("GOOGLETRANSLATE(B26732,""en"",""zh-CN"")"),"女士礼物为男人包裹了盒子。")</f>
        <v>女士礼物为男人包裹了盒子。</v>
      </c>
    </row>
    <row r="26733">
      <c r="A26733" s="4" t="s">
        <v>33642</v>
      </c>
      <c r="B26733" s="4" t="s">
        <v>33647</v>
      </c>
      <c r="C26733" s="5" t="str">
        <f>IFERROR(__xludf.DUMMYFUNCTION("GOOGLETRANSLATE(B26733,""en"",""zh-CN"")"),"该男子对礼物包裹开了镜头。")</f>
        <v>该男子对礼物包裹开了镜头。</v>
      </c>
    </row>
    <row r="26734">
      <c r="A26734" s="4" t="s">
        <v>33642</v>
      </c>
      <c r="B26734" s="4" t="s">
        <v>33648</v>
      </c>
      <c r="C26734" s="5" t="str">
        <f>IFERROR(__xludf.DUMMYFUNCTION("GOOGLETRANSLATE(B26734,""en"",""zh-CN"")"),"女士结束了礼物。")</f>
        <v>女士结束了礼物。</v>
      </c>
    </row>
    <row r="26735">
      <c r="A26735" s="4" t="s">
        <v>33642</v>
      </c>
      <c r="B26735" s="4" t="s">
        <v>33649</v>
      </c>
      <c r="C26735" s="5" t="str">
        <f>IFERROR(__xludf.DUMMYFUNCTION("GOOGLETRANSLATE(B26735,""en"",""zh-CN"")"),"该男子折叠了边缘，女士录制了它。")</f>
        <v>该男子折叠了边缘，女士录制了它。</v>
      </c>
    </row>
    <row r="26736">
      <c r="A26736" s="4" t="s">
        <v>33642</v>
      </c>
      <c r="B26736" s="4" t="s">
        <v>33650</v>
      </c>
      <c r="C26736" s="5" t="str">
        <f>IFERROR(__xludf.DUMMYFUNCTION("GOOGLETRANSLATE(B26736,""en"",""zh-CN"")"),"该男子将盒子展示给相机并进行交谈。")</f>
        <v>该男子将盒子展示给相机并进行交谈。</v>
      </c>
    </row>
    <row r="26737">
      <c r="A26737" s="4" t="s">
        <v>33642</v>
      </c>
      <c r="B26737" s="4" t="s">
        <v>33651</v>
      </c>
      <c r="C26737" s="5" t="str">
        <f>IFERROR(__xludf.DUMMYFUNCTION("GOOGLETRANSLATE(B26737,""en"",""zh-CN"")"),"然后看到关闭屏幕，然后变黑。")</f>
        <v>然后看到关闭屏幕，然后变黑。</v>
      </c>
    </row>
    <row r="26738">
      <c r="A26738" s="4" t="s">
        <v>33652</v>
      </c>
      <c r="B26738" s="4" t="s">
        <v>4448</v>
      </c>
      <c r="C26738" s="5" t="str">
        <f>IFERROR(__xludf.DUMMYFUNCTION("GOOGLETRANSLATE(B26738,""en"",""zh-CN"")"),"我们看到开头标题屏幕。")</f>
        <v>我们看到开头标题屏幕。</v>
      </c>
    </row>
    <row r="26739">
      <c r="A26739" s="4" t="s">
        <v>33652</v>
      </c>
      <c r="B26739" s="4" t="s">
        <v>33653</v>
      </c>
      <c r="C26739" s="5" t="str">
        <f>IFERROR(__xludf.DUMMYFUNCTION("GOOGLETRANSLATE(B26739,""en"",""zh-CN"")"),"我们看到一个男人在开发一件设备。")</f>
        <v>我们看到一个男人在开发一件设备。</v>
      </c>
    </row>
    <row r="26740">
      <c r="A26740" s="4" t="s">
        <v>33652</v>
      </c>
      <c r="B26740" s="4" t="s">
        <v>33654</v>
      </c>
      <c r="C26740" s="5" t="str">
        <f>IFERROR(__xludf.DUMMYFUNCTION("GOOGLETRANSLATE(B26740,""en"",""zh-CN"")"),"该男子加热填缝并将其刮掉。")</f>
        <v>该男子加热填缝并将其刮掉。</v>
      </c>
    </row>
    <row r="26741">
      <c r="A26741" s="4" t="s">
        <v>33652</v>
      </c>
      <c r="B26741" s="4" t="s">
        <v>33655</v>
      </c>
      <c r="C26741" s="5" t="str">
        <f>IFERROR(__xludf.DUMMYFUNCTION("GOOGLETRANSLATE(B26741,""en"",""zh-CN"")"),"屏幕闪烁，男人穿上新的填缝。")</f>
        <v>屏幕闪烁，男人穿上新的填缝。</v>
      </c>
    </row>
    <row r="26742">
      <c r="A26742" s="4" t="s">
        <v>33652</v>
      </c>
      <c r="B26742" s="4" t="s">
        <v>33656</v>
      </c>
      <c r="C26742" s="5" t="str">
        <f>IFERROR(__xludf.DUMMYFUNCTION("GOOGLETRANSLATE(B26742,""en"",""zh-CN"")"),"该男子停下来指向填缝，看到了最终场景。")</f>
        <v>该男子停下来指向填缝，看到了最终场景。</v>
      </c>
    </row>
    <row r="26743">
      <c r="A26743" s="4" t="s">
        <v>33657</v>
      </c>
      <c r="B26743" s="4" t="s">
        <v>33658</v>
      </c>
      <c r="C26743" s="5" t="str">
        <f>IFERROR(__xludf.DUMMYFUNCTION("GOOGLETRANSLATE(B26743,""en"",""zh-CN"")"),"男人穿着黑色和服，正在瑜伽运动。")</f>
        <v>男人穿着黑色和服，正在瑜伽运动。</v>
      </c>
    </row>
    <row r="26744">
      <c r="A26744" s="4" t="s">
        <v>33657</v>
      </c>
      <c r="B26744" s="4" t="s">
        <v>33659</v>
      </c>
      <c r="C26744" s="5" t="str">
        <f>IFERROR(__xludf.DUMMYFUNCTION("GOOGLETRANSLATE(B26744,""en"",""zh-CN"")"),"人正站在一个大的绿色草田里。")</f>
        <v>人正站在一个大的绿色草田里。</v>
      </c>
    </row>
    <row r="26745">
      <c r="A26745" s="4" t="s">
        <v>33657</v>
      </c>
      <c r="B26745" s="4" t="s">
        <v>33660</v>
      </c>
      <c r="C26745" s="5" t="str">
        <f>IFERROR(__xludf.DUMMYFUNCTION("GOOGLETRANSLATE(B26745,""en"",""zh-CN"")"),"男人正在慢慢行走练习拳击运动。")</f>
        <v>男人正在慢慢行走练习拳击运动。</v>
      </c>
    </row>
    <row r="26746">
      <c r="A26746" s="4" t="s">
        <v>33661</v>
      </c>
      <c r="B26746" s="4" t="s">
        <v>33662</v>
      </c>
      <c r="C26746" s="5" t="str">
        <f>IFERROR(__xludf.DUMMYFUNCTION("GOOGLETRANSLATE(B26746,""en"",""zh-CN"")"),"一个女人和男人在游泳池的水中向后游泳。")</f>
        <v>一个女人和男人在游泳池的水中向后游泳。</v>
      </c>
    </row>
    <row r="26747">
      <c r="A26747" s="4" t="s">
        <v>33661</v>
      </c>
      <c r="B26747" s="4" t="s">
        <v>33663</v>
      </c>
      <c r="C26747" s="5" t="str">
        <f>IFERROR(__xludf.DUMMYFUNCTION("GOOGLETRANSLATE(B26747,""en"",""zh-CN"")"),"他们表现出不同的技术作为游泳。")</f>
        <v>他们表现出不同的技术作为游泳。</v>
      </c>
    </row>
    <row r="26748">
      <c r="A26748" s="4" t="s">
        <v>33661</v>
      </c>
      <c r="B26748" s="4" t="s">
        <v>33664</v>
      </c>
      <c r="C26748" s="5" t="str">
        <f>IFERROR(__xludf.DUMMYFUNCTION("GOOGLETRANSLATE(B26748,""en"",""zh-CN"")"),"各种方法的名称出现在示例之间的屏幕上。")</f>
        <v>各种方法的名称出现在示例之间的屏幕上。</v>
      </c>
    </row>
    <row r="26749">
      <c r="A26749" s="4" t="s">
        <v>33665</v>
      </c>
      <c r="B26749" s="4" t="s">
        <v>33666</v>
      </c>
      <c r="C26749" s="5" t="str">
        <f>IFERROR(__xludf.DUMMYFUNCTION("GOOGLETRANSLATE(B26749,""en"",""zh-CN"")"),"曼尼斯（Manis）穿着一件白衬衫，正在带着割草机的绿草中行走。")</f>
        <v>曼尼斯（Manis）穿着一件白衬衫，正在带着割草机的绿草中行走。</v>
      </c>
    </row>
    <row r="26750">
      <c r="A26750" s="4" t="s">
        <v>33665</v>
      </c>
      <c r="B26750" s="4" t="s">
        <v>33667</v>
      </c>
      <c r="C26750" s="5" t="str">
        <f>IFERROR(__xludf.DUMMYFUNCTION("GOOGLETRANSLATE(B26750,""en"",""zh-CN"")"),"孩子站在田野里看着那个和割草机的人。")</f>
        <v>孩子站在田野里看着那个和割草机的人。</v>
      </c>
    </row>
    <row r="26751">
      <c r="A26751" s="4" t="s">
        <v>33665</v>
      </c>
      <c r="B26751" s="4" t="s">
        <v>33668</v>
      </c>
      <c r="C26751" s="5" t="str">
        <f>IFERROR(__xludf.DUMMYFUNCTION("GOOGLETRANSLATE(B26751,""en"",""zh-CN"")"),"人站立并伸出手握住孩子。")</f>
        <v>人站立并伸出手握住孩子。</v>
      </c>
    </row>
    <row r="26752">
      <c r="A26752" s="4" t="s">
        <v>33669</v>
      </c>
      <c r="B26752" s="4" t="s">
        <v>33670</v>
      </c>
      <c r="C26752" s="5" t="str">
        <f>IFERROR(__xludf.DUMMYFUNCTION("GOOGLETRANSLATE(B26752,""en"",""zh-CN"")"),"看到一个女人在手中缠住一名警棍的同时在相机上说话。")</f>
        <v>看到一个女人在手中缠住一名警棍的同时在相机上说话。</v>
      </c>
    </row>
    <row r="26753">
      <c r="A26753" s="4" t="s">
        <v>33669</v>
      </c>
      <c r="B26753" s="4" t="s">
        <v>33671</v>
      </c>
      <c r="C26753" s="5" t="str">
        <f>IFERROR(__xludf.DUMMYFUNCTION("GOOGLETRANSLATE(B26753,""en"",""zh-CN"")"),"她在接力棒周围旋转时继续与相机交谈。")</f>
        <v>她在接力棒周围旋转时继续与相机交谈。</v>
      </c>
    </row>
    <row r="26754">
      <c r="A26754" s="4" t="s">
        <v>33669</v>
      </c>
      <c r="B26754" s="4" t="s">
        <v>33672</v>
      </c>
      <c r="C26754" s="5" t="str">
        <f>IFERROR(__xludf.DUMMYFUNCTION("GOOGLETRANSLATE(B26754,""en"",""zh-CN"")"),"她继续在接力棒周围旋转，并演示了如何正确旋转它。")</f>
        <v>她继续在接力棒周围旋转，并演示了如何正确旋转它。</v>
      </c>
    </row>
    <row r="26755">
      <c r="A26755" s="4" t="s">
        <v>33673</v>
      </c>
      <c r="B26755" s="4" t="s">
        <v>33674</v>
      </c>
      <c r="C26755" s="5" t="str">
        <f>IFERROR(__xludf.DUMMYFUNCTION("GOOGLETRANSLATE(B26755,""en"",""zh-CN"")"),"一个女士和一个男人跪在冰壶戒指上。")</f>
        <v>一个女士和一个男人跪在冰壶戒指上。</v>
      </c>
    </row>
    <row r="26756">
      <c r="A26756" s="4" t="s">
        <v>33673</v>
      </c>
      <c r="B26756" s="4" t="s">
        <v>33675</v>
      </c>
      <c r="C26756" s="5" t="str">
        <f>IFERROR(__xludf.DUMMYFUNCTION("GOOGLETRANSLATE(B26756,""en"",""zh-CN"")"),"他们互相交谈，扫帚进入现场。")</f>
        <v>他们互相交谈，扫帚进入现场。</v>
      </c>
    </row>
    <row r="26757">
      <c r="A26757" s="4" t="s">
        <v>33673</v>
      </c>
      <c r="B26757" s="4" t="s">
        <v>33676</v>
      </c>
      <c r="C26757" s="5" t="str">
        <f>IFERROR(__xludf.DUMMYFUNCTION("GOOGLETRANSLATE(B26757,""en"",""zh-CN"")"),"他们开始前进。")</f>
        <v>他们开始前进。</v>
      </c>
    </row>
    <row r="26758">
      <c r="A26758" s="4" t="s">
        <v>33673</v>
      </c>
      <c r="B26758" s="4" t="s">
        <v>33677</v>
      </c>
      <c r="C26758" s="5" t="str">
        <f>IFERROR(__xludf.DUMMYFUNCTION("GOOGLETRANSLATE(B26758,""en"",""zh-CN"")"),"男人停下来，女士跌跌撞撞。")</f>
        <v>男人停下来，女士跌跌撞撞。</v>
      </c>
    </row>
    <row r="26759">
      <c r="A26759" s="4" t="s">
        <v>33678</v>
      </c>
      <c r="B26759" s="6" t="s">
        <v>33679</v>
      </c>
      <c r="C26759" s="5" t="str">
        <f>IFERROR(__xludf.DUMMYFUNCTION("GOOGLETRANSLATE(B26759,""en"",""zh-CN"")"),"一个人站在室内，在平台上，在三名围观者面前站起来，举起一个重量加权的bul铃。")</f>
        <v>一个人站在室内，在平台上，在三名围观者面前站起来，举起一个重量加权的bul铃。</v>
      </c>
    </row>
    <row r="26760">
      <c r="A26760" s="4" t="s">
        <v>33678</v>
      </c>
      <c r="B26760" s="4" t="s">
        <v>33680</v>
      </c>
      <c r="C26760" s="5" t="str">
        <f>IFERROR(__xludf.DUMMYFUNCTION("GOOGLETRANSLATE(B26760,""en"",""zh-CN"")"),"一个人接近地板上的杠铃，然后在准备举起它之前站立。")</f>
        <v>一个人接近地板上的杠铃，然后在准备举起它之前站立。</v>
      </c>
    </row>
    <row r="26761">
      <c r="A26761" s="4" t="s">
        <v>33678</v>
      </c>
      <c r="B26761" s="4" t="s">
        <v>33681</v>
      </c>
      <c r="C26761" s="5" t="str">
        <f>IFERROR(__xludf.DUMMYFUNCTION("GOOGLETRANSLATE(B26761,""en"",""zh-CN"")"),"然后，该男子弯腰弯曲，将手放在体重的杠铃部分。")</f>
        <v>然后，该男子弯腰弯曲，将手放在体重的杠铃部分。</v>
      </c>
    </row>
    <row r="26762">
      <c r="A26762" s="4" t="s">
        <v>33678</v>
      </c>
      <c r="B26762" s="6" t="s">
        <v>33682</v>
      </c>
      <c r="C26762" s="5" t="str">
        <f>IFERROR(__xludf.DUMMYFUNCTION("GOOGLETRANSLATE(B26762,""en"",""zh-CN"")"),"然后，那个男人将铃铛抬起头顶，然后让铃落到地板上，在降落时弹起一点，因为男人转身走开了体重。")</f>
        <v>然后，那个男人将铃铛抬起头顶，然后让铃落到地板上，在降落时弹起一点，因为男人转身走开了体重。</v>
      </c>
    </row>
    <row r="26763">
      <c r="A26763" s="4" t="s">
        <v>33683</v>
      </c>
      <c r="B26763" s="6" t="s">
        <v>33684</v>
      </c>
      <c r="C26763" s="5" t="str">
        <f>IFERROR(__xludf.DUMMYFUNCTION("GOOGLETRANSLATE(B26763,""en"",""zh-CN"")"),"两名男子描述了铅攀登，而一位穿着鲜绿色衬衫的男人爬上攀岩墙，另一个穿着深绿色衬衫的男人则牵着铅线并解释了这一过程。")</f>
        <v>两名男子描述了铅攀登，而一位穿着鲜绿色衬衫的男人爬上攀岩墙，另一个穿着深绿色衬衫的男人则牵着铅线并解释了这一过程。</v>
      </c>
    </row>
    <row r="26764">
      <c r="A26764" s="4" t="s">
        <v>33683</v>
      </c>
      <c r="B26764" s="6" t="s">
        <v>33685</v>
      </c>
      <c r="C26764" s="5" t="str">
        <f>IFERROR(__xludf.DUMMYFUNCTION("GOOGLETRANSLATE(B26764,""en"",""zh-CN"")"),"深绿色衬衫穿着皮带并链接到攀岩墙，并通过夹子缠绕绳子。")</f>
        <v>深绿色衬衫穿着皮带并链接到攀岩墙，并通过夹子缠绕绳子。</v>
      </c>
    </row>
    <row r="26765">
      <c r="A26765" s="4" t="s">
        <v>33683</v>
      </c>
      <c r="B26765" s="4" t="s">
        <v>33686</v>
      </c>
      <c r="C26765" s="5" t="str">
        <f>IFERROR(__xludf.DUMMYFUNCTION("GOOGLETRANSLATE(B26765,""en"",""zh-CN"")"),"该男子逆转绑带位置，并通过皮带眼链环绕绳索。")</f>
        <v>该男子逆转绑带位置，并通过皮带眼链环绕绳索。</v>
      </c>
    </row>
    <row r="26766">
      <c r="A26766" s="4" t="s">
        <v>33683</v>
      </c>
      <c r="B26766" s="4" t="s">
        <v>33687</v>
      </c>
      <c r="C26766" s="5" t="str">
        <f>IFERROR(__xludf.DUMMYFUNCTION("GOOGLETRANSLATE(B26766,""en"",""zh-CN"")"),"穿着明亮绿色衬衫的那个人继续爬到墙壁顶部。")</f>
        <v>穿着明亮绿色衬衫的那个人继续爬到墙壁顶部。</v>
      </c>
    </row>
    <row r="26767">
      <c r="A26767" s="4" t="s">
        <v>33683</v>
      </c>
      <c r="B26767" s="4" t="s">
        <v>33688</v>
      </c>
      <c r="C26767" s="5" t="str">
        <f>IFERROR(__xludf.DUMMYFUNCTION("GOOGLETRANSLATE(B26767,""en"",""zh-CN"")"),"深绿色衬衫穿着相机的人继续说话。")</f>
        <v>深绿色衬衫穿着相机的人继续说话。</v>
      </c>
    </row>
    <row r="26768">
      <c r="A26768" s="4" t="s">
        <v>33689</v>
      </c>
      <c r="B26768" s="4" t="s">
        <v>33690</v>
      </c>
      <c r="C26768" s="5" t="str">
        <f>IFERROR(__xludf.DUMMYFUNCTION("GOOGLETRANSLATE(B26768,""en"",""zh-CN"")"),"一个女人向另一个女人扔东西。")</f>
        <v>一个女人向另一个女人扔东西。</v>
      </c>
    </row>
    <row r="26769">
      <c r="A26769" s="4" t="s">
        <v>33689</v>
      </c>
      <c r="B26769" s="4" t="s">
        <v>33691</v>
      </c>
      <c r="C26769" s="5" t="str">
        <f>IFERROR(__xludf.DUMMYFUNCTION("GOOGLETRANSLATE(B26769,""en"",""zh-CN"")"),"然后，这两个女人玩霍普斯。")</f>
        <v>然后，这两个女人玩霍普斯。</v>
      </c>
    </row>
    <row r="26770">
      <c r="A26770" s="4" t="s">
        <v>33692</v>
      </c>
      <c r="B26770" s="4" t="s">
        <v>33693</v>
      </c>
      <c r="C26770" s="5" t="str">
        <f>IFERROR(__xludf.DUMMYFUNCTION("GOOGLETRANSLATE(B26770,""en"",""zh-CN"")"),"一个女人坐在桌子后面和相机聊天。")</f>
        <v>一个女人坐在桌子后面和相机聊天。</v>
      </c>
    </row>
    <row r="26771">
      <c r="A26771" s="4" t="s">
        <v>33692</v>
      </c>
      <c r="B26771" s="4" t="s">
        <v>33694</v>
      </c>
      <c r="C26771" s="5" t="str">
        <f>IFERROR(__xludf.DUMMYFUNCTION("GOOGLETRANSLATE(B26771,""en"",""zh-CN"")"),"一个女人走进一个房间，坐在座位上。")</f>
        <v>一个女人走进一个房间，坐在座位上。</v>
      </c>
    </row>
    <row r="26772">
      <c r="A26772" s="4" t="s">
        <v>33692</v>
      </c>
      <c r="B26772" s="4" t="s">
        <v>33695</v>
      </c>
      <c r="C26772" s="5" t="str">
        <f>IFERROR(__xludf.DUMMYFUNCTION("GOOGLETRANSLATE(B26772,""en"",""zh-CN"")"),"女人开始编织。")</f>
        <v>女人开始编织。</v>
      </c>
    </row>
    <row r="26773">
      <c r="A26773" s="4" t="s">
        <v>33692</v>
      </c>
      <c r="B26773" s="4" t="s">
        <v>33696</v>
      </c>
      <c r="C26773" s="5" t="str">
        <f>IFERROR(__xludf.DUMMYFUNCTION("GOOGLETRANSLATE(B26773,""en"",""zh-CN"")"),"那个女人然后和镜头说话。")</f>
        <v>那个女人然后和镜头说话。</v>
      </c>
    </row>
    <row r="26774">
      <c r="A26774" s="4" t="s">
        <v>33697</v>
      </c>
      <c r="B26774" s="4" t="s">
        <v>33698</v>
      </c>
      <c r="C26774" s="5" t="str">
        <f>IFERROR(__xludf.DUMMYFUNCTION("GOOGLETRANSLATE(B26774,""en"",""zh-CN"")"),"孩子们在健身房里跳绳。")</f>
        <v>孩子们在健身房里跳绳。</v>
      </c>
    </row>
    <row r="26775">
      <c r="A26775" s="4" t="s">
        <v>33697</v>
      </c>
      <c r="B26775" s="4" t="s">
        <v>33699</v>
      </c>
      <c r="C26775" s="5" t="str">
        <f>IFERROR(__xludf.DUMMYFUNCTION("GOOGLETRANSLATE(B26775,""en"",""zh-CN"")"),"他们确实互相翻转。")</f>
        <v>他们确实互相翻转。</v>
      </c>
    </row>
    <row r="26776">
      <c r="A26776" s="4" t="s">
        <v>33697</v>
      </c>
      <c r="B26776" s="4" t="s">
        <v>33700</v>
      </c>
      <c r="C26776" s="5" t="str">
        <f>IFERROR(__xludf.DUMMYFUNCTION("GOOGLETRANSLATE(B26776,""en"",""zh-CN"")"),"听众中的人们在最后为他们拍手。")</f>
        <v>听众中的人们在最后为他们拍手。</v>
      </c>
    </row>
    <row r="26777">
      <c r="A26777" s="4" t="s">
        <v>33701</v>
      </c>
      <c r="B26777" s="4" t="s">
        <v>33702</v>
      </c>
      <c r="C26777" s="5" t="str">
        <f>IFERROR(__xludf.DUMMYFUNCTION("GOOGLETRANSLATE(B26777,""en"",""zh-CN"")"),"看到一个人的脚的特写以及屏幕上的文字。")</f>
        <v>看到一个人的脚的特写以及屏幕上的文字。</v>
      </c>
    </row>
    <row r="26778">
      <c r="A26778" s="4" t="s">
        <v>33701</v>
      </c>
      <c r="B26778" s="4" t="s">
        <v>33703</v>
      </c>
      <c r="C26778" s="5" t="str">
        <f>IFERROR(__xludf.DUMMYFUNCTION("GOOGLETRANSLATE(B26778,""en"",""zh-CN"")"),"看到该人脱下鞋带并在水下穿鞋。")</f>
        <v>看到该人脱下鞋带并在水下穿鞋。</v>
      </c>
    </row>
    <row r="26779">
      <c r="A26779" s="4" t="s">
        <v>33701</v>
      </c>
      <c r="B26779" s="4" t="s">
        <v>33704</v>
      </c>
      <c r="C26779" s="5" t="str">
        <f>IFERROR(__xludf.DUMMYFUNCTION("GOOGLETRANSLATE(B26779,""en"",""zh-CN"")"),"该人将食材混合到碗中，并使用牙刷擦洗鞋子。")</f>
        <v>该人将食材混合到碗中，并使用牙刷擦洗鞋子。</v>
      </c>
    </row>
    <row r="26780">
      <c r="A26780" s="4" t="s">
        <v>33701</v>
      </c>
      <c r="B26780" s="4" t="s">
        <v>33705</v>
      </c>
      <c r="C26780" s="5" t="str">
        <f>IFERROR(__xludf.DUMMYFUNCTION("GOOGLETRANSLATE(B26780,""en"",""zh-CN"")"),"然后，她将鞋子粘在洗涤液中，然后将它们炫耀。")</f>
        <v>然后，她将鞋子粘在洗涤液中，然后将它们炫耀。</v>
      </c>
    </row>
    <row r="26781">
      <c r="A26781" s="4" t="s">
        <v>33706</v>
      </c>
      <c r="B26781" s="4" t="s">
        <v>33707</v>
      </c>
      <c r="C26781" s="5" t="str">
        <f>IFERROR(__xludf.DUMMYFUNCTION("GOOGLETRANSLATE(B26781,""en"",""zh-CN"")"),"我们看到一个男人准备在田径上扔锤子。")</f>
        <v>我们看到一个男人准备在田径上扔锤子。</v>
      </c>
    </row>
    <row r="26782">
      <c r="A26782" s="4" t="s">
        <v>33706</v>
      </c>
      <c r="B26782" s="4" t="s">
        <v>33708</v>
      </c>
      <c r="C26782" s="5" t="str">
        <f>IFERROR(__xludf.DUMMYFUNCTION("GOOGLETRANSLATE(B26782,""en"",""zh-CN"")"),"那个男人摇了摇腿，走到田野上。")</f>
        <v>那个男人摇了摇腿，走到田野上。</v>
      </c>
    </row>
    <row r="26783">
      <c r="A26783" s="4" t="s">
        <v>33706</v>
      </c>
      <c r="B26783" s="4" t="s">
        <v>33709</v>
      </c>
      <c r="C26783" s="5" t="str">
        <f>IFERROR(__xludf.DUMMYFUNCTION("GOOGLETRANSLATE(B26783,""en"",""zh-CN"")"),"该男子用力旋转并扔锤子。")</f>
        <v>该男子用力旋转并扔锤子。</v>
      </c>
    </row>
    <row r="26784">
      <c r="A26784" s="4" t="s">
        <v>33706</v>
      </c>
      <c r="B26784" s="4" t="s">
        <v>33710</v>
      </c>
      <c r="C26784" s="5" t="str">
        <f>IFERROR(__xludf.DUMMYFUNCTION("GOOGLETRANSLATE(B26784,""en"",""zh-CN"")"),"我们看到锤子飞过赛道时。")</f>
        <v>我们看到锤子飞过赛道时。</v>
      </c>
    </row>
    <row r="26785">
      <c r="A26785" s="4" t="s">
        <v>33711</v>
      </c>
      <c r="B26785" s="4" t="s">
        <v>33712</v>
      </c>
      <c r="C26785" s="5" t="str">
        <f>IFERROR(__xludf.DUMMYFUNCTION("GOOGLETRANSLATE(B26785,""en"",""zh-CN"")"),"两名男子在操场上进行翻转，导致一个被丢在地面上。")</f>
        <v>两名男子在操场上进行翻转，导致一个被丢在地面上。</v>
      </c>
    </row>
    <row r="26786">
      <c r="A26786" s="4" t="s">
        <v>33711</v>
      </c>
      <c r="B26786" s="4" t="s">
        <v>33713</v>
      </c>
      <c r="C26786" s="5" t="str">
        <f>IFERROR(__xludf.DUMMYFUNCTION("GOOGLETRANSLATE(B26786,""en"",""zh-CN"")"),"相机在堕落的男人一起笑的同时放大了。")</f>
        <v>相机在堕落的男人一起笑的同时放大了。</v>
      </c>
    </row>
    <row r="26787">
      <c r="A26787" s="4" t="s">
        <v>33714</v>
      </c>
      <c r="B26787" s="6" t="s">
        <v>33715</v>
      </c>
      <c r="C26787" s="5" t="str">
        <f>IFERROR(__xludf.DUMMYFUNCTION("GOOGLETRANSLATE(B26787,""en"",""zh-CN"")"),"一个女孩正在骑着一匹封闭的障碍物路线的白马，但它只是走路，小跑和周围奔跑。")</f>
        <v>一个女孩正在骑着一匹封闭的障碍物路线的白马，但它只是走路，小跑和周围奔跑。</v>
      </c>
    </row>
    <row r="26788">
      <c r="A26788" s="4" t="s">
        <v>33714</v>
      </c>
      <c r="B26788" s="6" t="s">
        <v>33716</v>
      </c>
      <c r="C26788" s="5" t="str">
        <f>IFERROR(__xludf.DUMMYFUNCTION("GOOGLETRANSLATE(B26788,""en"",""zh-CN"")"),"现在，另一个女孩是焦点，她正在骑着一匹较高的棕色马，后者开始散步，小跑，他们也留在该地区的外围。")</f>
        <v>现在，另一个女孩是焦点，她正在骑着一匹较高的棕色马，后者开始散步，小跑，他们也留在该地区的外围。</v>
      </c>
    </row>
    <row r="26789">
      <c r="A26789" s="4" t="s">
        <v>33714</v>
      </c>
      <c r="B26789" s="6" t="s">
        <v>33717</v>
      </c>
      <c r="C26789" s="5" t="str">
        <f>IFERROR(__xludf.DUMMYFUNCTION("GOOGLETRANSLATE(B26789,""en"",""zh-CN"")"),"当棕色马在圈圈中走动时，它将走向现在在该地区中部的白马，并停止。")</f>
        <v>当棕色马在圈圈中走动时，它将走向现在在该地区中部的白马，并停止。</v>
      </c>
    </row>
    <row r="26790">
      <c r="A26790" s="4" t="s">
        <v>33718</v>
      </c>
      <c r="B26790" s="4" t="s">
        <v>33719</v>
      </c>
      <c r="C26790" s="5" t="str">
        <f>IFERROR(__xludf.DUMMYFUNCTION("GOOGLETRANSLATE(B26790,""en"",""zh-CN"")"),"在室内健身房里，有几个女孩准备好跳绳。")</f>
        <v>在室内健身房里，有几个女孩准备好跳绳。</v>
      </c>
    </row>
    <row r="26791">
      <c r="A26791" s="4" t="s">
        <v>33718</v>
      </c>
      <c r="B26791" s="4" t="s">
        <v>33720</v>
      </c>
      <c r="C26791" s="5" t="str">
        <f>IFERROR(__xludf.DUMMYFUNCTION("GOOGLETRANSLATE(B26791,""en"",""zh-CN"")"),"他们准备参加比赛。")</f>
        <v>他们准备参加比赛。</v>
      </c>
    </row>
    <row r="26792">
      <c r="A26792" s="4" t="s">
        <v>33718</v>
      </c>
      <c r="B26792" s="4" t="s">
        <v>33721</v>
      </c>
      <c r="C26792" s="5" t="str">
        <f>IFERROR(__xludf.DUMMYFUNCTION("GOOGLETRANSLATE(B26792,""en"",""zh-CN"")"),"有几个人坐着，站着看着女孩跳绳。")</f>
        <v>有几个人坐着，站着看着女孩跳绳。</v>
      </c>
    </row>
    <row r="26793">
      <c r="A26793" s="4" t="s">
        <v>33718</v>
      </c>
      <c r="B26793" s="4" t="s">
        <v>33722</v>
      </c>
      <c r="C26793" s="5" t="str">
        <f>IFERROR(__xludf.DUMMYFUNCTION("GOOGLETRANSLATE(B26793,""en"",""zh-CN"")"),"女孩们轮流以继电方式跳绳。")</f>
        <v>女孩们轮流以继电方式跳绳。</v>
      </c>
    </row>
    <row r="26794">
      <c r="A26794" s="4" t="s">
        <v>33718</v>
      </c>
      <c r="B26794" s="6" t="s">
        <v>33723</v>
      </c>
      <c r="C26794" s="5" t="str">
        <f>IFERROR(__xludf.DUMMYFUNCTION("GOOGLETRANSLATE(B26794,""en"",""zh-CN"")"),"他们在参赛者之间切换，从快速跳过到较慢，稳定的跳过。")</f>
        <v>他们在参赛者之间切换，从快速跳过到较慢，稳定的跳过。</v>
      </c>
    </row>
    <row r="26795">
      <c r="A26795" s="4" t="s">
        <v>33718</v>
      </c>
      <c r="B26795" s="4" t="s">
        <v>33724</v>
      </c>
      <c r="C26795" s="5" t="str">
        <f>IFERROR(__xludf.DUMMYFUNCTION("GOOGLETRANSLATE(B26795,""en"",""zh-CN"")"),"他们跳过时轮流。")</f>
        <v>他们跳过时轮流。</v>
      </c>
    </row>
    <row r="26796">
      <c r="A26796" s="4" t="s">
        <v>33718</v>
      </c>
      <c r="B26796" s="4" t="s">
        <v>33725</v>
      </c>
      <c r="C26796" s="5" t="str">
        <f>IFERROR(__xludf.DUMMYFUNCTION("GOOGLETRANSLATE(B26796,""en"",""zh-CN"")"),"他们停下来后，人群鼓掌和欢呼。")</f>
        <v>他们停下来后，人群鼓掌和欢呼。</v>
      </c>
    </row>
    <row r="26797">
      <c r="A26797" s="4" t="s">
        <v>33726</v>
      </c>
      <c r="B26797" s="4" t="s">
        <v>33727</v>
      </c>
      <c r="C26797" s="5" t="str">
        <f>IFERROR(__xludf.DUMMYFUNCTION("GOOGLETRANSLATE(B26797,""en"",""zh-CN"")"),"一群人聚集在户外法院。")</f>
        <v>一群人聚集在户外法院。</v>
      </c>
    </row>
    <row r="26798">
      <c r="A26798" s="4" t="s">
        <v>33726</v>
      </c>
      <c r="B26798" s="4" t="s">
        <v>33728</v>
      </c>
      <c r="C26798" s="5" t="str">
        <f>IFERROR(__xludf.DUMMYFUNCTION("GOOGLETRANSLATE(B26798,""en"",""zh-CN"")"),"他们参与了一场冰壶比赛。")</f>
        <v>他们参与了一场冰壶比赛。</v>
      </c>
    </row>
    <row r="26799">
      <c r="A26799" s="4" t="s">
        <v>33726</v>
      </c>
      <c r="B26799" s="4" t="s">
        <v>33729</v>
      </c>
      <c r="C26799" s="5" t="str">
        <f>IFERROR(__xludf.DUMMYFUNCTION("GOOGLETRANSLATE(B26799,""en"",""zh-CN"")"),"每个人都用棍棒将冰球推到镜头时。")</f>
        <v>每个人都用棍棒将冰球推到镜头时。</v>
      </c>
    </row>
    <row r="26800">
      <c r="A26800" s="4" t="s">
        <v>33730</v>
      </c>
      <c r="B26800" s="4" t="s">
        <v>33731</v>
      </c>
      <c r="C26800" s="5" t="str">
        <f>IFERROR(__xludf.DUMMYFUNCTION("GOOGLETRANSLATE(B26800,""en"",""zh-CN"")"),"孩子们站在一个绿色的草田里飞风筝中。")</f>
        <v>孩子们站在一个绿色的草田里飞风筝中。</v>
      </c>
    </row>
    <row r="26801">
      <c r="A26801" s="4" t="s">
        <v>33730</v>
      </c>
      <c r="B26801" s="4" t="s">
        <v>33732</v>
      </c>
      <c r="C26801" s="5" t="str">
        <f>IFERROR(__xludf.DUMMYFUNCTION("GOOGLETRANSLATE(B26801,""en"",""zh-CN"")"),"穿着白色衬衫的男人正在lage田中驾驶风筝。")</f>
        <v>穿着白色衬衫的男人正在lage田中驾驶风筝。</v>
      </c>
    </row>
    <row r="26802">
      <c r="A26802" s="4" t="s">
        <v>33730</v>
      </c>
      <c r="B26802" s="4" t="s">
        <v>33733</v>
      </c>
      <c r="C26802" s="5" t="str">
        <f>IFERROR(__xludf.DUMMYFUNCTION("GOOGLETRANSLATE(B26802,""en"",""zh-CN"")"),"穿着橙色衬衫的小孩子正在看着那个男人。")</f>
        <v>穿着橙色衬衫的小孩子正在看着那个男人。</v>
      </c>
    </row>
    <row r="26803">
      <c r="A26803" s="4" t="s">
        <v>33734</v>
      </c>
      <c r="B26803" s="6" t="s">
        <v>33735</v>
      </c>
      <c r="C26803" s="5" t="str">
        <f>IFERROR(__xludf.DUMMYFUNCTION("GOOGLETRANSLATE(B26803,""en"",""zh-CN"")"),"该视频导致了几个曲棍球运动员在冰上移动的剪辑，玩家向相机讲话。")</f>
        <v>该视频导致了几个曲棍球运动员在冰上移动的剪辑，玩家向相机讲话。</v>
      </c>
    </row>
    <row r="26804">
      <c r="A26804" s="4" t="s">
        <v>33734</v>
      </c>
      <c r="B26804" s="6" t="s">
        <v>33736</v>
      </c>
      <c r="C26804" s="5" t="str">
        <f>IFERROR(__xludf.DUMMYFUNCTION("GOOGLETRANSLATE(B26804,""en"",""zh-CN"")"),"当玩家干预以与相机交谈时，人们继续在冰上滑冰。")</f>
        <v>当玩家干预以与相机交谈时，人们继续在冰上滑冰。</v>
      </c>
    </row>
    <row r="26805">
      <c r="A26805" s="4" t="s">
        <v>33737</v>
      </c>
      <c r="B26805" s="4" t="s">
        <v>33738</v>
      </c>
      <c r="C26805" s="5" t="str">
        <f>IFERROR(__xludf.DUMMYFUNCTION("GOOGLETRANSLATE(B26805,""en"",""zh-CN"")"),"文本介绍会导致仓库和使用火把的人们的几镜头。")</f>
        <v>文本介绍会导致仓库和使用火把的人们的几镜头。</v>
      </c>
    </row>
    <row r="26806">
      <c r="A26806" s="4" t="s">
        <v>33737</v>
      </c>
      <c r="B26806" s="4" t="s">
        <v>33739</v>
      </c>
      <c r="C26806" s="5" t="str">
        <f>IFERROR(__xludf.DUMMYFUNCTION("GOOGLETRANSLATE(B26806,""en"",""zh-CN"")"),"看到人们使用计算机以及导致制作蛋糕的磁铁。")</f>
        <v>看到人们使用计算机以及导致制作蛋糕的磁铁。</v>
      </c>
    </row>
    <row r="26807">
      <c r="A26807" s="4" t="s">
        <v>33737</v>
      </c>
      <c r="B26807" s="6" t="s">
        <v>33740</v>
      </c>
      <c r="C26807" s="5" t="str">
        <f>IFERROR(__xludf.DUMMYFUNCTION("GOOGLETRANSLATE(B26807,""en"",""zh-CN"")"),"人们使用几种工具和材料制作一个大蛋糕，最终将其带入展览。")</f>
        <v>人们使用几种工具和材料制作一个大蛋糕，最终将其带入展览。</v>
      </c>
    </row>
    <row r="26808">
      <c r="A26808" s="4" t="s">
        <v>33741</v>
      </c>
      <c r="B26808" s="4" t="s">
        <v>33742</v>
      </c>
      <c r="C26808" s="5" t="str">
        <f>IFERROR(__xludf.DUMMYFUNCTION("GOOGLETRANSLATE(B26808,""en"",""zh-CN"")"),"一群朋友坐在滑板公园的篱笆上。")</f>
        <v>一群朋友坐在滑板公园的篱笆上。</v>
      </c>
    </row>
    <row r="26809">
      <c r="A26809" s="4" t="s">
        <v>33741</v>
      </c>
      <c r="B26809" s="4" t="s">
        <v>33743</v>
      </c>
      <c r="C26809" s="5" t="str">
        <f>IFERROR(__xludf.DUMMYFUNCTION("GOOGLETRANSLATE(B26809,""en"",""zh-CN"")"),"滚筒上的人会在坡道上进行窍门。")</f>
        <v>滚筒上的人会在坡道上进行窍门。</v>
      </c>
    </row>
    <row r="26810">
      <c r="A26810" s="4" t="s">
        <v>33741</v>
      </c>
      <c r="B26810" s="4" t="s">
        <v>33744</v>
      </c>
      <c r="C26810" s="5" t="str">
        <f>IFERROR(__xludf.DUMMYFUNCTION("GOOGLETRANSLATE(B26810,""en"",""zh-CN"")"),"滚筒刀片上的人们在滑板公园的长凳上做技巧。")</f>
        <v>滚筒刀片上的人们在滑板公园的长凳上做技巧。</v>
      </c>
    </row>
    <row r="26811">
      <c r="A26811" s="4" t="s">
        <v>33741</v>
      </c>
      <c r="B26811" s="4" t="s">
        <v>33745</v>
      </c>
      <c r="C26811" s="5" t="str">
        <f>IFERROR(__xludf.DUMMYFUNCTION("GOOGLETRANSLATE(B26811,""en"",""zh-CN"")"),"人们在滑板公园的坡道上滚动卡车。")</f>
        <v>人们在滑板公园的坡道上滚动卡车。</v>
      </c>
    </row>
    <row r="26812">
      <c r="A26812" s="4" t="s">
        <v>33741</v>
      </c>
      <c r="B26812" s="4" t="s">
        <v>33746</v>
      </c>
      <c r="C26812" s="5" t="str">
        <f>IFERROR(__xludf.DUMMYFUNCTION("GOOGLETRANSLATE(B26812,""en"",""zh-CN"")"),"溜冰鞋骑在半管坡道上。")</f>
        <v>溜冰鞋骑在半管坡道上。</v>
      </c>
    </row>
    <row r="26813">
      <c r="A26813" s="4" t="s">
        <v>33747</v>
      </c>
      <c r="B26813" s="4" t="s">
        <v>33748</v>
      </c>
      <c r="C26813" s="5" t="str">
        <f>IFERROR(__xludf.DUMMYFUNCTION("GOOGLETRANSLATE(B26813,""en"",""zh-CN"")"),"一个家伙爬上带有黑色放大器的楼梯。")</f>
        <v>一个家伙爬上带有黑色放大器的楼梯。</v>
      </c>
    </row>
    <row r="26814">
      <c r="A26814" s="4" t="s">
        <v>33747</v>
      </c>
      <c r="B26814" s="4" t="s">
        <v>33749</v>
      </c>
      <c r="C26814" s="5" t="str">
        <f>IFERROR(__xludf.DUMMYFUNCTION("GOOGLETRANSLATE(B26814,""en"",""zh-CN"")"),"那个家伙走过他打开的门。")</f>
        <v>那个家伙走过他打开的门。</v>
      </c>
    </row>
    <row r="26815">
      <c r="A26815" s="4" t="s">
        <v>33747</v>
      </c>
      <c r="B26815" s="4" t="s">
        <v>33750</v>
      </c>
      <c r="C26815" s="5" t="str">
        <f>IFERROR(__xludf.DUMMYFUNCTION("GOOGLETRANSLATE(B26815,""en"",""zh-CN"")"),"这个家伙用一只手弹奏口琴。")</f>
        <v>这个家伙用一只手弹奏口琴。</v>
      </c>
    </row>
    <row r="26816">
      <c r="A26816" s="4" t="s">
        <v>33747</v>
      </c>
      <c r="B26816" s="4" t="s">
        <v>33751</v>
      </c>
      <c r="C26816" s="5" t="str">
        <f>IFERROR(__xludf.DUMMYFUNCTION("GOOGLETRANSLATE(B26816,""en"",""zh-CN"")"),"那家伙弹吉他。")</f>
        <v>那家伙弹吉他。</v>
      </c>
    </row>
    <row r="26817">
      <c r="A26817" s="4" t="s">
        <v>33747</v>
      </c>
      <c r="B26817" s="4" t="s">
        <v>33752</v>
      </c>
      <c r="C26817" s="5" t="str">
        <f>IFERROR(__xludf.DUMMYFUNCTION("GOOGLETRANSLATE(B26817,""en"",""zh-CN"")"),"黑色放大器显示在桌子上。")</f>
        <v>黑色放大器显示在桌子上。</v>
      </c>
    </row>
    <row r="26818">
      <c r="A26818" s="4" t="s">
        <v>33747</v>
      </c>
      <c r="B26818" s="4" t="s">
        <v>33753</v>
      </c>
      <c r="C26818" s="5" t="str">
        <f>IFERROR(__xludf.DUMMYFUNCTION("GOOGLETRANSLATE(B26818,""en"",""zh-CN"")"),"放大器显示在表上。")</f>
        <v>放大器显示在表上。</v>
      </c>
    </row>
    <row r="26819">
      <c r="A26819" s="4" t="s">
        <v>33754</v>
      </c>
      <c r="B26819" s="4" t="s">
        <v>33755</v>
      </c>
      <c r="C26819" s="5" t="str">
        <f>IFERROR(__xludf.DUMMYFUNCTION("GOOGLETRANSLATE(B26819,""en"",""zh-CN"")"),"看到一个女人在摄像机上说着各种成分以及清洁。")</f>
        <v>看到一个女人在摄像机上说着各种成分以及清洁。</v>
      </c>
    </row>
    <row r="26820">
      <c r="A26820" s="4" t="s">
        <v>33754</v>
      </c>
      <c r="B26820" s="4" t="s">
        <v>33756</v>
      </c>
      <c r="C26820" s="5" t="str">
        <f>IFERROR(__xludf.DUMMYFUNCTION("GOOGLETRANSLATE(B26820,""en"",""zh-CN"")"),"她发表报纸，将各种成分混合到喷雾瓶中。")</f>
        <v>她发表报纸，将各种成分混合到喷雾瓶中。</v>
      </c>
    </row>
    <row r="26821">
      <c r="A26821" s="4" t="s">
        <v>33754</v>
      </c>
      <c r="B26821" s="4" t="s">
        <v>33757</v>
      </c>
      <c r="C26821" s="5" t="str">
        <f>IFERROR(__xludf.DUMMYFUNCTION("GOOGLETRANSLATE(B26821,""en"",""zh-CN"")"),"她戴上手套，然后用报纸喷洒窗户。")</f>
        <v>她戴上手套，然后用报纸喷洒窗户。</v>
      </c>
    </row>
    <row r="26822">
      <c r="A26822" s="4" t="s">
        <v>33754</v>
      </c>
      <c r="B26822" s="4" t="s">
        <v>33758</v>
      </c>
      <c r="C26822" s="5" t="str">
        <f>IFERROR(__xludf.DUMMYFUNCTION("GOOGLETRANSLATE(B26822,""en"",""zh-CN"")"),"她在与镜头说话时继续擦拭窗户。")</f>
        <v>她在与镜头说话时继续擦拭窗户。</v>
      </c>
    </row>
    <row r="26823">
      <c r="A26823" s="4" t="s">
        <v>33759</v>
      </c>
      <c r="B26823" s="4" t="s">
        <v>33760</v>
      </c>
      <c r="C26823" s="5" t="str">
        <f>IFERROR(__xludf.DUMMYFUNCTION("GOOGLETRANSLATE(B26823,""en"",""zh-CN"")"),"一个女孩正在热身，伸展，抓住2条大绳索。")</f>
        <v>一个女孩正在热身，伸展，抓住2条大绳索。</v>
      </c>
    </row>
    <row r="26824">
      <c r="A26824" s="4" t="s">
        <v>33759</v>
      </c>
      <c r="B26824" s="4" t="s">
        <v>33761</v>
      </c>
      <c r="C26824" s="5" t="str">
        <f>IFERROR(__xludf.DUMMYFUNCTION("GOOGLETRANSLATE(B26824,""en"",""zh-CN"")"),"两个女人握住每根绳子，女孩试图一次拉两根绳索。")</f>
        <v>两个女人握住每根绳子，女孩试图一次拉两根绳索。</v>
      </c>
    </row>
    <row r="26825">
      <c r="A26825" s="4" t="s">
        <v>33759</v>
      </c>
      <c r="B26825" s="4" t="s">
        <v>33762</v>
      </c>
      <c r="C26825" s="5" t="str">
        <f>IFERROR(__xludf.DUMMYFUNCTION("GOOGLETRANSLATE(B26825,""en"",""zh-CN"")"),"她继续拉绳子，并成功地将两名妇女拉近她。")</f>
        <v>她继续拉绳子，并成功地将两名妇女拉近她。</v>
      </c>
    </row>
    <row r="26826">
      <c r="A26826" s="4" t="s">
        <v>33763</v>
      </c>
      <c r="B26826" s="4" t="s">
        <v>33764</v>
      </c>
      <c r="C26826" s="5" t="str">
        <f>IFERROR(__xludf.DUMMYFUNCTION("GOOGLETRANSLATE(B26826,""en"",""zh-CN"")"),"牛正在遍布田野，男人用棍子追逐他们。")</f>
        <v>牛正在遍布田野，男人用棍子追逐他们。</v>
      </c>
    </row>
    <row r="26827">
      <c r="A26827" s="4" t="s">
        <v>33763</v>
      </c>
      <c r="B26827" s="4" t="s">
        <v>33765</v>
      </c>
      <c r="C26827" s="5" t="str">
        <f>IFERROR(__xludf.DUMMYFUNCTION("GOOGLETRANSLATE(B26827,""en"",""zh-CN"")"),"这些人正在煽动牛，使他们彼此战斗。")</f>
        <v>这些人正在煽动牛，使他们彼此战斗。</v>
      </c>
    </row>
    <row r="26828">
      <c r="A26828" s="4" t="s">
        <v>33763</v>
      </c>
      <c r="B26828" s="4" t="s">
        <v>33766</v>
      </c>
      <c r="C26828" s="5" t="str">
        <f>IFERROR(__xludf.DUMMYFUNCTION("GOOGLETRANSLATE(B26828,""en"",""zh-CN"")"),"这些人在牛周围唱歌和跳舞。")</f>
        <v>这些人在牛周围唱歌和跳舞。</v>
      </c>
    </row>
    <row r="26829">
      <c r="A26829" s="4" t="s">
        <v>33763</v>
      </c>
      <c r="B26829" s="4" t="s">
        <v>33767</v>
      </c>
      <c r="C26829" s="5" t="str">
        <f>IFERROR(__xludf.DUMMYFUNCTION("GOOGLETRANSLATE(B26829,""en"",""zh-CN"")"),"媒体采访了人群中的男人。")</f>
        <v>媒体采访了人群中的男人。</v>
      </c>
    </row>
    <row r="26830">
      <c r="A26830" s="4" t="s">
        <v>33763</v>
      </c>
      <c r="B26830" s="4" t="s">
        <v>33768</v>
      </c>
      <c r="C26830" s="5" t="str">
        <f>IFERROR(__xludf.DUMMYFUNCTION("GOOGLETRANSLATE(B26830,""en"",""zh-CN"")"),"一位女记者在做新闻报道时持有麦克风。")</f>
        <v>一位女记者在做新闻报道时持有麦克风。</v>
      </c>
    </row>
    <row r="26831">
      <c r="A26831" s="4" t="s">
        <v>33763</v>
      </c>
      <c r="B26831" s="4" t="s">
        <v>33769</v>
      </c>
      <c r="C26831" s="5" t="str">
        <f>IFERROR(__xludf.DUMMYFUNCTION("GOOGLETRANSLATE(B26831,""en"",""zh-CN"")"),"一大批男人正在跟随她。")</f>
        <v>一大批男人正在跟随她。</v>
      </c>
    </row>
    <row r="26832">
      <c r="A26832" s="4" t="s">
        <v>33770</v>
      </c>
      <c r="B26832" s="4" t="s">
        <v>33771</v>
      </c>
      <c r="C26832" s="5" t="str">
        <f>IFERROR(__xludf.DUMMYFUNCTION("GOOGLETRANSLATE(B26832,""en"",""zh-CN"")"),"看到几个人跪在海滩上，帮助一个小孩制作沙堡。")</f>
        <v>看到几个人跪在海滩上，帮助一个小孩制作沙堡。</v>
      </c>
    </row>
    <row r="26833">
      <c r="A26833" s="4" t="s">
        <v>33770</v>
      </c>
      <c r="B26833" s="6" t="s">
        <v>33772</v>
      </c>
      <c r="C26833" s="5" t="str">
        <f>IFERROR(__xludf.DUMMYFUNCTION("GOOGLETRANSLATE(B26833,""en"",""zh-CN"")"),"当男孩和老妇继续制作沙堡时，看到许多人在海滩上行走。")</f>
        <v>当男孩和老妇继续制作沙堡时，看到许多人在海滩上行走。</v>
      </c>
    </row>
    <row r="26834">
      <c r="A26834" s="4" t="s">
        <v>33773</v>
      </c>
      <c r="B26834" s="4" t="s">
        <v>33774</v>
      </c>
      <c r="C26834" s="5" t="str">
        <f>IFERROR(__xludf.DUMMYFUNCTION("GOOGLETRANSLATE(B26834,""en"",""zh-CN"")"),"几个大气球漂浮在海水上。")</f>
        <v>几个大气球漂浮在海水上。</v>
      </c>
    </row>
    <row r="26835">
      <c r="A26835" s="4" t="s">
        <v>33773</v>
      </c>
      <c r="B26835" s="4" t="s">
        <v>33775</v>
      </c>
      <c r="C26835" s="5" t="str">
        <f>IFERROR(__xludf.DUMMYFUNCTION("GOOGLETRANSLATE(B26835,""en"",""zh-CN"")"),"竞争对手的船夫在水中赛车。")</f>
        <v>竞争对手的船夫在水中赛车。</v>
      </c>
    </row>
    <row r="26836">
      <c r="A26836" s="4" t="s">
        <v>33773</v>
      </c>
      <c r="B26836" s="4" t="s">
        <v>33776</v>
      </c>
      <c r="C26836" s="5" t="str">
        <f>IFERROR(__xludf.DUMMYFUNCTION("GOOGLETRANSLATE(B26836,""en"",""zh-CN"")"),"他们迅速划定终点标记。")</f>
        <v>他们迅速划定终点标记。</v>
      </c>
    </row>
    <row r="26837">
      <c r="A26837" s="4" t="s">
        <v>33777</v>
      </c>
      <c r="B26837" s="4" t="s">
        <v>33778</v>
      </c>
      <c r="C26837" s="5" t="str">
        <f>IFERROR(__xludf.DUMMYFUNCTION("GOOGLETRANSLATE(B26837,""en"",""zh-CN"")"),"一个女孩以慢动作沿着轨道奔跑。")</f>
        <v>一个女孩以慢动作沿着轨道奔跑。</v>
      </c>
    </row>
    <row r="26838">
      <c r="A26838" s="4" t="s">
        <v>33777</v>
      </c>
      <c r="B26838" s="4" t="s">
        <v>33779</v>
      </c>
      <c r="C26838" s="5" t="str">
        <f>IFERROR(__xludf.DUMMYFUNCTION("GOOGLETRANSLATE(B26838,""en"",""zh-CN"")"),"她跳了起来，将自己投掷在酒吧上。")</f>
        <v>她跳了起来，将自己投掷在酒吧上。</v>
      </c>
    </row>
    <row r="26839">
      <c r="A26839" s="4" t="s">
        <v>33777</v>
      </c>
      <c r="B26839" s="4" t="s">
        <v>33780</v>
      </c>
      <c r="C26839" s="5" t="str">
        <f>IFERROR(__xludf.DUMMYFUNCTION("GOOGLETRANSLATE(B26839,""en"",""zh-CN"")"),"她被证明以慢动作再次执行该行为。")</f>
        <v>她被证明以慢动作再次执行该行为。</v>
      </c>
    </row>
    <row r="26840">
      <c r="A26840" s="4" t="s">
        <v>33781</v>
      </c>
      <c r="B26840" s="4" t="s">
        <v>33782</v>
      </c>
      <c r="C26840" s="5" t="str">
        <f>IFERROR(__xludf.DUMMYFUNCTION("GOOGLETRANSLATE(B26840,""en"",""zh-CN"")"),"一个女孩敲门，但没人回答。")</f>
        <v>一个女孩敲门，但没人回答。</v>
      </c>
    </row>
    <row r="26841">
      <c r="A26841" s="4" t="s">
        <v>33781</v>
      </c>
      <c r="B26841" s="4" t="s">
        <v>33783</v>
      </c>
      <c r="C26841" s="5" t="str">
        <f>IFERROR(__xludf.DUMMYFUNCTION("GOOGLETRANSLATE(B26841,""en"",""zh-CN"")"),"她与另一个女人在炉子前跳舞并准备食物。")</f>
        <v>她与另一个女人在炉子前跳舞并准备食物。</v>
      </c>
    </row>
    <row r="26842">
      <c r="A26842" s="4" t="s">
        <v>33781</v>
      </c>
      <c r="B26842" s="4" t="s">
        <v>33784</v>
      </c>
      <c r="C26842" s="5" t="str">
        <f>IFERROR(__xludf.DUMMYFUNCTION("GOOGLETRANSLATE(B26842,""en"",""zh-CN"")"),"她打架，然后两个女孩分开。")</f>
        <v>她打架，然后两个女孩分开。</v>
      </c>
    </row>
    <row r="26843">
      <c r="A26843" s="4" t="s">
        <v>33785</v>
      </c>
      <c r="B26843" s="4" t="s">
        <v>33786</v>
      </c>
      <c r="C26843" s="5" t="str">
        <f>IFERROR(__xludf.DUMMYFUNCTION("GOOGLETRANSLATE(B26843,""en"",""zh-CN"")"),"人们在游泳池里玩水马球。")</f>
        <v>人们在游泳池里玩水马球。</v>
      </c>
    </row>
    <row r="26844">
      <c r="A26844" s="4" t="s">
        <v>33785</v>
      </c>
      <c r="B26844" s="4" t="s">
        <v>33787</v>
      </c>
      <c r="C26844" s="5" t="str">
        <f>IFERROR(__xludf.DUMMYFUNCTION("GOOGLETRANSLATE(B26844,""en"",""zh-CN"")"),"一个女人在游泳池外行走。")</f>
        <v>一个女人在游泳池外行走。</v>
      </c>
    </row>
    <row r="26845">
      <c r="A26845" s="4" t="s">
        <v>33785</v>
      </c>
      <c r="B26845" s="4" t="s">
        <v>33788</v>
      </c>
      <c r="C26845" s="5" t="str">
        <f>IFERROR(__xludf.DUMMYFUNCTION("GOOGLETRANSLATE(B26845,""en"",""zh-CN"")"),"一个男人在水中擦脸，然后从水中擦拭。")</f>
        <v>一个男人在水中擦脸，然后从水中擦拭。</v>
      </c>
    </row>
    <row r="26846">
      <c r="A26846" s="4" t="s">
        <v>33789</v>
      </c>
      <c r="B26846" s="4" t="s">
        <v>33790</v>
      </c>
      <c r="C26846" s="5" t="str">
        <f>IFERROR(__xludf.DUMMYFUNCTION("GOOGLETRANSLATE(B26846,""en"",""zh-CN"")"),"视频统计数据解释了如何制作煎蛋松饼。")</f>
        <v>视频统计数据解释了如何制作煎蛋松饼。</v>
      </c>
    </row>
    <row r="26847">
      <c r="A26847" s="4" t="s">
        <v>33789</v>
      </c>
      <c r="B26847" s="4" t="s">
        <v>33791</v>
      </c>
      <c r="C26847" s="5" t="str">
        <f>IFERROR(__xludf.DUMMYFUNCTION("GOOGLETRANSLATE(B26847,""en"",""zh-CN"")"),"她展示了成分，并告诉将烤箱设置为什么。")</f>
        <v>她展示了成分，并告诉将烤箱设置为什么。</v>
      </c>
    </row>
    <row r="26848">
      <c r="A26848" s="4" t="s">
        <v>33789</v>
      </c>
      <c r="B26848" s="4" t="s">
        <v>33792</v>
      </c>
      <c r="C26848" s="5" t="str">
        <f>IFERROR(__xludf.DUMMYFUNCTION("GOOGLETRANSLATE(B26848,""en"",""zh-CN"")"),"她将所有东西混合在一起，并通过调味料进行搅拌。")</f>
        <v>她将所有东西混合在一起，并通过调味料进行搅拌。</v>
      </c>
    </row>
    <row r="26849">
      <c r="A26849" s="4" t="s">
        <v>33789</v>
      </c>
      <c r="B26849" s="4" t="s">
        <v>33793</v>
      </c>
      <c r="C26849" s="5" t="str">
        <f>IFERROR(__xludf.DUMMYFUNCTION("GOOGLETRANSLATE(B26849,""en"",""zh-CN"")"),"然后，她将其放入托盘中，然后进入烤箱进行烘烤。")</f>
        <v>然后，她将其放入托盘中，然后进入烤箱进行烘烤。</v>
      </c>
    </row>
    <row r="26850">
      <c r="A26850" s="4" t="s">
        <v>33789</v>
      </c>
      <c r="B26850" s="4" t="s">
        <v>33794</v>
      </c>
      <c r="C26850" s="5" t="str">
        <f>IFERROR(__xludf.DUMMYFUNCTION("GOOGLETRANSLATE(B26850,""en"",""zh-CN"")"),"之后，她将其取出并展示成品。")</f>
        <v>之后，她将其取出并展示成品。</v>
      </c>
    </row>
    <row r="26851">
      <c r="A26851" s="4" t="s">
        <v>33795</v>
      </c>
      <c r="B26851" s="4" t="s">
        <v>33796</v>
      </c>
      <c r="C26851" s="5" t="str">
        <f>IFERROR(__xludf.DUMMYFUNCTION("GOOGLETRANSLATE(B26851,""en"",""zh-CN"")"),"显示了人们头发的图片。")</f>
        <v>显示了人们头发的图片。</v>
      </c>
    </row>
    <row r="26852">
      <c r="A26852" s="4" t="s">
        <v>33795</v>
      </c>
      <c r="B26852" s="4" t="s">
        <v>33797</v>
      </c>
      <c r="C26852" s="5" t="str">
        <f>IFERROR(__xludf.DUMMYFUNCTION("GOOGLETRANSLATE(B26852,""en"",""zh-CN"")"),"一个穿着粉红色衬衫的女人有她的头发的照片。")</f>
        <v>一个穿着粉红色衬衫的女人有她的头发的照片。</v>
      </c>
    </row>
    <row r="26853">
      <c r="A26853" s="4" t="s">
        <v>33795</v>
      </c>
      <c r="B26853" s="4" t="s">
        <v>33798</v>
      </c>
      <c r="C26853" s="5" t="str">
        <f>IFERROR(__xludf.DUMMYFUNCTION("GOOGLETRANSLATE(B26853,""en"",""zh-CN"")"),"屏幕上的单词出现在屏幕上。")</f>
        <v>屏幕上的单词出现在屏幕上。</v>
      </c>
    </row>
    <row r="26854">
      <c r="A26854" s="4" t="s">
        <v>33799</v>
      </c>
      <c r="B26854" s="4" t="s">
        <v>33800</v>
      </c>
      <c r="C26854" s="5" t="str">
        <f>IFERROR(__xludf.DUMMYFUNCTION("GOOGLETRANSLATE(B26854,""en"",""zh-CN"")"),"一群体操运动员进入体育场的前面。")</f>
        <v>一群体操运动员进入体育场的前面。</v>
      </c>
    </row>
    <row r="26855">
      <c r="A26855" s="4" t="s">
        <v>33799</v>
      </c>
      <c r="B26855" s="6" t="s">
        <v>33801</v>
      </c>
      <c r="C26855" s="5" t="str">
        <f>IFERROR(__xludf.DUMMYFUNCTION("GOOGLETRANSLATE(B26855,""en"",""zh-CN"")"),"接下来，在酒吧上显示了一个体操运动员，并进行了多种技巧，这些技巧由翻转和倒立，然后翻转降落并走开。")</f>
        <v>接下来，在酒吧上显示了一个体操运动员，并进行了多种技巧，这些技巧由翻转和倒立，然后翻转降落并走开。</v>
      </c>
    </row>
    <row r="26856">
      <c r="A26856" s="4" t="s">
        <v>33799</v>
      </c>
      <c r="B26856" s="6" t="s">
        <v>33802</v>
      </c>
      <c r="C26856" s="5" t="str">
        <f>IFERROR(__xludf.DUMMYFUNCTION("GOOGLETRANSLATE(B26856,""en"",""zh-CN"")"),"当一个男人在他附近奔跑时，显示了他搞砸了，然后显示得分的情况。")</f>
        <v>当一个男人在他附近奔跑时，显示了他搞砸了，然后显示得分的情况。</v>
      </c>
    </row>
    <row r="26857">
      <c r="A26857" s="4" t="s">
        <v>33799</v>
      </c>
      <c r="B26857" s="6" t="s">
        <v>33803</v>
      </c>
      <c r="C26857" s="5" t="str">
        <f>IFERROR(__xludf.DUMMYFUNCTION("GOOGLETRANSLATE(B26857,""en"",""zh-CN"")"),"另一个男人正在做各种技巧和翻转，但他没有在酒吧上方，而是在酒吧的下方开始，然后在顶部进行手站立，然后最终翻转。")</f>
        <v>另一个男人正在做各种技巧和翻转，但他没有在酒吧上方，而是在酒吧的下方开始，然后在顶部进行手站立，然后最终翻转。</v>
      </c>
    </row>
    <row r="26858">
      <c r="A26858" s="4" t="s">
        <v>33799</v>
      </c>
      <c r="B26858" s="6" t="s">
        <v>33804</v>
      </c>
      <c r="C26858" s="5" t="str">
        <f>IFERROR(__xludf.DUMMYFUNCTION("GOOGLETRANSLATE(B26858,""en"",""zh-CN"")"),"其他几个团队接近酒吧，他们也开始在比赛中做同样的技巧。")</f>
        <v>其他几个团队接近酒吧，他们也开始在比赛中做同样的技巧。</v>
      </c>
    </row>
    <row r="26859">
      <c r="A26859" s="4" t="s">
        <v>33799</v>
      </c>
      <c r="B26859" s="4" t="s">
        <v>33805</v>
      </c>
      <c r="C26859" s="5" t="str">
        <f>IFERROR(__xludf.DUMMYFUNCTION("GOOGLETRANSLATE(B26859,""en"",""zh-CN"")"),"获胜者随后开始挥舞着旗帜，向人群挥舞着手。")</f>
        <v>获胜者随后开始挥舞着旗帜，向人群挥舞着手。</v>
      </c>
    </row>
    <row r="26860">
      <c r="A26860" s="4" t="s">
        <v>33806</v>
      </c>
      <c r="B26860" s="4" t="s">
        <v>33807</v>
      </c>
      <c r="C26860" s="5" t="str">
        <f>IFERROR(__xludf.DUMMYFUNCTION("GOOGLETRANSLATE(B26860,""en"",""zh-CN"")"),"我们在书架前的一个房间里看到一个男人，带有饼干。")</f>
        <v>我们在书架前的一个房间里看到一个男人，带有饼干。</v>
      </c>
    </row>
    <row r="26861">
      <c r="A26861" s="4" t="s">
        <v>33806</v>
      </c>
      <c r="B26861" s="4" t="s">
        <v>33808</v>
      </c>
      <c r="C26861" s="5" t="str">
        <f>IFERROR(__xludf.DUMMYFUNCTION("GOOGLETRANSLATE(B26861,""en"",""zh-CN"")"),"饼干从男人那里抢走。")</f>
        <v>饼干从男人那里抢走。</v>
      </c>
    </row>
    <row r="26862">
      <c r="A26862" s="4" t="s">
        <v>33806</v>
      </c>
      <c r="B26862" s="4" t="s">
        <v>33809</v>
      </c>
      <c r="C26862" s="5" t="str">
        <f>IFERROR(__xludf.DUMMYFUNCTION("GOOGLETRANSLATE(B26862,""en"",""zh-CN"")"),"我们看到一个小男孩的脸。")</f>
        <v>我们看到一个小男孩的脸。</v>
      </c>
    </row>
    <row r="26863">
      <c r="A26863" s="4" t="s">
        <v>33806</v>
      </c>
      <c r="B26863" s="4" t="s">
        <v>33810</v>
      </c>
      <c r="C26863" s="5" t="str">
        <f>IFERROR(__xludf.DUMMYFUNCTION("GOOGLETRANSLATE(B26863,""en"",""zh-CN"")"),"我们看到成分添加到碗中。")</f>
        <v>我们看到成分添加到碗中。</v>
      </c>
    </row>
    <row r="26864">
      <c r="A26864" s="4" t="s">
        <v>33806</v>
      </c>
      <c r="B26864" s="4" t="s">
        <v>33811</v>
      </c>
      <c r="C26864" s="5" t="str">
        <f>IFERROR(__xludf.DUMMYFUNCTION("GOOGLETRANSLATE(B26864,""en"",""zh-CN"")"),"我们切换并看到一只猫。")</f>
        <v>我们切换并看到一只猫。</v>
      </c>
    </row>
    <row r="26865">
      <c r="A26865" s="4" t="s">
        <v>33806</v>
      </c>
      <c r="B26865" s="4" t="s">
        <v>33812</v>
      </c>
      <c r="C26865" s="5" t="str">
        <f>IFERROR(__xludf.DUMMYFUNCTION("GOOGLETRANSLATE(B26865,""en"",""zh-CN"")"),"我们看到混合器中的成分，然后倒入碗中，然后冷藏。")</f>
        <v>我们看到混合器中的成分，然后倒入碗中，然后冷藏。</v>
      </c>
    </row>
    <row r="26866">
      <c r="A26866" s="4" t="s">
        <v>33806</v>
      </c>
      <c r="B26866" s="4" t="s">
        <v>33813</v>
      </c>
      <c r="C26866" s="5" t="str">
        <f>IFERROR(__xludf.DUMMYFUNCTION("GOOGLETRANSLATE(B26866,""en"",""zh-CN"")"),"我们看到猫再次出现。")</f>
        <v>我们看到猫再次出现。</v>
      </c>
    </row>
    <row r="26867">
      <c r="A26867" s="4" t="s">
        <v>33806</v>
      </c>
      <c r="B26867" s="4" t="s">
        <v>33814</v>
      </c>
      <c r="C26867" s="5" t="str">
        <f>IFERROR(__xludf.DUMMYFUNCTION("GOOGLETRANSLATE(B26867,""en"",""zh-CN"")"),"一个人塑造球并用糖粉将它们涂成糖。")</f>
        <v>一个人塑造球并用糖粉将它们涂成糖。</v>
      </c>
    </row>
    <row r="26868">
      <c r="A26868" s="4" t="s">
        <v>33806</v>
      </c>
      <c r="B26868" s="4" t="s">
        <v>33815</v>
      </c>
      <c r="C26868" s="5" t="str">
        <f>IFERROR(__xludf.DUMMYFUNCTION("GOOGLETRANSLATE(B26868,""en"",""zh-CN"")"),"饼干烤了。")</f>
        <v>饼干烤了。</v>
      </c>
    </row>
    <row r="26869">
      <c r="A26869" s="4" t="s">
        <v>33806</v>
      </c>
      <c r="B26869" s="4" t="s">
        <v>33816</v>
      </c>
      <c r="C26869" s="5" t="str">
        <f>IFERROR(__xludf.DUMMYFUNCTION("GOOGLETRANSLATE(B26869,""en"",""zh-CN"")"),"我们看到男人和一个女孩聊天。")</f>
        <v>我们看到男人和一个女孩聊天。</v>
      </c>
    </row>
    <row r="26870">
      <c r="A26870" s="4" t="s">
        <v>33806</v>
      </c>
      <c r="B26870" s="4" t="s">
        <v>33817</v>
      </c>
      <c r="C26870" s="5" t="str">
        <f>IFERROR(__xludf.DUMMYFUNCTION("GOOGLETRANSLATE(B26870,""en"",""zh-CN"")"),"我们看到饼干和两个杯子。")</f>
        <v>我们看到饼干和两个杯子。</v>
      </c>
    </row>
    <row r="26871">
      <c r="A26871" s="4" t="s">
        <v>33806</v>
      </c>
      <c r="B26871" s="4" t="s">
        <v>33818</v>
      </c>
      <c r="C26871" s="5" t="str">
        <f>IFERROR(__xludf.DUMMYFUNCTION("GOOGLETRANSLATE(B26871,""en"",""zh-CN"")"),"我们看到有两个孩子的男人。")</f>
        <v>我们看到有两个孩子的男人。</v>
      </c>
    </row>
    <row r="26872">
      <c r="A26872" s="4" t="s">
        <v>33819</v>
      </c>
      <c r="B26872" s="4" t="s">
        <v>33820</v>
      </c>
      <c r="C26872" s="5" t="str">
        <f>IFERROR(__xludf.DUMMYFUNCTION("GOOGLETRANSLATE(B26872,""en"",""zh-CN"")"),"当人们坐在她周围看着一套风笛时，看到一个女人在玩一套风笛。")</f>
        <v>当人们坐在她周围看着一套风笛时，看到一个女人在玩一套风笛。</v>
      </c>
    </row>
    <row r="26873">
      <c r="A26873" s="4" t="s">
        <v>33819</v>
      </c>
      <c r="B26873" s="6" t="s">
        <v>33821</v>
      </c>
      <c r="C26873" s="5" t="str">
        <f>IFERROR(__xludf.DUMMYFUNCTION("GOOGLETRANSLATE(B26873,""en"",""zh-CN"")"),"当相机看着她沿着乐器移动她的手时，女孩继续玩耍，一个站在她旁边的男人摆姿势和抛弃。")</f>
        <v>当相机看着她沿着乐器移动她的手时，女孩继续玩耍，一个站在她旁边的男人摆姿势和抛弃。</v>
      </c>
    </row>
    <row r="26874">
      <c r="A26874" s="4" t="s">
        <v>33822</v>
      </c>
      <c r="B26874" s="4" t="s">
        <v>33823</v>
      </c>
      <c r="C26874" s="5" t="str">
        <f>IFERROR(__xludf.DUMMYFUNCTION("GOOGLETRANSLATE(B26874,""en"",""zh-CN"")"),"看到一个男人站在一个大原木前，握着斧头。")</f>
        <v>看到一个男人站在一个大原木前，握着斧头。</v>
      </c>
    </row>
    <row r="26875">
      <c r="A26875" s="4" t="s">
        <v>33822</v>
      </c>
      <c r="B26875" s="4" t="s">
        <v>33824</v>
      </c>
      <c r="C26875" s="5" t="str">
        <f>IFERROR(__xludf.DUMMYFUNCTION("GOOGLETRANSLATE(B26875,""en"",""zh-CN"")"),"他将斧头抬起头，同时仍然低头看着原木。")</f>
        <v>他将斧头抬起头，同时仍然低头看着原木。</v>
      </c>
    </row>
    <row r="26876">
      <c r="A26876" s="4" t="s">
        <v>33822</v>
      </c>
      <c r="B26876" s="4" t="s">
        <v>33825</v>
      </c>
      <c r="C26876" s="5" t="str">
        <f>IFERROR(__xludf.DUMMYFUNCTION("GOOGLETRANSLATE(B26876,""en"",""zh-CN"")"),"他向下摆动斧头，将木头碎成两半。")</f>
        <v>他向下摆动斧头，将木头碎成两半。</v>
      </c>
    </row>
    <row r="26877">
      <c r="A26877" s="4" t="s">
        <v>33826</v>
      </c>
      <c r="B26877" s="4" t="s">
        <v>33827</v>
      </c>
      <c r="C26877" s="5" t="str">
        <f>IFERROR(__xludf.DUMMYFUNCTION("GOOGLETRANSLATE(B26877,""en"",""zh-CN"")"),"人们在房间里互相交谈。")</f>
        <v>人们在房间里互相交谈。</v>
      </c>
    </row>
    <row r="26878">
      <c r="A26878" s="4" t="s">
        <v>33826</v>
      </c>
      <c r="B26878" s="4" t="s">
        <v>33828</v>
      </c>
      <c r="C26878" s="5" t="str">
        <f>IFERROR(__xludf.DUMMYFUNCTION("GOOGLETRANSLATE(B26878,""en"",""zh-CN"")"),"然后，男人竞争手臂摔跤，获胜者看起来很高兴，而人们
 鼓掌。")</f>
        <v>然后，男人竞争手臂摔跤，获胜者看起来很高兴，而人们
 鼓掌。</v>
      </c>
    </row>
    <row r="26879">
      <c r="A26879" s="4" t="s">
        <v>33826</v>
      </c>
      <c r="B26879" s="4" t="s">
        <v>33829</v>
      </c>
      <c r="C26879" s="5" t="str">
        <f>IFERROR(__xludf.DUMMYFUNCTION("GOOGLETRANSLATE(B26879,""en"",""zh-CN"")"),"一个男人从瓶子里喝啤酒。")</f>
        <v>一个男人从瓶子里喝啤酒。</v>
      </c>
    </row>
    <row r="26880">
      <c r="A26880" s="4" t="s">
        <v>33830</v>
      </c>
      <c r="B26880" s="6" t="s">
        <v>33831</v>
      </c>
      <c r="C26880" s="5" t="str">
        <f>IFERROR(__xludf.DUMMYFUNCTION("GOOGLETRANSLATE(B26880,""en"",""zh-CN"")"),"有人看到一个人在彩弹路线上走来走去，并导致人们在玩彩弹射击并互相交谈的片段。")</f>
        <v>有人看到一个人在彩弹路线上走来走去，并导致人们在玩彩弹射击并互相交谈的片段。</v>
      </c>
    </row>
    <row r="26881">
      <c r="A26881" s="4" t="s">
        <v>33830</v>
      </c>
      <c r="B26881" s="6" t="s">
        <v>33832</v>
      </c>
      <c r="C26881" s="5" t="str">
        <f>IFERROR(__xludf.DUMMYFUNCTION("GOOGLETRANSLATE(B26881,""en"",""zh-CN"")"),"一个人指着相机，并导致更多人互相玩耍和合作的镜头。")</f>
        <v>一个人指着相机，并导致更多人互相玩耍和合作的镜头。</v>
      </c>
    </row>
    <row r="26882">
      <c r="A26882" s="4" t="s">
        <v>33833</v>
      </c>
      <c r="B26882" s="4" t="s">
        <v>33834</v>
      </c>
      <c r="C26882" s="5" t="str">
        <f>IFERROR(__xludf.DUMMYFUNCTION("GOOGLETRANSLATE(B26882,""en"",""zh-CN"")"),"显示了三明治的特写，后面是成分和一个女人在相机上说话。")</f>
        <v>显示了三明治的特写，后面是成分和一个女人在相机上说话。</v>
      </c>
    </row>
    <row r="26883">
      <c r="A26883" s="4" t="s">
        <v>33833</v>
      </c>
      <c r="B26883" s="6" t="s">
        <v>33835</v>
      </c>
      <c r="C26883" s="5" t="str">
        <f>IFERROR(__xludf.DUMMYFUNCTION("GOOGLETRANSLATE(B26883,""en"",""zh-CN"")"),"布置了几种成分，并逐一展示，而女人将它们全部混合在一起。")</f>
        <v>布置了几种成分，并逐一展示，而女人将它们全部混合在一起。</v>
      </c>
    </row>
    <row r="26884">
      <c r="A26884" s="4" t="s">
        <v>33833</v>
      </c>
      <c r="B26884" s="6" t="s">
        <v>33836</v>
      </c>
      <c r="C26884" s="5" t="str">
        <f>IFERROR(__xludf.DUMMYFUNCTION("GOOGLETRANSLATE(B26884,""en"",""zh-CN"")"),"然后，她将混合物倒在一片休息片上，并在不断讲话时将其放在盘子上。")</f>
        <v>然后，她将混合物倒在一片休息片上，并在不断讲话时将其放在盘子上。</v>
      </c>
    </row>
    <row r="26885">
      <c r="A26885" s="4" t="s">
        <v>33837</v>
      </c>
      <c r="B26885" s="6" t="s">
        <v>33838</v>
      </c>
      <c r="C26885" s="5" t="str">
        <f>IFERROR(__xludf.DUMMYFUNCTION("GOOGLETRANSLATE(B26885,""en"",""zh-CN"")"),"一个人正在将墙纸放在墙上，他试图将其正确测量，以便甚至其余的。")</f>
        <v>一个人正在将墙纸放在墙上，他试图将其正确测量，以便甚至其余的。</v>
      </c>
    </row>
    <row r="26886">
      <c r="A26886" s="4" t="s">
        <v>33837</v>
      </c>
      <c r="B26886" s="6" t="s">
        <v>33839</v>
      </c>
      <c r="C26886" s="5" t="str">
        <f>IFERROR(__xludf.DUMMYFUNCTION("GOOGLETRANSLATE(B26886,""en"",""zh-CN"")"),"他切了一些纸，将塑料部分从背面取下，使其粘稠，并开始将粘合剂向下压在墙壁上。")</f>
        <v>他切了一些纸，将塑料部分从背面取下，使其粘稠，并开始将粘合剂向下压在墙壁上。</v>
      </c>
    </row>
    <row r="26887">
      <c r="A26887" s="4" t="s">
        <v>33837</v>
      </c>
      <c r="B26887" s="4" t="s">
        <v>33840</v>
      </c>
      <c r="C26887" s="5" t="str">
        <f>IFERROR(__xludf.DUMMYFUNCTION("GOOGLETRANSLATE(B26887,""en"",""zh-CN"")"),"他开始增加压力，以使任何气泡脱落，而且看起来不错，均匀。")</f>
        <v>他开始增加压力，以使任何气泡脱落，而且看起来不错，均匀。</v>
      </c>
    </row>
    <row r="26888">
      <c r="A26888" s="4" t="s">
        <v>33837</v>
      </c>
      <c r="B26888" s="6" t="s">
        <v>33841</v>
      </c>
      <c r="C26888" s="5" t="str">
        <f>IFERROR(__xludf.DUMMYFUNCTION("GOOGLETRANSLATE(B26888,""en"",""zh-CN"")"),"他站起来看墙壁，确保它看起来不错，然后在照片前和之后显示一个。")</f>
        <v>他站起来看墙壁，确保它看起来不错，然后在照片前和之后显示一个。</v>
      </c>
    </row>
    <row r="26889">
      <c r="A26889" s="4" t="s">
        <v>33842</v>
      </c>
      <c r="B26889" s="4" t="s">
        <v>33843</v>
      </c>
      <c r="C26889" s="5" t="str">
        <f>IFERROR(__xludf.DUMMYFUNCTION("GOOGLETRANSLATE(B26889,""en"",""zh-CN"")"),"一个男人跪在田野上。")</f>
        <v>一个男人跪在田野上。</v>
      </c>
    </row>
    <row r="26890">
      <c r="A26890" s="4" t="s">
        <v>33842</v>
      </c>
      <c r="B26890" s="4" t="s">
        <v>33844</v>
      </c>
      <c r="C26890" s="5" t="str">
        <f>IFERROR(__xludf.DUMMYFUNCTION("GOOGLETRANSLATE(B26890,""en"",""zh-CN"")"),"他捡起一个重的球，并用它来执行许多运动技巧。")</f>
        <v>他捡起一个重的球，并用它来执行许多运动技巧。</v>
      </c>
    </row>
    <row r="26891">
      <c r="A26891" s="4" t="s">
        <v>33842</v>
      </c>
      <c r="B26891" s="4" t="s">
        <v>33845</v>
      </c>
      <c r="C26891" s="5" t="str">
        <f>IFERROR(__xludf.DUMMYFUNCTION("GOOGLETRANSLATE(B26891,""en"",""zh-CN"")"),"然后，他将其放回草地上。")</f>
        <v>然后，他将其放回草地上。</v>
      </c>
    </row>
    <row r="26892">
      <c r="A26892" s="4" t="s">
        <v>33846</v>
      </c>
      <c r="B26892" s="4" t="s">
        <v>33847</v>
      </c>
      <c r="C26892" s="5" t="str">
        <f>IFERROR(__xludf.DUMMYFUNCTION("GOOGLETRANSLATE(B26892,""en"",""zh-CN"")"),"看到一条船沿着水骑行，一个男人驾驶其他人。")</f>
        <v>看到一条船沿着水骑行，一个男人驾驶其他人。</v>
      </c>
    </row>
    <row r="26893">
      <c r="A26893" s="4" t="s">
        <v>33846</v>
      </c>
      <c r="B26893" s="4" t="s">
        <v>33848</v>
      </c>
      <c r="C26893" s="5" t="str">
        <f>IFERROR(__xludf.DUMMYFUNCTION("GOOGLETRANSLATE(B26893,""en"",""zh-CN"")"),"看到一个人在后面骑行，在他的板上进行了几次翻转和技巧。")</f>
        <v>看到一个人在后面骑行，在他的板上进行了几次翻转和技巧。</v>
      </c>
    </row>
    <row r="26894">
      <c r="A26894" s="4" t="s">
        <v>33846</v>
      </c>
      <c r="B26894" s="6" t="s">
        <v>33849</v>
      </c>
      <c r="C26894" s="5" t="str">
        <f>IFERROR(__xludf.DUMMYFUNCTION("GOOGLETRANSLATE(B26894,""en"",""zh-CN"")"),"人们继续翻转并回望相机时，看着那个人以及相机。")</f>
        <v>人们继续翻转并回望相机时，看着那个人以及相机。</v>
      </c>
    </row>
    <row r="26895">
      <c r="A26895" s="4" t="s">
        <v>33850</v>
      </c>
      <c r="B26895" s="4" t="s">
        <v>33851</v>
      </c>
      <c r="C26895" s="5" t="str">
        <f>IFERROR(__xludf.DUMMYFUNCTION("GOOGLETRANSLATE(B26895,""en"",""zh-CN"")"),"一个男人在雪山下滑雪。")</f>
        <v>一个男人在雪山下滑雪。</v>
      </c>
    </row>
    <row r="26896">
      <c r="A26896" s="4" t="s">
        <v>33850</v>
      </c>
      <c r="B26896" s="4" t="s">
        <v>33852</v>
      </c>
      <c r="C26896" s="5" t="str">
        <f>IFERROR(__xludf.DUMMYFUNCTION("GOOGLETRANSLATE(B26896,""en"",""zh-CN"")"),"他在空中跳来跳去，从管道上做技巧。")</f>
        <v>他在空中跳来跳去，从管道上做技巧。</v>
      </c>
    </row>
    <row r="26897">
      <c r="A26897" s="4" t="s">
        <v>33853</v>
      </c>
      <c r="B26897" s="4" t="s">
        <v>33854</v>
      </c>
      <c r="C26897" s="5" t="str">
        <f>IFERROR(__xludf.DUMMYFUNCTION("GOOGLETRANSLATE(B26897,""en"",""zh-CN"")"),"一个男人在调整皮带时四处走动，房间里有许多其他人。")</f>
        <v>一个男人在调整皮带时四处走动，房间里有许多其他人。</v>
      </c>
    </row>
    <row r="26898">
      <c r="A26898" s="4" t="s">
        <v>33853</v>
      </c>
      <c r="B26898" s="4" t="s">
        <v>33855</v>
      </c>
      <c r="C26898" s="5" t="str">
        <f>IFERROR(__xludf.DUMMYFUNCTION("GOOGLETRANSLATE(B26898,""en"",""zh-CN"")"),"该男子走过另一个男人的隧道。")</f>
        <v>该男子走过另一个男人的隧道。</v>
      </c>
    </row>
    <row r="26899">
      <c r="A26899" s="4" t="s">
        <v>33853</v>
      </c>
      <c r="B26899" s="4" t="s">
        <v>33856</v>
      </c>
      <c r="C26899" s="5" t="str">
        <f>IFERROR(__xludf.DUMMYFUNCTION("GOOGLETRANSLATE(B26899,""en"",""zh-CN"")"),"该男子登上舞台并喂他的手。")</f>
        <v>该男子登上舞台并喂他的手。</v>
      </c>
    </row>
    <row r="26900">
      <c r="A26900" s="4" t="s">
        <v>33853</v>
      </c>
      <c r="B26900" s="4" t="s">
        <v>33857</v>
      </c>
      <c r="C26900" s="5" t="str">
        <f>IFERROR(__xludf.DUMMYFUNCTION("GOOGLETRANSLATE(B26900,""en"",""zh-CN"")"),"该男子在重量的杠铃前走。")</f>
        <v>该男子在重量的杠铃前走。</v>
      </c>
    </row>
    <row r="26901">
      <c r="A26901" s="4" t="s">
        <v>33853</v>
      </c>
      <c r="B26901" s="4" t="s">
        <v>33858</v>
      </c>
      <c r="C26901" s="5" t="str">
        <f>IFERROR(__xludf.DUMMYFUNCTION("GOOGLETRANSLATE(B26901,""en"",""zh-CN"")"),"该男子举重。")</f>
        <v>该男子举重。</v>
      </c>
    </row>
    <row r="26902">
      <c r="A26902" s="4" t="s">
        <v>33853</v>
      </c>
      <c r="B26902" s="4" t="s">
        <v>33859</v>
      </c>
      <c r="C26902" s="5" t="str">
        <f>IFERROR(__xludf.DUMMYFUNCTION("GOOGLETRANSLATE(B26902,""en"",""zh-CN"")"),"该男子掉了重量。")</f>
        <v>该男子掉了重量。</v>
      </c>
    </row>
    <row r="26903">
      <c r="A26903" s="4" t="s">
        <v>33853</v>
      </c>
      <c r="B26903" s="4" t="s">
        <v>33860</v>
      </c>
      <c r="C26903" s="5" t="str">
        <f>IFERROR(__xludf.DUMMYFUNCTION("GOOGLETRANSLATE(B26903,""en"",""zh-CN"")"),"当服务员在舞台上移动重量时，该男子走下舞台。")</f>
        <v>当服务员在舞台上移动重量时，该男子走下舞台。</v>
      </c>
    </row>
    <row r="26904">
      <c r="A26904" s="4" t="s">
        <v>33853</v>
      </c>
      <c r="B26904" s="4" t="s">
        <v>33861</v>
      </c>
      <c r="C26904" s="5" t="str">
        <f>IFERROR(__xludf.DUMMYFUNCTION("GOOGLETRANSLATE(B26904,""en"",""zh-CN"")"),"升力的重放是从不同角度显示的。")</f>
        <v>升力的重放是从不同角度显示的。</v>
      </c>
    </row>
    <row r="26905">
      <c r="A26905" s="4" t="s">
        <v>33862</v>
      </c>
      <c r="B26905" s="4" t="s">
        <v>33863</v>
      </c>
      <c r="C26905" s="5" t="str">
        <f>IFERROR(__xludf.DUMMYFUNCTION("GOOGLETRANSLATE(B26905,""en"",""zh-CN"")"),"一位女士站在桌子上的成分。")</f>
        <v>一位女士站在桌子上的成分。</v>
      </c>
    </row>
    <row r="26906">
      <c r="A26906" s="4" t="s">
        <v>33862</v>
      </c>
      <c r="B26906" s="6" t="s">
        <v>33864</v>
      </c>
      <c r="C26906" s="5" t="str">
        <f>IFERROR(__xludf.DUMMYFUNCTION("GOOGLETRANSLATE(B26906,""en"",""zh-CN"")"),"该名女子指出了诸如红铃辣椒，芹菜，胡萝卜，鸡胸肉，橄榄，腌制的黄瓜，瓶中的橄榄油，瓶中的橄榄油，瓶中的白葡萄酒，蛋黄酱，芥末酱，芥末和辣椒，盐和胡椒粉等成分。")</f>
        <v>该名女子指出了诸如红铃辣椒，芹菜，胡萝卜，鸡胸肉，橄榄，腌制的黄瓜，瓶中的橄榄油，瓶中的橄榄油，瓶中的白葡萄酒，蛋黄酱，芥末酱，芥末和辣椒，盐和胡椒粉等成分。</v>
      </c>
    </row>
    <row r="26907">
      <c r="A26907" s="4" t="s">
        <v>33862</v>
      </c>
      <c r="B26907" s="6" t="s">
        <v>33865</v>
      </c>
      <c r="C26907" s="5" t="str">
        <f>IFERROR(__xludf.DUMMYFUNCTION("GOOGLETRANSLATE(B26907,""en"",""zh-CN"")"),"这位女士触摸了盘子中的成分，然后将鸡肉切成薄片，将芥末，蛋黄酱和橄榄油放入碗中，然后加入蔬菜，然后与鸡肉沙拉一起显示盘子。")</f>
        <v>这位女士触摸了盘子中的成分，然后将鸡肉切成薄片，将芥末，蛋黄酱和橄榄油放入碗中，然后加入蔬菜，然后与鸡肉沙拉一起显示盘子。</v>
      </c>
    </row>
    <row r="26908">
      <c r="A26908" s="4" t="s">
        <v>33866</v>
      </c>
      <c r="B26908" s="4" t="s">
        <v>33867</v>
      </c>
      <c r="C26908" s="5" t="str">
        <f>IFERROR(__xludf.DUMMYFUNCTION("GOOGLETRANSLATE(B26908,""en"",""zh-CN"")"),"皮划艇的骑手用臀部和桨来来回机动。")</f>
        <v>皮划艇的骑手用臀部和桨来来回机动。</v>
      </c>
    </row>
    <row r="26909">
      <c r="A26909" s="4" t="s">
        <v>33866</v>
      </c>
      <c r="B26909" s="4" t="s">
        <v>33868</v>
      </c>
      <c r="C26909" s="5" t="str">
        <f>IFERROR(__xludf.DUMMYFUNCTION("GOOGLETRANSLATE(B26909,""en"",""zh-CN"")"),"皮划艇骑手浸入水中并恢复。")</f>
        <v>皮划艇骑手浸入水中并恢复。</v>
      </c>
    </row>
    <row r="26910">
      <c r="A26910" s="4" t="s">
        <v>33869</v>
      </c>
      <c r="B26910" s="4" t="s">
        <v>33870</v>
      </c>
      <c r="C26910" s="5" t="str">
        <f>IFERROR(__xludf.DUMMYFUNCTION("GOOGLETRANSLATE(B26910,""en"",""zh-CN"")"),"阿根廷和秘鲁之间正在发生游戏。")</f>
        <v>阿根廷和秘鲁之间正在发生游戏。</v>
      </c>
    </row>
    <row r="26911">
      <c r="A26911" s="4" t="s">
        <v>33869</v>
      </c>
      <c r="B26911" s="4" t="s">
        <v>33871</v>
      </c>
      <c r="C26911" s="5" t="str">
        <f>IFERROR(__xludf.DUMMYFUNCTION("GOOGLETRANSLATE(B26911,""en"",""zh-CN"")"),"拥挤的看台上的人们聚集和分散。")</f>
        <v>拥挤的看台上的人们聚集和分散。</v>
      </c>
    </row>
    <row r="26912">
      <c r="A26912" s="4" t="s">
        <v>33869</v>
      </c>
      <c r="B26912" s="4" t="s">
        <v>33872</v>
      </c>
      <c r="C26912" s="5" t="str">
        <f>IFERROR(__xludf.DUMMYFUNCTION("GOOGLETRANSLATE(B26912,""en"",""zh-CN"")"),"这些人在球场上显示，打比赛并踢球。")</f>
        <v>这些人在球场上显示，打比赛并踢球。</v>
      </c>
    </row>
    <row r="26913">
      <c r="A26913" s="4" t="s">
        <v>33869</v>
      </c>
      <c r="B26913" s="4" t="s">
        <v>33873</v>
      </c>
      <c r="C26913" s="5" t="str">
        <f>IFERROR(__xludf.DUMMYFUNCTION("GOOGLETRANSLATE(B26913,""en"",""zh-CN"")"),"记分板显示在游戏结束时进行比较。")</f>
        <v>记分板显示在游戏结束时进行比较。</v>
      </c>
    </row>
    <row r="26914">
      <c r="A26914" s="4" t="s">
        <v>33874</v>
      </c>
      <c r="B26914" s="4" t="s">
        <v>33875</v>
      </c>
      <c r="C26914" s="5" t="str">
        <f>IFERROR(__xludf.DUMMYFUNCTION("GOOGLETRANSLATE(B26914,""en"",""zh-CN"")"),"看到一个大屋顶被关闭，然后一个站在梯子上并推下瓷砖的人。")</f>
        <v>看到一个大屋顶被关闭，然后一个站在梯子上并推下瓷砖的人。</v>
      </c>
    </row>
    <row r="26915">
      <c r="A26915" s="4" t="s">
        <v>33874</v>
      </c>
      <c r="B26915" s="6" t="s">
        <v>33876</v>
      </c>
      <c r="C26915" s="5" t="str">
        <f>IFERROR(__xludf.DUMMYFUNCTION("GOOGLETRANSLATE(B26915,""en"",""zh-CN"")"),"看到越来越多的人在屋顶上工作，将瓷砖砸碎，并将其推开并与相机交谈。")</f>
        <v>看到越来越多的人在屋顶上工作，将瓷砖砸碎，并将其推开并与相机交谈。</v>
      </c>
    </row>
    <row r="26916">
      <c r="A26916" s="4" t="s">
        <v>33874</v>
      </c>
      <c r="B26916" s="6" t="s">
        <v>33877</v>
      </c>
      <c r="C26916" s="5" t="str">
        <f>IFERROR(__xludf.DUMMYFUNCTION("GOOGLETRANSLATE(B26916,""en"",""zh-CN"")"),"摄像机继续在整个屋顶以及周围的建筑物周围摇摆，人们继续工作。")</f>
        <v>摄像机继续在整个屋顶以及周围的建筑物周围摇摆，人们继续工作。</v>
      </c>
    </row>
    <row r="26917">
      <c r="A26917" s="4" t="s">
        <v>33878</v>
      </c>
      <c r="B26917" s="4" t="s">
        <v>33879</v>
      </c>
      <c r="C26917" s="5" t="str">
        <f>IFERROR(__xludf.DUMMYFUNCTION("GOOGLETRANSLATE(B26917,""en"",""zh-CN"")"),"一个女孩坐在沙发前。")</f>
        <v>一个女孩坐在沙发前。</v>
      </c>
    </row>
    <row r="26918">
      <c r="A26918" s="4" t="s">
        <v>33878</v>
      </c>
      <c r="B26918" s="4" t="s">
        <v>33880</v>
      </c>
      <c r="C26918" s="5" t="str">
        <f>IFERROR(__xludf.DUMMYFUNCTION("GOOGLETRANSLATE(B26918,""en"",""zh-CN"")"),"她开始玩笛子。")</f>
        <v>她开始玩笛子。</v>
      </c>
    </row>
    <row r="26919">
      <c r="A26919" s="4" t="s">
        <v>33878</v>
      </c>
      <c r="B26919" s="4" t="s">
        <v>33881</v>
      </c>
      <c r="C26919" s="5" t="str">
        <f>IFERROR(__xludf.DUMMYFUNCTION("GOOGLETRANSLATE(B26919,""en"",""zh-CN"")"),"她继续玩笛子白色。")</f>
        <v>她继续玩笛子白色。</v>
      </c>
    </row>
    <row r="26920">
      <c r="A26920" s="4" t="s">
        <v>33882</v>
      </c>
      <c r="B26920" s="4" t="s">
        <v>33883</v>
      </c>
      <c r="C26920" s="5" t="str">
        <f>IFERROR(__xludf.DUMMYFUNCTION("GOOGLETRANSLATE(B26920,""en"",""zh-CN"")"),"一个男人站在装满护发产品的墙壁前。")</f>
        <v>一个男人站在装满护发产品的墙壁前。</v>
      </c>
    </row>
    <row r="26921">
      <c r="A26921" s="4" t="s">
        <v>33882</v>
      </c>
      <c r="B26921" s="4" t="s">
        <v>33884</v>
      </c>
      <c r="C26921" s="5" t="str">
        <f>IFERROR(__xludf.DUMMYFUNCTION("GOOGLETRANSLATE(B26921,""en"",""zh-CN"")"),"各种剪刀和梳子都放在垫子上。")</f>
        <v>各种剪刀和梳子都放在垫子上。</v>
      </c>
    </row>
    <row r="26922">
      <c r="A26922" s="4" t="s">
        <v>33882</v>
      </c>
      <c r="B26922" s="4" t="s">
        <v>33885</v>
      </c>
      <c r="C26922" s="5" t="str">
        <f>IFERROR(__xludf.DUMMYFUNCTION("GOOGLETRANSLATE(B26922,""en"",""zh-CN"")"),"沙龙造型师毛巾然后用手通过男人的头发摩擦发型产品。")</f>
        <v>沙龙造型师毛巾然后用手通过男人的头发摩擦发型产品。</v>
      </c>
    </row>
    <row r="26923">
      <c r="A26923" s="4" t="s">
        <v>33882</v>
      </c>
      <c r="B26923" s="4" t="s">
        <v>33886</v>
      </c>
      <c r="C26923" s="5" t="str">
        <f>IFERROR(__xludf.DUMMYFUNCTION("GOOGLETRANSLATE(B26923,""en"",""zh-CN"")"),"造型师梳理了人的头发，并用剪刀剪掉。")</f>
        <v>造型师梳理了人的头发，并用剪刀剪掉。</v>
      </c>
    </row>
    <row r="26924">
      <c r="A26924" s="4" t="s">
        <v>33882</v>
      </c>
      <c r="B26924" s="4" t="s">
        <v>33887</v>
      </c>
      <c r="C26924" s="5" t="str">
        <f>IFERROR(__xludf.DUMMYFUNCTION("GOOGLETRANSLATE(B26924,""en"",""zh-CN"")"),"造型师修剪侧毛和耳朵周围。")</f>
        <v>造型师修剪侧毛和耳朵周围。</v>
      </c>
    </row>
    <row r="26925">
      <c r="A26925" s="4" t="s">
        <v>33882</v>
      </c>
      <c r="B26925" s="6" t="s">
        <v>33888</v>
      </c>
      <c r="C26925" s="5" t="str">
        <f>IFERROR(__xludf.DUMMYFUNCTION("GOOGLETRANSLATE(B26925,""en"",""zh-CN"")"),"造型师用他的手造型头发，并在切割完整的人看时会吹干。")</f>
        <v>造型师用他的手造型头发，并在切割完整的人看时会吹干。</v>
      </c>
    </row>
    <row r="26926">
      <c r="A26926" s="4" t="s">
        <v>33889</v>
      </c>
      <c r="B26926" s="4" t="s">
        <v>33890</v>
      </c>
      <c r="C26926" s="5" t="str">
        <f>IFERROR(__xludf.DUMMYFUNCTION("GOOGLETRANSLATE(B26926,""en"",""zh-CN"")"),"我们看到一个微笑的男人在屏幕上有积分。")</f>
        <v>我们看到一个微笑的男人在屏幕上有积分。</v>
      </c>
    </row>
    <row r="26927">
      <c r="A26927" s="4" t="s">
        <v>33889</v>
      </c>
      <c r="B26927" s="4" t="s">
        <v>33891</v>
      </c>
      <c r="C26927" s="5" t="str">
        <f>IFERROR(__xludf.DUMMYFUNCTION("GOOGLETRANSLATE(B26927,""en"",""zh-CN"")"),"我们看到一个教学屏幕。")</f>
        <v>我们看到一个教学屏幕。</v>
      </c>
    </row>
    <row r="26928">
      <c r="A26928" s="4" t="s">
        <v>33889</v>
      </c>
      <c r="B26928" s="4" t="s">
        <v>33892</v>
      </c>
      <c r="C26928" s="5" t="str">
        <f>IFERROR(__xludf.DUMMYFUNCTION("GOOGLETRANSLATE(B26928,""en"",""zh-CN"")"),"我们看到两个人在玩壁球比赛。")</f>
        <v>我们看到两个人在玩壁球比赛。</v>
      </c>
    </row>
    <row r="26929">
      <c r="A26929" s="4" t="s">
        <v>33889</v>
      </c>
      <c r="B26929" s="4" t="s">
        <v>5107</v>
      </c>
      <c r="C26929" s="5" t="str">
        <f>IFERROR(__xludf.DUMMYFUNCTION("GOOGLETRANSLATE(B26929,""en"",""zh-CN"")"),"然后，我们看到结尾标题屏幕。")</f>
        <v>然后，我们看到结尾标题屏幕。</v>
      </c>
    </row>
    <row r="26930">
      <c r="A26930" s="4" t="s">
        <v>33893</v>
      </c>
      <c r="B26930" s="6" t="s">
        <v>33894</v>
      </c>
      <c r="C26930" s="5" t="str">
        <f>IFERROR(__xludf.DUMMYFUNCTION("GOOGLETRANSLATE(B26930,""en"",""zh-CN"")"),"女人正在吃麸皮，放一些睫毛膏，洗牙齿，用漱口水清洁嘴。")</f>
        <v>女人正在吃麸皮，放一些睫毛膏，洗牙齿，用漱口水清洁嘴。</v>
      </c>
    </row>
    <row r="26931">
      <c r="A26931" s="4" t="s">
        <v>33893</v>
      </c>
      <c r="B26931" s="4" t="s">
        <v>33895</v>
      </c>
      <c r="C26931" s="5" t="str">
        <f>IFERROR(__xludf.DUMMYFUNCTION("GOOGLETRANSLATE(B26931,""en"",""zh-CN"")"),"记者在新闻中谈论。")</f>
        <v>记者在新闻中谈论。</v>
      </c>
    </row>
    <row r="26932">
      <c r="A26932" s="4" t="s">
        <v>33896</v>
      </c>
      <c r="B26932" s="4" t="s">
        <v>33897</v>
      </c>
      <c r="C26932" s="5" t="str">
        <f>IFERROR(__xludf.DUMMYFUNCTION("GOOGLETRANSLATE(B26932,""en"",""zh-CN"")"),"一个女人在水槽上洗手。")</f>
        <v>一个女人在水槽上洗手。</v>
      </c>
    </row>
    <row r="26933">
      <c r="A26933" s="4" t="s">
        <v>33896</v>
      </c>
      <c r="B26933" s="4" t="s">
        <v>33898</v>
      </c>
      <c r="C26933" s="5" t="str">
        <f>IFERROR(__xludf.DUMMYFUNCTION("GOOGLETRANSLATE(B26933,""en"",""zh-CN"")"),"她在水槽里冲洗手。")</f>
        <v>她在水槽里冲洗手。</v>
      </c>
    </row>
    <row r="26934">
      <c r="A26934" s="4" t="s">
        <v>33896</v>
      </c>
      <c r="B26934" s="4" t="s">
        <v>33899</v>
      </c>
      <c r="C26934" s="5" t="str">
        <f>IFERROR(__xludf.DUMMYFUNCTION("GOOGLETRANSLATE(B26934,""en"",""zh-CN"")"),"她抓住纸巾，干了手。")</f>
        <v>她抓住纸巾，干了手。</v>
      </c>
    </row>
    <row r="26935">
      <c r="A26935" s="4" t="s">
        <v>33900</v>
      </c>
      <c r="B26935" s="4" t="s">
        <v>33901</v>
      </c>
      <c r="C26935" s="5" t="str">
        <f>IFERROR(__xludf.DUMMYFUNCTION("GOOGLETRANSLATE(B26935,""en"",""zh-CN"")"),"我们在灰色上看到标题屏幕。")</f>
        <v>我们在灰色上看到标题屏幕。</v>
      </c>
    </row>
    <row r="26936">
      <c r="A26936" s="4" t="s">
        <v>33900</v>
      </c>
      <c r="B26936" s="4" t="s">
        <v>33902</v>
      </c>
      <c r="C26936" s="5" t="str">
        <f>IFERROR(__xludf.DUMMYFUNCTION("GOOGLETRANSLATE(B26936,""en"",""zh-CN"")"),"两个人在壁球。")</f>
        <v>两个人在壁球。</v>
      </c>
    </row>
    <row r="26937">
      <c r="A26937" s="4" t="s">
        <v>33900</v>
      </c>
      <c r="B26937" s="4" t="s">
        <v>33903</v>
      </c>
      <c r="C26937" s="5" t="str">
        <f>IFERROR(__xludf.DUMMYFUNCTION("GOOGLETRANSLATE(B26937,""en"",""zh-CN"")"),"我们看到了一个过渡迫使练习。")</f>
        <v>我们看到了一个过渡迫使练习。</v>
      </c>
    </row>
    <row r="26938">
      <c r="A26938" s="4" t="s">
        <v>33900</v>
      </c>
      <c r="B26938" s="4" t="s">
        <v>33904</v>
      </c>
      <c r="C26938" s="5" t="str">
        <f>IFERROR(__xludf.DUMMYFUNCTION("GOOGLETRANSLATE(B26938,""en"",""zh-CN"")"),"过渡开始，但不会改变任何东西。")</f>
        <v>过渡开始，但不会改变任何东西。</v>
      </c>
    </row>
    <row r="26939">
      <c r="A26939" s="4" t="s">
        <v>33900</v>
      </c>
      <c r="B26939" s="4" t="s">
        <v>33905</v>
      </c>
      <c r="C26939" s="5" t="str">
        <f>IFERROR(__xludf.DUMMYFUNCTION("GOOGLETRANSLATE(B26939,""en"",""zh-CN"")"),"白色的男人用袖子擦眉头。")</f>
        <v>白色的男人用袖子擦眉头。</v>
      </c>
    </row>
    <row r="26940">
      <c r="A26940" s="4" t="s">
        <v>33900</v>
      </c>
      <c r="B26940" s="4" t="s">
        <v>33906</v>
      </c>
      <c r="C26940" s="5" t="str">
        <f>IFERROR(__xludf.DUMMYFUNCTION("GOOGLETRANSLATE(B26940,""en"",""zh-CN"")"),"结束信用率在屏幕上运行。")</f>
        <v>结束信用率在屏幕上运行。</v>
      </c>
    </row>
    <row r="26941">
      <c r="A26941" s="4" t="s">
        <v>33907</v>
      </c>
      <c r="B26941" s="4" t="s">
        <v>33908</v>
      </c>
      <c r="C26941" s="5" t="str">
        <f>IFERROR(__xludf.DUMMYFUNCTION("GOOGLETRANSLATE(B26941,""en"",""zh-CN"")"),"一个女人跪在桌子旁边的地面上。")</f>
        <v>一个女人跪在桌子旁边的地面上。</v>
      </c>
    </row>
    <row r="26942">
      <c r="A26942" s="4" t="s">
        <v>33907</v>
      </c>
      <c r="B26942" s="4" t="s">
        <v>33909</v>
      </c>
      <c r="C26942" s="5" t="str">
        <f>IFERROR(__xludf.DUMMYFUNCTION("GOOGLETRANSLATE(B26942,""en"",""zh-CN"")"),"她开始用油漆刷将桌子涂成白色。")</f>
        <v>她开始用油漆刷将桌子涂成白色。</v>
      </c>
    </row>
    <row r="26943">
      <c r="A26943" s="4" t="s">
        <v>33907</v>
      </c>
      <c r="B26943" s="4" t="s">
        <v>33910</v>
      </c>
      <c r="C26943" s="5" t="str">
        <f>IFERROR(__xludf.DUMMYFUNCTION("GOOGLETRANSLATE(B26943,""en"",""zh-CN"")"),"然后，她开始画两个抽屉橙。")</f>
        <v>然后，她开始画两个抽屉橙。</v>
      </c>
    </row>
    <row r="26944">
      <c r="A26944" s="4" t="s">
        <v>33911</v>
      </c>
      <c r="B26944" s="4" t="s">
        <v>33912</v>
      </c>
      <c r="C26944" s="5" t="str">
        <f>IFERROR(__xludf.DUMMYFUNCTION("GOOGLETRANSLATE(B26944,""en"",""zh-CN"")"),"人们轮流向飞镖扔飞镖。")</f>
        <v>人们轮流向飞镖扔飞镖。</v>
      </c>
    </row>
    <row r="26945">
      <c r="A26945" s="4" t="s">
        <v>33911</v>
      </c>
      <c r="B26945" s="4" t="s">
        <v>33913</v>
      </c>
      <c r="C26945" s="5" t="str">
        <f>IFERROR(__xludf.DUMMYFUNCTION("GOOGLETRANSLATE(B26945,""en"",""zh-CN"")"),"人群中的一个女人为他们鼓掌。")</f>
        <v>人群中的一个女人为他们鼓掌。</v>
      </c>
    </row>
    <row r="26946">
      <c r="A26946" s="4" t="s">
        <v>33911</v>
      </c>
      <c r="B26946" s="4" t="s">
        <v>33914</v>
      </c>
      <c r="C26946" s="5" t="str">
        <f>IFERROR(__xludf.DUMMYFUNCTION("GOOGLETRANSLATE(B26946,""en"",""zh-CN"")"),"一个人用杯子喝一杯。")</f>
        <v>一个人用杯子喝一杯。</v>
      </c>
    </row>
    <row r="26947">
      <c r="A26947" s="4" t="s">
        <v>33915</v>
      </c>
      <c r="B26947" s="4" t="s">
        <v>33916</v>
      </c>
      <c r="C26947" s="5" t="str">
        <f>IFERROR(__xludf.DUMMYFUNCTION("GOOGLETRANSLATE(B26947,""en"",""zh-CN"")"),"一个人在船的边缘划船。")</f>
        <v>一个人在船的边缘划船。</v>
      </c>
    </row>
    <row r="26948">
      <c r="A26948" s="4" t="s">
        <v>33915</v>
      </c>
      <c r="B26948" s="4" t="s">
        <v>33917</v>
      </c>
      <c r="C26948" s="5" t="str">
        <f>IFERROR(__xludf.DUMMYFUNCTION("GOOGLETRANSLATE(B26948,""en"",""zh-CN"")"),"该人拿出钓鱼钩。")</f>
        <v>该人拿出钓鱼钩。</v>
      </c>
    </row>
    <row r="26949">
      <c r="A26949" s="4" t="s">
        <v>33915</v>
      </c>
      <c r="B26949" s="4" t="s">
        <v>33918</v>
      </c>
      <c r="C26949" s="5" t="str">
        <f>IFERROR(__xludf.DUMMYFUNCTION("GOOGLETRANSLATE(B26949,""en"",""zh-CN"")"),"这个人开始在他的边缘钓鱼。")</f>
        <v>这个人开始在他的边缘钓鱼。</v>
      </c>
    </row>
    <row r="26950">
      <c r="A26950" s="4" t="s">
        <v>33919</v>
      </c>
      <c r="B26950" s="6" t="s">
        <v>33920</v>
      </c>
      <c r="C26950" s="5" t="str">
        <f>IFERROR(__xludf.DUMMYFUNCTION("GOOGLETRANSLATE(B26950,""en"",""zh-CN"")"),"看到一个女人在一个大舞台上表演肚皮舞的例行活动，其他人在侧面看着。")</f>
        <v>看到一个女人在一个大舞台上表演肚皮舞的例行活动，其他人在侧面看着。</v>
      </c>
    </row>
    <row r="26951">
      <c r="A26951" s="4" t="s">
        <v>33919</v>
      </c>
      <c r="B26951" s="6" t="s">
        <v>33921</v>
      </c>
      <c r="C26951" s="5" t="str">
        <f>IFERROR(__xludf.DUMMYFUNCTION("GOOGLETRANSLATE(B26951,""en"",""zh-CN"")"),"该名女子继续在舞台上跳舞和旋转，并以摆姿势和走开结束。")</f>
        <v>该名女子继续在舞台上跳舞和旋转，并以摆姿势和走开结束。</v>
      </c>
    </row>
    <row r="26952">
      <c r="A26952" s="4" t="s">
        <v>33922</v>
      </c>
      <c r="B26952" s="4" t="s">
        <v>33923</v>
      </c>
      <c r="C26952" s="5" t="str">
        <f>IFERROR(__xludf.DUMMYFUNCTION("GOOGLETRANSLATE(B26952,""en"",""zh-CN"")"),"有一群游行乐队的学生演奏小号。")</f>
        <v>有一群游行乐队的学生演奏小号。</v>
      </c>
    </row>
    <row r="26953">
      <c r="A26953" s="4" t="s">
        <v>33922</v>
      </c>
      <c r="B26953" s="4" t="s">
        <v>33924</v>
      </c>
      <c r="C26953" s="5" t="str">
        <f>IFERROR(__xludf.DUMMYFUNCTION("GOOGLETRANSLATE(B26953,""en"",""zh-CN"")"),"它们穿着栗色和黄色的制服和白色帽子。")</f>
        <v>它们穿着栗色和黄色的制服和白色帽子。</v>
      </c>
    </row>
    <row r="26954">
      <c r="A26954" s="4" t="s">
        <v>33922</v>
      </c>
      <c r="B26954" s="4" t="s">
        <v>33925</v>
      </c>
      <c r="C26954" s="5" t="str">
        <f>IFERROR(__xludf.DUMMYFUNCTION("GOOGLETRANSLATE(B26954,""en"",""zh-CN"")"),"有一些学生在鼓，一些学生演奏小号。")</f>
        <v>有一些学生在鼓，一些学生演奏小号。</v>
      </c>
    </row>
    <row r="26955">
      <c r="A26955" s="4" t="s">
        <v>33922</v>
      </c>
      <c r="B26955" s="4" t="s">
        <v>33926</v>
      </c>
      <c r="C26955" s="5" t="str">
        <f>IFERROR(__xludf.DUMMYFUNCTION("GOOGLETRANSLATE(B26955,""en"",""zh-CN"")"),"当他们沿着街道行进时，他们继续演奏乐队。")</f>
        <v>当他们沿着街道行进时，他们继续演奏乐队。</v>
      </c>
    </row>
    <row r="26956">
      <c r="A26956" s="4" t="s">
        <v>33927</v>
      </c>
      <c r="B26956" s="4" t="s">
        <v>33928</v>
      </c>
      <c r="C26956" s="5" t="str">
        <f>IFERROR(__xludf.DUMMYFUNCTION("GOOGLETRANSLATE(B26956,""en"",""zh-CN"")"),"一个摔跤手正在走出去，进入戒指。")</f>
        <v>一个摔跤手正在走出去，进入戒指。</v>
      </c>
    </row>
    <row r="26957">
      <c r="A26957" s="4" t="s">
        <v>33927</v>
      </c>
      <c r="B26957" s="4" t="s">
        <v>33929</v>
      </c>
      <c r="C26957" s="5" t="str">
        <f>IFERROR(__xludf.DUMMYFUNCTION("GOOGLETRANSLATE(B26957,""en"",""zh-CN"")"),"有人躺在他们的肚子上纹身。")</f>
        <v>有人躺在他们的肚子上纹身。</v>
      </c>
    </row>
    <row r="26958">
      <c r="A26958" s="4" t="s">
        <v>33927</v>
      </c>
      <c r="B26958" s="4" t="s">
        <v>33930</v>
      </c>
      <c r="C26958" s="5" t="str">
        <f>IFERROR(__xludf.DUMMYFUNCTION("GOOGLETRANSLATE(B26958,""en"",""zh-CN"")"),"一个穿着红色衬衫的男人正在纹身那个男人躺下。")</f>
        <v>一个穿着红色衬衫的男人正在纹身那个男人躺下。</v>
      </c>
    </row>
    <row r="26959">
      <c r="A26959" s="4" t="s">
        <v>33927</v>
      </c>
      <c r="B26959" s="4" t="s">
        <v>33931</v>
      </c>
      <c r="C26959" s="5" t="str">
        <f>IFERROR(__xludf.DUMMYFUNCTION("GOOGLETRANSLATE(B26959,""en"",""zh-CN"")"),"摔跤手再次显示。")</f>
        <v>摔跤手再次显示。</v>
      </c>
    </row>
    <row r="26960">
      <c r="A26960" s="4" t="s">
        <v>33932</v>
      </c>
      <c r="B26960" s="6" t="s">
        <v>33933</v>
      </c>
      <c r="C26960" s="5" t="str">
        <f>IFERROR(__xludf.DUMMYFUNCTION("GOOGLETRANSLATE(B26960,""en"",""zh-CN"")"),"一位演员杰森·斯托姆（Jason Stathom）坐在蓝色的躺椅上，讲一个深夜电视节目主持人吉米·法伦（Jimmy Fallon）的名字，他坐在桌子后面。")</f>
        <v>一位演员杰森·斯托姆（Jason Stathom）坐在蓝色的躺椅上，讲一个深夜电视节目主持人吉米·法伦（Jimmy Fallon）的名字，他坐在桌子后面。</v>
      </c>
    </row>
    <row r="26961">
      <c r="A26961" s="4" t="s">
        <v>33932</v>
      </c>
      <c r="B26961" s="4" t="s">
        <v>33934</v>
      </c>
      <c r="C26961" s="5" t="str">
        <f>IFERROR(__xludf.DUMMYFUNCTION("GOOGLETRANSLATE(B26961,""en"",""zh-CN"")"),"两人继续讲话，然后他们俩都以开玩笑的方式站起来，走到桌子上。")</f>
        <v>两人继续讲话，然后他们俩都以开玩笑的方式站起来，走到桌子上。</v>
      </c>
    </row>
    <row r="26962">
      <c r="A26962" s="4" t="s">
        <v>33932</v>
      </c>
      <c r="B26962" s="4" t="s">
        <v>33935</v>
      </c>
      <c r="C26962" s="5" t="str">
        <f>IFERROR(__xludf.DUMMYFUNCTION("GOOGLETRANSLATE(B26962,""en"",""zh-CN"")"),"他们俩都站在桌子的​​末端，开始摔跤和说话。")</f>
        <v>他们俩都站在桌子的​​末端，开始摔跤和说话。</v>
      </c>
    </row>
    <row r="26963">
      <c r="A26963" s="4" t="s">
        <v>33932</v>
      </c>
      <c r="B26963" s="4" t="s">
        <v>33936</v>
      </c>
      <c r="C26963" s="5" t="str">
        <f>IFERROR(__xludf.DUMMYFUNCTION("GOOGLETRANSLATE(B26963,""en"",""zh-CN"")"),"经过长时间的过去，演员赢得了胜利，开始为自己欢呼。")</f>
        <v>经过长时间的过去，演员赢得了胜利，开始为自己欢呼。</v>
      </c>
    </row>
    <row r="26964">
      <c r="A26964" s="4" t="s">
        <v>33937</v>
      </c>
      <c r="B26964" s="4" t="s">
        <v>33938</v>
      </c>
      <c r="C26964" s="5" t="str">
        <f>IFERROR(__xludf.DUMMYFUNCTION("GOOGLETRANSLATE(B26964,""en"",""zh-CN"")"),"一位穿着白衬衫的女人穿着短发。")</f>
        <v>一位穿着白衬衫的女人穿着短发。</v>
      </c>
    </row>
    <row r="26965">
      <c r="A26965" s="4" t="s">
        <v>33937</v>
      </c>
      <c r="B26965" s="6" t="s">
        <v>33939</v>
      </c>
      <c r="C26965" s="5" t="str">
        <f>IFERROR(__xludf.DUMMYFUNCTION("GOOGLETRANSLATE(B26965,""en"",""zh-CN"")"),"一位穿着白色衬衫的男人正在用白色背景剪下女孩的头发，然后他编织了头发的后部，然后继续剪和造型女孩的头发。")</f>
        <v>一位穿着白色衬衫的男人正在用白色背景剪下女孩的头发，然后他编织了头发的后部，然后继续剪和造型女孩的头发。</v>
      </c>
    </row>
    <row r="26966">
      <c r="A26966" s="4" t="s">
        <v>33940</v>
      </c>
      <c r="B26966" s="6" t="s">
        <v>33941</v>
      </c>
      <c r="C26966" s="5" t="str">
        <f>IFERROR(__xludf.DUMMYFUNCTION("GOOGLETRANSLATE(B26966,""en"",""zh-CN"")"),"看到一个男人跪在地板上，然后射击他放石膏，并显示了瓷砖。")</f>
        <v>看到一个男人跪在地板上，然后射击他放石膏，并显示了瓷砖。</v>
      </c>
    </row>
    <row r="26967">
      <c r="A26967" s="4" t="s">
        <v>33940</v>
      </c>
      <c r="B26967" s="6" t="s">
        <v>33942</v>
      </c>
      <c r="C26967" s="5" t="str">
        <f>IFERROR(__xludf.DUMMYFUNCTION("GOOGLETRANSLATE(B26967,""en"",""zh-CN"")"),"然后，他钻进一个水桶，将石膏放下，并再次将瓷砖放在地板上，并显示他最终工作的更多镜头。")</f>
        <v>然后，他钻进一个水桶，将石膏放下，并再次将瓷砖放在地板上，并显示他最终工作的更多镜头。</v>
      </c>
    </row>
    <row r="26968">
      <c r="A26968" s="4" t="s">
        <v>33943</v>
      </c>
      <c r="B26968" s="4" t="s">
        <v>33944</v>
      </c>
      <c r="C26968" s="5" t="str">
        <f>IFERROR(__xludf.DUMMYFUNCTION("GOOGLETRANSLATE(B26968,""en"",""zh-CN"")"),"孩子正站在舞台前扮演康加斯。")</f>
        <v>孩子正站在舞台前扮演康加斯。</v>
      </c>
    </row>
    <row r="26969">
      <c r="A26969" s="4" t="s">
        <v>33943</v>
      </c>
      <c r="B26969" s="4" t="s">
        <v>33945</v>
      </c>
      <c r="C26969" s="5" t="str">
        <f>IFERROR(__xludf.DUMMYFUNCTION("GOOGLETRANSLATE(B26969,""en"",""zh-CN"")"),"在他身后是一个扮演手鼓的女孩，一个男孩扮演三角形。")</f>
        <v>在他身后是一个扮演手鼓的女孩，一个男孩扮演三角形。</v>
      </c>
    </row>
    <row r="26970">
      <c r="A26970" s="4" t="s">
        <v>33943</v>
      </c>
      <c r="B26970" s="4" t="s">
        <v>33946</v>
      </c>
      <c r="C26970" s="5" t="str">
        <f>IFERROR(__xludf.DUMMYFUNCTION("GOOGLETRANSLATE(B26970,""en"",""zh-CN"")"),"在背景中，孩子们站在舞台上正在打鼓。")</f>
        <v>在背景中，孩子们站在舞台上正在打鼓。</v>
      </c>
    </row>
    <row r="26971">
      <c r="A26971" s="4" t="s">
        <v>33947</v>
      </c>
      <c r="B26971" s="4" t="s">
        <v>33948</v>
      </c>
      <c r="C26971" s="5" t="str">
        <f>IFERROR(__xludf.DUMMYFUNCTION("GOOGLETRANSLATE(B26971,""en"",""zh-CN"")"),"一个男人坐在桌子旁。")</f>
        <v>一个男人坐在桌子旁。</v>
      </c>
    </row>
    <row r="26972">
      <c r="A26972" s="4" t="s">
        <v>33947</v>
      </c>
      <c r="B26972" s="4" t="s">
        <v>33949</v>
      </c>
      <c r="C26972" s="5" t="str">
        <f>IFERROR(__xludf.DUMMYFUNCTION("GOOGLETRANSLATE(B26972,""en"",""zh-CN"")"),"一个女人走到桌子上，掉进了他的怀里。")</f>
        <v>一个女人走到桌子上，掉进了他的怀里。</v>
      </c>
    </row>
    <row r="26973">
      <c r="A26973" s="4" t="s">
        <v>33947</v>
      </c>
      <c r="B26973" s="4" t="s">
        <v>33950</v>
      </c>
      <c r="C26973" s="5" t="str">
        <f>IFERROR(__xludf.DUMMYFUNCTION("GOOGLETRANSLATE(B26973,""en"",""zh-CN"")"),"她将他的后背翻转到地板上。")</f>
        <v>她将他的后背翻转到地板上。</v>
      </c>
    </row>
    <row r="26974">
      <c r="A26974" s="4" t="s">
        <v>33947</v>
      </c>
      <c r="B26974" s="4" t="s">
        <v>33951</v>
      </c>
      <c r="C26974" s="5" t="str">
        <f>IFERROR(__xludf.DUMMYFUNCTION("GOOGLETRANSLATE(B26974,""en"",""zh-CN"")"),"他们开始在舞池上跳舞。")</f>
        <v>他们开始在舞池上跳舞。</v>
      </c>
    </row>
    <row r="26975">
      <c r="A26975" s="4" t="s">
        <v>33952</v>
      </c>
      <c r="B26975" s="4" t="s">
        <v>33953</v>
      </c>
      <c r="C26975" s="5" t="str">
        <f>IFERROR(__xludf.DUMMYFUNCTION("GOOGLETRANSLATE(B26975,""en"",""zh-CN"")"),"看到一个人倾斜在篱笆上，不断地弯曲到桶中。")</f>
        <v>看到一个人倾斜在篱笆上，不断地弯曲到桶中。</v>
      </c>
    </row>
    <row r="26976">
      <c r="A26976" s="4" t="s">
        <v>33952</v>
      </c>
      <c r="B26976" s="6" t="s">
        <v>33954</v>
      </c>
      <c r="C26976" s="5" t="str">
        <f>IFERROR(__xludf.DUMMYFUNCTION("GOOGLETRANSLATE(B26976,""en"",""zh-CN"")"),"当相机从后面捕捉到她时，女人在她面前不断刷篱笆。")</f>
        <v>当相机从后面捕捉到她时，女人在她面前不断刷篱笆。</v>
      </c>
    </row>
    <row r="26977">
      <c r="A26977" s="4" t="s">
        <v>33955</v>
      </c>
      <c r="B26977" s="4" t="s">
        <v>33956</v>
      </c>
      <c r="C26977" s="5" t="str">
        <f>IFERROR(__xludf.DUMMYFUNCTION("GOOGLETRANSLATE(B26977,""en"",""zh-CN"")"),"汽车和RV的坐在牛仔竞技中心外。")</f>
        <v>汽车和RV的坐在牛仔竞技中心外。</v>
      </c>
    </row>
    <row r="26978">
      <c r="A26978" s="4" t="s">
        <v>33955</v>
      </c>
      <c r="B26978" s="4" t="s">
        <v>33957</v>
      </c>
      <c r="C26978" s="5" t="str">
        <f>IFERROR(__xludf.DUMMYFUNCTION("GOOGLETRANSLATE(B26978,""en"",""zh-CN"")"),"牛仔练习他们的套索工作。")</f>
        <v>牛仔练习他们的套索工作。</v>
      </c>
    </row>
    <row r="26979">
      <c r="A26979" s="4" t="s">
        <v>33955</v>
      </c>
      <c r="B26979" s="4" t="s">
        <v>33958</v>
      </c>
      <c r="C26979" s="5" t="str">
        <f>IFERROR(__xludf.DUMMYFUNCTION("GOOGLETRANSLATE(B26979,""en"",""zh-CN"")"),"人们在牛仔竞技中心的商店内购物。")</f>
        <v>人们在牛仔竞技中心的商店内购物。</v>
      </c>
    </row>
    <row r="26980">
      <c r="A26980" s="4" t="s">
        <v>33955</v>
      </c>
      <c r="B26980" s="4" t="s">
        <v>33959</v>
      </c>
      <c r="C26980" s="5" t="str">
        <f>IFERROR(__xludf.DUMMYFUNCTION("GOOGLETRANSLATE(B26980,""en"",""zh-CN"")"),"一个小孩子抓住小牛。")</f>
        <v>一个小孩子抓住小牛。</v>
      </c>
    </row>
    <row r="26981">
      <c r="A26981" s="4" t="s">
        <v>33955</v>
      </c>
      <c r="B26981" s="4" t="s">
        <v>33960</v>
      </c>
      <c r="C26981" s="5" t="str">
        <f>IFERROR(__xludf.DUMMYFUNCTION("GOOGLETRANSLATE(B26981,""en"",""zh-CN"")"),"一只牛仔从他的马上跳下来控制他捕获的小牛。")</f>
        <v>一只牛仔从他的马上跳下来控制他捕获的小牛。</v>
      </c>
    </row>
    <row r="26982">
      <c r="A26982" s="4" t="s">
        <v>33955</v>
      </c>
      <c r="B26982" s="4" t="s">
        <v>33961</v>
      </c>
      <c r="C26982" s="5" t="str">
        <f>IFERROR(__xludf.DUMMYFUNCTION("GOOGLETRANSLATE(B26982,""en"",""zh-CN"")"),"另一件黑色衬衫的牛仔从他的马上跳下来。")</f>
        <v>另一件黑色衬衫的牛仔从他的马上跳下来。</v>
      </c>
    </row>
    <row r="26983">
      <c r="A26983" s="4" t="s">
        <v>33955</v>
      </c>
      <c r="B26983" s="4" t="s">
        <v>33962</v>
      </c>
      <c r="C26983" s="5" t="str">
        <f>IFERROR(__xludf.DUMMYFUNCTION("GOOGLETRANSLATE(B26983,""en"",""zh-CN"")"),"一个穿着粉红色衬衫的男人小牛。")</f>
        <v>一个穿着粉红色衬衫的男人小牛。</v>
      </c>
    </row>
    <row r="26984">
      <c r="A26984" s="4" t="s">
        <v>33955</v>
      </c>
      <c r="B26984" s="4" t="s">
        <v>33963</v>
      </c>
      <c r="C26984" s="5" t="str">
        <f>IFERROR(__xludf.DUMMYFUNCTION("GOOGLETRANSLATE(B26984,""en"",""zh-CN"")"),"一匹马的女人抓住了小牛。")</f>
        <v>一匹马的女人抓住了小牛。</v>
      </c>
    </row>
    <row r="26985">
      <c r="A26985" s="4" t="s">
        <v>33955</v>
      </c>
      <c r="B26985" s="4" t="s">
        <v>33964</v>
      </c>
      <c r="C26985" s="5" t="str">
        <f>IFERROR(__xludf.DUMMYFUNCTION("GOOGLETRANSLATE(B26985,""en"",""zh-CN"")"),"另一个男人跳下他的棕色马以控制他捕获的小牛。")</f>
        <v>另一个男人跳下他的棕色马以控制他捕获的小牛。</v>
      </c>
    </row>
    <row r="26986">
      <c r="A26986" s="4" t="s">
        <v>33965</v>
      </c>
      <c r="B26986" s="4" t="s">
        <v>33966</v>
      </c>
      <c r="C26986" s="5" t="str">
        <f>IFERROR(__xludf.DUMMYFUNCTION("GOOGLETRANSLATE(B26986,""en"",""zh-CN"")"),"一个人从地面上举起大量的重量。")</f>
        <v>一个人从地面上举起大量的重量。</v>
      </c>
    </row>
    <row r="26987">
      <c r="A26987" s="4" t="s">
        <v>33965</v>
      </c>
      <c r="B26987" s="4" t="s">
        <v>33967</v>
      </c>
      <c r="C26987" s="5" t="str">
        <f>IFERROR(__xludf.DUMMYFUNCTION("GOOGLETRANSLATE(B26987,""en"",""zh-CN"")"),"他将其推到头上，然后将其丢在地上。")</f>
        <v>他将其推到头上，然后将其丢在地上。</v>
      </c>
    </row>
    <row r="26988">
      <c r="A26988" s="4" t="s">
        <v>33968</v>
      </c>
      <c r="B26988" s="4" t="s">
        <v>33969</v>
      </c>
      <c r="C26988" s="5" t="str">
        <f>IFERROR(__xludf.DUMMYFUNCTION("GOOGLETRANSLATE(B26988,""en"",""zh-CN"")"),"一个男人向儿子扔一个球，他用曲棍球棍子抓住了球。")</f>
        <v>一个男人向儿子扔一个球，他用曲棍球棍子抓住了球。</v>
      </c>
    </row>
    <row r="26989">
      <c r="A26989" s="4" t="s">
        <v>33968</v>
      </c>
      <c r="B26989" s="4" t="s">
        <v>33970</v>
      </c>
      <c r="C26989" s="5" t="str">
        <f>IFERROR(__xludf.DUMMYFUNCTION("GOOGLETRANSLATE(B26989,""en"",""zh-CN"")"),"这个男孩将其逃回，然后向男人的右边航行。")</f>
        <v>这个男孩将其逃回，然后向男人的右边航行。</v>
      </c>
    </row>
    <row r="26990">
      <c r="A26990" s="4" t="s">
        <v>33971</v>
      </c>
      <c r="B26990" s="6" t="s">
        <v>33972</v>
      </c>
      <c r="C26990" s="5" t="str">
        <f>IFERROR(__xludf.DUMMYFUNCTION("GOOGLETRANSLATE(B26990,""en"",""zh-CN"")"),"从运动机上移动的各个角度显示了一个女人，并导致地球旋转。")</f>
        <v>从运动机上移动的各个角度显示了一个女人，并导致地球旋转。</v>
      </c>
    </row>
    <row r="26991">
      <c r="A26991" s="4" t="s">
        <v>33971</v>
      </c>
      <c r="B26991" s="4" t="s">
        <v>33973</v>
      </c>
      <c r="C26991" s="5" t="str">
        <f>IFERROR(__xludf.DUMMYFUNCTION("GOOGLETRANSLATE(B26991,""en"",""zh-CN"")"),"她将一件物品放在机器上，并显示了几张健康图片。")</f>
        <v>她将一件物品放在机器上，并显示了几张健康图片。</v>
      </c>
    </row>
    <row r="26992">
      <c r="A26992" s="4" t="s">
        <v>33971</v>
      </c>
      <c r="B26992" s="4" t="s">
        <v>33974</v>
      </c>
      <c r="C26992" s="5" t="str">
        <f>IFERROR(__xludf.DUMMYFUNCTION("GOOGLETRANSLATE(B26992,""en"",""zh-CN"")"),"她再次在机器上骑行，最后最终折叠了机器。")</f>
        <v>她再次在机器上骑行，最后最终折叠了机器。</v>
      </c>
    </row>
    <row r="26993">
      <c r="A26993" s="4" t="s">
        <v>33975</v>
      </c>
      <c r="B26993" s="4" t="s">
        <v>33976</v>
      </c>
      <c r="C26993" s="5" t="str">
        <f>IFERROR(__xludf.DUMMYFUNCTION("GOOGLETRANSLATE(B26993,""en"",""zh-CN"")"),"一个男人在网上说话。")</f>
        <v>一个男人在网上说话。</v>
      </c>
    </row>
    <row r="26994">
      <c r="A26994" s="4" t="s">
        <v>33975</v>
      </c>
      <c r="B26994" s="4" t="s">
        <v>33977</v>
      </c>
      <c r="C26994" s="5" t="str">
        <f>IFERROR(__xludf.DUMMYFUNCTION("GOOGLETRANSLATE(B26994,""en"",""zh-CN"")"),"他蹲在地板上，越过脚踝。")</f>
        <v>他蹲在地板上，越过脚踝。</v>
      </c>
    </row>
    <row r="26995">
      <c r="A26995" s="4" t="s">
        <v>33975</v>
      </c>
      <c r="B26995" s="4" t="s">
        <v>33978</v>
      </c>
      <c r="C26995" s="5" t="str">
        <f>IFERROR(__xludf.DUMMYFUNCTION("GOOGLETRANSLATE(B26995,""en"",""zh-CN"")"),"然后，他向前和回去几次，伸展。")</f>
        <v>然后，他向前和回去几次，伸展。</v>
      </c>
    </row>
    <row r="26996">
      <c r="A26996" s="4" t="s">
        <v>33979</v>
      </c>
      <c r="B26996" s="4" t="s">
        <v>33980</v>
      </c>
      <c r="C26996" s="5" t="str">
        <f>IFERROR(__xludf.DUMMYFUNCTION("GOOGLETRANSLATE(B26996,""en"",""zh-CN"")"),"一个人坐在一个房间里讨论。")</f>
        <v>一个人坐在一个房间里讨论。</v>
      </c>
    </row>
    <row r="26997">
      <c r="A26997" s="4" t="s">
        <v>33979</v>
      </c>
      <c r="B26997" s="4" t="s">
        <v>33981</v>
      </c>
      <c r="C26997" s="5" t="str">
        <f>IFERROR(__xludf.DUMMYFUNCTION("GOOGLETRANSLATE(B26997,""en"",""zh-CN"")"),"该男子说话时举起咖啡杯。")</f>
        <v>该男子说话时举起咖啡杯。</v>
      </c>
    </row>
    <row r="26998">
      <c r="A26998" s="4" t="s">
        <v>33979</v>
      </c>
      <c r="B26998" s="4" t="s">
        <v>33982</v>
      </c>
      <c r="C26998" s="5" t="str">
        <f>IFERROR(__xludf.DUMMYFUNCTION("GOOGLETRANSLATE(B26998,""en"",""zh-CN"")"),"该男子从咖啡杯上喝了几杯。")</f>
        <v>该男子从咖啡杯上喝了几杯。</v>
      </c>
    </row>
    <row r="26999">
      <c r="A26999" s="4" t="s">
        <v>33983</v>
      </c>
      <c r="B26999" s="4" t="s">
        <v>33984</v>
      </c>
      <c r="C26999" s="5" t="str">
        <f>IFERROR(__xludf.DUMMYFUNCTION("GOOGLETRANSLATE(B26999,""en"",""zh-CN"")"),"一个蹒跚学步的人坐在桌子前，她的戏剧放在桌子上。")</f>
        <v>一个蹒跚学步的人坐在桌子前，她的戏剧放在桌子上。</v>
      </c>
    </row>
    <row r="27000">
      <c r="A27000" s="4" t="s">
        <v>33983</v>
      </c>
      <c r="B27000" s="4" t="s">
        <v>33985</v>
      </c>
      <c r="C27000" s="5" t="str">
        <f>IFERROR(__xludf.DUMMYFUNCTION("GOOGLETRANSLATE(B27000,""en"",""zh-CN"")"),"然后，她拿起粉底，将其放在脸上。")</f>
        <v>然后，她拿起粉底，将其放在脸上。</v>
      </c>
    </row>
    <row r="27001">
      <c r="A27001" s="4" t="s">
        <v>33983</v>
      </c>
      <c r="B27001" s="6" t="s">
        <v>33986</v>
      </c>
      <c r="C27001" s="5" t="str">
        <f>IFERROR(__xludf.DUMMYFUNCTION("GOOGLETRANSLATE(B27001,""en"",""zh-CN"")"),"接下来是她的眼影，然后是她的嘴唇，但最终将其放在地板上，不得不走到桌子下才能得到它。")</f>
        <v>接下来是她的眼影，然后是她的嘴唇，但最终将其放在地板上，不得不走到桌子下才能得到它。</v>
      </c>
    </row>
    <row r="27002">
      <c r="A27002" s="4" t="s">
        <v>33983</v>
      </c>
      <c r="B27002" s="6" t="s">
        <v>33987</v>
      </c>
      <c r="C27002" s="5" t="str">
        <f>IFERROR(__xludf.DUMMYFUNCTION("GOOGLETRANSLATE(B27002,""en"",""zh-CN"")"),"最终，她回来了，并在嘴唇上增加了最后的触感，她从嘴唇上结束并为脸颊增添了更多颜色。")</f>
        <v>最终，她回来了，并在嘴唇上增加了最后的触感，她从嘴唇上结束并为脸颊增添了更多颜色。</v>
      </c>
    </row>
    <row r="27003">
      <c r="A27003" s="4" t="s">
        <v>33988</v>
      </c>
      <c r="B27003" s="4" t="s">
        <v>33989</v>
      </c>
      <c r="C27003" s="5" t="str">
        <f>IFERROR(__xludf.DUMMYFUNCTION("GOOGLETRANSLATE(B27003,""en"",""zh-CN"")"),"我们看到围绕DC拍摄的图像。")</f>
        <v>我们看到围绕DC拍摄的图像。</v>
      </c>
    </row>
    <row r="27004">
      <c r="A27004" s="4" t="s">
        <v>33988</v>
      </c>
      <c r="B27004" s="4" t="s">
        <v>33990</v>
      </c>
      <c r="C27004" s="5" t="str">
        <f>IFERROR(__xludf.DUMMYFUNCTION("GOOGLETRANSLATE(B27004,""en"",""zh-CN"")"),"当人们聚集在房间里时，我们看到一个人说话和滑板镜头。")</f>
        <v>当人们聚集在房间里时，我们看到一个人说话和滑板镜头。</v>
      </c>
    </row>
    <row r="27005">
      <c r="A27005" s="4" t="s">
        <v>33988</v>
      </c>
      <c r="B27005" s="4" t="s">
        <v>33991</v>
      </c>
      <c r="C27005" s="5" t="str">
        <f>IFERROR(__xludf.DUMMYFUNCTION("GOOGLETRANSLATE(B27005,""en"",""zh-CN"")"),"我们看到托尼·霍克（Tony Hawk）指向他人。")</f>
        <v>我们看到托尼·霍克（Tony Hawk）指向他人。</v>
      </c>
    </row>
    <row r="27006">
      <c r="A27006" s="4" t="s">
        <v>33988</v>
      </c>
      <c r="B27006" s="4" t="s">
        <v>33992</v>
      </c>
      <c r="C27006" s="5" t="str">
        <f>IFERROR(__xludf.DUMMYFUNCTION("GOOGLETRANSLATE(B27006,""en"",""zh-CN"")"),"我们看到人们在街上和DC附近滑板。")</f>
        <v>我们看到人们在街上和DC附近滑板。</v>
      </c>
    </row>
    <row r="27007">
      <c r="A27007" s="4" t="s">
        <v>33988</v>
      </c>
      <c r="B27007" s="4" t="s">
        <v>33993</v>
      </c>
      <c r="C27007" s="5" t="str">
        <f>IFERROR(__xludf.DUMMYFUNCTION("GOOGLETRANSLATE(B27007,""en"",""zh-CN"")"),"我们看到一个溜冰者肖恩·格雷戈里（Shaun Gregoirie）。")</f>
        <v>我们看到一个溜冰者肖恩·格雷戈里（Shaun Gregoirie）。</v>
      </c>
    </row>
    <row r="27008">
      <c r="A27008" s="4" t="s">
        <v>33988</v>
      </c>
      <c r="B27008" s="4" t="s">
        <v>33994</v>
      </c>
      <c r="C27008" s="5" t="str">
        <f>IFERROR(__xludf.DUMMYFUNCTION("GOOGLETRANSLATE(B27008,""en"",""zh-CN"")"),"一位女士举起美国国旗并谈论。")</f>
        <v>一位女士举起美国国旗并谈论。</v>
      </c>
    </row>
    <row r="27009">
      <c r="A27009" s="4" t="s">
        <v>33988</v>
      </c>
      <c r="B27009" s="4" t="s">
        <v>33995</v>
      </c>
      <c r="C27009" s="5" t="str">
        <f>IFERROR(__xludf.DUMMYFUNCTION("GOOGLETRANSLATE(B27009,""en"",""zh-CN"")"),"我们在街上看到一辆警车。")</f>
        <v>我们在街上看到一辆警车。</v>
      </c>
    </row>
    <row r="27010">
      <c r="A27010" s="4" t="s">
        <v>33988</v>
      </c>
      <c r="B27010" s="4" t="s">
        <v>33996</v>
      </c>
      <c r="C27010" s="5" t="str">
        <f>IFERROR(__xludf.DUMMYFUNCTION("GOOGLETRANSLATE(B27010,""en"",""zh-CN"")"),"我们看到安东尼·谢特勒（Anthony Shetler）坐在街上坐下来聊天。")</f>
        <v>我们看到安东尼·谢特勒（Anthony Shetler）坐在街上坐下来聊天。</v>
      </c>
    </row>
    <row r="27011">
      <c r="A27011" s="4" t="s">
        <v>33988</v>
      </c>
      <c r="B27011" s="4" t="s">
        <v>33997</v>
      </c>
      <c r="C27011" s="5" t="str">
        <f>IFERROR(__xludf.DUMMYFUNCTION("GOOGLETRANSLATE(B27011,""en"",""zh-CN"")"),"一个男人跳楼梯，跌倒。")</f>
        <v>一个男人跳楼梯，跌倒。</v>
      </c>
    </row>
    <row r="27012">
      <c r="A27012" s="4" t="s">
        <v>33988</v>
      </c>
      <c r="B27012" s="4" t="s">
        <v>19168</v>
      </c>
      <c r="C27012" s="5" t="str">
        <f>IFERROR(__xludf.DUMMYFUNCTION("GOOGLETRANSLATE(B27012,""en"",""zh-CN"")"),"我们看到了视频的结局。")</f>
        <v>我们看到了视频的结局。</v>
      </c>
    </row>
    <row r="27013">
      <c r="A27013" s="4" t="s">
        <v>33998</v>
      </c>
      <c r="B27013" s="4" t="s">
        <v>33999</v>
      </c>
      <c r="C27013" s="5" t="str">
        <f>IFERROR(__xludf.DUMMYFUNCTION("GOOGLETRANSLATE(B27013,""en"",""zh-CN"")"),"看到一个男人坐在保险杠的汽车上，竖起大拇指，然后开始开车。")</f>
        <v>看到一个男人坐在保险杠的汽车上，竖起大拇指，然后开始开车。</v>
      </c>
    </row>
    <row r="27014">
      <c r="A27014" s="4" t="s">
        <v>33998</v>
      </c>
      <c r="B27014" s="4" t="s">
        <v>34000</v>
      </c>
      <c r="C27014" s="5" t="str">
        <f>IFERROR(__xludf.DUMMYFUNCTION("GOOGLETRANSLATE(B27014,""en"",""zh-CN"")"),"人们继续四处驶向碰到彼此，最后他们站起来。")</f>
        <v>人们继续四处驶向碰到彼此，最后他们站起来。</v>
      </c>
    </row>
    <row r="27015">
      <c r="A27015" s="4" t="s">
        <v>34001</v>
      </c>
      <c r="B27015" s="4" t="s">
        <v>34002</v>
      </c>
      <c r="C27015" s="5" t="str">
        <f>IFERROR(__xludf.DUMMYFUNCTION("GOOGLETRANSLATE(B27015,""en"",""zh-CN"")"),"在法官面前表明，年轻男孩在做空手道演示。")</f>
        <v>在法官面前表明，年轻男孩在做空手道演示。</v>
      </c>
    </row>
    <row r="27016">
      <c r="A27016" s="4" t="s">
        <v>34001</v>
      </c>
      <c r="B27016" s="4" t="s">
        <v>34003</v>
      </c>
      <c r="C27016" s="5" t="str">
        <f>IFERROR(__xludf.DUMMYFUNCTION("GOOGLETRANSLATE(B27016,""en"",""zh-CN"")"),"他们来回移动，从前到后表演各种拳。")</f>
        <v>他们来回移动，从前到后表演各种拳。</v>
      </c>
    </row>
    <row r="27017">
      <c r="A27017" s="4" t="s">
        <v>34001</v>
      </c>
      <c r="B27017" s="4" t="s">
        <v>34004</v>
      </c>
      <c r="C27017" s="5" t="str">
        <f>IFERROR(__xludf.DUMMYFUNCTION("GOOGLETRANSLATE(B27017,""en"",""zh-CN"")"),"然后，他们放松身心并鞠躬，而后面的人则鼓掌。")</f>
        <v>然后，他们放松身心并鞠躬，而后面的人则鼓掌。</v>
      </c>
    </row>
    <row r="27018">
      <c r="A27018" s="4" t="s">
        <v>34001</v>
      </c>
      <c r="B27018" s="4" t="s">
        <v>34005</v>
      </c>
      <c r="C27018" s="5" t="str">
        <f>IFERROR(__xludf.DUMMYFUNCTION("GOOGLETRANSLATE(B27018,""en"",""zh-CN"")"),"然后，他们继续进行常规战斗。")</f>
        <v>然后，他们继续进行常规战斗。</v>
      </c>
    </row>
    <row r="27019">
      <c r="A27019" s="4" t="s">
        <v>34001</v>
      </c>
      <c r="B27019" s="4" t="s">
        <v>34006</v>
      </c>
      <c r="C27019" s="5" t="str">
        <f>IFERROR(__xludf.DUMMYFUNCTION("GOOGLETRANSLATE(B27019,""en"",""zh-CN"")"),"这一直持续到男孩完成掌声，然后坐下来。")</f>
        <v>这一直持续到男孩完成掌声，然后坐下来。</v>
      </c>
    </row>
    <row r="27020">
      <c r="A27020" s="4" t="s">
        <v>34007</v>
      </c>
      <c r="B27020" s="4" t="s">
        <v>34008</v>
      </c>
      <c r="C27020" s="5" t="str">
        <f>IFERROR(__xludf.DUMMYFUNCTION("GOOGLETRANSLATE(B27020,""en"",""zh-CN"")"),"一个男人在建筑物内戴太阳镜。")</f>
        <v>一个男人在建筑物内戴太阳镜。</v>
      </c>
    </row>
    <row r="27021">
      <c r="A27021" s="4" t="s">
        <v>34007</v>
      </c>
      <c r="B27021" s="4" t="s">
        <v>34009</v>
      </c>
      <c r="C27021" s="5" t="str">
        <f>IFERROR(__xludf.DUMMYFUNCTION("GOOGLETRANSLATE(B27021,""en"",""zh-CN"")"),"我们看到一群人在有氧运动中跳舞。")</f>
        <v>我们看到一群人在有氧运动中跳舞。</v>
      </c>
    </row>
    <row r="27022">
      <c r="A27022" s="4" t="s">
        <v>34007</v>
      </c>
      <c r="B27022" s="4" t="s">
        <v>34010</v>
      </c>
      <c r="C27022" s="5" t="str">
        <f>IFERROR(__xludf.DUMMYFUNCTION("GOOGLETRANSLATE(B27022,""en"",""zh-CN"")"),"他们一致摇晃，来回走来走去。")</f>
        <v>他们一致摇晃，来回走来走去。</v>
      </c>
    </row>
    <row r="27023">
      <c r="A27023" s="4" t="s">
        <v>34011</v>
      </c>
      <c r="B27023" s="4" t="s">
        <v>34012</v>
      </c>
      <c r="C27023" s="5" t="str">
        <f>IFERROR(__xludf.DUMMYFUNCTION("GOOGLETRANSLATE(B27023,""en"",""zh-CN"")"),"人们站在外面打排球。")</f>
        <v>人们站在外面打排球。</v>
      </c>
    </row>
    <row r="27024">
      <c r="A27024" s="4" t="s">
        <v>34011</v>
      </c>
      <c r="B27024" s="4" t="s">
        <v>34013</v>
      </c>
      <c r="C27024" s="5" t="str">
        <f>IFERROR(__xludf.DUMMYFUNCTION("GOOGLETRANSLATE(B27024,""en"",""zh-CN"")"),"穿着黑色衬衫的男人正在和某人说话。")</f>
        <v>穿着黑色衬衫的男人正在和某人说话。</v>
      </c>
    </row>
    <row r="27025">
      <c r="A27025" s="4" t="s">
        <v>34011</v>
      </c>
      <c r="B27025" s="4" t="s">
        <v>34014</v>
      </c>
      <c r="C27025" s="5" t="str">
        <f>IFERROR(__xludf.DUMMYFUNCTION("GOOGLETRANSLATE(B27025,""en"",""zh-CN"")"),"一个穿着灰色衬衫的男人握住臀部。")</f>
        <v>一个穿着灰色衬衫的男人握住臀部。</v>
      </c>
    </row>
    <row r="27026">
      <c r="A27026" s="4" t="s">
        <v>34015</v>
      </c>
      <c r="B27026" s="4" t="s">
        <v>34016</v>
      </c>
      <c r="C27026" s="5" t="str">
        <f>IFERROR(__xludf.DUMMYFUNCTION("GOOGLETRANSLATE(B27026,""en"",""zh-CN"")"),"一个人跪在地上，用银色的餐具打磨墙壁。")</f>
        <v>一个人跪在地上，用银色的餐具打磨墙壁。</v>
      </c>
    </row>
    <row r="27027">
      <c r="A27027" s="4" t="s">
        <v>34015</v>
      </c>
      <c r="B27027" s="4" t="s">
        <v>34017</v>
      </c>
      <c r="C27027" s="5" t="str">
        <f>IFERROR(__xludf.DUMMYFUNCTION("GOOGLETRANSLATE(B27027,""en"",""zh-CN"")"),"该男子站起来，回头看着相机，继续完成他的任务。")</f>
        <v>该男子站起来，回头看着相机，继续完成他的任务。</v>
      </c>
    </row>
    <row r="27028">
      <c r="A27028" s="4" t="s">
        <v>34015</v>
      </c>
      <c r="B27028" s="4" t="s">
        <v>34018</v>
      </c>
      <c r="C27028" s="5" t="str">
        <f>IFERROR(__xludf.DUMMYFUNCTION("GOOGLETRANSLATE(B27028,""en"",""zh-CN"")"),"现在，这个人又回到了膝盖上，一开始就继续做他在做的事情。")</f>
        <v>现在，这个人又回到了膝盖上，一开始就继续做他在做的事情。</v>
      </c>
    </row>
    <row r="27029">
      <c r="A27029" s="4" t="s">
        <v>34019</v>
      </c>
      <c r="B27029" s="4" t="s">
        <v>34020</v>
      </c>
      <c r="C27029" s="5" t="str">
        <f>IFERROR(__xludf.DUMMYFUNCTION("GOOGLETRANSLATE(B27029,""en"",""zh-CN"")"),"看到一个女人站在毛巾上包裹的浴室里。")</f>
        <v>看到一个女人站在毛巾上包裹的浴室里。</v>
      </c>
    </row>
    <row r="27030">
      <c r="A27030" s="4" t="s">
        <v>34019</v>
      </c>
      <c r="B27030" s="4" t="s">
        <v>34021</v>
      </c>
      <c r="C27030" s="5" t="str">
        <f>IFERROR(__xludf.DUMMYFUNCTION("GOOGLETRANSLATE(B27030,""en"",""zh-CN"")"),"这个女孩用一只手抬起头发，另一只手擦化妆。")</f>
        <v>这个女孩用一只手抬起头发，另一只手擦化妆。</v>
      </c>
    </row>
    <row r="27031">
      <c r="A27031" s="4" t="s">
        <v>34022</v>
      </c>
      <c r="B27031" s="6" t="s">
        <v>34023</v>
      </c>
      <c r="C27031" s="5" t="str">
        <f>IFERROR(__xludf.DUMMYFUNCTION("GOOGLETRANSLATE(B27031,""en"",""zh-CN"")"),"有一个秃头的男人，他的浴室里站在他的浴室里，手里拿着电动剃须刀。")</f>
        <v>有一个秃头的男人，他的浴室里站在他的浴室里，手里拿着电动剃须刀。</v>
      </c>
    </row>
    <row r="27032">
      <c r="A27032" s="4" t="s">
        <v>34022</v>
      </c>
      <c r="B27032" s="4" t="s">
        <v>34024</v>
      </c>
      <c r="C27032" s="5" t="str">
        <f>IFERROR(__xludf.DUMMYFUNCTION("GOOGLETRANSLATE(B27032,""en"",""zh-CN"")"),"他正在演示如何刮掉胡须并保持它。")</f>
        <v>他正在演示如何刮掉胡须并保持它。</v>
      </c>
    </row>
    <row r="27033">
      <c r="A27033" s="4" t="s">
        <v>34022</v>
      </c>
      <c r="B27033" s="4" t="s">
        <v>34025</v>
      </c>
      <c r="C27033" s="5" t="str">
        <f>IFERROR(__xludf.DUMMYFUNCTION("GOOGLETRANSLATE(B27033,""en"",""zh-CN"")"),"然后，他开始通过调整剪刀尺寸来展示如何将修剪器用于胡须。")</f>
        <v>然后，他开始通过调整剪刀尺寸来展示如何将修剪器用于胡须。</v>
      </c>
    </row>
    <row r="27034">
      <c r="A27034" s="4" t="s">
        <v>34022</v>
      </c>
      <c r="B27034" s="4" t="s">
        <v>34026</v>
      </c>
      <c r="C27034" s="5" t="str">
        <f>IFERROR(__xludf.DUMMYFUNCTION("GOOGLETRANSLATE(B27034,""en"",""zh-CN"")"),"他完全剃了胡须。")</f>
        <v>他完全剃了胡须。</v>
      </c>
    </row>
    <row r="27035">
      <c r="A27035" s="4" t="s">
        <v>34022</v>
      </c>
      <c r="B27035" s="4" t="s">
        <v>34027</v>
      </c>
      <c r="C27035" s="5" t="str">
        <f>IFERROR(__xludf.DUMMYFUNCTION("GOOGLETRANSLATE(B27035,""en"",""zh-CN"")"),"然后，他触摸自己的皮肤，看看剃须有多干净。")</f>
        <v>然后，他触摸自己的皮肤，看看剃须有多干净。</v>
      </c>
    </row>
    <row r="27036">
      <c r="A27036" s="4" t="s">
        <v>34022</v>
      </c>
      <c r="B27036" s="4" t="s">
        <v>34028</v>
      </c>
      <c r="C27036" s="5" t="str">
        <f>IFERROR(__xludf.DUMMYFUNCTION("GOOGLETRANSLATE(B27036,""en"",""zh-CN"")"),"他从剃须刀上脱下头发并清洗。")</f>
        <v>他从剃须刀上脱下头发并清洗。</v>
      </c>
    </row>
    <row r="27037">
      <c r="A27037" s="4" t="s">
        <v>34029</v>
      </c>
      <c r="B27037" s="4" t="s">
        <v>34030</v>
      </c>
      <c r="C27037" s="5" t="str">
        <f>IFERROR(__xludf.DUMMYFUNCTION("GOOGLETRANSLATE(B27037,""en"",""zh-CN"")"),"一个穿着白夹克的男人捡起铁。")</f>
        <v>一个穿着白夹克的男人捡起铁。</v>
      </c>
    </row>
    <row r="27038">
      <c r="A27038" s="4" t="s">
        <v>34029</v>
      </c>
      <c r="B27038" s="4" t="s">
        <v>34031</v>
      </c>
      <c r="C27038" s="5" t="str">
        <f>IFERROR(__xludf.DUMMYFUNCTION("GOOGLETRANSLATE(B27038,""en"",""zh-CN"")"),"他将锡箔放在桌子上。")</f>
        <v>他将锡箔放在桌子上。</v>
      </c>
    </row>
    <row r="27039">
      <c r="A27039" s="4" t="s">
        <v>34029</v>
      </c>
      <c r="B27039" s="4" t="s">
        <v>34032</v>
      </c>
      <c r="C27039" s="5" t="str">
        <f>IFERROR(__xludf.DUMMYFUNCTION("GOOGLETRANSLATE(B27039,""en"",""zh-CN"")"),"他用黄油和奶酪将面包放在锡纸上。")</f>
        <v>他用黄油和奶酪将面包放在锡纸上。</v>
      </c>
    </row>
    <row r="27040">
      <c r="A27040" s="4" t="s">
        <v>34029</v>
      </c>
      <c r="B27040" s="4" t="s">
        <v>34033</v>
      </c>
      <c r="C27040" s="5" t="str">
        <f>IFERROR(__xludf.DUMMYFUNCTION("GOOGLETRANSLATE(B27040,""en"",""zh-CN"")"),"他把铁放在三明治上。")</f>
        <v>他把铁放在三明治上。</v>
      </c>
    </row>
    <row r="27041">
      <c r="A27041" s="4" t="s">
        <v>34029</v>
      </c>
      <c r="B27041" s="4" t="s">
        <v>34034</v>
      </c>
      <c r="C27041" s="5" t="str">
        <f>IFERROR(__xludf.DUMMYFUNCTION("GOOGLETRANSLATE(B27041,""en"",""zh-CN"")"),"他打开锡箔，将三明治切成两半。")</f>
        <v>他打开锡箔，将三明治切成两半。</v>
      </c>
    </row>
    <row r="27042">
      <c r="A27042" s="4" t="s">
        <v>34029</v>
      </c>
      <c r="B27042" s="4" t="s">
        <v>34035</v>
      </c>
      <c r="C27042" s="5" t="str">
        <f>IFERROR(__xludf.DUMMYFUNCTION("GOOGLETRANSLATE(B27042,""en"",""zh-CN"")"),"他花了一点三明治。")</f>
        <v>他花了一点三明治。</v>
      </c>
    </row>
    <row r="27043">
      <c r="A27043" s="4" t="s">
        <v>34036</v>
      </c>
      <c r="B27043" s="6" t="s">
        <v>34037</v>
      </c>
      <c r="C27043" s="5" t="str">
        <f>IFERROR(__xludf.DUMMYFUNCTION("GOOGLETRANSLATE(B27043,""en"",""zh-CN"")"),"看到一名运动员走到平台上，开始旋转自己并将物体扔到远处。")</f>
        <v>看到一名运动员走到平台上，开始旋转自己并将物体扔到远处。</v>
      </c>
    </row>
    <row r="27044">
      <c r="A27044" s="4" t="s">
        <v>34036</v>
      </c>
      <c r="B27044" s="6" t="s">
        <v>34038</v>
      </c>
      <c r="C27044" s="5" t="str">
        <f>IFERROR(__xludf.DUMMYFUNCTION("GOOGLETRANSLATE(B27044,""en"",""zh-CN"")"),"他的投掷再次以慢动作显示，看到另一个男人旋转，然后用手向物体抬起。")</f>
        <v>他的投掷再次以慢动作显示，看到另一个男人旋转，然后用手向物体抬起。</v>
      </c>
    </row>
    <row r="27045">
      <c r="A27045" s="4" t="s">
        <v>34039</v>
      </c>
      <c r="B27045" s="6" t="s">
        <v>34040</v>
      </c>
      <c r="C27045" s="5" t="str">
        <f>IFERROR(__xludf.DUMMYFUNCTION("GOOGLETRANSLATE(B27045,""en"",""zh-CN"")"),"看到一个男人坐在锻炼设备上，然后在机器上划船第四。")</f>
        <v>看到一个男人坐在锻炼设备上，然后在机器上划船第四。</v>
      </c>
    </row>
    <row r="27046">
      <c r="A27046" s="4" t="s">
        <v>34039</v>
      </c>
      <c r="B27046" s="6" t="s">
        <v>34041</v>
      </c>
      <c r="C27046" s="5" t="str">
        <f>IFERROR(__xludf.DUMMYFUNCTION("GOOGLETRANSLATE(B27046,""en"",""zh-CN"")"),"当相机从几个角度捕捉到他时，该男子继续向后移动和第四。")</f>
        <v>当相机从几个角度捕捉到他时，该男子继续向后移动和第四。</v>
      </c>
    </row>
    <row r="27047">
      <c r="A27047" s="4" t="s">
        <v>34042</v>
      </c>
      <c r="B27047" s="4" t="s">
        <v>34043</v>
      </c>
      <c r="C27047" s="5" t="str">
        <f>IFERROR(__xludf.DUMMYFUNCTION("GOOGLETRANSLATE(B27047,""en"",""zh-CN"")"),"人站在赛道上，正在跑步以跳跃，人们站在他周围。")</f>
        <v>人站在赛道上，正在跑步以跳跃，人们站在他周围。</v>
      </c>
    </row>
    <row r="27048">
      <c r="A27048" s="4" t="s">
        <v>34042</v>
      </c>
      <c r="B27048" s="4" t="s">
        <v>34044</v>
      </c>
      <c r="C27048" s="5" t="str">
        <f>IFERROR(__xludf.DUMMYFUNCTION("GOOGLETRANSLATE(B27048,""en"",""zh-CN"")"),"男人坐在一个房间里和相机聊天。")</f>
        <v>男人坐在一个房间里和相机聊天。</v>
      </c>
    </row>
    <row r="27049">
      <c r="A27049" s="4" t="s">
        <v>34042</v>
      </c>
      <c r="B27049" s="4" t="s">
        <v>34045</v>
      </c>
      <c r="C27049" s="5" t="str">
        <f>IFERROR(__xludf.DUMMYFUNCTION("GOOGLETRANSLATE(B27049,""en"",""zh-CN"")"),"人在赛道上奔跑，跳入灰尘，人坐在一个房间里说话。")</f>
        <v>人在赛道上奔跑，跳入灰尘，人坐在一个房间里说话。</v>
      </c>
    </row>
    <row r="27050">
      <c r="A27050" s="4" t="s">
        <v>34042</v>
      </c>
      <c r="B27050" s="4" t="s">
        <v>34046</v>
      </c>
      <c r="C27050" s="5" t="str">
        <f>IFERROR(__xludf.DUMMYFUNCTION("GOOGLETRANSLATE(B27050,""en"",""zh-CN"")"),"球员正在踢美式足球，观众在露台上。")</f>
        <v>球员正在踢美式足球，观众在露台上。</v>
      </c>
    </row>
    <row r="27051">
      <c r="A27051" s="4" t="s">
        <v>34042</v>
      </c>
      <c r="B27051" s="4" t="s">
        <v>34047</v>
      </c>
      <c r="C27051" s="5" t="str">
        <f>IFERROR(__xludf.DUMMYFUNCTION("GOOGLETRANSLATE(B27051,""en"",""zh-CN"")"),"老人在房间里说话，赛道上的那个人正在奔跑并练习跳跃。")</f>
        <v>老人在房间里说话，赛道上的那个人正在奔跑并练习跳跃。</v>
      </c>
    </row>
    <row r="27052">
      <c r="A27052" s="4" t="s">
        <v>34048</v>
      </c>
      <c r="B27052" s="6" t="s">
        <v>34049</v>
      </c>
      <c r="C27052" s="5" t="str">
        <f>IFERROR(__xludf.DUMMYFUNCTION("GOOGLETRANSLATE(B27052,""en"",""zh-CN"")"),"展示了两块装饰的构造纸，上面有生日快乐。")</f>
        <v>展示了两块装饰的构造纸，上面有生日快乐。</v>
      </c>
    </row>
    <row r="27053">
      <c r="A27053" s="4" t="s">
        <v>34048</v>
      </c>
      <c r="B27053" s="4" t="s">
        <v>34050</v>
      </c>
      <c r="C27053" s="5" t="str">
        <f>IFERROR(__xludf.DUMMYFUNCTION("GOOGLETRANSLATE(B27053,""en"",""zh-CN"")"),"然后，我们看到礼物包裹着相同的措辞。")</f>
        <v>然后，我们看到礼物包裹着相同的措辞。</v>
      </c>
    </row>
    <row r="27054">
      <c r="A27054" s="4" t="s">
        <v>34051</v>
      </c>
      <c r="B27054" s="4" t="s">
        <v>34052</v>
      </c>
      <c r="C27054" s="5" t="str">
        <f>IFERROR(__xludf.DUMMYFUNCTION("GOOGLETRANSLATE(B27054,""en"",""zh-CN"")"),"一双近距离的鞋子，后面是各种文本说明和布置的工具。")</f>
        <v>一双近距离的鞋子，后面是各种文本说明和布置的工具。</v>
      </c>
    </row>
    <row r="27055">
      <c r="A27055" s="4" t="s">
        <v>34051</v>
      </c>
      <c r="B27055" s="6" t="s">
        <v>34053</v>
      </c>
      <c r="C27055" s="5" t="str">
        <f>IFERROR(__xludf.DUMMYFUNCTION("GOOGLETRANSLATE(B27055,""en"",""zh-CN"")"),"然后看到一个人用抹布擦拭表演，并使用几种成分放大干净的鞋子。")</f>
        <v>然后看到一个人用抹布擦拭表演，并使用几种成分放大干净的鞋子。</v>
      </c>
    </row>
    <row r="27056">
      <c r="A27056" s="4" t="s">
        <v>34054</v>
      </c>
      <c r="B27056" s="4" t="s">
        <v>34055</v>
      </c>
      <c r="C27056" s="5" t="str">
        <f>IFERROR(__xludf.DUMMYFUNCTION("GOOGLETRANSLATE(B27056,""en"",""zh-CN"")"),"一个女人站在木地板上。")</f>
        <v>一个女人站在木地板上。</v>
      </c>
    </row>
    <row r="27057">
      <c r="A27057" s="4" t="s">
        <v>34054</v>
      </c>
      <c r="B27057" s="4" t="s">
        <v>34056</v>
      </c>
      <c r="C27057" s="5" t="str">
        <f>IFERROR(__xludf.DUMMYFUNCTION("GOOGLETRANSLATE(B27057,""en"",""zh-CN"")"),"她正在举起和放下手臂，转变为不同的位置。")</f>
        <v>她正在举起和放下手臂，转变为不同的位置。</v>
      </c>
    </row>
    <row r="27058">
      <c r="A27058" s="4" t="s">
        <v>34054</v>
      </c>
      <c r="B27058" s="4" t="s">
        <v>34057</v>
      </c>
      <c r="C27058" s="5" t="str">
        <f>IFERROR(__xludf.DUMMYFUNCTION("GOOGLETRANSLATE(B27058,""en"",""zh-CN"")"),"她正在为摄像机展示太极拳的表演。")</f>
        <v>她正在为摄像机展示太极拳的表演。</v>
      </c>
    </row>
    <row r="27059">
      <c r="A27059" s="4" t="s">
        <v>34058</v>
      </c>
      <c r="B27059" s="4" t="s">
        <v>34059</v>
      </c>
      <c r="C27059" s="5" t="str">
        <f>IFERROR(__xludf.DUMMYFUNCTION("GOOGLETRANSLATE(B27059,""en"",""zh-CN"")"),"一个男人在舞台上显示，演奏鼓。")</f>
        <v>一个男人在舞台上显示，演奏鼓。</v>
      </c>
    </row>
    <row r="27060">
      <c r="A27060" s="4" t="s">
        <v>34058</v>
      </c>
      <c r="B27060" s="4" t="s">
        <v>34060</v>
      </c>
      <c r="C27060" s="5" t="str">
        <f>IFERROR(__xludf.DUMMYFUNCTION("GOOGLETRANSLATE(B27060,""en"",""zh-CN"")"),"一侧的女人正在玩马拉卡斯。")</f>
        <v>一侧的女人正在玩马拉卡斯。</v>
      </c>
    </row>
    <row r="27061">
      <c r="A27061" s="4" t="s">
        <v>34058</v>
      </c>
      <c r="B27061" s="4" t="s">
        <v>34061</v>
      </c>
      <c r="C27061" s="5" t="str">
        <f>IFERROR(__xludf.DUMMYFUNCTION("GOOGLETRANSLATE(B27061,""en"",""zh-CN"")"),"另一侧的男人正在弹吉他。")</f>
        <v>另一侧的男人正在弹吉他。</v>
      </c>
    </row>
    <row r="27062">
      <c r="A27062" s="4" t="s">
        <v>34062</v>
      </c>
      <c r="B27062" s="4" t="s">
        <v>34063</v>
      </c>
      <c r="C27062" s="5" t="str">
        <f>IFERROR(__xludf.DUMMYFUNCTION("GOOGLETRANSLATE(B27062,""en"",""zh-CN"")"),"一名男子进入一个圆形笼子区域，一侧打开。")</f>
        <v>一名男子进入一个圆形笼子区域，一侧打开。</v>
      </c>
    </row>
    <row r="27063">
      <c r="A27063" s="4" t="s">
        <v>34062</v>
      </c>
      <c r="B27063" s="4" t="s">
        <v>34064</v>
      </c>
      <c r="C27063" s="5" t="str">
        <f>IFERROR(__xludf.DUMMYFUNCTION("GOOGLETRANSLATE(B27063,""en"",""zh-CN"")"),"该男子开始旋转一个固定在他周围的绳子上的球。")</f>
        <v>该男子开始旋转一个固定在他周围的绳子上的球。</v>
      </c>
    </row>
    <row r="27064">
      <c r="A27064" s="4" t="s">
        <v>34062</v>
      </c>
      <c r="B27064" s="4" t="s">
        <v>34065</v>
      </c>
      <c r="C27064" s="5" t="str">
        <f>IFERROR(__xludf.DUMMYFUNCTION("GOOGLETRANSLATE(B27064,""en"",""zh-CN"")"),"该男子开始迅速旋转自己的身体。")</f>
        <v>该男子开始迅速旋转自己的身体。</v>
      </c>
    </row>
    <row r="27065">
      <c r="A27065" s="4" t="s">
        <v>34062</v>
      </c>
      <c r="B27065" s="4" t="s">
        <v>34066</v>
      </c>
      <c r="C27065" s="5" t="str">
        <f>IFERROR(__xludf.DUMMYFUNCTION("GOOGLETRANSLATE(B27065,""en"",""zh-CN"")"),"那个男人放开绳子，球从空中飞翔。")</f>
        <v>那个男人放开绳子，球从空中飞翔。</v>
      </c>
    </row>
    <row r="27066">
      <c r="A27066" s="4" t="s">
        <v>34067</v>
      </c>
      <c r="B27066" s="4" t="s">
        <v>34068</v>
      </c>
      <c r="C27066" s="5" t="str">
        <f>IFERROR(__xludf.DUMMYFUNCTION("GOOGLETRANSLATE(B27066,""en"",""zh-CN"")"),"两支球队拿着杆子的杆子在田野里的人群上踢球。")</f>
        <v>两支球队拿着杆子的杆子在田野里的人群上踢球。</v>
      </c>
    </row>
    <row r="27067">
      <c r="A27067" s="4" t="s">
        <v>34067</v>
      </c>
      <c r="B27067" s="4" t="s">
        <v>34069</v>
      </c>
      <c r="C27067" s="5" t="str">
        <f>IFERROR(__xludf.DUMMYFUNCTION("GOOGLETRANSLATE(B27067,""en"",""zh-CN"")"),"人们站在得分板旁边。")</f>
        <v>人们站在得分板旁边。</v>
      </c>
    </row>
    <row r="27068">
      <c r="A27068" s="4" t="s">
        <v>34067</v>
      </c>
      <c r="B27068" s="6" t="s">
        <v>34070</v>
      </c>
      <c r="C27068" s="5" t="str">
        <f>IFERROR(__xludf.DUMMYFUNCTION("GOOGLETRANSLATE(B27068,""en"",""zh-CN"")"),"然后，一名球员在舞台上亲吻获胜者和其他球员之后，都登上了奖杯，所有球员都上升了奖杯。")</f>
        <v>然后，一名球员在舞台上亲吻获胜者和其他球员之后，都登上了奖杯，所有球员都上升了奖杯。</v>
      </c>
    </row>
    <row r="27069">
      <c r="A27069" s="4" t="s">
        <v>34071</v>
      </c>
      <c r="B27069" s="4" t="s">
        <v>4448</v>
      </c>
      <c r="C27069" s="5" t="str">
        <f>IFERROR(__xludf.DUMMYFUNCTION("GOOGLETRANSLATE(B27069,""en"",""zh-CN"")"),"我们看到开头标题屏幕。")</f>
        <v>我们看到开头标题屏幕。</v>
      </c>
    </row>
    <row r="27070">
      <c r="A27070" s="4" t="s">
        <v>34071</v>
      </c>
      <c r="B27070" s="4" t="s">
        <v>34072</v>
      </c>
      <c r="C27070" s="5" t="str">
        <f>IFERROR(__xludf.DUMMYFUNCTION("GOOGLETRANSLATE(B27070,""en"",""zh-CN"")"),"一个男人举起长凳并打开零件，以便他可以将其设置。")</f>
        <v>一个男人举起长凳并打开零件，以便他可以将其设置。</v>
      </c>
    </row>
    <row r="27071">
      <c r="A27071" s="4" t="s">
        <v>34071</v>
      </c>
      <c r="B27071" s="4" t="s">
        <v>34073</v>
      </c>
      <c r="C27071" s="5" t="str">
        <f>IFERROR(__xludf.DUMMYFUNCTION("GOOGLETRANSLATE(B27071,""en"",""zh-CN"")"),"他贴上销钉，然后滑入滑雪。")</f>
        <v>他贴上销钉，然后滑入滑雪。</v>
      </c>
    </row>
    <row r="27072">
      <c r="A27072" s="4" t="s">
        <v>34071</v>
      </c>
      <c r="B27072" s="4" t="s">
        <v>34074</v>
      </c>
      <c r="C27072" s="5" t="str">
        <f>IFERROR(__xludf.DUMMYFUNCTION("GOOGLETRANSLATE(B27072,""en"",""zh-CN"")"),"然后，他打蜡滑雪并取下销钉。")</f>
        <v>然后，他打蜡滑雪并取下销钉。</v>
      </c>
    </row>
    <row r="27073">
      <c r="A27073" s="4" t="s">
        <v>34071</v>
      </c>
      <c r="B27073" s="4" t="s">
        <v>34075</v>
      </c>
      <c r="C27073" s="5" t="str">
        <f>IFERROR(__xludf.DUMMYFUNCTION("GOOGLETRANSLATE(B27073,""en"",""zh-CN"")"),"他调整了长凳的各个部分。")</f>
        <v>他调整了长凳的各个部分。</v>
      </c>
    </row>
    <row r="27074">
      <c r="A27074" s="4" t="s">
        <v>34071</v>
      </c>
      <c r="B27074" s="4" t="s">
        <v>34076</v>
      </c>
      <c r="C27074" s="5" t="str">
        <f>IFERROR(__xludf.DUMMYFUNCTION("GOOGLETRANSLATE(B27074,""en"",""zh-CN"")"),"我们看到了带有最终学分的镜头。")</f>
        <v>我们看到了带有最终学分的镜头。</v>
      </c>
    </row>
    <row r="27075">
      <c r="A27075" s="4" t="s">
        <v>34077</v>
      </c>
      <c r="B27075" s="4" t="s">
        <v>34078</v>
      </c>
      <c r="C27075" s="5" t="str">
        <f>IFERROR(__xludf.DUMMYFUNCTION("GOOGLETRANSLATE(B27075,""en"",""zh-CN"")"),"一个男人在网球场与一个人打网球时为网球服务。")</f>
        <v>一个男人在网球场与一个人打网球时为网球服务。</v>
      </c>
    </row>
    <row r="27076">
      <c r="A27076" s="4" t="s">
        <v>34077</v>
      </c>
      <c r="B27076" s="4" t="s">
        <v>34079</v>
      </c>
      <c r="C27076" s="5" t="str">
        <f>IFERROR(__xludf.DUMMYFUNCTION("GOOGLETRANSLATE(B27076,""en"",""zh-CN"")"),"然后，该男子再次为网络后面的人服务，而玩家站在他旁边。")</f>
        <v>然后，该男子再次为网络后面的人服务，而玩家站在他旁边。</v>
      </c>
    </row>
    <row r="27077">
      <c r="A27077" s="4" t="s">
        <v>34077</v>
      </c>
      <c r="B27077" s="4" t="s">
        <v>34080</v>
      </c>
      <c r="C27077" s="5" t="str">
        <f>IFERROR(__xludf.DUMMYFUNCTION("GOOGLETRANSLATE(B27077,""en"",""zh-CN"")"),"之后，该男子输了一个球，但没有人在网后面。")</f>
        <v>之后，该男子输了一个球，但没有人在网后面。</v>
      </c>
    </row>
    <row r="27078">
      <c r="A27078" s="4" t="s">
        <v>34081</v>
      </c>
      <c r="B27078" s="6" t="s">
        <v>34082</v>
      </c>
      <c r="C27078" s="5" t="str">
        <f>IFERROR(__xludf.DUMMYFUNCTION("GOOGLETRANSLATE(B27078,""en"",""zh-CN"")"),"看到一个骑马并挥舞绳索的人追逐小牛，并最终用绳子抓住动物。")</f>
        <v>看到一个骑马并挥舞绳索的人追逐小牛，并最终用绳子抓住动物。</v>
      </c>
    </row>
    <row r="27079">
      <c r="A27079" s="4" t="s">
        <v>34081</v>
      </c>
      <c r="B27079" s="4" t="s">
        <v>34083</v>
      </c>
      <c r="C27079" s="5" t="str">
        <f>IFERROR(__xludf.DUMMYFUNCTION("GOOGLETRANSLATE(B27079,""en"",""zh-CN"")"),"他握住小牛，另一个男人出来帮助该男子绑起来。")</f>
        <v>他握住小牛，另一个男人出来帮助该男子绑起来。</v>
      </c>
    </row>
    <row r="27080">
      <c r="A27080" s="4" t="s">
        <v>34081</v>
      </c>
      <c r="B27080" s="4" t="s">
        <v>34084</v>
      </c>
      <c r="C27080" s="5" t="str">
        <f>IFERROR(__xludf.DUMMYFUNCTION("GOOGLETRANSLATE(B27080,""en"",""zh-CN"")"),"然后，他抓住绳子，骑着马骑行。")</f>
        <v>然后，他抓住绳子，骑着马骑行。</v>
      </c>
    </row>
    <row r="27081">
      <c r="A27081" s="4" t="s">
        <v>34085</v>
      </c>
      <c r="B27081" s="4" t="s">
        <v>34086</v>
      </c>
      <c r="C27081" s="5" t="str">
        <f>IFERROR(__xludf.DUMMYFUNCTION("GOOGLETRANSLATE(B27081,""en"",""zh-CN"")"),"看到家具包括橱柜和桌子。")</f>
        <v>看到家具包括橱柜和桌子。</v>
      </c>
    </row>
    <row r="27082">
      <c r="A27082" s="4" t="s">
        <v>34085</v>
      </c>
      <c r="B27082" s="4" t="s">
        <v>34087</v>
      </c>
      <c r="C27082" s="5" t="str">
        <f>IFERROR(__xludf.DUMMYFUNCTION("GOOGLETRANSLATE(B27082,""en"",""zh-CN"")"),"一个人用电砂光磨碎一块木头。")</f>
        <v>一个人用电砂光磨碎一块木头。</v>
      </c>
    </row>
    <row r="27083">
      <c r="A27083" s="4" t="s">
        <v>34085</v>
      </c>
      <c r="B27083" s="4" t="s">
        <v>34088</v>
      </c>
      <c r="C27083" s="5" t="str">
        <f>IFERROR(__xludf.DUMMYFUNCTION("GOOGLETRANSLATE(B27083,""en"",""zh-CN"")"),"一个人用手打磨一块木头。")</f>
        <v>一个人用手打磨一块木头。</v>
      </c>
    </row>
    <row r="27084">
      <c r="A27084" s="4" t="s">
        <v>34089</v>
      </c>
      <c r="B27084" s="4" t="s">
        <v>34090</v>
      </c>
      <c r="C27084" s="5" t="str">
        <f>IFERROR(__xludf.DUMMYFUNCTION("GOOGLETRANSLATE(B27084,""en"",""zh-CN"")"),"人们在赛道上骑自行车。")</f>
        <v>人们在赛道上骑自行车。</v>
      </c>
    </row>
    <row r="27085">
      <c r="A27085" s="4" t="s">
        <v>34089</v>
      </c>
      <c r="B27085" s="4" t="s">
        <v>34091</v>
      </c>
      <c r="C27085" s="5" t="str">
        <f>IFERROR(__xludf.DUMMYFUNCTION("GOOGLETRANSLATE(B27085,""en"",""zh-CN"")"),"一个人撞车并降落在赛道上。")</f>
        <v>一个人撞车并降落在赛道上。</v>
      </c>
    </row>
    <row r="27086">
      <c r="A27086" s="4" t="s">
        <v>34089</v>
      </c>
      <c r="B27086" s="4" t="s">
        <v>34092</v>
      </c>
      <c r="C27086" s="5" t="str">
        <f>IFERROR(__xludf.DUMMYFUNCTION("GOOGLETRANSLATE(B27086,""en"",""zh-CN"")"),"一个戴着帽子的男人正在和镜头说话。")</f>
        <v>一个戴着帽子的男人正在和镜头说话。</v>
      </c>
    </row>
    <row r="27087">
      <c r="A27087" s="4" t="s">
        <v>34089</v>
      </c>
      <c r="B27087" s="4" t="s">
        <v>34093</v>
      </c>
      <c r="C27087" s="5" t="str">
        <f>IFERROR(__xludf.DUMMYFUNCTION("GOOGLETRANSLATE(B27087,""en"",""zh-CN"")"),"人们继续在赛道上骑自行车并崩溃。")</f>
        <v>人们继续在赛道上骑自行车并崩溃。</v>
      </c>
    </row>
    <row r="27088">
      <c r="A27088" s="4" t="s">
        <v>34094</v>
      </c>
      <c r="B27088" s="4" t="s">
        <v>34095</v>
      </c>
      <c r="C27088" s="5" t="str">
        <f>IFERROR(__xludf.DUMMYFUNCTION("GOOGLETRANSLATE(B27088,""en"",""zh-CN"")"),"相机放大了一个人，一个人站在附近。")</f>
        <v>相机放大了一个人，一个人站在附近。</v>
      </c>
    </row>
    <row r="27089">
      <c r="A27089" s="4" t="s">
        <v>34094</v>
      </c>
      <c r="B27089" s="4" t="s">
        <v>34096</v>
      </c>
      <c r="C27089" s="5" t="str">
        <f>IFERROR(__xludf.DUMMYFUNCTION("GOOGLETRANSLATE(B27089,""en"",""zh-CN"")"),"然后，一个女人站着手里握着弓步。")</f>
        <v>然后，一个女人站着手里握着弓步。</v>
      </c>
    </row>
    <row r="27090">
      <c r="A27090" s="4" t="s">
        <v>34094</v>
      </c>
      <c r="B27090" s="4" t="s">
        <v>34097</v>
      </c>
      <c r="C27090" s="5" t="str">
        <f>IFERROR(__xludf.DUMMYFUNCTION("GOOGLETRANSLATE(B27090,""en"",""zh-CN"")"),"第二个女人和一个做各种举重动作的男人。")</f>
        <v>第二个女人和一个做各种举重动作的男人。</v>
      </c>
    </row>
    <row r="27091">
      <c r="A27091" s="4" t="s">
        <v>34098</v>
      </c>
      <c r="B27091" s="4" t="s">
        <v>34099</v>
      </c>
      <c r="C27091" s="5" t="str">
        <f>IFERROR(__xludf.DUMMYFUNCTION("GOOGLETRANSLATE(B27091,""en"",""zh-CN"")"),"一个婴儿在操场上骑秋千。")</f>
        <v>一个婴儿在操场上骑秋千。</v>
      </c>
    </row>
    <row r="27092">
      <c r="A27092" s="4" t="s">
        <v>34098</v>
      </c>
      <c r="B27092" s="4" t="s">
        <v>34100</v>
      </c>
      <c r="C27092" s="5" t="str">
        <f>IFERROR(__xludf.DUMMYFUNCTION("GOOGLETRANSLATE(B27092,""en"",""zh-CN"")"),"一只手在她享受旅程的同时推她。")</f>
        <v>一只手在她享受旅程的同时推她。</v>
      </c>
    </row>
    <row r="27093">
      <c r="A27093" s="4" t="s">
        <v>34098</v>
      </c>
      <c r="B27093" s="4" t="s">
        <v>34101</v>
      </c>
      <c r="C27093" s="5" t="str">
        <f>IFERROR(__xludf.DUMMYFUNCTION("GOOGLETRANSLATE(B27093,""en"",""zh-CN"")"),"这个男人开始和她一起玩。")</f>
        <v>这个男人开始和她一起玩。</v>
      </c>
    </row>
    <row r="27094">
      <c r="A27094" s="4" t="s">
        <v>34102</v>
      </c>
      <c r="B27094" s="4" t="s">
        <v>34103</v>
      </c>
      <c r="C27094" s="5" t="str">
        <f>IFERROR(__xludf.DUMMYFUNCTION("GOOGLETRANSLATE(B27094,""en"",""zh-CN"")"),"人们在街上的马拉松比赛中跑步。")</f>
        <v>人们在街上的马拉松比赛中跑步。</v>
      </c>
    </row>
    <row r="27095">
      <c r="A27095" s="4" t="s">
        <v>34102</v>
      </c>
      <c r="B27095" s="4" t="s">
        <v>34104</v>
      </c>
      <c r="C27095" s="5" t="str">
        <f>IFERROR(__xludf.DUMMYFUNCTION("GOOGLETRANSLATE(B27095,""en"",""zh-CN"")"),"一个男人领导比赛，独自一人在街上奔跑。")</f>
        <v>一个男人领导比赛，独自一人在街上奔跑。</v>
      </c>
    </row>
    <row r="27096">
      <c r="A27096" s="4" t="s">
        <v>34102</v>
      </c>
      <c r="B27096" s="4" t="s">
        <v>34105</v>
      </c>
      <c r="C27096" s="5" t="str">
        <f>IFERROR(__xludf.DUMMYFUNCTION("GOOGLETRANSLATE(B27096,""en"",""zh-CN"")"),"突然，那个男人撞上了汽车，跌倒了。")</f>
        <v>突然，那个男人撞上了汽车，跌倒了。</v>
      </c>
    </row>
    <row r="27097">
      <c r="A27097" s="4" t="s">
        <v>34106</v>
      </c>
      <c r="B27097" s="4" t="s">
        <v>34107</v>
      </c>
      <c r="C27097" s="5" t="str">
        <f>IFERROR(__xludf.DUMMYFUNCTION("GOOGLETRANSLATE(B27097,""en"",""zh-CN"")"),"有一个穿着蓝色衬衫的男人走进一栋高大的建筑物，那里有一个室内围栏。")</f>
        <v>有一个穿着蓝色衬衫的男人走进一栋高大的建筑物，那里有一个室内围栏。</v>
      </c>
    </row>
    <row r="27098">
      <c r="A27098" s="4" t="s">
        <v>34106</v>
      </c>
      <c r="B27098" s="4" t="s">
        <v>34108</v>
      </c>
      <c r="C27098" s="5" t="str">
        <f>IFERROR(__xludf.DUMMYFUNCTION("GOOGLETRANSLATE(B27098,""en"",""zh-CN"")"),"他走进竞技场，与两名击剑手交谈。")</f>
        <v>他走进竞技场，与两名击剑手交谈。</v>
      </c>
    </row>
    <row r="27099">
      <c r="A27099" s="4" t="s">
        <v>34106</v>
      </c>
      <c r="B27099" s="4" t="s">
        <v>34109</v>
      </c>
      <c r="C27099" s="5" t="str">
        <f>IFERROR(__xludf.DUMMYFUNCTION("GOOGLETRANSLATE(B27099,""en"",""zh-CN"")"),"其中一名击剑手在男人身上穿了击剑诉讼。")</f>
        <v>其中一名击剑手在男人身上穿了击剑诉讼。</v>
      </c>
    </row>
    <row r="27100">
      <c r="A27100" s="4" t="s">
        <v>34106</v>
      </c>
      <c r="B27100" s="4" t="s">
        <v>34110</v>
      </c>
      <c r="C27100" s="5" t="str">
        <f>IFERROR(__xludf.DUMMYFUNCTION("GOOGLETRANSLATE(B27100,""en"",""zh-CN"")"),"然后，击剑手证明并给男人一个击剑的课。")</f>
        <v>然后，击剑手证明并给男人一个击剑的课。</v>
      </c>
    </row>
    <row r="27101">
      <c r="A27101" s="4" t="s">
        <v>34106</v>
      </c>
      <c r="B27101" s="4" t="s">
        <v>34111</v>
      </c>
      <c r="C27101" s="5" t="str">
        <f>IFERROR(__xludf.DUMMYFUNCTION("GOOGLETRANSLATE(B27101,""en"",""zh-CN"")"),"他向男人展示了围栏涉及的各种技能。")</f>
        <v>他向男人展示了围栏涉及的各种技能。</v>
      </c>
    </row>
    <row r="27102">
      <c r="A27102" s="4" t="s">
        <v>34106</v>
      </c>
      <c r="B27102" s="4" t="s">
        <v>34112</v>
      </c>
      <c r="C27102" s="5" t="str">
        <f>IFERROR(__xludf.DUMMYFUNCTION("GOOGLETRANSLATE(B27102,""en"",""zh-CN"")"),"该男子能够错过并逃避击剑手的每一步，因为他没有被剑触动。")</f>
        <v>该男子能够错过并逃避击剑手的每一步，因为他没有被剑触动。</v>
      </c>
    </row>
    <row r="27103">
      <c r="A27103" s="4" t="s">
        <v>34106</v>
      </c>
      <c r="B27103" s="4" t="s">
        <v>34113</v>
      </c>
      <c r="C27103" s="5" t="str">
        <f>IFERROR(__xludf.DUMMYFUNCTION("GOOGLETRANSLATE(B27103,""en"",""zh-CN"")"),"然后，两个击剑手都卸下面具并握手。")</f>
        <v>然后，两个击剑手都卸下面具并握手。</v>
      </c>
    </row>
    <row r="27104">
      <c r="A27104" s="4" t="s">
        <v>34106</v>
      </c>
      <c r="B27104" s="4" t="s">
        <v>34114</v>
      </c>
      <c r="C27104" s="5" t="str">
        <f>IFERROR(__xludf.DUMMYFUNCTION("GOOGLETRANSLATE(B27104,""en"",""zh-CN"")"),"击剑手谈论了他与击剑手大师的经历。")</f>
        <v>击剑手谈论了他与击剑手大师的经历。</v>
      </c>
    </row>
    <row r="27105">
      <c r="A27105" s="4" t="s">
        <v>34115</v>
      </c>
      <c r="B27105" s="6" t="s">
        <v>34116</v>
      </c>
      <c r="C27105" s="5" t="str">
        <f>IFERROR(__xludf.DUMMYFUNCTION("GOOGLETRANSLATE(B27105,""en"",""zh-CN"")"),"曲棍网兜球的游戏开始，一个名叫大马德里的男孩是整个游戏中制作场景的重点。")</f>
        <v>曲棍网兜球的游戏开始，一个名叫大马德里的男孩是整个游戏中制作场景的重点。</v>
      </c>
    </row>
    <row r="27106">
      <c r="A27106" s="4" t="s">
        <v>34115</v>
      </c>
      <c r="B27106" s="6" t="s">
        <v>34117</v>
      </c>
      <c r="C27106" s="5" t="str">
        <f>IFERROR(__xludf.DUMMYFUNCTION("GOOGLETRANSLATE(B27106,""en"",""zh-CN"")"),"几个不同的游戏开始，他来回奔跑时，每场比赛都会在他周围绘制一个黄色的圆圈。")</f>
        <v>几个不同的游戏开始，他来回奔跑时，每场比赛都会在他周围绘制一个黄色的圆圈。</v>
      </c>
    </row>
    <row r="27107">
      <c r="A27107" s="4" t="s">
        <v>34115</v>
      </c>
      <c r="B27107" s="6" t="s">
        <v>34118</v>
      </c>
      <c r="C27107" s="5" t="str">
        <f>IFERROR(__xludf.DUMMYFUNCTION("GOOGLETRANSLATE(B27107,""en"",""zh-CN"")"),"当亮点卷轴完成后，会出现黑屏，并显示高中以及玩家的名字。")</f>
        <v>当亮点卷轴完成后，会出现黑屏，并显示高中以及玩家的名字。</v>
      </c>
    </row>
    <row r="27108">
      <c r="A27108" s="4" t="s">
        <v>34119</v>
      </c>
      <c r="B27108" s="6" t="s">
        <v>34120</v>
      </c>
      <c r="C27108" s="5" t="str">
        <f>IFERROR(__xludf.DUMMYFUNCTION("GOOGLETRANSLATE(B27108,""en"",""zh-CN"")"),"一个男人在公园里，他和他的妻子抱着婴儿，将两个小孩推到秋千上。")</f>
        <v>一个男人在公园里，他和他的妻子抱着婴儿，将两个小孩推到秋千上。</v>
      </c>
    </row>
    <row r="27109">
      <c r="A27109" s="4" t="s">
        <v>34119</v>
      </c>
      <c r="B27109" s="4" t="s">
        <v>34121</v>
      </c>
      <c r="C27109" s="5" t="str">
        <f>IFERROR(__xludf.DUMMYFUNCTION("GOOGLETRANSLATE(B27109,""en"",""zh-CN"")"),"当男人继续推动时，女人消失了。")</f>
        <v>当男人继续推动时，女人消失了。</v>
      </c>
    </row>
    <row r="27110">
      <c r="A27110" s="4" t="s">
        <v>34122</v>
      </c>
      <c r="B27110" s="4" t="s">
        <v>34123</v>
      </c>
      <c r="C27110" s="5" t="str">
        <f>IFERROR(__xludf.DUMMYFUNCTION("GOOGLETRANSLATE(B27110,""en"",""zh-CN"")"),"看到一小群孩子在体育馆周围扔球。")</f>
        <v>看到一小群孩子在体育馆周围扔球。</v>
      </c>
    </row>
    <row r="27111">
      <c r="A27111" s="4" t="s">
        <v>34122</v>
      </c>
      <c r="B27111" s="4" t="s">
        <v>34124</v>
      </c>
      <c r="C27111" s="5" t="str">
        <f>IFERROR(__xludf.DUMMYFUNCTION("GOOGLETRANSLATE(B27111,""en"",""zh-CN"")"),"孩子们在玩游戏时互相扔球。")</f>
        <v>孩子们在玩游戏时互相扔球。</v>
      </c>
    </row>
    <row r="27112">
      <c r="A27112" s="4" t="s">
        <v>34122</v>
      </c>
      <c r="B27112" s="4" t="s">
        <v>34125</v>
      </c>
      <c r="C27112" s="5" t="str">
        <f>IFERROR(__xludf.DUMMYFUNCTION("GOOGLETRANSLATE(B27112,""en"",""zh-CN"")"),"当孩子们跳下去时，游戏继续进行。")</f>
        <v>当孩子们跳下去时，游戏继续进行。</v>
      </c>
    </row>
    <row r="27113">
      <c r="A27113" s="4" t="s">
        <v>34126</v>
      </c>
      <c r="B27113" s="4" t="s">
        <v>34127</v>
      </c>
      <c r="C27113" s="5" t="str">
        <f>IFERROR(__xludf.DUMMYFUNCTION("GOOGLETRANSLATE(B27113,""en"",""zh-CN"")"),"一个男人在一个大房间里跳舞。")</f>
        <v>一个男人在一个大房间里跳舞。</v>
      </c>
    </row>
    <row r="27114">
      <c r="A27114" s="4" t="s">
        <v>34126</v>
      </c>
      <c r="B27114" s="4" t="s">
        <v>34128</v>
      </c>
      <c r="C27114" s="5" t="str">
        <f>IFERROR(__xludf.DUMMYFUNCTION("GOOGLETRANSLATE(B27114,""en"",""zh-CN"")"),"当他进行舞蹈时，他解释了如何做。")</f>
        <v>当他进行舞蹈时，他解释了如何做。</v>
      </c>
    </row>
    <row r="27115">
      <c r="A27115" s="4" t="s">
        <v>34129</v>
      </c>
      <c r="B27115" s="6" t="s">
        <v>34130</v>
      </c>
      <c r="C27115" s="5" t="str">
        <f>IFERROR(__xludf.DUMMYFUNCTION("GOOGLETRANSLATE(B27115,""en"",""zh-CN"")"),"这些马正在自己的草地上行走，然后显示一个女人刷马的头发。")</f>
        <v>这些马正在自己的草地上行走，然后显示一个女人刷马的头发。</v>
      </c>
    </row>
    <row r="27116">
      <c r="A27116" s="4" t="s">
        <v>34129</v>
      </c>
      <c r="B27116" s="6" t="s">
        <v>34131</v>
      </c>
      <c r="C27116" s="5" t="str">
        <f>IFERROR(__xludf.DUMMYFUNCTION("GOOGLETRANSLATE(B27116,""en"",""zh-CN"")"),"相机放大以显示马的鼻子，然后女人爬上马匹的马鞍将其骑在某个地方。")</f>
        <v>相机放大以显示马的鼻子，然后女人爬上马匹的马鞍将其骑在某个地方。</v>
      </c>
    </row>
    <row r="27117">
      <c r="A27117" s="4" t="s">
        <v>34129</v>
      </c>
      <c r="B27117" s="4" t="s">
        <v>34132</v>
      </c>
      <c r="C27117" s="5" t="str">
        <f>IFERROR(__xludf.DUMMYFUNCTION("GOOGLETRANSLATE(B27117,""en"",""zh-CN"")"),"然后，另外两个人是在不同的环境中骑马的草。")</f>
        <v>然后，另外两个人是在不同的环境中骑马的草。</v>
      </c>
    </row>
    <row r="27118">
      <c r="A27118" s="4" t="s">
        <v>34133</v>
      </c>
      <c r="B27118" s="4" t="s">
        <v>34134</v>
      </c>
      <c r="C27118" s="5" t="str">
        <f>IFERROR(__xludf.DUMMYFUNCTION("GOOGLETRANSLATE(B27118,""en"",""zh-CN"")"),"两个女孩在外面与脚交谈。")</f>
        <v>两个女孩在外面与脚交谈。</v>
      </c>
    </row>
    <row r="27119">
      <c r="A27119" s="4" t="s">
        <v>34133</v>
      </c>
      <c r="B27119" s="6" t="s">
        <v>34135</v>
      </c>
      <c r="C27119" s="5" t="str">
        <f>IFERROR(__xludf.DUMMYFUNCTION("GOOGLETRANSLATE(B27119,""en"",""zh-CN"")"),"一个女孩将另一个容器递给她，她从中拉出一小纸，告诉她该怎么做。")</f>
        <v>一个女孩将另一个容器递给她，她从中拉出一小纸，告诉她该怎么做。</v>
      </c>
    </row>
    <row r="27120">
      <c r="A27120" s="4" t="s">
        <v>34133</v>
      </c>
      <c r="B27120" s="4" t="s">
        <v>34136</v>
      </c>
      <c r="C27120" s="5" t="str">
        <f>IFERROR(__xludf.DUMMYFUNCTION("GOOGLETRANSLATE(B27120,""en"",""zh-CN"")"),"她读了它，然后做论文所说的事情。")</f>
        <v>她读了它，然后做论文所说的事情。</v>
      </c>
    </row>
    <row r="27121">
      <c r="A27121" s="4" t="s">
        <v>34133</v>
      </c>
      <c r="B27121" s="6" t="s">
        <v>34137</v>
      </c>
      <c r="C27121" s="5" t="str">
        <f>IFERROR(__xludf.DUMMYFUNCTION("GOOGLETRANSLATE(B27121,""en"",""zh-CN"")"),"他们轮流这样做，挑选便条，然后完成它说要做的任务，他们在这样做时很开心。")</f>
        <v>他们轮流这样做，挑选便条，然后完成它说要做的任务，他们在这样做时很开心。</v>
      </c>
    </row>
    <row r="27122">
      <c r="A27122" s="4" t="s">
        <v>34138</v>
      </c>
      <c r="B27122" s="4" t="s">
        <v>34139</v>
      </c>
      <c r="C27122" s="5" t="str">
        <f>IFERROR(__xludf.DUMMYFUNCTION("GOOGLETRANSLATE(B27122,""en"",""zh-CN"")"),"水在手表塔上溅水。")</f>
        <v>水在手表塔上溅水。</v>
      </c>
    </row>
    <row r="27123">
      <c r="A27123" s="4" t="s">
        <v>34138</v>
      </c>
      <c r="B27123" s="4" t="s">
        <v>34140</v>
      </c>
      <c r="C27123" s="5" t="str">
        <f>IFERROR(__xludf.DUMMYFUNCTION("GOOGLETRANSLATE(B27123,""en"",""zh-CN"")"),"人们坐在海滩上乘船。")</f>
        <v>人们坐在海滩上乘船。</v>
      </c>
    </row>
    <row r="27124">
      <c r="A27124" s="4" t="s">
        <v>34138</v>
      </c>
      <c r="B27124" s="4" t="s">
        <v>34141</v>
      </c>
      <c r="C27124" s="5" t="str">
        <f>IFERROR(__xludf.DUMMYFUNCTION("GOOGLETRANSLATE(B27124,""en"",""zh-CN"")"),"随着不同的人在不同的剪辑中航行，音乐在背景中播放。")</f>
        <v>随着不同的人在不同的剪辑中航行，音乐在背景中播放。</v>
      </c>
    </row>
    <row r="27125">
      <c r="A27125" s="4" t="s">
        <v>34142</v>
      </c>
      <c r="B27125" s="4" t="s">
        <v>34143</v>
      </c>
      <c r="C27125" s="5" t="str">
        <f>IFERROR(__xludf.DUMMYFUNCTION("GOOGLETRANSLATE(B27125,""en"",""zh-CN"")"),"空手道裤子的两个男孩在背景中互相搏斗。")</f>
        <v>空手道裤子的两个男孩在背景中互相搏斗。</v>
      </c>
    </row>
    <row r="27126">
      <c r="A27126" s="4" t="s">
        <v>34142</v>
      </c>
      <c r="B27126" s="4" t="s">
        <v>34144</v>
      </c>
      <c r="C27126" s="5" t="str">
        <f>IFERROR(__xludf.DUMMYFUNCTION("GOOGLETRANSLATE(B27126,""en"",""zh-CN"")"),"该小组形成一个圈子，两个男孩开始在武术练习中脱颖而出。")</f>
        <v>该小组形成一个圈子，两个男孩开始在武术练习中脱颖而出。</v>
      </c>
    </row>
    <row r="27127">
      <c r="A27127" s="4" t="s">
        <v>34142</v>
      </c>
      <c r="B27127" s="4" t="s">
        <v>34145</v>
      </c>
      <c r="C27127" s="5" t="str">
        <f>IFERROR(__xludf.DUMMYFUNCTION("GOOGLETRANSLATE(B27127,""en"",""zh-CN"")"),"粉红色上衣的男孩旋转踢。")</f>
        <v>粉红色上衣的男孩旋转踢。</v>
      </c>
    </row>
    <row r="27128">
      <c r="A27128" s="4" t="s">
        <v>34146</v>
      </c>
      <c r="B27128" s="4" t="s">
        <v>34147</v>
      </c>
      <c r="C27128" s="5" t="str">
        <f>IFERROR(__xludf.DUMMYFUNCTION("GOOGLETRANSLATE(B27128,""en"",""zh-CN"")"),"乐队在舞台上播放音乐。")</f>
        <v>乐队在舞台上播放音乐。</v>
      </c>
    </row>
    <row r="27129">
      <c r="A27129" s="4" t="s">
        <v>34146</v>
      </c>
      <c r="B27129" s="4" t="s">
        <v>34148</v>
      </c>
      <c r="C27129" s="5" t="str">
        <f>IFERROR(__xludf.DUMMYFUNCTION("GOOGLETRANSLATE(B27129,""en"",""zh-CN"")"),"一个人强烈地弹鼓。")</f>
        <v>一个人强烈地弹鼓。</v>
      </c>
    </row>
    <row r="27130">
      <c r="A27130" s="4" t="s">
        <v>34146</v>
      </c>
      <c r="B27130" s="4" t="s">
        <v>34149</v>
      </c>
      <c r="C27130" s="5" t="str">
        <f>IFERROR(__xludf.DUMMYFUNCTION("GOOGLETRANSLATE(B27130,""en"",""zh-CN"")"),"一个大屏幕显示上面的乐队。")</f>
        <v>一个大屏幕显示上面的乐队。</v>
      </c>
    </row>
    <row r="27131">
      <c r="A27131" s="4" t="s">
        <v>34146</v>
      </c>
      <c r="B27131" s="4" t="s">
        <v>34150</v>
      </c>
      <c r="C27131" s="5" t="str">
        <f>IFERROR(__xludf.DUMMYFUNCTION("GOOGLETRANSLATE(B27131,""en"",""zh-CN"")"),"人们在舞台上弹吉他。")</f>
        <v>人们在舞台上弹吉他。</v>
      </c>
    </row>
    <row r="27132">
      <c r="A27132" s="4" t="s">
        <v>34151</v>
      </c>
      <c r="B27132" s="4" t="s">
        <v>34152</v>
      </c>
      <c r="C27132" s="5" t="str">
        <f>IFERROR(__xludf.DUMMYFUNCTION("GOOGLETRANSLATE(B27132,""en"",""zh-CN"")"),"玩家在草地上四处玩曲棍球。")</f>
        <v>玩家在草地上四处玩曲棍球。</v>
      </c>
    </row>
    <row r="27133">
      <c r="A27133" s="4" t="s">
        <v>34151</v>
      </c>
      <c r="B27133" s="4" t="s">
        <v>34153</v>
      </c>
      <c r="C27133" s="5" t="str">
        <f>IFERROR(__xludf.DUMMYFUNCTION("GOOGLETRANSLATE(B27133,""en"",""zh-CN"")"),"观众正在观看并为他们鼓掌。")</f>
        <v>观众正在观看并为他们鼓掌。</v>
      </c>
    </row>
    <row r="27134">
      <c r="A27134" s="4" t="s">
        <v>34154</v>
      </c>
      <c r="B27134" s="4" t="s">
        <v>34155</v>
      </c>
      <c r="C27134" s="5" t="str">
        <f>IFERROR(__xludf.DUMMYFUNCTION("GOOGLETRANSLATE(B27134,""en"",""zh-CN"")"),"看到一个秃头的男人在摩擦头和制作鬼脸的同时与相机说话。")</f>
        <v>看到一个秃头的男人在摩擦头和制作鬼脸的同时与相机说话。</v>
      </c>
    </row>
    <row r="27135">
      <c r="A27135" s="4" t="s">
        <v>34154</v>
      </c>
      <c r="B27135" s="6" t="s">
        <v>34156</v>
      </c>
      <c r="C27135" s="5" t="str">
        <f>IFERROR(__xludf.DUMMYFUNCTION("GOOGLETRANSLATE(B27135,""en"",""zh-CN"")"),"他继续与相机交谈，视频以他挥舞着并关闭相机结束。")</f>
        <v>他继续与相机交谈，视频以他挥舞着并关闭相机结束。</v>
      </c>
    </row>
    <row r="27136">
      <c r="A27136" s="4" t="s">
        <v>34157</v>
      </c>
      <c r="B27136" s="4" t="s">
        <v>34158</v>
      </c>
      <c r="C27136" s="5" t="str">
        <f>IFERROR(__xludf.DUMMYFUNCTION("GOOGLETRANSLATE(B27136,""en"",""zh-CN"")"),"在一系列照片中一起显示了一个小组，并在BMX自行车上赛车。")</f>
        <v>在一系列照片中一起显示了一个小组，并在BMX自行车上赛车。</v>
      </c>
    </row>
    <row r="27137">
      <c r="A27137" s="4" t="s">
        <v>34157</v>
      </c>
      <c r="B27137" s="4" t="s">
        <v>34159</v>
      </c>
      <c r="C27137" s="5" t="str">
        <f>IFERROR(__xludf.DUMMYFUNCTION("GOOGLETRANSLATE(B27137,""en"",""zh-CN"")"),"然后，我们看到人们骑自行车，表演特技表演，绕着戒指和跳山。")</f>
        <v>然后，我们看到人们骑自行车，表演特技表演，绕着戒指和跳山。</v>
      </c>
    </row>
    <row r="27138">
      <c r="A27138" s="4" t="s">
        <v>34157</v>
      </c>
      <c r="B27138" s="4" t="s">
        <v>34160</v>
      </c>
      <c r="C27138" s="5" t="str">
        <f>IFERROR(__xludf.DUMMYFUNCTION("GOOGLETRANSLATE(B27138,""en"",""zh-CN"")"),"一名骑自行车的人飞过空中，然后我们看到了奖牌的最终照片。")</f>
        <v>一名骑自行车的人飞过空中，然后我们看到了奖牌的最终照片。</v>
      </c>
    </row>
    <row r="27139">
      <c r="A27139" s="4" t="s">
        <v>34161</v>
      </c>
      <c r="B27139" s="4" t="s">
        <v>34162</v>
      </c>
      <c r="C27139" s="5" t="str">
        <f>IFERROR(__xludf.DUMMYFUNCTION("GOOGLETRANSLATE(B27139,""en"",""zh-CN"")"),"一个院子里的男人开始割草机。")</f>
        <v>一个院子里的男人开始割草机。</v>
      </c>
    </row>
    <row r="27140">
      <c r="A27140" s="4" t="s">
        <v>34161</v>
      </c>
      <c r="B27140" s="4" t="s">
        <v>34163</v>
      </c>
      <c r="C27140" s="5" t="str">
        <f>IFERROR(__xludf.DUMMYFUNCTION("GOOGLETRANSLATE(B27140,""en"",""zh-CN"")"),"当狗在院子里漫步时，该男子用耳机在耳边割草。")</f>
        <v>当狗在院子里漫步时，该男子用耳机在耳边割草。</v>
      </c>
    </row>
    <row r="27141">
      <c r="A27141" s="4" t="s">
        <v>34161</v>
      </c>
      <c r="B27141" s="4" t="s">
        <v>34164</v>
      </c>
      <c r="C27141" s="5" t="str">
        <f>IFERROR(__xludf.DUMMYFUNCTION("GOOGLETRANSLATE(B27141,""en"",""zh-CN"")"),"狗跑来跑去，摆脱割草机，离开现场。")</f>
        <v>狗跑来跑去，摆脱割草机，离开现场。</v>
      </c>
    </row>
    <row r="27142">
      <c r="A27142" s="4" t="s">
        <v>34165</v>
      </c>
      <c r="B27142" s="4" t="s">
        <v>34166</v>
      </c>
      <c r="C27142" s="5" t="str">
        <f>IFERROR(__xludf.DUMMYFUNCTION("GOOGLETRANSLATE(B27142,""en"",""zh-CN"")"),"看到一只猫在床上舔了舔自己，而一个人不断地试图剪掉爪子。")</f>
        <v>看到一只猫在床上舔了舔自己，而一个人不断地试图剪掉爪子。</v>
      </c>
    </row>
    <row r="27143">
      <c r="A27143" s="4" t="s">
        <v>34165</v>
      </c>
      <c r="B27143" s="4" t="s">
        <v>34167</v>
      </c>
      <c r="C27143" s="5" t="str">
        <f>IFERROR(__xludf.DUMMYFUNCTION("GOOGLETRANSLATE(B27143,""en"",""zh-CN"")"),"该人在猫继续舔自己的同时抓挠猫，并再次试图剪掉爪子。")</f>
        <v>该人在猫继续舔自己的同时抓挠猫，并再次试图剪掉爪子。</v>
      </c>
    </row>
    <row r="27144">
      <c r="A27144" s="4" t="s">
        <v>34165</v>
      </c>
      <c r="B27144" s="4" t="s">
        <v>34168</v>
      </c>
      <c r="C27144" s="5" t="str">
        <f>IFERROR(__xludf.DUMMYFUNCTION("GOOGLETRANSLATE(B27144,""en"",""zh-CN"")"),"最终，该人与猫一起玩，汽车继续舔。")</f>
        <v>最终，该人与猫一起玩，汽车继续舔。</v>
      </c>
    </row>
    <row r="27145">
      <c r="A27145" s="4" t="s">
        <v>34169</v>
      </c>
      <c r="B27145" s="4" t="s">
        <v>34170</v>
      </c>
      <c r="C27145" s="5" t="str">
        <f>IFERROR(__xludf.DUMMYFUNCTION("GOOGLETRANSLATE(B27145,""en"",""zh-CN"")"),"一个男人在剃光男性的腿。")</f>
        <v>一个男人在剃光男性的腿。</v>
      </c>
    </row>
    <row r="27146">
      <c r="A27146" s="4" t="s">
        <v>34169</v>
      </c>
      <c r="B27146" s="4" t="s">
        <v>34171</v>
      </c>
      <c r="C27146" s="5" t="str">
        <f>IFERROR(__xludf.DUMMYFUNCTION("GOOGLETRANSLATE(B27146,""en"",""zh-CN"")"),"雄性笑着和他的短裤混乱。")</f>
        <v>雄性笑着和他的短裤混乱。</v>
      </c>
    </row>
    <row r="27147">
      <c r="A27147" s="4" t="s">
        <v>34169</v>
      </c>
      <c r="B27147" s="4" t="s">
        <v>34172</v>
      </c>
      <c r="C27147" s="5" t="str">
        <f>IFERROR(__xludf.DUMMYFUNCTION("GOOGLETRANSLATE(B27147,""en"",""zh-CN"")"),"这个家伙用肥皂液将剃须刀用蓝碗冲洗。")</f>
        <v>这个家伙用肥皂液将剃须刀用蓝碗冲洗。</v>
      </c>
    </row>
    <row r="27148">
      <c r="A27148" s="4" t="s">
        <v>34173</v>
      </c>
      <c r="B27148" s="4" t="s">
        <v>34174</v>
      </c>
      <c r="C27148" s="5" t="str">
        <f>IFERROR(__xludf.DUMMYFUNCTION("GOOGLETRANSLATE(B27148,""en"",""zh-CN"")"),"一个人站在法庭上说话时拿着排球。")</f>
        <v>一个人站在法庭上说话时拿着排球。</v>
      </c>
    </row>
    <row r="27149">
      <c r="A27149" s="4" t="s">
        <v>34173</v>
      </c>
      <c r="B27149" s="4" t="s">
        <v>34175</v>
      </c>
      <c r="C27149" s="5" t="str">
        <f>IFERROR(__xludf.DUMMYFUNCTION("GOOGLETRANSLATE(B27149,""en"",""zh-CN"")"),"女玩家在讲话时训练和练习。")</f>
        <v>女玩家在讲话时训练和练习。</v>
      </c>
    </row>
    <row r="27150">
      <c r="A27150" s="4" t="s">
        <v>34176</v>
      </c>
      <c r="B27150" s="4" t="s">
        <v>34177</v>
      </c>
      <c r="C27150" s="5" t="str">
        <f>IFERROR(__xludf.DUMMYFUNCTION("GOOGLETRANSLATE(B27150,""en"",""zh-CN"")"),"穿着睡衣的两个孩子从一棵树上悬挂着圣诞节装饰品。")</f>
        <v>穿着睡衣的两个孩子从一棵树上悬挂着圣诞节装饰品。</v>
      </c>
    </row>
    <row r="27151">
      <c r="A27151" s="4" t="s">
        <v>34176</v>
      </c>
      <c r="B27151" s="4" t="s">
        <v>34178</v>
      </c>
      <c r="C27151" s="5" t="str">
        <f>IFERROR(__xludf.DUMMYFUNCTION("GOOGLETRANSLATE(B27151,""en"",""zh-CN"")"),"一只假蝙蝠从圣诞树上爆发出来，吓到了孩子们。")</f>
        <v>一只假蝙蝠从圣诞树上爆发出来，吓到了孩子们。</v>
      </c>
    </row>
    <row r="27152">
      <c r="A27152" s="4" t="s">
        <v>34179</v>
      </c>
      <c r="B27152" s="4" t="s">
        <v>34180</v>
      </c>
      <c r="C27152" s="5" t="str">
        <f>IFERROR(__xludf.DUMMYFUNCTION("GOOGLETRANSLATE(B27152,""en"",""zh-CN"")"),"一个人站在拖车外面。")</f>
        <v>一个人站在拖车外面。</v>
      </c>
    </row>
    <row r="27153">
      <c r="A27153" s="4" t="s">
        <v>34179</v>
      </c>
      <c r="B27153" s="4" t="s">
        <v>34181</v>
      </c>
      <c r="C27153" s="5" t="str">
        <f>IFERROR(__xludf.DUMMYFUNCTION("GOOGLETRANSLATE(B27153,""en"",""zh-CN"")"),"他开始在拖车前铲雪。")</f>
        <v>他开始在拖车前铲雪。</v>
      </c>
    </row>
    <row r="27154">
      <c r="A27154" s="4" t="s">
        <v>34179</v>
      </c>
      <c r="B27154" s="4" t="s">
        <v>34182</v>
      </c>
      <c r="C27154" s="5" t="str">
        <f>IFERROR(__xludf.DUMMYFUNCTION("GOOGLETRANSLATE(B27154,""en"",""zh-CN"")"),"他把雪铲放在雪中，继续说话。")</f>
        <v>他把雪铲放在雪中，继续说话。</v>
      </c>
    </row>
    <row r="27155">
      <c r="A27155" s="4" t="s">
        <v>34183</v>
      </c>
      <c r="B27155" s="4" t="s">
        <v>34184</v>
      </c>
      <c r="C27155" s="5" t="str">
        <f>IFERROR(__xludf.DUMMYFUNCTION("GOOGLETRANSLATE(B27155,""en"",""zh-CN"")"),"看到一个小孩坐在管子里，而其他人则站在他周围。")</f>
        <v>看到一个小孩坐在管子里，而其他人则站在他周围。</v>
      </c>
    </row>
    <row r="27156">
      <c r="A27156" s="4" t="s">
        <v>34183</v>
      </c>
      <c r="B27156" s="4" t="s">
        <v>34185</v>
      </c>
      <c r="C27156" s="5" t="str">
        <f>IFERROR(__xludf.DUMMYFUNCTION("GOOGLETRANSLATE(B27156,""en"",""zh-CN"")"),"然后，男孩开始在管子里的一个白雪皑皑的山上骑。")</f>
        <v>然后，男孩开始在管子里的一个白雪皑皑的山上骑。</v>
      </c>
    </row>
    <row r="27157">
      <c r="A27157" s="4" t="s">
        <v>34183</v>
      </c>
      <c r="B27157" s="4" t="s">
        <v>34186</v>
      </c>
      <c r="C27157" s="5" t="str">
        <f>IFERROR(__xludf.DUMMYFUNCTION("GOOGLETRANSLATE(B27157,""en"",""zh-CN"")"),"这个男孩继续骑行，直到他到达底部为止。")</f>
        <v>这个男孩继续骑行，直到他到达底部为止。</v>
      </c>
    </row>
    <row r="27158">
      <c r="A27158" s="4" t="s">
        <v>34187</v>
      </c>
      <c r="B27158" s="4" t="s">
        <v>34188</v>
      </c>
      <c r="C27158" s="5" t="str">
        <f>IFERROR(__xludf.DUMMYFUNCTION("GOOGLETRANSLATE(B27158,""en"",""zh-CN"")"),"一个女人说话时站在水槽附近。")</f>
        <v>一个女人说话时站在水槽附近。</v>
      </c>
    </row>
    <row r="27159">
      <c r="A27159" s="4" t="s">
        <v>34187</v>
      </c>
      <c r="B27159" s="4" t="s">
        <v>34189</v>
      </c>
      <c r="C27159" s="5" t="str">
        <f>IFERROR(__xludf.DUMMYFUNCTION("GOOGLETRANSLATE(B27159,""en"",""zh-CN"")"),"她打开水龙头并潮湿水槽。")</f>
        <v>她打开水龙头并潮湿水槽。</v>
      </c>
    </row>
    <row r="27160">
      <c r="A27160" s="4" t="s">
        <v>34187</v>
      </c>
      <c r="B27160" s="4" t="s">
        <v>34190</v>
      </c>
      <c r="C27160" s="5" t="str">
        <f>IFERROR(__xludf.DUMMYFUNCTION("GOOGLETRANSLATE(B27160,""en"",""zh-CN"")"),"她用一个清洁剂喷洒水槽。")</f>
        <v>她用一个清洁剂喷洒水槽。</v>
      </c>
    </row>
    <row r="27161">
      <c r="A27161" s="4" t="s">
        <v>34187</v>
      </c>
      <c r="B27161" s="4" t="s">
        <v>34191</v>
      </c>
      <c r="C27161" s="5" t="str">
        <f>IFERROR(__xludf.DUMMYFUNCTION("GOOGLETRANSLATE(B27161,""en"",""zh-CN"")"),"她抓住纸巾，擦拭水槽。")</f>
        <v>她抓住纸巾，擦拭水槽。</v>
      </c>
    </row>
    <row r="27162">
      <c r="A27162" s="4" t="s">
        <v>34187</v>
      </c>
      <c r="B27162" s="4" t="s">
        <v>34192</v>
      </c>
      <c r="C27162" s="5" t="str">
        <f>IFERROR(__xludf.DUMMYFUNCTION("GOOGLETRANSLATE(B27162,""en"",""zh-CN"")"),"她打开水，使水槽湿透了。")</f>
        <v>她打开水，使水槽湿透了。</v>
      </c>
    </row>
    <row r="27163">
      <c r="A27163" s="4" t="s">
        <v>34187</v>
      </c>
      <c r="B27163" s="4" t="s">
        <v>34193</v>
      </c>
      <c r="C27163" s="5" t="str">
        <f>IFERROR(__xludf.DUMMYFUNCTION("GOOGLETRANSLATE(B27163,""en"",""zh-CN"")"),"她抓住另一张纸巾，擦拭水槽。")</f>
        <v>她抓住另一张纸巾，擦拭水槽。</v>
      </c>
    </row>
    <row r="27164">
      <c r="A27164" s="4" t="s">
        <v>34187</v>
      </c>
      <c r="B27164" s="4" t="s">
        <v>34194</v>
      </c>
      <c r="C27164" s="5" t="str">
        <f>IFERROR(__xludf.DUMMYFUNCTION("GOOGLETRANSLATE(B27164,""en"",""zh-CN"")"),"她完成了擦拭水槽的说话。")</f>
        <v>她完成了擦拭水槽的说话。</v>
      </c>
    </row>
    <row r="27165">
      <c r="A27165" s="4" t="s">
        <v>34195</v>
      </c>
      <c r="B27165" s="4" t="s">
        <v>34196</v>
      </c>
      <c r="C27165" s="5" t="str">
        <f>IFERROR(__xludf.DUMMYFUNCTION("GOOGLETRANSLATE(B27165,""en"",""zh-CN"")"),"一支球队正在与另一支球队打篮球。")</f>
        <v>一支球队正在与另一支球队打篮球。</v>
      </c>
    </row>
    <row r="27166">
      <c r="A27166" s="4" t="s">
        <v>34195</v>
      </c>
      <c r="B27166" s="4" t="s">
        <v>34197</v>
      </c>
      <c r="C27166" s="5" t="str">
        <f>IFERROR(__xludf.DUMMYFUNCTION("GOOGLETRANSLATE(B27166,""en"",""zh-CN"")"),"他们在球场上追逐球。")</f>
        <v>他们在球场上追逐球。</v>
      </c>
    </row>
    <row r="27167">
      <c r="A27167" s="4" t="s">
        <v>34195</v>
      </c>
      <c r="B27167" s="4" t="s">
        <v>34198</v>
      </c>
      <c r="C27167" s="5" t="str">
        <f>IFERROR(__xludf.DUMMYFUNCTION("GOOGLETRANSLATE(B27167,""en"",""zh-CN"")"),"他们试图使球远离对手，并随身携带篮子。")</f>
        <v>他们试图使球远离对手，并随身携带篮子。</v>
      </c>
    </row>
    <row r="27168">
      <c r="A27168" s="4" t="s">
        <v>34199</v>
      </c>
      <c r="B27168" s="4" t="s">
        <v>34200</v>
      </c>
      <c r="C27168" s="5" t="str">
        <f>IFERROR(__xludf.DUMMYFUNCTION("GOOGLETRANSLATE(B27168,""en"",""zh-CN"")"),"两名男子通过做剪刀岩石来看看谁是谁去的，准备参加比赛。")</f>
        <v>两名男子通过做剪刀岩石来看看谁是谁去的，准备参加比赛。</v>
      </c>
    </row>
    <row r="27169">
      <c r="A27169" s="4" t="s">
        <v>34199</v>
      </c>
      <c r="B27169" s="4" t="s">
        <v>34201</v>
      </c>
      <c r="C27169" s="5" t="str">
        <f>IFERROR(__xludf.DUMMYFUNCTION("GOOGLETRANSLATE(B27169,""en"",""zh-CN"")"),"这些人在比赛期间交叉，开始喝液体。")</f>
        <v>这些人在比赛期间交叉，开始喝液体。</v>
      </c>
    </row>
    <row r="27170">
      <c r="A27170" s="4" t="s">
        <v>34202</v>
      </c>
      <c r="B27170" s="4" t="s">
        <v>34203</v>
      </c>
      <c r="C27170" s="5" t="str">
        <f>IFERROR(__xludf.DUMMYFUNCTION("GOOGLETRANSLATE(B27170,""en"",""zh-CN"")"),"奥利奥芝士蛋糕在桌子上。")</f>
        <v>奥利奥芝士蛋糕在桌子上。</v>
      </c>
    </row>
    <row r="27171">
      <c r="A27171" s="4" t="s">
        <v>34202</v>
      </c>
      <c r="B27171" s="6" t="s">
        <v>34204</v>
      </c>
      <c r="C27171" s="5" t="str">
        <f>IFERROR(__xludf.DUMMYFUNCTION("GOOGLETRANSLATE(B27171,""en"",""zh-CN"")"),"奥利奥（Oreos）放在碗里，炊具将它们压碎，融化黄油并混合并将其放入锅中。")</f>
        <v>奥利奥（Oreos）放在碗里，炊具将它们压碎，融化黄油并混合并将其放入锅中。</v>
      </c>
    </row>
    <row r="27172">
      <c r="A27172" s="4" t="s">
        <v>34202</v>
      </c>
      <c r="B27172" s="4" t="s">
        <v>34205</v>
      </c>
      <c r="C27172" s="5" t="str">
        <f>IFERROR(__xludf.DUMMYFUNCTION("GOOGLETRANSLATE(B27172,""en"",""zh-CN"")"),"将奶油融化在碗中，然后打成一倍。")</f>
        <v>将奶油融化在碗中，然后打成一倍。</v>
      </c>
    </row>
    <row r="27173">
      <c r="A27173" s="4" t="s">
        <v>34202</v>
      </c>
      <c r="B27173" s="6" t="s">
        <v>34206</v>
      </c>
      <c r="C27173" s="5" t="str">
        <f>IFERROR(__xludf.DUMMYFUNCTION("GOOGLETRANSLATE(B27173,""en"",""zh-CN"")"),"在其他碗中，奶油奶酪与糖和香草混合在一起，然后将Oreo饼干碎在碗中，然后将其混合在一起，然后将其放入锅中，然后将其与Oreo Cookie一起放在上面。")</f>
        <v>在其他碗中，奶油奶酪与糖和香草混合在一起，然后将Oreo饼干碎在碗中，然后将其混合在一起，然后将其放入锅中，然后将其与Oreo Cookie一起放在上面。</v>
      </c>
    </row>
    <row r="27174">
      <c r="A27174" s="4" t="s">
        <v>34207</v>
      </c>
      <c r="B27174" s="6" t="s">
        <v>34208</v>
      </c>
      <c r="C27174" s="5" t="str">
        <f>IFERROR(__xludf.DUMMYFUNCTION("GOOGLETRANSLATE(B27174,""en"",""zh-CN"")"),"看到一个女人说话，用麦克风说话，并在旋转后向一个人的头部投掷飞镖。")</f>
        <v>看到一个女人说话，用麦克风说话，并在旋转后向一个人的头部投掷飞镖。</v>
      </c>
    </row>
    <row r="27175">
      <c r="A27175" s="4" t="s">
        <v>34207</v>
      </c>
      <c r="B27175" s="4" t="s">
        <v>34209</v>
      </c>
      <c r="C27175" s="5" t="str">
        <f>IFERROR(__xludf.DUMMYFUNCTION("GOOGLETRANSLATE(B27175,""en"",""zh-CN"")"),"该人戴着南瓜头，看到更多的人试图投掷飞镖。")</f>
        <v>该人戴着南瓜头，看到更多的人试图投掷飞镖。</v>
      </c>
    </row>
    <row r="27176">
      <c r="A27176" s="4" t="s">
        <v>34207</v>
      </c>
      <c r="B27176" s="4" t="s">
        <v>34210</v>
      </c>
      <c r="C27176" s="5" t="str">
        <f>IFERROR(__xludf.DUMMYFUNCTION("GOOGLETRANSLATE(B27176,""en"",""zh-CN"")"),"最后，男人将南瓜从他的头上脱下来。")</f>
        <v>最后，男人将南瓜从他的头上脱下来。</v>
      </c>
    </row>
    <row r="27177">
      <c r="A27177" s="4" t="s">
        <v>34211</v>
      </c>
      <c r="B27177" s="4" t="s">
        <v>34212</v>
      </c>
      <c r="C27177" s="5" t="str">
        <f>IFERROR(__xludf.DUMMYFUNCTION("GOOGLETRANSLATE(B27177,""en"",""zh-CN"")"),"当有人递给他喝酒时，一个男人坐在树上洗牌的卡片前。")</f>
        <v>当有人递给他喝酒时，一个男人坐在树上洗牌的卡片前。</v>
      </c>
    </row>
    <row r="27178">
      <c r="A27178" s="4" t="s">
        <v>34211</v>
      </c>
      <c r="B27178" s="4" t="s">
        <v>34213</v>
      </c>
      <c r="C27178" s="5" t="str">
        <f>IFERROR(__xludf.DUMMYFUNCTION("GOOGLETRANSLATE(B27178,""en"",""zh-CN"")"),"然后，他很快就会抓住饮料，并指向那些扔饮料的人。")</f>
        <v>然后，他很快就会抓住饮料，并指向那些扔饮料的人。</v>
      </c>
    </row>
    <row r="27179">
      <c r="A27179" s="4" t="s">
        <v>34214</v>
      </c>
      <c r="B27179" s="6" t="s">
        <v>34215</v>
      </c>
      <c r="C27179" s="5" t="str">
        <f>IFERROR(__xludf.DUMMYFUNCTION("GOOGLETRANSLATE(B27179,""en"",""zh-CN"")"),"展示了几张面包店和厨师的图像，然后出现了一个动画家伙，展示了视频的内容。")</f>
        <v>展示了几张面包店和厨师的图像，然后出现了一个动画家伙，展示了视频的内容。</v>
      </c>
    </row>
    <row r="27180">
      <c r="A27180" s="4" t="s">
        <v>34214</v>
      </c>
      <c r="B27180" s="4" t="s">
        <v>34216</v>
      </c>
      <c r="C27180" s="5" t="str">
        <f>IFERROR(__xludf.DUMMYFUNCTION("GOOGLETRANSLATE(B27180,""en"",""zh-CN"")"),"然后，一位真正的厨师出现，开始切割一小层蛋糕并将它们加在一起。")</f>
        <v>然后，一位真正的厨师出现，开始切割一小层蛋糕并将它们加在一起。</v>
      </c>
    </row>
    <row r="27181">
      <c r="A27181" s="4" t="s">
        <v>34214</v>
      </c>
      <c r="B27181" s="6" t="s">
        <v>34217</v>
      </c>
      <c r="C27181" s="5" t="str">
        <f>IFERROR(__xludf.DUMMYFUNCTION("GOOGLETRANSLATE(B27181,""en"",""zh-CN"")"),"一旦将蛋糕的所有层切成薄片并将其冰结在一起，将软糖放在蛋糕上，糖霜和沙漠已经完成。")</f>
        <v>一旦将蛋糕的所有层切成薄片并将其冰结在一起，将软糖放在蛋糕上，糖霜和沙漠已经完成。</v>
      </c>
    </row>
    <row r="27182">
      <c r="A27182" s="4" t="s">
        <v>34218</v>
      </c>
      <c r="B27182" s="6" t="s">
        <v>34219</v>
      </c>
      <c r="C27182" s="5" t="str">
        <f>IFERROR(__xludf.DUMMYFUNCTION("GOOGLETRANSLATE(B27182,""en"",""zh-CN"")"),"当一个人抓住各种工具，更多地向另一种工具抓住各种工具时，看到一群光着膀子的男人站在房屋的外面。")</f>
        <v>当一个人抓住各种工具，更多地向另一种工具抓住各种工具时，看到一群光着膀子的男人站在房屋的外面。</v>
      </c>
    </row>
    <row r="27183">
      <c r="A27183" s="4" t="s">
        <v>34218</v>
      </c>
      <c r="B27183" s="6" t="s">
        <v>34220</v>
      </c>
      <c r="C27183" s="5" t="str">
        <f>IFERROR(__xludf.DUMMYFUNCTION("GOOGLETRANSLATE(B27183,""en"",""zh-CN"")"),"然后，这些人通过站着伸出来，在饮用水时互相说话。")</f>
        <v>然后，这些人通过站着伸出来，在饮用水时互相说话。</v>
      </c>
    </row>
    <row r="27184">
      <c r="A27184" s="4" t="s">
        <v>34218</v>
      </c>
      <c r="B27184" s="4" t="s">
        <v>34221</v>
      </c>
      <c r="C27184" s="5" t="str">
        <f>IFERROR(__xludf.DUMMYFUNCTION("GOOGLETRANSLATE(B27184,""en"",""zh-CN"")"),"这些人又打了几次球，继续互相交谈。")</f>
        <v>这些人又打了几次球，继续互相交谈。</v>
      </c>
    </row>
    <row r="27185">
      <c r="A27185" s="4" t="s">
        <v>34222</v>
      </c>
      <c r="B27185" s="4" t="s">
        <v>34223</v>
      </c>
      <c r="C27185" s="5" t="str">
        <f>IFERROR(__xludf.DUMMYFUNCTION("GOOGLETRANSLATE(B27185,""en"",""zh-CN"")"),"一个年轻的女孩被带到我们的水桶上湿衣服。")</f>
        <v>一个年轻的女孩被带到我们的水桶上湿衣服。</v>
      </c>
    </row>
    <row r="27186">
      <c r="A27186" s="4" t="s">
        <v>34222</v>
      </c>
      <c r="B27186" s="4" t="s">
        <v>34224</v>
      </c>
      <c r="C27186" s="5" t="str">
        <f>IFERROR(__xludf.DUMMYFUNCTION("GOOGLETRANSLATE(B27186,""en"",""zh-CN"")"),"有几个人在她的洗衣服周围，养育他们。")</f>
        <v>有几个人在她的洗衣服周围，养育他们。</v>
      </c>
    </row>
    <row r="27187">
      <c r="A27187" s="4" t="s">
        <v>34222</v>
      </c>
      <c r="B27187" s="4" t="s">
        <v>34225</v>
      </c>
      <c r="C27187" s="5" t="str">
        <f>IFERROR(__xludf.DUMMYFUNCTION("GOOGLETRANSLATE(B27187,""en"",""zh-CN"")"),"她回头看着相机，似乎很开心。")</f>
        <v>她回头看着相机，似乎很开心。</v>
      </c>
    </row>
    <row r="27188">
      <c r="A27188" s="4" t="s">
        <v>34222</v>
      </c>
      <c r="B27188" s="4" t="s">
        <v>34226</v>
      </c>
      <c r="C27188" s="5" t="str">
        <f>IFERROR(__xludf.DUMMYFUNCTION("GOOGLETRANSLATE(B27188,""en"",""zh-CN"")"),"一个小男孩跳到镜头前，微笑着。")</f>
        <v>一个小男孩跳到镜头前，微笑着。</v>
      </c>
    </row>
    <row r="27189">
      <c r="A27189" s="4" t="s">
        <v>34222</v>
      </c>
      <c r="B27189" s="6" t="s">
        <v>34227</v>
      </c>
      <c r="C27189" s="5" t="str">
        <f>IFERROR(__xludf.DUMMYFUNCTION("GOOGLETRANSLATE(B27189,""en"",""zh-CN"")"),"小女孩继续在桶里冲洗衣服，因为小男孩将他的背部转向相机。")</f>
        <v>小女孩继续在桶里冲洗衣服，因为小男孩将他的背部转向相机。</v>
      </c>
    </row>
    <row r="27190">
      <c r="A27190" s="4" t="s">
        <v>34222</v>
      </c>
      <c r="B27190" s="4" t="s">
        <v>34228</v>
      </c>
      <c r="C27190" s="5" t="str">
        <f>IFERROR(__xludf.DUMMYFUNCTION("GOOGLETRANSLATE(B27190,""en"",""zh-CN"")"),"这位年轻女孩继续她的工作，并表现出非常专注于她的任务。")</f>
        <v>这位年轻女孩继续她的工作，并表现出非常专注于她的任务。</v>
      </c>
    </row>
    <row r="27191">
      <c r="A27191" s="4" t="s">
        <v>34229</v>
      </c>
      <c r="B27191" s="4" t="s">
        <v>34230</v>
      </c>
      <c r="C27191" s="5" t="str">
        <f>IFERROR(__xludf.DUMMYFUNCTION("GOOGLETRANSLATE(B27191,""en"",""zh-CN"")"),"当一个人站在摩托艇上时，水就掉了。")</f>
        <v>当一个人站在摩托艇上时，水就掉了。</v>
      </c>
    </row>
    <row r="27192">
      <c r="A27192" s="4" t="s">
        <v>34229</v>
      </c>
      <c r="B27192" s="4" t="s">
        <v>34231</v>
      </c>
      <c r="C27192" s="5" t="str">
        <f>IFERROR(__xludf.DUMMYFUNCTION("GOOGLETRANSLATE(B27192,""en"",""zh-CN"")"),"我们看到那个人在湖上滑雪和表演跳跃。")</f>
        <v>我们看到那个人在湖上滑雪和表演跳跃。</v>
      </c>
    </row>
    <row r="27193">
      <c r="A27193" s="4" t="s">
        <v>34229</v>
      </c>
      <c r="B27193" s="4" t="s">
        <v>34232</v>
      </c>
      <c r="C27193" s="5" t="str">
        <f>IFERROR(__xludf.DUMMYFUNCTION("GOOGLETRANSLATE(B27193,""en"",""zh-CN"")"),"当他弯下腰时，他的手在水里滑雪。")</f>
        <v>当他弯下腰时，他的手在水里滑雪。</v>
      </c>
    </row>
    <row r="27194">
      <c r="A27194" s="4" t="s">
        <v>34229</v>
      </c>
      <c r="B27194" s="4" t="s">
        <v>34233</v>
      </c>
      <c r="C27194" s="5" t="str">
        <f>IFERROR(__xludf.DUMMYFUNCTION("GOOGLETRANSLATE(B27194,""en"",""zh-CN"")"),"我们看到船与滑雪者在空中经过我们。")</f>
        <v>我们看到船与滑雪者在空中经过我们。</v>
      </c>
    </row>
    <row r="27195">
      <c r="A27195" s="4" t="s">
        <v>34234</v>
      </c>
      <c r="B27195" s="4" t="s">
        <v>34235</v>
      </c>
      <c r="C27195" s="5" t="str">
        <f>IFERROR(__xludf.DUMMYFUNCTION("GOOGLETRANSLATE(B27195,""en"",""zh-CN"")"),"两个女人和一个男人在走廊上行走，看着展示的地毯。")</f>
        <v>两个女人和一个男人在走廊上行走，看着展示的地毯。</v>
      </c>
    </row>
    <row r="27196">
      <c r="A27196" s="4" t="s">
        <v>34234</v>
      </c>
      <c r="B27196" s="6" t="s">
        <v>34236</v>
      </c>
      <c r="C27196" s="5" t="str">
        <f>IFERROR(__xludf.DUMMYFUNCTION("GOOGLETRANSLATE(B27196,""en"",""zh-CN"")"),"一辆由一个男人驾驶的红色货车经过，然后一个男人走向房子，然后一个男人蹲在地毯上切成碎片或棕色地毯，熨烫地毯，用重金属按地毯。")</f>
        <v>一辆由一个男人驾驶的红色货车经过，然后一个男人走向房子，然后一个男人蹲在地毯上切成碎片或棕色地毯，熨烫地毯，用重金属按地毯。</v>
      </c>
    </row>
    <row r="27197">
      <c r="A27197" s="4" t="s">
        <v>34237</v>
      </c>
      <c r="B27197" s="6" t="s">
        <v>34238</v>
      </c>
      <c r="C27197" s="5" t="str">
        <f>IFERROR(__xludf.DUMMYFUNCTION("GOOGLETRANSLATE(B27197,""en"",""zh-CN"")"),"一个男人和一个女人从停放的汽车窗户，挡风玻璃和刮水器叶片上刮下来，而第二个女人则从雪地里的汽车侧面与他们交谈。")</f>
        <v>一个男人和一个女人从停放的汽车窗户，挡风玻璃和刮水器叶片上刮下来，而第二个女人则从雪地里的汽车侧面与他们交谈。</v>
      </c>
    </row>
    <row r="27198">
      <c r="A27198" s="4" t="s">
        <v>34237</v>
      </c>
      <c r="B27198" s="6" t="s">
        <v>34239</v>
      </c>
      <c r="C27198" s="5" t="str">
        <f>IFERROR(__xludf.DUMMYFUNCTION("GOOGLETRANSLATE(B27198,""en"",""zh-CN"")"),"一个穿着长长的黑色羊毛外套的男人从蓝色汽车的挡风玻璃上刮掉了冰，而一名穿着黑色皮革领衣外套的女人从汽车的侧面与他交谈。")</f>
        <v>一个穿着长长的黑色羊毛外套的男人从蓝色汽车的挡风玻璃上刮掉了冰，而一名穿着黑色皮革领衣外套的女人从汽车的侧面与他交谈。</v>
      </c>
    </row>
    <row r="27199">
      <c r="A27199" s="4" t="s">
        <v>34237</v>
      </c>
      <c r="B27199" s="6" t="s">
        <v>34240</v>
      </c>
      <c r="C27199" s="5" t="str">
        <f>IFERROR(__xludf.DUMMYFUNCTION("GOOGLETRANSLATE(B27199,""en"",""zh-CN"")"),"第二个女人开始与穿着毛发连帽外套的女人交谈时，开始从汽车的挡风玻璃雨刷中擦拭积雪。")</f>
        <v>第二个女人开始与穿着毛发连帽外套的女人交谈时，开始从汽车的挡风玻璃雨刷中擦拭积雪。</v>
      </c>
    </row>
    <row r="27200">
      <c r="A27200" s="4" t="s">
        <v>34237</v>
      </c>
      <c r="B27200" s="6" t="s">
        <v>34241</v>
      </c>
      <c r="C27200" s="5" t="str">
        <f>IFERROR(__xludf.DUMMYFUNCTION("GOOGLETRANSLATE(B27200,""en"",""zh-CN"")"),"该男子坐在汽车后座，关上了他身后的门，而那个穿着毛发帽衫的女士向另一个朝驾驶员侧车门移动的女人的帽子波浪。")</f>
        <v>该男子坐在汽车后座，关上了他身后的门，而那个穿着毛发帽衫的女士向另一个朝驾驶员侧车门移动的女人的帽子波浪。</v>
      </c>
    </row>
    <row r="27201">
      <c r="A27201" s="4" t="s">
        <v>34242</v>
      </c>
      <c r="B27201" s="4" t="s">
        <v>34243</v>
      </c>
      <c r="C27201" s="5" t="str">
        <f>IFERROR(__xludf.DUMMYFUNCTION("GOOGLETRANSLATE(B27201,""en"",""zh-CN"")"),"有一些女孩在健身房里做体操。")</f>
        <v>有一些女孩在健身房里做体操。</v>
      </c>
    </row>
    <row r="27202">
      <c r="A27202" s="4" t="s">
        <v>34242</v>
      </c>
      <c r="B27202" s="4" t="s">
        <v>34244</v>
      </c>
      <c r="C27202" s="5" t="str">
        <f>IFERROR(__xludf.DUMMYFUNCTION("GOOGLETRANSLATE(B27202,""en"",""zh-CN"")"),"有一个年轻的女孩穿着运动背心，短裤在她的后院进行背部翻转。")</f>
        <v>有一个年轻的女孩穿着运动背心，短裤在她的后院进行背部翻转。</v>
      </c>
    </row>
    <row r="27203">
      <c r="A27203" s="4" t="s">
        <v>34242</v>
      </c>
      <c r="B27203" s="4" t="s">
        <v>34245</v>
      </c>
      <c r="C27203" s="5" t="str">
        <f>IFERROR(__xludf.DUMMYFUNCTION("GOOGLETRANSLATE(B27203,""en"",""zh-CN"")"),"她继续以快速的方式向后翻转。")</f>
        <v>她继续以快速的方式向后翻转。</v>
      </c>
    </row>
    <row r="27204">
      <c r="A27204" s="4" t="s">
        <v>34242</v>
      </c>
      <c r="B27204" s="4" t="s">
        <v>34246</v>
      </c>
      <c r="C27204" s="5" t="str">
        <f>IFERROR(__xludf.DUMMYFUNCTION("GOOGLETRANSLATE(B27204,""en"",""zh-CN"")"),"她还在海滩上翻转。")</f>
        <v>她还在海滩上翻转。</v>
      </c>
    </row>
    <row r="27205">
      <c r="A27205" s="4" t="s">
        <v>34242</v>
      </c>
      <c r="B27205" s="4" t="s">
        <v>34247</v>
      </c>
      <c r="C27205" s="5" t="str">
        <f>IFERROR(__xludf.DUMMYFUNCTION("GOOGLETRANSLATE(B27205,""en"",""zh-CN"")"),"然后，她在后院和公园里进行了更多的背面翻转。")</f>
        <v>然后，她在后院和公园里进行了更多的背面翻转。</v>
      </c>
    </row>
    <row r="27206">
      <c r="A27206" s="4" t="s">
        <v>34242</v>
      </c>
      <c r="B27206" s="4" t="s">
        <v>34248</v>
      </c>
      <c r="C27206" s="5" t="str">
        <f>IFERROR(__xludf.DUMMYFUNCTION("GOOGLETRANSLATE(B27206,""en"",""zh-CN"")"),"然后，女孩将腿伸向头部的后部，使她的脚趾触摸她的头。")</f>
        <v>然后，女孩将腿伸向头部的后部，使她的脚趾触摸她的头。</v>
      </c>
    </row>
    <row r="27207">
      <c r="A27207" s="4" t="s">
        <v>34242</v>
      </c>
      <c r="B27207" s="6" t="s">
        <v>34249</v>
      </c>
      <c r="C27207" s="5" t="str">
        <f>IFERROR(__xludf.DUMMYFUNCTION("GOOGLETRANSLATE(B27207,""en"",""zh-CN"")"),"向她展示了她作为啦啦队长和许多体操活动的几张照片。")</f>
        <v>向她展示了她作为啦啦队长和许多体操活动的几张照片。</v>
      </c>
    </row>
    <row r="27208">
      <c r="A27208" s="4" t="s">
        <v>34250</v>
      </c>
      <c r="B27208" s="4" t="s">
        <v>34251</v>
      </c>
      <c r="C27208" s="5" t="str">
        <f>IFERROR(__xludf.DUMMYFUNCTION("GOOGLETRANSLATE(B27208,""en"",""zh-CN"")"),"看到一个女人在相机上说话时，展示了房屋的镜头。")</f>
        <v>看到一个女人在相机上说话时，展示了房屋的镜头。</v>
      </c>
    </row>
    <row r="27209">
      <c r="A27209" s="4" t="s">
        <v>34250</v>
      </c>
      <c r="B27209" s="4" t="s">
        <v>34252</v>
      </c>
      <c r="C27209" s="5" t="str">
        <f>IFERROR(__xludf.DUMMYFUNCTION("GOOGLETRANSLATE(B27209,""en"",""zh-CN"")"),"然后看到人们在修饰狗并获得奖项。")</f>
        <v>然后看到人们在修饰狗并获得奖项。</v>
      </c>
    </row>
    <row r="27210">
      <c r="A27210" s="4" t="s">
        <v>34250</v>
      </c>
      <c r="B27210" s="4" t="s">
        <v>34253</v>
      </c>
      <c r="C27210" s="5" t="str">
        <f>IFERROR(__xludf.DUMMYFUNCTION("GOOGLETRANSLATE(B27210,""en"",""zh-CN"")"),"该名女子继续对镜头说话，而狗继续在她身后进行修饰。")</f>
        <v>该名女子继续对镜头说话，而狗继续在她身后进行修饰。</v>
      </c>
    </row>
    <row r="27211">
      <c r="A27211" s="4" t="s">
        <v>34254</v>
      </c>
      <c r="B27211" s="6" t="s">
        <v>34255</v>
      </c>
      <c r="C27211" s="5" t="str">
        <f>IFERROR(__xludf.DUMMYFUNCTION("GOOGLETRANSLATE(B27211,""en"",""zh-CN"")"),"一个穿着运动装备的会说话的人站在一个非常绿色的田野上，左下角说他的名字叫尼尔·麦克米伦（Neil Macmillan），他的头衔是主教练。")</f>
        <v>一个穿着运动装备的会说话的人站在一个非常绿色的田野上，左下角说他的名字叫尼尔·麦克米伦（Neil Macmillan），他的头衔是主教练。</v>
      </c>
    </row>
    <row r="27212">
      <c r="A27212" s="4" t="s">
        <v>34254</v>
      </c>
      <c r="B27212" s="6" t="s">
        <v>34256</v>
      </c>
      <c r="C27212" s="5" t="str">
        <f>IFERROR(__xludf.DUMMYFUNCTION("GOOGLETRANSLATE(B27212,""en"",""zh-CN"")"),"显示了一大批穿着运动装备的女孩在玩曲棍球，没有玩的人穿着寒冷的天气。")</f>
        <v>显示了一大批穿着运动装备的女孩在玩曲棍球，没有玩的人穿着寒冷的天气。</v>
      </c>
    </row>
    <row r="27213">
      <c r="A27213" s="4" t="s">
        <v>34254</v>
      </c>
      <c r="B27213" s="6" t="s">
        <v>34257</v>
      </c>
      <c r="C27213" s="5" t="str">
        <f>IFERROR(__xludf.DUMMYFUNCTION("GOOGLETRANSLATE(B27213,""en"",""zh-CN"")"),"该男子的剪辑继续播放和旋转，从向男人和女孩们展示曲棍球，直到他们完成比赛。")</f>
        <v>该男子的剪辑继续播放和旋转，从向男人和女孩们展示曲棍球，直到他们完成比赛。</v>
      </c>
    </row>
    <row r="27214">
      <c r="A27214" s="4" t="s">
        <v>34258</v>
      </c>
      <c r="B27214" s="4" t="s">
        <v>34259</v>
      </c>
      <c r="C27214" s="5" t="str">
        <f>IFERROR(__xludf.DUMMYFUNCTION("GOOGLETRANSLATE(B27214,""en"",""zh-CN"")"),"一个男孩在一块金属制作的火花上焊接。")</f>
        <v>一个男孩在一块金属制作的火花上焊接。</v>
      </c>
    </row>
    <row r="27215">
      <c r="A27215" s="4" t="s">
        <v>34258</v>
      </c>
      <c r="B27215" s="4" t="s">
        <v>34260</v>
      </c>
      <c r="C27215" s="5" t="str">
        <f>IFERROR(__xludf.DUMMYFUNCTION("GOOGLETRANSLATE(B27215,""en"",""zh-CN"")"),"然后，男孩抬起头盔并说话。")</f>
        <v>然后，男孩抬起头盔并说话。</v>
      </c>
    </row>
    <row r="27216">
      <c r="A27216" s="4" t="s">
        <v>34261</v>
      </c>
      <c r="B27216" s="4" t="s">
        <v>34262</v>
      </c>
      <c r="C27216" s="5" t="str">
        <f>IFERROR(__xludf.DUMMYFUNCTION("GOOGLETRANSLATE(B27216,""en"",""zh-CN"")"),"一个女人张开嘴，对镜头微笑。")</f>
        <v>一个女人张开嘴，对镜头微笑。</v>
      </c>
    </row>
    <row r="27217">
      <c r="A27217" s="4" t="s">
        <v>34261</v>
      </c>
      <c r="B27217" s="4" t="s">
        <v>34263</v>
      </c>
      <c r="C27217" s="5" t="str">
        <f>IFERROR(__xludf.DUMMYFUNCTION("GOOGLETRANSLATE(B27217,""en"",""zh-CN"")"),"人们正在过去，水航行。")</f>
        <v>人们正在过去，水航行。</v>
      </c>
    </row>
    <row r="27218">
      <c r="A27218" s="4" t="s">
        <v>34261</v>
      </c>
      <c r="B27218" s="4" t="s">
        <v>34264</v>
      </c>
      <c r="C27218" s="5" t="str">
        <f>IFERROR(__xludf.DUMMYFUNCTION("GOOGLETRANSLATE(B27218,""en"",""zh-CN"")"),"他们在航行时旋转并旋转水。")</f>
        <v>他们在航行时旋转并旋转水。</v>
      </c>
    </row>
    <row r="27219">
      <c r="A27219" s="4" t="s">
        <v>34265</v>
      </c>
      <c r="B27219" s="4" t="s">
        <v>34266</v>
      </c>
      <c r="C27219" s="5" t="str">
        <f>IFERROR(__xludf.DUMMYFUNCTION("GOOGLETRANSLATE(B27219,""en"",""zh-CN"")"),"一个男人关上房子的门，然后打开他的车门。")</f>
        <v>一个男人关上房子的门，然后打开他的车门。</v>
      </c>
    </row>
    <row r="27220">
      <c r="A27220" s="4" t="s">
        <v>34265</v>
      </c>
      <c r="B27220" s="6" t="s">
        <v>34267</v>
      </c>
      <c r="C27220" s="5" t="str">
        <f>IFERROR(__xludf.DUMMYFUNCTION("GOOGLETRANSLATE(B27220,""en"",""zh-CN"")"),"他上车，将钥匙放在点火开关中，并开始沿着高速公路驶向商店。")</f>
        <v>他上车，将钥匙放在点火开关中，并开始沿着高速公路驶向商店。</v>
      </c>
    </row>
    <row r="27221">
      <c r="A27221" s="4" t="s">
        <v>34265</v>
      </c>
      <c r="B27221" s="4" t="s">
        <v>34268</v>
      </c>
      <c r="C27221" s="5" t="str">
        <f>IFERROR(__xludf.DUMMYFUNCTION("GOOGLETRANSLATE(B27221,""en"",""zh-CN"")"),"他得到了一些木板，然后开始将它们打磨，使它们平滑。")</f>
        <v>他得到了一些木板，然后开始将它们打磨，使它们平滑。</v>
      </c>
    </row>
    <row r="27222">
      <c r="A27222" s="4" t="s">
        <v>34265</v>
      </c>
      <c r="B27222" s="4" t="s">
        <v>34269</v>
      </c>
      <c r="C27222" s="5" t="str">
        <f>IFERROR(__xludf.DUMMYFUNCTION("GOOGLETRANSLATE(B27222,""en"",""zh-CN"")"),"一天结束时，他关闭灯光，准备上班。")</f>
        <v>一天结束时，他关闭灯光，准备上班。</v>
      </c>
    </row>
    <row r="27223">
      <c r="A27223" s="4" t="s">
        <v>34270</v>
      </c>
      <c r="B27223" s="6" t="s">
        <v>34271</v>
      </c>
      <c r="C27223" s="5" t="str">
        <f>IFERROR(__xludf.DUMMYFUNCTION("GOOGLETRANSLATE(B27223,""en"",""zh-CN"")"),"一个男人站在冰上握着钓鱼杆的冰上，他面前的冰上有一个很小的孔，他将钩子掉进了孔中，并在杆子上拖了。")</f>
        <v>一个男人站在冰上握着钓鱼杆的冰上，他面前的冰上有一个很小的孔，他将钩子掉进了孔中，并在杆子上拖了。</v>
      </c>
    </row>
    <row r="27224">
      <c r="A27224" s="4" t="s">
        <v>34270</v>
      </c>
      <c r="B27224" s="6" t="s">
        <v>34272</v>
      </c>
      <c r="C27224" s="5" t="str">
        <f>IFERROR(__xludf.DUMMYFUNCTION("GOOGLETRANSLATE(B27224,""en"",""zh-CN"")"),"然后，该男子几次拉钓线，站在那儿，握住钓鱼杆，将其移动，并不时将其缠绕。")</f>
        <v>然后，该男子几次拉钓线，站在那儿，握住钓鱼杆，将其移动，并不时将其缠绕。</v>
      </c>
    </row>
    <row r="27225">
      <c r="A27225" s="4" t="s">
        <v>34270</v>
      </c>
      <c r="B27225" s="6" t="s">
        <v>34273</v>
      </c>
      <c r="C27225" s="5" t="str">
        <f>IFERROR(__xludf.DUMMYFUNCTION("GOOGLETRANSLATE(B27225,""en"",""zh-CN"")"),"杆的末端开始弯曲，该男子开始拉动杆子并将其缠绕，他将鱼从孔中拉出，然后降落在冰上。")</f>
        <v>杆的末端开始弯曲，该男子开始拉动杆子并将其缠绕，他将鱼从孔中拉出，然后降落在冰上。</v>
      </c>
    </row>
    <row r="27226">
      <c r="A27226" s="4" t="s">
        <v>34270</v>
      </c>
      <c r="B27226" s="6" t="s">
        <v>34274</v>
      </c>
      <c r="C27226" s="5" t="str">
        <f>IFERROR(__xludf.DUMMYFUNCTION("GOOGLETRANSLATE(B27226,""en"",""zh-CN"")"),"该男子从冰上抓住鱼，将其放回刚刚从钩子和电线上固定在钩子上的孔中。")</f>
        <v>该男子从冰上抓住鱼，将其放回刚刚从钩子和电线上固定在钩子上的孔中。</v>
      </c>
    </row>
    <row r="27227">
      <c r="A27227" s="4" t="s">
        <v>34270</v>
      </c>
      <c r="B27227" s="6" t="s">
        <v>34275</v>
      </c>
      <c r="C27227" s="5" t="str">
        <f>IFERROR(__xludf.DUMMYFUNCTION("GOOGLETRANSLATE(B27227,""en"",""zh-CN"")"),"然后，该名男子开始拉动钓鱼线，将杆子向上拉开并向下拉几次，然后调整相机。")</f>
        <v>然后，该名男子开始拉动钓鱼线，将杆子向上拉开并向下拉几次，然后调整相机。</v>
      </c>
    </row>
    <row r="27228">
      <c r="A27228" s="4" t="s">
        <v>34276</v>
      </c>
      <c r="B27228" s="4" t="s">
        <v>34277</v>
      </c>
      <c r="C27228" s="5" t="str">
        <f>IFERROR(__xludf.DUMMYFUNCTION("GOOGLETRANSLATE(B27228,""en"",""zh-CN"")"),"瓷砖屏幕显示一些名称。")</f>
        <v>瓷砖屏幕显示一些名称。</v>
      </c>
    </row>
    <row r="27229">
      <c r="A27229" s="4" t="s">
        <v>34276</v>
      </c>
      <c r="B27229" s="4" t="s">
        <v>34278</v>
      </c>
      <c r="C27229" s="5" t="str">
        <f>IFERROR(__xludf.DUMMYFUNCTION("GOOGLETRANSLATE(B27229,""en"",""zh-CN"")"),"一个男人开始抛出几次不同的时间，因为名字在底部滚动。")</f>
        <v>一个男人开始抛出几次不同的时间，因为名字在底部滚动。</v>
      </c>
    </row>
    <row r="27230">
      <c r="A27230" s="4" t="s">
        <v>34276</v>
      </c>
      <c r="B27230" s="4" t="s">
        <v>34279</v>
      </c>
      <c r="C27230" s="5" t="str">
        <f>IFERROR(__xludf.DUMMYFUNCTION("GOOGLETRANSLATE(B27230,""en"",""zh-CN"")"),"可以在他身后看到一个小组。")</f>
        <v>可以在他身后看到一个小组。</v>
      </c>
    </row>
    <row r="27231">
      <c r="A27231" s="4" t="s">
        <v>34276</v>
      </c>
      <c r="B27231" s="4" t="s">
        <v>34280</v>
      </c>
      <c r="C27231" s="5" t="str">
        <f>IFERROR(__xludf.DUMMYFUNCTION("GOOGLETRANSLATE(B27231,""en"",""zh-CN"")"),"一个男人是最后一个投掷的背后。")</f>
        <v>一个男人是最后一个投掷的背后。</v>
      </c>
    </row>
    <row r="27232">
      <c r="A27232" s="4" t="s">
        <v>34281</v>
      </c>
      <c r="B27232" s="4" t="s">
        <v>34282</v>
      </c>
      <c r="C27232" s="5" t="str">
        <f>IFERROR(__xludf.DUMMYFUNCTION("GOOGLETRANSLATE(B27232,""en"",""zh-CN"")"),"单词在黑色之前出现在屏幕上。")</f>
        <v>单词在黑色之前出现在屏幕上。</v>
      </c>
    </row>
    <row r="27233">
      <c r="A27233" s="4" t="s">
        <v>34281</v>
      </c>
      <c r="B27233" s="4" t="s">
        <v>34283</v>
      </c>
      <c r="C27233" s="5" t="str">
        <f>IFERROR(__xludf.DUMMYFUNCTION("GOOGLETRANSLATE(B27233,""en"",""zh-CN"")"),"一个男人出现，用挤压者在讲话时用挤压者在他面前洗窗户。")</f>
        <v>一个男人出现，用挤压者在讲话时用挤压者在他面前洗窗户。</v>
      </c>
    </row>
    <row r="27234">
      <c r="A27234" s="4" t="s">
        <v>34281</v>
      </c>
      <c r="B27234" s="4" t="s">
        <v>34284</v>
      </c>
      <c r="C27234" s="5" t="str">
        <f>IFERROR(__xludf.DUMMYFUNCTION("GOOGLETRANSLATE(B27234,""en"",""zh-CN"")"),"他在用耙子刷掉肥皂之前就可以自由地使用肥皂。")</f>
        <v>他在用耙子刷掉肥皂之前就可以自由地使用肥皂。</v>
      </c>
    </row>
    <row r="27235">
      <c r="A27235" s="4" t="s">
        <v>34281</v>
      </c>
      <c r="B27235" s="4" t="s">
        <v>34285</v>
      </c>
      <c r="C27235" s="5" t="str">
        <f>IFERROR(__xludf.DUMMYFUNCTION("GOOGLETRANSLATE(B27235,""en"",""zh-CN"")"),"他停止清洁窗户，并在关闭时说几句话。")</f>
        <v>他停止清洁窗户，并在关闭时说几句话。</v>
      </c>
    </row>
    <row r="27236">
      <c r="A27236" s="4" t="s">
        <v>34286</v>
      </c>
      <c r="B27236" s="4" t="s">
        <v>34287</v>
      </c>
      <c r="C27236" s="5" t="str">
        <f>IFERROR(__xludf.DUMMYFUNCTION("GOOGLETRANSLATE(B27236,""en"",""zh-CN"")"),"一名运动员走到光束上。")</f>
        <v>一名运动员走到光束上。</v>
      </c>
    </row>
    <row r="27237">
      <c r="A27237" s="4" t="s">
        <v>34286</v>
      </c>
      <c r="B27237" s="6" t="s">
        <v>34288</v>
      </c>
      <c r="C27237" s="5" t="str">
        <f>IFERROR(__xludf.DUMMYFUNCTION("GOOGLETRANSLATE(B27237,""en"",""zh-CN"")"),"他迅速安装，旋转并转身，几次在两个条之间跳跃。")</f>
        <v>他迅速安装，旋转并转身，几次在两个条之间跳跃。</v>
      </c>
    </row>
    <row r="27238">
      <c r="A27238" s="4" t="s">
        <v>34286</v>
      </c>
      <c r="B27238" s="4" t="s">
        <v>34289</v>
      </c>
      <c r="C27238" s="5" t="str">
        <f>IFERROR(__xludf.DUMMYFUNCTION("GOOGLETRANSLATE(B27238,""en"",""zh-CN"")"),"他终于下马了，将手臂伸到空中，然后走开。")</f>
        <v>他终于下马了，将手臂伸到空中，然后走开。</v>
      </c>
    </row>
    <row r="27239">
      <c r="A27239" s="4" t="s">
        <v>34290</v>
      </c>
      <c r="B27239" s="4" t="s">
        <v>34291</v>
      </c>
      <c r="C27239" s="5" t="str">
        <f>IFERROR(__xludf.DUMMYFUNCTION("GOOGLETRANSLATE(B27239,""en"",""zh-CN"")"),"一个人在一个人的后头和脖子上做纹身。")</f>
        <v>一个人在一个人的后头和脖子上做纹身。</v>
      </c>
    </row>
    <row r="27240">
      <c r="A27240" s="4" t="s">
        <v>34290</v>
      </c>
      <c r="B27240" s="4" t="s">
        <v>34292</v>
      </c>
      <c r="C27240" s="5" t="str">
        <f>IFERROR(__xludf.DUMMYFUNCTION("GOOGLETRANSLATE(B27240,""en"",""zh-CN"")"),"然后，该男子用白色纸巾清洁头部和颈部。")</f>
        <v>然后，该男子用白色纸巾清洁头部和颈部。</v>
      </c>
    </row>
    <row r="27241">
      <c r="A27241" s="4" t="s">
        <v>34290</v>
      </c>
      <c r="B27241" s="4" t="s">
        <v>34293</v>
      </c>
      <c r="C27241" s="5" t="str">
        <f>IFERROR(__xludf.DUMMYFUNCTION("GOOGLETRANSLATE(B27241,""en"",""zh-CN"")"),"之后，该男子在清洁油漆时继续在头部纹身。")</f>
        <v>之后，该男子在清洁油漆时继续在头部纹身。</v>
      </c>
    </row>
    <row r="27242">
      <c r="A27242" s="4" t="s">
        <v>34294</v>
      </c>
      <c r="B27242" s="4" t="s">
        <v>34295</v>
      </c>
      <c r="C27242" s="5" t="str">
        <f>IFERROR(__xludf.DUMMYFUNCTION("GOOGLETRANSLATE(B27242,""en"",""zh-CN"")"),"一个黑色紧身连衣裤的女人正在舞台上说话。")</f>
        <v>一个黑色紧身连衣裤的女人正在舞台上说话。</v>
      </c>
    </row>
    <row r="27243">
      <c r="A27243" s="4" t="s">
        <v>34294</v>
      </c>
      <c r="B27243" s="4" t="s">
        <v>34296</v>
      </c>
      <c r="C27243" s="5" t="str">
        <f>IFERROR(__xludf.DUMMYFUNCTION("GOOGLETRANSLATE(B27243,""en"",""zh-CN"")"),"她开始为相机跳舞。")</f>
        <v>她开始为相机跳舞。</v>
      </c>
    </row>
    <row r="27244">
      <c r="A27244" s="4" t="s">
        <v>34294</v>
      </c>
      <c r="B27244" s="4" t="s">
        <v>34297</v>
      </c>
      <c r="C27244" s="5" t="str">
        <f>IFERROR(__xludf.DUMMYFUNCTION("GOOGLETRANSLATE(B27244,""en"",""zh-CN"")"),"她表现出几次舞蹈动作。")</f>
        <v>她表现出几次舞蹈动作。</v>
      </c>
    </row>
    <row r="27245">
      <c r="A27245" s="4" t="s">
        <v>34298</v>
      </c>
      <c r="B27245" s="4" t="s">
        <v>34299</v>
      </c>
      <c r="C27245" s="5" t="str">
        <f>IFERROR(__xludf.DUMMYFUNCTION("GOOGLETRANSLATE(B27245,""en"",""zh-CN"")"),"两个人正在玩曲棍球游戏。")</f>
        <v>两个人正在玩曲棍球游戏。</v>
      </c>
    </row>
    <row r="27246">
      <c r="A27246" s="4" t="s">
        <v>34298</v>
      </c>
      <c r="B27246" s="4" t="s">
        <v>34300</v>
      </c>
      <c r="C27246" s="5" t="str">
        <f>IFERROR(__xludf.DUMMYFUNCTION("GOOGLETRANSLATE(B27246,""en"",""zh-CN"")"),"他们射门并提出了重点。")</f>
        <v>他们射门并提出了重点。</v>
      </c>
    </row>
    <row r="27247">
      <c r="A27247" s="4" t="s">
        <v>34301</v>
      </c>
      <c r="B27247" s="4" t="s">
        <v>34302</v>
      </c>
      <c r="C27247" s="5" t="str">
        <f>IFERROR(__xludf.DUMMYFUNCTION("GOOGLETRANSLATE(B27247,""en"",""zh-CN"")"),"一个站在一些椅子前的房间里的小女孩正在撞到多拉·皮纳塔（Dora Pinata）。")</f>
        <v>一个站在一些椅子前的房间里的小女孩正在撞到多拉·皮纳塔（Dora Pinata）。</v>
      </c>
    </row>
    <row r="27248">
      <c r="A27248" s="4" t="s">
        <v>34301</v>
      </c>
      <c r="B27248" s="4" t="s">
        <v>34303</v>
      </c>
      <c r="C27248" s="5" t="str">
        <f>IFERROR(__xludf.DUMMYFUNCTION("GOOGLETRANSLATE(B27248,""en"",""zh-CN"")"),"她击中了几次，然后轮到别人了。")</f>
        <v>她击中了几次，然后轮到别人了。</v>
      </c>
    </row>
    <row r="27249">
      <c r="A27249" s="4" t="s">
        <v>34301</v>
      </c>
      <c r="B27249" s="6" t="s">
        <v>34304</v>
      </c>
      <c r="C27249" s="5" t="str">
        <f>IFERROR(__xludf.DUMMYFUNCTION("GOOGLETRANSLATE(B27249,""en"",""zh-CN"")"),"一个年长的女孩击中了它，以至于没有破裂，但是整个皮纳塔都掉下来，成年人不得不将其放回原处。")</f>
        <v>一个年长的女孩击中了它，以至于没有破裂，但是整个皮纳塔都掉下来，成年人不得不将其放回原处。</v>
      </c>
    </row>
    <row r="27250">
      <c r="A27250" s="4" t="s">
        <v>34301</v>
      </c>
      <c r="B27250" s="6" t="s">
        <v>34305</v>
      </c>
      <c r="C27250" s="5" t="str">
        <f>IFERROR(__xludf.DUMMYFUNCTION("GOOGLETRANSLATE(B27250,""en"",""zh-CN"")"),"每个人都抓住他们的tun tun之后，小女孩再次走了，当击中不起作用时，他们都抓住一根绳子并拉出它。")</f>
        <v>每个人都抓住他们的tun tun之后，小女孩再次走了，当击中不起作用时，他们都抓住一根绳子并拉出它。</v>
      </c>
    </row>
    <row r="27251">
      <c r="A27251" s="4" t="s">
        <v>34306</v>
      </c>
      <c r="B27251" s="4" t="s">
        <v>34307</v>
      </c>
      <c r="C27251" s="5" t="str">
        <f>IFERROR(__xludf.DUMMYFUNCTION("GOOGLETRANSLATE(B27251,""en"",""zh-CN"")"),"人们正在法庭上伸展运动，跳动绳索和举重。")</f>
        <v>人们正在法庭上伸展运动，跳动绳索和举重。</v>
      </c>
    </row>
    <row r="27252">
      <c r="A27252" s="4" t="s">
        <v>34306</v>
      </c>
      <c r="B27252" s="6" t="s">
        <v>34308</v>
      </c>
      <c r="C27252" s="5" t="str">
        <f>IFERROR(__xludf.DUMMYFUNCTION("GOOGLETRANSLATE(B27252,""en"",""zh-CN"")"),"男人正在与镜头交谈，并且正在练习Capoeira，自杀和举重正在训练。")</f>
        <v>男人正在与镜头交谈，并且正在练习Capoeira，自杀和举重正在训练。</v>
      </c>
    </row>
    <row r="27253">
      <c r="A27253" s="4" t="s">
        <v>34309</v>
      </c>
      <c r="B27253" s="4" t="s">
        <v>34310</v>
      </c>
      <c r="C27253" s="5" t="str">
        <f>IFERROR(__xludf.DUMMYFUNCTION("GOOGLETRANSLATE(B27253,""en"",""zh-CN"")"),"一个男人和一个女人的主播在桌子和几台电视后面说话。")</f>
        <v>一个男人和一个女人的主播在桌子和几台电视后面说话。</v>
      </c>
    </row>
    <row r="27254">
      <c r="A27254" s="4" t="s">
        <v>34309</v>
      </c>
      <c r="B27254" s="4" t="s">
        <v>34311</v>
      </c>
      <c r="C27254" s="5" t="str">
        <f>IFERROR(__xludf.DUMMYFUNCTION("GOOGLETRANSLATE(B27254,""en"",""zh-CN"")"),"然后，这个女人被一个人展示，她开始说话。")</f>
        <v>然后，这个女人被一个人展示，她开始说话。</v>
      </c>
    </row>
    <row r="27255">
      <c r="A27255" s="4" t="s">
        <v>34309</v>
      </c>
      <c r="B27255" s="6" t="s">
        <v>34312</v>
      </c>
      <c r="C27255" s="5" t="str">
        <f>IFERROR(__xludf.DUMMYFUNCTION("GOOGLETRANSLATE(B27255,""en"",""zh-CN"")"),"然后出现了溜冰场，一个女人开始指导男人关于游戏的特定技术。")</f>
        <v>然后出现了溜冰场，一个女人开始指导男人关于游戏的特定技术。</v>
      </c>
    </row>
    <row r="27256">
      <c r="A27256" s="4" t="s">
        <v>34309</v>
      </c>
      <c r="B27256" s="4" t="s">
        <v>34313</v>
      </c>
      <c r="C27256" s="5" t="str">
        <f>IFERROR(__xludf.DUMMYFUNCTION("GOOGLETRANSLATE(B27256,""en"",""zh-CN"")"),"她进行了简短的采访，并继续指导人们在冰壶方面。")</f>
        <v>她进行了简短的采访，并继续指导人们在冰壶方面。</v>
      </c>
    </row>
    <row r="27257">
      <c r="A27257" s="4" t="s">
        <v>34309</v>
      </c>
      <c r="B27257" s="6" t="s">
        <v>34314</v>
      </c>
      <c r="C27257" s="5" t="str">
        <f>IFERROR(__xludf.DUMMYFUNCTION("GOOGLETRANSLATE(B27257,""en"",""zh-CN"")"),"越来越多的人在健身房，他们继续卷曲，越来越多的教练开始接受采访。")</f>
        <v>越来越多的人在健身房，他们继续卷曲，越来越多的教练开始接受采访。</v>
      </c>
    </row>
    <row r="27258">
      <c r="A27258" s="4" t="s">
        <v>34309</v>
      </c>
      <c r="B27258" s="4" t="s">
        <v>34315</v>
      </c>
      <c r="C27258" s="5" t="str">
        <f>IFERROR(__xludf.DUMMYFUNCTION("GOOGLETRANSLATE(B27258,""en"",""zh-CN"")"),"从一个真正的冰壶游戏中显示了剪辑，人们开始等待墙壁。")</f>
        <v>从一个真正的冰壶游戏中显示了剪辑，人们开始等待墙壁。</v>
      </c>
    </row>
    <row r="27259">
      <c r="A27259" s="4" t="s">
        <v>34316</v>
      </c>
      <c r="B27259" s="4" t="s">
        <v>34317</v>
      </c>
      <c r="C27259" s="5" t="str">
        <f>IFERROR(__xludf.DUMMYFUNCTION("GOOGLETRANSLATE(B27259,""en"",""zh-CN"")"),"其中有一个风筝放置的领域。")</f>
        <v>其中有一个风筝放置的领域。</v>
      </c>
    </row>
    <row r="27260">
      <c r="A27260" s="4" t="s">
        <v>34316</v>
      </c>
      <c r="B27260" s="4" t="s">
        <v>34318</v>
      </c>
      <c r="C27260" s="5" t="str">
        <f>IFERROR(__xludf.DUMMYFUNCTION("GOOGLETRANSLATE(B27260,""en"",""zh-CN"")"),"一个男人准备驾驶风筝。")</f>
        <v>一个男人准备驾驶风筝。</v>
      </c>
    </row>
    <row r="27261">
      <c r="A27261" s="4" t="s">
        <v>34316</v>
      </c>
      <c r="B27261" s="4" t="s">
        <v>34319</v>
      </c>
      <c r="C27261" s="5" t="str">
        <f>IFERROR(__xludf.DUMMYFUNCTION("GOOGLETRANSLATE(B27261,""en"",""zh-CN"")"),"风筝会空降并飙升。")</f>
        <v>风筝会空降并飙升。</v>
      </c>
    </row>
    <row r="27262">
      <c r="A27262" s="4" t="s">
        <v>34320</v>
      </c>
      <c r="B27262" s="6" t="s">
        <v>34321</v>
      </c>
      <c r="C27262" s="5" t="str">
        <f>IFERROR(__xludf.DUMMYFUNCTION("GOOGLETRANSLATE(B27262,""en"",""zh-CN"")"),"一个戴着很大眼镜的男人正在用黑色麦克风说话，而后面的人在跳舞直到他指向他们的方向，然后他们都散落在舞池上。")</f>
        <v>一个戴着很大眼镜的男人正在用黑色麦克风说话，而后面的人在跳舞直到他指向他们的方向，然后他们都散落在舞池上。</v>
      </c>
    </row>
    <row r="27263">
      <c r="A27263" s="4" t="s">
        <v>34320</v>
      </c>
      <c r="B27263" s="6" t="s">
        <v>34322</v>
      </c>
      <c r="C27263" s="5" t="str">
        <f>IFERROR(__xludf.DUMMYFUNCTION("GOOGLETRANSLATE(B27263,""en"",""zh-CN"")"),"男人穿着红色西服，每个人都轮流打开跳舞，因为屏幕上的单词可能命名为舞者。")</f>
        <v>男人穿着红色西服，每个人都轮流打开跳舞，因为屏幕上的单词可能命名为舞者。</v>
      </c>
    </row>
    <row r="27264">
      <c r="A27264" s="4" t="s">
        <v>34320</v>
      </c>
      <c r="B27264" s="6" t="s">
        <v>34323</v>
      </c>
      <c r="C27264" s="5" t="str">
        <f>IFERROR(__xludf.DUMMYFUNCTION("GOOGLETRANSLATE(B27264,""en"",""zh-CN"")"),"当最后一个男人跳舞时，他们都停下来，打动了整个演奏的姿势和DJ，继续在他的DJ车站播放音乐。")</f>
        <v>当最后一个男人跳舞时，他们都停下来，打动了整个演奏的姿势和DJ，继续在他的DJ车站播放音乐。</v>
      </c>
    </row>
    <row r="27265">
      <c r="A27265" s="4" t="s">
        <v>34324</v>
      </c>
      <c r="B27265" s="4" t="s">
        <v>34325</v>
      </c>
      <c r="C27265" s="5" t="str">
        <f>IFERROR(__xludf.DUMMYFUNCTION("GOOGLETRANSLATE(B27265,""en"",""zh-CN"")"),"一个女人和一个男人表演手臂摔跤。")</f>
        <v>一个女人和一个男人表演手臂摔跤。</v>
      </c>
    </row>
    <row r="27266">
      <c r="A27266" s="4" t="s">
        <v>34324</v>
      </c>
      <c r="B27266" s="4" t="s">
        <v>34326</v>
      </c>
      <c r="C27266" s="5" t="str">
        <f>IFERROR(__xludf.DUMMYFUNCTION("GOOGLETRANSLATE(B27266,""en"",""zh-CN"")"),"该男子举起他的T恤袖子直到肩膀。")</f>
        <v>该男子举起他的T恤袖子直到肩膀。</v>
      </c>
    </row>
    <row r="27267">
      <c r="A27267" s="4" t="s">
        <v>34324</v>
      </c>
      <c r="B27267" s="4" t="s">
        <v>34327</v>
      </c>
      <c r="C27267" s="5" t="str">
        <f>IFERROR(__xludf.DUMMYFUNCTION("GOOGLETRANSLATE(B27267,""en"",""zh-CN"")"),"一个男人在摔跤手后面的房间里散步。")</f>
        <v>一个男人在摔跤手后面的房间里散步。</v>
      </c>
    </row>
    <row r="27268">
      <c r="A27268" s="4" t="s">
        <v>34324</v>
      </c>
      <c r="B27268" s="6" t="s">
        <v>34328</v>
      </c>
      <c r="C27268" s="5" t="str">
        <f>IFERROR(__xludf.DUMMYFUNCTION("GOOGLETRANSLATE(B27268,""en"",""zh-CN"")"),"男人弯曲了女人的手臂，但女人伸直了她的手臂，弯曲了男人的手臂并赢了。")</f>
        <v>男人弯曲了女人的手臂，但女人伸直了她的手臂，弯曲了男人的手臂并赢了。</v>
      </c>
    </row>
    <row r="27269">
      <c r="A27269" s="4" t="s">
        <v>34329</v>
      </c>
      <c r="B27269" s="4" t="s">
        <v>34330</v>
      </c>
      <c r="C27269" s="5" t="str">
        <f>IFERROR(__xludf.DUMMYFUNCTION("GOOGLETRANSLATE(B27269,""en"",""zh-CN"")"),"一名男子在冬天从果实轴承植物茎上修剪过死树枝。")</f>
        <v>一名男子在冬天从果实轴承植物茎上修剪过死树枝。</v>
      </c>
    </row>
    <row r="27270">
      <c r="A27270" s="4" t="s">
        <v>34329</v>
      </c>
      <c r="B27270" s="6" t="s">
        <v>34331</v>
      </c>
      <c r="C27270" s="5" t="str">
        <f>IFERROR(__xludf.DUMMYFUNCTION("GOOGLETRANSLATE(B27270,""en"",""zh-CN"")"),"一个男人在冬天的泥土和水果作物的田野中，开始用修剪的工具和斧头从水果植物上修剪枯枝。")</f>
        <v>一个男人在冬天的泥土和水果作物的田野中，开始用修剪的工具和斧头从水果植物上修剪枯枝。</v>
      </c>
    </row>
    <row r="27271">
      <c r="A27271" s="4" t="s">
        <v>34329</v>
      </c>
      <c r="B27271" s="6" t="s">
        <v>34332</v>
      </c>
      <c r="C27271" s="5" t="str">
        <f>IFERROR(__xludf.DUMMYFUNCTION("GOOGLETRANSLATE(B27271,""en"",""zh-CN"")"),"在果实轴承几个月中，出现了植物的图像，然后才返回田野里修剪死去的树枝的人。")</f>
        <v>在果实轴承几个月中，出现了植物的图像，然后才返回田野里修剪死去的树枝的人。</v>
      </c>
    </row>
    <row r="27272">
      <c r="A27272" s="4" t="s">
        <v>34333</v>
      </c>
      <c r="B27272" s="6" t="s">
        <v>34334</v>
      </c>
      <c r="C27272" s="5" t="str">
        <f>IFERROR(__xludf.DUMMYFUNCTION("GOOGLETRANSLATE(B27272,""en"",""zh-CN"")"),"显示一个人在板上进行潜水，而几个人在场边看和拍手。")</f>
        <v>显示一个人在板上进行潜水，而几个人在场边看和拍手。</v>
      </c>
    </row>
    <row r="27273">
      <c r="A27273" s="4" t="s">
        <v>34333</v>
      </c>
      <c r="B27273" s="6" t="s">
        <v>34335</v>
      </c>
      <c r="C27273" s="5" t="str">
        <f>IFERROR(__xludf.DUMMYFUNCTION("GOOGLETRANSLATE(B27273,""en"",""zh-CN"")"),"该人在高潜水中进行了更多技巧，而更多的人则在侧面观看。")</f>
        <v>该人在高潜水中进行了更多技巧，而更多的人则在侧面观看。</v>
      </c>
    </row>
    <row r="27274">
      <c r="A27274" s="4" t="s">
        <v>34336</v>
      </c>
      <c r="B27274" s="4" t="s">
        <v>34337</v>
      </c>
      <c r="C27274" s="5" t="str">
        <f>IFERROR(__xludf.DUMMYFUNCTION("GOOGLETRANSLATE(B27274,""en"",""zh-CN"")"),"儿童在狂欢节中驾驶保险杠汽车。")</f>
        <v>儿童在狂欢节中驾驶保险杠汽车。</v>
      </c>
    </row>
    <row r="27275">
      <c r="A27275" s="4" t="s">
        <v>34336</v>
      </c>
      <c r="B27275" s="6" t="s">
        <v>34338</v>
      </c>
      <c r="C27275" s="5" t="str">
        <f>IFERROR(__xludf.DUMMYFUNCTION("GOOGLETRANSLATE(B27275,""en"",""zh-CN"")"),"一个小女孩撞到墙上，被其他汽车陷入困境，然后女孩得到自由并继续骑行。")</f>
        <v>一个小女孩撞到墙上，被其他汽车陷入困境，然后女孩得到自由并继续骑行。</v>
      </c>
    </row>
    <row r="27276">
      <c r="A27276" s="4" t="s">
        <v>34336</v>
      </c>
      <c r="B27276" s="4" t="s">
        <v>34339</v>
      </c>
      <c r="C27276" s="5" t="str">
        <f>IFERROR(__xludf.DUMMYFUNCTION("GOOGLETRANSLATE(B27276,""en"",""zh-CN"")"),"小女孩与其他孩子陷入困境，然后她得到了自由，然后骑着碰碰车。")</f>
        <v>小女孩与其他孩子陷入困境，然后她得到了自由，然后骑着碰碰车。</v>
      </c>
    </row>
    <row r="27277">
      <c r="A27277" s="4" t="s">
        <v>34340</v>
      </c>
      <c r="B27277" s="4" t="s">
        <v>34341</v>
      </c>
      <c r="C27277" s="5" t="str">
        <f>IFERROR(__xludf.DUMMYFUNCTION("GOOGLETRANSLATE(B27277,""en"",""zh-CN"")"),"一个人演示了如何用装饰的迷你肉和奶酪三明治拼盘。")</f>
        <v>一个人演示了如何用装饰的迷你肉和奶酪三明治拼盘。</v>
      </c>
    </row>
    <row r="27278">
      <c r="A27278" s="4" t="s">
        <v>34340</v>
      </c>
      <c r="B27278" s="4" t="s">
        <v>34342</v>
      </c>
      <c r="C27278" s="5" t="str">
        <f>IFERROR(__xludf.DUMMYFUNCTION("GOOGLETRANSLATE(B27278,""en"",""zh-CN"")"),"大量准备的三明治展示。")</f>
        <v>大量准备的三明治展示。</v>
      </c>
    </row>
    <row r="27279">
      <c r="A27279" s="4" t="s">
        <v>34340</v>
      </c>
      <c r="B27279" s="6" t="s">
        <v>34343</v>
      </c>
      <c r="C27279" s="5" t="str">
        <f>IFERROR(__xludf.DUMMYFUNCTION("GOOGLETRANSLATE(B27279,""en"",""zh-CN"")"),"看到一个人的手在杂货店内的购物车中扔掉不同的三明治，这些食材包括面包卷和午餐肉。")</f>
        <v>看到一个人的手在杂货店内的购物车中扔掉不同的三明治，这些食材包括面包卷和午餐肉。</v>
      </c>
    </row>
    <row r="27280">
      <c r="A27280" s="4" t="s">
        <v>34340</v>
      </c>
      <c r="B27280" s="6" t="s">
        <v>34344</v>
      </c>
      <c r="C27280" s="5" t="str">
        <f>IFERROR(__xludf.DUMMYFUNCTION("GOOGLETRANSLATE(B27280,""en"",""zh-CN"")"),"然后看到一个人将三明治奶酪和肉放在白面包卷上，在柜台上放生菜。")</f>
        <v>然后看到一个人将三明治奶酪和肉放在白面包卷上，在柜台上放生菜。</v>
      </c>
    </row>
    <row r="27281">
      <c r="A27281" s="4" t="s">
        <v>34340</v>
      </c>
      <c r="B27281" s="6" t="s">
        <v>34345</v>
      </c>
      <c r="C27281" s="5" t="str">
        <f>IFERROR(__xludf.DUMMYFUNCTION("GOOGLETRANSLATE(B27281,""en"",""zh-CN"")"),"该人将卷卷切开以制作单独的三明治，然后将牙签和草莓以及生菜装饰在盘子上，然后由相机作为成品将其重点放在相机上。")</f>
        <v>该人将卷卷切开以制作单独的三明治，然后将牙签和草莓以及生菜装饰在盘子上，然后由相机作为成品将其重点放在相机上。</v>
      </c>
    </row>
    <row r="27282">
      <c r="A27282" s="4" t="s">
        <v>34346</v>
      </c>
      <c r="B27282" s="4" t="s">
        <v>34347</v>
      </c>
      <c r="C27282" s="5" t="str">
        <f>IFERROR(__xludf.DUMMYFUNCTION("GOOGLETRANSLATE(B27282,""en"",""zh-CN"")"),"我们看到一个带有男人名字的标志。")</f>
        <v>我们看到一个带有男人名字的标志。</v>
      </c>
    </row>
    <row r="27283">
      <c r="A27283" s="4" t="s">
        <v>34346</v>
      </c>
      <c r="B27283" s="6" t="s">
        <v>34348</v>
      </c>
      <c r="C27283" s="5" t="str">
        <f>IFERROR(__xludf.DUMMYFUNCTION("GOOGLETRANSLATE(B27283,""en"",""zh-CN"")"),"我们看到一个男人奔跑，并在不同的轨道上跑步，偶尔用他的名字在不同的轨道上。")</f>
        <v>我们看到一个男人奔跑，并在不同的轨道上跑步，偶尔用他的名字在不同的轨道上。</v>
      </c>
    </row>
    <row r="27284">
      <c r="A27284" s="4" t="s">
        <v>34346</v>
      </c>
      <c r="B27284" s="4" t="s">
        <v>34349</v>
      </c>
      <c r="C27284" s="5" t="str">
        <f>IFERROR(__xludf.DUMMYFUNCTION("GOOGLETRANSLATE(B27284,""en"",""zh-CN"")"),"我们看到那个男人在蓝色的轨道上，上面有广告标志。")</f>
        <v>我们看到那个男人在蓝色的轨道上，上面有广告标志。</v>
      </c>
    </row>
    <row r="27285">
      <c r="A27285" s="4" t="s">
        <v>34346</v>
      </c>
      <c r="B27285" s="4" t="s">
        <v>34350</v>
      </c>
      <c r="C27285" s="5" t="str">
        <f>IFERROR(__xludf.DUMMYFUNCTION("GOOGLETRANSLATE(B27285,""en"",""zh-CN"")"),"该男子跌落在他的着陆点上。")</f>
        <v>该男子跌落在他的着陆点上。</v>
      </c>
    </row>
    <row r="27286">
      <c r="A27286" s="4" t="s">
        <v>34346</v>
      </c>
      <c r="B27286" s="4" t="s">
        <v>34351</v>
      </c>
      <c r="C27286" s="5" t="str">
        <f>IFERROR(__xludf.DUMMYFUNCTION("GOOGLETRANSLATE(B27286,""en"",""zh-CN"")"),"那个男人降落在他的背上。")</f>
        <v>那个男人降落在他的背上。</v>
      </c>
    </row>
    <row r="27287">
      <c r="A27287" s="4" t="s">
        <v>34346</v>
      </c>
      <c r="B27287" s="4" t="s">
        <v>34352</v>
      </c>
      <c r="C27287" s="5" t="str">
        <f>IFERROR(__xludf.DUMMYFUNCTION("GOOGLETRANSLATE(B27287,""en"",""zh-CN"")"),"屏幕淡入黑色。")</f>
        <v>屏幕淡入黑色。</v>
      </c>
    </row>
    <row r="27288">
      <c r="A27288" s="4" t="s">
        <v>34353</v>
      </c>
      <c r="B27288" s="4" t="s">
        <v>34354</v>
      </c>
      <c r="C27288" s="5" t="str">
        <f>IFERROR(__xludf.DUMMYFUNCTION("GOOGLETRANSLATE(B27288,""en"",""zh-CN"")"),"一个人沉浸在水下。")</f>
        <v>一个人沉浸在水下。</v>
      </c>
    </row>
    <row r="27289">
      <c r="A27289" s="4" t="s">
        <v>34353</v>
      </c>
      <c r="B27289" s="4" t="s">
        <v>34355</v>
      </c>
      <c r="C27289" s="5" t="str">
        <f>IFERROR(__xludf.DUMMYFUNCTION("GOOGLETRANSLATE(B27289,""en"",""zh-CN"")"),"该男子向后沉浸在水池的水下。")</f>
        <v>该男子向后沉浸在水池的水下。</v>
      </c>
    </row>
    <row r="27290">
      <c r="A27290" s="4" t="s">
        <v>34353</v>
      </c>
      <c r="B27290" s="4" t="s">
        <v>34356</v>
      </c>
      <c r="C27290" s="5" t="str">
        <f>IFERROR(__xludf.DUMMYFUNCTION("GOOGLETRANSLATE(B27290,""en"",""zh-CN"")"),"文字显示在黑屏上。")</f>
        <v>文字显示在黑屏上。</v>
      </c>
    </row>
    <row r="27291">
      <c r="A27291" s="4" t="s">
        <v>34357</v>
      </c>
      <c r="B27291" s="4" t="s">
        <v>34358</v>
      </c>
      <c r="C27291" s="5" t="str">
        <f>IFERROR(__xludf.DUMMYFUNCTION("GOOGLETRANSLATE(B27291,""en"",""zh-CN"")"),"女人坐在木制长凳上与镜头说话。")</f>
        <v>女人坐在木制长凳上与镜头说话。</v>
      </c>
    </row>
    <row r="27292">
      <c r="A27292" s="4" t="s">
        <v>34357</v>
      </c>
      <c r="B27292" s="4" t="s">
        <v>34359</v>
      </c>
      <c r="C27292" s="5" t="str">
        <f>IFERROR(__xludf.DUMMYFUNCTION("GOOGLETRANSLATE(B27292,""en"",""zh-CN"")"),"女人正在大型绿色的草地上做翻筋斗。")</f>
        <v>女人正在大型绿色的草地上做翻筋斗。</v>
      </c>
    </row>
    <row r="27293">
      <c r="A27293" s="4" t="s">
        <v>34357</v>
      </c>
      <c r="B27293" s="4" t="s">
        <v>34360</v>
      </c>
      <c r="C27293" s="5" t="str">
        <f>IFERROR(__xludf.DUMMYFUNCTION("GOOGLETRANSLATE(B27293,""en"",""zh-CN"")"),"女人正在跳跃，滑倒，掉进草地上。")</f>
        <v>女人正在跳跃，滑倒，掉进草地上。</v>
      </c>
    </row>
    <row r="27294">
      <c r="A27294" s="4" t="s">
        <v>34361</v>
      </c>
      <c r="B27294" s="4" t="s">
        <v>34362</v>
      </c>
      <c r="C27294" s="5" t="str">
        <f>IFERROR(__xludf.DUMMYFUNCTION("GOOGLETRANSLATE(B27294,""en"",""zh-CN"")"),"在户外滑板场上显示了滑板手的视频。")</f>
        <v>在户外滑板场上显示了滑板手的视频。</v>
      </c>
    </row>
    <row r="27295">
      <c r="A27295" s="4" t="s">
        <v>34361</v>
      </c>
      <c r="B27295" s="4" t="s">
        <v>34363</v>
      </c>
      <c r="C27295" s="5" t="str">
        <f>IFERROR(__xludf.DUMMYFUNCTION("GOOGLETRANSLATE(B27295,""en"",""zh-CN"")"),"展示了访谈，然后显示了一些比赛。")</f>
        <v>展示了访谈，然后显示了一些比赛。</v>
      </c>
    </row>
    <row r="27296">
      <c r="A27296" s="4" t="s">
        <v>34364</v>
      </c>
      <c r="B27296" s="6" t="s">
        <v>34365</v>
      </c>
      <c r="C27296" s="5" t="str">
        <f>IFERROR(__xludf.DUMMYFUNCTION("GOOGLETRANSLATE(B27296,""en"",""zh-CN"")"),"一个小孩坐在桌子旁，当人们在背景中走过时，用勺子吃冰淇淋。")</f>
        <v>一个小孩坐在桌子旁，当人们在背景中走过时，用勺子吃冰淇淋。</v>
      </c>
    </row>
    <row r="27297">
      <c r="A27297" s="4" t="s">
        <v>34364</v>
      </c>
      <c r="B27297" s="4" t="s">
        <v>34366</v>
      </c>
      <c r="C27297" s="5" t="str">
        <f>IFERROR(__xludf.DUMMYFUNCTION("GOOGLETRANSLATE(B27297,""en"",""zh-CN"")"),"一对成人手短暂进入前景的相机框架。")</f>
        <v>一对成人手短暂进入前景的相机框架。</v>
      </c>
    </row>
    <row r="27298">
      <c r="A27298" s="4" t="s">
        <v>34364</v>
      </c>
      <c r="B27298" s="4" t="s">
        <v>34367</v>
      </c>
      <c r="C27298" s="5" t="str">
        <f>IFERROR(__xludf.DUMMYFUNCTION("GOOGLETRANSLATE(B27298,""en"",""zh-CN"")"),"孩子将汤匙插入桌子上的冰淇淋容器中。")</f>
        <v>孩子将汤匙插入桌子上的冰淇淋容器中。</v>
      </c>
    </row>
    <row r="27299">
      <c r="A27299" s="4" t="s">
        <v>34364</v>
      </c>
      <c r="B27299" s="4" t="s">
        <v>34368</v>
      </c>
      <c r="C27299" s="5" t="str">
        <f>IFERROR(__xludf.DUMMYFUNCTION("GOOGLETRANSLATE(B27299,""en"",""zh-CN"")"),"孩子抱怨一些东西。")</f>
        <v>孩子抱怨一些东西。</v>
      </c>
    </row>
    <row r="27300">
      <c r="A27300" s="4" t="s">
        <v>34364</v>
      </c>
      <c r="B27300" s="4" t="s">
        <v>34369</v>
      </c>
      <c r="C27300" s="5" t="str">
        <f>IFERROR(__xludf.DUMMYFUNCTION("GOOGLETRANSLATE(B27300,""en"",""zh-CN"")"),"相机放大了冰淇淋。")</f>
        <v>相机放大了冰淇淋。</v>
      </c>
    </row>
    <row r="27301">
      <c r="A27301" s="4" t="s">
        <v>34370</v>
      </c>
      <c r="B27301" s="4" t="s">
        <v>34371</v>
      </c>
      <c r="C27301" s="5" t="str">
        <f>IFERROR(__xludf.DUMMYFUNCTION("GOOGLETRANSLATE(B27301,""en"",""zh-CN"")"),"看到一个人站在法庭上戴着高跟鞋。")</f>
        <v>看到一个人站在法庭上戴着高跟鞋。</v>
      </c>
    </row>
    <row r="27302">
      <c r="A27302" s="4" t="s">
        <v>34370</v>
      </c>
      <c r="B27302" s="4" t="s">
        <v>34372</v>
      </c>
      <c r="C27302" s="5" t="str">
        <f>IFERROR(__xludf.DUMMYFUNCTION("GOOGLETRANSLATE(B27302,""en"",""zh-CN"")"),"然后，男孩开始在高跷上跑下球场。")</f>
        <v>然后，男孩开始在高跷上跑下球场。</v>
      </c>
    </row>
    <row r="27303">
      <c r="A27303" s="4" t="s">
        <v>34370</v>
      </c>
      <c r="B27303" s="4" t="s">
        <v>34373</v>
      </c>
      <c r="C27303" s="5" t="str">
        <f>IFERROR(__xludf.DUMMYFUNCTION("GOOGLETRANSLATE(B27303,""en"",""zh-CN"")"),"男孩把一个小球塞进篮子里，然后回去抓住它。")</f>
        <v>男孩把一个小球塞进篮子里，然后回去抓住它。</v>
      </c>
    </row>
    <row r="27304">
      <c r="A27304" s="4" t="s">
        <v>34374</v>
      </c>
      <c r="B27304" s="4" t="s">
        <v>34375</v>
      </c>
      <c r="C27304" s="5" t="str">
        <f>IFERROR(__xludf.DUMMYFUNCTION("GOOGLETRANSLATE(B27304,""en"",""zh-CN"")"),"在一个装满巧克力的大碗中看到了一个男人。")</f>
        <v>在一个装满巧克力的大碗中看到了一个男人。</v>
      </c>
    </row>
    <row r="27305">
      <c r="A27305" s="4" t="s">
        <v>34374</v>
      </c>
      <c r="B27305" s="4" t="s">
        <v>34376</v>
      </c>
      <c r="C27305" s="5" t="str">
        <f>IFERROR(__xludf.DUMMYFUNCTION("GOOGLETRANSLATE(B27305,""en"",""zh-CN"")"),"另一个人递给他搅拌机，但该男子继续在碗中使用钻头。")</f>
        <v>另一个人递给他搅拌机，但该男子继续在碗中使用钻头。</v>
      </c>
    </row>
    <row r="27306">
      <c r="A27306" s="4" t="s">
        <v>34377</v>
      </c>
      <c r="B27306" s="4" t="s">
        <v>34378</v>
      </c>
      <c r="C27306" s="5" t="str">
        <f>IFERROR(__xludf.DUMMYFUNCTION("GOOGLETRANSLATE(B27306,""en"",""zh-CN"")"),"看到一个年轻女子站在院子里的割草机后面。")</f>
        <v>看到一个年轻女子站在院子里的割草机后面。</v>
      </c>
    </row>
    <row r="27307">
      <c r="A27307" s="4" t="s">
        <v>34377</v>
      </c>
      <c r="B27307" s="4" t="s">
        <v>34379</v>
      </c>
      <c r="C27307" s="5" t="str">
        <f>IFERROR(__xludf.DUMMYFUNCTION("GOOGLETRANSLATE(B27307,""en"",""zh-CN"")"),"她开始沿着院子推开割草机。")</f>
        <v>她开始沿着院子推开割草机。</v>
      </c>
    </row>
    <row r="27308">
      <c r="A27308" s="4" t="s">
        <v>34377</v>
      </c>
      <c r="B27308" s="4" t="s">
        <v>34380</v>
      </c>
      <c r="C27308" s="5" t="str">
        <f>IFERROR(__xludf.DUMMYFUNCTION("GOOGLETRANSLATE(B27308,""en"",""zh-CN"")"),"她回到草坪上，看着相机。")</f>
        <v>她回到草坪上，看着相机。</v>
      </c>
    </row>
    <row r="27309">
      <c r="A27309" s="4" t="s">
        <v>34381</v>
      </c>
      <c r="B27309" s="4" t="s">
        <v>34382</v>
      </c>
      <c r="C27309" s="5" t="str">
        <f>IFERROR(__xludf.DUMMYFUNCTION("GOOGLETRANSLATE(B27309,""en"",""zh-CN"")"),"体操运动员在水平杆上进行例行程序。")</f>
        <v>体操运动员在水平杆上进行例行程序。</v>
      </c>
    </row>
    <row r="27310">
      <c r="A27310" s="4" t="s">
        <v>34381</v>
      </c>
      <c r="B27310" s="4" t="s">
        <v>34383</v>
      </c>
      <c r="C27310" s="5" t="str">
        <f>IFERROR(__xludf.DUMMYFUNCTION("GOOGLETRANSLATE(B27310,""en"",""zh-CN"")"),"体操运动员旋转从一个酒吧转向另一个酒吧，也握住。")</f>
        <v>体操运动员旋转从一个酒吧转向另一个酒吧，也握住。</v>
      </c>
    </row>
    <row r="27311">
      <c r="A27311" s="4" t="s">
        <v>34381</v>
      </c>
      <c r="B27311" s="6" t="s">
        <v>34384</v>
      </c>
      <c r="C27311" s="5" t="str">
        <f>IFERROR(__xludf.DUMMYFUNCTION("GOOGLETRANSLATE(B27311,""en"",""zh-CN"")"),"然后，体操运动员的旋转和跳跃站在地板上，然后闪回例程。")</f>
        <v>然后，体操运动员的旋转和跳跃站在地板上，然后闪回例程。</v>
      </c>
    </row>
    <row r="27312">
      <c r="A27312" s="4" t="s">
        <v>34385</v>
      </c>
      <c r="B27312" s="4" t="s">
        <v>34386</v>
      </c>
      <c r="C27312" s="5" t="str">
        <f>IFERROR(__xludf.DUMMYFUNCTION("GOOGLETRANSLATE(B27312,""en"",""zh-CN"")"),"一个男人和女人在一条铺好的街道上迅速骑自行车。")</f>
        <v>一个男人和女人在一条铺好的街道上迅速骑自行车。</v>
      </c>
    </row>
    <row r="27313">
      <c r="A27313" s="4" t="s">
        <v>34385</v>
      </c>
      <c r="B27313" s="4" t="s">
        <v>34387</v>
      </c>
      <c r="C27313" s="5" t="str">
        <f>IFERROR(__xludf.DUMMYFUNCTION("GOOGLETRANSLATE(B27313,""en"",""zh-CN"")"),"他们停下来，将空气泵入轮胎。")</f>
        <v>他们停下来，将空气泵入轮胎。</v>
      </c>
    </row>
    <row r="27314">
      <c r="A27314" s="4" t="s">
        <v>34385</v>
      </c>
      <c r="B27314" s="4" t="s">
        <v>34388</v>
      </c>
      <c r="C27314" s="5" t="str">
        <f>IFERROR(__xludf.DUMMYFUNCTION("GOOGLETRANSLATE(B27314,""en"",""zh-CN"")"),"然后，他们更换管子，然后骑自行车。")</f>
        <v>然后，他们更换管子，然后骑自行车。</v>
      </c>
    </row>
    <row r="27315">
      <c r="A27315" s="4" t="s">
        <v>34385</v>
      </c>
      <c r="B27315" s="4" t="s">
        <v>34389</v>
      </c>
      <c r="C27315" s="5" t="str">
        <f>IFERROR(__xludf.DUMMYFUNCTION("GOOGLETRANSLATE(B27315,""en"",""zh-CN"")"),"他们继续沿着道路骑行。")</f>
        <v>他们继续沿着道路骑行。</v>
      </c>
    </row>
    <row r="27316">
      <c r="A27316" s="4" t="s">
        <v>34390</v>
      </c>
      <c r="B27316" s="4" t="s">
        <v>34391</v>
      </c>
      <c r="C27316" s="5" t="str">
        <f>IFERROR(__xludf.DUMMYFUNCTION("GOOGLETRANSLATE(B27316,""en"",""zh-CN"")"),"一个女人用淋浴站在浴缸里洗衣服。")</f>
        <v>一个女人用淋浴站在浴缸里洗衣服。</v>
      </c>
    </row>
    <row r="27317">
      <c r="A27317" s="4" t="s">
        <v>34390</v>
      </c>
      <c r="B27317" s="4" t="s">
        <v>34392</v>
      </c>
      <c r="C27317" s="5" t="str">
        <f>IFERROR(__xludf.DUMMYFUNCTION("GOOGLETRANSLATE(B27317,""en"",""zh-CN"")"),"她踢了衣服，走来走去，在他们身上跳舞。")</f>
        <v>她踢了衣服，走来走去，在他们身上跳舞。</v>
      </c>
    </row>
    <row r="27318">
      <c r="A27318" s="4" t="s">
        <v>34390</v>
      </c>
      <c r="B27318" s="4" t="s">
        <v>34393</v>
      </c>
      <c r="C27318" s="5" t="str">
        <f>IFERROR(__xludf.DUMMYFUNCTION("GOOGLETRANSLATE(B27318,""en"",""zh-CN"")"),"她的男朋友在镜子里录制她和他自己。")</f>
        <v>她的男朋友在镜子里录制她和他自己。</v>
      </c>
    </row>
    <row r="27319">
      <c r="A27319" s="4" t="s">
        <v>34390</v>
      </c>
      <c r="B27319" s="6" t="s">
        <v>34394</v>
      </c>
      <c r="C27319" s="5" t="str">
        <f>IFERROR(__xludf.DUMMYFUNCTION("GOOGLETRANSLATE(B27319,""en"",""zh-CN"")"),"当她踩着衣服时，他继续看着她，然后将相机转向他的母亲。")</f>
        <v>当她踩着衣服时，他继续看着她，然后将相机转向他的母亲。</v>
      </c>
    </row>
    <row r="27320">
      <c r="A27320" s="4" t="s">
        <v>34395</v>
      </c>
      <c r="B27320" s="4" t="s">
        <v>34396</v>
      </c>
      <c r="C27320" s="5" t="str">
        <f>IFERROR(__xludf.DUMMYFUNCTION("GOOGLETRANSLATE(B27320,""en"",""zh-CN"")"),"几个人在一个小房间里，穿着锻炼衣服，沿着楼梯上的步骤上升。")</f>
        <v>几个人在一个小房间里，穿着锻炼衣服，沿着楼梯上的步骤上升。</v>
      </c>
    </row>
    <row r="27321">
      <c r="A27321" s="4" t="s">
        <v>34395</v>
      </c>
      <c r="B27321" s="4" t="s">
        <v>34397</v>
      </c>
      <c r="C27321" s="5" t="str">
        <f>IFERROR(__xludf.DUMMYFUNCTION("GOOGLETRANSLATE(B27321,""en"",""zh-CN"")"),"然后，他们转过身，开始在楼梯上跳舞，并加强锻炼。")</f>
        <v>然后，他们转过身，开始在楼梯上跳舞，并加强锻炼。</v>
      </c>
    </row>
    <row r="27322">
      <c r="A27322" s="4" t="s">
        <v>34395</v>
      </c>
      <c r="B27322" s="4" t="s">
        <v>34398</v>
      </c>
      <c r="C27322" s="5" t="str">
        <f>IFERROR(__xludf.DUMMYFUNCTION("GOOGLETRANSLATE(B27322,""en"",""zh-CN"")"),"在中途，教练下车并在班级的其余部分继续前进。")</f>
        <v>在中途，教练下车并在班级的其余部分继续前进。</v>
      </c>
    </row>
    <row r="27323">
      <c r="A27323" s="4" t="s">
        <v>34395</v>
      </c>
      <c r="B27323" s="6" t="s">
        <v>34399</v>
      </c>
      <c r="C27323" s="5" t="str">
        <f>IFERROR(__xludf.DUMMYFUNCTION("GOOGLETRANSLATE(B27323,""en"",""zh-CN"")"),"之后，抓住楼梯的步骤，将其靠在墙上，然后回到其余锻炼的地方。")</f>
        <v>之后，抓住楼梯的步骤，将其靠在墙上，然后回到其余锻炼的地方。</v>
      </c>
    </row>
    <row r="27324">
      <c r="A27324" s="4" t="s">
        <v>34400</v>
      </c>
      <c r="B27324" s="6" t="s">
        <v>34401</v>
      </c>
      <c r="C27324" s="5" t="str">
        <f>IFERROR(__xludf.DUMMYFUNCTION("GOOGLETRANSLATE(B27324,""en"",""zh-CN"")"),"商店经理史蒂芬·理查森（Steven Richardson）讨论了带4轮驱动器的车辆的轮胎护理主题。")</f>
        <v>商店经理史蒂芬·理查森（Steven Richardson）讨论了带4轮驱动器的车辆的轮胎护理主题。</v>
      </c>
    </row>
    <row r="27325">
      <c r="A27325" s="4" t="s">
        <v>34400</v>
      </c>
      <c r="B27325" s="4" t="s">
        <v>34402</v>
      </c>
      <c r="C27325" s="5" t="str">
        <f>IFERROR(__xludf.DUMMYFUNCTION("GOOGLETRANSLATE(B27325,""en"",""zh-CN"")"),"他解释说，四轮驱动车辆上的不匹配轮胎会导致磨损。")</f>
        <v>他解释说，四轮驱动车辆上的不匹配轮胎会导致磨损。</v>
      </c>
    </row>
    <row r="27326">
      <c r="A27326" s="4" t="s">
        <v>34400</v>
      </c>
      <c r="B27326" s="4" t="s">
        <v>34403</v>
      </c>
      <c r="C27326" s="5" t="str">
        <f>IFERROR(__xludf.DUMMYFUNCTION("GOOGLETRANSLATE(B27326,""en"",""zh-CN"")"),"他建议应同时更换所有4个轮胎。")</f>
        <v>他建议应同时更换所有4个轮胎。</v>
      </c>
    </row>
    <row r="27327">
      <c r="A27327" s="4" t="s">
        <v>34400</v>
      </c>
      <c r="B27327" s="4" t="s">
        <v>34404</v>
      </c>
      <c r="C27327" s="5" t="str">
        <f>IFERROR(__xludf.DUMMYFUNCTION("GOOGLETRANSLATE(B27327,""en"",""zh-CN"")"),"他宣传了网站Belletire Dot Com，并说要使用它来查找您附近的位置。")</f>
        <v>他宣传了网站Belletire Dot Com，并说要使用它来查找您附近的位置。</v>
      </c>
    </row>
    <row r="27328">
      <c r="A27328" s="4" t="s">
        <v>34405</v>
      </c>
      <c r="B27328" s="4" t="s">
        <v>34406</v>
      </c>
      <c r="C27328" s="5" t="str">
        <f>IFERROR(__xludf.DUMMYFUNCTION("GOOGLETRANSLATE(B27328,""en"",""zh-CN"")"),"看到一个芭蕾舞演员走到舞台上，并带领她表演芭蕾舞的常规。")</f>
        <v>看到一个芭蕾舞演员走到舞台上，并带领她表演芭蕾舞的常规。</v>
      </c>
    </row>
    <row r="27329">
      <c r="A27329" s="4" t="s">
        <v>34405</v>
      </c>
      <c r="B27329" s="4" t="s">
        <v>34407</v>
      </c>
      <c r="C27329" s="5" t="str">
        <f>IFERROR(__xludf.DUMMYFUNCTION("GOOGLETRANSLATE(B27329,""en"",""zh-CN"")"),"当观众看着她时，女孩在鞋子上旋转。")</f>
        <v>当观众看着她时，女孩在鞋子上旋转。</v>
      </c>
    </row>
    <row r="27330">
      <c r="A27330" s="4" t="s">
        <v>34405</v>
      </c>
      <c r="B27330" s="4" t="s">
        <v>34408</v>
      </c>
      <c r="C27330" s="5" t="str">
        <f>IFERROR(__xludf.DUMMYFUNCTION("GOOGLETRANSLATE(B27330,""en"",""zh-CN"")"),"她继续旋转并旋转着旋转，结束了姿势和鞠躬。")</f>
        <v>她继续旋转并旋转着旋转，结束了姿势和鞠躬。</v>
      </c>
    </row>
    <row r="27331">
      <c r="A27331" s="4" t="s">
        <v>34409</v>
      </c>
      <c r="B27331" s="4" t="s">
        <v>34410</v>
      </c>
      <c r="C27331" s="5" t="str">
        <f>IFERROR(__xludf.DUMMYFUNCTION("GOOGLETRANSLATE(B27331,""en"",""zh-CN"")"),"一个赤脚的男人正在用刷子抚摸一块木制家具。")</f>
        <v>一个赤脚的男人正在用刷子抚摸一块木制家具。</v>
      </c>
    </row>
    <row r="27332">
      <c r="A27332" s="4" t="s">
        <v>34409</v>
      </c>
      <c r="B27332" s="4" t="s">
        <v>34411</v>
      </c>
      <c r="C27332" s="5" t="str">
        <f>IFERROR(__xludf.DUMMYFUNCTION("GOOGLETRANSLATE(B27332,""en"",""zh-CN"")"),"然后，他将碎片移动以展示磨损，并用刷子向他们抛光。")</f>
        <v>然后，他将碎片移动以展示磨损，并用刷子向他们抛光。</v>
      </c>
    </row>
    <row r="27333">
      <c r="A27333" s="4" t="s">
        <v>34409</v>
      </c>
      <c r="B27333" s="4" t="s">
        <v>34412</v>
      </c>
      <c r="C27333" s="5" t="str">
        <f>IFERROR(__xludf.DUMMYFUNCTION("GOOGLETRANSLATE(B27333,""en"",""zh-CN"")"),"该男子用手指显示清洁的边缘。")</f>
        <v>该男子用手指显示清洁的边缘。</v>
      </c>
    </row>
    <row r="27334">
      <c r="A27334" s="4" t="s">
        <v>34413</v>
      </c>
      <c r="B27334" s="4" t="s">
        <v>34414</v>
      </c>
      <c r="C27334" s="5" t="str">
        <f>IFERROR(__xludf.DUMMYFUNCTION("GOOGLETRANSLATE(B27334,""en"",""zh-CN"")"),"几个孩子在保龄球馆欢呼。")</f>
        <v>几个孩子在保龄球馆欢呼。</v>
      </c>
    </row>
    <row r="27335">
      <c r="A27335" s="4" t="s">
        <v>34413</v>
      </c>
      <c r="B27335" s="4" t="s">
        <v>34415</v>
      </c>
      <c r="C27335" s="5" t="str">
        <f>IFERROR(__xludf.DUMMYFUNCTION("GOOGLETRANSLATE(B27335,""en"",""zh-CN"")"),"他们加入其他孩子，争吵保龄球。")</f>
        <v>他们加入其他孩子，争吵保龄球。</v>
      </c>
    </row>
    <row r="27336">
      <c r="A27336" s="4" t="s">
        <v>34413</v>
      </c>
      <c r="B27336" s="4" t="s">
        <v>34416</v>
      </c>
      <c r="C27336" s="5" t="str">
        <f>IFERROR(__xludf.DUMMYFUNCTION("GOOGLETRANSLATE(B27336,""en"",""zh-CN"")"),"他们捡起球，然后把它放在车道上。")</f>
        <v>他们捡起球，然后把它放在车道上。</v>
      </c>
    </row>
    <row r="27337">
      <c r="A27337" s="4" t="s">
        <v>34417</v>
      </c>
      <c r="B27337" s="4" t="s">
        <v>34418</v>
      </c>
      <c r="C27337" s="5" t="str">
        <f>IFERROR(__xludf.DUMMYFUNCTION("GOOGLETRANSLATE(B27337,""en"",""zh-CN"")"),"一群人互相跳舞。")</f>
        <v>一群人互相跳舞。</v>
      </c>
    </row>
    <row r="27338">
      <c r="A27338" s="4" t="s">
        <v>34417</v>
      </c>
      <c r="B27338" s="4" t="s">
        <v>34419</v>
      </c>
      <c r="C27338" s="5" t="str">
        <f>IFERROR(__xludf.DUMMYFUNCTION("GOOGLETRANSLATE(B27338,""en"",""zh-CN"")"),"一个女孩带着一个呼啦圈走动，做各种动作。")</f>
        <v>一个女孩带着一个呼啦圈走动，做各种动作。</v>
      </c>
    </row>
    <row r="27339">
      <c r="A27339" s="4" t="s">
        <v>34417</v>
      </c>
      <c r="B27339" s="4" t="s">
        <v>34420</v>
      </c>
      <c r="C27339" s="5" t="str">
        <f>IFERROR(__xludf.DUMMYFUNCTION("GOOGLETRANSLATE(B27339,""en"",""zh-CN"")"),"人们继续以各种动作在她周围跳舞。")</f>
        <v>人们继续以各种动作在她周围跳舞。</v>
      </c>
    </row>
    <row r="27340">
      <c r="A27340" s="4" t="s">
        <v>34417</v>
      </c>
      <c r="B27340" s="4" t="s">
        <v>34421</v>
      </c>
      <c r="C27340" s="5" t="str">
        <f>IFERROR(__xludf.DUMMYFUNCTION("GOOGLETRANSLATE(B27340,""en"",""zh-CN"")"),"女孩旋转着她的呼啦圈。")</f>
        <v>女孩旋转着她的呼啦圈。</v>
      </c>
    </row>
    <row r="27341">
      <c r="A27341" s="4" t="s">
        <v>34422</v>
      </c>
      <c r="B27341" s="6" t="s">
        <v>34423</v>
      </c>
      <c r="C27341" s="5" t="str">
        <f>IFERROR(__xludf.DUMMYFUNCTION("GOOGLETRANSLATE(B27341,""en"",""zh-CN"")"),"看到两个女孩说话并向相机挥手，他们在垫子上表演了几次跳跃和窍门。")</f>
        <v>看到两个女孩说话并向相机挥手，他们在垫子上表演了几次跳跃和窍门。</v>
      </c>
    </row>
    <row r="27342">
      <c r="A27342" s="4" t="s">
        <v>34422</v>
      </c>
      <c r="B27342" s="6" t="s">
        <v>34424</v>
      </c>
      <c r="C27342" s="5" t="str">
        <f>IFERROR(__xludf.DUMMYFUNCTION("GOOGLETRANSLATE(B27342,""en"",""zh-CN"")"),"女孩们继续轮流在该地区的垫子周围翻转，并与相机交谈并挥手。")</f>
        <v>女孩们继续轮流在该地区的垫子周围翻转，并与相机交谈并挥手。</v>
      </c>
    </row>
    <row r="27343">
      <c r="A27343" s="4" t="s">
        <v>34425</v>
      </c>
      <c r="B27343" s="4" t="s">
        <v>34426</v>
      </c>
      <c r="C27343" s="5" t="str">
        <f>IFERROR(__xludf.DUMMYFUNCTION("GOOGLETRANSLATE(B27343,""en"",""zh-CN"")"),"一个女人站在一根绳子上的球站立。")</f>
        <v>一个女人站在一根绳子上的球站立。</v>
      </c>
    </row>
    <row r="27344">
      <c r="A27344" s="4" t="s">
        <v>34425</v>
      </c>
      <c r="B27344" s="4" t="s">
        <v>34427</v>
      </c>
      <c r="C27344" s="5" t="str">
        <f>IFERROR(__xludf.DUMMYFUNCTION("GOOGLETRANSLATE(B27344,""en"",""zh-CN"")"),"她正在参加田径比赛。")</f>
        <v>她正在参加田径比赛。</v>
      </c>
    </row>
    <row r="27345">
      <c r="A27345" s="4" t="s">
        <v>34425</v>
      </c>
      <c r="B27345" s="4" t="s">
        <v>34428</v>
      </c>
      <c r="C27345" s="5" t="str">
        <f>IFERROR(__xludf.DUMMYFUNCTION("GOOGLETRANSLATE(B27345,""en"",""zh-CN"")"),"她多次挥动球，然后腿部落入田野时，腿部加油。")</f>
        <v>她多次挥动球，然后腿部落入田野时，腿部加油。</v>
      </c>
    </row>
    <row r="27346">
      <c r="A27346" s="4" t="s">
        <v>34429</v>
      </c>
      <c r="B27346" s="6" t="s">
        <v>34430</v>
      </c>
      <c r="C27346" s="5" t="str">
        <f>IFERROR(__xludf.DUMMYFUNCTION("GOOGLETRANSLATE(B27346,""en"",""zh-CN"")"),"看到一名运动员站在一个小圆圈的中间，然后将射门投掷到远处。")</f>
        <v>看到一名运动员站在一个小圆圈的中间，然后将射门投掷到远处。</v>
      </c>
    </row>
    <row r="27347">
      <c r="A27347" s="4" t="s">
        <v>34429</v>
      </c>
      <c r="B27347" s="4" t="s">
        <v>34431</v>
      </c>
      <c r="C27347" s="5" t="str">
        <f>IFERROR(__xludf.DUMMYFUNCTION("GOOGLETRANSLATE(B27347,""en"",""zh-CN"")"),"那个男人走开握手，他的投掷再次显示了几次。")</f>
        <v>那个男人走开握手，他的投掷再次显示了几次。</v>
      </c>
    </row>
    <row r="27348">
      <c r="A27348" s="4" t="s">
        <v>34429</v>
      </c>
      <c r="B27348" s="6" t="s">
        <v>34432</v>
      </c>
      <c r="C27348" s="5" t="str">
        <f>IFERROR(__xludf.DUMMYFUNCTION("GOOGLETRANSLATE(B27348,""en"",""zh-CN"")"),"显示了更多的运动员进入平台上，将射门投掷和以帽子向观众讲话的男人结束。")</f>
        <v>显示了更多的运动员进入平台上，将射门投掷和以帽子向观众讲话的男人结束。</v>
      </c>
    </row>
    <row r="27349">
      <c r="A27349" s="4" t="s">
        <v>34433</v>
      </c>
      <c r="B27349" s="4" t="s">
        <v>34434</v>
      </c>
      <c r="C27349" s="5" t="str">
        <f>IFERROR(__xludf.DUMMYFUNCTION("GOOGLETRANSLATE(B27349,""en"",""zh-CN"")"),"一位戴着胸罩和内裤的女士抓住并投掷射击。")</f>
        <v>一位戴着胸罩和内裤的女士抓住并投掷射击。</v>
      </c>
    </row>
    <row r="27350">
      <c r="A27350" s="4" t="s">
        <v>34433</v>
      </c>
      <c r="B27350" s="4" t="s">
        <v>34435</v>
      </c>
      <c r="C27350" s="5" t="str">
        <f>IFERROR(__xludf.DUMMYFUNCTION("GOOGLETRANSLATE(B27350,""en"",""zh-CN"")"),"它穿过房子上的窗户，猫奔跑。")</f>
        <v>它穿过房子上的窗户，猫奔跑。</v>
      </c>
    </row>
    <row r="27351">
      <c r="A27351" s="4" t="s">
        <v>34433</v>
      </c>
      <c r="B27351" s="4" t="s">
        <v>34436</v>
      </c>
      <c r="C27351" s="5" t="str">
        <f>IFERROR(__xludf.DUMMYFUNCTION("GOOGLETRANSLATE(B27351,""en"",""zh-CN"")"),"这个男人看着外面，看到那位女士。")</f>
        <v>这个男人看着外面，看到那位女士。</v>
      </c>
    </row>
    <row r="27352">
      <c r="A27352" s="4" t="s">
        <v>34433</v>
      </c>
      <c r="B27352" s="4" t="s">
        <v>34437</v>
      </c>
      <c r="C27352" s="5" t="str">
        <f>IFERROR(__xludf.DUMMYFUNCTION("GOOGLETRANSLATE(B27352,""en"",""zh-CN"")"),"这位女士用杆子将撑杆跳进第二层窗口并跳上那个男人。")</f>
        <v>这位女士用杆子将撑杆跳进第二层窗口并跳上那个男人。</v>
      </c>
    </row>
    <row r="27353">
      <c r="A27353" s="4" t="s">
        <v>34433</v>
      </c>
      <c r="B27353" s="4" t="s">
        <v>34438</v>
      </c>
      <c r="C27353" s="5" t="str">
        <f>IFERROR(__xludf.DUMMYFUNCTION("GOOGLETRANSLATE(B27353,""en"",""zh-CN"")"),"我们看到标题屏幕，男人的裤子飞出了窗户。")</f>
        <v>我们看到标题屏幕，男人的裤子飞出了窗户。</v>
      </c>
    </row>
    <row r="27354">
      <c r="A27354" s="4" t="s">
        <v>34439</v>
      </c>
      <c r="B27354" s="4" t="s">
        <v>34440</v>
      </c>
      <c r="C27354" s="5" t="str">
        <f>IFERROR(__xludf.DUMMYFUNCTION("GOOGLETRANSLATE(B27354,""en"",""zh-CN"")"),"一个拿着扫帚的人来回清洁地板。")</f>
        <v>一个拿着扫帚的人来回清洁地板。</v>
      </c>
    </row>
    <row r="27355">
      <c r="A27355" s="4" t="s">
        <v>34439</v>
      </c>
      <c r="B27355" s="4" t="s">
        <v>34441</v>
      </c>
      <c r="C27355" s="5" t="str">
        <f>IFERROR(__xludf.DUMMYFUNCTION("GOOGLETRANSLATE(B27355,""en"",""zh-CN"")"),"该人转动扫帚收集灰尘。")</f>
        <v>该人转动扫帚收集灰尘。</v>
      </c>
    </row>
    <row r="27356">
      <c r="A27356" s="4" t="s">
        <v>34442</v>
      </c>
      <c r="B27356" s="4" t="s">
        <v>34443</v>
      </c>
      <c r="C27356" s="5" t="str">
        <f>IFERROR(__xludf.DUMMYFUNCTION("GOOGLETRANSLATE(B27356,""en"",""zh-CN"")"),"运动员在练习期间的户外轨道和撑竿跳高。")</f>
        <v>运动员在练习期间的户外轨道和撑竿跳高。</v>
      </c>
    </row>
    <row r="27357">
      <c r="A27357" s="4" t="s">
        <v>34442</v>
      </c>
      <c r="B27357" s="4" t="s">
        <v>34444</v>
      </c>
      <c r="C27357" s="5" t="str">
        <f>IFERROR(__xludf.DUMMYFUNCTION("GOOGLETRANSLATE(B27357,""en"",""zh-CN"")"),"在体育场举行的奥运会比赛中，一名运动员跑出撑杆跳。")</f>
        <v>在体育场举行的奥运会比赛中，一名运动员跑出撑杆跳。</v>
      </c>
    </row>
    <row r="27358">
      <c r="A27358" s="4" t="s">
        <v>34442</v>
      </c>
      <c r="B27358" s="4" t="s">
        <v>34445</v>
      </c>
      <c r="C27358" s="5" t="str">
        <f>IFERROR(__xludf.DUMMYFUNCTION("GOOGLETRANSLATE(B27358,""en"",""zh-CN"")"),"运动员在绳索下跳下练习，跳到垫子上。")</f>
        <v>运动员在绳索下跳下练习，跳到垫子上。</v>
      </c>
    </row>
    <row r="27359">
      <c r="A27359" s="4" t="s">
        <v>34446</v>
      </c>
      <c r="B27359" s="4" t="s">
        <v>34447</v>
      </c>
      <c r="C27359" s="5" t="str">
        <f>IFERROR(__xludf.DUMMYFUNCTION("GOOGLETRANSLATE(B27359,""en"",""zh-CN"")"),"一个小男孩正在用冰淇淋填充冰淇淋蛋筒。")</f>
        <v>一个小男孩正在用冰淇淋填充冰淇淋蛋筒。</v>
      </c>
    </row>
    <row r="27360">
      <c r="A27360" s="4" t="s">
        <v>34446</v>
      </c>
      <c r="B27360" s="4" t="s">
        <v>34448</v>
      </c>
      <c r="C27360" s="5" t="str">
        <f>IFERROR(__xludf.DUMMYFUNCTION("GOOGLETRANSLATE(B27360,""en"",""zh-CN"")"),"他舔了冰淇淋锥。")</f>
        <v>他舔了冰淇淋锥。</v>
      </c>
    </row>
    <row r="27361">
      <c r="A27361" s="4" t="s">
        <v>34446</v>
      </c>
      <c r="B27361" s="4" t="s">
        <v>34449</v>
      </c>
      <c r="C27361" s="5" t="str">
        <f>IFERROR(__xludf.DUMMYFUNCTION("GOOGLETRANSLATE(B27361,""en"",""zh-CN"")"),"他将冰淇淋锥抬起以显示相机。")</f>
        <v>他将冰淇淋锥抬起以显示相机。</v>
      </c>
    </row>
    <row r="27362">
      <c r="A27362" s="4" t="s">
        <v>34450</v>
      </c>
      <c r="B27362" s="4" t="s">
        <v>34451</v>
      </c>
      <c r="C27362" s="5" t="str">
        <f>IFERROR(__xludf.DUMMYFUNCTION("GOOGLETRANSLATE(B27362,""en"",""zh-CN"")"),"一个女孩有一根杆子，她蒙住了眼睛。")</f>
        <v>一个女孩有一根杆子，她蒙住了眼睛。</v>
      </c>
    </row>
    <row r="27363">
      <c r="A27363" s="4" t="s">
        <v>34450</v>
      </c>
      <c r="B27363" s="4" t="s">
        <v>34452</v>
      </c>
      <c r="C27363" s="5" t="str">
        <f>IFERROR(__xludf.DUMMYFUNCTION("GOOGLETRANSLATE(B27363,""en"",""zh-CN"")"),"她在皮纳塔（Pinata）摇摆并错过了。")</f>
        <v>她在皮纳塔（Pinata）摇摆并错过了。</v>
      </c>
    </row>
    <row r="27364">
      <c r="A27364" s="4" t="s">
        <v>34450</v>
      </c>
      <c r="B27364" s="4" t="s">
        <v>34453</v>
      </c>
      <c r="C27364" s="5" t="str">
        <f>IFERROR(__xludf.DUMMYFUNCTION("GOOGLETRANSLATE(B27364,""en"",""zh-CN"")"),"她走近了，再次尝试，这次打了一下。")</f>
        <v>她走近了，再次尝试，这次打了一下。</v>
      </c>
    </row>
    <row r="27365">
      <c r="A27365" s="4" t="s">
        <v>34450</v>
      </c>
      <c r="B27365" s="4" t="s">
        <v>34454</v>
      </c>
      <c r="C27365" s="5" t="str">
        <f>IFERROR(__xludf.DUMMYFUNCTION("GOOGLETRANSLATE(B27365,""en"",""zh-CN"")"),"当狗进入图片时，她退缩了。")</f>
        <v>当狗进入图片时，她退缩了。</v>
      </c>
    </row>
    <row r="27366">
      <c r="A27366" s="4" t="s">
        <v>34450</v>
      </c>
      <c r="B27366" s="4" t="s">
        <v>34455</v>
      </c>
      <c r="C27366" s="5" t="str">
        <f>IFERROR(__xludf.DUMMYFUNCTION("GOOGLETRANSLATE(B27366,""en"",""zh-CN"")"),"她一直在失踪。")</f>
        <v>她一直在失踪。</v>
      </c>
    </row>
    <row r="27367">
      <c r="A27367" s="4" t="s">
        <v>34450</v>
      </c>
      <c r="B27367" s="4" t="s">
        <v>34456</v>
      </c>
      <c r="C27367" s="5" t="str">
        <f>IFERROR(__xludf.DUMMYFUNCTION("GOOGLETRANSLATE(B27367,""en"",""zh-CN"")"),"她停了一会儿，艰难地挥杆并击中它。")</f>
        <v>她停了一会儿，艰难地挥杆并击中它。</v>
      </c>
    </row>
    <row r="27368">
      <c r="A27368" s="4" t="s">
        <v>34457</v>
      </c>
      <c r="B27368" s="6" t="s">
        <v>34458</v>
      </c>
      <c r="C27368" s="5" t="str">
        <f>IFERROR(__xludf.DUMMYFUNCTION("GOOGLETRANSLATE(B27368,""en"",""zh-CN"")"),"屏幕上显示了各种文本，并导致一个人说话，并显示了更多的工具。")</f>
        <v>屏幕上显示了各种文本，并导致一个人说话，并显示了更多的工具。</v>
      </c>
    </row>
    <row r="27369">
      <c r="A27369" s="4" t="s">
        <v>34457</v>
      </c>
      <c r="B27369" s="4" t="s">
        <v>34459</v>
      </c>
      <c r="C27369" s="5" t="str">
        <f>IFERROR(__xludf.DUMMYFUNCTION("GOOGLETRANSLATE(B27369,""en"",""zh-CN"")"),"该男子在说话时摩擦了皮肤上的工具，并在说话时向后和第四个真空。")</f>
        <v>该男子在说话时摩擦了皮肤上的工具，并在说话时向后和第四个真空。</v>
      </c>
    </row>
    <row r="27370">
      <c r="A27370" s="4" t="s">
        <v>34460</v>
      </c>
      <c r="B27370" s="4" t="s">
        <v>34461</v>
      </c>
      <c r="C27370" s="5" t="str">
        <f>IFERROR(__xludf.DUMMYFUNCTION("GOOGLETRANSLATE(B27370,""en"",""zh-CN"")"),"屋顶的顶纹悬挂着无抵押。")</f>
        <v>屋顶的顶纹悬挂着无抵押。</v>
      </c>
    </row>
    <row r="27371">
      <c r="A27371" s="4" t="s">
        <v>34460</v>
      </c>
      <c r="B27371" s="4" t="s">
        <v>34462</v>
      </c>
      <c r="C27371" s="5" t="str">
        <f>IFERROR(__xludf.DUMMYFUNCTION("GOOGLETRANSLATE(B27371,""en"",""zh-CN"")"),"一个屋顶上的男人将钉子钉在木瓦中，固定了木瓦。")</f>
        <v>一个屋顶上的男人将钉子钉在木瓦中，固定了木瓦。</v>
      </c>
    </row>
    <row r="27372">
      <c r="A27372" s="4" t="s">
        <v>34463</v>
      </c>
      <c r="B27372" s="6" t="s">
        <v>34464</v>
      </c>
      <c r="C27372" s="5" t="str">
        <f>IFERROR(__xludf.DUMMYFUNCTION("GOOGLETRANSLATE(B27372,""en"",""zh-CN"")"),"看到各种各样的人在海滩周围走来走去，男人拧紧绳索，弹起绳子。")</f>
        <v>看到各种各样的人在海滩周围走来走去，男人拧紧绳索，弹起绳子。</v>
      </c>
    </row>
    <row r="27373">
      <c r="A27373" s="4" t="s">
        <v>34463</v>
      </c>
      <c r="B27373" s="6" t="s">
        <v>34465</v>
      </c>
      <c r="C27373" s="5" t="str">
        <f>IFERROR(__xludf.DUMMYFUNCTION("GOOGLETRANSLATE(B27373,""en"",""zh-CN"")"),"几个人在绳索上表现出许多技巧，而另一些人则站在侧面观看。")</f>
        <v>几个人在绳索上表现出许多技巧，而另一些人则站在侧面观看。</v>
      </c>
    </row>
    <row r="27374">
      <c r="A27374" s="4" t="s">
        <v>34466</v>
      </c>
      <c r="B27374" s="4" t="s">
        <v>34467</v>
      </c>
      <c r="C27374" s="5" t="str">
        <f>IFERROR(__xludf.DUMMYFUNCTION("GOOGLETRANSLATE(B27374,""en"",""zh-CN"")"),"当相机放大一个人的脚时，看到一个人在河流下骑在河中。")</f>
        <v>当相机放大一个人的脚时，看到一个人在河流下骑在河中。</v>
      </c>
    </row>
    <row r="27375">
      <c r="A27375" s="4" t="s">
        <v>34466</v>
      </c>
      <c r="B27375" s="4" t="s">
        <v>34468</v>
      </c>
      <c r="C27375" s="5" t="str">
        <f>IFERROR(__xludf.DUMMYFUNCTION("GOOGLETRANSLATE(B27375,""en"",""zh-CN"")"),"管子里的人骑着水中的其他人。")</f>
        <v>管子里的人骑着水中的其他人。</v>
      </c>
    </row>
    <row r="27376">
      <c r="A27376" s="4" t="s">
        <v>34466</v>
      </c>
      <c r="B27376" s="4" t="s">
        <v>34469</v>
      </c>
      <c r="C27376" s="5" t="str">
        <f>IFERROR(__xludf.DUMMYFUNCTION("GOOGLETRANSLATE(B27376,""en"",""zh-CN"")"),"看到越来越多的人乘管子骑着河。")</f>
        <v>看到越来越多的人乘管子骑着河。</v>
      </c>
    </row>
    <row r="27377">
      <c r="A27377" s="4" t="s">
        <v>34470</v>
      </c>
      <c r="B27377" s="6" t="s">
        <v>34471</v>
      </c>
      <c r="C27377" s="5" t="str">
        <f>IFERROR(__xludf.DUMMYFUNCTION("GOOGLETRANSLATE(B27377,""en"",""zh-CN"")"),"在不同的职业体育赛事中，一系列同一名女子表演撑杆跳的片段。")</f>
        <v>在不同的职业体育赛事中，一系列同一名女子表演撑杆跳的片段。</v>
      </c>
    </row>
    <row r="27378">
      <c r="A27378" s="4" t="s">
        <v>34470</v>
      </c>
      <c r="B27378" s="6" t="s">
        <v>34472</v>
      </c>
      <c r="C27378" s="5" t="str">
        <f>IFERROR(__xludf.DUMMYFUNCTION("GOOGLETRANSLATE(B27378,""en"",""zh-CN"")"),"一名握着杆子的女人在朝球门线的轨道上奔跑，并在活动的围观者和支持者面前表演撑杆跳。")</f>
        <v>一名握着杆子的女人在朝球门线的轨道上奔跑，并在活动的围观者和支持者面前表演撑杆跳。</v>
      </c>
    </row>
    <row r="27379">
      <c r="A27379" s="4" t="s">
        <v>34470</v>
      </c>
      <c r="B27379" s="6" t="s">
        <v>34473</v>
      </c>
      <c r="C27379" s="5" t="str">
        <f>IFERROR(__xludf.DUMMYFUNCTION("GOOGLETRANSLATE(B27379,""en"",""zh-CN"")"),"然后，在另外两个活动中显示了该名女子，表演了相同的撑杆跳，被围观者和得分人包围。")</f>
        <v>然后，在另外两个活动中显示了该名女子，表演了相同的撑杆跳，被围观者和得分人包围。</v>
      </c>
    </row>
    <row r="27380">
      <c r="A27380" s="4" t="s">
        <v>34474</v>
      </c>
      <c r="B27380" s="6" t="s">
        <v>34475</v>
      </c>
      <c r="C27380" s="5" t="str">
        <f>IFERROR(__xludf.DUMMYFUNCTION("GOOGLETRANSLATE(B27380,""en"",""zh-CN"")"),"一个女人站在镜子前，冲洗嘴，然后将脸拉近镜子，从近距离看着牙齿。")</f>
        <v>一个女人站在镜子前，冲洗嘴，然后将脸拉近镜子，从近距离看着牙齿。</v>
      </c>
    </row>
    <row r="27381">
      <c r="A27381" s="4" t="s">
        <v>34474</v>
      </c>
      <c r="B27381" s="4" t="s">
        <v>34476</v>
      </c>
      <c r="C27381" s="5" t="str">
        <f>IFERROR(__xludf.DUMMYFUNCTION("GOOGLETRANSLATE(B27381,""en"",""zh-CN"")"),"一个女人坐在浴室的镜子前，把水挤在嘴里，好像在嘴里冲洗嘴。")</f>
        <v>一个女人坐在浴室的镜子前，把水挤在嘴里，好像在嘴里冲洗嘴。</v>
      </c>
    </row>
    <row r="27382">
      <c r="A27382" s="4" t="s">
        <v>34474</v>
      </c>
      <c r="B27382" s="6" t="s">
        <v>34477</v>
      </c>
      <c r="C27382" s="5" t="str">
        <f>IFERROR(__xludf.DUMMYFUNCTION("GOOGLETRANSLATE(B27382,""en"",""zh-CN"")"),"然后，该名女子将水吐到水槽中，在现场消失之前，在镜子里非常近地看着她的牙齿。")</f>
        <v>然后，该名女子将水吐到水槽中，在现场消失之前，在镜子里非常近地看着她的牙齿。</v>
      </c>
    </row>
    <row r="27383">
      <c r="A27383" s="4" t="s">
        <v>34478</v>
      </c>
      <c r="B27383" s="4" t="s">
        <v>34479</v>
      </c>
      <c r="C27383" s="5" t="str">
        <f>IFERROR(__xludf.DUMMYFUNCTION("GOOGLETRANSLATE(B27383,""en"",""zh-CN"")"),"我们看到滑雪板上的人努力下降。")</f>
        <v>我们看到滑雪板上的人努力下降。</v>
      </c>
    </row>
    <row r="27384">
      <c r="A27384" s="4" t="s">
        <v>34478</v>
      </c>
      <c r="B27384" s="4" t="s">
        <v>34480</v>
      </c>
      <c r="C27384" s="5" t="str">
        <f>IFERROR(__xludf.DUMMYFUNCTION("GOOGLETRANSLATE(B27384,""en"",""zh-CN"")"),"我们看到一个人飞入雪堆。")</f>
        <v>我们看到一个人飞入雪堆。</v>
      </c>
    </row>
    <row r="27385">
      <c r="A27385" s="4" t="s">
        <v>34478</v>
      </c>
      <c r="B27385" s="4" t="s">
        <v>34481</v>
      </c>
      <c r="C27385" s="5" t="str">
        <f>IFERROR(__xludf.DUMMYFUNCTION("GOOGLETRANSLATE(B27385,""en"",""zh-CN"")"),"一个人滑雪，当他们跳过街道时跌落。")</f>
        <v>一个人滑雪，当他们跳过街道时跌落。</v>
      </c>
    </row>
    <row r="27386">
      <c r="A27386" s="4" t="s">
        <v>34478</v>
      </c>
      <c r="B27386" s="6" t="s">
        <v>34482</v>
      </c>
      <c r="C27386" s="5" t="str">
        <f>IFERROR(__xludf.DUMMYFUNCTION("GOOGLETRANSLATE(B27386,""en"",""zh-CN"")"),"滑雪板上的一个人拿着一条线，然后跌倒了，然后白人坠毁的人坠入另一个人，他们俩都跌倒了。")</f>
        <v>滑雪板上的一个人拿着一条线，然后跌倒了，然后白人坠毁的人坠入另一个人，他们俩都跌倒了。</v>
      </c>
    </row>
    <row r="27387">
      <c r="A27387" s="4" t="s">
        <v>34478</v>
      </c>
      <c r="B27387" s="4" t="s">
        <v>34483</v>
      </c>
      <c r="C27387" s="5" t="str">
        <f>IFERROR(__xludf.DUMMYFUNCTION("GOOGLETRANSLATE(B27387,""en"",""zh-CN"")"),"单板滑雪者无法握住线条，敲打一个人帮助自己的人。")</f>
        <v>单板滑雪者无法握住线条，敲打一个人帮助自己的人。</v>
      </c>
    </row>
    <row r="27388">
      <c r="A27388" s="4" t="s">
        <v>34484</v>
      </c>
      <c r="B27388" s="4" t="s">
        <v>34485</v>
      </c>
      <c r="C27388" s="5" t="str">
        <f>IFERROR(__xludf.DUMMYFUNCTION("GOOGLETRANSLATE(B27388,""en"",""zh-CN"")"),"一条被岩石附录包围的河。")</f>
        <v>一条被岩石附录包围的河。</v>
      </c>
    </row>
    <row r="27389">
      <c r="A27389" s="4" t="s">
        <v>34484</v>
      </c>
      <c r="B27389" s="4" t="s">
        <v>34486</v>
      </c>
      <c r="C27389" s="5" t="str">
        <f>IFERROR(__xludf.DUMMYFUNCTION("GOOGLETRANSLATE(B27389,""en"",""zh-CN"")"),"几个人在插头中漂浮。")</f>
        <v>几个人在插头中漂浮。</v>
      </c>
    </row>
    <row r="27390">
      <c r="A27390" s="4" t="s">
        <v>34484</v>
      </c>
      <c r="B27390" s="4" t="s">
        <v>34487</v>
      </c>
      <c r="C27390" s="5" t="str">
        <f>IFERROR(__xludf.DUMMYFUNCTION("GOOGLETRANSLATE(B27390,""en"",""zh-CN"")"),"他们通过急流一起漂浮在河边。")</f>
        <v>他们通过急流一起漂浮在河边。</v>
      </c>
    </row>
    <row r="27391">
      <c r="A27391" s="4" t="s">
        <v>34488</v>
      </c>
      <c r="B27391" s="6" t="s">
        <v>34489</v>
      </c>
      <c r="C27391" s="5" t="str">
        <f>IFERROR(__xludf.DUMMYFUNCTION("GOOGLETRANSLATE(B27391,""en"",""zh-CN"")"),"一个男人和一个穿着绿色衬衫的男人正在用他的孩子穿着灰色衬衫装饰圣诞树，他们在女人坐在树旁的椅子上，将装饰放在蓝色的桌子上。")</f>
        <v>一个男人和一个穿着绿色衬衫的男人正在用他的孩子穿着灰色衬衫装饰圣诞树，他们在女人坐在树旁的椅子上，将装饰放在蓝色的桌子上。</v>
      </c>
    </row>
    <row r="27392">
      <c r="A27392" s="4" t="s">
        <v>34488</v>
      </c>
      <c r="B27392" s="6" t="s">
        <v>34490</v>
      </c>
      <c r="C27392" s="5" t="str">
        <f>IFERROR(__xludf.DUMMYFUNCTION("GOOGLETRANSLATE(B27392,""en"",""zh-CN"")"),"那位女士帮助男人和孩子将装饰挂在圣诞树上，该男子把一些装饰交给了那个女士，她把它放在树上。")</f>
        <v>那位女士帮助男人和孩子将装饰挂在圣诞树上，该男子把一些装饰交给了那个女士，她把它放在树上。</v>
      </c>
    </row>
    <row r="27393">
      <c r="A27393" s="4" t="s">
        <v>34488</v>
      </c>
      <c r="B27393" s="6" t="s">
        <v>34491</v>
      </c>
      <c r="C27393" s="5" t="str">
        <f>IFERROR(__xludf.DUMMYFUNCTION("GOOGLETRANSLATE(B27393,""en"",""zh-CN"")"),"那个女人坐在椅子上，将圣诞节球安排在桌子上，并帮助他们进行了装饰。")</f>
        <v>那个女人坐在椅子上，将圣诞节球安排在桌子上，并帮助他们进行了装饰。</v>
      </c>
    </row>
    <row r="27394">
      <c r="A27394" s="4" t="s">
        <v>34488</v>
      </c>
      <c r="B27394" s="4" t="s">
        <v>34492</v>
      </c>
      <c r="C27394" s="5" t="str">
        <f>IFERROR(__xludf.DUMMYFUNCTION("GOOGLETRANSLATE(B27394,""en"",""zh-CN"")"),"一位黑色上衣的女士为圣诞树提供了更多的装饰。")</f>
        <v>一位黑色上衣的女士为圣诞树提供了更多的装饰。</v>
      </c>
    </row>
    <row r="27395">
      <c r="A27395" s="4" t="s">
        <v>34493</v>
      </c>
      <c r="B27395" s="4" t="s">
        <v>34494</v>
      </c>
      <c r="C27395" s="5" t="str">
        <f>IFERROR(__xludf.DUMMYFUNCTION("GOOGLETRANSLATE(B27395,""en"",""zh-CN"")"),"一个男孩走到一个非常大的室内球场上的职位。")</f>
        <v>一个男孩走到一个非常大的室内球场上的职位。</v>
      </c>
    </row>
    <row r="27396">
      <c r="A27396" s="4" t="s">
        <v>34493</v>
      </c>
      <c r="B27396" s="4" t="s">
        <v>34495</v>
      </c>
      <c r="C27396" s="5" t="str">
        <f>IFERROR(__xludf.DUMMYFUNCTION("GOOGLETRANSLATE(B27396,""en"",""zh-CN"")"),"他准备好，手臂移动。")</f>
        <v>他准备好，手臂移动。</v>
      </c>
    </row>
    <row r="27397">
      <c r="A27397" s="4" t="s">
        <v>34493</v>
      </c>
      <c r="B27397" s="4" t="s">
        <v>34496</v>
      </c>
      <c r="C27397" s="5" t="str">
        <f>IFERROR(__xludf.DUMMYFUNCTION("GOOGLETRANSLATE(B27397,""en"",""zh-CN"")"),"他开始很快旋转。")</f>
        <v>他开始很快旋转。</v>
      </c>
    </row>
    <row r="27398">
      <c r="A27398" s="4" t="s">
        <v>34493</v>
      </c>
      <c r="B27398" s="4" t="s">
        <v>34497</v>
      </c>
      <c r="C27398" s="5" t="str">
        <f>IFERROR(__xludf.DUMMYFUNCTION("GOOGLETRANSLATE(B27398,""en"",""zh-CN"")"),"终于放手扔球。")</f>
        <v>终于放手扔球。</v>
      </c>
    </row>
    <row r="27399">
      <c r="A27399" s="4" t="s">
        <v>34498</v>
      </c>
      <c r="B27399" s="4" t="s">
        <v>34499</v>
      </c>
      <c r="C27399" s="5" t="str">
        <f>IFERROR(__xludf.DUMMYFUNCTION("GOOGLETRANSLATE(B27399,""en"",""zh-CN"")"),"一个女人在田野上准备时拍打脸颊。")</f>
        <v>一个女人在田野上准备时拍打脸颊。</v>
      </c>
    </row>
    <row r="27400">
      <c r="A27400" s="4" t="s">
        <v>34498</v>
      </c>
      <c r="B27400" s="4" t="s">
        <v>34500</v>
      </c>
      <c r="C27400" s="5" t="str">
        <f>IFERROR(__xludf.DUMMYFUNCTION("GOOGLETRANSLATE(B27400,""en"",""zh-CN"")"),"她几次挥动球。")</f>
        <v>她几次挥动球。</v>
      </c>
    </row>
    <row r="27401">
      <c r="A27401" s="4" t="s">
        <v>34498</v>
      </c>
      <c r="B27401" s="4" t="s">
        <v>34501</v>
      </c>
      <c r="C27401" s="5" t="str">
        <f>IFERROR(__xludf.DUMMYFUNCTION("GOOGLETRANSLATE(B27401,""en"",""zh-CN"")"),"她放手，让球飞过空中。")</f>
        <v>她放手，让球飞过空中。</v>
      </c>
    </row>
    <row r="27402">
      <c r="A27402" s="4" t="s">
        <v>34502</v>
      </c>
      <c r="B27402" s="6" t="s">
        <v>34503</v>
      </c>
      <c r="C27402" s="5" t="str">
        <f>IFERROR(__xludf.DUMMYFUNCTION("GOOGLETRANSLATE(B27402,""en"",""zh-CN"")"),"一个戴着黑色上衣的女人，卷发棕色的头发和铜的亮点正在演示如何使用扩散器干燥的头发。")</f>
        <v>一个戴着黑色上衣的女人，卷发棕色的头发和铜的亮点正在演示如何使用扩散器干燥的头发。</v>
      </c>
    </row>
    <row r="27403">
      <c r="A27403" s="4" t="s">
        <v>34502</v>
      </c>
      <c r="B27403" s="4" t="s">
        <v>34504</v>
      </c>
      <c r="C27403" s="5" t="str">
        <f>IFERROR(__xludf.DUMMYFUNCTION("GOOGLETRANSLATE(B27403,""en"",""zh-CN"")"),"她正在使用中火在中火上使用吹风机来干燥头发。")</f>
        <v>她正在使用中火在中火上使用吹风机来干燥头发。</v>
      </c>
    </row>
    <row r="27404">
      <c r="A27404" s="4" t="s">
        <v>34502</v>
      </c>
      <c r="B27404" s="4" t="s">
        <v>34505</v>
      </c>
      <c r="C27404" s="5" t="str">
        <f>IFERROR(__xludf.DUMMYFUNCTION("GOOGLETRANSLATE(B27404,""en"",""zh-CN"")"),"她吹干卷发，直到头发的水分消失。")</f>
        <v>她吹干卷发，直到头发的水分消失。</v>
      </c>
    </row>
    <row r="27405">
      <c r="A27405" s="4" t="s">
        <v>34502</v>
      </c>
      <c r="B27405" s="4" t="s">
        <v>34506</v>
      </c>
      <c r="C27405" s="5" t="str">
        <f>IFERROR(__xludf.DUMMYFUNCTION("GOOGLETRANSLATE(B27405,""en"",""zh-CN"")"),"使用吹风机完成后，她使用宽牙梳子梳理卷发。")</f>
        <v>使用吹风机完成后，她使用宽牙梳子梳理卷发。</v>
      </c>
    </row>
    <row r="27406">
      <c r="A27406" s="4" t="s">
        <v>34502</v>
      </c>
      <c r="B27406" s="4" t="s">
        <v>34507</v>
      </c>
      <c r="C27406" s="5" t="str">
        <f>IFERROR(__xludf.DUMMYFUNCTION("GOOGLETRANSLATE(B27406,""en"",""zh-CN"")"),"然后，她抬起头发，炫耀她的甜美卷发。")</f>
        <v>然后，她抬起头发，炫耀她的甜美卷发。</v>
      </c>
    </row>
    <row r="27407">
      <c r="A27407" s="4" t="s">
        <v>34508</v>
      </c>
      <c r="B27407" s="4" t="s">
        <v>34509</v>
      </c>
      <c r="C27407" s="5" t="str">
        <f>IFERROR(__xludf.DUMMYFUNCTION("GOOGLETRANSLATE(B27407,""en"",""zh-CN"")"),"一架直升机在某些人开始打彩弹的人中飞翔。")</f>
        <v>一架直升机在某些人开始打彩弹的人中飞翔。</v>
      </c>
    </row>
    <row r="27408">
      <c r="A27408" s="4" t="s">
        <v>34508</v>
      </c>
      <c r="B27408" s="4" t="s">
        <v>34510</v>
      </c>
      <c r="C27408" s="5" t="str">
        <f>IFERROR(__xludf.DUMMYFUNCTION("GOOGLETRANSLATE(B27408,""en"",""zh-CN"")"),"他们四处奔波，度过了愉快的时光。")</f>
        <v>他们四处奔波，度过了愉快的时光。</v>
      </c>
    </row>
    <row r="27409">
      <c r="A27409" s="4" t="s">
        <v>34511</v>
      </c>
      <c r="B27409" s="4" t="s">
        <v>34512</v>
      </c>
      <c r="C27409" s="5" t="str">
        <f>IFERROR(__xludf.DUMMYFUNCTION("GOOGLETRANSLATE(B27409,""en"",""zh-CN"")"),"一个男孩在外面拿着斧头。")</f>
        <v>一个男孩在外面拿着斧头。</v>
      </c>
    </row>
    <row r="27410">
      <c r="A27410" s="4" t="s">
        <v>34511</v>
      </c>
      <c r="B27410" s="4" t="s">
        <v>34513</v>
      </c>
      <c r="C27410" s="5" t="str">
        <f>IFERROR(__xludf.DUMMYFUNCTION("GOOGLETRANSLATE(B27410,""en"",""zh-CN"")"),"他在树桩上摆动斧头。")</f>
        <v>他在树桩上摆动斧头。</v>
      </c>
    </row>
    <row r="27411">
      <c r="A27411" s="4" t="s">
        <v>34511</v>
      </c>
      <c r="B27411" s="4" t="s">
        <v>34514</v>
      </c>
      <c r="C27411" s="5" t="str">
        <f>IFERROR(__xludf.DUMMYFUNCTION("GOOGLETRANSLATE(B27411,""en"",""zh-CN"")"),"另一个男孩正在做同样的事情。")</f>
        <v>另一个男孩正在做同样的事情。</v>
      </c>
    </row>
    <row r="27412">
      <c r="A27412" s="4" t="s">
        <v>34511</v>
      </c>
      <c r="B27412" s="4" t="s">
        <v>34515</v>
      </c>
      <c r="C27412" s="5" t="str">
        <f>IFERROR(__xludf.DUMMYFUNCTION("GOOGLETRANSLATE(B27412,""en"",""zh-CN"")"),"他们继续试图将木头拆分。")</f>
        <v>他们继续试图将木头拆分。</v>
      </c>
    </row>
    <row r="27413">
      <c r="A27413" s="4" t="s">
        <v>34516</v>
      </c>
      <c r="B27413" s="4" t="s">
        <v>34517</v>
      </c>
      <c r="C27413" s="5" t="str">
        <f>IFERROR(__xludf.DUMMYFUNCTION("GOOGLETRANSLATE(B27413,""en"",""zh-CN"")"),"比赛的开始显示在人们经营的情况下，还显示了终点。")</f>
        <v>比赛的开始显示在人们经营的情况下，还显示了终点。</v>
      </c>
    </row>
    <row r="27414">
      <c r="A27414" s="4" t="s">
        <v>34516</v>
      </c>
      <c r="B27414" s="4" t="s">
        <v>34518</v>
      </c>
      <c r="C27414" s="5" t="str">
        <f>IFERROR(__xludf.DUMMYFUNCTION("GOOGLETRANSLATE(B27414,""en"",""zh-CN"")"),"展示了穿着服装的人，人们通常会度过愉快的时光。")</f>
        <v>展示了穿着服装的人，人们通常会度过愉快的时光。</v>
      </c>
    </row>
    <row r="27415">
      <c r="A27415" s="4" t="s">
        <v>34519</v>
      </c>
      <c r="B27415" s="4" t="s">
        <v>34520</v>
      </c>
      <c r="C27415" s="5" t="str">
        <f>IFERROR(__xludf.DUMMYFUNCTION("GOOGLETRANSLATE(B27415,""en"",""zh-CN"")"),"介绍导致几次镜头沿着白雪皑皑的山丘爬上一侧。")</f>
        <v>介绍导致几次镜头沿着白雪皑皑的山丘爬上一侧。</v>
      </c>
    </row>
    <row r="27416">
      <c r="A27416" s="4" t="s">
        <v>34519</v>
      </c>
      <c r="B27416" s="6" t="s">
        <v>34521</v>
      </c>
      <c r="C27416" s="5" t="str">
        <f>IFERROR(__xludf.DUMMYFUNCTION("GOOGLETRANSLATE(B27416,""en"",""zh-CN"")"),"两个人对镜头说话，并显示了更多的镜头，他们爬上山和各种山的镜头。")</f>
        <v>两个人对镜头说话，并显示了更多的镜头，他们爬上山和各种山的镜头。</v>
      </c>
    </row>
    <row r="27417">
      <c r="A27417" s="4" t="s">
        <v>34519</v>
      </c>
      <c r="B27417" s="6" t="s">
        <v>34522</v>
      </c>
      <c r="C27417" s="5" t="str">
        <f>IFERROR(__xludf.DUMMYFUNCTION("GOOGLETRANSLATE(B27417,""en"",""zh-CN"")"),"然后，人们在滑雪板上骑行，同时仍在与镜头交谈，并显示了他们在雪山上骑行的几枪。")</f>
        <v>然后，人们在滑雪板上骑行，同时仍在与镜头交谈，并显示了他们在雪山上骑行的几枪。</v>
      </c>
    </row>
    <row r="27418">
      <c r="A27418" s="4" t="s">
        <v>34523</v>
      </c>
      <c r="B27418" s="6" t="s">
        <v>34524</v>
      </c>
      <c r="C27418" s="5" t="str">
        <f>IFERROR(__xludf.DUMMYFUNCTION("GOOGLETRANSLATE(B27418,""en"",""zh-CN"")"),"两个女人和一个小女孩在户外行走，向小女孩展示了一群远处的男孩。")</f>
        <v>两个女人和一个小女孩在户外行走，向小女孩展示了一群远处的男孩。</v>
      </c>
    </row>
    <row r="27419">
      <c r="A27419" s="4" t="s">
        <v>34523</v>
      </c>
      <c r="B27419" s="4" t="s">
        <v>34525</v>
      </c>
      <c r="C27419" s="5" t="str">
        <f>IFERROR(__xludf.DUMMYFUNCTION("GOOGLETRANSLATE(B27419,""en"",""zh-CN"")"),"他们扔了一个球，女孩在被带到基地之前踢了球。")</f>
        <v>他们扔了一个球，女孩在被带到基地之前踢了球。</v>
      </c>
    </row>
    <row r="27420">
      <c r="A27420" s="4" t="s">
        <v>34523</v>
      </c>
      <c r="B27420" s="4" t="s">
        <v>34526</v>
      </c>
      <c r="C27420" s="5" t="str">
        <f>IFERROR(__xludf.DUMMYFUNCTION("GOOGLETRANSLATE(B27420,""en"",""zh-CN"")"),"该小组聚集在一起祝贺她。")</f>
        <v>该小组聚集在一起祝贺她。</v>
      </c>
    </row>
    <row r="27421">
      <c r="A27421" s="4" t="s">
        <v>34527</v>
      </c>
      <c r="B27421" s="4" t="s">
        <v>34528</v>
      </c>
      <c r="C27421" s="5" t="str">
        <f>IFERROR(__xludf.DUMMYFUNCTION("GOOGLETRANSLATE(B27421,""en"",""zh-CN"")"),"看到一个男人坐在电脑上工作的桌子后面。")</f>
        <v>看到一个男人坐在电脑上工作的桌子后面。</v>
      </c>
    </row>
    <row r="27422">
      <c r="A27422" s="4" t="s">
        <v>34527</v>
      </c>
      <c r="B27422" s="4" t="s">
        <v>34529</v>
      </c>
      <c r="C27422" s="5" t="str">
        <f>IFERROR(__xludf.DUMMYFUNCTION("GOOGLETRANSLATE(B27422,""en"",""zh-CN"")"),"显示了一些人在纸上打印以及纸张的镜头。")</f>
        <v>显示了一些人在纸上打印以及纸张的镜头。</v>
      </c>
    </row>
    <row r="27423">
      <c r="A27423" s="4" t="s">
        <v>34527</v>
      </c>
      <c r="B27423" s="4" t="s">
        <v>34530</v>
      </c>
      <c r="C27423" s="5" t="str">
        <f>IFERROR(__xludf.DUMMYFUNCTION("GOOGLETRANSLATE(B27423,""en"",""zh-CN"")"),"显示了更多的剪辑，这些人挂在墙纸和城市的镜头上。")</f>
        <v>显示了更多的剪辑，这些人挂在墙纸和城市的镜头上。</v>
      </c>
    </row>
    <row r="27424">
      <c r="A27424" s="4" t="s">
        <v>34531</v>
      </c>
      <c r="B27424" s="4" t="s">
        <v>34532</v>
      </c>
      <c r="C27424" s="5" t="str">
        <f>IFERROR(__xludf.DUMMYFUNCTION("GOOGLETRANSLATE(B27424,""en"",""zh-CN"")"),"视频开始显示一个男人和女人互相抱着，然后向后移动。")</f>
        <v>视频开始显示一个男人和女人互相抱着，然后向后移动。</v>
      </c>
    </row>
    <row r="27425">
      <c r="A27425" s="4" t="s">
        <v>34531</v>
      </c>
      <c r="B27425" s="4" t="s">
        <v>34533</v>
      </c>
      <c r="C27425" s="5" t="str">
        <f>IFERROR(__xludf.DUMMYFUNCTION("GOOGLETRANSLATE(B27425,""en"",""zh-CN"")"),"这对夫妇向后移，第四次移动，而男人对相机说话。")</f>
        <v>这对夫妇向后移，第四次移动，而男人对相机说话。</v>
      </c>
    </row>
    <row r="27426">
      <c r="A27426" s="4" t="s">
        <v>34531</v>
      </c>
      <c r="B27426" s="6" t="s">
        <v>34534</v>
      </c>
      <c r="C27426" s="5" t="str">
        <f>IFERROR(__xludf.DUMMYFUNCTION("GOOGLETRANSLATE(B27426,""en"",""zh-CN"")"),"该名女子最终会讲相机，同时进行几种不同的舞蹈动作供相机看。")</f>
        <v>该名女子最终会讲相机，同时进行几种不同的舞蹈动作供相机看。</v>
      </c>
    </row>
    <row r="27427">
      <c r="A27427" s="4" t="s">
        <v>34535</v>
      </c>
      <c r="B27427" s="4" t="s">
        <v>34536</v>
      </c>
      <c r="C27427" s="5" t="str">
        <f>IFERROR(__xludf.DUMMYFUNCTION("GOOGLETRANSLATE(B27427,""en"",""zh-CN"")"),"几个独木舟在昏暗的水中闲置。")</f>
        <v>几个独木舟在昏暗的水中闲置。</v>
      </c>
    </row>
    <row r="27428">
      <c r="A27428" s="4" t="s">
        <v>34535</v>
      </c>
      <c r="B27428" s="4" t="s">
        <v>34537</v>
      </c>
      <c r="C27428" s="5" t="str">
        <f>IFERROR(__xludf.DUMMYFUNCTION("GOOGLETRANSLATE(B27428,""en"",""zh-CN"")"),"然后，一组男孩开始在水中划皮划艇，然后跳下树木。")</f>
        <v>然后，一组男孩开始在水中划皮划艇，然后跳下树木。</v>
      </c>
    </row>
    <row r="27429">
      <c r="A27429" s="4" t="s">
        <v>34538</v>
      </c>
      <c r="B27429" s="4" t="s">
        <v>34539</v>
      </c>
      <c r="C27429" s="5" t="str">
        <f>IFERROR(__xludf.DUMMYFUNCTION("GOOGLETRANSLATE(B27429,""en"",""zh-CN"")"),"一个人在水槽里洗手。")</f>
        <v>一个人在水槽里洗手。</v>
      </c>
    </row>
    <row r="27430">
      <c r="A27430" s="4" t="s">
        <v>34538</v>
      </c>
      <c r="B27430" s="4" t="s">
        <v>34540</v>
      </c>
      <c r="C27430" s="5" t="str">
        <f>IFERROR(__xludf.DUMMYFUNCTION("GOOGLETRANSLATE(B27430,""en"",""zh-CN"")"),"两个女人站在水槽旁边洗手。")</f>
        <v>两个女人站在水槽旁边洗手。</v>
      </c>
    </row>
    <row r="27431">
      <c r="A27431" s="4" t="s">
        <v>34538</v>
      </c>
      <c r="B27431" s="4" t="s">
        <v>13650</v>
      </c>
      <c r="C27431" s="5" t="str">
        <f>IFERROR(__xludf.DUMMYFUNCTION("GOOGLETRANSLATE(B27431,""en"",""zh-CN"")"),"单词进入屏幕。")</f>
        <v>单词进入屏幕。</v>
      </c>
    </row>
    <row r="27432">
      <c r="A27432" s="4" t="s">
        <v>34541</v>
      </c>
      <c r="B27432" s="4" t="s">
        <v>34542</v>
      </c>
      <c r="C27432" s="5" t="str">
        <f>IFERROR(__xludf.DUMMYFUNCTION("GOOGLETRANSLATE(B27432,""en"",""zh-CN"")"),"一个膝盖的两个男人在治疗健身房中展示了一个髋关节弹性伸展。")</f>
        <v>一个膝盖的两个男人在治疗健身房中展示了一个髋关节弹性伸展。</v>
      </c>
    </row>
    <row r="27433">
      <c r="A27433" s="4" t="s">
        <v>34541</v>
      </c>
      <c r="B27433" s="6" t="s">
        <v>34543</v>
      </c>
      <c r="C27433" s="5" t="str">
        <f>IFERROR(__xludf.DUMMYFUNCTION("GOOGLETRANSLATE(B27433,""en"",""zh-CN"")"),"穿着黑色T恤的那个人使用穿着绿色T恤的男子作为型号来展示髋屈肌拉伸。")</f>
        <v>穿着黑色T恤的那个人使用穿着绿色T恤的男子作为型号来展示髋屈肌拉伸。</v>
      </c>
    </row>
    <row r="27434">
      <c r="A27434" s="4" t="s">
        <v>34541</v>
      </c>
      <c r="B27434" s="6" t="s">
        <v>34544</v>
      </c>
      <c r="C27434" s="5" t="str">
        <f>IFERROR(__xludf.DUMMYFUNCTION("GOOGLETRANSLATE(B27434,""en"",""zh-CN"")"),"穿着黑色T恤的男人通过脚，腿，臀部和手臂的轻微位置将绿色 -  T衬衫A的男子调整为不同的位置。")</f>
        <v>穿着黑色T恤的男人通过脚，腿，臀部和手臂的轻微位置将绿色 -  T衬衫A的男子调整为不同的位置。</v>
      </c>
    </row>
    <row r="27435">
      <c r="A27435" s="4" t="s">
        <v>34545</v>
      </c>
      <c r="B27435" s="4" t="s">
        <v>34546</v>
      </c>
      <c r="C27435" s="5" t="str">
        <f>IFERROR(__xludf.DUMMYFUNCTION("GOOGLETRANSLATE(B27435,""en"",""zh-CN"")"),"显示了剪辑的信用。")</f>
        <v>显示了剪辑的信用。</v>
      </c>
    </row>
    <row r="27436">
      <c r="A27436" s="4" t="s">
        <v>34545</v>
      </c>
      <c r="B27436" s="4" t="s">
        <v>34547</v>
      </c>
      <c r="C27436" s="5" t="str">
        <f>IFERROR(__xludf.DUMMYFUNCTION("GOOGLETRANSLATE(B27436,""en"",""zh-CN"")"),"一个女人在一堆雪旁边。")</f>
        <v>一个女人在一堆雪旁边。</v>
      </c>
    </row>
    <row r="27437">
      <c r="A27437" s="4" t="s">
        <v>34545</v>
      </c>
      <c r="B27437" s="4" t="s">
        <v>34548</v>
      </c>
      <c r="C27437" s="5" t="str">
        <f>IFERROR(__xludf.DUMMYFUNCTION("GOOGLETRANSLATE(B27437,""en"",""zh-CN"")"),"一个家伙捡起铲子，将雪铲到侧面。")</f>
        <v>一个家伙捡起铲子，将雪铲到侧面。</v>
      </c>
    </row>
    <row r="27438">
      <c r="A27438" s="4" t="s">
        <v>34545</v>
      </c>
      <c r="B27438" s="4" t="s">
        <v>34549</v>
      </c>
      <c r="C27438" s="5" t="str">
        <f>IFERROR(__xludf.DUMMYFUNCTION("GOOGLETRANSLATE(B27438,""en"",""zh-CN"")"),"那家伙放下铲子，向后两次。")</f>
        <v>那家伙放下铲子，向后两次。</v>
      </c>
    </row>
    <row r="27439">
      <c r="A27439" s="4" t="s">
        <v>34545</v>
      </c>
      <c r="B27439" s="4" t="s">
        <v>34550</v>
      </c>
      <c r="C27439" s="5" t="str">
        <f>IFERROR(__xludf.DUMMYFUNCTION("GOOGLETRANSLATE(B27439,""en"",""zh-CN"")"),"这个家伙捡起铲子，继续铲雪。")</f>
        <v>这个家伙捡起铲子，继续铲雪。</v>
      </c>
    </row>
    <row r="27440">
      <c r="A27440" s="4" t="s">
        <v>34545</v>
      </c>
      <c r="B27440" s="4" t="s">
        <v>34546</v>
      </c>
      <c r="C27440" s="5" t="str">
        <f>IFERROR(__xludf.DUMMYFUNCTION("GOOGLETRANSLATE(B27440,""en"",""zh-CN"")"),"显示了剪辑的信用。")</f>
        <v>显示了剪辑的信用。</v>
      </c>
    </row>
    <row r="27441">
      <c r="A27441" s="4" t="s">
        <v>34551</v>
      </c>
      <c r="B27441" s="6" t="s">
        <v>34552</v>
      </c>
      <c r="C27441" s="5" t="str">
        <f>IFERROR(__xludf.DUMMYFUNCTION("GOOGLETRANSLATE(B27441,""en"",""zh-CN"")"),"看到孩子的近距离镜头在碰碰车比赛中骑行，并彼此碰到。")</f>
        <v>看到孩子的近距离镜头在碰碰车比赛中骑行，并彼此碰到。</v>
      </c>
    </row>
    <row r="27442">
      <c r="A27442" s="4" t="s">
        <v>34551</v>
      </c>
      <c r="B27442" s="6" t="s">
        <v>34553</v>
      </c>
      <c r="C27442" s="5" t="str">
        <f>IFERROR(__xludf.DUMMYFUNCTION("GOOGLETRANSLATE(B27442,""en"",""zh-CN"")"),"看到两个男孩互相碰撞，另外几个孩子互相撞到彼此。")</f>
        <v>看到两个男孩互相碰撞，另外几个孩子互相撞到彼此。</v>
      </c>
    </row>
    <row r="27443">
      <c r="A27443" s="4" t="s">
        <v>34554</v>
      </c>
      <c r="B27443" s="4" t="s">
        <v>34555</v>
      </c>
      <c r="C27443" s="5" t="str">
        <f>IFERROR(__xludf.DUMMYFUNCTION("GOOGLETRANSLATE(B27443,""en"",""zh-CN"")"),"一个孩子用水装满锅。")</f>
        <v>一个孩子用水装满锅。</v>
      </c>
    </row>
    <row r="27444">
      <c r="A27444" s="4" t="s">
        <v>34554</v>
      </c>
      <c r="B27444" s="4" t="s">
        <v>34556</v>
      </c>
      <c r="C27444" s="5" t="str">
        <f>IFERROR(__xludf.DUMMYFUNCTION("GOOGLETRANSLATE(B27444,""en"",""zh-CN"")"),"他把锅放在炉子上，然后盖上盖子。")</f>
        <v>他把锅放在炉子上，然后盖上盖子。</v>
      </c>
    </row>
    <row r="27445">
      <c r="A27445" s="4" t="s">
        <v>34554</v>
      </c>
      <c r="B27445" s="4" t="s">
        <v>34557</v>
      </c>
      <c r="C27445" s="5" t="str">
        <f>IFERROR(__xludf.DUMMYFUNCTION("GOOGLETRANSLATE(B27445,""en"",""zh-CN"")"),"他在锅中添加盐和意大利面。")</f>
        <v>他在锅中添加盐和意大利面。</v>
      </c>
    </row>
    <row r="27446">
      <c r="A27446" s="4" t="s">
        <v>34554</v>
      </c>
      <c r="B27446" s="4" t="s">
        <v>34558</v>
      </c>
      <c r="C27446" s="5" t="str">
        <f>IFERROR(__xludf.DUMMYFUNCTION("GOOGLETRANSLATE(B27446,""en"",""zh-CN"")"),"他把盖子放回锅里。")</f>
        <v>他把盖子放回锅里。</v>
      </c>
    </row>
    <row r="27447">
      <c r="A27447" s="4" t="s">
        <v>34554</v>
      </c>
      <c r="B27447" s="4" t="s">
        <v>34559</v>
      </c>
      <c r="C27447" s="5" t="str">
        <f>IFERROR(__xludf.DUMMYFUNCTION("GOOGLETRANSLATE(B27447,""en"",""zh-CN"")"),"他搅拌锅，将意大利面倒入过滤器中。")</f>
        <v>他搅拌锅，将意大利面倒入过滤器中。</v>
      </c>
    </row>
    <row r="27448">
      <c r="A27448" s="4" t="s">
        <v>34554</v>
      </c>
      <c r="B27448" s="4" t="s">
        <v>34560</v>
      </c>
      <c r="C27448" s="5" t="str">
        <f>IFERROR(__xludf.DUMMYFUNCTION("GOOGLETRANSLATE(B27448,""en"",""zh-CN"")"),"他将意大利面倒回锅中。")</f>
        <v>他将意大利面倒回锅中。</v>
      </c>
    </row>
    <row r="27449">
      <c r="A27449" s="4" t="s">
        <v>34554</v>
      </c>
      <c r="B27449" s="4" t="s">
        <v>34561</v>
      </c>
      <c r="C27449" s="5" t="str">
        <f>IFERROR(__xludf.DUMMYFUNCTION("GOOGLETRANSLATE(B27449,""en"",""zh-CN"")"),"他添加酱汁并将其搅拌在一起。")</f>
        <v>他添加酱汁并将其搅拌在一起。</v>
      </c>
    </row>
    <row r="27450">
      <c r="A27450" s="4" t="s">
        <v>34562</v>
      </c>
      <c r="B27450" s="4" t="s">
        <v>34563</v>
      </c>
      <c r="C27450" s="5" t="str">
        <f>IFERROR(__xludf.DUMMYFUNCTION("GOOGLETRANSLATE(B27450,""en"",""zh-CN"")"),"一个人在城市街道上滑板。")</f>
        <v>一个人在城市街道上滑板。</v>
      </c>
    </row>
    <row r="27451">
      <c r="A27451" s="4" t="s">
        <v>34562</v>
      </c>
      <c r="B27451" s="4" t="s">
        <v>34564</v>
      </c>
      <c r="C27451" s="5" t="str">
        <f>IFERROR(__xludf.DUMMYFUNCTION("GOOGLETRANSLATE(B27451,""en"",""zh-CN"")"),"看到他在路中间与镜头交谈。")</f>
        <v>看到他在路中间与镜头交谈。</v>
      </c>
    </row>
    <row r="27452">
      <c r="A27452" s="4" t="s">
        <v>34562</v>
      </c>
      <c r="B27452" s="4" t="s">
        <v>34565</v>
      </c>
      <c r="C27452" s="5" t="str">
        <f>IFERROR(__xludf.DUMMYFUNCTION("GOOGLETRANSLATE(B27452,""en"",""zh-CN"")"),"然后，我们看到他在交通中挥舞和流出时做几个不同的特技。")</f>
        <v>然后，我们看到他在交通中挥舞和流出时做几个不同的特技。</v>
      </c>
    </row>
    <row r="27453">
      <c r="A27453" s="4" t="s">
        <v>34566</v>
      </c>
      <c r="B27453" s="4" t="s">
        <v>34567</v>
      </c>
      <c r="C27453" s="5" t="str">
        <f>IFERROR(__xludf.DUMMYFUNCTION("GOOGLETRANSLATE(B27453,""en"",""zh-CN"")"),"看到一个人坐在带着吉他的床边。")</f>
        <v>看到一个人坐在带着吉他的床边。</v>
      </c>
    </row>
    <row r="27454">
      <c r="A27454" s="4" t="s">
        <v>34566</v>
      </c>
      <c r="B27454" s="4" t="s">
        <v>34568</v>
      </c>
      <c r="C27454" s="5" t="str">
        <f>IFERROR(__xludf.DUMMYFUNCTION("GOOGLETRANSLATE(B27454,""en"",""zh-CN"")"),"该人在看着相机时开始弹吉他。")</f>
        <v>该人在看着相机时开始弹吉他。</v>
      </c>
    </row>
    <row r="27455">
      <c r="A27455" s="4" t="s">
        <v>34566</v>
      </c>
      <c r="B27455" s="4" t="s">
        <v>34569</v>
      </c>
      <c r="C27455" s="5" t="str">
        <f>IFERROR(__xludf.DUMMYFUNCTION("GOOGLETRANSLATE(B27455,""en"",""zh-CN"")"),"该男子继续玩耍，停止将手移出框架。")</f>
        <v>该男子继续玩耍，停止将手移出框架。</v>
      </c>
    </row>
    <row r="27456">
      <c r="A27456" s="4" t="s">
        <v>34570</v>
      </c>
      <c r="B27456" s="4" t="s">
        <v>34571</v>
      </c>
      <c r="C27456" s="5" t="str">
        <f>IFERROR(__xludf.DUMMYFUNCTION("GOOGLETRANSLATE(B27456,""en"",""zh-CN"")"),"在建筑物外聚集的图像中显示了几个人。")</f>
        <v>在建筑物外聚集的图像中显示了几个人。</v>
      </c>
    </row>
    <row r="27457">
      <c r="A27457" s="4" t="s">
        <v>34570</v>
      </c>
      <c r="B27457" s="4" t="s">
        <v>34572</v>
      </c>
      <c r="C27457" s="5" t="str">
        <f>IFERROR(__xludf.DUMMYFUNCTION("GOOGLETRANSLATE(B27457,""en"",""zh-CN"")"),"两名卡通相扑摔跤手参与了一场战斗。")</f>
        <v>两名卡通相扑摔跤手参与了一场战斗。</v>
      </c>
    </row>
    <row r="27458">
      <c r="A27458" s="4" t="s">
        <v>34570</v>
      </c>
      <c r="B27458" s="4" t="s">
        <v>34573</v>
      </c>
      <c r="C27458" s="5" t="str">
        <f>IFERROR(__xludf.DUMMYFUNCTION("GOOGLETRANSLATE(B27458,""en"",""zh-CN"")"),"他们的身体像裁判手表一样互相猛击。")</f>
        <v>他们的身体像裁判手表一样互相猛击。</v>
      </c>
    </row>
    <row r="27459">
      <c r="A27459" s="4" t="s">
        <v>34574</v>
      </c>
      <c r="B27459" s="6" t="s">
        <v>34575</v>
      </c>
      <c r="C27459" s="5" t="str">
        <f>IFERROR(__xludf.DUMMYFUNCTION("GOOGLETRANSLATE(B27459,""en"",""zh-CN"")"),"Sumos在尘埃场上站在彼此的前面，穿着白色西装的裁判连衣裙正在看着它们。")</f>
        <v>Sumos在尘埃场上站在彼此的前面，穿着白色西装的裁判连衣裙正在看着它们。</v>
      </c>
    </row>
    <row r="27460">
      <c r="A27460" s="4" t="s">
        <v>34574</v>
      </c>
      <c r="B27460" s="4" t="s">
        <v>34576</v>
      </c>
      <c r="C27460" s="5" t="str">
        <f>IFERROR(__xludf.DUMMYFUNCTION("GOOGLETRANSLATE(B27460,""en"",""zh-CN"")"),"男子统计摔跤和其中之一，如果撤离球场。")</f>
        <v>男子统计摔跤和其中之一，如果撤离球场。</v>
      </c>
    </row>
    <row r="27461">
      <c r="A27461" s="4" t="s">
        <v>34577</v>
      </c>
      <c r="B27461" s="6" t="s">
        <v>34578</v>
      </c>
      <c r="C27461" s="5" t="str">
        <f>IFERROR(__xludf.DUMMYFUNCTION("GOOGLETRANSLATE(B27461,""en"",""zh-CN"")"),"看到一个人的手用剪刀切成一张纸，然后用纸包裹盒子。")</f>
        <v>看到一个人的手用剪刀切成一张纸，然后用纸包裹盒子。</v>
      </c>
    </row>
    <row r="27462">
      <c r="A27462" s="4" t="s">
        <v>34577</v>
      </c>
      <c r="B27462" s="6" t="s">
        <v>34579</v>
      </c>
      <c r="C27462" s="5" t="str">
        <f>IFERROR(__xludf.DUMMYFUNCTION("GOOGLETRANSLATE(B27462,""en"",""zh-CN"")"),"她将现在贴上胶带并将其绑在碗中，结束，切割多余的绳子并将标签放在顶部。")</f>
        <v>她将现在贴上胶带并将其绑在碗中，结束，切割多余的绳子并将标签放在顶部。</v>
      </c>
    </row>
    <row r="27463">
      <c r="A27463" s="4" t="s">
        <v>34580</v>
      </c>
      <c r="B27463" s="4" t="s">
        <v>34581</v>
      </c>
      <c r="C27463" s="5" t="str">
        <f>IFERROR(__xludf.DUMMYFUNCTION("GOOGLETRANSLATE(B27463,""en"",""zh-CN"")"),"看到一个小孩坐在地板上，在镜子前刷头发。")</f>
        <v>看到一个小孩坐在地板上，在镜子前刷头发。</v>
      </c>
    </row>
    <row r="27464">
      <c r="A27464" s="4" t="s">
        <v>34580</v>
      </c>
      <c r="B27464" s="6" t="s">
        <v>34582</v>
      </c>
      <c r="C27464" s="5" t="str">
        <f>IFERROR(__xludf.DUMMYFUNCTION("GOOGLETRANSLATE(B27464,""en"",""zh-CN"")"),"这个女孩继续梳理头发，并以她观看视频并与镜头说话结尾。")</f>
        <v>这个女孩继续梳理头发，并以她观看视频并与镜头说话结尾。</v>
      </c>
    </row>
    <row r="27465">
      <c r="A27465" s="4" t="s">
        <v>34583</v>
      </c>
      <c r="B27465" s="6" t="s">
        <v>34584</v>
      </c>
      <c r="C27465" s="5" t="str">
        <f>IFERROR(__xludf.DUMMYFUNCTION("GOOGLETRANSLATE(B27465,""en"",""zh-CN"")"),"当另一个人走进框架笑着走开时，看到两个男人在相机上说话。")</f>
        <v>当另一个人走进框架笑着走开时，看到两个男人在相机上说话。</v>
      </c>
    </row>
    <row r="27466">
      <c r="A27466" s="4" t="s">
        <v>34583</v>
      </c>
      <c r="B27466" s="4" t="s">
        <v>34585</v>
      </c>
      <c r="C27466" s="5" t="str">
        <f>IFERROR(__xludf.DUMMYFUNCTION("GOOGLETRANSLATE(B27466,""en"",""zh-CN"")"),"这些人继续讲话，然后进入两者之间的一场手臂摔跤比赛。")</f>
        <v>这些人继续讲话，然后进入两者之间的一场手臂摔跤比赛。</v>
      </c>
    </row>
    <row r="27467">
      <c r="A27467" s="4" t="s">
        <v>34583</v>
      </c>
      <c r="B27467" s="4" t="s">
        <v>34586</v>
      </c>
      <c r="C27467" s="5" t="str">
        <f>IFERROR(__xludf.DUMMYFUNCTION("GOOGLETRANSLATE(B27467,""en"",""zh-CN"")"),"一个击败另一个，在微笑时将手臂弯曲到相机上。")</f>
        <v>一个击败另一个，在微笑时将手臂弯曲到相机上。</v>
      </c>
    </row>
    <row r="27468">
      <c r="A27468" s="4" t="s">
        <v>34587</v>
      </c>
      <c r="B27468" s="4" t="s">
        <v>6935</v>
      </c>
      <c r="C27468" s="5" t="str">
        <f>IFERROR(__xludf.DUMMYFUNCTION("GOOGLETRANSLATE(B27468,""en"",""zh-CN"")"),"短暂出现在屏幕上。")</f>
        <v>短暂出现在屏幕上。</v>
      </c>
    </row>
    <row r="27469">
      <c r="A27469" s="4" t="s">
        <v>34587</v>
      </c>
      <c r="B27469" s="4" t="s">
        <v>34588</v>
      </c>
      <c r="C27469" s="5" t="str">
        <f>IFERROR(__xludf.DUMMYFUNCTION("GOOGLETRANSLATE(B27469,""en"",""zh-CN"")"),"一个人正在洗篱笆。")</f>
        <v>一个人正在洗篱笆。</v>
      </c>
    </row>
    <row r="27470">
      <c r="A27470" s="4" t="s">
        <v>34587</v>
      </c>
      <c r="B27470" s="4" t="s">
        <v>34589</v>
      </c>
      <c r="C27470" s="5" t="str">
        <f>IFERROR(__xludf.DUMMYFUNCTION("GOOGLETRANSLATE(B27470,""en"",""zh-CN"")"),"它削减了他的动力洗手。")</f>
        <v>它削减了他的动力洗手。</v>
      </c>
    </row>
    <row r="27471">
      <c r="A27471" s="4" t="s">
        <v>34587</v>
      </c>
      <c r="B27471" s="4" t="s">
        <v>34590</v>
      </c>
      <c r="C27471" s="5" t="str">
        <f>IFERROR(__xludf.DUMMYFUNCTION("GOOGLETRANSLATE(B27471,""en"",""zh-CN"")"),"它淡入了篱笆的公开镜头。")</f>
        <v>它淡入了篱笆的公开镜头。</v>
      </c>
    </row>
    <row r="27472">
      <c r="A27472" s="4" t="s">
        <v>34591</v>
      </c>
      <c r="B27472" s="4" t="s">
        <v>34592</v>
      </c>
      <c r="C27472" s="5" t="str">
        <f>IFERROR(__xludf.DUMMYFUNCTION("GOOGLETRANSLATE(B27472,""en"",""zh-CN"")"),"出现了几种食物菜肴的交替图像。")</f>
        <v>出现了几种食物菜肴的交替图像。</v>
      </c>
    </row>
    <row r="27473">
      <c r="A27473" s="4" t="s">
        <v>34591</v>
      </c>
      <c r="B27473" s="4" t="s">
        <v>34593</v>
      </c>
      <c r="C27473" s="5" t="str">
        <f>IFERROR(__xludf.DUMMYFUNCTION("GOOGLETRANSLATE(B27473,""en"",""zh-CN"")"),"开始希腊敷料的食谱。")</f>
        <v>开始希腊敷料的食谱。</v>
      </c>
    </row>
    <row r="27474">
      <c r="A27474" s="4" t="s">
        <v>34591</v>
      </c>
      <c r="B27474" s="6" t="s">
        <v>34594</v>
      </c>
      <c r="C27474" s="5" t="str">
        <f>IFERROR(__xludf.DUMMYFUNCTION("GOOGLETRANSLATE(B27474,""en"",""zh-CN"")"),"由油砂制成的成分混合在一起并在罐子里摇动，然后倒在沙拉上。")</f>
        <v>由油砂制成的成分混合在一起并在罐子里摇动，然后倒在沙拉上。</v>
      </c>
    </row>
    <row r="27475">
      <c r="A27475" s="4" t="s">
        <v>34591</v>
      </c>
      <c r="B27475" s="4" t="s">
        <v>34595</v>
      </c>
      <c r="C27475" s="5" t="str">
        <f>IFERROR(__xludf.DUMMYFUNCTION("GOOGLETRANSLATE(B27475,""en"",""zh-CN"")"),"然后将其上面放上奶酪块。")</f>
        <v>然后将其上面放上奶酪块。</v>
      </c>
    </row>
    <row r="27476">
      <c r="A27476" s="4" t="s">
        <v>34596</v>
      </c>
      <c r="B27476" s="4" t="s">
        <v>34597</v>
      </c>
      <c r="C27476" s="5" t="str">
        <f>IFERROR(__xludf.DUMMYFUNCTION("GOOGLETRANSLATE(B27476,""en"",""zh-CN"")"),"出现了一个黑屏，其中出现了黄色单词，上面写着“极端操作方法”。")</f>
        <v>出现了一个黑屏，其中出现了黄色单词，上面写着“极端操作方法”。</v>
      </c>
    </row>
    <row r="27477">
      <c r="A27477" s="4" t="s">
        <v>34596</v>
      </c>
      <c r="B27477" s="4" t="s">
        <v>34598</v>
      </c>
      <c r="C27477" s="5" t="str">
        <f>IFERROR(__xludf.DUMMYFUNCTION("GOOGLETRANSLATE(B27477,""en"",""zh-CN"")"),"第二个黑屏上有黄色单词，上面写着“安装加热地板砖”。")</f>
        <v>第二个黑屏上有黄色单词，上面写着“安装加热地板砖”。</v>
      </c>
    </row>
    <row r="27478">
      <c r="A27478" s="4" t="s">
        <v>34596</v>
      </c>
      <c r="B27478" s="6" t="s">
        <v>34599</v>
      </c>
      <c r="C27478" s="5" t="str">
        <f>IFERROR(__xludf.DUMMYFUNCTION("GOOGLETRANSLATE(B27478,""en"",""zh-CN"")"),"一个男人现在站在住宅家的角落里，穿着长袖纽扣，黑色衬衫，棕色长裤，鞋子，戴着帽子。")</f>
        <v>一个男人现在站在住宅家的角落里，穿着长袖纽扣，黑色衬衫，棕色长裤，鞋子，戴着帽子。</v>
      </c>
    </row>
    <row r="27479">
      <c r="A27479" s="4" t="s">
        <v>34596</v>
      </c>
      <c r="B27479" s="6" t="s">
        <v>34600</v>
      </c>
      <c r="C27479" s="5" t="str">
        <f>IFERROR(__xludf.DUMMYFUNCTION("GOOGLETRANSLATE(B27479,""en"",""zh-CN"")"),"该男子从拐角处走开，下一个视图是跪着的人使用工具从墙壁上拆下底座，用钻枪从墙壁上取下底座，用长尺子测量，然后躺在带有一些电线的地面灰色的织物上附着在上面。")</f>
        <v>该男子从拐角处走开，下一个视图是跪着的人使用工具从墙壁上拆下底座，用钻枪从墙壁上取下底座，用长尺子测量，然后躺在带有一些电线的地面灰色的织物上附着在上面。</v>
      </c>
    </row>
    <row r="27480">
      <c r="A27480" s="4" t="s">
        <v>34596</v>
      </c>
      <c r="B27480" s="6" t="s">
        <v>34601</v>
      </c>
      <c r="C27480" s="5" t="str">
        <f>IFERROR(__xludf.DUMMYFUNCTION("GOOGLETRANSLATE(B27480,""en"",""zh-CN"")"),"然后显示该男子在一个小白色盒子上按下按钮，该男子现在指向那些灰色织物上的电线，该男子开始将电线放入灰色的管道中，该管道现在显示在墙上。")</f>
        <v>然后显示该男子在一个小白色盒子上按下按钮，该男子现在指向那些灰色织物上的电线，该男子开始将电线放入灰色的管道中，该管道现在显示在墙上。</v>
      </c>
    </row>
    <row r="27481">
      <c r="A27481" s="4" t="s">
        <v>34596</v>
      </c>
      <c r="B27481" s="4" t="s">
        <v>34602</v>
      </c>
      <c r="C27481" s="5" t="str">
        <f>IFERROR(__xludf.DUMMYFUNCTION("GOOGLETRANSLATE(B27481,""en"",""zh-CN"")"),"该男子用长胶带测量并测量地面回到地面上。")</f>
        <v>该男子用长胶带测量并测量地面回到地面上。</v>
      </c>
    </row>
    <row r="27482">
      <c r="A27482" s="4" t="s">
        <v>34596</v>
      </c>
      <c r="B27482" s="6" t="s">
        <v>34603</v>
      </c>
      <c r="C27482" s="5" t="str">
        <f>IFERROR(__xludf.DUMMYFUNCTION("GOOGLETRANSLATE(B27482,""en"",""zh-CN"")"),"该男子现在在所有四个侧面都拿着一个带有脊的瓷砖，他拿起一块槌和一个工具，可以轻轻地将碎片轻轻砸在一起。")</f>
        <v>该男子现在在所有四个侧面都拿着一个带有脊的瓷砖，他拿起一块槌和一个工具，可以轻轻地将碎片轻轻砸在一起。</v>
      </c>
    </row>
    <row r="27483">
      <c r="A27483" s="4" t="s">
        <v>34596</v>
      </c>
      <c r="B27483" s="6" t="s">
        <v>34604</v>
      </c>
      <c r="C27483" s="5" t="str">
        <f>IFERROR(__xludf.DUMMYFUNCTION("GOOGLETRANSLATE(B27483,""en"",""zh-CN"")"),"当男人到达墙壁时，他使用铅笔测量瓷砖，将其带到湿的瓷砖切割机上并切割。")</f>
        <v>当男人到达墙壁时，他使用铅笔测量瓷砖，将其带到湿的瓷砖切割机上并切割。</v>
      </c>
    </row>
    <row r="27484">
      <c r="A27484" s="4" t="s">
        <v>34596</v>
      </c>
      <c r="B27484" s="6" t="s">
        <v>34605</v>
      </c>
      <c r="C27484" s="5" t="str">
        <f>IFERROR(__xludf.DUMMYFUNCTION("GOOGLETRANSLATE(B27484,""en"",""zh-CN"")"),"该男子回到屋子里，在一些橱柜附近拼凑了一个小瓷砖，然后该男子开始灌浆，并使用大型湿的黄色海绵清理多余的灌浆。")</f>
        <v>该男子回到屋子里，在一些橱柜附近拼凑了一个小瓷砖，然后该男子开始灌浆，并使用大型湿的黄色海绵清理多余的灌浆。</v>
      </c>
    </row>
    <row r="27485">
      <c r="A27485" s="4" t="s">
        <v>34596</v>
      </c>
      <c r="B27485" s="6" t="s">
        <v>34606</v>
      </c>
      <c r="C27485" s="5" t="str">
        <f>IFERROR(__xludf.DUMMYFUNCTION("GOOGLETRANSLATE(B27485,""en"",""zh-CN"")"),"来自早期的会说话的人出现在角落里，屏幕上出现了包含网站的黄色单词。")</f>
        <v>来自早期的会说话的人出现在角落里，屏幕上出现了包含网站的黄色单词。</v>
      </c>
    </row>
    <row r="27486">
      <c r="A27486" s="4" t="s">
        <v>34607</v>
      </c>
      <c r="B27486" s="4" t="s">
        <v>34608</v>
      </c>
      <c r="C27486" s="5" t="str">
        <f>IFERROR(__xludf.DUMMYFUNCTION("GOOGLETRANSLATE(B27486,""en"",""zh-CN"")"),"在一个大房间里设置了几张桌子。")</f>
        <v>在一个大房间里设置了几张桌子。</v>
      </c>
    </row>
    <row r="27487">
      <c r="A27487" s="4" t="s">
        <v>34607</v>
      </c>
      <c r="B27487" s="4" t="s">
        <v>34609</v>
      </c>
      <c r="C27487" s="5" t="str">
        <f>IFERROR(__xludf.DUMMYFUNCTION("GOOGLETRANSLATE(B27487,""en"",""zh-CN"")"),"几个小组正在玩啤酒。")</f>
        <v>几个小组正在玩啤酒。</v>
      </c>
    </row>
    <row r="27488">
      <c r="A27488" s="4" t="s">
        <v>34607</v>
      </c>
      <c r="B27488" s="4" t="s">
        <v>34610</v>
      </c>
      <c r="C27488" s="5" t="str">
        <f>IFERROR(__xludf.DUMMYFUNCTION("GOOGLETRANSLATE(B27488,""en"",""zh-CN"")"),"有些人为获胜而欢呼。")</f>
        <v>有些人为获胜而欢呼。</v>
      </c>
    </row>
    <row r="27489">
      <c r="A27489" s="4" t="s">
        <v>34607</v>
      </c>
      <c r="B27489" s="4" t="s">
        <v>34611</v>
      </c>
      <c r="C27489" s="5" t="str">
        <f>IFERROR(__xludf.DUMMYFUNCTION("GOOGLETRANSLATE(B27489,""en"",""zh-CN"")"),"其他人对输掉看起来很沮丧。")</f>
        <v>其他人对输掉看起来很沮丧。</v>
      </c>
    </row>
    <row r="27490">
      <c r="A27490" s="4" t="s">
        <v>34612</v>
      </c>
      <c r="B27490" s="4" t="s">
        <v>34613</v>
      </c>
      <c r="C27490" s="5" t="str">
        <f>IFERROR(__xludf.DUMMYFUNCTION("GOOGLETRANSLATE(B27490,""en"",""zh-CN"")"),"这个人在伞兵，他握住帆。")</f>
        <v>这个人在伞兵，他握住帆。</v>
      </c>
    </row>
    <row r="27491">
      <c r="A27491" s="4" t="s">
        <v>34612</v>
      </c>
      <c r="B27491" s="4" t="s">
        <v>34614</v>
      </c>
      <c r="C27491" s="5" t="str">
        <f>IFERROR(__xludf.DUMMYFUNCTION("GOOGLETRANSLATE(B27491,""en"",""zh-CN"")"),"该男子正向岛上前进。")</f>
        <v>该男子正向岛上前进。</v>
      </c>
    </row>
    <row r="27492">
      <c r="A27492" s="4" t="s">
        <v>34612</v>
      </c>
      <c r="B27492" s="4" t="s">
        <v>34615</v>
      </c>
      <c r="C27492" s="5" t="str">
        <f>IFERROR(__xludf.DUMMYFUNCTION("GOOGLETRANSLATE(B27492,""en"",""zh-CN"")"),"该人的脚在旁边板上。")</f>
        <v>该人的脚在旁边板上。</v>
      </c>
    </row>
    <row r="27493">
      <c r="A27493" s="4" t="s">
        <v>34616</v>
      </c>
      <c r="B27493" s="4" t="s">
        <v>34617</v>
      </c>
      <c r="C27493" s="5" t="str">
        <f>IFERROR(__xludf.DUMMYFUNCTION("GOOGLETRANSLATE(B27493,""en"",""zh-CN"")"),"我们看到一个男人和一个女人在玩游泳池。")</f>
        <v>我们看到一个男人和一个女人在玩游泳池。</v>
      </c>
    </row>
    <row r="27494">
      <c r="A27494" s="4" t="s">
        <v>34616</v>
      </c>
      <c r="B27494" s="4" t="s">
        <v>34618</v>
      </c>
      <c r="C27494" s="5" t="str">
        <f>IFERROR(__xludf.DUMMYFUNCTION("GOOGLETRANSLATE(B27494,""en"",""zh-CN"")"),"那位女士转身开球。")</f>
        <v>那位女士转身开球。</v>
      </c>
    </row>
    <row r="27495">
      <c r="A27495" s="4" t="s">
        <v>34616</v>
      </c>
      <c r="B27495" s="4" t="s">
        <v>34619</v>
      </c>
      <c r="C27495" s="5" t="str">
        <f>IFERROR(__xludf.DUMMYFUNCTION("GOOGLETRANSLATE(B27495,""en"",""zh-CN"")"),"我们看到明亮的相机闪光灯。")</f>
        <v>我们看到明亮的相机闪光灯。</v>
      </c>
    </row>
    <row r="27496">
      <c r="A27496" s="4" t="s">
        <v>34616</v>
      </c>
      <c r="B27496" s="4" t="s">
        <v>34620</v>
      </c>
      <c r="C27496" s="5" t="str">
        <f>IFERROR(__xludf.DUMMYFUNCTION("GOOGLETRANSLATE(B27496,""en"",""zh-CN"")"),"我们看到女士拍照。")</f>
        <v>我们看到女士拍照。</v>
      </c>
    </row>
    <row r="27497">
      <c r="A27497" s="4" t="s">
        <v>34616</v>
      </c>
      <c r="B27497" s="4" t="s">
        <v>34621</v>
      </c>
      <c r="C27497" s="5" t="str">
        <f>IFERROR(__xludf.DUMMYFUNCTION("GOOGLETRANSLATE(B27497,""en"",""zh-CN"")"),"那位女士将泳池棍握住一个男人，握手。")</f>
        <v>那位女士将泳池棍握住一个男人，握手。</v>
      </c>
    </row>
    <row r="27498">
      <c r="A27498" s="4" t="s">
        <v>34616</v>
      </c>
      <c r="B27498" s="4" t="s">
        <v>34622</v>
      </c>
      <c r="C27498" s="5" t="str">
        <f>IFERROR(__xludf.DUMMYFUNCTION("GOOGLETRANSLATE(B27498,""en"",""zh-CN"")"),"她握住另一个男人的手离开。")</f>
        <v>她握住另一个男人的手离开。</v>
      </c>
    </row>
    <row r="27499">
      <c r="A27499" s="4" t="s">
        <v>34623</v>
      </c>
      <c r="B27499" s="4" t="s">
        <v>34624</v>
      </c>
      <c r="C27499" s="5" t="str">
        <f>IFERROR(__xludf.DUMMYFUNCTION("GOOGLETRANSLATE(B27499,""en"",""zh-CN"")"),"一个女人把鼻子夹住了一个坐在头后面的男人。")</f>
        <v>一个女人把鼻子夹住了一个坐在头后面的男人。</v>
      </c>
    </row>
    <row r="27500">
      <c r="A27500" s="4" t="s">
        <v>34623</v>
      </c>
      <c r="B27500" s="4" t="s">
        <v>34625</v>
      </c>
      <c r="C27500" s="5" t="str">
        <f>IFERROR(__xludf.DUMMYFUNCTION("GOOGLETRANSLATE(B27500,""en"",""zh-CN"")"),"他穿过她的隔膜。")</f>
        <v>他穿过她的隔膜。</v>
      </c>
    </row>
    <row r="27501">
      <c r="A27501" s="4" t="s">
        <v>34623</v>
      </c>
      <c r="B27501" s="4" t="s">
        <v>34626</v>
      </c>
      <c r="C27501" s="5" t="str">
        <f>IFERROR(__xludf.DUMMYFUNCTION("GOOGLETRANSLATE(B27501,""en"",""zh-CN"")"),"他剪了它并卸下了夹具。")</f>
        <v>他剪了它并卸下了夹具。</v>
      </c>
    </row>
    <row r="27502">
      <c r="A27502" s="4" t="s">
        <v>34623</v>
      </c>
      <c r="B27502" s="4" t="s">
        <v>34627</v>
      </c>
      <c r="C27502" s="5" t="str">
        <f>IFERROR(__xludf.DUMMYFUNCTION("GOOGLETRANSLATE(B27502,""en"",""zh-CN"")"),"该男子将耳环穿过孔。")</f>
        <v>该男子将耳环穿过孔。</v>
      </c>
    </row>
    <row r="27503">
      <c r="A27503" s="4" t="s">
        <v>34623</v>
      </c>
      <c r="B27503" s="4" t="s">
        <v>34628</v>
      </c>
      <c r="C27503" s="5" t="str">
        <f>IFERROR(__xludf.DUMMYFUNCTION("GOOGLETRANSLATE(B27503,""en"",""zh-CN"")"),"他将QTIPS放在她的鼻子上捕获血液。")</f>
        <v>他将QTIPS放在她的鼻子上捕获血液。</v>
      </c>
    </row>
    <row r="27504">
      <c r="A27504" s="4" t="s">
        <v>34629</v>
      </c>
      <c r="B27504" s="4" t="s">
        <v>34630</v>
      </c>
      <c r="C27504" s="5" t="str">
        <f>IFERROR(__xludf.DUMMYFUNCTION("GOOGLETRANSLATE(B27504,""en"",""zh-CN"")"),"一个女人坐在椅子上。")</f>
        <v>一个女人坐在椅子上。</v>
      </c>
    </row>
    <row r="27505">
      <c r="A27505" s="4" t="s">
        <v>34629</v>
      </c>
      <c r="B27505" s="4" t="s">
        <v>34631</v>
      </c>
      <c r="C27505" s="5" t="str">
        <f>IFERROR(__xludf.DUMMYFUNCTION("GOOGLETRANSLATE(B27505,""en"",""zh-CN"")"),"她的脸颊刺穿了皮肤。")</f>
        <v>她的脸颊刺穿了皮肤。</v>
      </c>
    </row>
    <row r="27506">
      <c r="A27506" s="4" t="s">
        <v>34629</v>
      </c>
      <c r="B27506" s="4" t="s">
        <v>34632</v>
      </c>
      <c r="C27506" s="5" t="str">
        <f>IFERROR(__xludf.DUMMYFUNCTION("GOOGLETRANSLATE(B27506,""en"",""zh-CN"")"),"女孩表现出刺眼和微笑。")</f>
        <v>女孩表现出刺眼和微笑。</v>
      </c>
    </row>
    <row r="27507">
      <c r="A27507" s="4" t="s">
        <v>34633</v>
      </c>
      <c r="B27507" s="4" t="s">
        <v>34634</v>
      </c>
      <c r="C27507" s="5" t="str">
        <f>IFERROR(__xludf.DUMMYFUNCTION("GOOGLETRANSLATE(B27507,""en"",""zh-CN"")"),"看到两个人穿着有趣的讨厌，站在桌子后面与镜头说话。")</f>
        <v>看到两个人穿着有趣的讨厌，站在桌子后面与镜头说话。</v>
      </c>
    </row>
    <row r="27508">
      <c r="A27508" s="4" t="s">
        <v>34633</v>
      </c>
      <c r="B27508" s="4" t="s">
        <v>34635</v>
      </c>
      <c r="C27508" s="5" t="str">
        <f>IFERROR(__xludf.DUMMYFUNCTION("GOOGLETRANSLATE(B27508,""en"",""zh-CN"")"),"然后，他们迅速包裹礼物并炫耀下面更好的礼物。")</f>
        <v>然后，他们迅速包裹礼物并炫耀下面更好的礼物。</v>
      </c>
    </row>
    <row r="27509">
      <c r="A27509" s="4" t="s">
        <v>34633</v>
      </c>
      <c r="B27509" s="6" t="s">
        <v>34636</v>
      </c>
      <c r="C27509" s="5" t="str">
        <f>IFERROR(__xludf.DUMMYFUNCTION("GOOGLETRANSLATE(B27509,""en"",""zh-CN"")"),"当它们迅速四处走动并与相机交谈时，显示了更多的镜头。")</f>
        <v>当它们迅速四处走动并与相机交谈时，显示了更多的镜头。</v>
      </c>
    </row>
    <row r="27510">
      <c r="A27510" s="4" t="s">
        <v>34637</v>
      </c>
      <c r="B27510" s="6" t="s">
        <v>34638</v>
      </c>
      <c r="C27510" s="5" t="str">
        <f>IFERROR(__xludf.DUMMYFUNCTION("GOOGLETRANSLATE(B27510,""en"",""zh-CN"")"),"看到一个人骑着车骑在别人的汽车上，同时跟随一大批骑自行车的人。")</f>
        <v>看到一个人骑着车骑在别人的汽车上，同时跟随一大批骑自行车的人。</v>
      </c>
    </row>
    <row r="27511">
      <c r="A27511" s="4" t="s">
        <v>34637</v>
      </c>
      <c r="B27511" s="4" t="s">
        <v>34639</v>
      </c>
      <c r="C27511" s="5" t="str">
        <f>IFERROR(__xludf.DUMMYFUNCTION("GOOGLETRANSLATE(B27511,""en"",""zh-CN"")"),"驾驶员将人们在侧面供水，并将其拉进去修理自行车。")</f>
        <v>驾驶员将人们在侧面供水，并将其拉进去修理自行车。</v>
      </c>
    </row>
    <row r="27512">
      <c r="A27512" s="4" t="s">
        <v>34637</v>
      </c>
      <c r="B27512" s="6" t="s">
        <v>34640</v>
      </c>
      <c r="C27512" s="5" t="str">
        <f>IFERROR(__xludf.DUMMYFUNCTION("GOOGLETRANSLATE(B27512,""en"",""zh-CN"")"),"汽车继续跟随并帮助该男子，并停下来更换车轮并爬上汽车。")</f>
        <v>汽车继续跟随并帮助该男子，并停下来更换车轮并爬上汽车。</v>
      </c>
    </row>
    <row r="27513">
      <c r="A27513" s="4" t="s">
        <v>34641</v>
      </c>
      <c r="B27513" s="6" t="s">
        <v>34642</v>
      </c>
      <c r="C27513" s="5" t="str">
        <f>IFERROR(__xludf.DUMMYFUNCTION("GOOGLETRANSLATE(B27513,""en"",""zh-CN"")"),"看到一个男人仔细观察相机，然后是一个人唤醒登机和执行各种技巧。")</f>
        <v>看到一个男人仔细观察相机，然后是一个人唤醒登机和执行各种技巧。</v>
      </c>
    </row>
    <row r="27514">
      <c r="A27514" s="4" t="s">
        <v>34641</v>
      </c>
      <c r="B27514" s="6" t="s">
        <v>34643</v>
      </c>
      <c r="C27514" s="5" t="str">
        <f>IFERROR(__xludf.DUMMYFUNCTION("GOOGLETRANSLATE(B27514,""en"",""zh-CN"")"),"在船上将它们从前面拉动时，显示了几张镜头，沿着水沿着水拖动。")</f>
        <v>在船上将它们从前面拉动时，显示了几张镜头，沿着水沿着水拖动。</v>
      </c>
    </row>
    <row r="27515">
      <c r="A27515" s="4" t="s">
        <v>34644</v>
      </c>
      <c r="B27515" s="6" t="s">
        <v>34645</v>
      </c>
      <c r="C27515" s="5" t="str">
        <f>IFERROR(__xludf.DUMMYFUNCTION("GOOGLETRANSLATE(B27515,""en"",""zh-CN"")"),"看到一个男人拿着一块木头，并在与相机交谈并喷洒抛光剂时擦了擦。")</f>
        <v>看到一个男人拿着一块木头，并在与相机交谈并喷洒抛光剂时擦了擦。</v>
      </c>
    </row>
    <row r="27516">
      <c r="A27516" s="4" t="s">
        <v>34644</v>
      </c>
      <c r="B27516" s="6" t="s">
        <v>34646</v>
      </c>
      <c r="C27516" s="5" t="str">
        <f>IFERROR(__xludf.DUMMYFUNCTION("GOOGLETRANSLATE(B27516,""en"",""zh-CN"")"),"该男子用抹布擦拭抛光剂，同时继续与镜头说话，最后握住木头。")</f>
        <v>该男子用抹布擦拭抛光剂，同时继续与镜头说话，最后握住木头。</v>
      </c>
    </row>
    <row r="27517">
      <c r="A27517" s="4" t="s">
        <v>34647</v>
      </c>
      <c r="B27517" s="4" t="s">
        <v>34648</v>
      </c>
      <c r="C27517" s="5" t="str">
        <f>IFERROR(__xludf.DUMMYFUNCTION("GOOGLETRANSLATE(B27517,""en"",""zh-CN"")"),"干燥的棕色和黄色的叶子在地面上，在绿草顶部。")</f>
        <v>干燥的棕色和黄色的叶子在地面上，在绿草顶部。</v>
      </c>
    </row>
    <row r="27518">
      <c r="A27518" s="4" t="s">
        <v>34647</v>
      </c>
      <c r="B27518" s="4" t="s">
        <v>34649</v>
      </c>
      <c r="C27518" s="5" t="str">
        <f>IFERROR(__xludf.DUMMYFUNCTION("GOOGLETRANSLATE(B27518,""en"",""zh-CN"")"),"一个戴着叶子鼓风机的男人开始向田野中心吹树叶。")</f>
        <v>一个戴着叶子鼓风机的男人开始向田野中心吹树叶。</v>
      </c>
    </row>
    <row r="27519">
      <c r="A27519" s="4" t="s">
        <v>34647</v>
      </c>
      <c r="B27519" s="6" t="s">
        <v>34650</v>
      </c>
      <c r="C27519" s="5" t="str">
        <f>IFERROR(__xludf.DUMMYFUNCTION("GOOGLETRANSLATE(B27519,""en"",""zh-CN"")"),"该男子从路边的道路侧面吹了叶子，另一个带有叶子吹叶的人在人行道的另一侧行走。")</f>
        <v>该男子从路边的道路侧面吹了叶子，另一个带有叶子吹叶的人在人行道的另一侧行走。</v>
      </c>
    </row>
    <row r="27520">
      <c r="A27520" s="4" t="s">
        <v>34651</v>
      </c>
      <c r="B27520" s="4" t="s">
        <v>34652</v>
      </c>
      <c r="C27520" s="5" t="str">
        <f>IFERROR(__xludf.DUMMYFUNCTION("GOOGLETRANSLATE(B27520,""en"",""zh-CN"")"),"一个男人在后院的篱笆上工作。")</f>
        <v>一个男人在后院的篱笆上工作。</v>
      </c>
    </row>
    <row r="27521">
      <c r="A27521" s="4" t="s">
        <v>34651</v>
      </c>
      <c r="B27521" s="4" t="s">
        <v>34653</v>
      </c>
      <c r="C27521" s="5" t="str">
        <f>IFERROR(__xludf.DUMMYFUNCTION("GOOGLETRANSLATE(B27521,""en"",""zh-CN"")"),"该男子穿着蓝色的衣服，将木栅栏涂成红色。")</f>
        <v>该男子穿着蓝色的衣服，将木栅栏涂成红色。</v>
      </c>
    </row>
    <row r="27522">
      <c r="A27522" s="4" t="s">
        <v>34651</v>
      </c>
      <c r="B27522" s="4" t="s">
        <v>34654</v>
      </c>
      <c r="C27522" s="5" t="str">
        <f>IFERROR(__xludf.DUMMYFUNCTION("GOOGLETRANSLATE(B27522,""en"",""zh-CN"")"),"该名男子从木板上清洗油漆。")</f>
        <v>该名男子从木板上清洗油漆。</v>
      </c>
    </row>
    <row r="27523">
      <c r="A27523" s="4" t="s">
        <v>34655</v>
      </c>
      <c r="B27523" s="4" t="s">
        <v>34656</v>
      </c>
      <c r="C27523" s="5" t="str">
        <f>IFERROR(__xludf.DUMMYFUNCTION("GOOGLETRANSLATE(B27523,""en"",""zh-CN"")"),"看到一个男人在摄像机上说话，同时在纸上放一个盒子。")</f>
        <v>看到一个男人在摄像机上说话，同时在纸上放一个盒子。</v>
      </c>
    </row>
    <row r="27524">
      <c r="A27524" s="4" t="s">
        <v>34655</v>
      </c>
      <c r="B27524" s="4" t="s">
        <v>34657</v>
      </c>
      <c r="C27524" s="5" t="str">
        <f>IFERROR(__xludf.DUMMYFUNCTION("GOOGLETRANSLATE(B27524,""en"",""zh-CN"")"),"他用剪刀在侧面切开时将盒子包裹在纸上。")</f>
        <v>他用剪刀在侧面切开时将盒子包裹在纸上。</v>
      </c>
    </row>
    <row r="27525">
      <c r="A27525" s="4" t="s">
        <v>34655</v>
      </c>
      <c r="B27525" s="4" t="s">
        <v>34658</v>
      </c>
      <c r="C27525" s="5" t="str">
        <f>IFERROR(__xludf.DUMMYFUNCTION("GOOGLETRANSLATE(B27525,""en"",""zh-CN"")"),"该男子将盒子贴上盒子，并将其放在相机上。")</f>
        <v>该男子将盒子贴上盒子，并将其放在相机上。</v>
      </c>
    </row>
    <row r="27526">
      <c r="A27526" s="4" t="s">
        <v>34659</v>
      </c>
      <c r="B27526" s="6" t="s">
        <v>34660</v>
      </c>
      <c r="C27526" s="5" t="str">
        <f>IFERROR(__xludf.DUMMYFUNCTION("GOOGLETRANSLATE(B27526,""en"",""zh-CN"")"),"一个新闻主播站在桌子后面，上面写着纸，因为一个男人在他身后的电视屏幕上游泳。")</f>
        <v>一个新闻主播站在桌子后面，上面写着纸，因为一个男人在他身后的电视屏幕上游泳。</v>
      </c>
    </row>
    <row r="27527">
      <c r="A27527" s="4" t="s">
        <v>34659</v>
      </c>
      <c r="B27527" s="4" t="s">
        <v>34661</v>
      </c>
      <c r="C27527" s="5" t="str">
        <f>IFERROR(__xludf.DUMMYFUNCTION("GOOGLETRANSLATE(B27527,""en"",""zh-CN"")"),"之后，一群人在游泳池里玩水球制造目标。")</f>
        <v>之后，一群人在游泳池里玩水球制造目标。</v>
      </c>
    </row>
    <row r="27528">
      <c r="A27528" s="4" t="s">
        <v>34659</v>
      </c>
      <c r="B27528" s="6" t="s">
        <v>34662</v>
      </c>
      <c r="C27528" s="5" t="str">
        <f>IFERROR(__xludf.DUMMYFUNCTION("GOOGLETRANSLATE(B27528,""en"",""zh-CN"")"),"然后，当人们回来并继续在足球比赛之前继续玩比赛时，教练将在走廊上显示。")</f>
        <v>然后，当人们回来并继续在足球比赛之前继续玩比赛时，教练将在走廊上显示。</v>
      </c>
    </row>
    <row r="27529">
      <c r="A27529" s="4" t="s">
        <v>34663</v>
      </c>
      <c r="B27529" s="4" t="s">
        <v>34664</v>
      </c>
      <c r="C27529" s="5" t="str">
        <f>IFERROR(__xludf.DUMMYFUNCTION("GOOGLETRANSLATE(B27529,""en"",""zh-CN"")"),"看到一个女孩跳入水中，用刷子擦洗锅。")</f>
        <v>看到一个女孩跳入水中，用刷子擦洗锅。</v>
      </c>
    </row>
    <row r="27530">
      <c r="A27530" s="4" t="s">
        <v>34663</v>
      </c>
      <c r="B27530" s="6" t="s">
        <v>34665</v>
      </c>
      <c r="C27530" s="5" t="str">
        <f>IFERROR(__xludf.DUMMYFUNCTION("GOOGLETRANSLATE(B27530,""en"",""zh-CN"")"),"她继续与摄像机以及锅中交谈，并演示如何正确清洁锅。")</f>
        <v>她继续与摄像机以及锅中交谈，并演示如何正确清洁锅。</v>
      </c>
    </row>
    <row r="27531">
      <c r="A27531" s="4" t="s">
        <v>34666</v>
      </c>
      <c r="B27531" s="4" t="s">
        <v>34667</v>
      </c>
      <c r="C27531" s="5" t="str">
        <f>IFERROR(__xludf.DUMMYFUNCTION("GOOGLETRANSLATE(B27531,""en"",""zh-CN"")"),"一个摄像头在整个森林周围竖起，并通向绑在树上的绳子。")</f>
        <v>一个摄像头在整个森林周围竖起，并通向绑在树上的绳子。</v>
      </c>
    </row>
    <row r="27532">
      <c r="A27532" s="4" t="s">
        <v>34666</v>
      </c>
      <c r="B27532" s="4" t="s">
        <v>34668</v>
      </c>
      <c r="C27532" s="5" t="str">
        <f>IFERROR(__xludf.DUMMYFUNCTION("GOOGLETRANSLATE(B27532,""en"",""zh-CN"")"),"看到一个人拧紧绳索，然后沿着绳子行走。")</f>
        <v>看到一个人拧紧绳索，然后沿着绳子行走。</v>
      </c>
    </row>
    <row r="27533">
      <c r="A27533" s="4" t="s">
        <v>34666</v>
      </c>
      <c r="B27533" s="4" t="s">
        <v>34669</v>
      </c>
      <c r="C27533" s="5" t="str">
        <f>IFERROR(__xludf.DUMMYFUNCTION("GOOGLETRANSLATE(B27533,""en"",""zh-CN"")"),"看到几个人在绳索上行走，弹跳和表演技巧。")</f>
        <v>看到几个人在绳索上行走，弹跳和表演技巧。</v>
      </c>
    </row>
    <row r="27534">
      <c r="A27534" s="4" t="s">
        <v>34670</v>
      </c>
      <c r="B27534" s="4" t="s">
        <v>34671</v>
      </c>
      <c r="C27534" s="5" t="str">
        <f>IFERROR(__xludf.DUMMYFUNCTION("GOOGLETRANSLATE(B27534,""en"",""zh-CN"")"),"我们看到一个穿着金子的女孩在做一个常规。")</f>
        <v>我们看到一个穿着金子的女孩在做一个常规。</v>
      </c>
    </row>
    <row r="27535">
      <c r="A27535" s="4" t="s">
        <v>34670</v>
      </c>
      <c r="B27535" s="4" t="s">
        <v>34672</v>
      </c>
      <c r="C27535" s="5" t="str">
        <f>IFERROR(__xludf.DUMMYFUNCTION("GOOGLETRANSLATE(B27535,""en"",""zh-CN"")"),"这个女孩翻转。")</f>
        <v>这个女孩翻转。</v>
      </c>
    </row>
    <row r="27536">
      <c r="A27536" s="4" t="s">
        <v>34670</v>
      </c>
      <c r="B27536" s="4" t="s">
        <v>34673</v>
      </c>
      <c r="C27536" s="5" t="str">
        <f>IFERROR(__xludf.DUMMYFUNCTION("GOOGLETRANSLATE(B27536,""en"",""zh-CN"")"),"女孩们反复旋转并抓住了她的警棍。")</f>
        <v>女孩们反复旋转并抓住了她的警棍。</v>
      </c>
    </row>
    <row r="27537">
      <c r="A27537" s="4" t="s">
        <v>34670</v>
      </c>
      <c r="B27537" s="4" t="s">
        <v>34674</v>
      </c>
      <c r="C27537" s="5" t="str">
        <f>IFERROR(__xludf.DUMMYFUNCTION("GOOGLETRANSLATE(B27537,""en"",""zh-CN"")"),"女孩旋转和两只警棍滚进去，她抓住了。")</f>
        <v>女孩旋转和两只警棍滚进去，她抓住了。</v>
      </c>
    </row>
    <row r="27538">
      <c r="A27538" s="4" t="s">
        <v>34670</v>
      </c>
      <c r="B27538" s="4" t="s">
        <v>34675</v>
      </c>
      <c r="C27538" s="5" t="str">
        <f>IFERROR(__xludf.DUMMYFUNCTION("GOOGLETRANSLATE(B27538,""en"",""zh-CN"")"),"女孩旋转，抓住了她的指挥棒，并在人群拍手时为她的结束而摆姿势。")</f>
        <v>女孩旋转，抓住了她的指挥棒，并在人群拍手时为她的结束而摆姿势。</v>
      </c>
    </row>
    <row r="27539">
      <c r="A27539" s="4" t="s">
        <v>34676</v>
      </c>
      <c r="B27539" s="4" t="s">
        <v>34677</v>
      </c>
      <c r="C27539" s="5" t="str">
        <f>IFERROR(__xludf.DUMMYFUNCTION("GOOGLETRANSLATE(B27539,""en"",""zh-CN"")"),"一个人正在倾斜叶子。")</f>
        <v>一个人正在倾斜叶子。</v>
      </c>
    </row>
    <row r="27540">
      <c r="A27540" s="4" t="s">
        <v>34676</v>
      </c>
      <c r="B27540" s="4" t="s">
        <v>34678</v>
      </c>
      <c r="C27540" s="5" t="str">
        <f>IFERROR(__xludf.DUMMYFUNCTION("GOOGLETRANSLATE(B27540,""en"",""zh-CN"")"),"一个小男孩正在捡起树叶，在堆里玩。")</f>
        <v>一个小男孩正在捡起树叶，在堆里玩。</v>
      </c>
    </row>
    <row r="27541">
      <c r="A27541" s="4" t="s">
        <v>34676</v>
      </c>
      <c r="B27541" s="4" t="s">
        <v>34679</v>
      </c>
      <c r="C27541" s="5" t="str">
        <f>IFERROR(__xludf.DUMMYFUNCTION("GOOGLETRANSLATE(B27541,""en"",""zh-CN"")"),"这个男孩捡起耙子，开始耙树叶。")</f>
        <v>这个男孩捡起耙子，开始耙树叶。</v>
      </c>
    </row>
    <row r="27542">
      <c r="A27542" s="4" t="s">
        <v>34680</v>
      </c>
      <c r="B27542" s="4" t="s">
        <v>34681</v>
      </c>
      <c r="C27542" s="5" t="str">
        <f>IFERROR(__xludf.DUMMYFUNCTION("GOOGLETRANSLATE(B27542,""en"",""zh-CN"")"),"有一个年轻的女孩戴着棕色的毛衣扮演小提琴。")</f>
        <v>有一个年轻的女孩戴着棕色的毛衣扮演小提琴。</v>
      </c>
    </row>
    <row r="27543">
      <c r="A27543" s="4" t="s">
        <v>34680</v>
      </c>
      <c r="B27543" s="4" t="s">
        <v>34682</v>
      </c>
      <c r="C27543" s="5" t="str">
        <f>IFERROR(__xludf.DUMMYFUNCTION("GOOGLETRANSLATE(B27543,""en"",""zh-CN"")"),"当她用右手用弓形棍子时，她用左手串起小提琴。")</f>
        <v>当她用右手用弓形棍子时，她用左手串起小提琴。</v>
      </c>
    </row>
    <row r="27544">
      <c r="A27544" s="4" t="s">
        <v>34680</v>
      </c>
      <c r="B27544" s="4" t="s">
        <v>34683</v>
      </c>
      <c r="C27544" s="5" t="str">
        <f>IFERROR(__xludf.DUMMYFUNCTION("GOOGLETRANSLATE(B27544,""en"",""zh-CN"")"),"她继续在小提琴上弹奏曲调，而无需暂停。")</f>
        <v>她继续在小提琴上弹奏曲调，而无需暂停。</v>
      </c>
    </row>
    <row r="27545">
      <c r="A27545" s="4" t="s">
        <v>34680</v>
      </c>
      <c r="B27545" s="4" t="s">
        <v>34684</v>
      </c>
      <c r="C27545" s="5" t="str">
        <f>IFERROR(__xludf.DUMMYFUNCTION("GOOGLETRANSLATE(B27545,""en"",""zh-CN"")"),"当她弹奏笔记时，她不断地看着小提琴。")</f>
        <v>当她弹奏笔记时，她不断地看着小提琴。</v>
      </c>
    </row>
    <row r="27546">
      <c r="A27546" s="4" t="s">
        <v>34680</v>
      </c>
      <c r="B27546" s="4" t="s">
        <v>34685</v>
      </c>
      <c r="C27546" s="5" t="str">
        <f>IFERROR(__xludf.DUMMYFUNCTION("GOOGLETRANSLATE(B27546,""en"",""zh-CN"")"),"她踢小提琴后，她微笑着走开。")</f>
        <v>她踢小提琴后，她微笑着走开。</v>
      </c>
    </row>
    <row r="27547">
      <c r="A27547" s="4" t="s">
        <v>34686</v>
      </c>
      <c r="B27547" s="4" t="s">
        <v>34687</v>
      </c>
      <c r="C27547" s="5" t="str">
        <f>IFERROR(__xludf.DUMMYFUNCTION("GOOGLETRANSLATE(B27547,""en"",""zh-CN"")"),"显示了剪裁猫脚趾甲的视频。")</f>
        <v>显示了剪裁猫脚趾甲的视频。</v>
      </c>
    </row>
    <row r="27548">
      <c r="A27548" s="4" t="s">
        <v>34686</v>
      </c>
      <c r="B27548" s="4" t="s">
        <v>34688</v>
      </c>
      <c r="C27548" s="5" t="str">
        <f>IFERROR(__xludf.DUMMYFUNCTION("GOOGLETRANSLATE(B27548,""en"",""zh-CN"")"),"每个爪子都被抓住，将指甲推出并修剪。")</f>
        <v>每个爪子都被抓住，将指甲推出并修剪。</v>
      </c>
    </row>
    <row r="27549">
      <c r="A27549" s="4" t="s">
        <v>34686</v>
      </c>
      <c r="B27549" s="4" t="s">
        <v>34689</v>
      </c>
      <c r="C27549" s="5" t="str">
        <f>IFERROR(__xludf.DUMMYFUNCTION("GOOGLETRANSLATE(B27549,""en"",""zh-CN"")"),"猫一直很平静。")</f>
        <v>猫一直很平静。</v>
      </c>
    </row>
    <row r="27550">
      <c r="A27550" s="4" t="s">
        <v>34690</v>
      </c>
      <c r="B27550" s="4" t="s">
        <v>34691</v>
      </c>
      <c r="C27550" s="5" t="str">
        <f>IFERROR(__xludf.DUMMYFUNCTION("GOOGLETRANSLATE(B27550,""en"",""zh-CN"")"),"一个男人在房间里走路。")</f>
        <v>一个男人在房间里走路。</v>
      </c>
    </row>
    <row r="27551">
      <c r="A27551" s="4" t="s">
        <v>34690</v>
      </c>
      <c r="B27551" s="4" t="s">
        <v>34692</v>
      </c>
      <c r="C27551" s="5" t="str">
        <f>IFERROR(__xludf.DUMMYFUNCTION("GOOGLETRANSLATE(B27551,""en"",""zh-CN"")"),"一个女孩在房间里的镜子前跳舞。")</f>
        <v>一个女孩在房间里的镜子前跳舞。</v>
      </c>
    </row>
    <row r="27552">
      <c r="A27552" s="4" t="s">
        <v>34690</v>
      </c>
      <c r="B27552" s="4" t="s">
        <v>34693</v>
      </c>
      <c r="C27552" s="5" t="str">
        <f>IFERROR(__xludf.DUMMYFUNCTION("GOOGLETRANSLATE(B27552,""en"",""zh-CN"")"),"他从房间外看着她。")</f>
        <v>他从房间外看着她。</v>
      </c>
    </row>
    <row r="27553">
      <c r="A27553" s="4" t="s">
        <v>34694</v>
      </c>
      <c r="B27553" s="4" t="s">
        <v>1487</v>
      </c>
      <c r="C27553" s="5" t="str">
        <f>IFERROR(__xludf.DUMMYFUNCTION("GOOGLETRANSLATE(B27553,""en"",""zh-CN"")"),"我们看到一个开放标题屏幕。")</f>
        <v>我们看到一个开放标题屏幕。</v>
      </c>
    </row>
    <row r="27554">
      <c r="A27554" s="4" t="s">
        <v>34694</v>
      </c>
      <c r="B27554" s="4" t="s">
        <v>34695</v>
      </c>
      <c r="C27554" s="5" t="str">
        <f>IFERROR(__xludf.DUMMYFUNCTION("GOOGLETRANSLATE(B27554,""en"",""zh-CN"")"),"有一个黑白电视节目，有两个男人在舞台上说话和笑。")</f>
        <v>有一个黑白电视节目，有两个男人在舞台上说话和笑。</v>
      </c>
    </row>
    <row r="27555">
      <c r="A27555" s="4" t="s">
        <v>34694</v>
      </c>
      <c r="B27555" s="4" t="s">
        <v>34696</v>
      </c>
      <c r="C27555" s="5" t="str">
        <f>IFERROR(__xludf.DUMMYFUNCTION("GOOGLETRANSLATE(B27555,""en"",""zh-CN"")"),"合适的人站起来，走到钢琴上。")</f>
        <v>合适的人站起来，走到钢琴上。</v>
      </c>
    </row>
    <row r="27556">
      <c r="A27556" s="4" t="s">
        <v>34694</v>
      </c>
      <c r="B27556" s="4" t="s">
        <v>34697</v>
      </c>
      <c r="C27556" s="5" t="str">
        <f>IFERROR(__xludf.DUMMYFUNCTION("GOOGLETRANSLATE(B27556,""en"",""zh-CN"")"),"该男子弹钢琴。")</f>
        <v>该男子弹钢琴。</v>
      </c>
    </row>
    <row r="27557">
      <c r="A27557" s="4" t="s">
        <v>34694</v>
      </c>
      <c r="B27557" s="4" t="s">
        <v>34698</v>
      </c>
      <c r="C27557" s="5" t="str">
        <f>IFERROR(__xludf.DUMMYFUNCTION("GOOGLETRANSLATE(B27557,""en"",""zh-CN"")"),"男人结束并站起来。")</f>
        <v>男人结束并站起来。</v>
      </c>
    </row>
    <row r="27558">
      <c r="A27558" s="4" t="s">
        <v>34694</v>
      </c>
      <c r="B27558" s="4" t="s">
        <v>19328</v>
      </c>
      <c r="C27558" s="5" t="str">
        <f>IFERROR(__xludf.DUMMYFUNCTION("GOOGLETRANSLATE(B27558,""en"",""zh-CN"")"),"我们看到人群鼓掌。")</f>
        <v>我们看到人群鼓掌。</v>
      </c>
    </row>
    <row r="27559">
      <c r="A27559" s="4" t="s">
        <v>34694</v>
      </c>
      <c r="B27559" s="4" t="s">
        <v>34699</v>
      </c>
      <c r="C27559" s="5" t="str">
        <f>IFERROR(__xludf.DUMMYFUNCTION("GOOGLETRANSLATE(B27559,""en"",""zh-CN"")"),"这些人握手，钢琴演奏者走开了，主人谈话和闪闪发光。")</f>
        <v>这些人握手，钢琴演奏者走开了，主人谈话和闪闪发光。</v>
      </c>
    </row>
    <row r="27560">
      <c r="A27560" s="4" t="s">
        <v>34700</v>
      </c>
      <c r="B27560" s="6" t="s">
        <v>34701</v>
      </c>
      <c r="C27560" s="5" t="str">
        <f>IFERROR(__xludf.DUMMYFUNCTION("GOOGLETRANSLATE(B27560,""en"",""zh-CN"")"),"看到一名运动员向人群挥舞着双手，然后拍手，然后他跑过光束。")</f>
        <v>看到一名运动员向人群挥舞着双手，然后拍手，然后他跑过光束。</v>
      </c>
    </row>
    <row r="27561">
      <c r="A27561" s="4" t="s">
        <v>34700</v>
      </c>
      <c r="B27561" s="4" t="s">
        <v>34702</v>
      </c>
      <c r="C27561" s="5" t="str">
        <f>IFERROR(__xludf.DUMMYFUNCTION("GOOGLETRANSLATE(B27561,""en"",""zh-CN"")"),"他的同一镜头再次以慢动作显示，他看到与一个男人说话。")</f>
        <v>他的同一镜头再次以慢动作显示，他看到与一个男人说话。</v>
      </c>
    </row>
    <row r="27562">
      <c r="A27562" s="4" t="s">
        <v>34703</v>
      </c>
      <c r="B27562" s="4" t="s">
        <v>34704</v>
      </c>
      <c r="C27562" s="5" t="str">
        <f>IFERROR(__xludf.DUMMYFUNCTION("GOOGLETRANSLATE(B27562,""en"",""zh-CN"")"),"一群年轻人在厨房里玩啤酒乒乓球比赛。")</f>
        <v>一群年轻人在厨房里玩啤酒乒乓球比赛。</v>
      </c>
    </row>
    <row r="27563">
      <c r="A27563" s="4" t="s">
        <v>34703</v>
      </c>
      <c r="B27563" s="4" t="s">
        <v>34705</v>
      </c>
      <c r="C27563" s="5" t="str">
        <f>IFERROR(__xludf.DUMMYFUNCTION("GOOGLETRANSLATE(B27563,""en"",""zh-CN"")"),"当他们将球放入杯子里时，他们欢呼。")</f>
        <v>当他们将球放入杯子里时，他们欢呼。</v>
      </c>
    </row>
    <row r="27564">
      <c r="A27564" s="4" t="s">
        <v>34703</v>
      </c>
      <c r="B27564" s="4" t="s">
        <v>34706</v>
      </c>
      <c r="C27564" s="5" t="str">
        <f>IFERROR(__xludf.DUMMYFUNCTION("GOOGLETRANSLATE(B27564,""en"",""zh-CN"")"),"一个女人出现，拿起其中一个杯子。")</f>
        <v>一个女人出现，拿起其中一个杯子。</v>
      </c>
    </row>
    <row r="27565">
      <c r="A27565" s="4" t="s">
        <v>34707</v>
      </c>
      <c r="B27565" s="4" t="s">
        <v>34708</v>
      </c>
      <c r="C27565" s="5" t="str">
        <f>IFERROR(__xludf.DUMMYFUNCTION("GOOGLETRANSLATE(B27565,""en"",""zh-CN"")"),"一个年轻的两个男孩互相打oodleball。")</f>
        <v>一个年轻的两个男孩互相打oodleball。</v>
      </c>
    </row>
    <row r="27566">
      <c r="A27566" s="4" t="s">
        <v>34707</v>
      </c>
      <c r="B27566" s="4" t="s">
        <v>34709</v>
      </c>
      <c r="C27566" s="5" t="str">
        <f>IFERROR(__xludf.DUMMYFUNCTION("GOOGLETRANSLATE(B27566,""en"",""zh-CN"")"),"一个人抓住球，将其重新发挥作用。")</f>
        <v>一个人抓住球，将其重新发挥作用。</v>
      </c>
    </row>
    <row r="27567">
      <c r="A27567" s="4" t="s">
        <v>34707</v>
      </c>
      <c r="B27567" s="4" t="s">
        <v>34710</v>
      </c>
      <c r="C27567" s="5" t="str">
        <f>IFERROR(__xludf.DUMMYFUNCTION("GOOGLETRANSLATE(B27567,""en"",""zh-CN"")"),"男孩们继续向后打比赛，在标签上排名第四。")</f>
        <v>男孩们继续向后打比赛，在标签上排名第四。</v>
      </c>
    </row>
    <row r="27568">
      <c r="A27568" s="4" t="s">
        <v>34711</v>
      </c>
      <c r="B27568" s="4" t="s">
        <v>34712</v>
      </c>
      <c r="C27568" s="5" t="str">
        <f>IFERROR(__xludf.DUMMYFUNCTION("GOOGLETRANSLATE(B27568,""en"",""zh-CN"")"),"一个摄像机在院子里盘子，导致耙子坐在垃圾桶上。")</f>
        <v>一个摄像机在院子里盘子，导致耙子坐在垃圾桶上。</v>
      </c>
    </row>
    <row r="27569">
      <c r="A27569" s="4" t="s">
        <v>34711</v>
      </c>
      <c r="B27569" s="4" t="s">
        <v>34713</v>
      </c>
      <c r="C27569" s="5" t="str">
        <f>IFERROR(__xludf.DUMMYFUNCTION("GOOGLETRANSLATE(B27569,""en"",""zh-CN"")"),"看到一个人伸到远处，开始耙树叶。")</f>
        <v>看到一个人伸到远处，开始耙树叶。</v>
      </c>
    </row>
    <row r="27570">
      <c r="A27570" s="4" t="s">
        <v>34711</v>
      </c>
      <c r="B27570" s="6" t="s">
        <v>34714</v>
      </c>
      <c r="C27570" s="5" t="str">
        <f>IFERROR(__xludf.DUMMYFUNCTION("GOOGLETRANSLATE(B27570,""en"",""zh-CN"")"),"他捡起树叶，将它们扔进垃圾中，然后将其交给一个女孩。")</f>
        <v>他捡起树叶，将它们扔进垃圾中，然后将其交给一个女孩。</v>
      </c>
    </row>
    <row r="27571">
      <c r="A27571" s="4" t="s">
        <v>34715</v>
      </c>
      <c r="B27571" s="6" t="s">
        <v>34716</v>
      </c>
      <c r="C27571" s="5" t="str">
        <f>IFERROR(__xludf.DUMMYFUNCTION("GOOGLETRANSLATE(B27571,""en"",""zh-CN"")"),"一组滑板在他们的车轮上向上的街道上排成一列，并在平台上倒置。")</f>
        <v>一组滑板在他们的车轮上向上的街道上排成一列，并在平台上倒置。</v>
      </c>
    </row>
    <row r="27572">
      <c r="A27572" s="4" t="s">
        <v>34715</v>
      </c>
      <c r="B27572" s="6" t="s">
        <v>34717</v>
      </c>
      <c r="C27572" s="5" t="str">
        <f>IFERROR(__xludf.DUMMYFUNCTION("GOOGLETRANSLATE(B27572,""en"",""zh-CN"")"),"一名滑板运动员穿着白色头盔滑板，然后是另一个滑板手，而相机则在街道旁边看着一群滑板手观众。")</f>
        <v>一名滑板运动员穿着白色头盔滑板，然后是另一个滑板手，而相机则在街道旁边看着一群滑板手观众。</v>
      </c>
    </row>
    <row r="27573">
      <c r="A27573" s="4" t="s">
        <v>34715</v>
      </c>
      <c r="B27573" s="4" t="s">
        <v>34718</v>
      </c>
      <c r="C27573" s="5" t="str">
        <f>IFERROR(__xludf.DUMMYFUNCTION("GOOGLETRANSLATE(B27573,""en"",""zh-CN"")"),"一群滑板运动员在街上和街上进行技巧和操纵。")</f>
        <v>一群滑板运动员在街上和街上进行技巧和操纵。</v>
      </c>
    </row>
    <row r="27574">
      <c r="A27574" s="4" t="s">
        <v>34715</v>
      </c>
      <c r="B27574" s="4" t="s">
        <v>34719</v>
      </c>
      <c r="C27574" s="5" t="str">
        <f>IFERROR(__xludf.DUMMYFUNCTION("GOOGLETRANSLATE(B27574,""en"",""zh-CN"")"),"装有滑板和滑板设备的车辆的景色。")</f>
        <v>装有滑板和滑板设备的车辆的景色。</v>
      </c>
    </row>
    <row r="27575">
      <c r="A27575" s="4" t="s">
        <v>34715</v>
      </c>
      <c r="B27575" s="4" t="s">
        <v>34720</v>
      </c>
      <c r="C27575" s="5" t="str">
        <f>IFERROR(__xludf.DUMMYFUNCTION("GOOGLETRANSLATE(B27575,""en"",""zh-CN"")"),"滑板板的另一个景色在街道上排成一列。")</f>
        <v>滑板板的另一个景色在街道上排成一列。</v>
      </c>
    </row>
    <row r="27576">
      <c r="A27576" s="4" t="s">
        <v>34715</v>
      </c>
      <c r="B27576" s="6" t="s">
        <v>34721</v>
      </c>
      <c r="C27576" s="5" t="str">
        <f>IFERROR(__xludf.DUMMYFUNCTION("GOOGLETRANSLATE(B27576,""en"",""zh-CN"")"),"观众从街道路边看观看，而一群滑板运动员轮流滑行下山，并在指定的位置进行了急剧的旋转。")</f>
        <v>观众从街道路边看观看，而一群滑板运动员轮流滑行下山，并在指定的位置进行了急剧的旋转。</v>
      </c>
    </row>
    <row r="27577">
      <c r="A27577" s="4" t="s">
        <v>34722</v>
      </c>
      <c r="B27577" s="4" t="s">
        <v>34723</v>
      </c>
      <c r="C27577" s="5" t="str">
        <f>IFERROR(__xludf.DUMMYFUNCTION("GOOGLETRANSLATE(B27577,""en"",""zh-CN"")"),"女人在一个绿草的后院走路。")</f>
        <v>女人在一个绿草的后院走路。</v>
      </c>
    </row>
    <row r="27578">
      <c r="A27578" s="4" t="s">
        <v>34722</v>
      </c>
      <c r="B27578" s="4" t="s">
        <v>34724</v>
      </c>
      <c r="C27578" s="5" t="str">
        <f>IFERROR(__xludf.DUMMYFUNCTION("GOOGLETRANSLATE(B27578,""en"",""zh-CN"")"),"人正站在篱笆前的贝卡德（Bacyard），他面前有一台机器。")</f>
        <v>人正站在篱笆前的贝卡德（Bacyard），他面前有一台机器。</v>
      </c>
    </row>
    <row r="27579">
      <c r="A27579" s="4" t="s">
        <v>34722</v>
      </c>
      <c r="B27579" s="4" t="s">
        <v>34725</v>
      </c>
      <c r="C27579" s="5" t="str">
        <f>IFERROR(__xludf.DUMMYFUNCTION("GOOGLETRANSLATE(B27579,""en"",""zh-CN"")"),"女人在后院，一个男人在她身后用割草机割草。")</f>
        <v>女人在后院，一个男人在她身后用割草机割草。</v>
      </c>
    </row>
    <row r="27580">
      <c r="A27580" s="4" t="s">
        <v>34722</v>
      </c>
      <c r="B27580" s="4" t="s">
        <v>34726</v>
      </c>
      <c r="C27580" s="5" t="str">
        <f>IFERROR(__xludf.DUMMYFUNCTION("GOOGLETRANSLATE(B27580,""en"",""zh-CN"")"),"男人在布上带着一些白色塑料袋行走。")</f>
        <v>男人在布上带着一些白色塑料袋行走。</v>
      </c>
    </row>
    <row r="27581">
      <c r="A27581" s="4" t="s">
        <v>34727</v>
      </c>
      <c r="B27581" s="4" t="s">
        <v>34728</v>
      </c>
      <c r="C27581" s="5" t="str">
        <f>IFERROR(__xludf.DUMMYFUNCTION("GOOGLETRANSLATE(B27581,""en"",""zh-CN"")"),"一名老人将黄球扔进杯子里，然后弹回了桌子上。")</f>
        <v>一名老人将黄球扔进杯子里，然后弹回了桌子上。</v>
      </c>
    </row>
    <row r="27582">
      <c r="A27582" s="4" t="s">
        <v>34727</v>
      </c>
      <c r="B27582" s="4" t="s">
        <v>34729</v>
      </c>
      <c r="C27582" s="5" t="str">
        <f>IFERROR(__xludf.DUMMYFUNCTION("GOOGLETRANSLATE(B27582,""en"",""zh-CN"")"),"穿着黑色衬衫的老人扔了球，降落在桌子上。")</f>
        <v>穿着黑色衬衫的老人扔了球，降落在桌子上。</v>
      </c>
    </row>
    <row r="27583">
      <c r="A27583" s="4" t="s">
        <v>34727</v>
      </c>
      <c r="B27583" s="6" t="s">
        <v>34730</v>
      </c>
      <c r="C27583" s="5" t="str">
        <f>IFERROR(__xludf.DUMMYFUNCTION("GOOGLETRANSLATE(B27583,""en"",""zh-CN"")"),"一个男人把球扔回去，穿着黑色衬衫的男人从杯子里拿出球，但降落在桌子外面。")</f>
        <v>一个男人把球扔回去，穿着黑色衬衫的男人从杯子里拿出球，但降落在桌子外面。</v>
      </c>
    </row>
    <row r="27584">
      <c r="A27584" s="4" t="s">
        <v>34731</v>
      </c>
      <c r="B27584" s="4" t="s">
        <v>34732</v>
      </c>
      <c r="C27584" s="5" t="str">
        <f>IFERROR(__xludf.DUMMYFUNCTION("GOOGLETRANSLATE(B27584,""en"",""zh-CN"")"),"我们看到一个在管弦乐队中的男人在做面孔。")</f>
        <v>我们看到一个在管弦乐队中的男人在做面孔。</v>
      </c>
    </row>
    <row r="27585">
      <c r="A27585" s="4" t="s">
        <v>34731</v>
      </c>
      <c r="B27585" s="4" t="s">
        <v>34733</v>
      </c>
      <c r="C27585" s="5" t="str">
        <f>IFERROR(__xludf.DUMMYFUNCTION("GOOGLETRANSLATE(B27585,""en"",""zh-CN"")"),"然后，男人站着弹小提琴。")</f>
        <v>然后，男人站着弹小提琴。</v>
      </c>
    </row>
    <row r="27586">
      <c r="A27586" s="4" t="s">
        <v>34731</v>
      </c>
      <c r="B27586" s="4" t="s">
        <v>34734</v>
      </c>
      <c r="C27586" s="5" t="str">
        <f>IFERROR(__xludf.DUMMYFUNCTION("GOOGLETRANSLATE(B27586,""en"",""zh-CN"")"),"我们在储物柜里看到人们。")</f>
        <v>我们在储物柜里看到人们。</v>
      </c>
    </row>
    <row r="27587">
      <c r="A27587" s="4" t="s">
        <v>34731</v>
      </c>
      <c r="B27587" s="4" t="s">
        <v>34735</v>
      </c>
      <c r="C27587" s="5" t="str">
        <f>IFERROR(__xludf.DUMMYFUNCTION("GOOGLETRANSLATE(B27587,""en"",""zh-CN"")"),"我们回到扮演小提琴的男人。")</f>
        <v>我们回到扮演小提琴的男人。</v>
      </c>
    </row>
    <row r="27588">
      <c r="A27588" s="4" t="s">
        <v>34731</v>
      </c>
      <c r="B27588" s="4" t="s">
        <v>34736</v>
      </c>
      <c r="C27588" s="5" t="str">
        <f>IFERROR(__xludf.DUMMYFUNCTION("GOOGLETRANSLATE(B27588,""en"",""zh-CN"")"),"我们看到储物柜中的人。")</f>
        <v>我们看到储物柜中的人。</v>
      </c>
    </row>
    <row r="27589">
      <c r="A27589" s="4" t="s">
        <v>34731</v>
      </c>
      <c r="B27589" s="4" t="s">
        <v>34737</v>
      </c>
      <c r="C27589" s="5" t="str">
        <f>IFERROR(__xludf.DUMMYFUNCTION("GOOGLETRANSLATE(B27589,""en"",""zh-CN"")"),"我们看到了玩耍的人，然后人群站着和鼓掌。")</f>
        <v>我们看到了玩耍的人，然后人群站着和鼓掌。</v>
      </c>
    </row>
    <row r="27590">
      <c r="A27590" s="4" t="s">
        <v>34731</v>
      </c>
      <c r="B27590" s="4" t="s">
        <v>34738</v>
      </c>
      <c r="C27590" s="5" t="str">
        <f>IFERROR(__xludf.DUMMYFUNCTION("GOOGLETRANSLATE(B27590,""en"",""zh-CN"")"),"那个人微笑着。")</f>
        <v>那个人微笑着。</v>
      </c>
    </row>
    <row r="27591">
      <c r="A27591" s="4" t="s">
        <v>34739</v>
      </c>
      <c r="B27591" s="4" t="s">
        <v>34740</v>
      </c>
      <c r="C27591" s="5" t="str">
        <f>IFERROR(__xludf.DUMMYFUNCTION("GOOGLETRANSLATE(B27591,""en"",""zh-CN"")"),"人们长期登上山丘。")</f>
        <v>人们长期登上山丘。</v>
      </c>
    </row>
    <row r="27592">
      <c r="A27592" s="4" t="s">
        <v>34739</v>
      </c>
      <c r="B27592" s="4" t="s">
        <v>34741</v>
      </c>
      <c r="C27592" s="5" t="str">
        <f>IFERROR(__xludf.DUMMYFUNCTION("GOOGLETRANSLATE(B27592,""en"",""zh-CN"")"),"一辆银卡车停在山上。")</f>
        <v>一辆银卡车停在山上。</v>
      </c>
    </row>
    <row r="27593">
      <c r="A27593" s="4" t="s">
        <v>34739</v>
      </c>
      <c r="B27593" s="4" t="s">
        <v>34742</v>
      </c>
      <c r="C27593" s="5" t="str">
        <f>IFERROR(__xludf.DUMMYFUNCTION("GOOGLETRANSLATE(B27593,""en"",""zh-CN"")"),"一个人从长长的木板上掉到人行道上。")</f>
        <v>一个人从长长的木板上掉到人行道上。</v>
      </c>
    </row>
    <row r="27594">
      <c r="A27594" s="4" t="s">
        <v>34743</v>
      </c>
      <c r="B27594" s="4" t="s">
        <v>34744</v>
      </c>
      <c r="C27594" s="5" t="str">
        <f>IFERROR(__xludf.DUMMYFUNCTION("GOOGLETRANSLATE(B27594,""en"",""zh-CN"")"),"白文本说是为了纪念保罗·沃克。")</f>
        <v>白文本说是为了纪念保罗·沃克。</v>
      </c>
    </row>
    <row r="27595">
      <c r="A27595" s="4" t="s">
        <v>34743</v>
      </c>
      <c r="B27595" s="4" t="s">
        <v>34745</v>
      </c>
      <c r="C27595" s="5" t="str">
        <f>IFERROR(__xludf.DUMMYFUNCTION("GOOGLETRANSLATE(B27595,""en"",""zh-CN"")"),"使用小刷子显示一个人来创建保罗·沃克的图像。")</f>
        <v>使用小刷子显示一个人来创建保罗·沃克的图像。</v>
      </c>
    </row>
    <row r="27596">
      <c r="A27596" s="4" t="s">
        <v>34743</v>
      </c>
      <c r="B27596" s="4" t="s">
        <v>34746</v>
      </c>
      <c r="C27596" s="5" t="str">
        <f>IFERROR(__xludf.DUMMYFUNCTION("GOOGLETRANSLATE(B27596,""en"",""zh-CN"")"),"每个细节一次绘制一个，从而产生最终完成的图像。")</f>
        <v>每个细节一次绘制一个，从而产生最终完成的图像。</v>
      </c>
    </row>
    <row r="27597">
      <c r="A27597" s="4" t="s">
        <v>34747</v>
      </c>
      <c r="B27597" s="6" t="s">
        <v>34748</v>
      </c>
      <c r="C27597" s="5" t="str">
        <f>IFERROR(__xludf.DUMMYFUNCTION("GOOGLETRANSLATE(B27597,""en"",""zh-CN"")"),"看到两个人主持了一个新闻部门，这些新闻部门导致人们从汽车上刮掉的片段。")</f>
        <v>看到两个人主持了一个新闻部门，这些新闻部门导致人们从汽车上刮掉的片段。</v>
      </c>
    </row>
    <row r="27598">
      <c r="A27598" s="4" t="s">
        <v>34747</v>
      </c>
      <c r="B27598" s="6" t="s">
        <v>34749</v>
      </c>
      <c r="C27598" s="5" t="str">
        <f>IFERROR(__xludf.DUMMYFUNCTION("GOOGLETRANSLATE(B27598,""en"",""zh-CN"")"),"看到一名妇女在刮下车并拿起产品来帮助的同时在相机上说话。")</f>
        <v>看到一名妇女在刮下车并拿起产品来帮助的同时在相机上说话。</v>
      </c>
    </row>
    <row r="27599">
      <c r="A27599" s="4" t="s">
        <v>34747</v>
      </c>
      <c r="B27599" s="6" t="s">
        <v>34750</v>
      </c>
      <c r="C27599" s="5" t="str">
        <f>IFERROR(__xludf.DUMMYFUNCTION("GOOGLETRANSLATE(B27599,""en"",""zh-CN"")"),"看到越来越多的人在与镜头说话，并炫耀他们融化冰的方法，并回到了两位记者。")</f>
        <v>看到越来越多的人在与镜头说话，并炫耀他们融化冰的方法，并回到了两位记者。</v>
      </c>
    </row>
    <row r="27600">
      <c r="A27600" s="4" t="s">
        <v>34751</v>
      </c>
      <c r="B27600" s="4" t="s">
        <v>34752</v>
      </c>
      <c r="C27600" s="5" t="str">
        <f>IFERROR(__xludf.DUMMYFUNCTION("GOOGLETRANSLATE(B27600,""en"",""zh-CN"")"),"一名穿着红色和白色紧身连衣裤的男性体操运动员正在马吧表演。")</f>
        <v>一名穿着红色和白色紧身连衣裤的男性体操运动员正在马吧表演。</v>
      </c>
    </row>
    <row r="27601">
      <c r="A27601" s="4" t="s">
        <v>34751</v>
      </c>
      <c r="B27601" s="4" t="s">
        <v>34753</v>
      </c>
      <c r="C27601" s="5" t="str">
        <f>IFERROR(__xludf.DUMMYFUNCTION("GOOGLETRANSLATE(B27601,""en"",""zh-CN"")"),"他爬上马吧，做反手弹簧。")</f>
        <v>他爬上马吧，做反手弹簧。</v>
      </c>
    </row>
    <row r="27602">
      <c r="A27602" s="4" t="s">
        <v>34751</v>
      </c>
      <c r="B27602" s="6" t="s">
        <v>34754</v>
      </c>
      <c r="C27602" s="5" t="str">
        <f>IFERROR(__xludf.DUMMYFUNCTION("GOOGLETRANSLATE(B27602,""en"",""zh-CN"")"),"当他通过将自己的体重推在手臂上时，他迅速继续越过马杆。")</f>
        <v>当他通过将自己的体重推在手臂上时，他迅速继续越过马杆。</v>
      </c>
    </row>
    <row r="27603">
      <c r="A27603" s="4" t="s">
        <v>34751</v>
      </c>
      <c r="B27603" s="4" t="s">
        <v>34755</v>
      </c>
      <c r="C27603" s="5" t="str">
        <f>IFERROR(__xludf.DUMMYFUNCTION("GOOGLETRANSLATE(B27603,""en"",""zh-CN"")"),"他继续进行前后弹簧。")</f>
        <v>他继续进行前后弹簧。</v>
      </c>
    </row>
    <row r="27604">
      <c r="A27604" s="4" t="s">
        <v>34751</v>
      </c>
      <c r="B27604" s="4" t="s">
        <v>34756</v>
      </c>
      <c r="C27604" s="5" t="str">
        <f>IFERROR(__xludf.DUMMYFUNCTION("GOOGLETRANSLATE(B27604,""en"",""zh-CN"")"),"完成后，他离开了酒吧，走向法官和其他参赛者。")</f>
        <v>完成后，他离开了酒吧，走向法官和其他参赛者。</v>
      </c>
    </row>
    <row r="27605">
      <c r="A27605" s="4" t="s">
        <v>34751</v>
      </c>
      <c r="B27605" s="4" t="s">
        <v>34757</v>
      </c>
      <c r="C27605" s="5" t="str">
        <f>IFERROR(__xludf.DUMMYFUNCTION("GOOGLETRANSLATE(B27605,""en"",""zh-CN"")"),"观众为他加油打气，法官用体操运动员握手。")</f>
        <v>观众为他加油打气，法官用体操运动员握手。</v>
      </c>
    </row>
    <row r="27606">
      <c r="A27606" s="4" t="s">
        <v>34758</v>
      </c>
      <c r="B27606" s="4" t="s">
        <v>34759</v>
      </c>
      <c r="C27606" s="5" t="str">
        <f>IFERROR(__xludf.DUMMYFUNCTION("GOOGLETRANSLATE(B27606,""en"",""zh-CN"")"),"一个人站在一个房间里，用餐具融化的物体融化，这会产生几种火花。")</f>
        <v>一个人站在一个房间里，用餐具融化的物体融化，这会产生几种火花。</v>
      </c>
    </row>
    <row r="27607">
      <c r="A27607" s="4" t="s">
        <v>34758</v>
      </c>
      <c r="B27607" s="6" t="s">
        <v>34760</v>
      </c>
      <c r="C27607" s="5" t="str">
        <f>IFERROR(__xludf.DUMMYFUNCTION("GOOGLETRANSLATE(B27607,""en"",""zh-CN"")"),"然后，另一名男性在人身后走去，戴上头盔以保护他，看着他面前的那个人。")</f>
        <v>然后，另一名男性在人身后走去，戴上头盔以保护他，看着他面前的那个人。</v>
      </c>
    </row>
    <row r="27608">
      <c r="A27608" s="4" t="s">
        <v>34761</v>
      </c>
      <c r="B27608" s="4" t="s">
        <v>34762</v>
      </c>
      <c r="C27608" s="5" t="str">
        <f>IFERROR(__xludf.DUMMYFUNCTION("GOOGLETRANSLATE(B27608,""en"",""zh-CN"")"),"三个孩子在后院的戏剧中摇摆。")</f>
        <v>三个孩子在后院的戏剧中摇摆。</v>
      </c>
    </row>
    <row r="27609">
      <c r="A27609" s="4" t="s">
        <v>34761</v>
      </c>
      <c r="B27609" s="4" t="s">
        <v>34763</v>
      </c>
      <c r="C27609" s="5" t="str">
        <f>IFERROR(__xludf.DUMMYFUNCTION("GOOGLETRANSLATE(B27609,""en"",""zh-CN"")"),"其中一个男孩爬上滑梯。")</f>
        <v>其中一个男孩爬上滑梯。</v>
      </c>
    </row>
    <row r="27610">
      <c r="A27610" s="4" t="s">
        <v>34761</v>
      </c>
      <c r="B27610" s="4" t="s">
        <v>34764</v>
      </c>
      <c r="C27610" s="5" t="str">
        <f>IFERROR(__xludf.DUMMYFUNCTION("GOOGLETRANSLATE(B27610,""en"",""zh-CN"")"),"更多的孩子加入了，他们一起走下坡路，很快就四处走动。")</f>
        <v>更多的孩子加入了，他们一起走下坡路，很快就四处走动。</v>
      </c>
    </row>
    <row r="27611">
      <c r="A27611" s="4" t="s">
        <v>34761</v>
      </c>
      <c r="B27611" s="4" t="s">
        <v>34765</v>
      </c>
      <c r="C27611" s="5" t="str">
        <f>IFERROR(__xludf.DUMMYFUNCTION("GOOGLETRANSLATE(B27611,""en"",""zh-CN"")"),"他们开始摇摆自己的肚子，总体上玩得很开心。")</f>
        <v>他们开始摇摆自己的肚子，总体上玩得很开心。</v>
      </c>
    </row>
    <row r="27612">
      <c r="A27612" s="4" t="s">
        <v>34766</v>
      </c>
      <c r="B27612" s="6" t="s">
        <v>34767</v>
      </c>
      <c r="C27612" s="5" t="str">
        <f>IFERROR(__xludf.DUMMYFUNCTION("GOOGLETRANSLATE(B27612,""en"",""zh-CN"")"),"屏幕上出现了一系列单词，他们告诉我们这些人试图跨大西洋划船。")</f>
        <v>屏幕上出现了一系列单词，他们告诉我们这些人试图跨大西洋划船。</v>
      </c>
    </row>
    <row r="27613">
      <c r="A27613" s="4" t="s">
        <v>34766</v>
      </c>
      <c r="B27613" s="6" t="s">
        <v>34768</v>
      </c>
      <c r="C27613" s="5" t="str">
        <f>IFERROR(__xludf.DUMMYFUNCTION("GOOGLETRANSLATE(B27613,""en"",""zh-CN"")"),"然后，一个男人在他的露台划船上显示在外面，单词表明已经燃烧了两个小时和1600卡路里。")</f>
        <v>然后，一个男人在他的露台划船上显示在外面，单词表明已经燃烧了两个小时和1600卡路里。</v>
      </c>
    </row>
    <row r="27614">
      <c r="A27614" s="4" t="s">
        <v>34766</v>
      </c>
      <c r="B27614" s="6" t="s">
        <v>34769</v>
      </c>
      <c r="C27614" s="5" t="str">
        <f>IFERROR(__xludf.DUMMYFUNCTION("GOOGLETRANSLATE(B27614,""en"",""zh-CN"")"),"在这个男人再次被展示之后，这次他筋疲力尽，被迫呼吸，以便他呼吸。")</f>
        <v>在这个男人再次被展示之后，这次他筋疲力尽，被迫呼吸，以便他呼吸。</v>
      </c>
    </row>
    <row r="27615">
      <c r="A27615" s="4" t="s">
        <v>34766</v>
      </c>
      <c r="B27615" s="6" t="s">
        <v>34770</v>
      </c>
      <c r="C27615" s="5" t="str">
        <f>IFERROR(__xludf.DUMMYFUNCTION("GOOGLETRANSLATE(B27615,""en"",""zh-CN"")"),"现在，该男子站起来，拿起镜头，握住他的手，向他的水泡展示了他手上的水泡。")</f>
        <v>现在，该男子站起来，拿起镜头，握住他的手，向他的水泡展示了他手上的水泡。</v>
      </c>
    </row>
    <row r="27616">
      <c r="A27616" s="4" t="s">
        <v>34771</v>
      </c>
      <c r="B27616" s="4" t="s">
        <v>34772</v>
      </c>
      <c r="C27616" s="5" t="str">
        <f>IFERROR(__xludf.DUMMYFUNCTION("GOOGLETRANSLATE(B27616,""en"",""zh-CN"")"),"人们站在潜水板上，一个人跳入游泳池。")</f>
        <v>人们站在潜水板上，一个人跳入游泳池。</v>
      </c>
    </row>
    <row r="27617">
      <c r="A27617" s="4" t="s">
        <v>34771</v>
      </c>
      <c r="B27617" s="4" t="s">
        <v>34773</v>
      </c>
      <c r="C27617" s="5" t="str">
        <f>IFERROR(__xludf.DUMMYFUNCTION("GOOGLETRANSLATE(B27617,""en"",""zh-CN"")"),"突然，一个女孩跑到较低的餐厅里，跳入游泳池。")</f>
        <v>突然，一个女孩跑到较低的餐厅里，跳入游泳池。</v>
      </c>
    </row>
    <row r="27618">
      <c r="A27618" s="4" t="s">
        <v>34771</v>
      </c>
      <c r="B27618" s="4" t="s">
        <v>34774</v>
      </c>
      <c r="C27618" s="5" t="str">
        <f>IFERROR(__xludf.DUMMYFUNCTION("GOOGLETRANSLATE(B27618,""en"",""zh-CN"")"),"人们坐在游泳池周围。")</f>
        <v>人们坐在游泳池周围。</v>
      </c>
    </row>
    <row r="27619">
      <c r="A27619" s="4" t="s">
        <v>34775</v>
      </c>
      <c r="B27619" s="4" t="s">
        <v>34776</v>
      </c>
      <c r="C27619" s="5" t="str">
        <f>IFERROR(__xludf.DUMMYFUNCTION("GOOGLETRANSLATE(B27619,""en"",""zh-CN"")"),"几个年长的男人站在猴子酒吧面前互相交谈。")</f>
        <v>几个年长的男人站在猴子酒吧面前互相交谈。</v>
      </c>
    </row>
    <row r="27620">
      <c r="A27620" s="4" t="s">
        <v>34775</v>
      </c>
      <c r="B27620" s="4" t="s">
        <v>34777</v>
      </c>
      <c r="C27620" s="5" t="str">
        <f>IFERROR(__xludf.DUMMYFUNCTION("GOOGLETRANSLATE(B27620,""en"",""zh-CN"")"),"一个人开始沿着酒吧攀爬，其他几个人从后面来。")</f>
        <v>一个人开始沿着酒吧攀爬，其他几个人从后面来。</v>
      </c>
    </row>
    <row r="27621">
      <c r="A27621" s="4" t="s">
        <v>34775</v>
      </c>
      <c r="B27621" s="4" t="s">
        <v>34778</v>
      </c>
      <c r="C27621" s="5" t="str">
        <f>IFERROR(__xludf.DUMMYFUNCTION("GOOGLETRANSLATE(B27621,""en"",""zh-CN"")"),"一名妇女落入水中，更多的猴子酒吧爬过。")</f>
        <v>一名妇女落入水中，更多的猴子酒吧爬过。</v>
      </c>
    </row>
    <row r="27622">
      <c r="A27622" s="4" t="s">
        <v>34779</v>
      </c>
      <c r="B27622" s="4" t="s">
        <v>34780</v>
      </c>
      <c r="C27622" s="5" t="str">
        <f>IFERROR(__xludf.DUMMYFUNCTION("GOOGLETRANSLATE(B27622,""en"",""zh-CN"")"),"一个穿着黑色和红色条纹衬衫的小男孩坐在鼓盘上坐着鼓。")</f>
        <v>一个穿着黑色和红色条纹衬衫的小男孩坐在鼓盘上坐着鼓。</v>
      </c>
    </row>
    <row r="27623">
      <c r="A27623" s="4" t="s">
        <v>34779</v>
      </c>
      <c r="B27623" s="4" t="s">
        <v>34781</v>
      </c>
      <c r="C27623" s="5" t="str">
        <f>IFERROR(__xludf.DUMMYFUNCTION("GOOGLETRANSLATE(B27623,""en"",""zh-CN"")"),"一个穿着粉红色衬衫和黑色裤子的男人站在他旁边。")</f>
        <v>一个穿着粉红色衬衫和黑色裤子的男人站在他旁边。</v>
      </c>
    </row>
    <row r="27624">
      <c r="A27624" s="4" t="s">
        <v>34779</v>
      </c>
      <c r="B27624" s="4" t="s">
        <v>34782</v>
      </c>
      <c r="C27624" s="5" t="str">
        <f>IFERROR(__xludf.DUMMYFUNCTION("GOOGLETRANSLATE(B27624,""en"",""zh-CN"")"),"另一个穿着牛仔衬衫的人走过男孩。")</f>
        <v>另一个穿着牛仔衬衫的人走过男孩。</v>
      </c>
    </row>
    <row r="27625">
      <c r="A27625" s="4" t="s">
        <v>34779</v>
      </c>
      <c r="B27625" s="6" t="s">
        <v>34783</v>
      </c>
      <c r="C27625" s="5" t="str">
        <f>IFERROR(__xludf.DUMMYFUNCTION("GOOGLETRANSLATE(B27625,""en"",""zh-CN"")"),"当人们为他加油时，这个男孩继续以有节奏的方式鼓舞。")</f>
        <v>当人们为他加油时，这个男孩继续以有节奏的方式鼓舞。</v>
      </c>
    </row>
    <row r="27626">
      <c r="A27626" s="4" t="s">
        <v>34779</v>
      </c>
      <c r="B27626" s="4" t="s">
        <v>34784</v>
      </c>
      <c r="C27626" s="5" t="str">
        <f>IFERROR(__xludf.DUMMYFUNCTION("GOOGLETRANSLATE(B27626,""en"",""zh-CN"")"),"他交替击中了c骨和棍棒的军鼓。")</f>
        <v>他交替击中了c骨和棍棒的军鼓。</v>
      </c>
    </row>
    <row r="27627">
      <c r="A27627" s="4" t="s">
        <v>34779</v>
      </c>
      <c r="B27627" s="4" t="s">
        <v>34785</v>
      </c>
      <c r="C27627" s="5" t="str">
        <f>IFERROR(__xludf.DUMMYFUNCTION("GOOGLETRANSLATE(B27627,""en"",""zh-CN"")"),"他以击中c骨结束。")</f>
        <v>他以击中c骨结束。</v>
      </c>
    </row>
    <row r="27628">
      <c r="A27628" s="4" t="s">
        <v>34786</v>
      </c>
      <c r="B27628" s="4" t="s">
        <v>34787</v>
      </c>
      <c r="C27628" s="5" t="str">
        <f>IFERROR(__xludf.DUMMYFUNCTION("GOOGLETRANSLATE(B27628,""en"",""zh-CN"")"),"在奥林匹克比赛中，体操运动员在双杆上挥杆。")</f>
        <v>在奥林匹克比赛中，体操运动员在双杆上挥杆。</v>
      </c>
    </row>
    <row r="27629">
      <c r="A27629" s="4" t="s">
        <v>34786</v>
      </c>
      <c r="B27629" s="4" t="s">
        <v>34788</v>
      </c>
      <c r="C27629" s="5" t="str">
        <f>IFERROR(__xludf.DUMMYFUNCTION("GOOGLETRANSLATE(B27629,""en"",""zh-CN"")"),"在健身房练习期间，体操运动员在双杆上摆动。")</f>
        <v>在健身房练习期间，体操运动员在双杆上摆动。</v>
      </c>
    </row>
    <row r="27630">
      <c r="A27630" s="4" t="s">
        <v>34789</v>
      </c>
      <c r="B27630" s="4" t="s">
        <v>34790</v>
      </c>
      <c r="C27630" s="5" t="str">
        <f>IFERROR(__xludf.DUMMYFUNCTION("GOOGLETRANSLATE(B27630,""en"",""zh-CN"")"),"几个成年人正在对平台进行踏入练习。")</f>
        <v>几个成年人正在对平台进行踏入练习。</v>
      </c>
    </row>
    <row r="27631">
      <c r="A27631" s="4" t="s">
        <v>34789</v>
      </c>
      <c r="B27631" s="4" t="s">
        <v>34791</v>
      </c>
      <c r="C27631" s="5" t="str">
        <f>IFERROR(__xludf.DUMMYFUNCTION("GOOGLETRANSLATE(B27631,""en"",""zh-CN"")"),"他们踏上脚步并旋转。")</f>
        <v>他们踏上脚步并旋转。</v>
      </c>
    </row>
    <row r="27632">
      <c r="A27632" s="4" t="s">
        <v>34789</v>
      </c>
      <c r="B27632" s="4" t="s">
        <v>34792</v>
      </c>
      <c r="C27632" s="5" t="str">
        <f>IFERROR(__xludf.DUMMYFUNCTION("GOOGLETRANSLATE(B27632,""en"",""zh-CN"")"),"他们从平台上做车轮。")</f>
        <v>他们从平台上做车轮。</v>
      </c>
    </row>
    <row r="27633">
      <c r="A27633" s="4" t="s">
        <v>34789</v>
      </c>
      <c r="B27633" s="4" t="s">
        <v>34793</v>
      </c>
      <c r="C27633" s="5" t="str">
        <f>IFERROR(__xludf.DUMMYFUNCTION("GOOGLETRANSLATE(B27633,""en"",""zh-CN"")"),"他们结束锻炼并走开。")</f>
        <v>他们结束锻炼并走开。</v>
      </c>
    </row>
    <row r="27634">
      <c r="A27634" s="4" t="s">
        <v>34794</v>
      </c>
      <c r="B27634" s="4" t="s">
        <v>34795</v>
      </c>
      <c r="C27634" s="5" t="str">
        <f>IFERROR(__xludf.DUMMYFUNCTION("GOOGLETRANSLATE(B27634,""en"",""zh-CN"")"),"一个年轻的小女孩坐在一个大椅子上聊天，用电话说话。")</f>
        <v>一个年轻的小女孩坐在一个大椅子上聊天，用电话说话。</v>
      </c>
    </row>
    <row r="27635">
      <c r="A27635" s="4" t="s">
        <v>34794</v>
      </c>
      <c r="B27635" s="4" t="s">
        <v>34796</v>
      </c>
      <c r="C27635" s="5" t="str">
        <f>IFERROR(__xludf.DUMMYFUNCTION("GOOGLETRANSLATE(B27635,""en"",""zh-CN"")"),"然后，另外两名女性开始在人行道上的院子里的前面跳舞。")</f>
        <v>然后，另外两名女性开始在人行道上的院子里的前面跳舞。</v>
      </c>
    </row>
    <row r="27636">
      <c r="A27636" s="4" t="s">
        <v>34794</v>
      </c>
      <c r="B27636" s="6" t="s">
        <v>34797</v>
      </c>
      <c r="C27636" s="5" t="str">
        <f>IFERROR(__xludf.DUMMYFUNCTION("GOOGLETRANSLATE(B27636,""en"",""zh-CN"")"),"然后，女孩抓住汗水裤，开始教她的对手不同的舞步，第一位女性重新出现在电话上。")</f>
        <v>然后，女孩抓住汗水裤，开始教她的对手不同的舞步，第一位女性重新出现在电话上。</v>
      </c>
    </row>
    <row r="27637">
      <c r="A27637" s="4" t="s">
        <v>34798</v>
      </c>
      <c r="B27637" s="4" t="s">
        <v>34799</v>
      </c>
      <c r="C27637" s="5" t="str">
        <f>IFERROR(__xludf.DUMMYFUNCTION("GOOGLETRANSLATE(B27637,""en"",""zh-CN"")"),"一个人正在展示如何在健身房安装橡胶瓷砖。")</f>
        <v>一个人正在展示如何在健身房安装橡胶瓷砖。</v>
      </c>
    </row>
    <row r="27638">
      <c r="A27638" s="4" t="s">
        <v>34798</v>
      </c>
      <c r="B27638" s="4" t="s">
        <v>34800</v>
      </c>
      <c r="C27638" s="5" t="str">
        <f>IFERROR(__xludf.DUMMYFUNCTION("GOOGLETRANSLATE(B27638,""en"",""zh-CN"")"),"该视频显示了几个人在地板上的健身房里锻炼。")</f>
        <v>该视频显示了几个人在地板上的健身房里锻炼。</v>
      </c>
    </row>
    <row r="27639">
      <c r="A27639" s="4" t="s">
        <v>34798</v>
      </c>
      <c r="B27639" s="4" t="s">
        <v>34801</v>
      </c>
      <c r="C27639" s="5" t="str">
        <f>IFERROR(__xludf.DUMMYFUNCTION("GOOGLETRANSLATE(B27639,""en"",""zh-CN"")"),"该人在安装瓷砖之前显示如何准备地板表面。")</f>
        <v>该人在安装瓷砖之前显示如何准备地板表面。</v>
      </c>
    </row>
    <row r="27640">
      <c r="A27640" s="4" t="s">
        <v>34798</v>
      </c>
      <c r="B27640" s="4" t="s">
        <v>34802</v>
      </c>
      <c r="C27640" s="5" t="str">
        <f>IFERROR(__xludf.DUMMYFUNCTION("GOOGLETRANSLATE(B27640,""en"",""zh-CN"")"),"他演示了如何以纵横交错的方式将瓷砖放在地板上。")</f>
        <v>他演示了如何以纵横交错的方式将瓷砖放在地板上。</v>
      </c>
    </row>
    <row r="27641">
      <c r="A27641" s="4" t="s">
        <v>34798</v>
      </c>
      <c r="B27641" s="6" t="s">
        <v>34803</v>
      </c>
      <c r="C27641" s="5" t="str">
        <f>IFERROR(__xludf.DUMMYFUNCTION("GOOGLETRANSLATE(B27641,""en"",""zh-CN"")"),"该视频显示了模拟瓷砖如何测量并一一铺设的瓷砖以获得完美的墙壁适合墙壁的模拟。")</f>
        <v>该视频显示了模拟瓷砖如何测量并一一铺设的瓷砖以获得完美的墙壁适合墙壁的模拟。</v>
      </c>
    </row>
    <row r="27642">
      <c r="A27642" s="4" t="s">
        <v>34798</v>
      </c>
      <c r="B27642" s="6" t="s">
        <v>34804</v>
      </c>
      <c r="C27642" s="5" t="str">
        <f>IFERROR(__xludf.DUMMYFUNCTION("GOOGLETRANSLATE(B27642,""en"",""zh-CN"")"),"一个人还展示了如何修剪瓷砖以将冲洗边缘适合边缘，而不会在瓷砖之间留出间隙。")</f>
        <v>一个人还展示了如何修剪瓷砖以将冲洗边缘适合边缘，而不会在瓷砖之间留出间隙。</v>
      </c>
    </row>
    <row r="27643">
      <c r="A27643" s="4" t="s">
        <v>34798</v>
      </c>
      <c r="B27643" s="6" t="s">
        <v>34805</v>
      </c>
      <c r="C27643" s="5" t="str">
        <f>IFERROR(__xludf.DUMMYFUNCTION("GOOGLETRANSLATE(B27643,""en"",""zh-CN"")"),"最后，他展示了如何使用醋溶液清洁瓷砖以保持瓷砖的质量。")</f>
        <v>最后，他展示了如何使用醋溶液清洁瓷砖以保持瓷砖的质量。</v>
      </c>
    </row>
    <row r="27644">
      <c r="A27644" s="4" t="s">
        <v>34798</v>
      </c>
      <c r="B27644" s="4" t="s">
        <v>34806</v>
      </c>
      <c r="C27644" s="5" t="str">
        <f>IFERROR(__xludf.DUMMYFUNCTION("GOOGLETRANSLATE(B27644,""en"",""zh-CN"")"),"视频以瓷砖公司的信息结束。")</f>
        <v>视频以瓷砖公司的信息结束。</v>
      </c>
    </row>
    <row r="27645">
      <c r="A27645" s="4" t="s">
        <v>34807</v>
      </c>
      <c r="B27645" s="4" t="s">
        <v>34808</v>
      </c>
      <c r="C27645" s="5" t="str">
        <f>IFERROR(__xludf.DUMMYFUNCTION("GOOGLETRANSLATE(B27645,""en"",""zh-CN"")"),"显示了一个室内谷仓，一个男人坐在马上。")</f>
        <v>显示了一个室内谷仓，一个男人坐在马上。</v>
      </c>
    </row>
    <row r="27646">
      <c r="A27646" s="4" t="s">
        <v>34807</v>
      </c>
      <c r="B27646" s="4" t="s">
        <v>34809</v>
      </c>
      <c r="C27646" s="5" t="str">
        <f>IFERROR(__xludf.DUMMYFUNCTION("GOOGLETRANSLATE(B27646,""en"",""zh-CN"")"),"大门敞开，那个男人与黑色和白色小牛一起追逐。")</f>
        <v>大门敞开，那个男人与黑色和白色小牛一起追逐。</v>
      </c>
    </row>
    <row r="27647">
      <c r="A27647" s="4" t="s">
        <v>34807</v>
      </c>
      <c r="B27647" s="6" t="s">
        <v>34810</v>
      </c>
      <c r="C27647" s="5" t="str">
        <f>IFERROR(__xludf.DUMMYFUNCTION("GOOGLETRANSLATE(B27647,""en"",""zh-CN"")"),"该男子扔绳子，抓住小腿，下车，将牛绑起来，然后返回马上。")</f>
        <v>该男子扔绳子，抓住小腿，下车，将牛绑起来，然后返回马上。</v>
      </c>
    </row>
    <row r="27648">
      <c r="A27648" s="4" t="s">
        <v>34811</v>
      </c>
      <c r="B27648" s="6" t="s">
        <v>34812</v>
      </c>
      <c r="C27648" s="5" t="str">
        <f>IFERROR(__xludf.DUMMYFUNCTION("GOOGLETRANSLATE(B27648,""en"",""zh-CN"")"),"显示了一个长发的女孩，向相机说话，并在浴缸里的一只狗上散发出她的喷水。")</f>
        <v>显示了一个长发的女孩，向相机说话，并在浴缸里的一只狗上散发出她的喷水。</v>
      </c>
    </row>
    <row r="27649">
      <c r="A27649" s="4" t="s">
        <v>34811</v>
      </c>
      <c r="B27649" s="4" t="s">
        <v>34813</v>
      </c>
      <c r="C27649" s="5" t="str">
        <f>IFERROR(__xludf.DUMMYFUNCTION("GOOGLETRANSLATE(B27649,""en"",""zh-CN"")"),"她用洗发水擦洗狗，然后再次跑到狗上。")</f>
        <v>她用洗发水擦洗狗，然后再次跑到狗上。</v>
      </c>
    </row>
    <row r="27650">
      <c r="A27650" s="4" t="s">
        <v>34811</v>
      </c>
      <c r="B27650" s="4" t="s">
        <v>34814</v>
      </c>
      <c r="C27650" s="5" t="str">
        <f>IFERROR(__xludf.DUMMYFUNCTION("GOOGLETRANSLATE(B27650,""en"",""zh-CN"")"),"她用毛巾握住狗，然后在梳理他的同时将狗吹在腿上。")</f>
        <v>她用毛巾握住狗，然后在梳理他的同时将狗吹在腿上。</v>
      </c>
    </row>
    <row r="27651">
      <c r="A27651" s="4" t="s">
        <v>34811</v>
      </c>
      <c r="B27651" s="6" t="s">
        <v>34815</v>
      </c>
      <c r="C27651" s="5" t="str">
        <f>IFERROR(__xludf.DUMMYFUNCTION("GOOGLETRANSLATE(B27651,""en"",""zh-CN"")"),"狗再次被露出来，看着相机时摇晃自己，摇晃自己，女孩说的更多。")</f>
        <v>狗再次被露出来，看着相机时摇晃自己，摇晃自己，女孩说的更多。</v>
      </c>
    </row>
    <row r="27652">
      <c r="A27652" s="4" t="s">
        <v>34816</v>
      </c>
      <c r="B27652" s="6" t="s">
        <v>34817</v>
      </c>
      <c r="C27652" s="5" t="str">
        <f>IFERROR(__xludf.DUMMYFUNCTION("GOOGLETRANSLATE(B27652,""en"",""zh-CN"")"),"穿着黑色衬衫的男人坐在摩擦式立方体和电子停止时钟前，设置了相机。")</f>
        <v>穿着黑色衬衫的男人坐在摩擦式立方体和电子停止时钟前，设置了相机。</v>
      </c>
    </row>
    <row r="27653">
      <c r="A27653" s="4" t="s">
        <v>34816</v>
      </c>
      <c r="B27653" s="6" t="s">
        <v>34818</v>
      </c>
      <c r="C27653" s="5" t="str">
        <f>IFERROR(__xludf.DUMMYFUNCTION("GOOGLETRANSLATE(B27653,""en"",""zh-CN"")"),"一旦时钟开始，另一个人从相机上开始，坐在立方体前面的男人开始弄清楚这个难题。")</f>
        <v>一旦时钟开始，另一个人从相机上开始，坐在立方体前面的男人开始弄清楚这个难题。</v>
      </c>
    </row>
    <row r="27654">
      <c r="A27654" s="4" t="s">
        <v>34816</v>
      </c>
      <c r="B27654" s="6" t="s">
        <v>34819</v>
      </c>
      <c r="C27654" s="5" t="str">
        <f>IFERROR(__xludf.DUMMYFUNCTION("GOOGLETRANSLATE(B27654,""en"",""zh-CN"")"),"一旦时钟达到43秒，男人都完成了难题，并在完成难题时互相祝贺。")</f>
        <v>一旦时钟达到43秒，男人都完成了难题，并在完成难题时互相祝贺。</v>
      </c>
    </row>
    <row r="27655">
      <c r="A27655" s="4" t="s">
        <v>34820</v>
      </c>
      <c r="B27655" s="4" t="s">
        <v>34821</v>
      </c>
      <c r="C27655" s="5" t="str">
        <f>IFERROR(__xludf.DUMMYFUNCTION("GOOGLETRANSLATE(B27655,""en"",""zh-CN"")"),"我们看到一个男人在篮球健身房里聊天。")</f>
        <v>我们看到一个男人在篮球健身房里聊天。</v>
      </c>
    </row>
    <row r="27656">
      <c r="A27656" s="4" t="s">
        <v>34820</v>
      </c>
      <c r="B27656" s="4" t="s">
        <v>34822</v>
      </c>
      <c r="C27656" s="5" t="str">
        <f>IFERROR(__xludf.DUMMYFUNCTION("GOOGLETRANSLATE(B27656,""en"",""zh-CN"")"),"这个男人指着男孩。")</f>
        <v>这个男人指着男孩。</v>
      </c>
    </row>
    <row r="27657">
      <c r="A27657" s="4" t="s">
        <v>34820</v>
      </c>
      <c r="B27657" s="4" t="s">
        <v>34823</v>
      </c>
      <c r="C27657" s="5" t="str">
        <f>IFERROR(__xludf.DUMMYFUNCTION("GOOGLETRANSLATE(B27657,""en"",""zh-CN"")"),"这个人指着右边。")</f>
        <v>这个人指着右边。</v>
      </c>
    </row>
    <row r="27658">
      <c r="A27658" s="4" t="s">
        <v>34820</v>
      </c>
      <c r="B27658" s="4" t="s">
        <v>34824</v>
      </c>
      <c r="C27658" s="5" t="str">
        <f>IFERROR(__xludf.DUMMYFUNCTION("GOOGLETRANSLATE(B27658,""en"",""zh-CN"")"),"我们看到一个男人在篮球篮上打球。")</f>
        <v>我们看到一个男人在篮球篮上打球。</v>
      </c>
    </row>
    <row r="27659">
      <c r="A27659" s="4" t="s">
        <v>34825</v>
      </c>
      <c r="B27659" s="4" t="s">
        <v>34826</v>
      </c>
      <c r="C27659" s="5" t="str">
        <f>IFERROR(__xludf.DUMMYFUNCTION("GOOGLETRANSLATE(B27659,""en"",""zh-CN"")"),"看到一个女人在相机上说话，然后将冰倒入玻璃杯中。")</f>
        <v>看到一个女人在相机上说话，然后将冰倒入玻璃杯中。</v>
      </c>
    </row>
    <row r="27660">
      <c r="A27660" s="4" t="s">
        <v>34825</v>
      </c>
      <c r="B27660" s="4" t="s">
        <v>34827</v>
      </c>
      <c r="C27660" s="5" t="str">
        <f>IFERROR(__xludf.DUMMYFUNCTION("GOOGLETRANSLATE(B27660,""en"",""zh-CN"")"),"然后，她将各种成分混合到玻璃杯中，然后将它们混合在振动板中。")</f>
        <v>然后，她将各种成分混合到玻璃杯中，然后将它们混合在振动板中。</v>
      </c>
    </row>
    <row r="27661">
      <c r="A27661" s="4" t="s">
        <v>34825</v>
      </c>
      <c r="B27661" s="6" t="s">
        <v>34828</v>
      </c>
      <c r="C27661" s="5" t="str">
        <f>IFERROR(__xludf.DUMMYFUNCTION("GOOGLETRANSLATE(B27661,""en"",""zh-CN"")"),"然后，该名女子将玻璃杯放下，将混合物倒入玻璃杯中，将其显示在相机上。")</f>
        <v>然后，该名女子将玻璃杯放下，将混合物倒入玻璃杯中，将其显示在相机上。</v>
      </c>
    </row>
    <row r="27662">
      <c r="A27662" s="4" t="s">
        <v>34829</v>
      </c>
      <c r="B27662" s="4" t="s">
        <v>34830</v>
      </c>
      <c r="C27662" s="5" t="str">
        <f>IFERROR(__xludf.DUMMYFUNCTION("GOOGLETRANSLATE(B27662,""en"",""zh-CN"")"),"一个穿着教练衬衫的男人站着，而女体操运动员则翻转横梁。")</f>
        <v>一个穿着教练衬衫的男人站着，而女体操运动员则翻转横梁。</v>
      </c>
    </row>
    <row r="27663">
      <c r="A27663" s="4" t="s">
        <v>34829</v>
      </c>
      <c r="B27663" s="4" t="s">
        <v>34831</v>
      </c>
      <c r="C27663" s="5" t="str">
        <f>IFERROR(__xludf.DUMMYFUNCTION("GOOGLETRANSLATE(B27663,""en"",""zh-CN"")"),"当她翻转并卸下时，他发现她在坐下。")</f>
        <v>当她翻转并卸下时，他发现她在坐下。</v>
      </c>
    </row>
    <row r="27664">
      <c r="A27664" s="4" t="s">
        <v>34832</v>
      </c>
      <c r="B27664" s="4" t="s">
        <v>34833</v>
      </c>
      <c r="C27664" s="5" t="str">
        <f>IFERROR(__xludf.DUMMYFUNCTION("GOOGLETRANSLATE(B27664,""en"",""zh-CN"")"),"一大群人以独木舟骑行的各种镜头显示。")</f>
        <v>一大群人以独木舟骑行的各种镜头显示。</v>
      </c>
    </row>
    <row r="27665">
      <c r="A27665" s="4" t="s">
        <v>34832</v>
      </c>
      <c r="B27665" s="4" t="s">
        <v>34834</v>
      </c>
      <c r="C27665" s="5" t="str">
        <f>IFERROR(__xludf.DUMMYFUNCTION("GOOGLETRANSLATE(B27665,""en"",""zh-CN"")"),"当人们和独木舟四处走动并炫耀照片时，一个男人在相机上说话。")</f>
        <v>当人们和独木舟四处走动并炫耀照片时，一个男人在相机上说话。</v>
      </c>
    </row>
    <row r="27666">
      <c r="A27666" s="4" t="s">
        <v>34832</v>
      </c>
      <c r="B27666" s="4" t="s">
        <v>34835</v>
      </c>
      <c r="C27666" s="5" t="str">
        <f>IFERROR(__xludf.DUMMYFUNCTION("GOOGLETRANSLATE(B27666,""en"",""zh-CN"")"),"看到更多的人在使用它们以及四处走动。")</f>
        <v>看到更多的人在使用它们以及四处走动。</v>
      </c>
    </row>
    <row r="27667">
      <c r="A27667" s="4" t="s">
        <v>34836</v>
      </c>
      <c r="B27667" s="4" t="s">
        <v>34837</v>
      </c>
      <c r="C27667" s="5" t="str">
        <f>IFERROR(__xludf.DUMMYFUNCTION("GOOGLETRANSLATE(B27667,""en"",""zh-CN"")"),"看到一个人跑着冲浪板，并再次显示出他的电话和笑。")</f>
        <v>看到一个人跑着冲浪板，并再次显示出他的电话和笑。</v>
      </c>
    </row>
    <row r="27668">
      <c r="A27668" s="4" t="s">
        <v>34836</v>
      </c>
      <c r="B27668" s="6" t="s">
        <v>34838</v>
      </c>
      <c r="C27668" s="5" t="str">
        <f>IFERROR(__xludf.DUMMYFUNCTION("GOOGLETRANSLATE(B27668,""en"",""zh-CN"")"),"在各个地方看到更多的人检查他们的手机，并以骑锻炼自行车的女人结束。")</f>
        <v>在各个地方看到更多的人检查他们的手机，并以骑锻炼自行车的女人结束。</v>
      </c>
    </row>
    <row r="27669">
      <c r="A27669" s="4" t="s">
        <v>34839</v>
      </c>
      <c r="B27669" s="4" t="s">
        <v>34840</v>
      </c>
      <c r="C27669" s="5" t="str">
        <f>IFERROR(__xludf.DUMMYFUNCTION("GOOGLETRANSLATE(B27669,""en"",""zh-CN"")"),"女人的手捡起一只被礼物包围的毛绒动物。")</f>
        <v>女人的手捡起一只被礼物包围的毛绒动物。</v>
      </c>
    </row>
    <row r="27670">
      <c r="A27670" s="4" t="s">
        <v>34839</v>
      </c>
      <c r="B27670" s="4" t="s">
        <v>34841</v>
      </c>
      <c r="C27670" s="5" t="str">
        <f>IFERROR(__xludf.DUMMYFUNCTION("GOOGLETRANSLATE(B27670,""en"",""zh-CN"")"),"显示礼物包装配件。")</f>
        <v>显示礼物包装配件。</v>
      </c>
    </row>
    <row r="27671">
      <c r="A27671" s="4" t="s">
        <v>34839</v>
      </c>
      <c r="B27671" s="4" t="s">
        <v>34842</v>
      </c>
      <c r="C27671" s="5" t="str">
        <f>IFERROR(__xludf.DUMMYFUNCTION("GOOGLETRANSLATE(B27671,""en"",""zh-CN"")"),"一个女人放上薄纸，并在中心放置一个填充玩具。")</f>
        <v>一个女人放上薄纸，并在中心放置一个填充玩具。</v>
      </c>
    </row>
    <row r="27672">
      <c r="A27672" s="4" t="s">
        <v>34839</v>
      </c>
      <c r="B27672" s="4" t="s">
        <v>34843</v>
      </c>
      <c r="C27672" s="5" t="str">
        <f>IFERROR(__xludf.DUMMYFUNCTION("GOOGLETRANSLATE(B27672,""en"",""zh-CN"")"),"女人将玩具包裹在薄纸上，并将其关闭。")</f>
        <v>女人将玩具包裹在薄纸上，并将其关闭。</v>
      </c>
    </row>
    <row r="27673">
      <c r="A27673" s="4" t="s">
        <v>34839</v>
      </c>
      <c r="B27673" s="4" t="s">
        <v>34844</v>
      </c>
      <c r="C27673" s="5" t="str">
        <f>IFERROR(__xludf.DUMMYFUNCTION("GOOGLETRANSLATE(B27673,""en"",""zh-CN"")"),"该名女士放置玻璃纸，并将包裹的玩具放在上面。")</f>
        <v>该名女士放置玻璃纸，并将包裹的玩具放在上面。</v>
      </c>
    </row>
    <row r="27674">
      <c r="A27674" s="4" t="s">
        <v>34839</v>
      </c>
      <c r="B27674" s="4" t="s">
        <v>34845</v>
      </c>
      <c r="C27674" s="5" t="str">
        <f>IFERROR(__xludf.DUMMYFUNCTION("GOOGLETRANSLATE(B27674,""en"",""zh-CN"")"),"该妇女切断了玻璃纸，然后继续卷起薄纸覆盖的玩具。")</f>
        <v>该妇女切断了玻璃纸，然后继续卷起薄纸覆盖的玩具。</v>
      </c>
    </row>
    <row r="27675">
      <c r="A27675" s="4" t="s">
        <v>34839</v>
      </c>
      <c r="B27675" s="4" t="s">
        <v>34846</v>
      </c>
      <c r="C27675" s="5" t="str">
        <f>IFERROR(__xludf.DUMMYFUNCTION("GOOGLETRANSLATE(B27675,""en"",""zh-CN"")"),"女人扭曲了玻璃纸的末端，并将包装关闭。")</f>
        <v>女人扭曲了玻璃纸的末端，并将包装关闭。</v>
      </c>
    </row>
    <row r="27676">
      <c r="A27676" s="4" t="s">
        <v>34839</v>
      </c>
      <c r="B27676" s="4" t="s">
        <v>34847</v>
      </c>
      <c r="C27676" s="5" t="str">
        <f>IFERROR(__xludf.DUMMYFUNCTION("GOOGLETRANSLATE(B27676,""en"",""zh-CN"")"),"色带放置在包装的末端。")</f>
        <v>色带放置在包装的末端。</v>
      </c>
    </row>
    <row r="27677">
      <c r="A27677" s="4" t="s">
        <v>34839</v>
      </c>
      <c r="B27677" s="4" t="s">
        <v>34848</v>
      </c>
      <c r="C27677" s="5" t="str">
        <f>IFERROR(__xludf.DUMMYFUNCTION("GOOGLETRANSLATE(B27677,""en"",""zh-CN"")"),"该名女子将包裹展示到相机上，并将其设置在柜台上。")</f>
        <v>该名女子将包裹展示到相机上，并将其设置在柜台上。</v>
      </c>
    </row>
    <row r="27678">
      <c r="A27678" s="4" t="s">
        <v>34849</v>
      </c>
      <c r="B27678" s="4" t="s">
        <v>34850</v>
      </c>
      <c r="C27678" s="5" t="str">
        <f>IFERROR(__xludf.DUMMYFUNCTION("GOOGLETRANSLATE(B27678,""en"",""zh-CN"")"),"一个小男孩正在玩街机游戏。")</f>
        <v>一个小男孩正在玩街机游戏。</v>
      </c>
    </row>
    <row r="27679">
      <c r="A27679" s="4" t="s">
        <v>34849</v>
      </c>
      <c r="B27679" s="4" t="s">
        <v>34851</v>
      </c>
      <c r="C27679" s="5" t="str">
        <f>IFERROR(__xludf.DUMMYFUNCTION("GOOGLETRANSLATE(B27679,""en"",""zh-CN"")"),"他捡起一个球，将球扔到销钉上。")</f>
        <v>他捡起一个球，将球扔到销钉上。</v>
      </c>
    </row>
    <row r="27680">
      <c r="A27680" s="4" t="s">
        <v>34849</v>
      </c>
      <c r="B27680" s="4" t="s">
        <v>34852</v>
      </c>
      <c r="C27680" s="5" t="str">
        <f>IFERROR(__xludf.DUMMYFUNCTION("GOOGLETRANSLATE(B27680,""en"",""zh-CN"")"),"他转身走开。")</f>
        <v>他转身走开。</v>
      </c>
    </row>
    <row r="27681">
      <c r="A27681" s="4" t="s">
        <v>34853</v>
      </c>
      <c r="B27681" s="6" t="s">
        <v>34854</v>
      </c>
      <c r="C27681" s="5" t="str">
        <f>IFERROR(__xludf.DUMMYFUNCTION("GOOGLETRANSLATE(B27681,""en"",""zh-CN"")"),"男女在篝火旁烤棉花糖，而其他人则在椅子上滑雪或休息。")</f>
        <v>男女在篝火旁烤棉花糖，而其他人则在椅子上滑雪或休息。</v>
      </c>
    </row>
    <row r="27682">
      <c r="A27682" s="4" t="s">
        <v>34853</v>
      </c>
      <c r="B27682" s="6" t="s">
        <v>34855</v>
      </c>
      <c r="C27682" s="5" t="str">
        <f>IFERROR(__xludf.DUMMYFUNCTION("GOOGLETRANSLATE(B27682,""en"",""zh-CN"")"),"一个女人从斜坡上滑下来，小女孩走到她身边，给她一个吻，然后那个女人帮助小女孩滑下斜坡。")</f>
        <v>一个女人从斜坡上滑下来，小女孩走到她身边，给她一个吻，然后那个女人帮助小女孩滑下斜坡。</v>
      </c>
    </row>
    <row r="27683">
      <c r="A27683" s="4" t="s">
        <v>34856</v>
      </c>
      <c r="B27683" s="4" t="s">
        <v>34857</v>
      </c>
      <c r="C27683" s="5" t="str">
        <f>IFERROR(__xludf.DUMMYFUNCTION("GOOGLETRANSLATE(B27683,""en"",""zh-CN"")"),"一个男人在雪中，拿着一条附着在雪上手机上的绳子。")</f>
        <v>一个男人在雪中，拿着一条附着在雪上手机上的绳子。</v>
      </c>
    </row>
    <row r="27684">
      <c r="A27684" s="4" t="s">
        <v>34856</v>
      </c>
      <c r="B27684" s="4" t="s">
        <v>34858</v>
      </c>
      <c r="C27684" s="5" t="str">
        <f>IFERROR(__xludf.DUMMYFUNCTION("GOOGLETRANSLATE(B27684,""en"",""zh-CN"")"),"雪手机开始移动，该人开始在整个场地上滑雪。")</f>
        <v>雪手机开始移动，该人开始在整个场地上滑雪。</v>
      </c>
    </row>
    <row r="27685">
      <c r="A27685" s="4" t="s">
        <v>34856</v>
      </c>
      <c r="B27685" s="4" t="s">
        <v>34859</v>
      </c>
      <c r="C27685" s="5" t="str">
        <f>IFERROR(__xludf.DUMMYFUNCTION("GOOGLETRANSLATE(B27685,""en"",""zh-CN"")"),"他们继续穿过雪和树木的森林进入小屋的停车场。")</f>
        <v>他们继续穿过雪和树木的森林进入小屋的停车场。</v>
      </c>
    </row>
    <row r="27686">
      <c r="A27686" s="4" t="s">
        <v>34860</v>
      </c>
      <c r="B27686" s="4" t="s">
        <v>34861</v>
      </c>
      <c r="C27686" s="5" t="str">
        <f>IFERROR(__xludf.DUMMYFUNCTION("GOOGLETRANSLATE(B27686,""en"",""zh-CN"")"),"看到一个年轻的女孩站着准备低调小提琴。")</f>
        <v>看到一个年轻的女孩站着准备低调小提琴。</v>
      </c>
    </row>
    <row r="27687">
      <c r="A27687" s="4" t="s">
        <v>34860</v>
      </c>
      <c r="B27687" s="4" t="s">
        <v>34862</v>
      </c>
      <c r="C27687" s="5" t="str">
        <f>IFERROR(__xludf.DUMMYFUNCTION("GOOGLETRANSLATE(B27687,""en"",""zh-CN"")"),"然后看到这个女孩在上下移动小提琴时扮演小提琴。")</f>
        <v>然后看到这个女孩在上下移动小提琴时扮演小提琴。</v>
      </c>
    </row>
    <row r="27688">
      <c r="A27688" s="4" t="s">
        <v>34860</v>
      </c>
      <c r="B27688" s="4" t="s">
        <v>34863</v>
      </c>
      <c r="C27688" s="5" t="str">
        <f>IFERROR(__xludf.DUMMYFUNCTION("GOOGLETRANSLATE(B27688,""en"",""zh-CN"")"),"女孩继续演奏乐器，结束时看着相机。")</f>
        <v>女孩继续演奏乐器，结束时看着相机。</v>
      </c>
    </row>
    <row r="27689">
      <c r="A27689" s="4" t="s">
        <v>34864</v>
      </c>
      <c r="B27689" s="4" t="s">
        <v>34865</v>
      </c>
      <c r="C27689" s="5" t="str">
        <f>IFERROR(__xludf.DUMMYFUNCTION("GOOGLETRANSLATE(B27689,""en"",""zh-CN"")"),"一个男人在背上摩擦防晒霜。")</f>
        <v>一个男人在背上摩擦防晒霜。</v>
      </c>
    </row>
    <row r="27690">
      <c r="A27690" s="4" t="s">
        <v>34864</v>
      </c>
      <c r="B27690" s="4" t="s">
        <v>34866</v>
      </c>
      <c r="C27690" s="5" t="str">
        <f>IFERROR(__xludf.DUMMYFUNCTION("GOOGLETRANSLATE(B27690,""en"",""zh-CN"")"),"一个女孩在他身后的海滩上躺在毛巾上。")</f>
        <v>一个女孩在他身后的海滩上躺在毛巾上。</v>
      </c>
    </row>
    <row r="27691">
      <c r="A27691" s="4" t="s">
        <v>34864</v>
      </c>
      <c r="B27691" s="4" t="s">
        <v>34867</v>
      </c>
      <c r="C27691" s="5" t="str">
        <f>IFERROR(__xludf.DUMMYFUNCTION("GOOGLETRANSLATE(B27691,""en"",""zh-CN"")"),"穿着橙色衬衫的人走在他身后。")</f>
        <v>穿着橙色衬衫的人走在他身后。</v>
      </c>
    </row>
    <row r="27692">
      <c r="A27692" s="4" t="s">
        <v>34868</v>
      </c>
      <c r="B27692" s="4" t="s">
        <v>34869</v>
      </c>
      <c r="C27692" s="5" t="str">
        <f>IFERROR(__xludf.DUMMYFUNCTION("GOOGLETRANSLATE(B27692,""en"",""zh-CN"")"),"看到一个人在跳跃前掉进了水中。")</f>
        <v>看到一个人在跳跃前掉进了水中。</v>
      </c>
    </row>
    <row r="27693">
      <c r="A27693" s="4" t="s">
        <v>34868</v>
      </c>
      <c r="B27693" s="4" t="s">
        <v>34870</v>
      </c>
      <c r="C27693" s="5" t="str">
        <f>IFERROR(__xludf.DUMMYFUNCTION("GOOGLETRANSLATE(B27693,""en"",""zh-CN"")"),"看到另一个人在他经过的滑雪板上骑行。")</f>
        <v>看到另一个人在他经过的滑雪板上骑行。</v>
      </c>
    </row>
    <row r="27694">
      <c r="A27694" s="4" t="s">
        <v>34868</v>
      </c>
      <c r="B27694" s="4" t="s">
        <v>34871</v>
      </c>
      <c r="C27694" s="5" t="str">
        <f>IFERROR(__xludf.DUMMYFUNCTION("GOOGLETRANSLATE(B27694,""en"",""zh-CN"")"),"当相机放大水中时，该男子继续骑行。")</f>
        <v>当相机放大水中时，该男子继续骑行。</v>
      </c>
    </row>
    <row r="27695">
      <c r="A27695" s="4" t="s">
        <v>34872</v>
      </c>
      <c r="B27695" s="6" t="s">
        <v>34873</v>
      </c>
      <c r="C27695" s="5" t="str">
        <f>IFERROR(__xludf.DUMMYFUNCTION("GOOGLETRANSLATE(B27695,""en"",""zh-CN"")"),"看到一个男人在大量乐器的前面拿着乐器，并与相机交谈。")</f>
        <v>看到一个男人在大量乐器的前面拿着乐器，并与相机交谈。</v>
      </c>
    </row>
    <row r="27696">
      <c r="A27696" s="4" t="s">
        <v>34872</v>
      </c>
      <c r="B27696" s="6" t="s">
        <v>34874</v>
      </c>
      <c r="C27696" s="5" t="str">
        <f>IFERROR(__xludf.DUMMYFUNCTION("GOOGLETRANSLATE(B27696,""en"",""zh-CN"")"),"然后，该男子连续演奏乐器，并以他暂停并握住乐器结束。")</f>
        <v>然后，该男子连续演奏乐器，并以他暂停并握住乐器结束。</v>
      </c>
    </row>
    <row r="27697">
      <c r="A27697" s="4" t="s">
        <v>34875</v>
      </c>
      <c r="B27697" s="4" t="s">
        <v>34876</v>
      </c>
      <c r="C27697" s="5" t="str">
        <f>IFERROR(__xludf.DUMMYFUNCTION("GOOGLETRANSLATE(B27697,""en"",""zh-CN"")"),"两个人开始在外面站着战斗。")</f>
        <v>两个人开始在外面站着战斗。</v>
      </c>
    </row>
    <row r="27698">
      <c r="A27698" s="4" t="s">
        <v>34875</v>
      </c>
      <c r="B27698" s="4" t="s">
        <v>34877</v>
      </c>
      <c r="C27698" s="5" t="str">
        <f>IFERROR(__xludf.DUMMYFUNCTION("GOOGLETRANSLATE(B27698,""en"",""zh-CN"")"),"一个人把另一个男人扔到桌子上。")</f>
        <v>一个人把另一个男人扔到桌子上。</v>
      </c>
    </row>
    <row r="27699">
      <c r="A27699" s="4" t="s">
        <v>34878</v>
      </c>
      <c r="B27699" s="4" t="s">
        <v>34879</v>
      </c>
      <c r="C27699" s="5" t="str">
        <f>IFERROR(__xludf.DUMMYFUNCTION("GOOGLETRANSLATE(B27699,""en"",""zh-CN"")"),"摄像头放大了一个戴着棒球帽的婴儿，在秋千上骑着棒球帽。")</f>
        <v>摄像头放大了一个戴着棒球帽的婴儿，在秋千上骑着棒球帽。</v>
      </c>
    </row>
    <row r="27700">
      <c r="A27700" s="4" t="s">
        <v>34878</v>
      </c>
      <c r="B27700" s="4" t="s">
        <v>34880</v>
      </c>
      <c r="C27700" s="5" t="str">
        <f>IFERROR(__xludf.DUMMYFUNCTION("GOOGLETRANSLATE(B27700,""en"",""zh-CN"")"),"婴儿不断骑行第四，而另一个孩子则骑着他旁边的秋千。")</f>
        <v>婴儿不断骑行第四，而另一个孩子则骑着他旁边的秋千。</v>
      </c>
    </row>
    <row r="27701">
      <c r="A27701" s="4" t="s">
        <v>34881</v>
      </c>
      <c r="B27701" s="4" t="s">
        <v>34882</v>
      </c>
      <c r="C27701" s="5" t="str">
        <f>IFERROR(__xludf.DUMMYFUNCTION("GOOGLETRANSLATE(B27701,""en"",""zh-CN"")"),"一群女孩坐在一辆旧车上，而身后的一大群汽车四处走动。")</f>
        <v>一群女孩坐在一辆旧车上，而身后的一大群汽车四处走动。</v>
      </c>
    </row>
    <row r="27702">
      <c r="A27702" s="4" t="s">
        <v>34881</v>
      </c>
      <c r="B27702" s="4" t="s">
        <v>34883</v>
      </c>
      <c r="C27702" s="5" t="str">
        <f>IFERROR(__xludf.DUMMYFUNCTION("GOOGLETRANSLATE(B27702,""en"",""zh-CN"")"),"其他人在汽车的街道上穿着圣诞节着装和跳舞。")</f>
        <v>其他人在汽车的街道上穿着圣诞节着装和跳舞。</v>
      </c>
    </row>
    <row r="27703">
      <c r="A27703" s="4" t="s">
        <v>34881</v>
      </c>
      <c r="B27703" s="4" t="s">
        <v>34884</v>
      </c>
      <c r="C27703" s="5" t="str">
        <f>IFERROR(__xludf.DUMMYFUNCTION("GOOGLETRANSLATE(B27703,""en"",""zh-CN"")"),"一群孩子正在演奏乐队，而游行则跟随他们充满跳舞的人。")</f>
        <v>一群孩子正在演奏乐队，而游行则跟随他们充满跳舞的人。</v>
      </c>
    </row>
    <row r="27704">
      <c r="A27704" s="4" t="s">
        <v>34885</v>
      </c>
      <c r="B27704" s="4" t="s">
        <v>34886</v>
      </c>
      <c r="C27704" s="5" t="str">
        <f>IFERROR(__xludf.DUMMYFUNCTION("GOOGLETRANSLATE(B27704,""en"",""zh-CN"")"),"一个男人和一个孩子用刷子绘制篱笆。")</f>
        <v>一个男人和一个孩子用刷子绘制篱笆。</v>
      </c>
    </row>
    <row r="27705">
      <c r="A27705" s="4" t="s">
        <v>34885</v>
      </c>
      <c r="B27705" s="4" t="s">
        <v>34887</v>
      </c>
      <c r="C27705" s="5" t="str">
        <f>IFERROR(__xludf.DUMMYFUNCTION("GOOGLETRANSLATE(B27705,""en"",""zh-CN"")"),"一个婴儿看着男人和蹒跚学步的画。")</f>
        <v>一个婴儿看着男人和蹒跚学步的画。</v>
      </c>
    </row>
    <row r="27706">
      <c r="A27706" s="4" t="s">
        <v>34888</v>
      </c>
      <c r="B27706" s="4" t="s">
        <v>34889</v>
      </c>
      <c r="C27706" s="5" t="str">
        <f>IFERROR(__xludf.DUMMYFUNCTION("GOOGLETRANSLATE(B27706,""en"",""zh-CN"")"),"看到一大批人站在舞台上，而其他人则在旁边看。")</f>
        <v>看到一大批人站在舞台上，而其他人则在旁边看。</v>
      </c>
    </row>
    <row r="27707">
      <c r="A27707" s="4" t="s">
        <v>34888</v>
      </c>
      <c r="B27707" s="4" t="s">
        <v>34890</v>
      </c>
      <c r="C27707" s="5" t="str">
        <f>IFERROR(__xludf.DUMMYFUNCTION("GOOGLETRANSLATE(B27707,""en"",""zh-CN"")"),"然后，啦啦队开始进行例行活动，同时将其他人扔掉并翻转。")</f>
        <v>然后，啦啦队开始进行例行活动，同时将其他人扔掉并翻转。</v>
      </c>
    </row>
    <row r="27708">
      <c r="A27708" s="4" t="s">
        <v>34888</v>
      </c>
      <c r="B27708" s="4" t="s">
        <v>34891</v>
      </c>
      <c r="C27708" s="5" t="str">
        <f>IFERROR(__xludf.DUMMYFUNCTION("GOOGLETRANSLATE(B27708,""en"",""zh-CN"")"),"该小组继续在舞台上表演，结束姿势并走开。")</f>
        <v>该小组继续在舞台上表演，结束姿势并走开。</v>
      </c>
    </row>
    <row r="27709">
      <c r="A27709" s="4" t="s">
        <v>34892</v>
      </c>
      <c r="B27709" s="4" t="s">
        <v>34893</v>
      </c>
      <c r="C27709" s="5" t="str">
        <f>IFERROR(__xludf.DUMMYFUNCTION("GOOGLETRANSLATE(B27709,""en"",""zh-CN"")"),"一个人的双腿靠近他的胸部。")</f>
        <v>一个人的双腿靠近他的胸部。</v>
      </c>
    </row>
    <row r="27710">
      <c r="A27710" s="4" t="s">
        <v>34892</v>
      </c>
      <c r="B27710" s="4" t="s">
        <v>34894</v>
      </c>
      <c r="C27710" s="5" t="str">
        <f>IFERROR(__xludf.DUMMYFUNCTION("GOOGLETRANSLATE(B27710,""en"",""zh-CN"")"),"这个家伙正在通过拉动手柄来锻炼。")</f>
        <v>这个家伙正在通过拉动手柄来锻炼。</v>
      </c>
    </row>
    <row r="27711">
      <c r="A27711" s="4" t="s">
        <v>34892</v>
      </c>
      <c r="B27711" s="4" t="s">
        <v>34895</v>
      </c>
      <c r="C27711" s="5" t="str">
        <f>IFERROR(__xludf.DUMMYFUNCTION("GOOGLETRANSLATE(B27711,""en"",""zh-CN"")"),"这个家伙停止锻炼身体可以固定他的阅读眼镜，并抚摸他的胡须。")</f>
        <v>这个家伙停止锻炼身体可以固定他的阅读眼镜，并抚摸他的胡须。</v>
      </c>
    </row>
    <row r="27712">
      <c r="A27712" s="4" t="s">
        <v>34892</v>
      </c>
      <c r="B27712" s="4" t="s">
        <v>34896</v>
      </c>
      <c r="C27712" s="5" t="str">
        <f>IFERROR(__xludf.DUMMYFUNCTION("GOOGLETRANSLATE(B27712,""en"",""zh-CN"")"),"那家伙从运动机上移开双腿，并触摸旋钮。")</f>
        <v>那家伙从运动机上移开双腿，并触摸旋钮。</v>
      </c>
    </row>
    <row r="27713">
      <c r="A27713" s="4" t="s">
        <v>34897</v>
      </c>
      <c r="B27713" s="4" t="s">
        <v>34898</v>
      </c>
      <c r="C27713" s="5" t="str">
        <f>IFERROR(__xludf.DUMMYFUNCTION("GOOGLETRANSLATE(B27713,""en"",""zh-CN"")"),"我们看到一个女孩在门上跳上蹦床。")</f>
        <v>我们看到一个女孩在门上跳上蹦床。</v>
      </c>
    </row>
    <row r="27714">
      <c r="A27714" s="4" t="s">
        <v>34897</v>
      </c>
      <c r="B27714" s="4" t="s">
        <v>34899</v>
      </c>
      <c r="C27714" s="5" t="str">
        <f>IFERROR(__xludf.DUMMYFUNCTION("GOOGLETRANSLATE(B27714,""en"",""zh-CN"")"),"我们看到女孩在空中旋转。")</f>
        <v>我们看到女孩在空中旋转。</v>
      </c>
    </row>
    <row r="27715">
      <c r="A27715" s="4" t="s">
        <v>34897</v>
      </c>
      <c r="B27715" s="4" t="s">
        <v>34900</v>
      </c>
      <c r="C27715" s="5" t="str">
        <f>IFERROR(__xludf.DUMMYFUNCTION("GOOGLETRANSLATE(B27715,""en"",""zh-CN"")"),"这个女孩进行了一系列翻转。")</f>
        <v>这个女孩进行了一系列翻转。</v>
      </c>
    </row>
    <row r="27716">
      <c r="A27716" s="4" t="s">
        <v>34897</v>
      </c>
      <c r="B27716" s="4" t="s">
        <v>34901</v>
      </c>
      <c r="C27716" s="5" t="str">
        <f>IFERROR(__xludf.DUMMYFUNCTION("GOOGLETRANSLATE(B27716,""en"",""zh-CN"")"),"女孩翻到蓝色盒子里。")</f>
        <v>女孩翻到蓝色盒子里。</v>
      </c>
    </row>
    <row r="27717">
      <c r="A27717" s="4" t="s">
        <v>34897</v>
      </c>
      <c r="B27717" s="4" t="s">
        <v>34902</v>
      </c>
      <c r="C27717" s="5" t="str">
        <f>IFERROR(__xludf.DUMMYFUNCTION("GOOGLETRANSLATE(B27717,""en"",""zh-CN"")"),"这个女孩进行一系列翻转和旋转。")</f>
        <v>这个女孩进行一系列翻转和旋转。</v>
      </c>
    </row>
    <row r="27718">
      <c r="A27718" s="4" t="s">
        <v>34897</v>
      </c>
      <c r="B27718" s="4" t="s">
        <v>34903</v>
      </c>
      <c r="C27718" s="5" t="str">
        <f>IFERROR(__xludf.DUMMYFUNCTION("GOOGLETRANSLATE(B27718,""en"",""zh-CN"")"),"我们看到了标题屏幕，然后看到女孩的吹口哨。")</f>
        <v>我们看到了标题屏幕，然后看到女孩的吹口哨。</v>
      </c>
    </row>
    <row r="27719">
      <c r="A27719" s="4" t="s">
        <v>34897</v>
      </c>
      <c r="B27719" s="4" t="s">
        <v>3608</v>
      </c>
      <c r="C27719" s="5" t="str">
        <f>IFERROR(__xludf.DUMMYFUNCTION("GOOGLETRANSLATE(B27719,""en"",""zh-CN"")"),"我们看到结尾屏幕。")</f>
        <v>我们看到结尾屏幕。</v>
      </c>
    </row>
    <row r="27720">
      <c r="A27720" s="4" t="s">
        <v>34904</v>
      </c>
      <c r="B27720" s="4" t="s">
        <v>34905</v>
      </c>
      <c r="C27720" s="5" t="str">
        <f>IFERROR(__xludf.DUMMYFUNCTION("GOOGLETRANSLATE(B27720,""en"",""zh-CN"")"),"显示一个女人用手向相机说话，相机指向建筑物。")</f>
        <v>显示一个女人用手向相机说话，相机指向建筑物。</v>
      </c>
    </row>
    <row r="27721">
      <c r="A27721" s="4" t="s">
        <v>34904</v>
      </c>
      <c r="B27721" s="6" t="s">
        <v>34906</v>
      </c>
      <c r="C27721" s="5" t="str">
        <f>IFERROR(__xludf.DUMMYFUNCTION("GOOGLETRANSLATE(B27721,""en"",""zh-CN"")"),"她站在建筑物的前面进行几次小舞，并在几座建筑物和位置前继续进行。")</f>
        <v>她站在建筑物的前面进行几次小舞，并在几座建筑物和位置前继续进行。</v>
      </c>
    </row>
    <row r="27722">
      <c r="A27722" s="4" t="s">
        <v>34907</v>
      </c>
      <c r="B27722" s="4" t="s">
        <v>34908</v>
      </c>
      <c r="C27722" s="5" t="str">
        <f>IFERROR(__xludf.DUMMYFUNCTION("GOOGLETRANSLATE(B27722,""en"",""zh-CN"")"),"一个女人在相机上微笑着，用刮刀从汽车上刮下来。")</f>
        <v>一个女人在相机上微笑着，用刮刀从汽车上刮下来。</v>
      </c>
    </row>
    <row r="27723">
      <c r="A27723" s="4" t="s">
        <v>34907</v>
      </c>
      <c r="B27723" s="4" t="s">
        <v>34909</v>
      </c>
      <c r="C27723" s="5" t="str">
        <f>IFERROR(__xludf.DUMMYFUNCTION("GOOGLETRANSLATE(B27723,""en"",""zh-CN"")"),"她在镜头微笑并继续刮擦时与摄影师说话。")</f>
        <v>她在镜头微笑并继续刮擦时与摄影师说话。</v>
      </c>
    </row>
    <row r="27724">
      <c r="A27724" s="4" t="s">
        <v>34910</v>
      </c>
      <c r="B27724" s="4" t="s">
        <v>34911</v>
      </c>
      <c r="C27724" s="5" t="str">
        <f>IFERROR(__xludf.DUMMYFUNCTION("GOOGLETRANSLATE(B27724,""en"",""zh-CN"")"),"我们看到一位女士将一匹马带入马stable，把马缠住了，将他绑起来。")</f>
        <v>我们看到一位女士将一匹马带入马stable，把马缠住了，将他绑起来。</v>
      </c>
    </row>
    <row r="27725">
      <c r="A27725" s="4" t="s">
        <v>34910</v>
      </c>
      <c r="B27725" s="4" t="s">
        <v>34912</v>
      </c>
      <c r="C27725" s="5" t="str">
        <f>IFERROR(__xludf.DUMMYFUNCTION("GOOGLETRANSLATE(B27725,""en"",""zh-CN"")"),"然后，女士刷马，清洗右边马的蹄子。")</f>
        <v>然后，女士刷马，清洗右边马的蹄子。</v>
      </c>
    </row>
    <row r="27726">
      <c r="A27726" s="4" t="s">
        <v>34910</v>
      </c>
      <c r="B27726" s="4" t="s">
        <v>34913</v>
      </c>
      <c r="C27726" s="5" t="str">
        <f>IFERROR(__xludf.DUMMYFUNCTION("GOOGLETRANSLATE(B27726,""en"",""zh-CN"")"),"那位女士然后将产品喷在鬃毛中，然后来了。")</f>
        <v>那位女士然后将产品喷在鬃毛中，然后来了。</v>
      </c>
    </row>
    <row r="27727">
      <c r="A27727" s="4" t="s">
        <v>34910</v>
      </c>
      <c r="B27727" s="4" t="s">
        <v>34914</v>
      </c>
      <c r="C27727" s="5" t="str">
        <f>IFERROR(__xludf.DUMMYFUNCTION("GOOGLETRANSLATE(B27727,""en"",""zh-CN"")"),"那位女士移到马的前面，刷了他的鬃毛。")</f>
        <v>那位女士移到马的前面，刷了他的鬃毛。</v>
      </c>
    </row>
    <row r="27728">
      <c r="A27728" s="4" t="s">
        <v>34910</v>
      </c>
      <c r="B27728" s="4" t="s">
        <v>34915</v>
      </c>
      <c r="C27728" s="5" t="str">
        <f>IFERROR(__xludf.DUMMYFUNCTION("GOOGLETRANSLATE(B27728,""en"",""zh-CN"")"),"女士刷马的左侧，清洁蹄。")</f>
        <v>女士刷马的左侧，清洁蹄。</v>
      </c>
    </row>
    <row r="27729">
      <c r="A27729" s="4" t="s">
        <v>34910</v>
      </c>
      <c r="B27729" s="4" t="s">
        <v>34916</v>
      </c>
      <c r="C27729" s="5" t="str">
        <f>IFERROR(__xludf.DUMMYFUNCTION("GOOGLETRANSLATE(B27729,""en"",""zh-CN"")"),"然后，女士刷尾巴，马和女士离开。")</f>
        <v>然后，女士刷尾巴，马和女士离开。</v>
      </c>
    </row>
    <row r="27730">
      <c r="A27730" s="4" t="s">
        <v>34917</v>
      </c>
      <c r="B27730" s="6" t="s">
        <v>34918</v>
      </c>
      <c r="C27730" s="5" t="str">
        <f>IFERROR(__xludf.DUMMYFUNCTION("GOOGLETRANSLATE(B27730,""en"",""zh-CN"")"),"显示各种成分的图片，后面是在切菜板上放置的成分图片。")</f>
        <v>显示各种成分的图片，后面是在切菜板上放置的成分图片。</v>
      </c>
    </row>
    <row r="27731">
      <c r="A27731" s="4" t="s">
        <v>34917</v>
      </c>
      <c r="B27731" s="6" t="s">
        <v>34919</v>
      </c>
      <c r="C27731" s="5" t="str">
        <f>IFERROR(__xludf.DUMMYFUNCTION("GOOGLETRANSLATE(B27731,""en"",""zh-CN"")"),"这些图片用手覆盖并将其挤入球。")</f>
        <v>这些图片用手覆盖并将其挤入球。</v>
      </c>
    </row>
    <row r="27732">
      <c r="A27732" s="4" t="s">
        <v>34917</v>
      </c>
      <c r="B27732" s="6" t="s">
        <v>34920</v>
      </c>
      <c r="C27732" s="5" t="str">
        <f>IFERROR(__xludf.DUMMYFUNCTION("GOOGLETRANSLATE(B27732,""en"",""zh-CN"")"),"显示了在锅中煮熟的食物的图片和视频，后面是一个人将其拿出来并用刀将其切割。")</f>
        <v>显示了在锅中煮熟的食物的图片和视频，后面是一个人将其拿出来并用刀将其切割。</v>
      </c>
    </row>
    <row r="27733">
      <c r="A27733" s="4" t="s">
        <v>34917</v>
      </c>
      <c r="B27733" s="4" t="s">
        <v>34921</v>
      </c>
      <c r="C27733" s="5" t="str">
        <f>IFERROR(__xludf.DUMMYFUNCTION("GOOGLETRANSLATE(B27733,""en"",""zh-CN"")"),"最后，显示了成品食品的图片。")</f>
        <v>最后，显示了成品食品的图片。</v>
      </c>
    </row>
    <row r="27734">
      <c r="A27734" s="4" t="s">
        <v>34922</v>
      </c>
      <c r="B27734" s="4" t="s">
        <v>3859</v>
      </c>
      <c r="C27734" s="5" t="str">
        <f>IFERROR(__xludf.DUMMYFUNCTION("GOOGLETRANSLATE(B27734,""en"",""zh-CN"")"),"我们看到一个开放标题屏幕。")</f>
        <v>我们看到一个开放标题屏幕。</v>
      </c>
    </row>
    <row r="27735">
      <c r="A27735" s="4" t="s">
        <v>34922</v>
      </c>
      <c r="B27735" s="4" t="s">
        <v>34923</v>
      </c>
      <c r="C27735" s="5" t="str">
        <f>IFERROR(__xludf.DUMMYFUNCTION("GOOGLETRANSLATE(B27735,""en"",""zh-CN"")"),"我们看到人们用黄色的筏子漂流到一条河上。")</f>
        <v>我们看到人们用黄色的筏子漂流到一条河上。</v>
      </c>
    </row>
    <row r="27736">
      <c r="A27736" s="4" t="s">
        <v>34922</v>
      </c>
      <c r="B27736" s="4" t="s">
        <v>34924</v>
      </c>
      <c r="C27736" s="5" t="str">
        <f>IFERROR(__xludf.DUMMYFUNCTION("GOOGLETRANSLATE(B27736,""en"",""zh-CN"")"),"筏子被推翻，人们掉进了河中。")</f>
        <v>筏子被推翻，人们掉进了河中。</v>
      </c>
    </row>
    <row r="27737">
      <c r="A27737" s="4" t="s">
        <v>34922</v>
      </c>
      <c r="B27737" s="4" t="s">
        <v>34925</v>
      </c>
      <c r="C27737" s="5" t="str">
        <f>IFERROR(__xludf.DUMMYFUNCTION("GOOGLETRANSLATE(B27737,""en"",""zh-CN"")"),"人们躲在一棵低矮的树的树枝下，右前人站着和舞蹈。")</f>
        <v>人们躲在一棵低矮的树的树枝下，右前人站着和舞蹈。</v>
      </c>
    </row>
    <row r="27738">
      <c r="A27738" s="4" t="s">
        <v>34922</v>
      </c>
      <c r="B27738" s="4" t="s">
        <v>34926</v>
      </c>
      <c r="C27738" s="5" t="str">
        <f>IFERROR(__xludf.DUMMYFUNCTION("GOOGLETRANSLATE(B27738,""en"",""zh-CN"")"),"筏子后面的一个男人向前走。")</f>
        <v>筏子后面的一个男人向前走。</v>
      </c>
    </row>
    <row r="27739">
      <c r="A27739" s="4" t="s">
        <v>34922</v>
      </c>
      <c r="B27739" s="4" t="s">
        <v>777</v>
      </c>
      <c r="C27739" s="5" t="str">
        <f>IFERROR(__xludf.DUMMYFUNCTION("GOOGLETRANSLATE(B27739,""en"",""zh-CN"")"),"我们看到结尾标题屏幕。")</f>
        <v>我们看到结尾标题屏幕。</v>
      </c>
    </row>
    <row r="27740">
      <c r="A27740" s="4" t="s">
        <v>34927</v>
      </c>
      <c r="B27740" s="4" t="s">
        <v>34928</v>
      </c>
      <c r="C27740" s="5" t="str">
        <f>IFERROR(__xludf.DUMMYFUNCTION("GOOGLETRANSLATE(B27740,""en"",""zh-CN"")"),"一些球队正在球场上玩游戏，其中之一得分。")</f>
        <v>一些球队正在球场上玩游戏，其中之一得分。</v>
      </c>
    </row>
    <row r="27741">
      <c r="A27741" s="4" t="s">
        <v>34927</v>
      </c>
      <c r="B27741" s="4" t="s">
        <v>34929</v>
      </c>
      <c r="C27741" s="5" t="str">
        <f>IFERROR(__xludf.DUMMYFUNCTION("GOOGLETRANSLATE(B27741,""en"",""zh-CN"")"),"观众发疯，然后团队重新试图进球。")</f>
        <v>观众发疯，然后团队重新试图进球。</v>
      </c>
    </row>
    <row r="27742">
      <c r="A27742" s="4" t="s">
        <v>34927</v>
      </c>
      <c r="B27742" s="4" t="s">
        <v>34930</v>
      </c>
      <c r="C27742" s="5" t="str">
        <f>IFERROR(__xludf.DUMMYFUNCTION("GOOGLETRANSLATE(B27742,""en"",""zh-CN"")"),"黄队的那个家伙把球放在棍子上，他很快就跑了，他得分。")</f>
        <v>黄队的那个家伙把球放在棍子上，他很快就跑了，他得分。</v>
      </c>
    </row>
    <row r="27743">
      <c r="A27743" s="4" t="s">
        <v>34927</v>
      </c>
      <c r="B27743" s="4" t="s">
        <v>34931</v>
      </c>
      <c r="C27743" s="5" t="str">
        <f>IFERROR(__xludf.DUMMYFUNCTION("GOOGLETRANSLATE(B27743,""en"",""zh-CN"")"),"他们将奖杯放在空中，兴奋地大喊。")</f>
        <v>他们将奖杯放在空中，兴奋地大喊。</v>
      </c>
    </row>
    <row r="27744">
      <c r="A27744" s="4" t="s">
        <v>34932</v>
      </c>
      <c r="B27744" s="4" t="s">
        <v>34933</v>
      </c>
      <c r="C27744" s="5" t="str">
        <f>IFERROR(__xludf.DUMMYFUNCTION("GOOGLETRANSLATE(B27744,""en"",""zh-CN"")"),"一个穿着黑色外套的男人站在人行道上。")</f>
        <v>一个穿着黑色外套的男人站在人行道上。</v>
      </c>
    </row>
    <row r="27745">
      <c r="A27745" s="4" t="s">
        <v>34932</v>
      </c>
      <c r="B27745" s="4" t="s">
        <v>34934</v>
      </c>
      <c r="C27745" s="5" t="str">
        <f>IFERROR(__xludf.DUMMYFUNCTION("GOOGLETRANSLATE(B27745,""en"",""zh-CN"")"),"他走到汽车上，开始从窗户上刮下雪。")</f>
        <v>他走到汽车上，开始从窗户上刮下雪。</v>
      </c>
    </row>
    <row r="27746">
      <c r="A27746" s="4" t="s">
        <v>34932</v>
      </c>
      <c r="B27746" s="4" t="s">
        <v>34935</v>
      </c>
      <c r="C27746" s="5" t="str">
        <f>IFERROR(__xludf.DUMMYFUNCTION("GOOGLETRANSLATE(B27746,""en"",""zh-CN"")"),"雪落在汽车前面的地面上。")</f>
        <v>雪落在汽车前面的地面上。</v>
      </c>
    </row>
    <row r="27747">
      <c r="A27747" s="4" t="s">
        <v>34936</v>
      </c>
      <c r="B27747" s="4" t="s">
        <v>34937</v>
      </c>
      <c r="C27747" s="5" t="str">
        <f>IFERROR(__xludf.DUMMYFUNCTION("GOOGLETRANSLATE(B27747,""en"",""zh-CN"")"),"一个男人和一个小女孩站在海滩上。")</f>
        <v>一个男人和一个小女孩站在海滩上。</v>
      </c>
    </row>
    <row r="27748">
      <c r="A27748" s="4" t="s">
        <v>34936</v>
      </c>
      <c r="B27748" s="4" t="s">
        <v>34938</v>
      </c>
      <c r="C27748" s="5" t="str">
        <f>IFERROR(__xludf.DUMMYFUNCTION("GOOGLETRANSLATE(B27748,""en"",""zh-CN"")"),"该男子捡起女孩，拿起冲浪板。")</f>
        <v>该男子捡起女孩，拿起冲浪板。</v>
      </c>
    </row>
    <row r="27749">
      <c r="A27749" s="4" t="s">
        <v>34936</v>
      </c>
      <c r="B27749" s="4" t="s">
        <v>34939</v>
      </c>
      <c r="C27749" s="5" t="str">
        <f>IFERROR(__xludf.DUMMYFUNCTION("GOOGLETRANSLATE(B27749,""en"",""zh-CN"")"),"他和她的背上一起在水里冲浪。")</f>
        <v>他和她的背上一起在水里冲浪。</v>
      </c>
    </row>
    <row r="27750">
      <c r="A27750" s="4" t="s">
        <v>34940</v>
      </c>
      <c r="B27750" s="4" t="s">
        <v>34941</v>
      </c>
      <c r="C27750" s="5" t="str">
        <f>IFERROR(__xludf.DUMMYFUNCTION("GOOGLETRANSLATE(B27750,""en"",""zh-CN"")"),"一个男人握住猫的后爪，并将其指甲坐在地板上。")</f>
        <v>一个男人握住猫的后爪，并将其指甲坐在地板上。</v>
      </c>
    </row>
    <row r="27751">
      <c r="A27751" s="4" t="s">
        <v>34940</v>
      </c>
      <c r="B27751" s="4" t="s">
        <v>34942</v>
      </c>
      <c r="C27751" s="5" t="str">
        <f>IFERROR(__xludf.DUMMYFUNCTION("GOOGLETRANSLATE(B27751,""en"",""zh-CN"")"),"该男子完成了一个爪子，然后与猫搏斗。")</f>
        <v>该男子完成了一个爪子，然后与猫搏斗。</v>
      </c>
    </row>
    <row r="27752">
      <c r="A27752" s="4" t="s">
        <v>34940</v>
      </c>
      <c r="B27752" s="4" t="s">
        <v>34943</v>
      </c>
      <c r="C27752" s="5" t="str">
        <f>IFERROR(__xludf.DUMMYFUNCTION("GOOGLETRANSLATE(B27752,""en"",""zh-CN"")"),"猫肚子的宠物。")</f>
        <v>猫肚子的宠物。</v>
      </c>
    </row>
    <row r="27753">
      <c r="A27753" s="4" t="s">
        <v>34940</v>
      </c>
      <c r="B27753" s="4" t="s">
        <v>34944</v>
      </c>
      <c r="C27753" s="5" t="str">
        <f>IFERROR(__xludf.DUMMYFUNCTION("GOOGLETRANSLATE(B27753,""en"",""zh-CN"")"),"该男子完成工作后检查猫。")</f>
        <v>该男子完成工作后检查猫。</v>
      </c>
    </row>
    <row r="27754">
      <c r="A27754" s="4" t="s">
        <v>34945</v>
      </c>
      <c r="B27754" s="4" t="s">
        <v>34946</v>
      </c>
      <c r="C27754" s="5" t="str">
        <f>IFERROR(__xludf.DUMMYFUNCTION("GOOGLETRANSLATE(B27754,""en"",""zh-CN"")"),"下一个带有柠檬水的杯子是带有柠​​檬水的罐子。")</f>
        <v>下一个带有柠檬水的杯子是带有柠​​檬水的罐子。</v>
      </c>
    </row>
    <row r="27755">
      <c r="A27755" s="4" t="s">
        <v>34945</v>
      </c>
      <c r="B27755" s="6" t="s">
        <v>34947</v>
      </c>
      <c r="C27755" s="5" t="str">
        <f>IFERROR(__xludf.DUMMYFUNCTION("GOOGLETRANSLATE(B27755,""en"",""zh-CN"")"),"桌子上有一个碗，上面有三杯冷水，一杯柠檬汁，一杯水和一杯糖。")</f>
        <v>桌子上有一个碗，上面有三杯冷水，一杯柠檬汁，一杯水和一杯糖。</v>
      </c>
    </row>
    <row r="27756">
      <c r="A27756" s="4" t="s">
        <v>34945</v>
      </c>
      <c r="B27756" s="4" t="s">
        <v>34948</v>
      </c>
      <c r="C27756" s="5" t="str">
        <f>IFERROR(__xludf.DUMMYFUNCTION("GOOGLETRANSLATE(B27756,""en"",""zh-CN"")"),"然后，一个人加糖和柠檬水加热。")</f>
        <v>然后，一个人加糖和柠檬水加热。</v>
      </c>
    </row>
    <row r="27757">
      <c r="A27757" s="4" t="s">
        <v>34945</v>
      </c>
      <c r="B27757" s="4" t="s">
        <v>34949</v>
      </c>
      <c r="C27757" s="5" t="str">
        <f>IFERROR(__xludf.DUMMYFUNCTION("GOOGLETRANSLATE(B27757,""en"",""zh-CN"")"),"然后，该人将柠檬水添加到罐子中，并在杯子里食用。")</f>
        <v>然后，该人将柠檬水添加到罐子中，并在杯子里食用。</v>
      </c>
    </row>
    <row r="27758">
      <c r="A27758" s="4" t="s">
        <v>34950</v>
      </c>
      <c r="B27758" s="4" t="s">
        <v>34951</v>
      </c>
      <c r="C27758" s="5" t="str">
        <f>IFERROR(__xludf.DUMMYFUNCTION("GOOGLETRANSLATE(B27758,""en"",""zh-CN"")"),"一个男人在一个桌子上的报纸上的车库里。")</f>
        <v>一个男人在一个桌子上的报纸上的车库里。</v>
      </c>
    </row>
    <row r="27759">
      <c r="A27759" s="4" t="s">
        <v>34950</v>
      </c>
      <c r="B27759" s="4" t="s">
        <v>34952</v>
      </c>
      <c r="C27759" s="5" t="str">
        <f>IFERROR(__xludf.DUMMYFUNCTION("GOOGLETRANSLATE(B27759,""en"",""zh-CN"")"),"他展示了如何将顶部切掉南瓜，并去除内部。")</f>
        <v>他展示了如何将顶部切掉南瓜，并去除内部。</v>
      </c>
    </row>
    <row r="27760">
      <c r="A27760" s="4" t="s">
        <v>34950</v>
      </c>
      <c r="B27760" s="4" t="s">
        <v>34953</v>
      </c>
      <c r="C27760" s="5" t="str">
        <f>IFERROR(__xludf.DUMMYFUNCTION("GOOGLETRANSLATE(B27760,""en"",""zh-CN"")"),"然后，他将设计雕刻成南瓜，创造出新颖的jackolantern。")</f>
        <v>然后，他将设计雕刻成南瓜，创造出新颖的jackolantern。</v>
      </c>
    </row>
    <row r="27761">
      <c r="A27761" s="4" t="s">
        <v>34954</v>
      </c>
      <c r="B27761" s="4" t="s">
        <v>34955</v>
      </c>
      <c r="C27761" s="5" t="str">
        <f>IFERROR(__xludf.DUMMYFUNCTION("GOOGLETRANSLATE(B27761,""en"",""zh-CN"")"),"一群人在沙漠中的马上骑马。")</f>
        <v>一群人在沙漠中的马上骑马。</v>
      </c>
    </row>
    <row r="27762">
      <c r="A27762" s="4" t="s">
        <v>34954</v>
      </c>
      <c r="B27762" s="4" t="s">
        <v>34956</v>
      </c>
      <c r="C27762" s="5" t="str">
        <f>IFERROR(__xludf.DUMMYFUNCTION("GOOGLETRANSLATE(B27762,""en"",""zh-CN"")"),"一个男人在骑马并为土地的各种镜头时与镜头说话。")</f>
        <v>一个男人在骑马并为土地的各种镜头时与镜头说话。</v>
      </c>
    </row>
    <row r="27763">
      <c r="A27763" s="4" t="s">
        <v>34954</v>
      </c>
      <c r="B27763" s="6" t="s">
        <v>34957</v>
      </c>
      <c r="C27763" s="5" t="str">
        <f>IFERROR(__xludf.DUMMYFUNCTION("GOOGLETRANSLATE(B27763,""en"",""zh-CN"")"),"他在马上炫耀了其他几个人，并继续谈论他的冒险封闭到镜头。")</f>
        <v>他在马上炫耀了其他几个人，并继续谈论他的冒险封闭到镜头。</v>
      </c>
    </row>
    <row r="27764">
      <c r="A27764" s="4" t="s">
        <v>34958</v>
      </c>
      <c r="B27764" s="4" t="s">
        <v>34959</v>
      </c>
      <c r="C27764" s="5" t="str">
        <f>IFERROR(__xludf.DUMMYFUNCTION("GOOGLETRANSLATE(B27764,""en"",""zh-CN"")"),"一个人打开门，走进厨房。")</f>
        <v>一个人打开门，走进厨房。</v>
      </c>
    </row>
    <row r="27765">
      <c r="A27765" s="4" t="s">
        <v>34958</v>
      </c>
      <c r="B27765" s="4" t="s">
        <v>34960</v>
      </c>
      <c r="C27765" s="5" t="str">
        <f>IFERROR(__xludf.DUMMYFUNCTION("GOOGLETRANSLATE(B27765,""en"",""zh-CN"")"),"一个女人坐在厨房的柜台上，剃了腿在水槽里。")</f>
        <v>一个女人坐在厨房的柜台上，剃了腿在水槽里。</v>
      </c>
    </row>
    <row r="27766">
      <c r="A27766" s="4" t="s">
        <v>34961</v>
      </c>
      <c r="B27766" s="6" t="s">
        <v>34962</v>
      </c>
      <c r="C27766" s="5" t="str">
        <f>IFERROR(__xludf.DUMMYFUNCTION("GOOGLETRANSLATE(B27766,""en"",""zh-CN"")"),"简介导致一群妇女站在一块运动器材后面的木地板上。")</f>
        <v>简介导致一群妇女站在一块运动器材后面的木地板上。</v>
      </c>
    </row>
    <row r="27767">
      <c r="A27767" s="4" t="s">
        <v>34961</v>
      </c>
      <c r="B27767" s="6" t="s">
        <v>34963</v>
      </c>
      <c r="C27767" s="5" t="str">
        <f>IFERROR(__xludf.DUMMYFUNCTION("GOOGLETRANSLATE(B27767,""en"",""zh-CN"")"),"然后，妇女开始向后退，上下移动设备，而前面的女人大声说出来。")</f>
        <v>然后，妇女开始向后退，上下移动设备，而前面的女人大声说出来。</v>
      </c>
    </row>
    <row r="27768">
      <c r="A27768" s="4" t="s">
        <v>34964</v>
      </c>
      <c r="B27768" s="4" t="s">
        <v>34965</v>
      </c>
      <c r="C27768" s="5" t="str">
        <f>IFERROR(__xludf.DUMMYFUNCTION("GOOGLETRANSLATE(B27768,""en"",""zh-CN"")"),"一个人演示了如何制作鸡蛋沙拉三明治。")</f>
        <v>一个人演示了如何制作鸡蛋沙拉三明治。</v>
      </c>
    </row>
    <row r="27769">
      <c r="A27769" s="4" t="s">
        <v>34964</v>
      </c>
      <c r="B27769" s="4" t="s">
        <v>34966</v>
      </c>
      <c r="C27769" s="5" t="str">
        <f>IFERROR(__xludf.DUMMYFUNCTION("GOOGLETRANSLATE(B27769,""en"",""zh-CN"")"),"一个男人开始以近距离的角度与相机交谈，然后咬一口三明治。")</f>
        <v>一个男人开始以近距离的角度与相机交谈，然后咬一口三明治。</v>
      </c>
    </row>
    <row r="27770">
      <c r="A27770" s="4" t="s">
        <v>34964</v>
      </c>
      <c r="B27770" s="4" t="s">
        <v>34967</v>
      </c>
      <c r="C27770" s="5" t="str">
        <f>IFERROR(__xludf.DUMMYFUNCTION("GOOGLETRANSLATE(B27770,""en"",""zh-CN"")"),"显示了一块三明治制作材料的莎。")</f>
        <v>显示了一块三明治制作材料的莎。</v>
      </c>
    </row>
    <row r="27771">
      <c r="A27771" s="4" t="s">
        <v>34964</v>
      </c>
      <c r="B27771" s="4" t="s">
        <v>34968</v>
      </c>
      <c r="C27771" s="5" t="str">
        <f>IFERROR(__xludf.DUMMYFUNCTION("GOOGLETRANSLATE(B27771,""en"",""zh-CN"")"),"将鸡蛋煮在锅中，然后将鸡蛋在冷水下运行。")</f>
        <v>将鸡蛋煮在锅中，然后将鸡蛋在冷水下运行。</v>
      </c>
    </row>
    <row r="27772">
      <c r="A27772" s="4" t="s">
        <v>34964</v>
      </c>
      <c r="B27772" s="6" t="s">
        <v>34969</v>
      </c>
      <c r="C27772" s="5" t="str">
        <f>IFERROR(__xludf.DUMMYFUNCTION("GOOGLETRANSLATE(B27772,""en"",""zh-CN"")"),"将芹菜与其他蔬菜一起切成碎片，然后将鸡蛋与此混合，并显示成品三明治。")</f>
        <v>将芹菜与其他蔬菜一起切成碎片，然后将鸡蛋与此混合，并显示成品三明治。</v>
      </c>
    </row>
    <row r="27773">
      <c r="A27773" s="4" t="s">
        <v>34970</v>
      </c>
      <c r="B27773" s="4" t="s">
        <v>34971</v>
      </c>
      <c r="C27773" s="5" t="str">
        <f>IFERROR(__xludf.DUMMYFUNCTION("GOOGLETRANSLATE(B27773,""en"",""zh-CN"")"),"酒保谈论如何制作适当的鸡尾酒。")</f>
        <v>酒保谈论如何制作适当的鸡尾酒。</v>
      </c>
    </row>
    <row r="27774">
      <c r="A27774" s="4" t="s">
        <v>34970</v>
      </c>
      <c r="B27774" s="4" t="s">
        <v>34972</v>
      </c>
      <c r="C27774" s="5" t="str">
        <f>IFERROR(__xludf.DUMMYFUNCTION("GOOGLETRANSLATE(B27774,""en"",""zh-CN"")"),"他抓住玻璃杯，将冰放入玻璃杯中。")</f>
        <v>他抓住玻璃杯，将冰放入玻璃杯中。</v>
      </c>
    </row>
    <row r="27775">
      <c r="A27775" s="4" t="s">
        <v>34970</v>
      </c>
      <c r="B27775" s="4" t="s">
        <v>34973</v>
      </c>
      <c r="C27775" s="5" t="str">
        <f>IFERROR(__xludf.DUMMYFUNCTION("GOOGLETRANSLATE(B27775,""en"",""zh-CN"")"),"然后，他将伏特加酒和苏打水混合在一起。")</f>
        <v>然后，他将伏特加酒和苏打水混合在一起。</v>
      </c>
    </row>
    <row r="27776">
      <c r="A27776" s="4" t="s">
        <v>34970</v>
      </c>
      <c r="B27776" s="4" t="s">
        <v>34974</v>
      </c>
      <c r="C27776" s="5" t="str">
        <f>IFERROR(__xludf.DUMMYFUNCTION("GOOGLETRANSLATE(B27776,""en"",""zh-CN"")"),"他抓住柠檬，将其放在玻璃杯中完成。")</f>
        <v>他抓住柠檬，将其放在玻璃杯中完成。</v>
      </c>
    </row>
    <row r="27777">
      <c r="A27777" s="4" t="s">
        <v>34975</v>
      </c>
      <c r="B27777" s="4" t="s">
        <v>34976</v>
      </c>
      <c r="C27777" s="5" t="str">
        <f>IFERROR(__xludf.DUMMYFUNCTION("GOOGLETRANSLATE(B27777,""en"",""zh-CN"")"),"在一个灰尘中显示的各种物体的闭合，并导致一个拿着袋子的人。")</f>
        <v>在一个灰尘中显示的各种物体的闭合，并导致一个拿着袋子的人。</v>
      </c>
    </row>
    <row r="27778">
      <c r="A27778" s="4" t="s">
        <v>34975</v>
      </c>
      <c r="B27778" s="4" t="s">
        <v>34977</v>
      </c>
      <c r="C27778" s="5" t="str">
        <f>IFERROR(__xludf.DUMMYFUNCTION("GOOGLETRANSLATE(B27778,""en"",""zh-CN"")"),"然后，该人打开袋子，并指向泥土中的物体，并点亮了一场比赛。")</f>
        <v>然后，该人打开袋子，并指向泥土中的物体，并点亮了一场比赛。</v>
      </c>
    </row>
    <row r="27779">
      <c r="A27779" s="4" t="s">
        <v>34975</v>
      </c>
      <c r="B27779" s="4" t="s">
        <v>34978</v>
      </c>
      <c r="C27779" s="5" t="str">
        <f>IFERROR(__xludf.DUMMYFUNCTION("GOOGLETRANSLATE(B27779,""en"",""zh-CN"")"),"物体着火，相机放大了燃烧的物体。")</f>
        <v>物体着火，相机放大了燃烧的物体。</v>
      </c>
    </row>
    <row r="27780">
      <c r="A27780" s="4" t="s">
        <v>34979</v>
      </c>
      <c r="B27780" s="4" t="s">
        <v>34980</v>
      </c>
      <c r="C27780" s="5" t="str">
        <f>IFERROR(__xludf.DUMMYFUNCTION("GOOGLETRANSLATE(B27780,""en"",""zh-CN"")"),"一群朋友穿过热带丛林中的小急流中的管道。")</f>
        <v>一群朋友穿过热带丛林中的小急流中的管道。</v>
      </c>
    </row>
    <row r="27781">
      <c r="A27781" s="4" t="s">
        <v>34979</v>
      </c>
      <c r="B27781" s="4" t="s">
        <v>34981</v>
      </c>
      <c r="C27781" s="5" t="str">
        <f>IFERROR(__xludf.DUMMYFUNCTION("GOOGLETRANSLATE(B27781,""en"",""zh-CN"")"),"该小组经过大巨石从水中弹出。")</f>
        <v>该小组经过大巨石从水中弹出。</v>
      </c>
    </row>
    <row r="27782">
      <c r="A27782" s="4" t="s">
        <v>34982</v>
      </c>
      <c r="B27782" s="4" t="s">
        <v>34983</v>
      </c>
      <c r="C27782" s="5" t="str">
        <f>IFERROR(__xludf.DUMMYFUNCTION("GOOGLETRANSLATE(B27782,""en"",""zh-CN"")"),"一个男孩站在田野的高草中。")</f>
        <v>一个男孩站在田野的高草中。</v>
      </c>
    </row>
    <row r="27783">
      <c r="A27783" s="4" t="s">
        <v>34982</v>
      </c>
      <c r="B27783" s="4" t="s">
        <v>34984</v>
      </c>
      <c r="C27783" s="5" t="str">
        <f>IFERROR(__xludf.DUMMYFUNCTION("GOOGLETRANSLATE(B27783,""en"",""zh-CN"")"),"他握着风筝。")</f>
        <v>他握着风筝。</v>
      </c>
    </row>
    <row r="27784">
      <c r="A27784" s="4" t="s">
        <v>34982</v>
      </c>
      <c r="B27784" s="4" t="s">
        <v>34985</v>
      </c>
      <c r="C27784" s="5" t="str">
        <f>IFERROR(__xludf.DUMMYFUNCTION("GOOGLETRANSLATE(B27784,""en"",""zh-CN"")"),"他向后倾斜，被风的力量吸毒。")</f>
        <v>他向后倾斜，被风的力量吸毒。</v>
      </c>
    </row>
    <row r="27785">
      <c r="A27785" s="4" t="s">
        <v>34986</v>
      </c>
      <c r="B27785" s="6" t="s">
        <v>34987</v>
      </c>
      <c r="C27785" s="5" t="str">
        <f>IFERROR(__xludf.DUMMYFUNCTION("GOOGLETRANSLATE(B27785,""en"",""zh-CN"")"),"一个男人穿着牛仔裤坐在沙发上，他的腿上拿着一把吉他，用右手踩着弹奏，用左手敲打上弦。")</f>
        <v>一个男人穿着牛仔裤坐在沙发上，他的腿上拿着一把吉他，用右手踩着弹奏，用左手敲打上弦。</v>
      </c>
    </row>
    <row r="27786">
      <c r="A27786" s="4" t="s">
        <v>34986</v>
      </c>
      <c r="B27786" s="4" t="s">
        <v>34988</v>
      </c>
      <c r="C27786" s="5" t="str">
        <f>IFERROR(__xludf.DUMMYFUNCTION("GOOGLETRANSLATE(B27786,""en"",""zh-CN"")"),"该男子放慢了脚步，停止弹奏并敲打吉他。")</f>
        <v>该男子放慢了脚步，停止弹奏并敲打吉他。</v>
      </c>
    </row>
    <row r="27787">
      <c r="A27787" s="4" t="s">
        <v>34986</v>
      </c>
      <c r="B27787" s="6" t="s">
        <v>34989</v>
      </c>
      <c r="C27787" s="5" t="str">
        <f>IFERROR(__xludf.DUMMYFUNCTION("GOOGLETRANSLATE(B27787,""en"",""zh-CN"")"),"出现了五颜六色的屏幕，并在下雪时显示了一个宠物小精灵站在户外的卡通图片，红色的单词上写着“口袋妖怪托运镇”。")</f>
        <v>出现了五颜六色的屏幕，并在下雪时显示了一个宠物小精灵站在户外的卡通图片，红色的单词上写着“口袋妖怪托运镇”。</v>
      </c>
    </row>
    <row r="27788">
      <c r="A27788" s="4" t="s">
        <v>34990</v>
      </c>
      <c r="B27788" s="4" t="s">
        <v>34991</v>
      </c>
      <c r="C27788" s="5" t="str">
        <f>IFERROR(__xludf.DUMMYFUNCTION("GOOGLETRANSLATE(B27788,""en"",""zh-CN"")"),"人们站在马的背上。")</f>
        <v>人们站在马的背上。</v>
      </c>
    </row>
    <row r="27789">
      <c r="A27789" s="4" t="s">
        <v>34990</v>
      </c>
      <c r="B27789" s="4" t="s">
        <v>34992</v>
      </c>
      <c r="C27789" s="5" t="str">
        <f>IFERROR(__xludf.DUMMYFUNCTION("GOOGLETRANSLATE(B27789,""en"",""zh-CN"")"),"三个女孩正在和镜头说话。")</f>
        <v>三个女孩正在和镜头说话。</v>
      </c>
    </row>
    <row r="27790">
      <c r="A27790" s="4" t="s">
        <v>34990</v>
      </c>
      <c r="B27790" s="4" t="s">
        <v>34993</v>
      </c>
      <c r="C27790" s="5" t="str">
        <f>IFERROR(__xludf.DUMMYFUNCTION("GOOGLETRANSLATE(B27790,""en"",""zh-CN"")"),"马正在越过一条土路。")</f>
        <v>马正在越过一条土路。</v>
      </c>
    </row>
    <row r="27791">
      <c r="A27791" s="4" t="s">
        <v>34994</v>
      </c>
      <c r="B27791" s="4" t="s">
        <v>34995</v>
      </c>
      <c r="C27791" s="5" t="str">
        <f>IFERROR(__xludf.DUMMYFUNCTION("GOOGLETRANSLATE(B27791,""en"",""zh-CN"")"),"看到一个男人在飞机上拿着狗时在相机上说话。")</f>
        <v>看到一个男人在飞机上拿着狗时在相机上说话。</v>
      </c>
    </row>
    <row r="27792">
      <c r="A27792" s="4" t="s">
        <v>34994</v>
      </c>
      <c r="B27792" s="4" t="s">
        <v>34996</v>
      </c>
      <c r="C27792" s="5" t="str">
        <f>IFERROR(__xludf.DUMMYFUNCTION("GOOGLETRANSLATE(B27792,""en"",""zh-CN"")"),"几个剪辑显示了与狗和水下的飞机上的那个人。")</f>
        <v>几个剪辑显示了与狗和水下的飞机上的那个人。</v>
      </c>
    </row>
    <row r="27793">
      <c r="A27793" s="4" t="s">
        <v>34994</v>
      </c>
      <c r="B27793" s="4" t="s">
        <v>34997</v>
      </c>
      <c r="C27793" s="5" t="str">
        <f>IFERROR(__xludf.DUMMYFUNCTION("GOOGLETRANSLATE(B27793,""en"",""zh-CN"")"),"当一个女人与镜头说话时，男人手里拿着狗进行了几项活动。")</f>
        <v>当一个女人与镜头说话时，男人手里拿着狗进行了几项活动。</v>
      </c>
    </row>
    <row r="27794">
      <c r="A27794" s="4" t="s">
        <v>34998</v>
      </c>
      <c r="B27794" s="6" t="s">
        <v>34999</v>
      </c>
      <c r="C27794" s="5" t="str">
        <f>IFERROR(__xludf.DUMMYFUNCTION("GOOGLETRANSLATE(B27794,""en"",""zh-CN"")"),"一个摄像机在白雪皑皑的屋顶周围竖起，然后进入一个男人，将雪从屋顶上推入并下方的地面上。")</f>
        <v>一个摄像机在白雪皑皑的屋顶周围竖起，然后进入一个男人，将雪从屋顶上推入并下方的地面上。</v>
      </c>
    </row>
    <row r="27795">
      <c r="A27795" s="4" t="s">
        <v>34998</v>
      </c>
      <c r="B27795" s="6" t="s">
        <v>35000</v>
      </c>
      <c r="C27795" s="5" t="str">
        <f>IFERROR(__xludf.DUMMYFUNCTION("GOOGLETRANSLATE(B27795,""en"",""zh-CN"")"),"该男子继续向相机说话，同时推出雪地并进入空屋顶。")</f>
        <v>该男子继续向相机说话，同时推出雪地并进入空屋顶。</v>
      </c>
    </row>
    <row r="27796">
      <c r="A27796" s="4" t="s">
        <v>34998</v>
      </c>
      <c r="B27796" s="4" t="s">
        <v>35001</v>
      </c>
      <c r="C27796" s="5" t="str">
        <f>IFERROR(__xludf.DUMMYFUNCTION("GOOGLETRANSLATE(B27796,""en"",""zh-CN"")"),"看到另一个男人铲在雪中，最后以工作的男人的照片结尾。")</f>
        <v>看到另一个男人铲在雪中，最后以工作的男人的照片结尾。</v>
      </c>
    </row>
    <row r="27797">
      <c r="A27797" s="4" t="s">
        <v>35002</v>
      </c>
      <c r="B27797" s="4" t="s">
        <v>35003</v>
      </c>
      <c r="C27797" s="5" t="str">
        <f>IFERROR(__xludf.DUMMYFUNCTION("GOOGLETRANSLATE(B27797,""en"",""zh-CN"")"),"一名老妇坐在椅子上。")</f>
        <v>一名老妇坐在椅子上。</v>
      </c>
    </row>
    <row r="27798">
      <c r="A27798" s="4" t="s">
        <v>35002</v>
      </c>
      <c r="B27798" s="4" t="s">
        <v>35004</v>
      </c>
      <c r="C27798" s="5" t="str">
        <f>IFERROR(__xludf.DUMMYFUNCTION("GOOGLETRANSLATE(B27798,""en"",""zh-CN"")"),"她正在用红色纱线编织。")</f>
        <v>她正在用红色纱线编织。</v>
      </c>
    </row>
    <row r="27799">
      <c r="A27799" s="4" t="s">
        <v>35002</v>
      </c>
      <c r="B27799" s="4" t="s">
        <v>35005</v>
      </c>
      <c r="C27799" s="5" t="str">
        <f>IFERROR(__xludf.DUMMYFUNCTION("GOOGLETRANSLATE(B27799,""en"",""zh-CN"")"),"她编织时用相机与那个人说话。")</f>
        <v>她编织时用相机与那个人说话。</v>
      </c>
    </row>
    <row r="27800">
      <c r="A27800" s="4" t="s">
        <v>35006</v>
      </c>
      <c r="B27800" s="6" t="s">
        <v>35007</v>
      </c>
      <c r="C27800" s="5" t="str">
        <f>IFERROR(__xludf.DUMMYFUNCTION("GOOGLETRANSLATE(B27800,""en"",""zh-CN"")"),"看到一个人将砂光机推到滑雪板上，并导致另一个人拧紧滑雪板并沿顶部喷蜡。")</f>
        <v>看到一个人将砂光机推到滑雪板上，并导致另一个人拧紧滑雪板并沿顶部喷蜡。</v>
      </c>
    </row>
    <row r="27801">
      <c r="A27801" s="4" t="s">
        <v>35006</v>
      </c>
      <c r="B27801" s="4" t="s">
        <v>35008</v>
      </c>
      <c r="C27801" s="5" t="str">
        <f>IFERROR(__xludf.DUMMYFUNCTION("GOOGLETRANSLATE(B27801,""en"",""zh-CN"")"),"该人将其擦拭，然后在滑雪板上使用一条蜡。")</f>
        <v>该人将其擦拭，然后在滑雪板上使用一条蜡。</v>
      </c>
    </row>
    <row r="27802">
      <c r="A27802" s="4" t="s">
        <v>35009</v>
      </c>
      <c r="B27802" s="6" t="s">
        <v>35010</v>
      </c>
      <c r="C27802" s="5" t="str">
        <f>IFERROR(__xludf.DUMMYFUNCTION("GOOGLETRANSLATE(B27802,""en"",""zh-CN"")"),"一名妇女正在举办一个新闻节目，导致在街上工作并抗议的人们的片段。")</f>
        <v>一名妇女正在举办一个新闻节目，导致在街上工作并抗议的人们的片段。</v>
      </c>
    </row>
    <row r="27803">
      <c r="A27803" s="4" t="s">
        <v>35009</v>
      </c>
      <c r="B27803" s="6" t="s">
        <v>35011</v>
      </c>
      <c r="C27803" s="5" t="str">
        <f>IFERROR(__xludf.DUMMYFUNCTION("GOOGLETRANSLATE(B27803,""en"",""zh-CN"")"),"几名妇女接受了相机的采访，并显示了更多工作和抗议的人的片段。")</f>
        <v>几名妇女接受了相机的采访，并显示了更多工作和抗议的人的片段。</v>
      </c>
    </row>
    <row r="27804">
      <c r="A27804" s="4" t="s">
        <v>35012</v>
      </c>
      <c r="B27804" s="4" t="s">
        <v>35013</v>
      </c>
      <c r="C27804" s="5" t="str">
        <f>IFERROR(__xludf.DUMMYFUNCTION("GOOGLETRANSLATE(B27804,""en"",""zh-CN"")"),"我们看到一个男人在蓝色桌子上拍摄游泳池。")</f>
        <v>我们看到一个男人在蓝色桌子上拍摄游泳池。</v>
      </c>
    </row>
    <row r="27805">
      <c r="A27805" s="4" t="s">
        <v>35012</v>
      </c>
      <c r="B27805" s="4" t="s">
        <v>35014</v>
      </c>
      <c r="C27805" s="5" t="str">
        <f>IFERROR(__xludf.DUMMYFUNCTION("GOOGLETRANSLATE(B27805,""en"",""zh-CN"")"),"当他的朋友拍手时，男人笑了笑。")</f>
        <v>当他的朋友拍手时，男人笑了笑。</v>
      </c>
    </row>
    <row r="27806">
      <c r="A27806" s="4" t="s">
        <v>35012</v>
      </c>
      <c r="B27806" s="4" t="s">
        <v>2486</v>
      </c>
      <c r="C27806" s="5" t="str">
        <f>IFERROR(__xludf.DUMMYFUNCTION("GOOGLETRANSLATE(B27806,""en"",""zh-CN"")"),"我们看到关闭屏幕。")</f>
        <v>我们看到关闭屏幕。</v>
      </c>
    </row>
    <row r="27807">
      <c r="A27807" s="4" t="s">
        <v>35015</v>
      </c>
      <c r="B27807" s="6" t="s">
        <v>35016</v>
      </c>
      <c r="C27807" s="5" t="str">
        <f>IFERROR(__xludf.DUMMYFUNCTION("GOOGLETRANSLATE(B27807,""en"",""zh-CN"")"),"显示了女性的高级照片，然后屏幕闪烁，表明她的亮点即将显示。")</f>
        <v>显示了女性的高级照片，然后屏幕闪烁，表明她的亮点即将显示。</v>
      </c>
    </row>
    <row r="27808">
      <c r="A27808" s="4" t="s">
        <v>35015</v>
      </c>
      <c r="B27808" s="6" t="s">
        <v>35017</v>
      </c>
      <c r="C27808" s="5" t="str">
        <f>IFERROR(__xludf.DUMMYFUNCTION("GOOGLETRANSLATE(B27808,""en"",""zh-CN"")"),"然后，显示了她的几个视频，与其他球队的女孩抗衡，捍卫自己的领土并从其他对手那里剥离球。")</f>
        <v>然后，显示了她的几个视频，与其他球队的女孩抗衡，捍卫自己的领土并从其他对手那里剥离球。</v>
      </c>
    </row>
    <row r="27809">
      <c r="A27809" s="4" t="s">
        <v>35018</v>
      </c>
      <c r="B27809" s="4" t="s">
        <v>35019</v>
      </c>
      <c r="C27809" s="5" t="str">
        <f>IFERROR(__xludf.DUMMYFUNCTION("GOOGLETRANSLATE(B27809,""en"",""zh-CN"")"),"男人正站在一个房间里，飞镖游戏在墙上。")</f>
        <v>男人正站在一个房间里，飞镖游戏在墙上。</v>
      </c>
    </row>
    <row r="27810">
      <c r="A27810" s="4" t="s">
        <v>35018</v>
      </c>
      <c r="B27810" s="6" t="s">
        <v>35020</v>
      </c>
      <c r="C27810" s="5" t="str">
        <f>IFERROR(__xludf.DUMMYFUNCTION("GOOGLETRANSLATE(B27810,""en"",""zh-CN"")"),"他从董事会上拿起一只飞镖，继续说话，走近相机并展示了锋利的飞镖。")</f>
        <v>他从董事会上拿起一只飞镖，继续说话，走近相机并展示了锋利的飞镖。</v>
      </c>
    </row>
    <row r="27811">
      <c r="A27811" s="4" t="s">
        <v>35018</v>
      </c>
      <c r="B27811" s="4" t="s">
        <v>35021</v>
      </c>
      <c r="C27811" s="5" t="str">
        <f>IFERROR(__xludf.DUMMYFUNCTION("GOOGLETRANSLATE(B27811,""en"",""zh-CN"")"),"他把飞镖扔到木板上，靠在墙上。")</f>
        <v>他把飞镖扔到木板上，靠在墙上。</v>
      </c>
    </row>
    <row r="27812">
      <c r="A27812" s="4" t="s">
        <v>35018</v>
      </c>
      <c r="B27812" s="4" t="s">
        <v>35022</v>
      </c>
      <c r="C27812" s="5" t="str">
        <f>IFERROR(__xludf.DUMMYFUNCTION("GOOGLETRANSLATE(B27812,""en"",""zh-CN"")"),"男人张开双臂并侧面摆动，跪在地板上。")</f>
        <v>男人张开双臂并侧面摆动，跪在地板上。</v>
      </c>
    </row>
    <row r="27813">
      <c r="A27813" s="4" t="s">
        <v>35018</v>
      </c>
      <c r="B27813" s="4" t="s">
        <v>35023</v>
      </c>
      <c r="C27813" s="5" t="str">
        <f>IFERROR(__xludf.DUMMYFUNCTION("GOOGLETRANSLATE(B27813,""en"",""zh-CN"")"),"他将其他飞镖带到板上，头部向下开始大喊大叫。")</f>
        <v>他将其他飞镖带到板上，头部向下开始大喊大叫。</v>
      </c>
    </row>
    <row r="27814">
      <c r="A27814" s="4" t="s">
        <v>35024</v>
      </c>
      <c r="B27814" s="6" t="s">
        <v>35025</v>
      </c>
      <c r="C27814" s="5" t="str">
        <f>IFERROR(__xludf.DUMMYFUNCTION("GOOGLETRANSLATE(B27814,""en"",""zh-CN"")"),"看到一名体操运动员准备好站立，将手臂抬起，将她的胳膊伸到横梁上攀登，并在梁上进行体操例行。")</f>
        <v>看到一名体操运动员准备好站立，将手臂抬起，将她的胳膊伸到横梁上攀登，并在梁上进行体操例行。</v>
      </c>
    </row>
    <row r="27815">
      <c r="A27815" s="4" t="s">
        <v>35024</v>
      </c>
      <c r="B27815" s="6" t="s">
        <v>35026</v>
      </c>
      <c r="C27815" s="5" t="str">
        <f>IFERROR(__xludf.DUMMYFUNCTION("GOOGLETRANSLATE(B27815,""en"",""zh-CN"")"),"这个女孩表演了几次跳跃和窍门，以她跳入垫子并抬起手臂结束。")</f>
        <v>这个女孩表演了几次跳跃和窍门，以她跳入垫子并抬起手臂结束。</v>
      </c>
    </row>
    <row r="27816">
      <c r="A27816" s="4" t="s">
        <v>35027</v>
      </c>
      <c r="B27816" s="4" t="s">
        <v>35028</v>
      </c>
      <c r="C27816" s="5" t="str">
        <f>IFERROR(__xludf.DUMMYFUNCTION("GOOGLETRANSLATE(B27816,""en"",""zh-CN"")"),"看到一个人坐在一组鼓声后面弹奏。")</f>
        <v>看到一个人坐在一组鼓声后面弹奏。</v>
      </c>
    </row>
    <row r="27817">
      <c r="A27817" s="4" t="s">
        <v>35027</v>
      </c>
      <c r="B27817" s="4" t="s">
        <v>35029</v>
      </c>
      <c r="C27817" s="5" t="str">
        <f>IFERROR(__xludf.DUMMYFUNCTION("GOOGLETRANSLATE(B27817,""en"",""zh-CN"")"),"当相机放大手中时，她继续演奏鼓。")</f>
        <v>当相机放大手中时，她继续演奏鼓。</v>
      </c>
    </row>
    <row r="27818">
      <c r="A27818" s="4" t="s">
        <v>35030</v>
      </c>
      <c r="B27818" s="4" t="s">
        <v>35031</v>
      </c>
      <c r="C27818" s="5" t="str">
        <f>IFERROR(__xludf.DUMMYFUNCTION("GOOGLETRANSLATE(B27818,""en"",""zh-CN"")"),"展出的奖杯有很多，您可以赢得一份好工作。")</f>
        <v>展出的奖杯有很多，您可以赢得一份好工作。</v>
      </c>
    </row>
    <row r="27819">
      <c r="A27819" s="4" t="s">
        <v>35030</v>
      </c>
      <c r="B27819" s="4" t="s">
        <v>35032</v>
      </c>
      <c r="C27819" s="5" t="str">
        <f>IFERROR(__xludf.DUMMYFUNCTION("GOOGLETRANSLATE(B27819,""en"",""zh-CN"")"),"骑自行车的人正在等待开始比赛。")</f>
        <v>骑自行车的人正在等待开始比赛。</v>
      </c>
    </row>
    <row r="27820">
      <c r="A27820" s="4" t="s">
        <v>35030</v>
      </c>
      <c r="B27820" s="4" t="s">
        <v>35033</v>
      </c>
      <c r="C27820" s="5" t="str">
        <f>IFERROR(__xludf.DUMMYFUNCTION("GOOGLETRANSLATE(B27820,""en"",""zh-CN"")"),"比赛开始前，有两个人一起打指关节。")</f>
        <v>比赛开始前，有两个人一起打指关节。</v>
      </c>
    </row>
    <row r="27821">
      <c r="A27821" s="4" t="s">
        <v>35030</v>
      </c>
      <c r="B27821" s="4" t="s">
        <v>35034</v>
      </c>
      <c r="C27821" s="5" t="str">
        <f>IFERROR(__xludf.DUMMYFUNCTION("GOOGLETRANSLATE(B27821,""en"",""zh-CN"")"),"观众欢呼雀跃，骑手们努力赢得胜利。")</f>
        <v>观众欢呼雀跃，骑手们努力赢得胜利。</v>
      </c>
    </row>
    <row r="27822">
      <c r="A27822" s="4" t="s">
        <v>35035</v>
      </c>
      <c r="B27822" s="6" t="s">
        <v>35036</v>
      </c>
      <c r="C27822" s="5" t="str">
        <f>IFERROR(__xludf.DUMMYFUNCTION("GOOGLETRANSLATE(B27822,""en"",""zh-CN"")"),"看到一个男人用刀在另一只手中做空手道，并带着一个男人打保龄球和发短信的镜头。")</f>
        <v>看到一个男人用刀在另一只手中做空手道，并带着一个男人打保龄球和发短信的镜头。</v>
      </c>
    </row>
    <row r="27823">
      <c r="A27823" s="4" t="s">
        <v>35035</v>
      </c>
      <c r="B27823" s="6" t="s">
        <v>35037</v>
      </c>
      <c r="C27823" s="5" t="str">
        <f>IFERROR(__xludf.DUMMYFUNCTION("GOOGLETRANSLATE(B27823,""en"",""zh-CN"")"),"当人们观看和剪贴画时，该男子庆祝，以及庆祝和保龄球的人的更多镜头。")</f>
        <v>当人们观看和剪贴画时，该男子庆祝，以及庆祝和保龄球的人的更多镜头。</v>
      </c>
    </row>
    <row r="27824">
      <c r="A27824" s="4" t="s">
        <v>35035</v>
      </c>
      <c r="B27824" s="4" t="s">
        <v>35038</v>
      </c>
      <c r="C27824" s="5" t="str">
        <f>IFERROR(__xludf.DUMMYFUNCTION("GOOGLETRANSLATE(B27824,""en"",""zh-CN"")"),"该男子最终拥有一个奖杯，并向相机和观众尖叫。")</f>
        <v>该男子最终拥有一个奖杯，并向相机和观众尖叫。</v>
      </c>
    </row>
    <row r="27825">
      <c r="A27825" s="4" t="s">
        <v>35035</v>
      </c>
      <c r="B27825" s="4" t="s">
        <v>35039</v>
      </c>
      <c r="C27825" s="5" t="str">
        <f>IFERROR(__xludf.DUMMYFUNCTION("GOOGLETRANSLATE(B27825,""en"",""zh-CN"")"),"然后，相机放大了海报上的照片。")</f>
        <v>然后，相机放大了海报上的照片。</v>
      </c>
    </row>
    <row r="27826">
      <c r="A27826" s="4" t="s">
        <v>35040</v>
      </c>
      <c r="B27826" s="4" t="s">
        <v>35041</v>
      </c>
      <c r="C27826" s="5" t="str">
        <f>IFERROR(__xludf.DUMMYFUNCTION("GOOGLETRANSLATE(B27826,""en"",""zh-CN"")"),"看到一个女人在大量重量之前跪下，并不断与镜头说话。")</f>
        <v>看到一个女人在大量重量之前跪下，并不断与镜头说话。</v>
      </c>
    </row>
    <row r="27827">
      <c r="A27827" s="4" t="s">
        <v>35040</v>
      </c>
      <c r="B27827" s="6" t="s">
        <v>35042</v>
      </c>
      <c r="C27827" s="5" t="str">
        <f>IFERROR(__xludf.DUMMYFUNCTION("GOOGLETRANSLATE(B27827,""en"",""zh-CN"")"),"她将自己的身体移动到体重上，并指向周围，展示了如何正确保持体重。")</f>
        <v>她将自己的身体移动到体重上，并指向周围，展示了如何正确保持体重。</v>
      </c>
    </row>
    <row r="27828">
      <c r="A27828" s="4" t="s">
        <v>35043</v>
      </c>
      <c r="B27828" s="4" t="s">
        <v>7459</v>
      </c>
      <c r="C27828" s="5" t="str">
        <f>IFERROR(__xludf.DUMMYFUNCTION("GOOGLETRANSLATE(B27828,""en"",""zh-CN"")"),"一个人在下雪的山上滑雪。")</f>
        <v>一个人在下雪的山上滑雪。</v>
      </c>
    </row>
    <row r="27829">
      <c r="A27829" s="4" t="s">
        <v>35043</v>
      </c>
      <c r="B27829" s="4" t="s">
        <v>35044</v>
      </c>
      <c r="C27829" s="5" t="str">
        <f>IFERROR(__xludf.DUMMYFUNCTION("GOOGLETRANSLATE(B27829,""en"",""zh-CN"")"),"他们通过一群人滑雪。")</f>
        <v>他们通过一群人滑雪。</v>
      </c>
    </row>
    <row r="27830">
      <c r="A27830" s="4" t="s">
        <v>35043</v>
      </c>
      <c r="B27830" s="4" t="s">
        <v>35045</v>
      </c>
      <c r="C27830" s="5" t="str">
        <f>IFERROR(__xludf.DUMMYFUNCTION("GOOGLETRANSLATE(B27830,""en"",""zh-CN"")"),"他们到达山的底部，停在一栋小建筑物前。")</f>
        <v>他们到达山的底部，停在一栋小建筑物前。</v>
      </c>
    </row>
    <row r="27831">
      <c r="A27831" s="4" t="s">
        <v>35046</v>
      </c>
      <c r="B27831" s="4" t="s">
        <v>1487</v>
      </c>
      <c r="C27831" s="5" t="str">
        <f>IFERROR(__xludf.DUMMYFUNCTION("GOOGLETRANSLATE(B27831,""en"",""zh-CN"")"),"我们看到一个开放标题屏幕。")</f>
        <v>我们看到一个开放标题屏幕。</v>
      </c>
    </row>
    <row r="27832">
      <c r="A27832" s="4" t="s">
        <v>35046</v>
      </c>
      <c r="B27832" s="4" t="s">
        <v>35047</v>
      </c>
      <c r="C27832" s="5" t="str">
        <f>IFERROR(__xludf.DUMMYFUNCTION("GOOGLETRANSLATE(B27832,""en"",""zh-CN"")"),"我们看到5个人并排走在街上。")</f>
        <v>我们看到5个人并排走在街上。</v>
      </c>
    </row>
    <row r="27833">
      <c r="A27833" s="4" t="s">
        <v>35046</v>
      </c>
      <c r="B27833" s="4" t="s">
        <v>35048</v>
      </c>
      <c r="C27833" s="5" t="str">
        <f>IFERROR(__xludf.DUMMYFUNCTION("GOOGLETRANSLATE(B27833,""en"",""zh-CN"")"),"一个男人看着男人。")</f>
        <v>一个男人看着男人。</v>
      </c>
    </row>
    <row r="27834">
      <c r="A27834" s="4" t="s">
        <v>35046</v>
      </c>
      <c r="B27834" s="4" t="s">
        <v>35049</v>
      </c>
      <c r="C27834" s="5" t="str">
        <f>IFERROR(__xludf.DUMMYFUNCTION("GOOGLETRANSLATE(B27834,""en"",""zh-CN"")"),"一位女士看着男人。")</f>
        <v>一位女士看着男人。</v>
      </c>
    </row>
    <row r="27835">
      <c r="A27835" s="4" t="s">
        <v>35046</v>
      </c>
      <c r="B27835" s="4" t="s">
        <v>35050</v>
      </c>
      <c r="C27835" s="5" t="str">
        <f>IFERROR(__xludf.DUMMYFUNCTION("GOOGLETRANSLATE(B27835,""en"",""zh-CN"")"),"两个人转身看对方。")</f>
        <v>两个人转身看对方。</v>
      </c>
    </row>
    <row r="27836">
      <c r="A27836" s="4" t="s">
        <v>35046</v>
      </c>
      <c r="B27836" s="4" t="s">
        <v>35051</v>
      </c>
      <c r="C27836" s="5" t="str">
        <f>IFERROR(__xludf.DUMMYFUNCTION("GOOGLETRANSLATE(B27836,""en"",""zh-CN"")"),"当每个人都盯着他们时，一个人购买饮料。")</f>
        <v>当每个人都盯着他们时，一个人购买饮料。</v>
      </c>
    </row>
    <row r="27837">
      <c r="A27837" s="4" t="s">
        <v>35046</v>
      </c>
      <c r="B27837" s="4" t="s">
        <v>35052</v>
      </c>
      <c r="C27837" s="5" t="str">
        <f>IFERROR(__xludf.DUMMYFUNCTION("GOOGLETRANSLATE(B27837,""en"",""zh-CN"")"),"五个人一口气喝啤酒。")</f>
        <v>五个人一口气喝啤酒。</v>
      </c>
    </row>
    <row r="27838">
      <c r="A27838" s="4" t="s">
        <v>35046</v>
      </c>
      <c r="B27838" s="4" t="s">
        <v>35053</v>
      </c>
      <c r="C27838" s="5" t="str">
        <f>IFERROR(__xludf.DUMMYFUNCTION("GOOGLETRANSLATE(B27838,""en"",""zh-CN"")"),"这些人把酒吧喝醉了。")</f>
        <v>这些人把酒吧喝醉了。</v>
      </c>
    </row>
    <row r="27839">
      <c r="A27839" s="4" t="s">
        <v>35046</v>
      </c>
      <c r="B27839" s="4" t="s">
        <v>35054</v>
      </c>
      <c r="C27839" s="5" t="str">
        <f>IFERROR(__xludf.DUMMYFUNCTION("GOOGLETRANSLATE(B27839,""en"",""zh-CN"")"),"我们看到一个灰色的关闭屏幕。")</f>
        <v>我们看到一个灰色的关闭屏幕。</v>
      </c>
    </row>
    <row r="27840">
      <c r="A27840" s="4" t="s">
        <v>35055</v>
      </c>
      <c r="B27840" s="4" t="s">
        <v>35056</v>
      </c>
      <c r="C27840" s="5" t="str">
        <f>IFERROR(__xludf.DUMMYFUNCTION("GOOGLETRANSLATE(B27840,""en"",""zh-CN"")"),"穿着黑色衣服的女人躺在地板上做腹肌。")</f>
        <v>穿着黑色衣服的女人躺在地板上做腹肌。</v>
      </c>
    </row>
    <row r="27841">
      <c r="A27841" s="4" t="s">
        <v>35055</v>
      </c>
      <c r="B27841" s="4" t="s">
        <v>35057</v>
      </c>
      <c r="C27841" s="5" t="str">
        <f>IFERROR(__xludf.DUMMYFUNCTION("GOOGLETRANSLATE(B27841,""en"",""zh-CN"")"),"在地板上做腹肌的女人让她束手无策。")</f>
        <v>在地板上做腹肌的女人让她束手无策。</v>
      </c>
    </row>
    <row r="27842">
      <c r="A27842" s="4" t="s">
        <v>35055</v>
      </c>
      <c r="B27842" s="4" t="s">
        <v>35058</v>
      </c>
      <c r="C27842" s="5" t="str">
        <f>IFERROR(__xludf.DUMMYFUNCTION("GOOGLETRANSLATE(B27842,""en"",""zh-CN"")"),"女人正在屋顶健身房做运动。")</f>
        <v>女人正在屋顶健身房做运动。</v>
      </c>
    </row>
    <row r="27843">
      <c r="A27843" s="4" t="s">
        <v>35059</v>
      </c>
      <c r="B27843" s="4" t="s">
        <v>35060</v>
      </c>
      <c r="C27843" s="5" t="str">
        <f>IFERROR(__xludf.DUMMYFUNCTION("GOOGLETRANSLATE(B27843,""en"",""zh-CN"")"),"看到一个男人在舞台上表演舞蹈，而乐团在他身后演奏。")</f>
        <v>看到一个男人在舞台上表演舞蹈，而乐团在他身后演奏。</v>
      </c>
    </row>
    <row r="27844">
      <c r="A27844" s="4" t="s">
        <v>35059</v>
      </c>
      <c r="B27844" s="6" t="s">
        <v>35061</v>
      </c>
      <c r="C27844" s="5" t="str">
        <f>IFERROR(__xludf.DUMMYFUNCTION("GOOGLETRANSLATE(B27844,""en"",""zh-CN"")"),"然后，一个女人介入，与男人跳舞，同时旋转帽子并在舞台上旋转。")</f>
        <v>然后，一个女人介入，与男人跳舞，同时旋转帽子并在舞台上旋转。</v>
      </c>
    </row>
    <row r="27845">
      <c r="A27845" s="4" t="s">
        <v>35059</v>
      </c>
      <c r="B27845" s="4" t="s">
        <v>35062</v>
      </c>
      <c r="C27845" s="5" t="str">
        <f>IFERROR(__xludf.DUMMYFUNCTION("GOOGLETRANSLATE(B27845,""en"",""zh-CN"")"),"两者结束了一个有趣的手势，然后从舞台上走到侧面。")</f>
        <v>两者结束了一个有趣的手势，然后从舞台上走到侧面。</v>
      </c>
    </row>
    <row r="27846">
      <c r="A27846" s="4" t="s">
        <v>35063</v>
      </c>
      <c r="B27846" s="4" t="s">
        <v>35064</v>
      </c>
      <c r="C27846" s="5" t="str">
        <f>IFERROR(__xludf.DUMMYFUNCTION("GOOGLETRANSLATE(B27846,""en"",""zh-CN"")"),"一个男人在几辆运动自行车上说话。")</f>
        <v>一个男人在几辆运动自行车上说话。</v>
      </c>
    </row>
    <row r="27847">
      <c r="A27847" s="4" t="s">
        <v>35063</v>
      </c>
      <c r="B27847" s="4" t="s">
        <v>35065</v>
      </c>
      <c r="C27847" s="5" t="str">
        <f>IFERROR(__xludf.DUMMYFUNCTION("GOOGLETRANSLATE(B27847,""en"",""zh-CN"")"),"他开始锻炼其中一辆自行车。")</f>
        <v>他开始锻炼其中一辆自行车。</v>
      </c>
    </row>
    <row r="27848">
      <c r="A27848" s="4" t="s">
        <v>35063</v>
      </c>
      <c r="B27848" s="4" t="s">
        <v>35066</v>
      </c>
      <c r="C27848" s="5" t="str">
        <f>IFERROR(__xludf.DUMMYFUNCTION("GOOGLETRANSLATE(B27848,""en"",""zh-CN"")"),"人们正在黑暗中锻炼。")</f>
        <v>人们正在黑暗中锻炼。</v>
      </c>
    </row>
    <row r="27849">
      <c r="A27849" s="4" t="s">
        <v>35067</v>
      </c>
      <c r="B27849" s="6" t="s">
        <v>35068</v>
      </c>
      <c r="C27849" s="5" t="str">
        <f>IFERROR(__xludf.DUMMYFUNCTION("GOOGLETRANSLATE(B27849,""en"",""zh-CN"")"),"一群人在覆盖的草地上玩马球，被围观的田野围起来，周围环绕着围观者和观众。")</f>
        <v>一群人在覆盖的草地上玩马球，被围观的田野围起来，周围环绕着围观者和观众。</v>
      </c>
    </row>
    <row r="27850">
      <c r="A27850" s="4" t="s">
        <v>35067</v>
      </c>
      <c r="B27850" s="6" t="s">
        <v>35069</v>
      </c>
      <c r="C27850" s="5" t="str">
        <f>IFERROR(__xludf.DUMMYFUNCTION("GOOGLETRANSLATE(B27850,""en"",""zh-CN"")"),"一匹马上的一个男人沿着一匹人的一群人沿着一条长长的槌杆行走。")</f>
        <v>一匹马上的一个男人沿着一匹人的一群人沿着一条长长的槌杆行走。</v>
      </c>
    </row>
    <row r="27851">
      <c r="A27851" s="4" t="s">
        <v>35067</v>
      </c>
      <c r="B27851" s="4" t="s">
        <v>35070</v>
      </c>
      <c r="C27851" s="5" t="str">
        <f>IFERROR(__xludf.DUMMYFUNCTION("GOOGLETRANSLATE(B27851,""en"",""zh-CN"")"),"一群站着和坐在草地上的观众从田野的侧面看。")</f>
        <v>一群站着和坐在草地上的观众从田野的侧面看。</v>
      </c>
    </row>
    <row r="27852">
      <c r="A27852" s="4" t="s">
        <v>35067</v>
      </c>
      <c r="B27852" s="6" t="s">
        <v>35071</v>
      </c>
      <c r="C27852" s="5" t="str">
        <f>IFERROR(__xludf.DUMMYFUNCTION("GOOGLETRANSLATE(B27852,""en"",""zh-CN"")"),"马球比赛开始了，马上的人开始在地面上摆动槌杆。")</f>
        <v>马球比赛开始了，马上的人开始在地面上摆动槌杆。</v>
      </c>
    </row>
    <row r="27853">
      <c r="A27853" s="4" t="s">
        <v>35072</v>
      </c>
      <c r="B27853" s="6" t="s">
        <v>35073</v>
      </c>
      <c r="C27853" s="5" t="str">
        <f>IFERROR(__xludf.DUMMYFUNCTION("GOOGLETRANSLATE(B27853,""en"",""zh-CN"")"),"看到一个男人在镜头周围移动时在相机上说话，其他人则在他身后的游泳池里游泳。")</f>
        <v>看到一个男人在镜头周围移动时在相机上说话，其他人则在他身后的游泳池里游泳。</v>
      </c>
    </row>
    <row r="27854">
      <c r="A27854" s="4" t="s">
        <v>35072</v>
      </c>
      <c r="B27854" s="4" t="s">
        <v>35074</v>
      </c>
      <c r="C27854" s="5" t="str">
        <f>IFERROR(__xludf.DUMMYFUNCTION("GOOGLETRANSLATE(B27854,""en"",""zh-CN"")"),"该男子继续与镜头说话，一个人跳下了他身后的潜水板。")</f>
        <v>该男子继续与镜头说话，一个人跳下了他身后的潜水板。</v>
      </c>
    </row>
    <row r="27855">
      <c r="A27855" s="4" t="s">
        <v>35075</v>
      </c>
      <c r="B27855" s="4" t="s">
        <v>35076</v>
      </c>
      <c r="C27855" s="5" t="str">
        <f>IFERROR(__xludf.DUMMYFUNCTION("GOOGLETRANSLATE(B27855,""en"",""zh-CN"")"),"体操运动员在健身房中安装远光灯。")</f>
        <v>体操运动员在健身房中安装远光灯。</v>
      </c>
    </row>
    <row r="27856">
      <c r="A27856" s="4" t="s">
        <v>35075</v>
      </c>
      <c r="B27856" s="4" t="s">
        <v>35077</v>
      </c>
      <c r="C27856" s="5" t="str">
        <f>IFERROR(__xludf.DUMMYFUNCTION("GOOGLETRANSLATE(B27856,""en"",""zh-CN"")"),"他翻转并做了几个弹簧。")</f>
        <v>他翻转并做了几个弹簧。</v>
      </c>
    </row>
    <row r="27857">
      <c r="A27857" s="4" t="s">
        <v>35075</v>
      </c>
      <c r="B27857" s="4" t="s">
        <v>35078</v>
      </c>
      <c r="C27857" s="5" t="str">
        <f>IFERROR(__xludf.DUMMYFUNCTION("GOOGLETRANSLATE(B27857,""en"",""zh-CN"")"),"然后，他卸下了，伸出手臂。")</f>
        <v>然后，他卸下了，伸出手臂。</v>
      </c>
    </row>
    <row r="27858">
      <c r="A27858" s="4" t="s">
        <v>35079</v>
      </c>
      <c r="B27858" s="6" t="s">
        <v>35080</v>
      </c>
      <c r="C27858" s="5" t="str">
        <f>IFERROR(__xludf.DUMMYFUNCTION("GOOGLETRANSLATE(B27858,""en"",""zh-CN"")"),"显示了一台大型橙色机器，沿着一条道路移动，爪子和剃须刀砍伐草。")</f>
        <v>显示了一台大型橙色机器，沿着一条道路移动，爪子和剃须刀砍伐草。</v>
      </c>
    </row>
    <row r="27859">
      <c r="A27859" s="4" t="s">
        <v>35079</v>
      </c>
      <c r="B27859" s="4" t="s">
        <v>35081</v>
      </c>
      <c r="C27859" s="5" t="str">
        <f>IFERROR(__xludf.DUMMYFUNCTION("GOOGLETRANSLATE(B27859,""en"",""zh-CN"")"),"切割仍在继续，机器正在不同地区（例如高速公路）进行操作。")</f>
        <v>切割仍在继续，机器正在不同地区（例如高速公路）进行操作。</v>
      </c>
    </row>
    <row r="27860">
      <c r="A27860" s="4" t="s">
        <v>35082</v>
      </c>
      <c r="B27860" s="4" t="s">
        <v>35083</v>
      </c>
      <c r="C27860" s="5" t="str">
        <f>IFERROR(__xludf.DUMMYFUNCTION("GOOGLETRANSLATE(B27860,""en"",""zh-CN"")"),"看到一个女孩在一个小舞台上表演肚皮舞的例程。")</f>
        <v>看到一个女孩在一个小舞台上表演肚皮舞的例程。</v>
      </c>
    </row>
    <row r="27861">
      <c r="A27861" s="4" t="s">
        <v>35082</v>
      </c>
      <c r="B27861" s="6" t="s">
        <v>35084</v>
      </c>
      <c r="C27861" s="5" t="str">
        <f>IFERROR(__xludf.DUMMYFUNCTION("GOOGLETRANSLATE(B27861,""en"",""zh-CN"")"),"她继续在舞台上跳舞和表演，并以摆姿势，鞠躬和走开来完成舞蹈。")</f>
        <v>她继续在舞台上跳舞和表演，并以摆姿势，鞠躬和走开来完成舞蹈。</v>
      </c>
    </row>
    <row r="27862">
      <c r="A27862" s="4" t="s">
        <v>35085</v>
      </c>
      <c r="B27862" s="6" t="s">
        <v>35086</v>
      </c>
      <c r="C27862" s="5" t="str">
        <f>IFERROR(__xludf.DUMMYFUNCTION("GOOGLETRANSLATE(B27862,""en"",""zh-CN"")"),"显示了各种剪辑，这些剪辑在碗中放置在碗中，然后将它们混合在一起。")</f>
        <v>显示了各种剪辑，这些剪辑在碗中放置在碗中，然后将它们混合在一起。</v>
      </c>
    </row>
    <row r="27863">
      <c r="A27863" s="4" t="s">
        <v>35085</v>
      </c>
      <c r="B27863" s="4" t="s">
        <v>35087</v>
      </c>
      <c r="C27863" s="5" t="str">
        <f>IFERROR(__xludf.DUMMYFUNCTION("GOOGLETRANSLATE(B27863,""en"",""zh-CN"")"),"该人将它们卷成球，然后将它们放在盘子上，最后将它们粘在烤箱中。")</f>
        <v>该人将它们卷成球，然后将它们放在盘子上，最后将它们粘在烤箱中。</v>
      </c>
    </row>
    <row r="27864">
      <c r="A27864" s="4" t="s">
        <v>35085</v>
      </c>
      <c r="B27864" s="4" t="s">
        <v>35088</v>
      </c>
      <c r="C27864" s="5" t="str">
        <f>IFERROR(__xludf.DUMMYFUNCTION("GOOGLETRANSLATE(B27864,""en"",""zh-CN"")"),"然后，她拔出制造的饼干，给相机一个大拇指。")</f>
        <v>然后，她拔出制造的饼干，给相机一个大拇指。</v>
      </c>
    </row>
    <row r="27865">
      <c r="A27865" s="4" t="s">
        <v>35089</v>
      </c>
      <c r="B27865" s="4" t="s">
        <v>35090</v>
      </c>
      <c r="C27865" s="5" t="str">
        <f>IFERROR(__xludf.DUMMYFUNCTION("GOOGLETRANSLATE(B27865,""en"",""zh-CN"")"),"人们正在驾驶碰碰车，互相撞倒。")</f>
        <v>人们正在驾驶碰碰车，互相撞倒。</v>
      </c>
    </row>
    <row r="27866">
      <c r="A27866" s="4" t="s">
        <v>35089</v>
      </c>
      <c r="B27866" s="4" t="s">
        <v>35091</v>
      </c>
      <c r="C27866" s="5" t="str">
        <f>IFERROR(__xludf.DUMMYFUNCTION("GOOGLETRANSLATE(B27866,""en"",""zh-CN"")"),"一辆绿色汽车撞上了一辆金车。")</f>
        <v>一辆绿色汽车撞上了一辆金车。</v>
      </c>
    </row>
    <row r="27867">
      <c r="A27867" s="4" t="s">
        <v>35089</v>
      </c>
      <c r="B27867" s="4" t="s">
        <v>35092</v>
      </c>
      <c r="C27867" s="5" t="str">
        <f>IFERROR(__xludf.DUMMYFUNCTION("GOOGLETRANSLATE(B27867,""en"",""zh-CN"")"),"一辆蓝色的汽车撞上了金车。")</f>
        <v>一辆蓝色的汽车撞上了金车。</v>
      </c>
    </row>
    <row r="27868">
      <c r="A27868" s="4" t="s">
        <v>35093</v>
      </c>
      <c r="B27868" s="6" t="s">
        <v>35094</v>
      </c>
      <c r="C27868" s="5" t="str">
        <f>IFERROR(__xludf.DUMMYFUNCTION("GOOGLETRANSLATE(B27868,""en"",""zh-CN"")"),"一个摄像头在大型仓库周围，显示正在制造的材料和男士工作。")</f>
        <v>一个摄像头在大型仓库周围，显示正在制造的材料和男士工作。</v>
      </c>
    </row>
    <row r="27869">
      <c r="A27869" s="4" t="s">
        <v>35093</v>
      </c>
      <c r="B27869" s="4" t="s">
        <v>35095</v>
      </c>
      <c r="C27869" s="5" t="str">
        <f>IFERROR(__xludf.DUMMYFUNCTION("GOOGLETRANSLATE(B27869,""en"",""zh-CN"")"),"当人们在侧面观看时，显示了机械的推动材料。")</f>
        <v>当人们在侧面观看时，显示了机械的推动材料。</v>
      </c>
    </row>
    <row r="27870">
      <c r="A27870" s="4" t="s">
        <v>35093</v>
      </c>
      <c r="B27870" s="4" t="s">
        <v>35096</v>
      </c>
      <c r="C27870" s="5" t="str">
        <f>IFERROR(__xludf.DUMMYFUNCTION("GOOGLETRANSLATE(B27870,""en"",""zh-CN"")"),"正在将更多的房屋产品推出，并显示了一种机械，将其搬走。")</f>
        <v>正在将更多的房屋产品推出，并显示了一种机械，将其搬走。</v>
      </c>
    </row>
    <row r="27871">
      <c r="A27871" s="4" t="s">
        <v>35097</v>
      </c>
      <c r="B27871" s="4" t="s">
        <v>35098</v>
      </c>
      <c r="C27871" s="5" t="str">
        <f>IFERROR(__xludf.DUMMYFUNCTION("GOOGLETRANSLATE(B27871,""en"",""zh-CN"")"),"看到幻灯片的特写镜头之后是一个成年和一个小孩骑着滑梯。")</f>
        <v>看到幻灯片的特写镜头之后是一个成年和一个小孩骑着滑梯。</v>
      </c>
    </row>
    <row r="27872">
      <c r="A27872" s="4" t="s">
        <v>35097</v>
      </c>
      <c r="B27872" s="4" t="s">
        <v>35099</v>
      </c>
      <c r="C27872" s="5" t="str">
        <f>IFERROR(__xludf.DUMMYFUNCTION("GOOGLETRANSLATE(B27872,""en"",""zh-CN"")"),"那个女人和婴儿一起笑着，把她捡到底部。")</f>
        <v>那个女人和婴儿一起笑着，把她捡到底部。</v>
      </c>
    </row>
    <row r="27873">
      <c r="A27873" s="4" t="s">
        <v>35100</v>
      </c>
      <c r="B27873" s="4" t="s">
        <v>35101</v>
      </c>
      <c r="C27873" s="5" t="str">
        <f>IFERROR(__xludf.DUMMYFUNCTION("GOOGLETRANSLATE(B27873,""en"",""zh-CN"")"),"看到一个女人站在一个大圈子里，向前弯曲。")</f>
        <v>看到一个女人站在一个大圈子里，向前弯曲。</v>
      </c>
    </row>
    <row r="27874">
      <c r="A27874" s="4" t="s">
        <v>35100</v>
      </c>
      <c r="B27874" s="4" t="s">
        <v>35102</v>
      </c>
      <c r="C27874" s="5" t="str">
        <f>IFERROR(__xludf.DUMMYFUNCTION("GOOGLETRANSLATE(B27874,""en"",""zh-CN"")"),"那个女人然后旋转着自己，将一个物体扔到远处。")</f>
        <v>那个女人然后旋转着自己，将一个物体扔到远处。</v>
      </c>
    </row>
    <row r="27875">
      <c r="A27875" s="4" t="s">
        <v>35100</v>
      </c>
      <c r="B27875" s="4" t="s">
        <v>35103</v>
      </c>
      <c r="C27875" s="5" t="str">
        <f>IFERROR(__xludf.DUMMYFUNCTION("GOOGLETRANSLATE(B27875,""en"",""zh-CN"")"),"那个女人之后做了几次。")</f>
        <v>那个女人之后做了几次。</v>
      </c>
    </row>
    <row r="27876">
      <c r="A27876" s="4" t="s">
        <v>35104</v>
      </c>
      <c r="B27876" s="4" t="s">
        <v>35105</v>
      </c>
      <c r="C27876" s="5" t="str">
        <f>IFERROR(__xludf.DUMMYFUNCTION("GOOGLETRANSLATE(B27876,""en"",""zh-CN"")"),"鼓线在室外活动中进行编队。")</f>
        <v>鼓线在室外活动中进行编队。</v>
      </c>
    </row>
    <row r="27877">
      <c r="A27877" s="4" t="s">
        <v>35104</v>
      </c>
      <c r="B27877" s="6" t="s">
        <v>35106</v>
      </c>
      <c r="C27877" s="5" t="str">
        <f>IFERROR(__xludf.DUMMYFUNCTION("GOOGLETRANSLATE(B27877,""en"",""zh-CN"")"),"他们开始例行程序，每个部分都以自己的设定方式移动，然后再融合并再次散布。")</f>
        <v>他们开始例行程序，每个部分都以自己的设定方式移动，然后再融合并再次散布。</v>
      </c>
    </row>
    <row r="27878">
      <c r="A27878" s="4" t="s">
        <v>35104</v>
      </c>
      <c r="B27878" s="4" t="s">
        <v>35107</v>
      </c>
      <c r="C27878" s="5" t="str">
        <f>IFERROR(__xludf.DUMMYFUNCTION("GOOGLETRANSLATE(B27878,""en"",""zh-CN"")"),"它们分为两行，完成这首歌。")</f>
        <v>它们分为两行，完成这首歌。</v>
      </c>
    </row>
    <row r="27879">
      <c r="A27879" s="4" t="s">
        <v>35108</v>
      </c>
      <c r="B27879" s="4" t="s">
        <v>1487</v>
      </c>
      <c r="C27879" s="5" t="str">
        <f>IFERROR(__xludf.DUMMYFUNCTION("GOOGLETRANSLATE(B27879,""en"",""zh-CN"")"),"我们看到一个开放标题屏幕。")</f>
        <v>我们看到一个开放标题屏幕。</v>
      </c>
    </row>
    <row r="27880">
      <c r="A27880" s="4" t="s">
        <v>35108</v>
      </c>
      <c r="B27880" s="4" t="s">
        <v>35109</v>
      </c>
      <c r="C27880" s="5" t="str">
        <f>IFERROR(__xludf.DUMMYFUNCTION("GOOGLETRANSLATE(B27880,""en"",""zh-CN"")"),"一个人走上楼梯进入房间，看到啤酒从小桶和人们说话中倒了。")</f>
        <v>一个人走上楼梯进入房间，看到啤酒从小桶和人们说话中倒了。</v>
      </c>
    </row>
    <row r="27881">
      <c r="A27881" s="4" t="s">
        <v>35108</v>
      </c>
      <c r="B27881" s="4" t="s">
        <v>35110</v>
      </c>
      <c r="C27881" s="5" t="str">
        <f>IFERROR(__xludf.DUMMYFUNCTION("GOOGLETRANSLATE(B27881,""en"",""zh-CN"")"),"人们站着玩啤酒，而其他人看着。")</f>
        <v>人们站着玩啤酒，而其他人看着。</v>
      </c>
    </row>
    <row r="27882">
      <c r="A27882" s="4" t="s">
        <v>35108</v>
      </c>
      <c r="B27882" s="4" t="s">
        <v>35111</v>
      </c>
      <c r="C27882" s="5" t="str">
        <f>IFERROR(__xludf.DUMMYFUNCTION("GOOGLETRANSLATE(B27882,""en"",""zh-CN"")"),"一个人试图从杯子里吹球。")</f>
        <v>一个人试图从杯子里吹球。</v>
      </c>
    </row>
    <row r="27883">
      <c r="A27883" s="4" t="s">
        <v>35108</v>
      </c>
      <c r="B27883" s="4" t="s">
        <v>35112</v>
      </c>
      <c r="C27883" s="5" t="str">
        <f>IFERROR(__xludf.DUMMYFUNCTION("GOOGLETRANSLATE(B27883,""en"",""zh-CN"")"),"一个男人将球从杯子上击中。")</f>
        <v>一个男人将球从杯子上击中。</v>
      </c>
    </row>
    <row r="27884">
      <c r="A27884" s="4" t="s">
        <v>35108</v>
      </c>
      <c r="B27884" s="4" t="s">
        <v>35113</v>
      </c>
      <c r="C27884" s="5" t="str">
        <f>IFERROR(__xludf.DUMMYFUNCTION("GOOGLETRANSLATE(B27884,""en"",""zh-CN"")"),"左派团队跳了起来。")</f>
        <v>左派团队跳了起来。</v>
      </c>
    </row>
    <row r="27885">
      <c r="A27885" s="4" t="s">
        <v>35108</v>
      </c>
      <c r="B27885" s="4" t="s">
        <v>35114</v>
      </c>
      <c r="C27885" s="5" t="str">
        <f>IFERROR(__xludf.DUMMYFUNCTION("GOOGLETRANSLATE(B27885,""en"",""zh-CN"")"),"我们看到人们面对着近距离，桌子上的食物盘子。")</f>
        <v>我们看到人们面对着近距离，桌子上的食物盘子。</v>
      </c>
    </row>
    <row r="27886">
      <c r="A27886" s="4" t="s">
        <v>35108</v>
      </c>
      <c r="B27886" s="4" t="s">
        <v>35115</v>
      </c>
      <c r="C27886" s="5" t="str">
        <f>IFERROR(__xludf.DUMMYFUNCTION("GOOGLETRANSLATE(B27886,""en"",""zh-CN"")"),"我们看到一个点燃的标志和结束。")</f>
        <v>我们看到一个点燃的标志和结束。</v>
      </c>
    </row>
    <row r="27887">
      <c r="A27887" s="4" t="s">
        <v>35116</v>
      </c>
      <c r="B27887" s="4" t="s">
        <v>35117</v>
      </c>
      <c r="C27887" s="5" t="str">
        <f>IFERROR(__xludf.DUMMYFUNCTION("GOOGLETRANSLATE(B27887,""en"",""zh-CN"")"),"看到一个男人站在附近的一对高跷上。")</f>
        <v>看到一个男人站在附近的一对高跷上。</v>
      </c>
    </row>
    <row r="27888">
      <c r="A27888" s="4" t="s">
        <v>35116</v>
      </c>
      <c r="B27888" s="4" t="s">
        <v>35118</v>
      </c>
      <c r="C27888" s="5" t="str">
        <f>IFERROR(__xludf.DUMMYFUNCTION("GOOGLETRANSLATE(B27888,""en"",""zh-CN"")"),"该男子走上街道，转向后面。")</f>
        <v>该男子走上街道，转向后面。</v>
      </c>
    </row>
    <row r="27889">
      <c r="A27889" s="4" t="s">
        <v>35116</v>
      </c>
      <c r="B27889" s="4" t="s">
        <v>35119</v>
      </c>
      <c r="C27889" s="5" t="str">
        <f>IFERROR(__xludf.DUMMYFUNCTION("GOOGLETRANSLATE(B27889,""en"",""zh-CN"")"),"然后，他开始跳下马路，回头看相机。")</f>
        <v>然后，他开始跳下马路，回头看相机。</v>
      </c>
    </row>
    <row r="27890">
      <c r="A27890" s="4" t="s">
        <v>35120</v>
      </c>
      <c r="B27890" s="4" t="s">
        <v>35121</v>
      </c>
      <c r="C27890" s="5" t="str">
        <f>IFERROR(__xludf.DUMMYFUNCTION("GOOGLETRANSLATE(B27890,""en"",""zh-CN"")"),"一个男人向后跳下跳水板进入游泳池。")</f>
        <v>一个男人向后跳下跳水板进入游泳池。</v>
      </c>
    </row>
    <row r="27891">
      <c r="A27891" s="4" t="s">
        <v>35120</v>
      </c>
      <c r="B27891" s="4" t="s">
        <v>35122</v>
      </c>
      <c r="C27891" s="5" t="str">
        <f>IFERROR(__xludf.DUMMYFUNCTION("GOOGLETRANSLATE(B27891,""en"",""zh-CN"")"),"有一个很大的飞溅，人表面微笑。")</f>
        <v>有一个很大的飞溅，人表面微笑。</v>
      </c>
    </row>
    <row r="27892">
      <c r="A27892" s="4" t="s">
        <v>35123</v>
      </c>
      <c r="B27892" s="4" t="s">
        <v>35124</v>
      </c>
      <c r="C27892" s="5" t="str">
        <f>IFERROR(__xludf.DUMMYFUNCTION("GOOGLETRANSLATE(B27892,""en"",""zh-CN"")"),"孩子们为家人带走沙漠。")</f>
        <v>孩子们为家人带走沙漠。</v>
      </c>
    </row>
    <row r="27893">
      <c r="A27893" s="4" t="s">
        <v>35123</v>
      </c>
      <c r="B27893" s="4" t="s">
        <v>35125</v>
      </c>
      <c r="C27893" s="5" t="str">
        <f>IFERROR(__xludf.DUMMYFUNCTION("GOOGLETRANSLATE(B27893,""en"",""zh-CN"")"),"一家人喜欢一起吃沙漠。")</f>
        <v>一家人喜欢一起吃沙漠。</v>
      </c>
    </row>
    <row r="27894">
      <c r="A27894" s="4" t="s">
        <v>35123</v>
      </c>
      <c r="B27894" s="4" t="s">
        <v>35126</v>
      </c>
      <c r="C27894" s="5" t="str">
        <f>IFERROR(__xludf.DUMMYFUNCTION("GOOGLETRANSLATE(B27894,""en"",""zh-CN"")"),"餐厅里的人们嘲笑那个男人，他想知道他们在做什么。")</f>
        <v>餐厅里的人们嘲笑那个男人，他想知道他们在做什么。</v>
      </c>
    </row>
    <row r="27895">
      <c r="A27895" s="4" t="s">
        <v>35123</v>
      </c>
      <c r="B27895" s="4" t="s">
        <v>35127</v>
      </c>
      <c r="C27895" s="5" t="str">
        <f>IFERROR(__xludf.DUMMYFUNCTION("GOOGLETRANSLATE(B27895,""en"",""zh-CN"")"),"该男子站起来，走到另一个房间。")</f>
        <v>该男子站起来，走到另一个房间。</v>
      </c>
    </row>
    <row r="27896">
      <c r="A27896" s="4" t="s">
        <v>35128</v>
      </c>
      <c r="B27896" s="4" t="s">
        <v>35129</v>
      </c>
      <c r="C27896" s="5" t="str">
        <f>IFERROR(__xludf.DUMMYFUNCTION("GOOGLETRANSLATE(B27896,""en"",""zh-CN"")"),"一个男人站在他的后院。")</f>
        <v>一个男人站在他的后院。</v>
      </c>
    </row>
    <row r="27897">
      <c r="A27897" s="4" t="s">
        <v>35128</v>
      </c>
      <c r="B27897" s="4" t="s">
        <v>35130</v>
      </c>
      <c r="C27897" s="5" t="str">
        <f>IFERROR(__xludf.DUMMYFUNCTION("GOOGLETRANSLATE(B27897,""en"",""zh-CN"")"),"当他在棚子的侧面绘制时，他在笑。")</f>
        <v>当他在棚子的侧面绘制时，他在笑。</v>
      </c>
    </row>
    <row r="27898">
      <c r="A27898" s="4" t="s">
        <v>35128</v>
      </c>
      <c r="B27898" s="4" t="s">
        <v>35131</v>
      </c>
      <c r="C27898" s="5" t="str">
        <f>IFERROR(__xludf.DUMMYFUNCTION("GOOGLETRANSLATE(B27898,""en"",""zh-CN"")"),"他使用喷雾器应用红色油漆。")</f>
        <v>他使用喷雾器应用红色油漆。</v>
      </c>
    </row>
    <row r="27899">
      <c r="A27899" s="4" t="s">
        <v>35132</v>
      </c>
      <c r="B27899" s="4" t="s">
        <v>35133</v>
      </c>
      <c r="C27899" s="5" t="str">
        <f>IFERROR(__xludf.DUMMYFUNCTION("GOOGLETRANSLATE(B27899,""en"",""zh-CN"")"),"我们看到一个在空中高高的潜水板上的人。")</f>
        <v>我们看到一个在空中高高的潜水板上的人。</v>
      </c>
    </row>
    <row r="27900">
      <c r="A27900" s="4" t="s">
        <v>35132</v>
      </c>
      <c r="B27900" s="4" t="s">
        <v>35134</v>
      </c>
      <c r="C27900" s="5" t="str">
        <f>IFERROR(__xludf.DUMMYFUNCTION("GOOGLETRANSLATE(B27900,""en"",""zh-CN"")"),"该男子倒立并从倒立倒入水中。")</f>
        <v>该男子倒立并从倒立倒入水中。</v>
      </c>
    </row>
    <row r="27901">
      <c r="A27901" s="4" t="s">
        <v>35132</v>
      </c>
      <c r="B27901" s="4" t="s">
        <v>35135</v>
      </c>
      <c r="C27901" s="5" t="str">
        <f>IFERROR(__xludf.DUMMYFUNCTION("GOOGLETRANSLATE(B27901,""en"",""zh-CN"")"),"下一个男人在流入水中时只是奔跑和潜水。")</f>
        <v>下一个男人在流入水中时只是奔跑和潜水。</v>
      </c>
    </row>
    <row r="27902">
      <c r="A27902" s="4" t="s">
        <v>35132</v>
      </c>
      <c r="B27902" s="4" t="s">
        <v>35136</v>
      </c>
      <c r="C27902" s="5" t="str">
        <f>IFERROR(__xludf.DUMMYFUNCTION("GOOGLETRANSLATE(B27902,""en"",""zh-CN"")"),"最后一个人进行更传统的潜水。")</f>
        <v>最后一个人进行更传统的潜水。</v>
      </c>
    </row>
    <row r="27903">
      <c r="A27903" s="4" t="s">
        <v>35137</v>
      </c>
      <c r="B27903" s="6" t="s">
        <v>35138</v>
      </c>
      <c r="C27903" s="5" t="str">
        <f>IFERROR(__xludf.DUMMYFUNCTION("GOOGLETRANSLATE(B27903,""en"",""zh-CN"")"),"一个人展示了如何扭曲礼物之类的礼物，并在礼物上做奇特的装饰品和丝带。")</f>
        <v>一个人展示了如何扭曲礼物之类的礼物，并在礼物上做奇特的装饰品和丝带。</v>
      </c>
    </row>
    <row r="27904">
      <c r="A27904" s="4" t="s">
        <v>35137</v>
      </c>
      <c r="B27904" s="4" t="s">
        <v>35139</v>
      </c>
      <c r="C27904" s="5" t="str">
        <f>IFERROR(__xludf.DUMMYFUNCTION("GOOGLETRANSLATE(B27904,""en"",""zh-CN"")"),"女人安排了一个礼物篮，并展示了一堆漂亮的礼物。")</f>
        <v>女人安排了一个礼物篮，并展示了一堆漂亮的礼物。</v>
      </c>
    </row>
    <row r="27905">
      <c r="A27905" s="4" t="s">
        <v>35137</v>
      </c>
      <c r="B27905" s="4" t="s">
        <v>35140</v>
      </c>
      <c r="C27905" s="5" t="str">
        <f>IFERROR(__xludf.DUMMYFUNCTION("GOOGLETRANSLATE(B27905,""en"",""zh-CN"")"),"然后，女人用不同的形状和装饰品包裹礼物。")</f>
        <v>然后，女人用不同的形状和装饰品包裹礼物。</v>
      </c>
    </row>
    <row r="27906">
      <c r="A27906" s="4" t="s">
        <v>35141</v>
      </c>
      <c r="B27906" s="4" t="s">
        <v>35142</v>
      </c>
      <c r="C27906" s="5" t="str">
        <f>IFERROR(__xludf.DUMMYFUNCTION("GOOGLETRANSLATE(B27906,""en"",""zh-CN"")"),"一位女士在湖上行时跪在独木舟上。")</f>
        <v>一位女士在湖上行时跪在独木舟上。</v>
      </c>
    </row>
    <row r="27907">
      <c r="A27907" s="4" t="s">
        <v>35141</v>
      </c>
      <c r="B27907" s="4" t="s">
        <v>35143</v>
      </c>
      <c r="C27907" s="5" t="str">
        <f>IFERROR(__xludf.DUMMYFUNCTION("GOOGLETRANSLATE(B27907,""en"",""zh-CN"")"),"一位女士试图站在船上的一只脚上，掉进湖中。")</f>
        <v>一位女士试图站在船上的一只脚上，掉进湖中。</v>
      </c>
    </row>
    <row r="27908">
      <c r="A27908" s="4" t="s">
        <v>35141</v>
      </c>
      <c r="B27908" s="4" t="s">
        <v>35144</v>
      </c>
      <c r="C27908" s="5" t="str">
        <f>IFERROR(__xludf.DUMMYFUNCTION("GOOGLETRANSLATE(B27908,""en"",""zh-CN"")"),"一位女士在水中有一只脚，一只脚在船上，她开始在船上俯卧撑。")</f>
        <v>一位女士在水中有一只脚，一只脚在船上，她开始在船上俯卧撑。</v>
      </c>
    </row>
    <row r="27909">
      <c r="A27909" s="4" t="s">
        <v>35141</v>
      </c>
      <c r="B27909" s="4" t="s">
        <v>35145</v>
      </c>
      <c r="C27909" s="5" t="str">
        <f>IFERROR(__xludf.DUMMYFUNCTION("GOOGLETRANSLATE(B27909,""en"",""zh-CN"")"),"这位女士结束并展示了她的肌肉到相机上。")</f>
        <v>这位女士结束并展示了她的肌肉到相机上。</v>
      </c>
    </row>
    <row r="27910">
      <c r="A27910" s="4" t="s">
        <v>35141</v>
      </c>
      <c r="B27910" s="4" t="s">
        <v>35146</v>
      </c>
      <c r="C27910" s="5" t="str">
        <f>IFERROR(__xludf.DUMMYFUNCTION("GOOGLETRANSLATE(B27910,""en"",""zh-CN"")"),"我们在屏幕上看到一个标志。")</f>
        <v>我们在屏幕上看到一个标志。</v>
      </c>
    </row>
    <row r="27911">
      <c r="A27911" s="4" t="s">
        <v>35147</v>
      </c>
      <c r="B27911" s="6" t="s">
        <v>35148</v>
      </c>
      <c r="C27911" s="5" t="str">
        <f>IFERROR(__xludf.DUMMYFUNCTION("GOOGLETRANSLATE(B27911,""en"",""zh-CN"")"),"一个戴着头盔的小孩正在在操场上的猴子酒吧爬上，她下面有一个小男孩。")</f>
        <v>一个戴着头盔的小孩正在在操场上的猴子酒吧爬上，她下面有一个小男孩。</v>
      </c>
    </row>
    <row r="27912">
      <c r="A27912" s="4" t="s">
        <v>35147</v>
      </c>
      <c r="B27912" s="4" t="s">
        <v>35149</v>
      </c>
      <c r="C27912" s="5" t="str">
        <f>IFERROR(__xludf.DUMMYFUNCTION("GOOGLETRANSLATE(B27912,""en"",""zh-CN"")"),"一个骑自行车的人绕着那个年轻女孩走去，她爬到最后一个酒吧。")</f>
        <v>一个骑自行车的人绕着那个年轻女孩走去，她爬到最后一个酒吧。</v>
      </c>
    </row>
    <row r="27913">
      <c r="A27913" s="4" t="s">
        <v>35150</v>
      </c>
      <c r="B27913" s="4" t="s">
        <v>35151</v>
      </c>
      <c r="C27913" s="5" t="str">
        <f>IFERROR(__xludf.DUMMYFUNCTION("GOOGLETRANSLATE(B27913,""en"",""zh-CN"")"),"一个红色短的男人正在将瓶子倒在一些木头上。")</f>
        <v>一个红色短的男人正在将瓶子倒在一些木头上。</v>
      </c>
    </row>
    <row r="27914">
      <c r="A27914" s="4" t="s">
        <v>35150</v>
      </c>
      <c r="B27914" s="4" t="s">
        <v>35152</v>
      </c>
      <c r="C27914" s="5" t="str">
        <f>IFERROR(__xludf.DUMMYFUNCTION("GOOGLETRANSLATE(B27914,""en"",""zh-CN"")"),"该男子把一些纸放在木头上。")</f>
        <v>该男子把一些纸放在木头上。</v>
      </c>
    </row>
    <row r="27915">
      <c r="A27915" s="4" t="s">
        <v>35150</v>
      </c>
      <c r="B27915" s="4" t="s">
        <v>35153</v>
      </c>
      <c r="C27915" s="5" t="str">
        <f>IFERROR(__xludf.DUMMYFUNCTION("GOOGLETRANSLATE(B27915,""en"",""zh-CN"")"),"那个男人在木头上扔了匹配。")</f>
        <v>那个男人在木头上扔了匹配。</v>
      </c>
    </row>
    <row r="27916">
      <c r="A27916" s="4" t="s">
        <v>35150</v>
      </c>
      <c r="B27916" s="4" t="s">
        <v>35154</v>
      </c>
      <c r="C27916" s="5" t="str">
        <f>IFERROR(__xludf.DUMMYFUNCTION("GOOGLETRANSLATE(B27916,""en"",""zh-CN"")"),"大火开始燃烧。")</f>
        <v>大火开始燃烧。</v>
      </c>
    </row>
    <row r="27917">
      <c r="A27917" s="4" t="s">
        <v>35155</v>
      </c>
      <c r="B27917" s="6" t="s">
        <v>35156</v>
      </c>
      <c r="C27917" s="5" t="str">
        <f>IFERROR(__xludf.DUMMYFUNCTION("GOOGLETRANSLATE(B27917,""en"",""zh-CN"")"),"一个相机在一个大型室内游泳池周围摇晃，并显示一个男子跳下跳水板进入水中。")</f>
        <v>一个相机在一个大型室内游泳池周围摇晃，并显示一个男子跳下跳水板进入水中。</v>
      </c>
    </row>
    <row r="27918">
      <c r="A27918" s="4" t="s">
        <v>35155</v>
      </c>
      <c r="B27918" s="4" t="s">
        <v>35157</v>
      </c>
      <c r="C27918" s="5" t="str">
        <f>IFERROR(__xludf.DUMMYFUNCTION("GOOGLETRANSLATE(B27918,""en"",""zh-CN"")"),"显示了几个人的热身，随后有许多人跳入游泳池。")</f>
        <v>显示了几个人的热身，随后有许多人跳入游泳池。</v>
      </c>
    </row>
    <row r="27919">
      <c r="A27919" s="4" t="s">
        <v>35155</v>
      </c>
      <c r="B27919" s="6" t="s">
        <v>35158</v>
      </c>
      <c r="C27919" s="5" t="str">
        <f>IFERROR(__xludf.DUMMYFUNCTION("GOOGLETRANSLATE(B27919,""en"",""zh-CN"")"),"一个人指示他们如何正确地降落在水中，然后几个人一次跳入游泳池，包括相机人。")</f>
        <v>一个人指示他们如何正确地降落在水中，然后几个人一次跳入游泳池，包括相机人。</v>
      </c>
    </row>
    <row r="27920">
      <c r="A27920" s="4" t="s">
        <v>35159</v>
      </c>
      <c r="B27920" s="4" t="s">
        <v>35160</v>
      </c>
      <c r="C27920" s="5" t="str">
        <f>IFERROR(__xludf.DUMMYFUNCTION("GOOGLETRANSLATE(B27920,""en"",""zh-CN"")"),"两名Sumos准备在戒指中摔跤，而法官则站在他们的中间。")</f>
        <v>两名Sumos准备在戒指中摔跤，而法官则站在他们的中间。</v>
      </c>
    </row>
    <row r="27921">
      <c r="A27921" s="4" t="s">
        <v>35159</v>
      </c>
      <c r="B27921" s="4" t="s">
        <v>35161</v>
      </c>
      <c r="C27921" s="5" t="str">
        <f>IFERROR(__xludf.DUMMYFUNCTION("GOOGLETRANSLATE(B27921,""en"",""zh-CN"")"),"然后sumos摔跤，薄的相扑将脂肪相扑扔到地板上。")</f>
        <v>然后sumos摔跤，薄的相扑将脂肪相扑扔到地板上。</v>
      </c>
    </row>
    <row r="27922">
      <c r="A27922" s="4" t="s">
        <v>35159</v>
      </c>
      <c r="B27922" s="4" t="s">
        <v>35162</v>
      </c>
      <c r="C27922" s="5" t="str">
        <f>IFERROR(__xludf.DUMMYFUNCTION("GOOGLETRANSLATE(B27922,""en"",""zh-CN"")"),"之后，胖相扑站起来并离开戒指。")</f>
        <v>之后，胖相扑站起来并离开戒指。</v>
      </c>
    </row>
    <row r="27923">
      <c r="A27923" s="4" t="s">
        <v>35159</v>
      </c>
      <c r="B27923" s="4" t="s">
        <v>35163</v>
      </c>
      <c r="C27923" s="5" t="str">
        <f>IFERROR(__xludf.DUMMYFUNCTION("GOOGLETRANSLATE(B27923,""en"",""zh-CN"")"),"乌鸦鼓掌，然后男人扫帚戒指。")</f>
        <v>乌鸦鼓掌，然后男人扫帚戒指。</v>
      </c>
    </row>
    <row r="27924">
      <c r="A27924" s="4" t="s">
        <v>35164</v>
      </c>
      <c r="B27924" s="6" t="s">
        <v>35165</v>
      </c>
      <c r="C27924" s="5" t="str">
        <f>IFERROR(__xludf.DUMMYFUNCTION("GOOGLETRANSLATE(B27924,""en"",""zh-CN"")"),"看到一个男人在拿着曲棍球棒的相机上说话，并导致他指导其他球员。")</f>
        <v>看到一个男人在拿着曲棍球棒的相机上说话，并导致他指导其他球员。</v>
      </c>
    </row>
    <row r="27925">
      <c r="A27925" s="4" t="s">
        <v>35164</v>
      </c>
      <c r="B27925" s="6" t="s">
        <v>35166</v>
      </c>
      <c r="C27925" s="5" t="str">
        <f>IFERROR(__xludf.DUMMYFUNCTION("GOOGLETRANSLATE(B27925,""en"",""zh-CN"")"),"该男子在男人向他们大喊，其他人继续玩耍的同时，该男子继续互相比赛。")</f>
        <v>该男子在男人向他们大喊，其他人继续玩耍的同时，该男子继续互相比赛。</v>
      </c>
    </row>
    <row r="27926">
      <c r="A27926" s="4" t="s">
        <v>35167</v>
      </c>
      <c r="B27926" s="6" t="s">
        <v>35168</v>
      </c>
      <c r="C27926" s="5" t="str">
        <f>IFERROR(__xludf.DUMMYFUNCTION("GOOGLETRANSLATE(B27926,""en"",""zh-CN"")"),"看到一小群男人站在法庭上，许多人坐在旁边看着。")</f>
        <v>看到一小群男人站在法庭上，许多人坐在旁边看着。</v>
      </c>
    </row>
    <row r="27927">
      <c r="A27927" s="4" t="s">
        <v>35167</v>
      </c>
      <c r="B27927" s="6" t="s">
        <v>35169</v>
      </c>
      <c r="C27927" s="5" t="str">
        <f>IFERROR(__xludf.DUMMYFUNCTION("GOOGLETRANSLATE(B27927,""en"",""zh-CN"")"),"一个人用撑竿跳高行驶，将其扔到远处，而同一剪辑再次以慢动作显示，另一个则随后又显示出来。")</f>
        <v>一个人用撑竿跳高行驶，将其扔到远处，而同一剪辑再次以慢动作显示，另一个则随后又显示出来。</v>
      </c>
    </row>
    <row r="27928">
      <c r="A27928" s="4" t="s">
        <v>35170</v>
      </c>
      <c r="B27928" s="4" t="s">
        <v>35171</v>
      </c>
      <c r="C27928" s="5" t="str">
        <f>IFERROR(__xludf.DUMMYFUNCTION("GOOGLETRANSLATE(B27928,""en"",""zh-CN"")"),"该视频从有关快速意大利面条酱中的食谱介绍开始。")</f>
        <v>该视频从有关快速意大利面条酱中的食谱介绍开始。</v>
      </c>
    </row>
    <row r="27929">
      <c r="A27929" s="4" t="s">
        <v>35170</v>
      </c>
      <c r="B27929" s="4" t="s">
        <v>35172</v>
      </c>
      <c r="C27929" s="5" t="str">
        <f>IFERROR(__xludf.DUMMYFUNCTION("GOOGLETRANSLATE(B27929,""en"",""zh-CN"")"),"视频过渡到显示钢包将酱汁倒在面条上。")</f>
        <v>视频过渡到显示钢包将酱汁倒在面条上。</v>
      </c>
    </row>
    <row r="27930">
      <c r="A27930" s="4" t="s">
        <v>35170</v>
      </c>
      <c r="B27930" s="4" t="s">
        <v>35173</v>
      </c>
      <c r="C27930" s="5" t="str">
        <f>IFERROR(__xludf.DUMMYFUNCTION("GOOGLETRANSLATE(B27930,""en"",""zh-CN"")"),"有人开始用刀切割各种蔬菜，其中包括绿色蔬菜和洋葱。")</f>
        <v>有人开始用刀切割各种蔬菜，其中包括绿色蔬菜和洋葱。</v>
      </c>
    </row>
    <row r="27931">
      <c r="A27931" s="4" t="s">
        <v>35170</v>
      </c>
      <c r="B27931" s="4" t="s">
        <v>35174</v>
      </c>
      <c r="C27931" s="5" t="str">
        <f>IFERROR(__xludf.DUMMYFUNCTION("GOOGLETRANSLATE(B27931,""en"",""zh-CN"")"),"接下来，当有人将油和蔬菜倒入其中时，显示一个空的金属锅。")</f>
        <v>接下来，当有人将油和蔬菜倒入其中时，显示一个空的金属锅。</v>
      </c>
    </row>
    <row r="27932">
      <c r="A27932" s="4" t="s">
        <v>35170</v>
      </c>
      <c r="B27932" s="4" t="s">
        <v>35175</v>
      </c>
      <c r="C27932" s="5" t="str">
        <f>IFERROR(__xludf.DUMMYFUNCTION("GOOGLETRANSLATE(B27932,""en"",""zh-CN"")"),"然后，他们开始用油搅拌蔬菜。")</f>
        <v>然后，他们开始用油搅拌蔬菜。</v>
      </c>
    </row>
    <row r="27933">
      <c r="A27933" s="4" t="s">
        <v>35170</v>
      </c>
      <c r="B27933" s="4" t="s">
        <v>35176</v>
      </c>
      <c r="C27933" s="5" t="str">
        <f>IFERROR(__xludf.DUMMYFUNCTION("GOOGLETRANSLATE(B27933,""en"",""zh-CN"")"),"此后，添加其他成分包括西红柿，香料和某种液体。")</f>
        <v>此后，添加其他成分包括西红柿，香料和某种液体。</v>
      </c>
    </row>
    <row r="27934">
      <c r="A27934" s="4" t="s">
        <v>35170</v>
      </c>
      <c r="B27934" s="4" t="s">
        <v>35177</v>
      </c>
      <c r="C27934" s="5" t="str">
        <f>IFERROR(__xludf.DUMMYFUNCTION("GOOGLETRANSLATE(B27934,""en"",""zh-CN"")"),"一切都在一起搅拌。")</f>
        <v>一切都在一起搅拌。</v>
      </c>
    </row>
    <row r="27935">
      <c r="A27935" s="4" t="s">
        <v>35170</v>
      </c>
      <c r="B27935" s="4" t="s">
        <v>35178</v>
      </c>
      <c r="C27935" s="5" t="str">
        <f>IFERROR(__xludf.DUMMYFUNCTION("GOOGLETRANSLATE(B27935,""en"",""zh-CN"")"),"锅移除并混合搅拌成分。")</f>
        <v>锅移除并混合搅拌成分。</v>
      </c>
    </row>
    <row r="27936">
      <c r="A27936" s="4" t="s">
        <v>35170</v>
      </c>
      <c r="B27936" s="6" t="s">
        <v>35179</v>
      </c>
      <c r="C27936" s="5" t="str">
        <f>IFERROR(__xludf.DUMMYFUNCTION("GOOGLETRANSLATE(B27936,""en"",""zh-CN"")"),"混合成分被放回男人，然后将罐子中的红色物质倒在锅中并混合进来。")</f>
        <v>混合成分被放回男人，然后将罐子中的红色物质倒在锅中并混合进来。</v>
      </c>
    </row>
    <row r="27937">
      <c r="A27937" s="4" t="s">
        <v>35170</v>
      </c>
      <c r="B27937" s="4" t="s">
        <v>35180</v>
      </c>
      <c r="C27937" s="5" t="str">
        <f>IFERROR(__xludf.DUMMYFUNCTION("GOOGLETRANSLATE(B27937,""en"",""zh-CN"")"),"酱汁完成并倒在面条上。")</f>
        <v>酱汁完成并倒在面条上。</v>
      </c>
    </row>
    <row r="27938">
      <c r="A27938" s="4" t="s">
        <v>35170</v>
      </c>
      <c r="B27938" s="6" t="s">
        <v>35181</v>
      </c>
      <c r="C27938" s="5" t="str">
        <f>IFERROR(__xludf.DUMMYFUNCTION("GOOGLETRANSLATE(B27938,""en"",""zh-CN"")"),"视频以橙色背景结尾，并提供有关在哪里观看更多视频的信息。")</f>
        <v>视频以橙色背景结尾，并提供有关在哪里观看更多视频的信息。</v>
      </c>
    </row>
    <row r="27939">
      <c r="A27939" s="4" t="s">
        <v>35182</v>
      </c>
      <c r="B27939" s="6" t="s">
        <v>35183</v>
      </c>
      <c r="C27939" s="5" t="str">
        <f>IFERROR(__xludf.DUMMYFUNCTION("GOOGLETRANSLATE(B27939,""en"",""zh-CN"")"),"一个十几岁的男孩撞上了一块海绵鲍勃·皮纳塔（BobPiñata），用一块布遮住了他的眼睛，而女人拍照。")</f>
        <v>一个十几岁的男孩撞上了一块海绵鲍勃·皮纳塔（BobPiñata），用一块布遮住了他的眼睛，而女人拍照。</v>
      </c>
    </row>
    <row r="27940">
      <c r="A27940" s="4" t="s">
        <v>35182</v>
      </c>
      <c r="B27940" s="4" t="s">
        <v>35184</v>
      </c>
      <c r="C27940" s="5" t="str">
        <f>IFERROR(__xludf.DUMMYFUNCTION("GOOGLETRANSLATE(B27940,""en"",""zh-CN"")"),"一个男孩击中了皮纳塔，直到男孩用蓝色布遮住眼睛。")</f>
        <v>一个男孩击中了皮纳塔，直到男孩用蓝色布遮住眼睛。</v>
      </c>
    </row>
    <row r="27941">
      <c r="A27941" s="4" t="s">
        <v>35182</v>
      </c>
      <c r="B27941" s="4" t="s">
        <v>35185</v>
      </c>
      <c r="C27941" s="5" t="str">
        <f>IFERROR(__xludf.DUMMYFUNCTION("GOOGLETRANSLATE(B27941,""en"",""zh-CN"")"),"一个男人用手揉脸，然后将钳子伸出。")</f>
        <v>一个男人用手揉脸，然后将钳子伸出。</v>
      </c>
    </row>
    <row r="27942">
      <c r="A27942" s="4" t="s">
        <v>35186</v>
      </c>
      <c r="B27942" s="4" t="s">
        <v>35187</v>
      </c>
      <c r="C27942" s="5" t="str">
        <f>IFERROR(__xludf.DUMMYFUNCTION("GOOGLETRANSLATE(B27942,""en"",""zh-CN"")"),"当一群人周围观看时，有两个人在广场上跳舞。")</f>
        <v>当一群人周围观看时，有两个人在广场上跳舞。</v>
      </c>
    </row>
    <row r="27943">
      <c r="A27943" s="4" t="s">
        <v>35186</v>
      </c>
      <c r="B27943" s="6" t="s">
        <v>35188</v>
      </c>
      <c r="C27943" s="5" t="str">
        <f>IFERROR(__xludf.DUMMYFUNCTION("GOOGLETRANSLATE(B27943,""en"",""zh-CN"")"),"人们来看着两个人跳舞，然后他们终于停止跳舞，鞠躬抓住一块布洗脸。")</f>
        <v>人们来看着两个人跳舞，然后他们终于停止跳舞，鞠躬抓住一块布洗脸。</v>
      </c>
    </row>
    <row r="27944">
      <c r="A27944" s="4" t="s">
        <v>35189</v>
      </c>
      <c r="B27944" s="4" t="s">
        <v>35190</v>
      </c>
      <c r="C27944" s="5" t="str">
        <f>IFERROR(__xludf.DUMMYFUNCTION("GOOGLETRANSLATE(B27944,""en"",""zh-CN"")"),"一个女人将蔬菜叶放在弓上。")</f>
        <v>一个女人将蔬菜叶放在弓上。</v>
      </c>
    </row>
    <row r="27945">
      <c r="A27945" s="4" t="s">
        <v>35189</v>
      </c>
      <c r="B27945" s="4" t="s">
        <v>35191</v>
      </c>
      <c r="C27945" s="5" t="str">
        <f>IFERROR(__xludf.DUMMYFUNCTION("GOOGLETRANSLATE(B27945,""en"",""zh-CN"")"),"摄像机是正确的，向女人旁边的男人展示。")</f>
        <v>摄像机是正确的，向女人旁边的男人展示。</v>
      </c>
    </row>
    <row r="27946">
      <c r="A27946" s="4" t="s">
        <v>35189</v>
      </c>
      <c r="B27946" s="4" t="s">
        <v>35192</v>
      </c>
      <c r="C27946" s="5" t="str">
        <f>IFERROR(__xludf.DUMMYFUNCTION("GOOGLETRANSLATE(B27946,""en"",""zh-CN"")"),"该男子将黄瓜切成板上。")</f>
        <v>该男子将黄瓜切成板上。</v>
      </c>
    </row>
    <row r="27947">
      <c r="A27947" s="4" t="s">
        <v>35193</v>
      </c>
      <c r="B27947" s="4" t="s">
        <v>35194</v>
      </c>
      <c r="C27947" s="5" t="str">
        <f>IFERROR(__xludf.DUMMYFUNCTION("GOOGLETRANSLATE(B27947,""en"",""zh-CN"")"),"看到两个男人在汽车的引擎盖上领先，同时抓住彼此的手。")</f>
        <v>看到两个男人在汽车的引擎盖上领先，同时抓住彼此的手。</v>
      </c>
    </row>
    <row r="27948">
      <c r="A27948" s="4" t="s">
        <v>35193</v>
      </c>
      <c r="B27948" s="6" t="s">
        <v>35195</v>
      </c>
      <c r="C27948" s="5" t="str">
        <f>IFERROR(__xludf.DUMMYFUNCTION("GOOGLETRANSLATE(B27948,""en"",""zh-CN"")"),"然后，他们开始了一场手臂摔跤比赛，最后一个男人赢了，看着相机和一个握住他的手腕。")</f>
        <v>然后，他们开始了一场手臂摔跤比赛，最后一个男人赢了，看着相机和一个握住他的手腕。</v>
      </c>
    </row>
    <row r="27949">
      <c r="A27949" s="4" t="s">
        <v>35196</v>
      </c>
      <c r="B27949" s="4" t="s">
        <v>35197</v>
      </c>
      <c r="C27949" s="5" t="str">
        <f>IFERROR(__xludf.DUMMYFUNCTION("GOOGLETRANSLATE(B27949,""en"",""zh-CN"")"),"显示了视频标题或标签。")</f>
        <v>显示了视频标题或标签。</v>
      </c>
    </row>
    <row r="27950">
      <c r="A27950" s="4" t="s">
        <v>35196</v>
      </c>
      <c r="B27950" s="4" t="s">
        <v>35198</v>
      </c>
      <c r="C27950" s="5" t="str">
        <f>IFERROR(__xludf.DUMMYFUNCTION("GOOGLETRANSLATE(B27950,""en"",""zh-CN"")"),"一个人示意和平标志。")</f>
        <v>一个人示意和平标志。</v>
      </c>
    </row>
    <row r="27951">
      <c r="A27951" s="4" t="s">
        <v>35196</v>
      </c>
      <c r="B27951" s="4" t="s">
        <v>35199</v>
      </c>
      <c r="C27951" s="5" t="str">
        <f>IFERROR(__xludf.DUMMYFUNCTION("GOOGLETRANSLATE(B27951,""en"",""zh-CN"")"),"一个人在雪地上降雪。")</f>
        <v>一个人在雪地上降雪。</v>
      </c>
    </row>
    <row r="27952">
      <c r="A27952" s="4" t="s">
        <v>35196</v>
      </c>
      <c r="B27952" s="4" t="s">
        <v>35200</v>
      </c>
      <c r="C27952" s="5" t="str">
        <f>IFERROR(__xludf.DUMMYFUNCTION("GOOGLETRANSLATE(B27952,""en"",""zh-CN"")"),"一群人挥手告别。")</f>
        <v>一群人挥手告别。</v>
      </c>
    </row>
    <row r="27953">
      <c r="A27953" s="4" t="s">
        <v>35201</v>
      </c>
      <c r="B27953" s="6" t="s">
        <v>35202</v>
      </c>
      <c r="C27953" s="5" t="str">
        <f>IFERROR(__xludf.DUMMYFUNCTION("GOOGLETRANSLATE(B27953,""en"",""zh-CN"")"),"一个男人正准备去水板，有一条船在他的右边等他，右下角的白色单词说“ Spray Lake Watersports＆Activity Center”。")</f>
        <v>一个男人正准备去水板，有一条船在他的右边等他，右下角的白色单词说“ Spray Lake Watersports＆Activity Center”。</v>
      </c>
    </row>
    <row r="27954">
      <c r="A27954" s="4" t="s">
        <v>35201</v>
      </c>
      <c r="B27954" s="6" t="s">
        <v>35203</v>
      </c>
      <c r="C27954" s="5" t="str">
        <f>IFERROR(__xludf.DUMMYFUNCTION("GOOGLETRANSLATE(B27954,""en"",""zh-CN"")"),"该男子进入水中，当他握住连接到绳索和船只的酒吧时，他很快在湖上滑水，有时用双手握住酒吧，有时交替交替。")</f>
        <v>该男子进入水中，当他握住连接到绳索和船只的酒吧时，他很快在湖上滑水，有时用双手握住酒吧，有时交替交替。</v>
      </c>
    </row>
    <row r="27955">
      <c r="A27955" s="4" t="s">
        <v>35201</v>
      </c>
      <c r="B27955" s="4" t="s">
        <v>35204</v>
      </c>
      <c r="C27955" s="5" t="str">
        <f>IFERROR(__xludf.DUMMYFUNCTION("GOOGLETRANSLATE(B27955,""en"",""zh-CN"")"),"该男子放开酒吧，开始向码头慢慢放慢。")</f>
        <v>该男子放开酒吧，开始向码头慢慢放慢。</v>
      </c>
    </row>
    <row r="27956">
      <c r="A27956" s="4" t="s">
        <v>35201</v>
      </c>
      <c r="B27956" s="6" t="s">
        <v>35205</v>
      </c>
      <c r="C27956" s="5" t="str">
        <f>IFERROR(__xludf.DUMMYFUNCTION("GOOGLETRANSLATE(B27956,""en"",""zh-CN"")"),"现在，一只手拿着一条水上，上面贴有黑色和银色的鞋子。")</f>
        <v>现在，一只手拿着一条水上，上面贴有黑色和银色的鞋子。</v>
      </c>
    </row>
    <row r="27957">
      <c r="A27957" s="4" t="s">
        <v>35201</v>
      </c>
      <c r="B27957" s="4" t="s">
        <v>35206</v>
      </c>
      <c r="C27957" s="5" t="str">
        <f>IFERROR(__xludf.DUMMYFUNCTION("GOOGLETRANSLATE(B27957,""en"",""zh-CN"")"),"简短地显示了一个人的水板，并欣赏水下冒泡。")</f>
        <v>简短地显示了一个人的水板，并欣赏水下冒泡。</v>
      </c>
    </row>
    <row r="27958">
      <c r="A27958" s="4" t="s">
        <v>35207</v>
      </c>
      <c r="B27958" s="4" t="s">
        <v>35208</v>
      </c>
      <c r="C27958" s="5" t="str">
        <f>IFERROR(__xludf.DUMMYFUNCTION("GOOGLETRANSLATE(B27958,""en"",""zh-CN"")"),"看到一个人在封闭的地区骑马骑着马。")</f>
        <v>看到一个人在封闭的地区骑马骑着马。</v>
      </c>
    </row>
    <row r="27959">
      <c r="A27959" s="4" t="s">
        <v>35207</v>
      </c>
      <c r="B27959" s="4" t="s">
        <v>35209</v>
      </c>
      <c r="C27959" s="5" t="str">
        <f>IFERROR(__xludf.DUMMYFUNCTION("GOOGLETRANSLATE(B27959,""en"",""zh-CN"")"),"相机继续跟随他在周围奔跑的地区骑行。")</f>
        <v>相机继续跟随他在周围奔跑的地区骑行。</v>
      </c>
    </row>
    <row r="27960">
      <c r="A27960" s="4" t="s">
        <v>35210</v>
      </c>
      <c r="B27960" s="4" t="s">
        <v>35211</v>
      </c>
      <c r="C27960" s="5" t="str">
        <f>IFERROR(__xludf.DUMMYFUNCTION("GOOGLETRANSLATE(B27960,""en"",""zh-CN"")"),"小女孩在猴子酒吧的顶部。")</f>
        <v>小女孩在猴子酒吧的顶部。</v>
      </c>
    </row>
    <row r="27961">
      <c r="A27961" s="4" t="s">
        <v>35210</v>
      </c>
      <c r="B27961" s="4" t="s">
        <v>35212</v>
      </c>
      <c r="C27961" s="5" t="str">
        <f>IFERROR(__xludf.DUMMYFUNCTION("GOOGLETRANSLATE(B27961,""en"",""zh-CN"")"),"一个穿着五颜六色衬衫的小孩穿过猴子酒吧。")</f>
        <v>一个穿着五颜六色衬衫的小孩穿过猴子酒吧。</v>
      </c>
    </row>
    <row r="27962">
      <c r="A27962" s="4" t="s">
        <v>35210</v>
      </c>
      <c r="B27962" s="4" t="s">
        <v>35213</v>
      </c>
      <c r="C27962" s="5" t="str">
        <f>IFERROR(__xludf.DUMMYFUNCTION("GOOGLETRANSLATE(B27962,""en"",""zh-CN"")"),"小女孩从猴子酒吧摔倒，回到猴子酒吧。")</f>
        <v>小女孩从猴子酒吧摔倒，回到猴子酒吧。</v>
      </c>
    </row>
    <row r="27963">
      <c r="A27963" s="4" t="s">
        <v>35214</v>
      </c>
      <c r="B27963" s="4" t="s">
        <v>35215</v>
      </c>
      <c r="C27963" s="5" t="str">
        <f>IFERROR(__xludf.DUMMYFUNCTION("GOOGLETRANSLATE(B27963,""en"",""zh-CN"")"),"玩家在观众面前在户外玩曲棍球。")</f>
        <v>玩家在观众面前在户外玩曲棍球。</v>
      </c>
    </row>
    <row r="27964">
      <c r="A27964" s="4" t="s">
        <v>35214</v>
      </c>
      <c r="B27964" s="4" t="s">
        <v>35216</v>
      </c>
      <c r="C27964" s="5" t="str">
        <f>IFERROR(__xludf.DUMMYFUNCTION("GOOGLETRANSLATE(B27964,""en"",""zh-CN"")"),"玩家正在田野上。")</f>
        <v>玩家正在田野上。</v>
      </c>
    </row>
    <row r="27965">
      <c r="A27965" s="4" t="s">
        <v>35214</v>
      </c>
      <c r="B27965" s="4" t="s">
        <v>35217</v>
      </c>
      <c r="C27965" s="5" t="str">
        <f>IFERROR(__xludf.DUMMYFUNCTION("GOOGLETRANSLATE(B27965,""en"",""zh-CN"")"),"球员将球击中了进球。")</f>
        <v>球员将球击中了进球。</v>
      </c>
    </row>
    <row r="27966">
      <c r="A27966" s="4" t="s">
        <v>35214</v>
      </c>
      <c r="B27966" s="4" t="s">
        <v>35218</v>
      </c>
      <c r="C27966" s="5" t="str">
        <f>IFERROR(__xludf.DUMMYFUNCTION("GOOGLETRANSLATE(B27966,""en"",""zh-CN"")"),"观众和队友庆祝目标，队友在肩膀上互相拍打。")</f>
        <v>观众和队友庆祝目标，队友在肩膀上互相拍打。</v>
      </c>
    </row>
    <row r="27967">
      <c r="A27967" s="4" t="s">
        <v>35214</v>
      </c>
      <c r="B27967" s="4" t="s">
        <v>35219</v>
      </c>
      <c r="C27967" s="5" t="str">
        <f>IFERROR(__xludf.DUMMYFUNCTION("GOOGLETRANSLATE(B27967,""en"",""zh-CN"")"),"一个家伙卸下了头盔。")</f>
        <v>一个家伙卸下了头盔。</v>
      </c>
    </row>
    <row r="27968">
      <c r="A27968" s="4" t="s">
        <v>35220</v>
      </c>
      <c r="B27968" s="4" t="s">
        <v>35221</v>
      </c>
      <c r="C27968" s="5" t="str">
        <f>IFERROR(__xludf.DUMMYFUNCTION("GOOGLETRANSLATE(B27968,""en"",""zh-CN"")"),"一个女孩展示如何制作柠檬水。")</f>
        <v>一个女孩展示如何制作柠檬水。</v>
      </c>
    </row>
    <row r="27969">
      <c r="A27969" s="4" t="s">
        <v>35220</v>
      </c>
      <c r="B27969" s="4" t="s">
        <v>35222</v>
      </c>
      <c r="C27969" s="5" t="str">
        <f>IFERROR(__xludf.DUMMYFUNCTION("GOOGLETRANSLATE(B27969,""en"",""zh-CN"")"),"然后，她拿着父母帮助她的现金。")</f>
        <v>然后，她拿着父母帮助她的现金。</v>
      </c>
    </row>
    <row r="27970">
      <c r="A27970" s="4" t="s">
        <v>35223</v>
      </c>
      <c r="B27970" s="4" t="s">
        <v>35224</v>
      </c>
      <c r="C27970" s="5" t="str">
        <f>IFERROR(__xludf.DUMMYFUNCTION("GOOGLETRANSLATE(B27970,""en"",""zh-CN"")"),"摄像机盘中的风筝在天空中以及田野中的人们都飞来飞去。")</f>
        <v>摄像机盘中的风筝在天空中以及田野中的人们都飞来飞去。</v>
      </c>
    </row>
    <row r="27971">
      <c r="A27971" s="4" t="s">
        <v>35223</v>
      </c>
      <c r="B27971" s="4" t="s">
        <v>35225</v>
      </c>
      <c r="C27971" s="5" t="str">
        <f>IFERROR(__xludf.DUMMYFUNCTION("GOOGLETRANSLATE(B27971,""en"",""zh-CN"")"),"看到一个男人用手来控制风筝。")</f>
        <v>看到一个男人用手来控制风筝。</v>
      </c>
    </row>
    <row r="27972">
      <c r="A27972" s="4" t="s">
        <v>35223</v>
      </c>
      <c r="B27972" s="4" t="s">
        <v>35226</v>
      </c>
      <c r="C27972" s="5" t="str">
        <f>IFERROR(__xludf.DUMMYFUNCTION("GOOGLETRANSLATE(B27972,""en"",""zh-CN"")"),"他继续随后的相机将物体绕着天空飞行。")</f>
        <v>他继续随后的相机将物体绕着天空飞行。</v>
      </c>
    </row>
    <row r="27973">
      <c r="A27973" s="4" t="s">
        <v>35227</v>
      </c>
      <c r="B27973" s="4" t="s">
        <v>35228</v>
      </c>
      <c r="C27973" s="5" t="str">
        <f>IFERROR(__xludf.DUMMYFUNCTION("GOOGLETRANSLATE(B27973,""en"",""zh-CN"")"),"一个年轻人坐在鼓盘前的椅子上。")</f>
        <v>一个年轻人坐在鼓盘前的椅子上。</v>
      </c>
    </row>
    <row r="27974">
      <c r="A27974" s="4" t="s">
        <v>35227</v>
      </c>
      <c r="B27974" s="4" t="s">
        <v>35229</v>
      </c>
      <c r="C27974" s="5" t="str">
        <f>IFERROR(__xludf.DUMMYFUNCTION("GOOGLETRANSLATE(B27974,""en"",""zh-CN"")"),"他开始演奏，这些鼓位于客厅内。")</f>
        <v>他开始演奏，这些鼓位于客厅内。</v>
      </c>
    </row>
    <row r="27975">
      <c r="A27975" s="4" t="s">
        <v>35227</v>
      </c>
      <c r="B27975" s="6" t="s">
        <v>35230</v>
      </c>
      <c r="C27975" s="5" t="str">
        <f>IFERROR(__xludf.DUMMYFUNCTION("GOOGLETRANSLATE(B27975,""en"",""zh-CN"")"),"演奏一直持续到他放下鼓棍子并以震惊的外观看着相机。")</f>
        <v>演奏一直持续到他放下鼓棍子并以震惊的外观看着相机。</v>
      </c>
    </row>
    <row r="27976">
      <c r="A27976" s="4" t="s">
        <v>35227</v>
      </c>
      <c r="B27976" s="4" t="s">
        <v>35231</v>
      </c>
      <c r="C27976" s="5" t="str">
        <f>IFERROR(__xludf.DUMMYFUNCTION("GOOGLETRANSLATE(B27976,""en"",""zh-CN"")"),"视频结束时，该男子起身关闭相机。")</f>
        <v>视频结束时，该男子起身关闭相机。</v>
      </c>
    </row>
    <row r="27977">
      <c r="A27977" s="4" t="s">
        <v>35232</v>
      </c>
      <c r="B27977" s="6" t="s">
        <v>35233</v>
      </c>
      <c r="C27977" s="5" t="str">
        <f>IFERROR(__xludf.DUMMYFUNCTION("GOOGLETRANSLATE(B27977,""en"",""zh-CN"")"),"一群人拿着充气船走路，到达湖泊，然后人们在湖中航行。")</f>
        <v>一群人拿着充气船走路，到达湖泊，然后人们在湖中航行。</v>
      </c>
    </row>
    <row r="27978">
      <c r="A27978" s="4" t="s">
        <v>35232</v>
      </c>
      <c r="B27978" s="4" t="s">
        <v>35234</v>
      </c>
      <c r="C27978" s="5" t="str">
        <f>IFERROR(__xludf.DUMMYFUNCTION("GOOGLETRANSLATE(B27978,""en"",""zh-CN"")"),"之后，人们乘船在狭窄的波涛汹涌的河上航行。")</f>
        <v>之后，人们乘船在狭窄的波涛汹涌的河上航行。</v>
      </c>
    </row>
    <row r="27979">
      <c r="A27979" s="4" t="s">
        <v>35232</v>
      </c>
      <c r="B27979" s="6" t="s">
        <v>35235</v>
      </c>
      <c r="C27979" s="5" t="str">
        <f>IFERROR(__xludf.DUMMYFUNCTION("GOOGLETRANSLATE(B27979,""en"",""zh-CN"")"),"after子到达级联，船只倒下时折叠起来，然后他们继续在河里漂流。")</f>
        <v>after子到达级联，船只倒下时折叠起来，然后他们继续在河里漂流。</v>
      </c>
    </row>
    <row r="27980">
      <c r="A27980" s="4" t="s">
        <v>35236</v>
      </c>
      <c r="B27980" s="4" t="s">
        <v>35237</v>
      </c>
      <c r="C27980" s="5" t="str">
        <f>IFERROR(__xludf.DUMMYFUNCTION("GOOGLETRANSLATE(B27980,""en"",""zh-CN"")"),"一个人站在梯子上。")</f>
        <v>一个人站在梯子上。</v>
      </c>
    </row>
    <row r="27981">
      <c r="A27981" s="4" t="s">
        <v>35236</v>
      </c>
      <c r="B27981" s="4" t="s">
        <v>35238</v>
      </c>
      <c r="C27981" s="5" t="str">
        <f>IFERROR(__xludf.DUMMYFUNCTION("GOOGLETRANSLATE(B27981,""en"",""zh-CN"")"),"他将墙纸挂在他面前的墙上。")</f>
        <v>他将墙纸挂在他面前的墙上。</v>
      </c>
    </row>
    <row r="27982">
      <c r="A27982" s="4" t="s">
        <v>35236</v>
      </c>
      <c r="B27982" s="4" t="s">
        <v>35239</v>
      </c>
      <c r="C27982" s="5" t="str">
        <f>IFERROR(__xludf.DUMMYFUNCTION("GOOGLETRANSLATE(B27982,""en"",""zh-CN"")"),"一旦墙壁在墙上，他就会使用工具使墙纸平滑。")</f>
        <v>一旦墙壁在墙上，他就会使用工具使墙纸平滑。</v>
      </c>
    </row>
    <row r="27983">
      <c r="A27983" s="4" t="s">
        <v>35240</v>
      </c>
      <c r="B27983" s="6" t="s">
        <v>35241</v>
      </c>
      <c r="C27983" s="5" t="str">
        <f>IFERROR(__xludf.DUMMYFUNCTION("GOOGLETRANSLATE(B27983,""en"",""zh-CN"")"),"展示了各种各样的人站在一起和在冰上移动的人，以及扮演洗牌板并互相大喊大叫的人。")</f>
        <v>展示了各种各样的人站在一起和在冰上移动的人，以及扮演洗牌板并互相大喊大叫的人。</v>
      </c>
    </row>
    <row r="27984">
      <c r="A27984" s="4" t="s">
        <v>35240</v>
      </c>
      <c r="B27984" s="6" t="s">
        <v>35242</v>
      </c>
      <c r="C27984" s="5" t="str">
        <f>IFERROR(__xludf.DUMMYFUNCTION("GOOGLETRANSLATE(B27984,""en"",""zh-CN"")"),"在摄像机上接受了几个人的采访，这些相机与沙芬板的镜头介入，人们揉脖子并互相交谈。")</f>
        <v>在摄像机上接受了几个人的采访，这些相机与沙芬板的镜头介入，人们揉脖子并互相交谈。</v>
      </c>
    </row>
    <row r="27985">
      <c r="A27985" s="4" t="s">
        <v>35243</v>
      </c>
      <c r="B27985" s="4" t="s">
        <v>35244</v>
      </c>
      <c r="C27985" s="5" t="str">
        <f>IFERROR(__xludf.DUMMYFUNCTION("GOOGLETRANSLATE(B27985,""en"",""zh-CN"")"),"一个女人正在沿着白雪皑皑的山丘骑一个Intertube。")</f>
        <v>一个女人正在沿着白雪皑皑的山丘骑一个Intertube。</v>
      </c>
    </row>
    <row r="27986">
      <c r="A27986" s="4" t="s">
        <v>35243</v>
      </c>
      <c r="B27986" s="4" t="s">
        <v>35245</v>
      </c>
      <c r="C27986" s="5" t="str">
        <f>IFERROR(__xludf.DUMMYFUNCTION("GOOGLETRANSLATE(B27986,""en"",""zh-CN"")"),"她跌倒时旋转，遇到了另一个人。")</f>
        <v>她跌倒时旋转，遇到了另一个人。</v>
      </c>
    </row>
    <row r="27987">
      <c r="A27987" s="4" t="s">
        <v>35243</v>
      </c>
      <c r="B27987" s="4" t="s">
        <v>35246</v>
      </c>
      <c r="C27987" s="5" t="str">
        <f>IFERROR(__xludf.DUMMYFUNCTION("GOOGLETRANSLATE(B27987,""en"",""zh-CN"")"),"她被击倒了插管。")</f>
        <v>她被击倒了插管。</v>
      </c>
    </row>
    <row r="27988">
      <c r="A27988" s="4" t="s">
        <v>35247</v>
      </c>
      <c r="B27988" s="6" t="s">
        <v>35248</v>
      </c>
      <c r="C27988" s="5" t="str">
        <f>IFERROR(__xludf.DUMMYFUNCTION("GOOGLETRANSLATE(B27988,""en"",""zh-CN"")"),"几张照片显示了公牛在繁忙的街道上遇到人，人们被公牛造成伤害。")</f>
        <v>几张照片显示了公牛在繁忙的街道上遇到人，人们被公牛造成伤害。</v>
      </c>
    </row>
    <row r="27989">
      <c r="A27989" s="4" t="s">
        <v>35247</v>
      </c>
      <c r="B27989" s="6" t="s">
        <v>35249</v>
      </c>
      <c r="C27989" s="5" t="str">
        <f>IFERROR(__xludf.DUMMYFUNCTION("GOOGLETRANSLATE(B27989,""en"",""zh-CN"")"),"还显示了更多的镜头，即公牛在各个地方伤害了人们，而其他人则试图帮助他们站在一边。")</f>
        <v>还显示了更多的镜头，即公牛在各个地方伤害了人们，而其他人则试图帮助他们站在一边。</v>
      </c>
    </row>
    <row r="27990">
      <c r="A27990" s="4" t="s">
        <v>35250</v>
      </c>
      <c r="B27990" s="4" t="s">
        <v>35251</v>
      </c>
      <c r="C27990" s="5" t="str">
        <f>IFERROR(__xludf.DUMMYFUNCTION("GOOGLETRANSLATE(B27990,""en"",""zh-CN"")"),"在小径之间显示了一个带有月亮和云的黑暗天空。")</f>
        <v>在小径之间显示了一个带有月亮和云的黑暗天空。</v>
      </c>
    </row>
    <row r="27991">
      <c r="A27991" s="4" t="s">
        <v>35250</v>
      </c>
      <c r="B27991" s="6" t="s">
        <v>35252</v>
      </c>
      <c r="C27991" s="5" t="str">
        <f>IFERROR(__xludf.DUMMYFUNCTION("GOOGLETRANSLATE(B27991,""en"",""zh-CN"")"),"之后，显示一名戴着帽子的男人在步道上行走，并显示了几场越野车比赛。")</f>
        <v>之后，显示一名戴着帽子的男人在步道上行走，并显示了几场越野车比赛。</v>
      </c>
    </row>
    <row r="27992">
      <c r="A27992" s="4" t="s">
        <v>35250</v>
      </c>
      <c r="B27992" s="4" t="s">
        <v>35253</v>
      </c>
      <c r="C27992" s="5" t="str">
        <f>IFERROR(__xludf.DUMMYFUNCTION("GOOGLETRANSLATE(B27992,""en"",""zh-CN"")"),"然后，该男子戴上头盔，酒吧被放下，他开始跳过山丘。")</f>
        <v>然后，该男子戴上头盔，酒吧被放下，他开始跳过山丘。</v>
      </c>
    </row>
    <row r="27993">
      <c r="A27993" s="4" t="s">
        <v>35250</v>
      </c>
      <c r="B27993" s="6" t="s">
        <v>35254</v>
      </c>
      <c r="C27993" s="5" t="str">
        <f>IFERROR(__xludf.DUMMYFUNCTION("GOOGLETRANSLATE(B27993,""en"",""zh-CN"")"),"随着视频的继续，您正在跟随该男子在小径上赛跑，并以互动和侧面骑行，以确保窍门降落并且他不会掉下来。")</f>
        <v>随着视频的继续，您正在跟随该男子在小径上赛跑，并以互动和侧面骑行，以确保窍门降落并且他不会掉下来。</v>
      </c>
    </row>
    <row r="27994">
      <c r="A27994" s="4" t="s">
        <v>35250</v>
      </c>
      <c r="B27994" s="4" t="s">
        <v>35255</v>
      </c>
      <c r="C27994" s="5" t="str">
        <f>IFERROR(__xludf.DUMMYFUNCTION("GOOGLETRANSLATE(B27994,""en"",""zh-CN"")"),"然后，该男子重新出现，在他走开之前，他的眼中显示了赛车的反射。")</f>
        <v>然后，该男子重新出现，在他走开之前，他的眼中显示了赛车的反射。</v>
      </c>
    </row>
    <row r="27995">
      <c r="A27995" s="4" t="s">
        <v>35256</v>
      </c>
      <c r="B27995" s="4" t="s">
        <v>35257</v>
      </c>
      <c r="C27995" s="5" t="str">
        <f>IFERROR(__xludf.DUMMYFUNCTION("GOOGLETRANSLATE(B27995,""en"",""zh-CN"")"),"保龄球被保龄球击中。")</f>
        <v>保龄球被保龄球击中。</v>
      </c>
    </row>
    <row r="27996">
      <c r="A27996" s="4" t="s">
        <v>35256</v>
      </c>
      <c r="B27996" s="4" t="s">
        <v>35258</v>
      </c>
      <c r="C27996" s="5" t="str">
        <f>IFERROR(__xludf.DUMMYFUNCTION("GOOGLETRANSLATE(B27996,""en"",""zh-CN"")"),"一群人欢呼坐在保龄球馆后面。")</f>
        <v>一群人欢呼坐在保龄球馆后面。</v>
      </c>
    </row>
    <row r="27997">
      <c r="A27997" s="4" t="s">
        <v>35256</v>
      </c>
      <c r="B27997" s="4" t="s">
        <v>35259</v>
      </c>
      <c r="C27997" s="5" t="str">
        <f>IFERROR(__xludf.DUMMYFUNCTION("GOOGLETRANSLATE(B27997,""en"",""zh-CN"")"),"一个男人亲吻他手中的奖杯。")</f>
        <v>一个男人亲吻他手中的奖杯。</v>
      </c>
    </row>
    <row r="27998">
      <c r="A27998" s="4" t="s">
        <v>35260</v>
      </c>
      <c r="B27998" s="4" t="s">
        <v>35261</v>
      </c>
      <c r="C27998" s="5" t="str">
        <f>IFERROR(__xludf.DUMMYFUNCTION("GOOGLETRANSLATE(B27998,""en"",""zh-CN"")"),"人们站在一个打网球的房间里。")</f>
        <v>人们站在一个打网球的房间里。</v>
      </c>
    </row>
    <row r="27999">
      <c r="A27999" s="4" t="s">
        <v>35260</v>
      </c>
      <c r="B27999" s="4" t="s">
        <v>35262</v>
      </c>
      <c r="C27999" s="5" t="str">
        <f>IFERROR(__xludf.DUMMYFUNCTION("GOOGLETRANSLATE(B27999,""en"",""zh-CN"")"),"一个女人捡起一个落在地面上的球。")</f>
        <v>一个女人捡起一个落在地面上的球。</v>
      </c>
    </row>
    <row r="28000">
      <c r="A28000" s="4" t="s">
        <v>35260</v>
      </c>
      <c r="B28000" s="4" t="s">
        <v>35263</v>
      </c>
      <c r="C28000" s="5" t="str">
        <f>IFERROR(__xludf.DUMMYFUNCTION("GOOGLETRANSLATE(B28000,""en"",""zh-CN"")"),"女孩走到网上。")</f>
        <v>女孩走到网上。</v>
      </c>
    </row>
    <row r="28001">
      <c r="A28001" s="4" t="s">
        <v>35264</v>
      </c>
      <c r="B28001" s="4" t="s">
        <v>35265</v>
      </c>
      <c r="C28001" s="5" t="str">
        <f>IFERROR(__xludf.DUMMYFUNCTION("GOOGLETRANSLATE(B28001,""en"",""zh-CN"")"),"两名年轻男子的手臂在厨房里摔跤，用立猫椅子作为桌子。")</f>
        <v>两名年轻男子的手臂在厨房里摔跤，用立猫椅子作为桌子。</v>
      </c>
    </row>
    <row r="28002">
      <c r="A28002" s="4" t="s">
        <v>35264</v>
      </c>
      <c r="B28002" s="6" t="s">
        <v>35266</v>
      </c>
      <c r="C28002" s="5" t="str">
        <f>IFERROR(__xludf.DUMMYFUNCTION("GOOGLETRANSLATE(B28002,""en"",""zh-CN"")"),"一个穿着白色背心的年轻人将肘部与另一个穿着黑色衬衫的年轻人一起放在高架猫椅上。")</f>
        <v>一个穿着白色背心的年轻人将肘部与另一个穿着黑色衬衫的年轻人一起放在高架猫椅上。</v>
      </c>
    </row>
    <row r="28003">
      <c r="A28003" s="4" t="s">
        <v>35264</v>
      </c>
      <c r="B28003" s="4" t="s">
        <v>35267</v>
      </c>
      <c r="C28003" s="5" t="str">
        <f>IFERROR(__xludf.DUMMYFUNCTION("GOOGLETRANSLATE(B28003,""en"",""zh-CN"")"),"这两个年轻人开始搏斗。")</f>
        <v>这两个年轻人开始搏斗。</v>
      </c>
    </row>
    <row r="28004">
      <c r="A28004" s="4" t="s">
        <v>35264</v>
      </c>
      <c r="B28004" s="6" t="s">
        <v>35268</v>
      </c>
      <c r="C28004" s="5" t="str">
        <f>IFERROR(__xludf.DUMMYFUNCTION("GOOGLETRANSLATE(B28004,""en"",""zh-CN"")"),"穿着黑色衬衫的男人赢得了手臂摔跤比赛，这时，白色背心的男人退后一步，站在冰箱前，一个女孩喝了罐头饮料。")</f>
        <v>穿着黑色衬衫的男人赢得了手臂摔跤比赛，这时，白色背心的男人退后一步，站在冰箱前，一个女孩喝了罐头饮料。</v>
      </c>
    </row>
    <row r="28005">
      <c r="A28005" s="4" t="s">
        <v>35269</v>
      </c>
      <c r="B28005" s="4" t="s">
        <v>35270</v>
      </c>
      <c r="C28005" s="5" t="str">
        <f>IFERROR(__xludf.DUMMYFUNCTION("GOOGLETRANSLATE(B28005,""en"",""zh-CN"")"),"一个男人和女人站在一个厨房里。")</f>
        <v>一个男人和女人站在一个厨房里。</v>
      </c>
    </row>
    <row r="28006">
      <c r="A28006" s="4" t="s">
        <v>35269</v>
      </c>
      <c r="B28006" s="4" t="s">
        <v>35271</v>
      </c>
      <c r="C28006" s="5" t="str">
        <f>IFERROR(__xludf.DUMMYFUNCTION("GOOGLETRANSLATE(B28006,""en"",""zh-CN"")"),"女人正在用白色托盘切碎各种蔬菜。")</f>
        <v>女人正在用白色托盘切碎各种蔬菜。</v>
      </c>
    </row>
    <row r="28007">
      <c r="A28007" s="4" t="s">
        <v>35272</v>
      </c>
      <c r="B28007" s="4" t="s">
        <v>35273</v>
      </c>
      <c r="C28007" s="5" t="str">
        <f>IFERROR(__xludf.DUMMYFUNCTION("GOOGLETRANSLATE(B28007,""en"",""zh-CN"")"),"竞技场的看台上有很多人群。")</f>
        <v>竞技场的看台上有很多人群。</v>
      </c>
    </row>
    <row r="28008">
      <c r="A28008" s="4" t="s">
        <v>35272</v>
      </c>
      <c r="B28008" s="4" t="s">
        <v>35274</v>
      </c>
      <c r="C28008" s="5" t="str">
        <f>IFERROR(__xludf.DUMMYFUNCTION("GOOGLETRANSLATE(B28008,""en"",""zh-CN"")"),"一个男人投掷标枪。")</f>
        <v>一个男人投掷标枪。</v>
      </c>
    </row>
    <row r="28009">
      <c r="A28009" s="4" t="s">
        <v>35272</v>
      </c>
      <c r="B28009" s="4" t="s">
        <v>35275</v>
      </c>
      <c r="C28009" s="5" t="str">
        <f>IFERROR(__xludf.DUMMYFUNCTION("GOOGLETRANSLATE(B28009,""en"",""zh-CN"")"),"摄影师在后台拍照。")</f>
        <v>摄影师在后台拍照。</v>
      </c>
    </row>
    <row r="28010">
      <c r="A28010" s="4" t="s">
        <v>35272</v>
      </c>
      <c r="B28010" s="4" t="s">
        <v>35276</v>
      </c>
      <c r="C28010" s="5" t="str">
        <f>IFERROR(__xludf.DUMMYFUNCTION("GOOGLETRANSLATE(B28010,""en"",""zh-CN"")"),"几名男子跑到标枪降落的地方。")</f>
        <v>几名男子跑到标枪降落的地方。</v>
      </c>
    </row>
    <row r="28011">
      <c r="A28011" s="4" t="s">
        <v>35272</v>
      </c>
      <c r="B28011" s="4" t="s">
        <v>35277</v>
      </c>
      <c r="C28011" s="5" t="str">
        <f>IFERROR(__xludf.DUMMYFUNCTION("GOOGLETRANSLATE(B28011,""en"",""zh-CN"")"),"投掷标枪的人庆祝。")</f>
        <v>投掷标枪的人庆祝。</v>
      </c>
    </row>
    <row r="28012">
      <c r="A28012" s="4" t="s">
        <v>35272</v>
      </c>
      <c r="B28012" s="4" t="s">
        <v>35278</v>
      </c>
      <c r="C28012" s="5" t="str">
        <f>IFERROR(__xludf.DUMMYFUNCTION("GOOGLETRANSLATE(B28012,""en"",""zh-CN"")"),"另一个男人扔了一个标枪。")</f>
        <v>另一个男人扔了一个标枪。</v>
      </c>
    </row>
    <row r="28013">
      <c r="A28013" s="4" t="s">
        <v>35272</v>
      </c>
      <c r="B28013" s="4" t="s">
        <v>35279</v>
      </c>
      <c r="C28013" s="5" t="str">
        <f>IFERROR(__xludf.DUMMYFUNCTION("GOOGLETRANSLATE(B28013,""en"",""zh-CN"")"),"人们四处走动做不同的事情。")</f>
        <v>人们四处走动做不同的事情。</v>
      </c>
    </row>
    <row r="28014">
      <c r="A28014" s="4" t="s">
        <v>35272</v>
      </c>
      <c r="B28014" s="4" t="s">
        <v>35280</v>
      </c>
      <c r="C28014" s="5" t="str">
        <f>IFERROR(__xludf.DUMMYFUNCTION("GOOGLETRANSLATE(B28014,""en"",""zh-CN"")"),"几名男子跑到标枪再次降落的地方。")</f>
        <v>几名男子跑到标枪再次降落的地方。</v>
      </c>
    </row>
    <row r="28015">
      <c r="A28015" s="4" t="s">
        <v>35272</v>
      </c>
      <c r="B28015" s="4" t="s">
        <v>35281</v>
      </c>
      <c r="C28015" s="5" t="str">
        <f>IFERROR(__xludf.DUMMYFUNCTION("GOOGLETRANSLATE(B28015,""en"",""zh-CN"")"),"第二个人将标枪和一个人扔在看台上。")</f>
        <v>第二个人将标枪和一个人扔在看台上。</v>
      </c>
    </row>
    <row r="28016">
      <c r="A28016" s="4" t="s">
        <v>35272</v>
      </c>
      <c r="B28016" s="4" t="s">
        <v>35282</v>
      </c>
      <c r="C28016" s="5" t="str">
        <f>IFERROR(__xludf.DUMMYFUNCTION("GOOGLETRANSLATE(B28016,""en"",""zh-CN"")"),"第三个人扔了一个标枪，以至于他跌倒了。")</f>
        <v>第三个人扔了一个标枪，以至于他跌倒了。</v>
      </c>
    </row>
    <row r="28017">
      <c r="A28017" s="4" t="s">
        <v>35272</v>
      </c>
      <c r="B28017" s="4" t="s">
        <v>35283</v>
      </c>
      <c r="C28017" s="5" t="str">
        <f>IFERROR(__xludf.DUMMYFUNCTION("GOOGLETRANSLATE(B28017,""en"",""zh-CN"")"),"同一个人跑到标枪的着陆点上。")</f>
        <v>同一个人跑到标枪的着陆点上。</v>
      </c>
    </row>
    <row r="28018">
      <c r="A28018" s="4" t="s">
        <v>35272</v>
      </c>
      <c r="B28018" s="4" t="s">
        <v>35284</v>
      </c>
      <c r="C28018" s="5" t="str">
        <f>IFERROR(__xludf.DUMMYFUNCTION("GOOGLETRANSLATE(B28018,""en"",""zh-CN"")"),"第三人走开看上去很失望。")</f>
        <v>第三人走开看上去很失望。</v>
      </c>
    </row>
    <row r="28019">
      <c r="A28019" s="4" t="s">
        <v>35272</v>
      </c>
      <c r="B28019" s="4" t="s">
        <v>35285</v>
      </c>
      <c r="C28019" s="5" t="str">
        <f>IFERROR(__xludf.DUMMYFUNCTION("GOOGLETRANSLATE(B28019,""en"",""zh-CN"")"),"第四个人投掷标枪。")</f>
        <v>第四个人投掷标枪。</v>
      </c>
    </row>
    <row r="28020">
      <c r="A28020" s="4" t="s">
        <v>35272</v>
      </c>
      <c r="B28020" s="4" t="s">
        <v>35286</v>
      </c>
      <c r="C28020" s="5" t="str">
        <f>IFERROR(__xludf.DUMMYFUNCTION("GOOGLETRANSLATE(B28020,""en"",""zh-CN"")"),"再次，这些人跑到标枪降落的地方。")</f>
        <v>再次，这些人跑到标枪降落的地方。</v>
      </c>
    </row>
    <row r="28021">
      <c r="A28021" s="4" t="s">
        <v>35272</v>
      </c>
      <c r="B28021" s="4" t="s">
        <v>35287</v>
      </c>
      <c r="C28021" s="5" t="str">
        <f>IFERROR(__xludf.DUMMYFUNCTION("GOOGLETRANSLATE(B28021,""en"",""zh-CN"")"),"第四个人看上去很失望。")</f>
        <v>第四个人看上去很失望。</v>
      </c>
    </row>
    <row r="28022">
      <c r="A28022" s="4" t="s">
        <v>35272</v>
      </c>
      <c r="B28022" s="4" t="s">
        <v>35288</v>
      </c>
      <c r="C28022" s="5" t="str">
        <f>IFERROR(__xludf.DUMMYFUNCTION("GOOGLETRANSLATE(B28022,""en"",""zh-CN"")"),"第一个投掷标枪的人四处庆祝并拥抱另一个男人。")</f>
        <v>第一个投掷标枪的人四处庆祝并拥抱另一个男人。</v>
      </c>
    </row>
    <row r="28023">
      <c r="A28023" s="4" t="s">
        <v>35272</v>
      </c>
      <c r="B28023" s="4" t="s">
        <v>35289</v>
      </c>
      <c r="C28023" s="5" t="str">
        <f>IFERROR(__xludf.DUMMYFUNCTION("GOOGLETRANSLATE(B28023,""en"",""zh-CN"")"),"一个男人在第一个标枪投掷者的脖子上放了一枚金牌，握手。")</f>
        <v>一个男人在第一个标枪投掷者的脖子上放了一枚金牌，握手。</v>
      </c>
    </row>
    <row r="28024">
      <c r="A28024" s="4" t="s">
        <v>35272</v>
      </c>
      <c r="B28024" s="4" t="s">
        <v>35290</v>
      </c>
      <c r="C28024" s="5" t="str">
        <f>IFERROR(__xludf.DUMMYFUNCTION("GOOGLETRANSLATE(B28024,""en"",""zh-CN"")"),"他在第二次投掷者上放了一枚银牌。")</f>
        <v>他在第二次投掷者上放了一枚银牌。</v>
      </c>
    </row>
    <row r="28025">
      <c r="A28025" s="4" t="s">
        <v>35272</v>
      </c>
      <c r="B28025" s="4" t="s">
        <v>35291</v>
      </c>
      <c r="C28025" s="5" t="str">
        <f>IFERROR(__xludf.DUMMYFUNCTION("GOOGLETRANSLATE(B28025,""en"",""zh-CN"")"),"他在第三次投掷者上放了铜牌。")</f>
        <v>他在第三次投掷者上放了铜牌。</v>
      </c>
    </row>
    <row r="28026">
      <c r="A28026" s="4" t="s">
        <v>35272</v>
      </c>
      <c r="B28026" s="4" t="s">
        <v>35292</v>
      </c>
      <c r="C28026" s="5" t="str">
        <f>IFERROR(__xludf.DUMMYFUNCTION("GOOGLETRANSLATE(B28026,""en"",""zh-CN"")"),"所有的人都握手。")</f>
        <v>所有的人都握手。</v>
      </c>
    </row>
    <row r="28027">
      <c r="A28027" s="4" t="s">
        <v>35272</v>
      </c>
      <c r="B28027" s="4" t="s">
        <v>35293</v>
      </c>
      <c r="C28027" s="5" t="str">
        <f>IFERROR(__xludf.DUMMYFUNCTION("GOOGLETRANSLATE(B28027,""en"",""zh-CN"")"),"金牌获奖者与新闻人交谈。")</f>
        <v>金牌获奖者与新闻人交谈。</v>
      </c>
    </row>
    <row r="28028">
      <c r="A28028" s="4" t="s">
        <v>35272</v>
      </c>
      <c r="B28028" s="4" t="s">
        <v>35294</v>
      </c>
      <c r="C28028" s="5" t="str">
        <f>IFERROR(__xludf.DUMMYFUNCTION("GOOGLETRANSLATE(B28028,""en"",""zh-CN"")"),"银牌获得者与新闻人交谈。")</f>
        <v>银牌获得者与新闻人交谈。</v>
      </c>
    </row>
    <row r="28029">
      <c r="A28029" s="4" t="s">
        <v>35295</v>
      </c>
      <c r="B28029" s="4" t="s">
        <v>35296</v>
      </c>
      <c r="C28029" s="5" t="str">
        <f>IFERROR(__xludf.DUMMYFUNCTION("GOOGLETRANSLATE(B28029,""en"",""zh-CN"")"),"两个人正在锻炼锻炼自行车。")</f>
        <v>两个人正在锻炼锻炼自行车。</v>
      </c>
    </row>
    <row r="28030">
      <c r="A28030" s="4" t="s">
        <v>35295</v>
      </c>
      <c r="B28030" s="4" t="s">
        <v>35297</v>
      </c>
      <c r="C28030" s="5" t="str">
        <f>IFERROR(__xludf.DUMMYFUNCTION("GOOGLETRANSLATE(B28030,""en"",""zh-CN"")"),"那个戴着蓝色假发的人将手伸向空中。")</f>
        <v>那个戴着蓝色假发的人将手伸向空中。</v>
      </c>
    </row>
    <row r="28031">
      <c r="A28031" s="4" t="s">
        <v>35295</v>
      </c>
      <c r="B28031" s="4" t="s">
        <v>35298</v>
      </c>
      <c r="C28031" s="5" t="str">
        <f>IFERROR(__xludf.DUMMYFUNCTION("GOOGLETRANSLATE(B28031,""en"",""zh-CN"")"),"人们也在锻炼自行车上。")</f>
        <v>人们也在锻炼自行车上。</v>
      </c>
    </row>
    <row r="28032">
      <c r="A28032" s="4" t="s">
        <v>35299</v>
      </c>
      <c r="B28032" s="4" t="s">
        <v>35300</v>
      </c>
      <c r="C28032" s="5" t="str">
        <f>IFERROR(__xludf.DUMMYFUNCTION("GOOGLETRANSLATE(B28032,""en"",""zh-CN"")"),"一个人用瓷砖覆盖地板。")</f>
        <v>一个人用瓷砖覆盖地板。</v>
      </c>
    </row>
    <row r="28033">
      <c r="A28033" s="4" t="s">
        <v>35299</v>
      </c>
      <c r="B28033" s="4" t="s">
        <v>35301</v>
      </c>
      <c r="C28033" s="5" t="str">
        <f>IFERROR(__xludf.DUMMYFUNCTION("GOOGLETRANSLATE(B28033,""en"",""zh-CN"")"),"然后，另一个男人来帮助用瓷砖遮住地板。")</f>
        <v>然后，另一个男人来帮助用瓷砖遮住地板。</v>
      </c>
    </row>
    <row r="28034">
      <c r="A28034" s="4" t="s">
        <v>35302</v>
      </c>
      <c r="B28034" s="4" t="s">
        <v>35303</v>
      </c>
      <c r="C28034" s="5" t="str">
        <f>IFERROR(__xludf.DUMMYFUNCTION("GOOGLETRANSLATE(B28034,""en"",""zh-CN"")"),"两个人站在一个高大的树篱上，握着修剪器。")</f>
        <v>两个人站在一个高大的树篱上，握着修剪器。</v>
      </c>
    </row>
    <row r="28035">
      <c r="A28035" s="4" t="s">
        <v>35302</v>
      </c>
      <c r="B28035" s="4" t="s">
        <v>35304</v>
      </c>
      <c r="C28035" s="5" t="str">
        <f>IFERROR(__xludf.DUMMYFUNCTION("GOOGLETRANSLATE(B28035,""en"",""zh-CN"")"),"这些人切断了树篱的顶部。")</f>
        <v>这些人切断了树篱的顶部。</v>
      </c>
    </row>
    <row r="28036">
      <c r="A28036" s="4" t="s">
        <v>35302</v>
      </c>
      <c r="B28036" s="4" t="s">
        <v>35305</v>
      </c>
      <c r="C28036" s="5" t="str">
        <f>IFERROR(__xludf.DUMMYFUNCTION("GOOGLETRANSLATE(B28036,""en"",""zh-CN"")"),"叶子从树篱的顶部掉下来。")</f>
        <v>叶子从树篱的顶部掉下来。</v>
      </c>
    </row>
    <row r="28037">
      <c r="A28037" s="4" t="s">
        <v>35306</v>
      </c>
      <c r="B28037" s="4" t="s">
        <v>35307</v>
      </c>
      <c r="C28037" s="5" t="str">
        <f>IFERROR(__xludf.DUMMYFUNCTION("GOOGLETRANSLATE(B28037,""en"",""zh-CN"")"),"一个男人正在停车场使用大扫帚。")</f>
        <v>一个男人正在停车场使用大扫帚。</v>
      </c>
    </row>
    <row r="28038">
      <c r="A28038" s="4" t="s">
        <v>35306</v>
      </c>
      <c r="B28038" s="4" t="s">
        <v>35308</v>
      </c>
      <c r="C28038" s="5" t="str">
        <f>IFERROR(__xludf.DUMMYFUNCTION("GOOGLETRANSLATE(B28038,""en"",""zh-CN"")"),"他在周围旋转扫帚。")</f>
        <v>他在周围旋转扫帚。</v>
      </c>
    </row>
    <row r="28039">
      <c r="A28039" s="4" t="s">
        <v>35306</v>
      </c>
      <c r="B28039" s="4" t="s">
        <v>35309</v>
      </c>
      <c r="C28039" s="5" t="str">
        <f>IFERROR(__xludf.DUMMYFUNCTION("GOOGLETRANSLATE(B28039,""en"",""zh-CN"")"),"旋转将一堆叶子从停车场刷出来。")</f>
        <v>旋转将一堆叶子从停车场刷出来。</v>
      </c>
    </row>
    <row r="28040">
      <c r="A28040" s="4" t="s">
        <v>35310</v>
      </c>
      <c r="B28040" s="6" t="s">
        <v>35311</v>
      </c>
      <c r="C28040" s="5" t="str">
        <f>IFERROR(__xludf.DUMMYFUNCTION("GOOGLETRANSLATE(B28040,""en"",""zh-CN"")"),"看到一个女人在拿着抹布和清洁剂的同时向相机说话，并导致她向她的手套喷洒并沿着钢琴移动。")</f>
        <v>看到一个女人在拿着抹布和清洁剂的同时向相机说话，并导致她向她的手套喷洒并沿着钢琴移动。</v>
      </c>
    </row>
    <row r="28041">
      <c r="A28041" s="4" t="s">
        <v>35310</v>
      </c>
      <c r="B28041" s="4" t="s">
        <v>35312</v>
      </c>
      <c r="C28041" s="5" t="str">
        <f>IFERROR(__xludf.DUMMYFUNCTION("GOOGLETRANSLATE(B28041,""en"",""zh-CN"")"),"女人继续在钢琴周围擦拭，结束时与镜头说话。")</f>
        <v>女人继续在钢琴周围擦拭，结束时与镜头说话。</v>
      </c>
    </row>
    <row r="28042">
      <c r="A28042" s="4" t="s">
        <v>35313</v>
      </c>
      <c r="B28042" s="4" t="s">
        <v>27371</v>
      </c>
      <c r="C28042" s="5" t="str">
        <f>IFERROR(__xludf.DUMMYFUNCTION("GOOGLETRANSLATE(B28042,""en"",""zh-CN"")"),"我们看到一个绿色标题屏幕。")</f>
        <v>我们看到一个绿色标题屏幕。</v>
      </c>
    </row>
    <row r="28043">
      <c r="A28043" s="4" t="s">
        <v>35313</v>
      </c>
      <c r="B28043" s="4" t="s">
        <v>35314</v>
      </c>
      <c r="C28043" s="5" t="str">
        <f>IFERROR(__xludf.DUMMYFUNCTION("GOOGLETRANSLATE(B28043,""en"",""zh-CN"")"),"人们在玩曲棍球游戏的领域四处奔跑。")</f>
        <v>人们在玩曲棍球游戏的领域四处奔跑。</v>
      </c>
    </row>
    <row r="28044">
      <c r="A28044" s="4" t="s">
        <v>35313</v>
      </c>
      <c r="B28044" s="4" t="s">
        <v>35315</v>
      </c>
      <c r="C28044" s="5" t="str">
        <f>IFERROR(__xludf.DUMMYFUNCTION("GOOGLETRANSLATE(B28044,""en"",""zh-CN"")"),"一个穿着白色短裤的男人坐在镜头前。")</f>
        <v>一个穿着白色短裤的男人坐在镜头前。</v>
      </c>
    </row>
    <row r="28045">
      <c r="A28045" s="4" t="s">
        <v>35313</v>
      </c>
      <c r="B28045" s="4" t="s">
        <v>35316</v>
      </c>
      <c r="C28045" s="5" t="str">
        <f>IFERROR(__xludf.DUMMYFUNCTION("GOOGLETRANSLATE(B28045,""en"",""zh-CN"")"),"一个男人敲开了他的一个队友。")</f>
        <v>一个男人敲开了他的一个队友。</v>
      </c>
    </row>
    <row r="28046">
      <c r="A28046" s="4" t="s">
        <v>35313</v>
      </c>
      <c r="B28046" s="4" t="s">
        <v>35317</v>
      </c>
      <c r="C28046" s="5" t="str">
        <f>IFERROR(__xludf.DUMMYFUNCTION("GOOGLETRANSLATE(B28046,""en"",""zh-CN"")"),"两个男人几乎坠入相机。")</f>
        <v>两个男人几乎坠入相机。</v>
      </c>
    </row>
    <row r="28047">
      <c r="A28047" s="4" t="s">
        <v>35313</v>
      </c>
      <c r="B28047" s="4" t="s">
        <v>35318</v>
      </c>
      <c r="C28047" s="5" t="str">
        <f>IFERROR(__xludf.DUMMYFUNCTION("GOOGLETRANSLATE(B28047,""en"",""zh-CN"")"),"一群球员为球而战。")</f>
        <v>一群球员为球而战。</v>
      </c>
    </row>
    <row r="28048">
      <c r="A28048" s="4" t="s">
        <v>35313</v>
      </c>
      <c r="B28048" s="4" t="s">
        <v>35319</v>
      </c>
      <c r="C28048" s="5" t="str">
        <f>IFERROR(__xludf.DUMMYFUNCTION("GOOGLETRANSLATE(B28048,""en"",""zh-CN"")"),"一个男人在球场上击中球。")</f>
        <v>一个男人在球场上击中球。</v>
      </c>
    </row>
    <row r="28049">
      <c r="A28049" s="4" t="s">
        <v>35313</v>
      </c>
      <c r="B28049" s="4" t="s">
        <v>35320</v>
      </c>
      <c r="C28049" s="5" t="str">
        <f>IFERROR(__xludf.DUMMYFUNCTION("GOOGLETRANSLATE(B28049,""en"",""zh-CN"")"),"屏幕淡入绿色。")</f>
        <v>屏幕淡入绿色。</v>
      </c>
    </row>
    <row r="28050">
      <c r="A28050" s="4" t="s">
        <v>35321</v>
      </c>
      <c r="B28050" s="6" t="s">
        <v>35322</v>
      </c>
      <c r="C28050" s="5" t="str">
        <f>IFERROR(__xludf.DUMMYFUNCTION("GOOGLETRANSLATE(B28050,""en"",""zh-CN"")"),"一个男人坐在马上，拿着套索，而助手站在旁边看观众。")</f>
        <v>一个男人坐在马上，拿着套索，而助手站在旁边看观众。</v>
      </c>
    </row>
    <row r="28051">
      <c r="A28051" s="4" t="s">
        <v>35321</v>
      </c>
      <c r="B28051" s="4" t="s">
        <v>35323</v>
      </c>
      <c r="C28051" s="5" t="str">
        <f>IFERROR(__xludf.DUMMYFUNCTION("GOOGLETRANSLATE(B28051,""en"",""zh-CN"")"),"一头母牛被释放，那个男人追赶它。")</f>
        <v>一头母牛被释放，那个男人追赶它。</v>
      </c>
    </row>
    <row r="28052">
      <c r="A28052" s="4" t="s">
        <v>35321</v>
      </c>
      <c r="B28052" s="4" t="s">
        <v>35324</v>
      </c>
      <c r="C28052" s="5" t="str">
        <f>IFERROR(__xludf.DUMMYFUNCTION("GOOGLETRANSLATE(B28052,""en"",""zh-CN"")"),"男人的套索并将其绑起来。")</f>
        <v>男人的套索并将其绑起来。</v>
      </c>
    </row>
    <row r="28053">
      <c r="A28053" s="4" t="s">
        <v>35321</v>
      </c>
      <c r="B28053" s="4" t="s">
        <v>35325</v>
      </c>
      <c r="C28053" s="5" t="str">
        <f>IFERROR(__xludf.DUMMYFUNCTION("GOOGLETRANSLATE(B28053,""en"",""zh-CN"")"),"一个人短暂进入相机框架。")</f>
        <v>一个人短暂进入相机框架。</v>
      </c>
    </row>
    <row r="28054">
      <c r="A28054" s="4" t="s">
        <v>35321</v>
      </c>
      <c r="B28054" s="4" t="s">
        <v>35326</v>
      </c>
      <c r="C28054" s="5" t="str">
        <f>IFERROR(__xludf.DUMMYFUNCTION("GOOGLETRANSLATE(B28054,""en"",""zh-CN"")"),"另一个人坐在马上，在同一环境中握住套索。")</f>
        <v>另一个人坐在马上，在同一环境中握住套索。</v>
      </c>
    </row>
    <row r="28055">
      <c r="A28055" s="4" t="s">
        <v>35321</v>
      </c>
      <c r="B28055" s="4" t="s">
        <v>35327</v>
      </c>
      <c r="C28055" s="5" t="str">
        <f>IFERROR(__xludf.DUMMYFUNCTION("GOOGLETRANSLATE(B28055,""en"",""zh-CN"")"),"一头牛被释放，第二个人追赶它。")</f>
        <v>一头牛被释放，第二个人追赶它。</v>
      </c>
    </row>
    <row r="28056">
      <c r="A28056" s="4" t="s">
        <v>35321</v>
      </c>
      <c r="B28056" s="4" t="s">
        <v>35328</v>
      </c>
      <c r="C28056" s="5" t="str">
        <f>IFERROR(__xludf.DUMMYFUNCTION("GOOGLETRANSLATE(B28056,""en"",""zh-CN"")"),"第二个人拉索并将其绑起来。")</f>
        <v>第二个人拉索并将其绑起来。</v>
      </c>
    </row>
    <row r="28057">
      <c r="A28057" s="4" t="s">
        <v>35321</v>
      </c>
      <c r="B28057" s="4" t="s">
        <v>35329</v>
      </c>
      <c r="C28057" s="5" t="str">
        <f>IFERROR(__xludf.DUMMYFUNCTION("GOOGLETRANSLATE(B28057,""en"",""zh-CN"")"),"两名骑手和两个助手进入框架。")</f>
        <v>两名骑手和两个助手进入框架。</v>
      </c>
    </row>
    <row r="28058">
      <c r="A28058" s="4" t="s">
        <v>35330</v>
      </c>
      <c r="B28058" s="6" t="s">
        <v>35331</v>
      </c>
      <c r="C28058" s="5" t="str">
        <f>IFERROR(__xludf.DUMMYFUNCTION("GOOGLETRANSLATE(B28058,""en"",""zh-CN"")"),"一个男人的蹦极从高架胶囊跳到像环境这样的森林中的他下面的水体。")</f>
        <v>一个男人的蹦极从高架胶囊跳到像环境这样的森林中的他下面的水体。</v>
      </c>
    </row>
    <row r="28059">
      <c r="A28059" s="4" t="s">
        <v>35330</v>
      </c>
      <c r="B28059" s="4" t="s">
        <v>35332</v>
      </c>
      <c r="C28059" s="5" t="str">
        <f>IFERROR(__xludf.DUMMYFUNCTION("GOOGLETRANSLATE(B28059,""en"",""zh-CN"")"),"穿着蓝色衬衫的男人被绑在蹦极跳线上。")</f>
        <v>穿着蓝色衬衫的男人被绑在蹦极跳线上。</v>
      </c>
    </row>
    <row r="28060">
      <c r="A28060" s="4" t="s">
        <v>35330</v>
      </c>
      <c r="B28060" s="4" t="s">
        <v>35333</v>
      </c>
      <c r="C28060" s="5" t="str">
        <f>IFERROR(__xludf.DUMMYFUNCTION("GOOGLETRANSLATE(B28060,""en"",""zh-CN"")"),"然后将该男子用带有指南的黄色胶囊将其抬高到空中，高高的水面上方。")</f>
        <v>然后将该男子用带有指南的黄色胶囊将其抬高到空中，高高的水面上方。</v>
      </c>
    </row>
    <row r="28061">
      <c r="A28061" s="4" t="s">
        <v>35330</v>
      </c>
      <c r="B28061" s="6" t="s">
        <v>35334</v>
      </c>
      <c r="C28061" s="5" t="str">
        <f>IFERROR(__xludf.DUMMYFUNCTION("GOOGLETRANSLATE(B28061,""en"",""zh-CN"")"),"然后，该男子跳出胶囊，将胶囊和水之间的距离掉进了水中。")</f>
        <v>然后，该男子跳出胶囊，将胶囊和水之间的距离掉进了水中。</v>
      </c>
    </row>
    <row r="28062">
      <c r="A28062" s="4" t="s">
        <v>35335</v>
      </c>
      <c r="B28062" s="4" t="s">
        <v>35336</v>
      </c>
      <c r="C28062" s="5" t="str">
        <f>IFERROR(__xludf.DUMMYFUNCTION("GOOGLETRANSLATE(B28062,""en"",""zh-CN"")"),"一个穿着蓝色衬衫的男人站在树林里，解释了一些东西。")</f>
        <v>一个穿着蓝色衬衫的男人站在树林里，解释了一些东西。</v>
      </c>
    </row>
    <row r="28063">
      <c r="A28063" s="4" t="s">
        <v>35335</v>
      </c>
      <c r="B28063" s="4" t="s">
        <v>35337</v>
      </c>
      <c r="C28063" s="5" t="str">
        <f>IFERROR(__xludf.DUMMYFUNCTION("GOOGLETRANSLATE(B28063,""en"",""zh-CN"")"),"然后，他展示了如何设置木头为火。")</f>
        <v>然后，他展示了如何设置木头为火。</v>
      </c>
    </row>
    <row r="28064">
      <c r="A28064" s="4" t="s">
        <v>35335</v>
      </c>
      <c r="B28064" s="4" t="s">
        <v>35338</v>
      </c>
      <c r="C28064" s="5" t="str">
        <f>IFERROR(__xludf.DUMMYFUNCTION("GOOGLETRANSLATE(B28064,""en"",""zh-CN"")"),"相机回到他站着。")</f>
        <v>相机回到他站着。</v>
      </c>
    </row>
    <row r="28065">
      <c r="A28065" s="4" t="s">
        <v>35335</v>
      </c>
      <c r="B28065" s="4" t="s">
        <v>35339</v>
      </c>
      <c r="C28065" s="5" t="str">
        <f>IFERROR(__xludf.DUMMYFUNCTION("GOOGLETRANSLATE(B28065,""en"",""zh-CN"")"),"相机开始起火。")</f>
        <v>相机开始起火。</v>
      </c>
    </row>
    <row r="28066">
      <c r="A28066" s="4" t="s">
        <v>35335</v>
      </c>
      <c r="B28066" s="4" t="s">
        <v>35340</v>
      </c>
      <c r="C28066" s="5" t="str">
        <f>IFERROR(__xludf.DUMMYFUNCTION("GOOGLETRANSLATE(B28066,""en"",""zh-CN"")"),"相机回到他站着。")</f>
        <v>相机回到他站着。</v>
      </c>
    </row>
    <row r="28067">
      <c r="A28067" s="4" t="s">
        <v>35335</v>
      </c>
      <c r="B28067" s="4" t="s">
        <v>35341</v>
      </c>
      <c r="C28067" s="5" t="str">
        <f>IFERROR(__xludf.DUMMYFUNCTION("GOOGLETRANSLATE(B28067,""en"",""zh-CN"")"),"相机回到他身上，建造了另一种篝火。")</f>
        <v>相机回到他身上，建造了另一种篝火。</v>
      </c>
    </row>
    <row r="28068">
      <c r="A28068" s="4" t="s">
        <v>35335</v>
      </c>
      <c r="B28068" s="4" t="s">
        <v>35342</v>
      </c>
      <c r="C28068" s="5" t="str">
        <f>IFERROR(__xludf.DUMMYFUNCTION("GOOGLETRANSLATE(B28068,""en"",""zh-CN"")"),"他再次站在树林里说话。")</f>
        <v>他再次站在树林里说话。</v>
      </c>
    </row>
    <row r="28069">
      <c r="A28069" s="4" t="s">
        <v>35343</v>
      </c>
      <c r="B28069" s="6" t="s">
        <v>35344</v>
      </c>
      <c r="C28069" s="5" t="str">
        <f>IFERROR(__xludf.DUMMYFUNCTION("GOOGLETRANSLATE(B28069,""en"",""zh-CN"")"),"显示了如何防止RV屋顶泄漏的视频，其中有一个RV的屋顶，一个人在泄漏周围清洁胶水。")</f>
        <v>显示了如何防止RV屋顶泄漏的视频，其中有一个RV的屋顶，一个人在泄漏周围清洁胶水。</v>
      </c>
    </row>
    <row r="28070">
      <c r="A28070" s="4" t="s">
        <v>35343</v>
      </c>
      <c r="B28070" s="4" t="s">
        <v>35345</v>
      </c>
      <c r="C28070" s="5" t="str">
        <f>IFERROR(__xludf.DUMMYFUNCTION("GOOGLETRANSLATE(B28070,""en"",""zh-CN"")"),"人正在将白色粘合在泄漏周围。")</f>
        <v>人正在将白色粘合在泄漏周围。</v>
      </c>
    </row>
    <row r="28071">
      <c r="A28071" s="4" t="s">
        <v>35346</v>
      </c>
      <c r="B28071" s="4" t="s">
        <v>35347</v>
      </c>
      <c r="C28071" s="5" t="str">
        <f>IFERROR(__xludf.DUMMYFUNCTION("GOOGLETRANSLATE(B28071,""en"",""zh-CN"")"),"介绍出现在屏幕上，以获取有关单板滑雪的视频。")</f>
        <v>介绍出现在屏幕上，以获取有关单板滑雪的视频。</v>
      </c>
    </row>
    <row r="28072">
      <c r="A28072" s="4" t="s">
        <v>35346</v>
      </c>
      <c r="B28072" s="4" t="s">
        <v>35348</v>
      </c>
      <c r="C28072" s="5" t="str">
        <f>IFERROR(__xludf.DUMMYFUNCTION("GOOGLETRANSLATE(B28072,""en"",""zh-CN"")"),"单板滑雪者开始对他的滑雪技术发表评论。")</f>
        <v>单板滑雪者开始对他的滑雪技术发表评论。</v>
      </c>
    </row>
    <row r="28073">
      <c r="A28073" s="4" t="s">
        <v>35346</v>
      </c>
      <c r="B28073" s="4" t="s">
        <v>35349</v>
      </c>
      <c r="C28073" s="5" t="str">
        <f>IFERROR(__xludf.DUMMYFUNCTION("GOOGLETRANSLATE(B28073,""en"",""zh-CN"")"),"正如他所解释的那样，显示了几个单板滑雪者的剪辑。")</f>
        <v>正如他所解释的那样，显示了几个单板滑雪者的剪辑。</v>
      </c>
    </row>
    <row r="28074">
      <c r="A28074" s="4" t="s">
        <v>35346</v>
      </c>
      <c r="B28074" s="4" t="s">
        <v>4761</v>
      </c>
      <c r="C28074" s="5" t="str">
        <f>IFERROR(__xludf.DUMMYFUNCTION("GOOGLETRANSLATE(B28074,""en"",""zh-CN"")"),"视频以屏幕上显示的结尾学分结束。")</f>
        <v>视频以屏幕上显示的结尾学分结束。</v>
      </c>
    </row>
    <row r="28075">
      <c r="A28075" s="4" t="s">
        <v>35350</v>
      </c>
      <c r="B28075" s="4" t="s">
        <v>35351</v>
      </c>
      <c r="C28075" s="5" t="str">
        <f>IFERROR(__xludf.DUMMYFUNCTION("GOOGLETRANSLATE(B28075,""en"",""zh-CN"")"),"屏幕显示科罗拉多州基斯通的跨世界单板滑雪。")</f>
        <v>屏幕显示科罗拉多州基斯通的跨世界单板滑雪。</v>
      </c>
    </row>
    <row r="28076">
      <c r="A28076" s="4" t="s">
        <v>35350</v>
      </c>
      <c r="B28076" s="4" t="s">
        <v>35352</v>
      </c>
      <c r="C28076" s="5" t="str">
        <f>IFERROR(__xludf.DUMMYFUNCTION("GOOGLETRANSLATE(B28076,""en"",""zh-CN"")"),"它显示了杰克·米特拉尼（Jack Mitrani）的单板滑雪基础。")</f>
        <v>它显示了杰克·米特拉尼（Jack Mitrani）的单板滑雪基础。</v>
      </c>
    </row>
    <row r="28077">
      <c r="A28077" s="4" t="s">
        <v>35350</v>
      </c>
      <c r="B28077" s="6" t="s">
        <v>35353</v>
      </c>
      <c r="C28077" s="5" t="str">
        <f>IFERROR(__xludf.DUMMYFUNCTION("GOOGLETRANSLATE(B28077,""en"",""zh-CN"")"),"一个戴着绿色连帽衫和帽子的人正在谈论单板滑雪所需的要点。")</f>
        <v>一个戴着绿色连帽衫和帽子的人正在谈论单板滑雪所需的要点。</v>
      </c>
    </row>
    <row r="28078">
      <c r="A28078" s="4" t="s">
        <v>35350</v>
      </c>
      <c r="B28078" s="4" t="s">
        <v>35354</v>
      </c>
      <c r="C28078" s="5" t="str">
        <f>IFERROR(__xludf.DUMMYFUNCTION("GOOGLETRANSLATE(B28078,""en"",""zh-CN"")"),"他正在用滑雪板展示他的教程。")</f>
        <v>他正在用滑雪板展示他的教程。</v>
      </c>
    </row>
    <row r="28079">
      <c r="A28079" s="4" t="s">
        <v>35350</v>
      </c>
      <c r="B28079" s="4" t="s">
        <v>35355</v>
      </c>
      <c r="C28079" s="5" t="str">
        <f>IFERROR(__xludf.DUMMYFUNCTION("GOOGLETRANSLATE(B28079,""en"",""zh-CN"")"),"当他解释如何打蜡时，他手里拿着铁。")</f>
        <v>当他解释如何打蜡时，他手里拿着铁。</v>
      </c>
    </row>
    <row r="28080">
      <c r="A28080" s="4" t="s">
        <v>35350</v>
      </c>
      <c r="B28080" s="4" t="s">
        <v>35356</v>
      </c>
      <c r="C28080" s="5" t="str">
        <f>IFERROR(__xludf.DUMMYFUNCTION("GOOGLETRANSLATE(B28080,""en"",""zh-CN"")"),"他的手里有一块硬蜡，也有铁。")</f>
        <v>他的手里有一块硬蜡，也有铁。</v>
      </c>
    </row>
    <row r="28081">
      <c r="A28081" s="4" t="s">
        <v>35350</v>
      </c>
      <c r="B28081" s="4" t="s">
        <v>35357</v>
      </c>
      <c r="C28081" s="5" t="str">
        <f>IFERROR(__xludf.DUMMYFUNCTION("GOOGLETRANSLATE(B28081,""en"",""zh-CN"")"),"他开始用加热的铁融化蜡，然后将其丢在板上。")</f>
        <v>他开始用加热的铁融化蜡，然后将其丢在板上。</v>
      </c>
    </row>
    <row r="28082">
      <c r="A28082" s="4" t="s">
        <v>35350</v>
      </c>
      <c r="B28082" s="4" t="s">
        <v>35358</v>
      </c>
      <c r="C28082" s="5" t="str">
        <f>IFERROR(__xludf.DUMMYFUNCTION("GOOGLETRANSLATE(B28082,""en"",""zh-CN"")"),"他将融化的蜡放在整个板上。")</f>
        <v>他将融化的蜡放在整个板上。</v>
      </c>
    </row>
    <row r="28083">
      <c r="A28083" s="4" t="s">
        <v>35350</v>
      </c>
      <c r="B28083" s="4" t="s">
        <v>35359</v>
      </c>
      <c r="C28083" s="5" t="str">
        <f>IFERROR(__xludf.DUMMYFUNCTION("GOOGLETRANSLATE(B28083,""en"",""zh-CN"")"),"然后，他将融化的蜡拖到板上。")</f>
        <v>然后，他将融化的蜡拖到板上。</v>
      </c>
    </row>
    <row r="28084">
      <c r="A28084" s="4" t="s">
        <v>35350</v>
      </c>
      <c r="B28084" s="4" t="s">
        <v>35360</v>
      </c>
      <c r="C28084" s="5" t="str">
        <f>IFERROR(__xludf.DUMMYFUNCTION("GOOGLETRANSLATE(B28084,""en"",""zh-CN"")"),"他在整个董事会中继续进行相同的过程。")</f>
        <v>他在整个董事会中继续进行相同的过程。</v>
      </c>
    </row>
    <row r="28085">
      <c r="A28085" s="4" t="s">
        <v>35350</v>
      </c>
      <c r="B28085" s="4" t="s">
        <v>35361</v>
      </c>
      <c r="C28085" s="5" t="str">
        <f>IFERROR(__xludf.DUMMYFUNCTION("GOOGLETRANSLATE(B28085,""en"",""zh-CN"")"),"然后使用刮板刮掉蜡并清洁板。")</f>
        <v>然后使用刮板刮掉蜡并清洁板。</v>
      </c>
    </row>
    <row r="28086">
      <c r="A28086" s="4" t="s">
        <v>35350</v>
      </c>
      <c r="B28086" s="4" t="s">
        <v>35362</v>
      </c>
      <c r="C28086" s="5" t="str">
        <f>IFERROR(__xludf.DUMMYFUNCTION("GOOGLETRANSLATE(B28086,""en"",""zh-CN"")"),"他还使用刷子刷蜡并从板上吹出蜡剃须。")</f>
        <v>他还使用刷子刷蜡并从板上吹出蜡剃须。</v>
      </c>
    </row>
    <row r="28087">
      <c r="A28087" s="4" t="s">
        <v>35363</v>
      </c>
      <c r="B28087" s="4" t="s">
        <v>35364</v>
      </c>
      <c r="C28087" s="5" t="str">
        <f>IFERROR(__xludf.DUMMYFUNCTION("GOOGLETRANSLATE(B28087,""en"",""zh-CN"")"),"一名女体操运动员在教练的监督下进行了例行工作。")</f>
        <v>一名女体操运动员在教练的监督下进行了例行工作。</v>
      </c>
    </row>
    <row r="28088">
      <c r="A28088" s="4" t="s">
        <v>35363</v>
      </c>
      <c r="B28088" s="6" t="s">
        <v>35365</v>
      </c>
      <c r="C28088" s="5" t="str">
        <f>IFERROR(__xludf.DUMMYFUNCTION("GOOGLETRANSLATE(B28088,""en"",""zh-CN"")"),"图形出现在屏幕底部，这些图形赋予了她所代表的女孩的名字和国家。")</f>
        <v>图形出现在屏幕底部，这些图形赋予了她所代表的女孩的名字和国家。</v>
      </c>
    </row>
    <row r="28089">
      <c r="A28089" s="4" t="s">
        <v>35363</v>
      </c>
      <c r="B28089" s="4" t="s">
        <v>35366</v>
      </c>
      <c r="C28089" s="5" t="str">
        <f>IFERROR(__xludf.DUMMYFUNCTION("GOOGLETRANSLATE(B28089,""en"",""zh-CN"")"),"她的教练走到不平坦的酒吧，以防万一她跌倒。")</f>
        <v>她的教练走到不平坦的酒吧，以防万一她跌倒。</v>
      </c>
    </row>
    <row r="28090">
      <c r="A28090" s="4" t="s">
        <v>35363</v>
      </c>
      <c r="B28090" s="6" t="s">
        <v>35367</v>
      </c>
      <c r="C28090" s="5" t="str">
        <f>IFERROR(__xludf.DUMMYFUNCTION("GOOGLETRANSLATE(B28090,""en"",""zh-CN"")"),"教练第二次走到不平坦的酒吧上，在需要时将自己定位为抓住她，然后走到垫子的另一侧。")</f>
        <v>教练第二次走到不平坦的酒吧上，在需要时将自己定位为抓住她，然后走到垫子的另一侧。</v>
      </c>
    </row>
    <row r="28091">
      <c r="A28091" s="4" t="s">
        <v>35363</v>
      </c>
      <c r="B28091" s="4" t="s">
        <v>35368</v>
      </c>
      <c r="C28091" s="5" t="str">
        <f>IFERROR(__xludf.DUMMYFUNCTION("GOOGLETRANSLATE(B28091,""en"",""zh-CN"")"),"她脱下了不平衡的酒吧，降落在垫子上并摆姿势。")</f>
        <v>她脱下了不平衡的酒吧，降落在垫子上并摆姿势。</v>
      </c>
    </row>
    <row r="28092">
      <c r="A28092" s="4" t="s">
        <v>35369</v>
      </c>
      <c r="B28092" s="4" t="s">
        <v>35370</v>
      </c>
      <c r="C28092" s="5" t="str">
        <f>IFERROR(__xludf.DUMMYFUNCTION("GOOGLETRANSLATE(B28092,""en"",""zh-CN"")"),"人们坐在篝火旁。")</f>
        <v>人们坐在篝火旁。</v>
      </c>
    </row>
    <row r="28093">
      <c r="A28093" s="4" t="s">
        <v>35369</v>
      </c>
      <c r="B28093" s="4" t="s">
        <v>35371</v>
      </c>
      <c r="C28093" s="5" t="str">
        <f>IFERROR(__xludf.DUMMYFUNCTION("GOOGLETRANSLATE(B28093,""en"",""zh-CN"")"),"一个戴着帽子的男人站起来，砍木头。")</f>
        <v>一个戴着帽子的男人站起来，砍木头。</v>
      </c>
    </row>
    <row r="28094">
      <c r="A28094" s="4" t="s">
        <v>35369</v>
      </c>
      <c r="B28094" s="4" t="s">
        <v>35372</v>
      </c>
      <c r="C28094" s="5" t="str">
        <f>IFERROR(__xludf.DUMMYFUNCTION("GOOGLETRANSLATE(B28094,""en"",""zh-CN"")"),"他竖起大拇指，将斧头放在肩膀上。")</f>
        <v>他竖起大拇指，将斧头放在肩膀上。</v>
      </c>
    </row>
    <row r="28095">
      <c r="A28095" s="4" t="s">
        <v>35373</v>
      </c>
      <c r="B28095" s="4" t="s">
        <v>35374</v>
      </c>
      <c r="C28095" s="5" t="str">
        <f>IFERROR(__xludf.DUMMYFUNCTION("GOOGLETRANSLATE(B28095,""en"",""zh-CN"")"),"一个人开车去海滩。")</f>
        <v>一个人开车去海滩。</v>
      </c>
    </row>
    <row r="28096">
      <c r="A28096" s="4" t="s">
        <v>35373</v>
      </c>
      <c r="B28096" s="4" t="s">
        <v>35375</v>
      </c>
      <c r="C28096" s="5" t="str">
        <f>IFERROR(__xludf.DUMMYFUNCTION("GOOGLETRANSLATE(B28096,""en"",""zh-CN"")"),"他为冲浪做准备。")</f>
        <v>他为冲浪做准备。</v>
      </c>
    </row>
    <row r="28097">
      <c r="A28097" s="4" t="s">
        <v>35373</v>
      </c>
      <c r="B28097" s="4" t="s">
        <v>35376</v>
      </c>
      <c r="C28097" s="5" t="str">
        <f>IFERROR(__xludf.DUMMYFUNCTION("GOOGLETRANSLATE(B28097,""en"",""zh-CN"")"),"然后，他在大波浪上冲浪。")</f>
        <v>然后，他在大波浪上冲浪。</v>
      </c>
    </row>
    <row r="28098">
      <c r="A28098" s="4" t="s">
        <v>35373</v>
      </c>
      <c r="B28098" s="4" t="s">
        <v>35377</v>
      </c>
      <c r="C28098" s="5" t="str">
        <f>IFERROR(__xludf.DUMMYFUNCTION("GOOGLETRANSLATE(B28098,""en"",""zh-CN"")"),"他结束并站在海滩上。")</f>
        <v>他结束并站在海滩上。</v>
      </c>
    </row>
    <row r="28099">
      <c r="A28099" s="4" t="s">
        <v>35378</v>
      </c>
      <c r="B28099" s="4" t="s">
        <v>35379</v>
      </c>
      <c r="C28099" s="5" t="str">
        <f>IFERROR(__xludf.DUMMYFUNCTION("GOOGLETRANSLATE(B28099,""en"",""zh-CN"")"),"一个人在清洁区域时用绿灯触摸皮肤。")</f>
        <v>一个人在清洁区域时用绿灯触摸皮肤。</v>
      </c>
    </row>
    <row r="28100">
      <c r="A28100" s="4" t="s">
        <v>35378</v>
      </c>
      <c r="B28100" s="4" t="s">
        <v>35380</v>
      </c>
      <c r="C28100" s="5" t="str">
        <f>IFERROR(__xludf.DUMMYFUNCTION("GOOGLETRANSLATE(B28100,""en"",""zh-CN"")"),"该人用棉花清洁腿。")</f>
        <v>该人用棉花清洁腿。</v>
      </c>
    </row>
    <row r="28101">
      <c r="A28101" s="4" t="s">
        <v>35378</v>
      </c>
      <c r="B28101" s="4" t="s">
        <v>35381</v>
      </c>
      <c r="C28101" s="5" t="str">
        <f>IFERROR(__xludf.DUMMYFUNCTION("GOOGLETRANSLATE(B28101,""en"",""zh-CN"")"),"该人继续应用绿灯。")</f>
        <v>该人继续应用绿灯。</v>
      </c>
    </row>
    <row r="28102">
      <c r="A28102" s="4" t="s">
        <v>35382</v>
      </c>
      <c r="B28102" s="4" t="s">
        <v>35383</v>
      </c>
      <c r="C28102" s="5" t="str">
        <f>IFERROR(__xludf.DUMMYFUNCTION("GOOGLETRANSLATE(B28102,""en"",""zh-CN"")"),"有4个非洲裔美国儿童在混凝土地上跳过。")</f>
        <v>有4个非洲裔美国儿童在混凝土地上跳过。</v>
      </c>
    </row>
    <row r="28103">
      <c r="A28103" s="4" t="s">
        <v>35382</v>
      </c>
      <c r="B28103" s="4" t="s">
        <v>35384</v>
      </c>
      <c r="C28103" s="5" t="str">
        <f>IFERROR(__xludf.DUMMYFUNCTION("GOOGLETRANSLATE(B28103,""en"",""zh-CN"")"),"3个穿着连衣裙，其中1件穿着衬衫和裤子。")</f>
        <v>3个穿着连衣裙，其中1件穿着衬衫和裤子。</v>
      </c>
    </row>
    <row r="28104">
      <c r="A28104" s="4" t="s">
        <v>35382</v>
      </c>
      <c r="B28104" s="6" t="s">
        <v>35385</v>
      </c>
      <c r="C28104" s="5" t="str">
        <f>IFERROR(__xludf.DUMMYFUNCTION("GOOGLETRANSLATE(B28104,""en"",""zh-CN"")"),"跳过后，他们去挑选建筑物侧面的蔬菜，然后将其放入蓝色的碗中。")</f>
        <v>跳过后，他们去挑选建筑物侧面的蔬菜，然后将其放入蓝色的碗中。</v>
      </c>
    </row>
    <row r="28105">
      <c r="A28105" s="4" t="s">
        <v>35386</v>
      </c>
      <c r="B28105" s="4" t="s">
        <v>35387</v>
      </c>
      <c r="C28105" s="5" t="str">
        <f>IFERROR(__xludf.DUMMYFUNCTION("GOOGLETRANSLATE(B28105,""en"",""zh-CN"")"),"两名妇女在桌子后面的一个房间里，一个女人握住一只泰迪熊。")</f>
        <v>两名妇女在桌子后面的一个房间里，一个女人握住一只泰迪熊。</v>
      </c>
    </row>
    <row r="28106">
      <c r="A28106" s="4" t="s">
        <v>35386</v>
      </c>
      <c r="B28106" s="4" t="s">
        <v>35388</v>
      </c>
      <c r="C28106" s="5" t="str">
        <f>IFERROR(__xludf.DUMMYFUNCTION("GOOGLETRANSLATE(B28106,""en"",""zh-CN"")"),"两者互相帮助，首先取出一卷包装纸。")</f>
        <v>两者互相帮助，首先取出一卷包装纸。</v>
      </c>
    </row>
    <row r="28107">
      <c r="A28107" s="4" t="s">
        <v>35386</v>
      </c>
      <c r="B28107" s="4" t="s">
        <v>35389</v>
      </c>
      <c r="C28107" s="5" t="str">
        <f>IFERROR(__xludf.DUMMYFUNCTION("GOOGLETRANSLATE(B28107,""en"",""zh-CN"")"),"之后，这个年轻的女孩开始切割，折叠和胶带纸，将熊放在里面。")</f>
        <v>之后，这个年轻的女孩开始切割，折叠和胶带纸，将熊放在里面。</v>
      </c>
    </row>
    <row r="28108">
      <c r="A28108" s="4" t="s">
        <v>35386</v>
      </c>
      <c r="B28108" s="4" t="s">
        <v>35390</v>
      </c>
      <c r="C28108" s="5" t="str">
        <f>IFERROR(__xludf.DUMMYFUNCTION("GOOGLETRANSLATE(B28108,""en"",""zh-CN"")"),"最后，任务完成了，她将成品放在桌子上。")</f>
        <v>最后，任务完成了，她将成品放在桌子上。</v>
      </c>
    </row>
    <row r="28109">
      <c r="A28109" s="4" t="s">
        <v>35391</v>
      </c>
      <c r="B28109" s="4" t="s">
        <v>35392</v>
      </c>
      <c r="C28109" s="5" t="str">
        <f>IFERROR(__xludf.DUMMYFUNCTION("GOOGLETRANSLATE(B28109,""en"",""zh-CN"")"),"当两名雄性开始战斗时，一群男人正站在外面的圈子击中棍子。")</f>
        <v>当两名雄性开始战斗时，一群男人正站在外面的圈子击中棍子。</v>
      </c>
    </row>
    <row r="28110">
      <c r="A28110" s="4" t="s">
        <v>35391</v>
      </c>
      <c r="B28110" s="4" t="s">
        <v>35393</v>
      </c>
      <c r="C28110" s="5" t="str">
        <f>IFERROR(__xludf.DUMMYFUNCTION("GOOGLETRANSLATE(B28110,""en"",""zh-CN"")"),"接下来，另外两个男人开始在圈子里跳舞，进行战斗动作。")</f>
        <v>接下来，另外两个男人开始在圈子里跳舞，进行战斗动作。</v>
      </c>
    </row>
    <row r="28111">
      <c r="A28111" s="4" t="s">
        <v>35391</v>
      </c>
      <c r="B28111" s="6" t="s">
        <v>35394</v>
      </c>
      <c r="C28111" s="5" t="str">
        <f>IFERROR(__xludf.DUMMYFUNCTION("GOOGLETRANSLATE(B28111,""en"",""zh-CN"")"),"之后，这些人成对进入圈子，开始互相跳舞，就像他们在互相战斗一样。")</f>
        <v>之后，这些人成对进入圈子，开始互相跳舞，就像他们在互相战斗一样。</v>
      </c>
    </row>
    <row r="28112">
      <c r="A28112" s="4" t="s">
        <v>35395</v>
      </c>
      <c r="B28112" s="4" t="s">
        <v>35396</v>
      </c>
      <c r="C28112" s="5" t="str">
        <f>IFERROR(__xludf.DUMMYFUNCTION("GOOGLETRANSLATE(B28112,""en"",""zh-CN"")"),"一个女孩的视频记录了一个男人在火上扔灯的末端。")</f>
        <v>一个女孩的视频记录了一个男人在火上扔灯的末端。</v>
      </c>
    </row>
    <row r="28113">
      <c r="A28113" s="4" t="s">
        <v>35395</v>
      </c>
      <c r="B28113" s="4" t="s">
        <v>35397</v>
      </c>
      <c r="C28113" s="5" t="str">
        <f>IFERROR(__xludf.DUMMYFUNCTION("GOOGLETRANSLATE(B28113,""en"",""zh-CN"")"),"该人将火棍吹到一堆木头上，最终造成火。")</f>
        <v>该人将火棍吹到一堆木头上，最终造成火。</v>
      </c>
    </row>
    <row r="28114">
      <c r="A28114" s="4" t="s">
        <v>35398</v>
      </c>
      <c r="B28114" s="4" t="s">
        <v>35399</v>
      </c>
      <c r="C28114" s="5" t="str">
        <f>IFERROR(__xludf.DUMMYFUNCTION("GOOGLETRANSLATE(B28114,""en"",""zh-CN"")"),"两个人站在健身房。")</f>
        <v>两个人站在健身房。</v>
      </c>
    </row>
    <row r="28115">
      <c r="A28115" s="4" t="s">
        <v>35398</v>
      </c>
      <c r="B28115" s="4" t="s">
        <v>35400</v>
      </c>
      <c r="C28115" s="5" t="str">
        <f>IFERROR(__xludf.DUMMYFUNCTION("GOOGLETRANSLATE(B28115,""en"",""zh-CN"")"),"一个男人跪下来，举起两个重量。")</f>
        <v>一个男人跪下来，举起两个重量。</v>
      </c>
    </row>
    <row r="28116">
      <c r="A28116" s="4" t="s">
        <v>35398</v>
      </c>
      <c r="B28116" s="4" t="s">
        <v>35401</v>
      </c>
      <c r="C28116" s="5" t="str">
        <f>IFERROR(__xludf.DUMMYFUNCTION("GOOGLETRANSLATE(B28116,""en"",""zh-CN"")"),"一个人站在他身后说话。")</f>
        <v>一个人站在他身后说话。</v>
      </c>
    </row>
    <row r="28117">
      <c r="A28117" s="4" t="s">
        <v>35398</v>
      </c>
      <c r="B28117" s="4" t="s">
        <v>35402</v>
      </c>
      <c r="C28117" s="5" t="str">
        <f>IFERROR(__xludf.DUMMYFUNCTION("GOOGLETRANSLATE(B28117,""en"",""zh-CN"")"),"该男子站起来，跪下几次。")</f>
        <v>该男子站起来，跪下几次。</v>
      </c>
    </row>
    <row r="28118">
      <c r="A28118" s="4" t="s">
        <v>35403</v>
      </c>
      <c r="B28118" s="4" t="s">
        <v>35404</v>
      </c>
      <c r="C28118" s="5" t="str">
        <f>IFERROR(__xludf.DUMMYFUNCTION("GOOGLETRANSLATE(B28118,""en"",""zh-CN"")"),"一个男人在建筑物前穿着白色。")</f>
        <v>一个男人在建筑物前穿着白色。</v>
      </c>
    </row>
    <row r="28119">
      <c r="A28119" s="4" t="s">
        <v>35403</v>
      </c>
      <c r="B28119" s="4" t="s">
        <v>35405</v>
      </c>
      <c r="C28119" s="5" t="str">
        <f>IFERROR(__xludf.DUMMYFUNCTION("GOOGLETRANSLATE(B28119,""en"",""zh-CN"")"),"他正在做几项武术动作。")</f>
        <v>他正在做几项武术动作。</v>
      </c>
    </row>
    <row r="28120">
      <c r="A28120" s="4" t="s">
        <v>35403</v>
      </c>
      <c r="B28120" s="4" t="s">
        <v>35406</v>
      </c>
      <c r="C28120" s="5" t="str">
        <f>IFERROR(__xludf.DUMMYFUNCTION("GOOGLETRANSLATE(B28120,""en"",""zh-CN"")"),"当他展示动作时，他的移动非常缓慢。")</f>
        <v>当他展示动作时，他的移动非常缓慢。</v>
      </c>
    </row>
    <row r="28121">
      <c r="A28121" s="4" t="s">
        <v>35407</v>
      </c>
      <c r="B28121" s="4" t="s">
        <v>35408</v>
      </c>
      <c r="C28121" s="5" t="str">
        <f>IFERROR(__xludf.DUMMYFUNCTION("GOOGLETRANSLATE(B28121,""en"",""zh-CN"")"),"我们看到一个黑色介绍屏幕。")</f>
        <v>我们看到一个黑色介绍屏幕。</v>
      </c>
    </row>
    <row r="28122">
      <c r="A28122" s="4" t="s">
        <v>35407</v>
      </c>
      <c r="B28122" s="4" t="s">
        <v>35409</v>
      </c>
      <c r="C28122" s="5" t="str">
        <f>IFERROR(__xludf.DUMMYFUNCTION("GOOGLETRANSLATE(B28122,""en"",""zh-CN"")"),"我们看到戴安娜王妃和一个男人在玩游泳池。")</f>
        <v>我们看到戴安娜王妃和一个男人在玩游泳池。</v>
      </c>
    </row>
    <row r="28123">
      <c r="A28123" s="4" t="s">
        <v>35407</v>
      </c>
      <c r="B28123" s="4" t="s">
        <v>35410</v>
      </c>
      <c r="C28123" s="5" t="str">
        <f>IFERROR(__xludf.DUMMYFUNCTION("GOOGLETRANSLATE(B28123,""en"",""zh-CN"")"),"摄影师站在桌子的​​尽头。")</f>
        <v>摄影师站在桌子的​​尽头。</v>
      </c>
    </row>
    <row r="28124">
      <c r="A28124" s="4" t="s">
        <v>35407</v>
      </c>
      <c r="B28124" s="4" t="s">
        <v>35411</v>
      </c>
      <c r="C28124" s="5" t="str">
        <f>IFERROR(__xludf.DUMMYFUNCTION("GOOGLETRANSLATE(B28124,""en"",""zh-CN"")"),"公主和她的人民离开了房间。")</f>
        <v>公主和她的人民离开了房间。</v>
      </c>
    </row>
    <row r="28125">
      <c r="A28125" s="4" t="s">
        <v>35407</v>
      </c>
      <c r="B28125" s="4" t="s">
        <v>35412</v>
      </c>
      <c r="C28125" s="5" t="str">
        <f>IFERROR(__xludf.DUMMYFUNCTION("GOOGLETRANSLATE(B28125,""en"",""zh-CN"")"),"我们回到黑屏。")</f>
        <v>我们回到黑屏。</v>
      </c>
    </row>
    <row r="28126">
      <c r="A28126" s="4" t="s">
        <v>35413</v>
      </c>
      <c r="B28126" s="4" t="s">
        <v>35414</v>
      </c>
      <c r="C28126" s="5" t="str">
        <f>IFERROR(__xludf.DUMMYFUNCTION("GOOGLETRANSLATE(B28126,""en"",""zh-CN"")"),"一个女人穿着一双黑色靴子时站着。")</f>
        <v>一个女人穿着一双黑色靴子时站着。</v>
      </c>
    </row>
    <row r="28127">
      <c r="A28127" s="4" t="s">
        <v>35413</v>
      </c>
      <c r="B28127" s="4" t="s">
        <v>35415</v>
      </c>
      <c r="C28127" s="5" t="str">
        <f>IFERROR(__xludf.DUMMYFUNCTION("GOOGLETRANSLATE(B28127,""en"",""zh-CN"")"),"当她开始跳舞时，她的靴子开始运动和踢。")</f>
        <v>当她开始跳舞时，她的靴子开始运动和踢。</v>
      </c>
    </row>
    <row r="28128">
      <c r="A28128" s="4" t="s">
        <v>35413</v>
      </c>
      <c r="B28128" s="4" t="s">
        <v>35416</v>
      </c>
      <c r="C28128" s="5" t="str">
        <f>IFERROR(__xludf.DUMMYFUNCTION("GOOGLETRANSLATE(B28128,""en"",""zh-CN"")"),"她侧面移动，踢进出。")</f>
        <v>她侧面移动，踢进出。</v>
      </c>
    </row>
    <row r="28129">
      <c r="A28129" s="4" t="s">
        <v>35413</v>
      </c>
      <c r="B28129" s="4" t="s">
        <v>35417</v>
      </c>
      <c r="C28129" s="5" t="str">
        <f>IFERROR(__xludf.DUMMYFUNCTION("GOOGLETRANSLATE(B28129,""en"",""zh-CN"")"),"当女人停止跳舞并开始与镜头说话时，该女人被充分显示。")</f>
        <v>当女人停止跳舞并开始与镜头说话时，该女人被充分显示。</v>
      </c>
    </row>
    <row r="28130">
      <c r="A28130" s="4" t="s">
        <v>35418</v>
      </c>
      <c r="B28130" s="4" t="s">
        <v>35419</v>
      </c>
      <c r="C28130" s="5" t="str">
        <f>IFERROR(__xludf.DUMMYFUNCTION("GOOGLETRANSLATE(B28130,""en"",""zh-CN"")"),"一个男人在房间里跳绳。")</f>
        <v>一个男人在房间里跳绳。</v>
      </c>
    </row>
    <row r="28131">
      <c r="A28131" s="4" t="s">
        <v>35418</v>
      </c>
      <c r="B28131" s="4" t="s">
        <v>35420</v>
      </c>
      <c r="C28131" s="5" t="str">
        <f>IFERROR(__xludf.DUMMYFUNCTION("GOOGLETRANSLATE(B28131,""en"",""zh-CN"")"),"他身后的一个男人正在伸展。")</f>
        <v>他身后的一个男人正在伸展。</v>
      </c>
    </row>
    <row r="28132">
      <c r="A28132" s="4" t="s">
        <v>35418</v>
      </c>
      <c r="B28132" s="4" t="s">
        <v>35421</v>
      </c>
      <c r="C28132" s="5" t="str">
        <f>IFERROR(__xludf.DUMMYFUNCTION("GOOGLETRANSLATE(B28132,""en"",""zh-CN"")"),"他身后的一个男人开始做俯卧撑。")</f>
        <v>他身后的一个男人开始做俯卧撑。</v>
      </c>
    </row>
    <row r="28133">
      <c r="A28133" s="4" t="s">
        <v>35422</v>
      </c>
      <c r="B28133" s="4" t="s">
        <v>35423</v>
      </c>
      <c r="C28133" s="5" t="str">
        <f>IFERROR(__xludf.DUMMYFUNCTION("GOOGLETRANSLATE(B28133,""en"",""zh-CN"")"),"有一个男人穿着蓝色的危险品西装喷漆，上面有一个高大的篱笆。")</f>
        <v>有一个男人穿着蓝色的危险品西装喷漆，上面有一个高大的篱笆。</v>
      </c>
    </row>
    <row r="28134">
      <c r="A28134" s="4" t="s">
        <v>35422</v>
      </c>
      <c r="B28134" s="4" t="s">
        <v>35424</v>
      </c>
      <c r="C28134" s="5" t="str">
        <f>IFERROR(__xludf.DUMMYFUNCTION("GOOGLETRANSLATE(B28134,""en"",""zh-CN"")"),"他正在使用喷漆软管将木制围栏涂漆。")</f>
        <v>他正在使用喷漆软管将木制围栏涂漆。</v>
      </c>
    </row>
    <row r="28135">
      <c r="A28135" s="4" t="s">
        <v>35422</v>
      </c>
      <c r="B28135" s="4" t="s">
        <v>35425</v>
      </c>
      <c r="C28135" s="5" t="str">
        <f>IFERROR(__xludf.DUMMYFUNCTION("GOOGLETRANSLATE(B28135,""en"",""zh-CN"")"),"他来回移动软管，以确保他覆盖栅栏的整个表面积。")</f>
        <v>他来回移动软管，以确保他覆盖栅栏的整个表面积。</v>
      </c>
    </row>
    <row r="28136">
      <c r="A28136" s="4" t="s">
        <v>35426</v>
      </c>
      <c r="B28136" s="4" t="s">
        <v>35427</v>
      </c>
      <c r="C28136" s="5" t="str">
        <f>IFERROR(__xludf.DUMMYFUNCTION("GOOGLETRANSLATE(B28136,""en"",""zh-CN"")"),"一个小女孩在棍子上奔跑和对象，玩耍和玩得开心。")</f>
        <v>一个小女孩在棍子上奔跑和对象，玩耍和玩得开心。</v>
      </c>
    </row>
    <row r="28137">
      <c r="A28137" s="4" t="s">
        <v>35426</v>
      </c>
      <c r="B28137" s="4" t="s">
        <v>35428</v>
      </c>
      <c r="C28137" s="5" t="str">
        <f>IFERROR(__xludf.DUMMYFUNCTION("GOOGLETRANSLATE(B28137,""en"",""zh-CN"")"),"这个小女孩继续玩大约10米，然后她回去跑步。")</f>
        <v>这个小女孩继续玩大约10米，然后她回去跑步。</v>
      </c>
    </row>
    <row r="28138">
      <c r="A28138" s="4" t="s">
        <v>35426</v>
      </c>
      <c r="B28138" s="4" t="s">
        <v>35429</v>
      </c>
      <c r="C28138" s="5" t="str">
        <f>IFERROR(__xludf.DUMMYFUNCTION("GOOGLETRANSLATE(B28138,""en"",""zh-CN"")"),"她碰到红板并将其定位，然后再次跑到另一侧。")</f>
        <v>她碰到红板并将其定位，然后再次跑到另一侧。</v>
      </c>
    </row>
    <row r="28139">
      <c r="A28139" s="4" t="s">
        <v>35430</v>
      </c>
      <c r="B28139" s="4" t="s">
        <v>35431</v>
      </c>
      <c r="C28139" s="5" t="str">
        <f>IFERROR(__xludf.DUMMYFUNCTION("GOOGLETRANSLATE(B28139,""en"",""zh-CN"")"),"一个男人的嘴里有一个水烟，他吸气了一段时间。")</f>
        <v>一个男人的嘴里有一个水烟，他吸气了一段时间。</v>
      </c>
    </row>
    <row r="28140">
      <c r="A28140" s="4" t="s">
        <v>35430</v>
      </c>
      <c r="B28140" s="4" t="s">
        <v>35432</v>
      </c>
      <c r="C28140" s="5" t="str">
        <f>IFERROR(__xludf.DUMMYFUNCTION("GOOGLETRANSLATE(B28140,""en"",""zh-CN"")"),"他从嘴里拿出水烟，呼气，散发出一堆烟。")</f>
        <v>他从嘴里拿出水烟，呼气，散发出一堆烟。</v>
      </c>
    </row>
    <row r="28141">
      <c r="A28141" s="4" t="s">
        <v>35430</v>
      </c>
      <c r="B28141" s="4" t="s">
        <v>35433</v>
      </c>
      <c r="C28141" s="5" t="str">
        <f>IFERROR(__xludf.DUMMYFUNCTION("GOOGLETRANSLATE(B28141,""en"",""zh-CN"")"),"我认为他试图用烟雾使O烟，但他不知道如何。")</f>
        <v>我认为他试图用烟雾使O烟，但他不知道如何。</v>
      </c>
    </row>
    <row r="28142">
      <c r="A28142" s="4" t="s">
        <v>35430</v>
      </c>
      <c r="B28142" s="4" t="s">
        <v>35434</v>
      </c>
      <c r="C28142" s="5" t="str">
        <f>IFERROR(__xludf.DUMMYFUNCTION("GOOGLETRANSLATE(B28142,""en"",""zh-CN"")"),"他一直在吸气，并继续尝试吹烟。")</f>
        <v>他一直在吸气，并继续尝试吹烟。</v>
      </c>
    </row>
    <row r="28143">
      <c r="A28143" s="4" t="s">
        <v>35435</v>
      </c>
      <c r="B28143" s="6" t="s">
        <v>35436</v>
      </c>
      <c r="C28143" s="5" t="str">
        <f>IFERROR(__xludf.DUMMYFUNCTION("GOOGLETRANSLATE(B28143,""en"",""zh-CN"")"),"看到一名体操运动员将自己推到一组不平衡的酒吧上，而其他几个人则在场外和表演中观看。")</f>
        <v>看到一名体操运动员将自己推到一组不平衡的酒吧上，而其他几个人则在场外和表演中观看。</v>
      </c>
    </row>
    <row r="28144">
      <c r="A28144" s="4" t="s">
        <v>35435</v>
      </c>
      <c r="B28144" s="6" t="s">
        <v>35437</v>
      </c>
      <c r="C28144" s="5" t="str">
        <f>IFERROR(__xludf.DUMMYFUNCTION("GOOGLETRANSLATE(B28144,""en"",""zh-CN"")"),"几名老年男子碰到框架以检查背部​​的体操运动员，而酒吧里的男人继续他的例行工作。")</f>
        <v>几名老年男子碰到框架以检查背部​​的体操运动员，而酒吧里的男人继续他的例行工作。</v>
      </c>
    </row>
    <row r="28145">
      <c r="A28145" s="4" t="s">
        <v>35435</v>
      </c>
      <c r="B28145" s="4" t="s">
        <v>35438</v>
      </c>
      <c r="C28145" s="5" t="str">
        <f>IFERROR(__xludf.DUMMYFUNCTION("GOOGLETRANSLATE(B28145,""en"",""zh-CN"")"),"运动员向后翻转，完成了他的例行程序，而其他几个人则遇到了框架。")</f>
        <v>运动员向后翻转，完成了他的例行程序，而其他几个人则遇到了框架。</v>
      </c>
    </row>
    <row r="28146">
      <c r="A28146" s="4" t="s">
        <v>35439</v>
      </c>
      <c r="B28146" s="4" t="s">
        <v>35440</v>
      </c>
      <c r="C28146" s="5" t="str">
        <f>IFERROR(__xludf.DUMMYFUNCTION("GOOGLETRANSLATE(B28146,""en"",""zh-CN"")"),"一个戴着头巾的女人坐在镜头里说话。")</f>
        <v>一个戴着头巾的女人坐在镜头里说话。</v>
      </c>
    </row>
    <row r="28147">
      <c r="A28147" s="4" t="s">
        <v>35439</v>
      </c>
      <c r="B28147" s="4" t="s">
        <v>35441</v>
      </c>
      <c r="C28147" s="5" t="str">
        <f>IFERROR(__xludf.DUMMYFUNCTION("GOOGLETRANSLATE(B28147,""en"",""zh-CN"")"),"她一次从头发上脱下滚筒。")</f>
        <v>她一次从头发上脱下滚筒。</v>
      </c>
    </row>
    <row r="28148">
      <c r="A28148" s="4" t="s">
        <v>35439</v>
      </c>
      <c r="B28148" s="4" t="s">
        <v>35442</v>
      </c>
      <c r="C28148" s="5" t="str">
        <f>IFERROR(__xludf.DUMMYFUNCTION("GOOGLETRANSLATE(B28148,""en"",""zh-CN"")"),"然后，她将头发造型并将其显示在相机上。")</f>
        <v>然后，她将头发造型并将其显示在相机上。</v>
      </c>
    </row>
    <row r="28149">
      <c r="A28149" s="4" t="s">
        <v>35443</v>
      </c>
      <c r="B28149" s="4" t="s">
        <v>35444</v>
      </c>
      <c r="C28149" s="5" t="str">
        <f>IFERROR(__xludf.DUMMYFUNCTION("GOOGLETRANSLATE(B28149,""en"",""zh-CN"")"),"显示守门员节省了几个球，并被记者采访。")</f>
        <v>显示守门员节省了几个球，并被记者采访。</v>
      </c>
    </row>
    <row r="28150">
      <c r="A28150" s="4" t="s">
        <v>35443</v>
      </c>
      <c r="B28150" s="6" t="s">
        <v>35445</v>
      </c>
      <c r="C28150" s="5" t="str">
        <f>IFERROR(__xludf.DUMMYFUNCTION("GOOGLETRANSLATE(B28150,""en"",""zh-CN"")"),"显示了许多男孩踢足球并接受采访并带领接受采访的教练的照片。")</f>
        <v>显示了许多男孩踢足球并接受采访并带领接受采访的教练的照片。</v>
      </c>
    </row>
    <row r="28151">
      <c r="A28151" s="4" t="s">
        <v>35443</v>
      </c>
      <c r="B28151" s="4" t="s">
        <v>35446</v>
      </c>
      <c r="C28151" s="5" t="str">
        <f>IFERROR(__xludf.DUMMYFUNCTION("GOOGLETRANSLATE(B28151,""en"",""zh-CN"")"),"许多人喜欢观看比赛，并完成了更多的玩家正在接受采访。")</f>
        <v>许多人喜欢观看比赛，并完成了更多的玩家正在接受采访。</v>
      </c>
    </row>
    <row r="28152">
      <c r="A28152" s="4" t="s">
        <v>35447</v>
      </c>
      <c r="B28152" s="4" t="s">
        <v>35448</v>
      </c>
      <c r="C28152" s="5" t="str">
        <f>IFERROR(__xludf.DUMMYFUNCTION("GOOGLETRANSLATE(B28152,""en"",""zh-CN"")"),"该男子站在厨房里。")</f>
        <v>该男子站在厨房里。</v>
      </c>
    </row>
    <row r="28153">
      <c r="A28153" s="4" t="s">
        <v>35447</v>
      </c>
      <c r="B28153" s="4" t="s">
        <v>35449</v>
      </c>
      <c r="C28153" s="5" t="str">
        <f>IFERROR(__xludf.DUMMYFUNCTION("GOOGLETRANSLATE(B28153,""en"",""zh-CN"")"),"他抓住一个钳子和一个银色的金属碗，里面有蔬菜。")</f>
        <v>他抓住一个钳子和一个银色的金属碗，里面有蔬菜。</v>
      </c>
    </row>
    <row r="28154">
      <c r="A28154" s="4" t="s">
        <v>35447</v>
      </c>
      <c r="B28154" s="4" t="s">
        <v>35450</v>
      </c>
      <c r="C28154" s="5" t="str">
        <f>IFERROR(__xludf.DUMMYFUNCTION("GOOGLETRANSLATE(B28154,""en"",""zh-CN"")"),"柜台上的成分是白色容器。")</f>
        <v>柜台上的成分是白色容器。</v>
      </c>
    </row>
    <row r="28155">
      <c r="A28155" s="4" t="s">
        <v>35447</v>
      </c>
      <c r="B28155" s="4" t="s">
        <v>35451</v>
      </c>
      <c r="C28155" s="5" t="str">
        <f>IFERROR(__xludf.DUMMYFUNCTION("GOOGLETRANSLATE(B28155,""en"",""zh-CN"")"),"厨师们拿着一小块螺母。")</f>
        <v>厨师们拿着一小块螺母。</v>
      </c>
    </row>
    <row r="28156">
      <c r="A28156" s="4" t="s">
        <v>35452</v>
      </c>
      <c r="B28156" s="4" t="s">
        <v>35453</v>
      </c>
      <c r="C28156" s="5" t="str">
        <f>IFERROR(__xludf.DUMMYFUNCTION("GOOGLETRANSLATE(B28156,""en"",""zh-CN"")"),"相机在排球运动员和其他人玩游戏时，将摄像机拼凑出来。")</f>
        <v>相机在排球运动员和其他人玩游戏时，将摄像机拼凑出来。</v>
      </c>
    </row>
    <row r="28157">
      <c r="A28157" s="4" t="s">
        <v>35452</v>
      </c>
      <c r="B28157" s="6" t="s">
        <v>35454</v>
      </c>
      <c r="C28157" s="5" t="str">
        <f>IFERROR(__xludf.DUMMYFUNCTION("GOOGLETRANSLATE(B28157,""en"",""zh-CN"")"),"相机不时停下来，以捕捉她的动作，并在其他人玩耍周围摇晃。")</f>
        <v>相机不时停下来，以捕捉她的动作，并在其他人玩耍周围摇晃。</v>
      </c>
    </row>
    <row r="28158">
      <c r="A28158" s="4" t="s">
        <v>35455</v>
      </c>
      <c r="B28158" s="6" t="s">
        <v>35456</v>
      </c>
      <c r="C28158" s="5" t="str">
        <f>IFERROR(__xludf.DUMMYFUNCTION("GOOGLETRANSLATE(B28158,""en"",""zh-CN"")"),"主持人与摄像机说话，各种音乐家坐在他身后，并带来了几张景观镜头。")</f>
        <v>主持人与摄像机说话，各种音乐家坐在他身后，并带来了几张景观镜头。</v>
      </c>
    </row>
    <row r="28159">
      <c r="A28159" s="4" t="s">
        <v>35455</v>
      </c>
      <c r="B28159" s="6" t="s">
        <v>35457</v>
      </c>
      <c r="C28159" s="5" t="str">
        <f>IFERROR(__xludf.DUMMYFUNCTION("GOOGLETRANSLATE(B28159,""en"",""zh-CN"")"),"同一个人在相机上说话，并与其他几个冲浪者一起在冲浪板上骑行。")</f>
        <v>同一个人在相机上说话，并与其他几个冲浪者一起在冲浪板上骑行。</v>
      </c>
    </row>
    <row r="28160">
      <c r="A28160" s="4" t="s">
        <v>35455</v>
      </c>
      <c r="B28160" s="4" t="s">
        <v>35458</v>
      </c>
      <c r="C28160" s="5" t="str">
        <f>IFERROR(__xludf.DUMMYFUNCTION("GOOGLETRANSLATE(B28160,""en"",""zh-CN"")"),"该男子再次在录音室中看到，并受到一个女人和另一个男人的采访。")</f>
        <v>该男子再次在录音室中看到，并受到一个女人和另一个男人的采访。</v>
      </c>
    </row>
    <row r="28161">
      <c r="A28161" s="4" t="s">
        <v>35459</v>
      </c>
      <c r="B28161" s="4" t="s">
        <v>35460</v>
      </c>
      <c r="C28161" s="5" t="str">
        <f>IFERROR(__xludf.DUMMYFUNCTION("GOOGLETRANSLATE(B28161,""en"",""zh-CN"")"),"当她指着她旁边的那匹马时，一个女人站着和相机交谈。")</f>
        <v>当她指着她旁边的那匹马时，一个女人站着和相机交谈。</v>
      </c>
    </row>
    <row r="28162">
      <c r="A28162" s="4" t="s">
        <v>35459</v>
      </c>
      <c r="B28162" s="4" t="s">
        <v>35461</v>
      </c>
      <c r="C28162" s="5" t="str">
        <f>IFERROR(__xludf.DUMMYFUNCTION("GOOGLETRANSLATE(B28162,""en"",""zh-CN"")"),"一名黄色的女人坐在马上，马走在坡道上。")</f>
        <v>一名黄色的女人坐在马上，马走在坡道上。</v>
      </c>
    </row>
    <row r="28163">
      <c r="A28163" s="4" t="s">
        <v>35459</v>
      </c>
      <c r="B28163" s="4" t="s">
        <v>35462</v>
      </c>
      <c r="C28163" s="5" t="str">
        <f>IFERROR(__xludf.DUMMYFUNCTION("GOOGLETRANSLATE(B28163,""en"",""zh-CN"")"),"当老妇在看着时，这匹马开始盘旋。")</f>
        <v>当老妇在看着时，这匹马开始盘旋。</v>
      </c>
    </row>
    <row r="28164">
      <c r="A28164" s="4" t="s">
        <v>35463</v>
      </c>
      <c r="B28164" s="6" t="s">
        <v>35464</v>
      </c>
      <c r="C28164" s="5" t="str">
        <f>IFERROR(__xludf.DUMMYFUNCTION("GOOGLETRANSLATE(B28164,""en"",""zh-CN"")"),"看到一个男人在相机上说话，并导致他拿着一组工具并将其展示给相机。")</f>
        <v>看到一个男人在相机上说话，并导致他拿着一组工具并将其展示给相机。</v>
      </c>
    </row>
    <row r="28165">
      <c r="A28165" s="4" t="s">
        <v>35463</v>
      </c>
      <c r="B28165" s="4" t="s">
        <v>35465</v>
      </c>
      <c r="C28165" s="5" t="str">
        <f>IFERROR(__xludf.DUMMYFUNCTION("GOOGLETRANSLATE(B28165,""en"",""zh-CN"")"),"然后，他在附近的灌木丛上使用工具，同时仍在寻找相机说话。")</f>
        <v>然后，他在附近的灌木丛上使用工具，同时仍在寻找相机说话。</v>
      </c>
    </row>
    <row r="28166">
      <c r="A28166" s="4" t="s">
        <v>35466</v>
      </c>
      <c r="B28166" s="4" t="s">
        <v>35467</v>
      </c>
      <c r="C28166" s="5" t="str">
        <f>IFERROR(__xludf.DUMMYFUNCTION("GOOGLETRANSLATE(B28166,""en"",""zh-CN"")"),"一个男人在慢动作中沿着一条轨道奔跑，做了几次跳跃并降落在一个坑中。")</f>
        <v>一个男人在慢动作中沿着一条轨道奔跑，做了几次跳跃并降落在一个坑中。</v>
      </c>
    </row>
    <row r="28167">
      <c r="A28167" s="4" t="s">
        <v>35466</v>
      </c>
      <c r="B28167" s="6" t="s">
        <v>35468</v>
      </c>
      <c r="C28167" s="5" t="str">
        <f>IFERROR(__xludf.DUMMYFUNCTION("GOOGLETRANSLATE(B28167,""en"",""zh-CN"")"),"通过慢动作的各种剪辑在田径场上表现出跳远，几次显示了同一个人。")</f>
        <v>通过慢动作的各种剪辑在田径场上表现出跳远，几次显示了同一个人。</v>
      </c>
    </row>
    <row r="28168">
      <c r="A28168" s="4" t="s">
        <v>35469</v>
      </c>
      <c r="B28168" s="4" t="s">
        <v>35470</v>
      </c>
      <c r="C28168" s="5" t="str">
        <f>IFERROR(__xludf.DUMMYFUNCTION("GOOGLETRANSLATE(B28168,""en"",""zh-CN"")"),"看到一个男人以慢动作移动，而相机则从几个角度捕获了他。")</f>
        <v>看到一个男人以慢动作移动，而相机则从几个角度捕获了他。</v>
      </c>
    </row>
    <row r="28169">
      <c r="A28169" s="4" t="s">
        <v>35469</v>
      </c>
      <c r="B28169" s="4" t="s">
        <v>35471</v>
      </c>
      <c r="C28169" s="5" t="str">
        <f>IFERROR(__xludf.DUMMYFUNCTION("GOOGLETRANSLATE(B28169,""en"",""zh-CN"")"),"然后看到一对剪刀和梳子被关闭，并导致一个人割伤了男人的头发。")</f>
        <v>然后看到一对剪刀和梳子被关闭，并导致一个人割伤了男人的头发。</v>
      </c>
    </row>
    <row r="28170">
      <c r="A28170" s="4" t="s">
        <v>35469</v>
      </c>
      <c r="B28170" s="4" t="s">
        <v>35472</v>
      </c>
      <c r="C28170" s="5" t="str">
        <f>IFERROR(__xludf.DUMMYFUNCTION("GOOGLETRANSLATE(B28170,""en"",""zh-CN"")"),"他终于吹了管那个男人的头发，再次向相机微笑着笑着。")</f>
        <v>他终于吹了管那个男人的头发，再次向相机微笑着笑着。</v>
      </c>
    </row>
    <row r="28171">
      <c r="A28171" s="4" t="s">
        <v>35473</v>
      </c>
      <c r="B28171" s="4" t="s">
        <v>35474</v>
      </c>
      <c r="C28171" s="5" t="str">
        <f>IFERROR(__xludf.DUMMYFUNCTION("GOOGLETRANSLATE(B28171,""en"",""zh-CN"")"),"妇女在一个大绿色的田野里投掷。")</f>
        <v>妇女在一个大绿色的田野里投掷。</v>
      </c>
    </row>
    <row r="28172">
      <c r="A28172" s="4" t="s">
        <v>35473</v>
      </c>
      <c r="B28172" s="4" t="s">
        <v>35475</v>
      </c>
      <c r="C28172" s="5" t="str">
        <f>IFERROR(__xludf.DUMMYFUNCTION("GOOGLETRANSLATE(B28172,""en"",""zh-CN"")"),"女人在一个绿色的小法庭上，正在练习投掷射击。")</f>
        <v>女人在一个绿色的小法庭上，正在练习投掷射击。</v>
      </c>
    </row>
    <row r="28173">
      <c r="A28173" s="4" t="s">
        <v>35476</v>
      </c>
      <c r="B28173" s="6" t="s">
        <v>35477</v>
      </c>
      <c r="C28173" s="5" t="str">
        <f>IFERROR(__xludf.DUMMYFUNCTION("GOOGLETRANSLATE(B28173,""en"",""zh-CN"")"),"人们用肥皂在洗手台上看着她的手，将一些溶液放入锅中，与食指握住眼睛，另一只手睁开眼睛，将接触接触放在眼睛中，抓住另一个接触，与另一个接触双手打开眼睛广告。")</f>
        <v>人们用肥皂在洗手台上看着她的手，将一些溶液放入锅中，与食指握住眼睛，另一只手睁开眼睛，将接触接触放在眼睛中，抓住另一个接触，与另一个接触双手打开眼睛广告。</v>
      </c>
    </row>
    <row r="28174">
      <c r="A28174" s="4" t="s">
        <v>35476</v>
      </c>
      <c r="B28174" s="6" t="s">
        <v>35478</v>
      </c>
      <c r="C28174" s="5" t="str">
        <f>IFERROR(__xludf.DUMMYFUNCTION("GOOGLETRANSLATE(B28174,""en"",""zh-CN"")"),"现在，这个人洗手并睁开眼睛，用手指从眼睛上抓住接触，然后将其放入锅中，然后她用另一只眼睛做同样的事情，睁开眼睛，抓住眼睛的接触在锅中。")</f>
        <v>现在，这个人洗手并睁开眼睛，用手指从眼睛上抓住接触，然后将其放入锅中，然后她用另一只眼睛做同样的事情，睁开眼睛，抓住眼睛的接触在锅中。</v>
      </c>
    </row>
    <row r="28175">
      <c r="A28175" s="4" t="s">
        <v>35479</v>
      </c>
      <c r="B28175" s="4" t="s">
        <v>35480</v>
      </c>
      <c r="C28175" s="5" t="str">
        <f>IFERROR(__xludf.DUMMYFUNCTION("GOOGLETRANSLATE(B28175,""en"",""zh-CN"")"),"一个人下飞机。")</f>
        <v>一个人下飞机。</v>
      </c>
    </row>
    <row r="28176">
      <c r="A28176" s="4" t="s">
        <v>35479</v>
      </c>
      <c r="B28176" s="4" t="s">
        <v>35481</v>
      </c>
      <c r="C28176" s="5" t="str">
        <f>IFERROR(__xludf.DUMMYFUNCTION("GOOGLETRANSLATE(B28176,""en"",""zh-CN"")"),"一个人正在穿过城市，与朋友出去玩。")</f>
        <v>一个人正在穿过城市，与朋友出去玩。</v>
      </c>
    </row>
    <row r="28177">
      <c r="A28177" s="4" t="s">
        <v>35479</v>
      </c>
      <c r="B28177" s="4" t="s">
        <v>35482</v>
      </c>
      <c r="C28177" s="5" t="str">
        <f>IFERROR(__xludf.DUMMYFUNCTION("GOOGLETRANSLATE(B28177,""en"",""zh-CN"")"),"这发生在许多不同的地方，但基本上是同一件事。")</f>
        <v>这发生在许多不同的地方，但基本上是同一件事。</v>
      </c>
    </row>
    <row r="28178">
      <c r="A28178" s="4" t="s">
        <v>35483</v>
      </c>
      <c r="B28178" s="4" t="s">
        <v>35484</v>
      </c>
      <c r="C28178" s="5" t="str">
        <f>IFERROR(__xludf.DUMMYFUNCTION("GOOGLETRANSLATE(B28178,""en"",""zh-CN"")"),"一个人在白色背景中显示出来。")</f>
        <v>一个人在白色背景中显示出来。</v>
      </c>
    </row>
    <row r="28179">
      <c r="A28179" s="4" t="s">
        <v>35483</v>
      </c>
      <c r="B28179" s="4" t="s">
        <v>35485</v>
      </c>
      <c r="C28179" s="5" t="str">
        <f>IFERROR(__xludf.DUMMYFUNCTION("GOOGLETRANSLATE(B28179,""en"",""zh-CN"")"),"他用手弹吉他。")</f>
        <v>他用手弹吉他。</v>
      </c>
    </row>
    <row r="28180">
      <c r="A28180" s="4" t="s">
        <v>35483</v>
      </c>
      <c r="B28180" s="4" t="s">
        <v>35486</v>
      </c>
      <c r="C28180" s="5" t="str">
        <f>IFERROR(__xludf.DUMMYFUNCTION("GOOGLETRANSLATE(B28180,""en"",""zh-CN"")"),"和弦和单词在他演奏时出现在屏幕的底部。")</f>
        <v>和弦和单词在他演奏时出现在屏幕的底部。</v>
      </c>
    </row>
    <row r="28181">
      <c r="A28181" s="4" t="s">
        <v>35487</v>
      </c>
      <c r="B28181" s="4" t="s">
        <v>35488</v>
      </c>
      <c r="C28181" s="5" t="str">
        <f>IFERROR(__xludf.DUMMYFUNCTION("GOOGLETRANSLATE(B28181,""en"",""zh-CN"")"),"我们我们的产品开头屏幕。")</f>
        <v>我们我们的产品开头屏幕。</v>
      </c>
    </row>
    <row r="28182">
      <c r="A28182" s="4" t="s">
        <v>35487</v>
      </c>
      <c r="B28182" s="4" t="s">
        <v>35489</v>
      </c>
      <c r="C28182" s="5" t="str">
        <f>IFERROR(__xludf.DUMMYFUNCTION("GOOGLETRANSLATE(B28182,""en"",""zh-CN"")"),"我们看到一个人铲他们的人行道。")</f>
        <v>我们看到一个人铲他们的人行道。</v>
      </c>
    </row>
    <row r="28183">
      <c r="A28183" s="4" t="s">
        <v>35487</v>
      </c>
      <c r="B28183" s="4" t="s">
        <v>35490</v>
      </c>
      <c r="C28183" s="5" t="str">
        <f>IFERROR(__xludf.DUMMYFUNCTION("GOOGLETRANSLATE(B28183,""en"",""zh-CN"")"),"该男子到达房子，转身完成人行道的另一侧。")</f>
        <v>该男子到达房子，转身完成人行道的另一侧。</v>
      </c>
    </row>
    <row r="28184">
      <c r="A28184" s="4" t="s">
        <v>35487</v>
      </c>
      <c r="B28184" s="4" t="s">
        <v>35491</v>
      </c>
      <c r="C28184" s="5" t="str">
        <f>IFERROR(__xludf.DUMMYFUNCTION("GOOGLETRANSLATE(B28184,""en"",""zh-CN"")"),"我们看到一个人在人行道上喷了一件物品。")</f>
        <v>我们看到一个人在人行道上喷了一件物品。</v>
      </c>
    </row>
    <row r="28185">
      <c r="A28185" s="4" t="s">
        <v>35487</v>
      </c>
      <c r="B28185" s="4" t="s">
        <v>35492</v>
      </c>
      <c r="C28185" s="5" t="str">
        <f>IFERROR(__xludf.DUMMYFUNCTION("GOOGLETRANSLATE(B28185,""en"",""zh-CN"")"),"然后，我们看到两个关闭屏幕。")</f>
        <v>然后，我们看到两个关闭屏幕。</v>
      </c>
    </row>
    <row r="28186">
      <c r="A28186" s="4" t="s">
        <v>35493</v>
      </c>
      <c r="B28186" s="4" t="s">
        <v>35494</v>
      </c>
      <c r="C28186" s="5" t="str">
        <f>IFERROR(__xludf.DUMMYFUNCTION("GOOGLETRANSLATE(B28186,""en"",""zh-CN"")"),"一个人参加了泳池比赛。")</f>
        <v>一个人参加了泳池比赛。</v>
      </c>
    </row>
    <row r="28187">
      <c r="A28187" s="4" t="s">
        <v>35493</v>
      </c>
      <c r="B28187" s="4" t="s">
        <v>35495</v>
      </c>
      <c r="C28187" s="5" t="str">
        <f>IFERROR(__xludf.DUMMYFUNCTION("GOOGLETRANSLATE(B28187,""en"",""zh-CN"")"),"他向球射击，使它们进入角落口袋。")</f>
        <v>他向球射击，使它们进入角落口袋。</v>
      </c>
    </row>
    <row r="28188">
      <c r="A28188" s="4" t="s">
        <v>35493</v>
      </c>
      <c r="B28188" s="4" t="s">
        <v>35496</v>
      </c>
      <c r="C28188" s="5" t="str">
        <f>IFERROR(__xludf.DUMMYFUNCTION("GOOGLETRANSLATE(B28188,""en"",""zh-CN"")"),"当他获胜时，他高高击败了另一个男人。")</f>
        <v>当他获胜时，他高高击败了另一个男人。</v>
      </c>
    </row>
    <row r="28189">
      <c r="A28189" s="4" t="s">
        <v>35497</v>
      </c>
      <c r="B28189" s="6" t="s">
        <v>35498</v>
      </c>
      <c r="C28189" s="5" t="str">
        <f>IFERROR(__xludf.DUMMYFUNCTION("GOOGLETRANSLATE(B28189,""en"",""zh-CN"")"),"大约有五到六个小男孩在一个封闭的弹力屋里弹跳和跳跃，手里拿着篮球。")</f>
        <v>大约有五到六个小男孩在一个封闭的弹力屋里弹跳和跳跃，手里拿着篮球。</v>
      </c>
    </row>
    <row r="28190">
      <c r="A28190" s="4" t="s">
        <v>35497</v>
      </c>
      <c r="B28190" s="4" t="s">
        <v>35499</v>
      </c>
      <c r="C28190" s="5" t="str">
        <f>IFERROR(__xludf.DUMMYFUNCTION("GOOGLETRANSLATE(B28190,""en"",""zh-CN"")"),"当孩子们继续反弹并跳跃时，教练正在通过吹哨来引导他们。")</f>
        <v>当孩子们继续反弹并跳跃时，教练正在通过吹哨来引导他们。</v>
      </c>
    </row>
    <row r="28191">
      <c r="A28191" s="4" t="s">
        <v>35497</v>
      </c>
      <c r="B28191" s="4" t="s">
        <v>35500</v>
      </c>
      <c r="C28191" s="5" t="str">
        <f>IFERROR(__xludf.DUMMYFUNCTION("GOOGLETRANSLATE(B28191,""en"",""zh-CN"")"),"他们轮流按照教练指示扔橙色球。")</f>
        <v>他们轮流按照教练指示扔橙色球。</v>
      </c>
    </row>
    <row r="28192">
      <c r="A28192" s="4" t="s">
        <v>35501</v>
      </c>
      <c r="B28192" s="4" t="s">
        <v>35502</v>
      </c>
      <c r="C28192" s="5" t="str">
        <f>IFERROR(__xludf.DUMMYFUNCTION("GOOGLETRANSLATE(B28192,""en"",""zh-CN"")"),"人们在田野上踢猛拉。")</f>
        <v>人们在田野上踢猛拉。</v>
      </c>
    </row>
    <row r="28193">
      <c r="A28193" s="4" t="s">
        <v>35501</v>
      </c>
      <c r="B28193" s="4" t="s">
        <v>35503</v>
      </c>
      <c r="C28193" s="5" t="str">
        <f>IFERROR(__xludf.DUMMYFUNCTION("GOOGLETRANSLATE(B28193,""en"",""zh-CN"")"),"人们掉入一堆泥泞的水中。")</f>
        <v>人们掉入一堆泥泞的水中。</v>
      </c>
    </row>
    <row r="28194">
      <c r="A28194" s="4" t="s">
        <v>35501</v>
      </c>
      <c r="B28194" s="4" t="s">
        <v>35504</v>
      </c>
      <c r="C28194" s="5" t="str">
        <f>IFERROR(__xludf.DUMMYFUNCTION("GOOGLETRANSLATE(B28194,""en"",""zh-CN"")"),"人们站在他们旁边看着。")</f>
        <v>人们站在他们旁边看着。</v>
      </c>
    </row>
    <row r="28195">
      <c r="A28195" s="4" t="s">
        <v>35505</v>
      </c>
      <c r="B28195" s="4" t="s">
        <v>35506</v>
      </c>
      <c r="C28195" s="5" t="str">
        <f>IFERROR(__xludf.DUMMYFUNCTION("GOOGLETRANSLATE(B28195,""en"",""zh-CN"")"),"该名女士展示了方形垫子，并指向不同的材料和特征。")</f>
        <v>该名女士展示了方形垫子，并指向不同的材料和特征。</v>
      </c>
    </row>
    <row r="28196">
      <c r="A28196" s="4" t="s">
        <v>35505</v>
      </c>
      <c r="B28196" s="4" t="s">
        <v>35507</v>
      </c>
      <c r="C28196" s="5" t="str">
        <f>IFERROR(__xludf.DUMMYFUNCTION("GOOGLETRANSLATE(B28196,""en"",""zh-CN"")"),"该名女子扫地为一个项目做准备。")</f>
        <v>该名女子扫地为一个项目做准备。</v>
      </c>
    </row>
    <row r="28197">
      <c r="A28197" s="4" t="s">
        <v>35505</v>
      </c>
      <c r="B28197" s="4" t="s">
        <v>35508</v>
      </c>
      <c r="C28197" s="5" t="str">
        <f>IFERROR(__xludf.DUMMYFUNCTION("GOOGLETRANSLATE(B28197,""en"",""zh-CN"")"),"女人使用粉笔线，然后胶带标记地板。")</f>
        <v>女人使用粉笔线，然后胶带标记地板。</v>
      </c>
    </row>
    <row r="28198">
      <c r="A28198" s="4" t="s">
        <v>35505</v>
      </c>
      <c r="B28198" s="4" t="s">
        <v>35509</v>
      </c>
      <c r="C28198" s="5" t="str">
        <f>IFERROR(__xludf.DUMMYFUNCTION("GOOGLETRANSLATE(B28198,""en"",""zh-CN"")"),"那个女人放在方形地毯上，遮盖了地板。")</f>
        <v>那个女人放在方形地毯上，遮盖了地板。</v>
      </c>
    </row>
    <row r="28199">
      <c r="A28199" s="4" t="s">
        <v>35505</v>
      </c>
      <c r="B28199" s="4" t="s">
        <v>35510</v>
      </c>
      <c r="C28199" s="5" t="str">
        <f>IFERROR(__xludf.DUMMYFUNCTION("GOOGLETRANSLATE(B28199,""en"",""zh-CN"")"),"该名女子展示了完成的地板。")</f>
        <v>该名女子展示了完成的地板。</v>
      </c>
    </row>
    <row r="28200">
      <c r="A28200" s="4" t="s">
        <v>35511</v>
      </c>
      <c r="B28200" s="4" t="s">
        <v>35512</v>
      </c>
      <c r="C28200" s="5" t="str">
        <f>IFERROR(__xludf.DUMMYFUNCTION("GOOGLETRANSLATE(B28200,""en"",""zh-CN"")"),"他抓住了长杆，开始随身携带到田野的另一侧。")</f>
        <v>他抓住了长杆，开始随身携带到田野的另一侧。</v>
      </c>
    </row>
    <row r="28201">
      <c r="A28201" s="4" t="s">
        <v>35511</v>
      </c>
      <c r="B28201" s="4" t="s">
        <v>35513</v>
      </c>
      <c r="C28201" s="5" t="str">
        <f>IFERROR(__xludf.DUMMYFUNCTION("GOOGLETRANSLATE(B28201,""en"",""zh-CN"")"),"然后他定位自己，跳跃并着陆。")</f>
        <v>然后他定位自己，跳跃并着陆。</v>
      </c>
    </row>
    <row r="28202">
      <c r="A28202" s="4" t="s">
        <v>35511</v>
      </c>
      <c r="B28202" s="4" t="s">
        <v>35514</v>
      </c>
      <c r="C28202" s="5" t="str">
        <f>IFERROR(__xludf.DUMMYFUNCTION("GOOGLETRANSLATE(B28202,""en"",""zh-CN"")"),"其他所有人都开始轮流开始奔跑和跳跃。")</f>
        <v>其他所有人都开始轮流开始奔跑和跳跃。</v>
      </c>
    </row>
    <row r="28203">
      <c r="A28203" s="4" t="s">
        <v>35511</v>
      </c>
      <c r="B28203" s="4" t="s">
        <v>35515</v>
      </c>
      <c r="C28203" s="5" t="str">
        <f>IFERROR(__xludf.DUMMYFUNCTION("GOOGLETRANSLATE(B28203,""en"",""zh-CN"")"),"他们练习了一段时间，再做几次。")</f>
        <v>他们练习了一段时间，再做几次。</v>
      </c>
    </row>
    <row r="28204">
      <c r="A28204" s="4" t="s">
        <v>35516</v>
      </c>
      <c r="B28204" s="6" t="s">
        <v>35517</v>
      </c>
      <c r="C28204" s="5" t="str">
        <f>IFERROR(__xludf.DUMMYFUNCTION("GOOGLETRANSLATE(B28204,""en"",""zh-CN"")"),"看到一大批人在体育馆里跳过绳索，同时用相机向后移动第四。")</f>
        <v>看到一大批人在体育馆里跳过绳索，同时用相机向后移动第四。</v>
      </c>
    </row>
    <row r="28205">
      <c r="A28205" s="4" t="s">
        <v>35516</v>
      </c>
      <c r="B28205" s="4" t="s">
        <v>35518</v>
      </c>
      <c r="C28205" s="5" t="str">
        <f>IFERROR(__xludf.DUMMYFUNCTION("GOOGLETRANSLATE(B28205,""en"",""zh-CN"")"),"一个女人站在前面指导小组，继续跳绳然后停下来。")</f>
        <v>一个女人站在前面指导小组，继续跳绳然后停下来。</v>
      </c>
    </row>
    <row r="28206">
      <c r="A28206" s="4" t="s">
        <v>35516</v>
      </c>
      <c r="B28206" s="4" t="s">
        <v>35519</v>
      </c>
      <c r="C28206" s="5" t="str">
        <f>IFERROR(__xludf.DUMMYFUNCTION("GOOGLETRANSLATE(B28206,""en"",""zh-CN"")"),"然后，人们彼此热身，并与那个女人一起伸展。")</f>
        <v>然后，人们彼此热身，并与那个女人一起伸展。</v>
      </c>
    </row>
    <row r="28207">
      <c r="A28207" s="4" t="s">
        <v>35520</v>
      </c>
      <c r="B28207" s="6" t="s">
        <v>35521</v>
      </c>
      <c r="C28207" s="5" t="str">
        <f>IFERROR(__xludf.DUMMYFUNCTION("GOOGLETRANSLATE(B28207,""en"",""zh-CN"")"),"显示了一个跑步机，然后显示了一个女人，使用了客厅中的跑步机，她穿着蓝色的上衣和黑色短裤。")</f>
        <v>显示了一个跑步机，然后显示了一个女人，使用了客厅中的跑步机，她穿着蓝色的上衣和黑色短裤。</v>
      </c>
    </row>
    <row r="28208">
      <c r="A28208" s="4" t="s">
        <v>35520</v>
      </c>
      <c r="B28208" s="6" t="s">
        <v>35522</v>
      </c>
      <c r="C28208" s="5" t="str">
        <f>IFERROR(__xludf.DUMMYFUNCTION("GOOGLETRANSLATE(B28208,""en"",""zh-CN"")"),"她调整了监视器，然后显示了跑步机的调整，并显示了仪表上的数字。")</f>
        <v>她调整了监视器，然后显示了跑步机的调整，并显示了仪表上的数字。</v>
      </c>
    </row>
    <row r="28209">
      <c r="A28209" s="4" t="s">
        <v>35523</v>
      </c>
      <c r="B28209" s="4" t="s">
        <v>35524</v>
      </c>
      <c r="C28209" s="5" t="str">
        <f>IFERROR(__xludf.DUMMYFUNCTION("GOOGLETRANSLATE(B28209,""en"",""zh-CN"")"),"看到一个男人站在轨道外面准备好，开始朝着酒吧奔跑。")</f>
        <v>看到一个男人站在轨道外面准备好，开始朝着酒吧奔跑。</v>
      </c>
    </row>
    <row r="28210">
      <c r="A28210" s="4" t="s">
        <v>35523</v>
      </c>
      <c r="B28210" s="4" t="s">
        <v>35525</v>
      </c>
      <c r="C28210" s="5" t="str">
        <f>IFERROR(__xludf.DUMMYFUNCTION("GOOGLETRANSLATE(B28210,""en"",""zh-CN"")"),"然后，该男子跳过条，再次以慢动作显示。")</f>
        <v>然后，该男子跳过条，再次以慢动作显示。</v>
      </c>
    </row>
    <row r="28211">
      <c r="A28211" s="4" t="s">
        <v>35526</v>
      </c>
      <c r="B28211" s="4" t="s">
        <v>35527</v>
      </c>
      <c r="C28211" s="5" t="str">
        <f>IFERROR(__xludf.DUMMYFUNCTION("GOOGLETRANSLATE(B28211,""en"",""zh-CN"")"),"人们坐在黑色杰克桌子旁。")</f>
        <v>人们坐在黑色杰克桌子旁。</v>
      </c>
    </row>
    <row r="28212">
      <c r="A28212" s="4" t="s">
        <v>35526</v>
      </c>
      <c r="B28212" s="4" t="s">
        <v>35528</v>
      </c>
      <c r="C28212" s="5" t="str">
        <f>IFERROR(__xludf.DUMMYFUNCTION("GOOGLETRANSLATE(B28212,""en"",""zh-CN"")"),"一个男人坐在桌子后面打交道。")</f>
        <v>一个男人坐在桌子后面打交道。</v>
      </c>
    </row>
    <row r="28213">
      <c r="A28213" s="4" t="s">
        <v>35526</v>
      </c>
      <c r="B28213" s="4" t="s">
        <v>35529</v>
      </c>
      <c r="C28213" s="5" t="str">
        <f>IFERROR(__xludf.DUMMYFUNCTION("GOOGLETRANSLATE(B28213,""en"",""zh-CN"")"),"一名男子与经销商一起赚钱。")</f>
        <v>一名男子与经销商一起赚钱。</v>
      </c>
    </row>
    <row r="28214">
      <c r="A28214" s="4" t="s">
        <v>35530</v>
      </c>
      <c r="B28214" s="4" t="s">
        <v>35531</v>
      </c>
      <c r="C28214" s="5" t="str">
        <f>IFERROR(__xludf.DUMMYFUNCTION("GOOGLETRANSLATE(B28214,""en"",""zh-CN"")"),"一位女士在灯泡房里和镜头说话。")</f>
        <v>一位女士在灯泡房里和镜头说话。</v>
      </c>
    </row>
    <row r="28215">
      <c r="A28215" s="4" t="s">
        <v>35530</v>
      </c>
      <c r="B28215" s="4" t="s">
        <v>35532</v>
      </c>
      <c r="C28215" s="5" t="str">
        <f>IFERROR(__xludf.DUMMYFUNCTION("GOOGLETRANSLATE(B28215,""en"",""zh-CN"")"),"她转过身来抓起几头发。")</f>
        <v>她转过身来抓起几头发。</v>
      </c>
    </row>
    <row r="28216">
      <c r="A28216" s="4" t="s">
        <v>35530</v>
      </c>
      <c r="B28216" s="4" t="s">
        <v>35533</v>
      </c>
      <c r="C28216" s="5" t="str">
        <f>IFERROR(__xludf.DUMMYFUNCTION("GOOGLETRANSLATE(B28216,""en"",""zh-CN"")"),"这位女士开始编织头发，辫子时增加了更多的头发。")</f>
        <v>这位女士开始编织头发，辫子时增加了更多的头发。</v>
      </c>
    </row>
    <row r="28217">
      <c r="A28217" s="4" t="s">
        <v>35530</v>
      </c>
      <c r="B28217" s="4" t="s">
        <v>35534</v>
      </c>
      <c r="C28217" s="5" t="str">
        <f>IFERROR(__xludf.DUMMYFUNCTION("GOOGLETRANSLATE(B28217,""en"",""zh-CN"")"),"这位女士将辫子拉到她面前，并添加了一条领带。")</f>
        <v>这位女士将辫子拉到她面前，并添加了一条领带。</v>
      </c>
    </row>
    <row r="28218">
      <c r="A28218" s="4" t="s">
        <v>35530</v>
      </c>
      <c r="B28218" s="4" t="s">
        <v>35535</v>
      </c>
      <c r="C28218" s="5" t="str">
        <f>IFERROR(__xludf.DUMMYFUNCTION("GOOGLETRANSLATE(B28218,""en"",""zh-CN"")"),"她拉了头发，松开辫子，转向相机并微笑。")</f>
        <v>她拉了头发，松开辫子，转向相机并微笑。</v>
      </c>
    </row>
    <row r="28219">
      <c r="A28219" s="4" t="s">
        <v>35536</v>
      </c>
      <c r="B28219" s="4" t="s">
        <v>35537</v>
      </c>
      <c r="C28219" s="5" t="str">
        <f>IFERROR(__xludf.DUMMYFUNCTION("GOOGLETRANSLATE(B28219,""en"",""zh-CN"")"),"一排十几岁的男孩正在演奏鼓鼓。")</f>
        <v>一排十几岁的男孩正在演奏鼓鼓。</v>
      </c>
    </row>
    <row r="28220">
      <c r="A28220" s="4" t="s">
        <v>35536</v>
      </c>
      <c r="B28220" s="4" t="s">
        <v>35538</v>
      </c>
      <c r="C28220" s="5" t="str">
        <f>IFERROR(__xludf.DUMMYFUNCTION("GOOGLETRANSLATE(B28220,""en"",""zh-CN"")"),"一个大的低音鼓和演奏者出现。")</f>
        <v>一个大的低音鼓和演奏者出现。</v>
      </c>
    </row>
    <row r="28221">
      <c r="A28221" s="4" t="s">
        <v>35536</v>
      </c>
      <c r="B28221" s="4" t="s">
        <v>35539</v>
      </c>
      <c r="C28221" s="5" t="str">
        <f>IFERROR(__xludf.DUMMYFUNCTION("GOOGLETRANSLATE(B28221,""en"",""zh-CN"")"),"一个打鼓的女孩加入。")</f>
        <v>一个打鼓的女孩加入。</v>
      </c>
    </row>
    <row r="28222">
      <c r="A28222" s="4" t="s">
        <v>35540</v>
      </c>
      <c r="B28222" s="4" t="s">
        <v>35541</v>
      </c>
      <c r="C28222" s="5" t="str">
        <f>IFERROR(__xludf.DUMMYFUNCTION("GOOGLETRANSLATE(B28222,""en"",""zh-CN"")"),"一群不同年龄的孩子在主题公园的蓝色滑梯下滑动。")</f>
        <v>一群不同年龄的孩子在主题公园的蓝色滑梯下滑动。</v>
      </c>
    </row>
    <row r="28223">
      <c r="A28223" s="4" t="s">
        <v>35540</v>
      </c>
      <c r="B28223" s="4" t="s">
        <v>35542</v>
      </c>
      <c r="C28223" s="5" t="str">
        <f>IFERROR(__xludf.DUMMYFUNCTION("GOOGLETRANSLATE(B28223,""en"",""zh-CN"")"),"一群孩子出现在高光的顶部。")</f>
        <v>一群孩子出现在高光的顶部。</v>
      </c>
    </row>
    <row r="28224">
      <c r="A28224" s="4" t="s">
        <v>35540</v>
      </c>
      <c r="B28224" s="4" t="s">
        <v>35543</v>
      </c>
      <c r="C28224" s="5" t="str">
        <f>IFERROR(__xludf.DUMMYFUNCTION("GOOGLETRANSLATE(B28224,""en"",""zh-CN"")"),"然后，孩子们滑下滑梯，一个女孩的头带从她的眼睛上掉下来。")</f>
        <v>然后，孩子们滑下滑梯，一个女孩的头带从她的眼睛上掉下来。</v>
      </c>
    </row>
    <row r="28225">
      <c r="A28225" s="4" t="s">
        <v>35540</v>
      </c>
      <c r="B28225" s="4" t="s">
        <v>35544</v>
      </c>
      <c r="C28225" s="5" t="str">
        <f>IFERROR(__xludf.DUMMYFUNCTION("GOOGLETRANSLATE(B28225,""en"",""zh-CN"")"),"孩子们降落，起身逃跑。")</f>
        <v>孩子们降落，起身逃跑。</v>
      </c>
    </row>
    <row r="28226">
      <c r="A28226" s="4" t="s">
        <v>35545</v>
      </c>
      <c r="B28226" s="4" t="s">
        <v>35546</v>
      </c>
      <c r="C28226" s="5" t="str">
        <f>IFERROR(__xludf.DUMMYFUNCTION("GOOGLETRANSLATE(B28226,""en"",""zh-CN"")"),"白色文字解释了膝盖受伤的过程。")</f>
        <v>白色文字解释了膝盖受伤的过程。</v>
      </c>
    </row>
    <row r="28227">
      <c r="A28227" s="4" t="s">
        <v>35545</v>
      </c>
      <c r="B28227" s="6" t="s">
        <v>35547</v>
      </c>
      <c r="C28227" s="5" t="str">
        <f>IFERROR(__xludf.DUMMYFUNCTION("GOOGLETRANSLATE(B28227,""en"",""zh-CN"")"),"一个男人正在做运动表演，包括跳上床垫，屈膝伸展，然后一次又一次地跳。")</f>
        <v>一个男人正在做运动表演，包括跳上床垫，屈膝伸展，然后一次又一次地跳。</v>
      </c>
    </row>
    <row r="28228">
      <c r="A28228" s="4" t="s">
        <v>35548</v>
      </c>
      <c r="B28228" s="4" t="s">
        <v>35549</v>
      </c>
      <c r="C28228" s="5" t="str">
        <f>IFERROR(__xludf.DUMMYFUNCTION("GOOGLETRANSLATE(B28228,""en"",""zh-CN"")"),"一个人站在镜子前的浴室里，抱着剃刀。")</f>
        <v>一个人站在镜子前的浴室里，抱着剃刀。</v>
      </c>
    </row>
    <row r="28229">
      <c r="A28229" s="4" t="s">
        <v>35548</v>
      </c>
      <c r="B28229" s="4" t="s">
        <v>35550</v>
      </c>
      <c r="C28229" s="5" t="str">
        <f>IFERROR(__xludf.DUMMYFUNCTION("GOOGLETRANSLATE(B28229,""en"",""zh-CN"")"),"该男子在显示剃刀及其各个部分的同时开始与相机说话。")</f>
        <v>该男子在显示剃刀及其各个部分的同时开始与相机说话。</v>
      </c>
    </row>
    <row r="28230">
      <c r="A28230" s="4" t="s">
        <v>35548</v>
      </c>
      <c r="B28230" s="4" t="s">
        <v>35551</v>
      </c>
      <c r="C28230" s="5" t="str">
        <f>IFERROR(__xludf.DUMMYFUNCTION("GOOGLETRANSLATE(B28230,""en"",""zh-CN"")"),"不久，他看着镜子时开始剃光脸。")</f>
        <v>不久，他看着镜子时开始剃光脸。</v>
      </c>
    </row>
    <row r="28231">
      <c r="A28231" s="4" t="s">
        <v>35548</v>
      </c>
      <c r="B28231" s="4" t="s">
        <v>35552</v>
      </c>
      <c r="C28231" s="5" t="str">
        <f>IFERROR(__xludf.DUMMYFUNCTION("GOOGLETRANSLATE(B28231,""en"",""zh-CN"")"),"之后，他恢复与镜头说话，并展示剃须刀的表现。")</f>
        <v>之后，他恢复与镜头说话，并展示剃须刀的表现。</v>
      </c>
    </row>
    <row r="28232">
      <c r="A28232" s="4" t="s">
        <v>35548</v>
      </c>
      <c r="B28232" s="6" t="s">
        <v>35553</v>
      </c>
      <c r="C28232" s="5" t="str">
        <f>IFERROR(__xludf.DUMMYFUNCTION("GOOGLETRANSLATE(B28232,""en"",""zh-CN"")"),"该男子将剃须刀放在一个充电架上，该架子显示出灯光照明，然后将其捡起来。")</f>
        <v>该男子将剃须刀放在一个充电架上，该架子显示出灯光照明，然后将其捡起来。</v>
      </c>
    </row>
    <row r="28233">
      <c r="A28233" s="4" t="s">
        <v>35548</v>
      </c>
      <c r="B28233" s="4" t="s">
        <v>35554</v>
      </c>
      <c r="C28233" s="5" t="str">
        <f>IFERROR(__xludf.DUMMYFUNCTION("GOOGLETRANSLATE(B28233,""en"",""zh-CN"")"),"视频以男人抚摸他的脸以展示光滑的工作结束。")</f>
        <v>视频以男人抚摸他的脸以展示光滑的工作结束。</v>
      </c>
    </row>
    <row r="28234">
      <c r="A28234" s="4" t="s">
        <v>35555</v>
      </c>
      <c r="B28234" s="6" t="s">
        <v>35556</v>
      </c>
      <c r="C28234" s="5" t="str">
        <f>IFERROR(__xludf.DUMMYFUNCTION("GOOGLETRANSLATE(B28234,""en"",""zh-CN"")"),"两名男子在一群学生面前的礼堂里展示了跳绳特技，技巧和技巧。")</f>
        <v>两名男子在一群学生面前的礼堂里展示了跳绳特技，技巧和技巧。</v>
      </c>
    </row>
    <row r="28235">
      <c r="A28235" s="4" t="s">
        <v>35555</v>
      </c>
      <c r="B28235" s="4" t="s">
        <v>35557</v>
      </c>
      <c r="C28235" s="5" t="str">
        <f>IFERROR(__xludf.DUMMYFUNCTION("GOOGLETRANSLATE(B28235,""en"",""zh-CN"")"),"一个穿着灰色田径服的男人在一群学生面前表演跳绳窍门。")</f>
        <v>一个穿着灰色田径服的男人在一群学生面前表演跳绳窍门。</v>
      </c>
    </row>
    <row r="28236">
      <c r="A28236" s="4" t="s">
        <v>35555</v>
      </c>
      <c r="B28236" s="4" t="s">
        <v>35558</v>
      </c>
      <c r="C28236" s="5" t="str">
        <f>IFERROR(__xludf.DUMMYFUNCTION("GOOGLETRANSLATE(B28236,""en"",""zh-CN"")"),"穿着灰色田径西装的男人完成了比赛，孩子们拍了拍。")</f>
        <v>穿着灰色田径西装的男人完成了比赛，孩子们拍了拍。</v>
      </c>
    </row>
    <row r="28237">
      <c r="A28237" s="4" t="s">
        <v>35555</v>
      </c>
      <c r="B28237" s="6" t="s">
        <v>35559</v>
      </c>
      <c r="C28237" s="5" t="str">
        <f>IFERROR(__xludf.DUMMYFUNCTION("GOOGLETRANSLATE(B28237,""en"",""zh-CN"")"),"第二个人走在男人旁边，两个男人开始表演更多的技巧和特技，包括反弹和舞蹈动作。")</f>
        <v>第二个人走在男人旁边，两个男人开始表演更多的技巧和特技，包括反弹和舞蹈动作。</v>
      </c>
    </row>
    <row r="28238">
      <c r="A28238" s="4" t="s">
        <v>35560</v>
      </c>
      <c r="B28238" s="6" t="s">
        <v>35561</v>
      </c>
      <c r="C28238" s="5" t="str">
        <f>IFERROR(__xludf.DUMMYFUNCTION("GOOGLETRANSLATE(B28238,""en"",""zh-CN"")"),"看到两个人托管新闻节，互相讲话，并在健身房的内部展示了几个剪辑。")</f>
        <v>看到两个人托管新闻节，互相讲话，并在健身房的内部展示了几个剪辑。</v>
      </c>
    </row>
    <row r="28239">
      <c r="A28239" s="4" t="s">
        <v>35560</v>
      </c>
      <c r="B28239" s="4" t="s">
        <v>35562</v>
      </c>
      <c r="C28239" s="5" t="str">
        <f>IFERROR(__xludf.DUMMYFUNCTION("GOOGLETRANSLATE(B28239,""en"",""zh-CN"")"),"然后，那个女人在跑步机上爬上，并在与男人说话时尝试一下。")</f>
        <v>然后，那个女人在跑步机上爬上，并在与男人说话时尝试一下。</v>
      </c>
    </row>
    <row r="28240">
      <c r="A28240" s="4" t="s">
        <v>35563</v>
      </c>
      <c r="B28240" s="6" t="s">
        <v>35564</v>
      </c>
      <c r="C28240" s="5" t="str">
        <f>IFERROR(__xludf.DUMMYFUNCTION("GOOGLETRANSLATE(B28240,""en"",""zh-CN"")"),"看到一个女人在拿着啤酒的相机上说话，并从玻璃杯里喝酒。")</f>
        <v>看到一个女人在拿着啤酒的相机上说话，并从玻璃杯里喝酒。</v>
      </c>
    </row>
    <row r="28241">
      <c r="A28241" s="4" t="s">
        <v>35563</v>
      </c>
      <c r="B28241" s="4" t="s">
        <v>35565</v>
      </c>
      <c r="C28241" s="5" t="str">
        <f>IFERROR(__xludf.DUMMYFUNCTION("GOOGLETRANSLATE(B28241,""en"",""zh-CN"")"),"她继续喝啤酒，同时笑着点头同意。")</f>
        <v>她继续喝啤酒，同时笑着点头同意。</v>
      </c>
    </row>
    <row r="28242">
      <c r="A28242" s="4" t="s">
        <v>35566</v>
      </c>
      <c r="B28242" s="4" t="s">
        <v>35567</v>
      </c>
      <c r="C28242" s="5" t="str">
        <f>IFERROR(__xludf.DUMMYFUNCTION("GOOGLETRANSLATE(B28242,""en"",""zh-CN"")"),"志愿耙子在前院留下。")</f>
        <v>志愿耙子在前院留下。</v>
      </c>
    </row>
    <row r="28243">
      <c r="A28243" s="4" t="s">
        <v>35566</v>
      </c>
      <c r="B28243" s="4" t="s">
        <v>35568</v>
      </c>
      <c r="C28243" s="5" t="str">
        <f>IFERROR(__xludf.DUMMYFUNCTION("GOOGLETRANSLATE(B28243,""en"",""zh-CN"")"),"志愿者携带和设置院子工具和清洁产品。")</f>
        <v>志愿者携带和设置院子工具和清洁产品。</v>
      </c>
    </row>
    <row r="28244">
      <c r="A28244" s="4" t="s">
        <v>35566</v>
      </c>
      <c r="B28244" s="4" t="s">
        <v>35569</v>
      </c>
      <c r="C28244" s="5" t="str">
        <f>IFERROR(__xludf.DUMMYFUNCTION("GOOGLETRANSLATE(B28244,""en"",""zh-CN"")"),"一群志愿者将树叶一起在房子前面。")</f>
        <v>一群志愿者将树叶一起在房子前面。</v>
      </c>
    </row>
    <row r="28245">
      <c r="A28245" s="4" t="s">
        <v>35566</v>
      </c>
      <c r="B28245" s="4" t="s">
        <v>35570</v>
      </c>
      <c r="C28245" s="5" t="str">
        <f>IFERROR(__xludf.DUMMYFUNCTION("GOOGLETRANSLATE(B28245,""en"",""zh-CN"")"),"志愿者都在自助餐厅一起吃饭。")</f>
        <v>志愿者都在自助餐厅一起吃饭。</v>
      </c>
    </row>
    <row r="28246">
      <c r="A28246" s="4" t="s">
        <v>35566</v>
      </c>
      <c r="B28246" s="4" t="s">
        <v>35571</v>
      </c>
      <c r="C28246" s="5" t="str">
        <f>IFERROR(__xludf.DUMMYFUNCTION("GOOGLETRANSLATE(B28246,""en"",""zh-CN"")"),"一个男人装上了一袋叶子，将它们放在收藏院。")</f>
        <v>一个男人装上了一袋叶子，将它们放在收藏院。</v>
      </c>
    </row>
    <row r="28247">
      <c r="A28247" s="4" t="s">
        <v>35572</v>
      </c>
      <c r="B28247" s="4" t="s">
        <v>35573</v>
      </c>
      <c r="C28247" s="5" t="str">
        <f>IFERROR(__xludf.DUMMYFUNCTION("GOOGLETRANSLATE(B28247,""en"",""zh-CN"")"),"一个穿着泳衣的女孩坐在海滩上。")</f>
        <v>一个穿着泳衣的女孩坐在海滩上。</v>
      </c>
    </row>
    <row r="28248">
      <c r="A28248" s="4" t="s">
        <v>35572</v>
      </c>
      <c r="B28248" s="4" t="s">
        <v>35574</v>
      </c>
      <c r="C28248" s="5" t="str">
        <f>IFERROR(__xludf.DUMMYFUNCTION("GOOGLETRANSLATE(B28248,""en"",""zh-CN"")"),"她正在将沙子放入杯子里，建造一个沙堡。")</f>
        <v>她正在将沙子放入杯子里，建造一个沙堡。</v>
      </c>
    </row>
    <row r="28249">
      <c r="A28249" s="4" t="s">
        <v>35572</v>
      </c>
      <c r="B28249" s="4" t="s">
        <v>35575</v>
      </c>
      <c r="C28249" s="5" t="str">
        <f>IFERROR(__xludf.DUMMYFUNCTION("GOOGLETRANSLATE(B28249,""en"",""zh-CN"")"),"另一个女孩走上去和她说话。")</f>
        <v>另一个女孩走上去和她说话。</v>
      </c>
    </row>
    <row r="28250">
      <c r="A28250" s="4" t="s">
        <v>35576</v>
      </c>
      <c r="B28250" s="4" t="s">
        <v>35577</v>
      </c>
      <c r="C28250" s="5" t="str">
        <f>IFERROR(__xludf.DUMMYFUNCTION("GOOGLETRANSLATE(B28250,""en"",""zh-CN"")"),"一个男人躺在垫子上的地板上。")</f>
        <v>一个男人躺在垫子上的地板上。</v>
      </c>
    </row>
    <row r="28251">
      <c r="A28251" s="4" t="s">
        <v>35576</v>
      </c>
      <c r="B28251" s="4" t="s">
        <v>35578</v>
      </c>
      <c r="C28251" s="5" t="str">
        <f>IFERROR(__xludf.DUMMYFUNCTION("GOOGLETRANSLATE(B28251,""en"",""zh-CN"")"),"该男子握住了他的头。")</f>
        <v>该男子握住了他的头。</v>
      </c>
    </row>
    <row r="28252">
      <c r="A28252" s="4" t="s">
        <v>35576</v>
      </c>
      <c r="B28252" s="4" t="s">
        <v>35579</v>
      </c>
      <c r="C28252" s="5" t="str">
        <f>IFERROR(__xludf.DUMMYFUNCTION("GOOGLETRANSLATE(B28252,""en"",""zh-CN"")"),"该男子锻炼体重，抬起折叠的腿直到胸部。")</f>
        <v>该男子锻炼体重，抬起折叠的腿直到胸部。</v>
      </c>
    </row>
    <row r="28253">
      <c r="A28253" s="4" t="s">
        <v>35580</v>
      </c>
      <c r="B28253" s="6" t="s">
        <v>35581</v>
      </c>
      <c r="C28253" s="5" t="str">
        <f>IFERROR(__xludf.DUMMYFUNCTION("GOOGLETRANSLATE(B28253,""en"",""zh-CN"")"),"一个穿着黑色衬衫的男人坐在家里，坐在两个不同的bongos上，大小，设计和颜色不同。")</f>
        <v>一个穿着黑色衬衫的男人坐在家里，坐在两个不同的bongos上，大小，设计和颜色不同。</v>
      </c>
    </row>
    <row r="28254">
      <c r="A28254" s="4" t="s">
        <v>35580</v>
      </c>
      <c r="B28254" s="4" t="s">
        <v>35582</v>
      </c>
      <c r="C28254" s="5" t="str">
        <f>IFERROR(__xludf.DUMMYFUNCTION("GOOGLETRANSLATE(B28254,""en"",""zh-CN"")"),"该男子停止撞到邦戈斯，将左手放在浅色的邦戈上。")</f>
        <v>该男子停止撞到邦戈斯，将左手放在浅色的邦戈上。</v>
      </c>
    </row>
    <row r="28255">
      <c r="A28255" s="4" t="s">
        <v>35580</v>
      </c>
      <c r="B28255" s="6" t="s">
        <v>35583</v>
      </c>
      <c r="C28255" s="5" t="str">
        <f>IFERROR(__xludf.DUMMYFUNCTION("GOOGLETRANSLATE(B28255,""en"",""zh-CN"")"),"然后，男人移动右腿，好像他要站起来，而邦戈则没有腿部支撑。")</f>
        <v>然后，男人移动右腿，好像他要站起来，而邦戈则没有腿部支撑。</v>
      </c>
    </row>
    <row r="28256">
      <c r="A28256" s="4" t="s">
        <v>35584</v>
      </c>
      <c r="B28256" s="4" t="s">
        <v>35585</v>
      </c>
      <c r="C28256" s="5" t="str">
        <f>IFERROR(__xludf.DUMMYFUNCTION("GOOGLETRANSLATE(B28256,""en"",""zh-CN"")"),"石头冷史蒂夫·奥斯丁（Steve Austin）在戒指中大汗淋漓。")</f>
        <v>石头冷史蒂夫·奥斯丁（Steve Austin）在戒指中大汗淋漓。</v>
      </c>
    </row>
    <row r="28257">
      <c r="A28257" s="4" t="s">
        <v>35584</v>
      </c>
      <c r="B28257" s="6" t="s">
        <v>35586</v>
      </c>
      <c r="C28257" s="5" t="str">
        <f>IFERROR(__xludf.DUMMYFUNCTION("GOOGLETRANSLATE(B28257,""en"",""zh-CN"")"),"他看着另一个摔跤手的呼吸和出汗，他们互相看一会儿。")</f>
        <v>他看着另一个摔跤手的呼吸和出汗，他们互相看一会儿。</v>
      </c>
    </row>
    <row r="28258">
      <c r="A28258" s="4" t="s">
        <v>35584</v>
      </c>
      <c r="B28258" s="4" t="s">
        <v>35587</v>
      </c>
      <c r="C28258" s="5" t="str">
        <f>IFERROR(__xludf.DUMMYFUNCTION("GOOGLETRANSLATE(B28258,""en"",""zh-CN"")"),"他们敞开啤酒并搭在一起，然后开始向观众扔啤酒。")</f>
        <v>他们敞开啤酒并搭在一起，然后开始向观众扔啤酒。</v>
      </c>
    </row>
    <row r="28259">
      <c r="A28259" s="4" t="s">
        <v>35584</v>
      </c>
      <c r="B28259" s="4" t="s">
        <v>35588</v>
      </c>
      <c r="C28259" s="5" t="str">
        <f>IFERROR(__xludf.DUMMYFUNCTION("GOOGLETRANSLATE(B28259,""en"",""zh-CN"")"),"然后，奥斯丁从戒指上滚出，开始向后走。")</f>
        <v>然后，奥斯丁从戒指上滚出，开始向后走。</v>
      </c>
    </row>
    <row r="28260">
      <c r="A28260" s="4" t="s">
        <v>35589</v>
      </c>
      <c r="B28260" s="4" t="s">
        <v>35590</v>
      </c>
      <c r="C28260" s="5" t="str">
        <f>IFERROR(__xludf.DUMMYFUNCTION("GOOGLETRANSLATE(B28260,""en"",""zh-CN"")"),"女人正在和一个男人聊天，穿着Icerink滑冰，拿着曲棍球在拉动碟片。")</f>
        <v>女人正在和一个男人聊天，穿着Icerink滑冰，拿着曲棍球在拉动碟片。</v>
      </c>
    </row>
    <row r="28261">
      <c r="A28261" s="4" t="s">
        <v>35589</v>
      </c>
      <c r="B28261" s="4" t="s">
        <v>35591</v>
      </c>
      <c r="C28261" s="5" t="str">
        <f>IFERROR(__xludf.DUMMYFUNCTION("GOOGLETRANSLATE(B28261,""en"",""zh-CN"")"),"女人在医院和男人说话。")</f>
        <v>女人在医院和男人说话。</v>
      </c>
    </row>
    <row r="28262">
      <c r="A28262" s="4" t="s">
        <v>35589</v>
      </c>
      <c r="B28262" s="4" t="s">
        <v>35592</v>
      </c>
      <c r="C28262" s="5" t="str">
        <f>IFERROR(__xludf.DUMMYFUNCTION("GOOGLETRANSLATE(B28262,""en"",""zh-CN"")"),"男人和女人看着那个男人的脑袋里有绷带。")</f>
        <v>男人和女人看着那个男人的脑袋里有绷带。</v>
      </c>
    </row>
    <row r="28263">
      <c r="A28263" s="4" t="s">
        <v>35593</v>
      </c>
      <c r="B28263" s="4" t="s">
        <v>35594</v>
      </c>
      <c r="C28263" s="5" t="str">
        <f>IFERROR(__xludf.DUMMYFUNCTION("GOOGLETRANSLATE(B28263,""en"",""zh-CN"")"),"来自巴西的球员得分，而漂白剂中的人们庆祝。")</f>
        <v>来自巴西的球员得分，而漂白剂中的人们庆祝。</v>
      </c>
    </row>
    <row r="28264">
      <c r="A28264" s="4" t="s">
        <v>35593</v>
      </c>
      <c r="B28264" s="6" t="s">
        <v>35595</v>
      </c>
      <c r="C28264" s="5" t="str">
        <f>IFERROR(__xludf.DUMMYFUNCTION("GOOGLETRANSLATE(B28264,""en"",""zh-CN"")"),"一位巴西球员将球传给了他的玩伴，他得分并奔跑以庆祝，其他巴西球员得分很多。")</f>
        <v>一位巴西球员将球传给了他的玩伴，他得分并奔跑以庆祝，其他巴西球员得分很多。</v>
      </c>
    </row>
    <row r="28265">
      <c r="A28265" s="4" t="s">
        <v>35593</v>
      </c>
      <c r="B28265" s="4" t="s">
        <v>35596</v>
      </c>
      <c r="C28265" s="5" t="str">
        <f>IFERROR(__xludf.DUMMYFUNCTION("GOOGLETRANSLATE(B28265,""en"",""zh-CN"")"),"之后，巴西与其他Teem一起玩，并多次得分。")</f>
        <v>之后，巴西与其他Teem一起玩，并多次得分。</v>
      </c>
    </row>
    <row r="28266">
      <c r="A28266" s="4" t="s">
        <v>35593</v>
      </c>
      <c r="B28266" s="4" t="s">
        <v>35597</v>
      </c>
      <c r="C28266" s="5" t="str">
        <f>IFERROR(__xludf.DUMMYFUNCTION("GOOGLETRANSLATE(B28266,""en"",""zh-CN"")"),"然后，巴西与来自其他国家和分数的球员一起玩。")</f>
        <v>然后，巴西与来自其他国家和分数的球员一起玩。</v>
      </c>
    </row>
    <row r="28267">
      <c r="A28267" s="4" t="s">
        <v>35593</v>
      </c>
      <c r="B28267" s="4" t="s">
        <v>35598</v>
      </c>
      <c r="C28267" s="5" t="str">
        <f>IFERROR(__xludf.DUMMYFUNCTION("GOOGLETRANSLATE(B28267,""en"",""zh-CN"")"),"最后，巴西赢得了比赛。")</f>
        <v>最后，巴西赢得了比赛。</v>
      </c>
    </row>
    <row r="28268">
      <c r="A28268" s="4" t="s">
        <v>35599</v>
      </c>
      <c r="B28268" s="4" t="s">
        <v>35600</v>
      </c>
      <c r="C28268" s="5" t="str">
        <f>IFERROR(__xludf.DUMMYFUNCTION("GOOGLETRANSLATE(B28268,""en"",""zh-CN"")"),"人们正在竞技场踢室内足球。")</f>
        <v>人们正在竞技场踢室内足球。</v>
      </c>
    </row>
    <row r="28269">
      <c r="A28269" s="4" t="s">
        <v>35599</v>
      </c>
      <c r="B28269" s="4" t="s">
        <v>35601</v>
      </c>
      <c r="C28269" s="5" t="str">
        <f>IFERROR(__xludf.DUMMYFUNCTION("GOOGLETRANSLATE(B28269,""en"",""zh-CN"")"),"人们坐在看着看着。")</f>
        <v>人们坐在看着看着。</v>
      </c>
    </row>
    <row r="28270">
      <c r="A28270" s="4" t="s">
        <v>35599</v>
      </c>
      <c r="B28270" s="4" t="s">
        <v>2018</v>
      </c>
      <c r="C28270" s="5" t="str">
        <f>IFERROR(__xludf.DUMMYFUNCTION("GOOGLETRANSLATE(B28270,""en"",""zh-CN"")"),"屏幕上出现单词。")</f>
        <v>屏幕上出现单词。</v>
      </c>
    </row>
    <row r="28271">
      <c r="A28271" s="4" t="s">
        <v>35602</v>
      </c>
      <c r="B28271" s="4" t="s">
        <v>35603</v>
      </c>
      <c r="C28271" s="5" t="str">
        <f>IFERROR(__xludf.DUMMYFUNCTION("GOOGLETRANSLATE(B28271,""en"",""zh-CN"")"),"一个女人站在一个拿着呼啦圈的房间里。")</f>
        <v>一个女人站在一个拿着呼啦圈的房间里。</v>
      </c>
    </row>
    <row r="28272">
      <c r="A28272" s="4" t="s">
        <v>35602</v>
      </c>
      <c r="B28272" s="4" t="s">
        <v>35604</v>
      </c>
      <c r="C28272" s="5" t="str">
        <f>IFERROR(__xludf.DUMMYFUNCTION("GOOGLETRANSLATE(B28272,""en"",""zh-CN"")"),"她演示了如何使用呼啦圈。")</f>
        <v>她演示了如何使用呼啦圈。</v>
      </c>
    </row>
    <row r="28273">
      <c r="A28273" s="4" t="s">
        <v>35602</v>
      </c>
      <c r="B28273" s="4" t="s">
        <v>35605</v>
      </c>
      <c r="C28273" s="5" t="str">
        <f>IFERROR(__xludf.DUMMYFUNCTION("GOOGLETRANSLATE(B28273,""en"",""zh-CN"")"),"她用臀部旋转它，然后与镜头交谈。")</f>
        <v>她用臀部旋转它，然后与镜头交谈。</v>
      </c>
    </row>
    <row r="28274">
      <c r="A28274" s="4" t="s">
        <v>35606</v>
      </c>
      <c r="B28274" s="4" t="s">
        <v>35607</v>
      </c>
      <c r="C28274" s="5" t="str">
        <f>IFERROR(__xludf.DUMMYFUNCTION("GOOGLETRANSLATE(B28274,""en"",""zh-CN"")"),"一个穿着蓝色衬衫的男人正在院子里弹钢琴。")</f>
        <v>一个穿着蓝色衬衫的男人正在院子里弹钢琴。</v>
      </c>
    </row>
    <row r="28275">
      <c r="A28275" s="4" t="s">
        <v>35606</v>
      </c>
      <c r="B28275" s="4" t="s">
        <v>35608</v>
      </c>
      <c r="C28275" s="5" t="str">
        <f>IFERROR(__xludf.DUMMYFUNCTION("GOOGLETRANSLATE(B28275,""en"",""zh-CN"")"),"他身后有两只大象。")</f>
        <v>他身后有两只大象。</v>
      </c>
    </row>
    <row r="28276">
      <c r="A28276" s="4" t="s">
        <v>35606</v>
      </c>
      <c r="B28276" s="4" t="s">
        <v>35609</v>
      </c>
      <c r="C28276" s="5" t="str">
        <f>IFERROR(__xludf.DUMMYFUNCTION("GOOGLETRANSLATE(B28276,""en"",""zh-CN"")"),"一头大象试图用他的后备箱弹钢琴。")</f>
        <v>一头大象试图用他的后备箱弹钢琴。</v>
      </c>
    </row>
    <row r="28277">
      <c r="A28277" s="4" t="s">
        <v>35606</v>
      </c>
      <c r="B28277" s="4" t="s">
        <v>35610</v>
      </c>
      <c r="C28277" s="5" t="str">
        <f>IFERROR(__xludf.DUMMYFUNCTION("GOOGLETRANSLATE(B28277,""en"",""zh-CN"")"),"该男子继续使用钢琴上的各种钥匙快速弹奏钢琴。")</f>
        <v>该男子继续使用钢琴上的各种钥匙快速弹奏钢琴。</v>
      </c>
    </row>
    <row r="28278">
      <c r="A28278" s="4" t="s">
        <v>35606</v>
      </c>
      <c r="B28278" s="4" t="s">
        <v>35611</v>
      </c>
      <c r="C28278" s="5" t="str">
        <f>IFERROR(__xludf.DUMMYFUNCTION("GOOGLETRANSLATE(B28278,""en"",""zh-CN"")"),"他的曲调完成了巨大的效果，然后拍拍大象的树干。")</f>
        <v>他的曲调完成了巨大的效果，然后拍拍大象的树干。</v>
      </c>
    </row>
    <row r="28279">
      <c r="A28279" s="4" t="s">
        <v>35612</v>
      </c>
      <c r="B28279" s="4" t="s">
        <v>35613</v>
      </c>
      <c r="C28279" s="5" t="str">
        <f>IFERROR(__xludf.DUMMYFUNCTION("GOOGLETRANSLATE(B28279,""en"",""zh-CN"")"),"一个家伙站在海滩的岸边，拿着曲棍球棒平衡球。")</f>
        <v>一个家伙站在海滩的岸边，拿着曲棍球棒平衡球。</v>
      </c>
    </row>
    <row r="28280">
      <c r="A28280" s="4" t="s">
        <v>35612</v>
      </c>
      <c r="B28280" s="4" t="s">
        <v>35614</v>
      </c>
      <c r="C28280" s="5" t="str">
        <f>IFERROR(__xludf.DUMMYFUNCTION("GOOGLETRANSLATE(B28280,""en"",""zh-CN"")"),"曲棍球棒和一个白球放在外面的假草上。")</f>
        <v>曲棍球棒和一个白球放在外面的假草上。</v>
      </c>
    </row>
    <row r="28281">
      <c r="A28281" s="4" t="s">
        <v>35612</v>
      </c>
      <c r="B28281" s="4" t="s">
        <v>35615</v>
      </c>
      <c r="C28281" s="5" t="str">
        <f>IFERROR(__xludf.DUMMYFUNCTION("GOOGLETRANSLATE(B28281,""en"",""zh-CN"")"),"一个人用曲棍球移动白球。")</f>
        <v>一个人用曲棍球移动白球。</v>
      </c>
    </row>
    <row r="28282">
      <c r="A28282" s="4" t="s">
        <v>35612</v>
      </c>
      <c r="B28282" s="4" t="s">
        <v>35616</v>
      </c>
      <c r="C28282" s="5" t="str">
        <f>IFERROR(__xludf.DUMMYFUNCTION("GOOGLETRANSLATE(B28282,""en"",""zh-CN"")"),"一个人展示了十种曲棍球技术。")</f>
        <v>一个人展示了十种曲棍球技术。</v>
      </c>
    </row>
    <row r="28283">
      <c r="A28283" s="4" t="s">
        <v>35612</v>
      </c>
      <c r="B28283" s="4" t="s">
        <v>35617</v>
      </c>
      <c r="C28283" s="5" t="str">
        <f>IFERROR(__xludf.DUMMYFUNCTION("GOOGLETRANSLATE(B28283,""en"",""zh-CN"")"),"一个人用曲棍球棍子在空中弹跳。")</f>
        <v>一个人用曲棍球棍子在空中弹跳。</v>
      </c>
    </row>
    <row r="28284">
      <c r="A28284" s="4" t="s">
        <v>35612</v>
      </c>
      <c r="B28284" s="4" t="s">
        <v>35618</v>
      </c>
      <c r="C28284" s="5" t="str">
        <f>IFERROR(__xludf.DUMMYFUNCTION("GOOGLETRANSLATE(B28284,""en"",""zh-CN"")"),"显示问候和积分。")</f>
        <v>显示问候和积分。</v>
      </c>
    </row>
    <row r="28285">
      <c r="A28285" s="4" t="s">
        <v>35619</v>
      </c>
      <c r="B28285" s="4" t="s">
        <v>35620</v>
      </c>
      <c r="C28285" s="5" t="str">
        <f>IFERROR(__xludf.DUMMYFUNCTION("GOOGLETRANSLATE(B28285,""en"",""zh-CN"")"),"一个男孩在院子里打球。")</f>
        <v>一个男孩在院子里打球。</v>
      </c>
    </row>
    <row r="28286">
      <c r="A28286" s="4" t="s">
        <v>35619</v>
      </c>
      <c r="B28286" s="4" t="s">
        <v>35621</v>
      </c>
      <c r="C28286" s="5" t="str">
        <f>IFERROR(__xludf.DUMMYFUNCTION("GOOGLETRANSLATE(B28286,""en"",""zh-CN"")"),"一个男孩挥舞着，将球从院子里击中。")</f>
        <v>一个男孩挥舞着，将球从院子里击中。</v>
      </c>
    </row>
    <row r="28287">
      <c r="A28287" s="4" t="s">
        <v>35619</v>
      </c>
      <c r="B28287" s="4" t="s">
        <v>35622</v>
      </c>
      <c r="C28287" s="5" t="str">
        <f>IFERROR(__xludf.DUMMYFUNCTION("GOOGLETRANSLATE(B28287,""en"",""zh-CN"")"),"男孩走路以取回球。")</f>
        <v>男孩走路以取回球。</v>
      </c>
    </row>
    <row r="28288">
      <c r="A28288" s="4" t="s">
        <v>35619</v>
      </c>
      <c r="B28288" s="4" t="s">
        <v>35623</v>
      </c>
      <c r="C28288" s="5" t="str">
        <f>IFERROR(__xludf.DUMMYFUNCTION("GOOGLETRANSLATE(B28288,""en"",""zh-CN"")"),"这个男孩打了一场比赛，他击球并撞倒垃圾桶盖。")</f>
        <v>这个男孩打了一场比赛，他击球并撞倒垃圾桶盖。</v>
      </c>
    </row>
    <row r="28289">
      <c r="A28289" s="4" t="s">
        <v>35619</v>
      </c>
      <c r="B28289" s="4" t="s">
        <v>35624</v>
      </c>
      <c r="C28289" s="5" t="str">
        <f>IFERROR(__xludf.DUMMYFUNCTION("GOOGLETRANSLATE(B28289,""en"",""zh-CN"")"),"这个男孩在球上挥舞着一根棍子，通过进球击中他们。")</f>
        <v>这个男孩在球上挥舞着一根棍子，通过进球击中他们。</v>
      </c>
    </row>
    <row r="28290">
      <c r="A28290" s="4" t="s">
        <v>35625</v>
      </c>
      <c r="B28290" s="4" t="s">
        <v>35626</v>
      </c>
      <c r="C28290" s="5" t="str">
        <f>IFERROR(__xludf.DUMMYFUNCTION("GOOGLETRANSLATE(B28290,""en"",""zh-CN"")"),"人们在健身房里玩洗牌板。")</f>
        <v>人们在健身房里玩洗牌板。</v>
      </c>
    </row>
    <row r="28291">
      <c r="A28291" s="4" t="s">
        <v>35625</v>
      </c>
      <c r="B28291" s="4" t="s">
        <v>35627</v>
      </c>
      <c r="C28291" s="5" t="str">
        <f>IFERROR(__xludf.DUMMYFUNCTION("GOOGLETRANSLATE(B28291,""en"",""zh-CN"")"),"一个女人扔了一个黑色的冰球，然后她说话并继续演奏。")</f>
        <v>一个女人扔了一个黑色的冰球，然后她说话并继续演奏。</v>
      </c>
    </row>
    <row r="28292">
      <c r="A28292" s="4" t="s">
        <v>35625</v>
      </c>
      <c r="B28292" s="4" t="s">
        <v>35628</v>
      </c>
      <c r="C28292" s="5" t="str">
        <f>IFERROR(__xludf.DUMMYFUNCTION("GOOGLETRANSLATE(B28292,""en"",""zh-CN"")"),"老人在健身房里戴着帽子会谈。")</f>
        <v>老人在健身房里戴着帽子会谈。</v>
      </c>
    </row>
    <row r="28293">
      <c r="A28293" s="4" t="s">
        <v>35625</v>
      </c>
      <c r="B28293" s="4" t="s">
        <v>35629</v>
      </c>
      <c r="C28293" s="5" t="str">
        <f>IFERROR(__xludf.DUMMYFUNCTION("GOOGLETRANSLATE(B28293,""en"",""zh-CN"")"),"两个女人并排交谈，其中一名妇女握着一根杆子。")</f>
        <v>两个女人并排交谈，其中一名妇女握着一根杆子。</v>
      </c>
    </row>
    <row r="28294">
      <c r="A28294" s="4" t="s">
        <v>35630</v>
      </c>
      <c r="B28294" s="4" t="s">
        <v>35631</v>
      </c>
      <c r="C28294" s="5" t="str">
        <f>IFERROR(__xludf.DUMMYFUNCTION("GOOGLETRANSLATE(B28294,""en"",""zh-CN"")"),"一个信息电视显示一个人在与镜头说话时用剃须刀在腿上使用剃须刀。")</f>
        <v>一个信息电视显示一个人在与镜头说话时用剃须刀在腿上使用剃须刀。</v>
      </c>
    </row>
    <row r="28295">
      <c r="A28295" s="4" t="s">
        <v>35630</v>
      </c>
      <c r="B28295" s="4" t="s">
        <v>35632</v>
      </c>
      <c r="C28295" s="5" t="str">
        <f>IFERROR(__xludf.DUMMYFUNCTION("GOOGLETRANSLATE(B28295,""en"",""zh-CN"")"),"该女人继续剃光双腿，并显示了工具的特写。")</f>
        <v>该女人继续剃光双腿，并显示了工具的特写。</v>
      </c>
    </row>
    <row r="28296">
      <c r="A28296" s="4" t="s">
        <v>35633</v>
      </c>
      <c r="B28296" s="4" t="s">
        <v>35634</v>
      </c>
      <c r="C28296" s="5" t="str">
        <f>IFERROR(__xludf.DUMMYFUNCTION("GOOGLETRANSLATE(B28296,""en"",""zh-CN"")"),"一个女人走进框架，扮演她的头发，并在她身后分开。")</f>
        <v>一个女人走进框架，扮演她的头发，并在她身后分开。</v>
      </c>
    </row>
    <row r="28297">
      <c r="A28297" s="4" t="s">
        <v>35633</v>
      </c>
      <c r="B28297" s="6" t="s">
        <v>35635</v>
      </c>
      <c r="C28297" s="5" t="str">
        <f>IFERROR(__xludf.DUMMYFUNCTION("GOOGLETRANSLATE(B28297,""en"",""zh-CN"")"),"该名女子继续编织头发，并在镜头前看最终结果，然后走开。")</f>
        <v>该名女子继续编织头发，并在镜头前看最终结果，然后走开。</v>
      </c>
    </row>
    <row r="28298">
      <c r="A28298" s="4" t="s">
        <v>35636</v>
      </c>
      <c r="B28298" s="6" t="s">
        <v>35637</v>
      </c>
      <c r="C28298" s="5" t="str">
        <f>IFERROR(__xludf.DUMMYFUNCTION("GOOGLETRANSLATE(B28298,""en"",""zh-CN"")"),"显示出厚雪的汽车，一个人在挡风玻璃和所有汽车上用铲子清洁雪。")</f>
        <v>显示出厚雪的汽车，一个人在挡风玻璃和所有汽车上用铲子清洁雪。</v>
      </c>
    </row>
    <row r="28299">
      <c r="A28299" s="4" t="s">
        <v>35636</v>
      </c>
      <c r="B28299" s="4" t="s">
        <v>35638</v>
      </c>
      <c r="C28299" s="5" t="str">
        <f>IFERROR(__xludf.DUMMYFUNCTION("GOOGLETRANSLATE(B28299,""en"",""zh-CN"")"),"汽车在街上。")</f>
        <v>汽车在街上。</v>
      </c>
    </row>
    <row r="28300">
      <c r="A28300" s="4" t="s">
        <v>35639</v>
      </c>
      <c r="B28300" s="4" t="s">
        <v>35640</v>
      </c>
      <c r="C28300" s="5" t="str">
        <f>IFERROR(__xludf.DUMMYFUNCTION("GOOGLETRANSLATE(B28300,""en"",""zh-CN"")"),"一对夫妇和一个孩子在客厅里。")</f>
        <v>一对夫妇和一个孩子在客厅里。</v>
      </c>
    </row>
    <row r="28301">
      <c r="A28301" s="4" t="s">
        <v>35639</v>
      </c>
      <c r="B28301" s="4" t="s">
        <v>35641</v>
      </c>
      <c r="C28301" s="5" t="str">
        <f>IFERROR(__xludf.DUMMYFUNCTION("GOOGLETRANSLATE(B28301,""en"",""zh-CN"")"),"这对夫妇开始在房间中间跳舞，旋转和旋转。")</f>
        <v>这对夫妇开始在房间中间跳舞，旋转和旋转。</v>
      </c>
    </row>
    <row r="28302">
      <c r="A28302" s="4" t="s">
        <v>35642</v>
      </c>
      <c r="B28302" s="4" t="s">
        <v>35643</v>
      </c>
      <c r="C28302" s="5" t="str">
        <f>IFERROR(__xludf.DUMMYFUNCTION("GOOGLETRANSLATE(B28302,""en"",""zh-CN"")"),"在拳击比赛中穿着白衬衫的裁判开始了拳击比赛。")</f>
        <v>在拳击比赛中穿着白衬衫的裁判开始了拳击比赛。</v>
      </c>
    </row>
    <row r="28303">
      <c r="A28303" s="4" t="s">
        <v>35642</v>
      </c>
      <c r="B28303" s="4" t="s">
        <v>35644</v>
      </c>
      <c r="C28303" s="5" t="str">
        <f>IFERROR(__xludf.DUMMYFUNCTION("GOOGLETRANSLATE(B28303,""en"",""zh-CN"")"),"两个女孩拳击手互相接近，开始拳击拳击。")</f>
        <v>两个女孩拳击手互相接近，开始拳击拳击。</v>
      </c>
    </row>
    <row r="28304">
      <c r="A28304" s="4" t="s">
        <v>35642</v>
      </c>
      <c r="B28304" s="4" t="s">
        <v>35645</v>
      </c>
      <c r="C28304" s="5" t="str">
        <f>IFERROR(__xludf.DUMMYFUNCTION("GOOGLETRANSLATE(B28304,""en"",""zh-CN"")"),"高个子的拳击手接近较短的拳击手，并直接击中较短的拳击手。")</f>
        <v>高个子的拳击手接近较短的拳击手，并直接击中较短的拳击手。</v>
      </c>
    </row>
    <row r="28305">
      <c r="A28305" s="4" t="s">
        <v>35642</v>
      </c>
      <c r="B28305" s="4" t="s">
        <v>35646</v>
      </c>
      <c r="C28305" s="5" t="str">
        <f>IFERROR(__xludf.DUMMYFUNCTION("GOOGLETRANSLATE(B28305,""en"",""zh-CN"")"),"两位拳击手都在戒指的中央交换打孔器并踢。")</f>
        <v>两位拳击手都在戒指的中央交换打孔器并踢。</v>
      </c>
    </row>
    <row r="28306">
      <c r="A28306" s="4" t="s">
        <v>35642</v>
      </c>
      <c r="B28306" s="4" t="s">
        <v>35647</v>
      </c>
      <c r="C28306" s="5" t="str">
        <f>IFERROR(__xludf.DUMMYFUNCTION("GOOGLETRANSLATE(B28306,""en"",""zh-CN"")"),"裁判在跟随并密切关注战斗机时进行了战斗。")</f>
        <v>裁判在跟随并密切关注战斗机时进行了战斗。</v>
      </c>
    </row>
    <row r="28307">
      <c r="A28307" s="4" t="s">
        <v>35648</v>
      </c>
      <c r="B28307" s="4" t="s">
        <v>35649</v>
      </c>
      <c r="C28307" s="5" t="str">
        <f>IFERROR(__xludf.DUMMYFUNCTION("GOOGLETRANSLATE(B28307,""en"",""zh-CN"")"),"有两个人在溪流中，茂密的水和巨大的岩石贯穿其中。")</f>
        <v>有两个人在溪流中，茂密的水和巨大的岩石贯穿其中。</v>
      </c>
    </row>
    <row r="28308">
      <c r="A28308" s="4" t="s">
        <v>35648</v>
      </c>
      <c r="B28308" s="6" t="s">
        <v>35650</v>
      </c>
      <c r="C28308" s="5" t="str">
        <f>IFERROR(__xludf.DUMMYFUNCTION("GOOGLETRANSLATE(B28308,""en"",""zh-CN"")"),"一旦两者绕过曲线，他们就撞到了两个小山丘，并在水中的平静部分中涉水。")</f>
        <v>一旦两者绕过曲线，他们就撞到了两个小山丘，并在水中的平静部分中涉水。</v>
      </c>
    </row>
    <row r="28309">
      <c r="A28309" s="4" t="s">
        <v>35651</v>
      </c>
      <c r="B28309" s="4" t="s">
        <v>35652</v>
      </c>
      <c r="C28309" s="5" t="str">
        <f>IFERROR(__xludf.DUMMYFUNCTION("GOOGLETRANSLATE(B28309,""en"",""zh-CN"")"),"男人正在打蜡女人的腿。")</f>
        <v>男人正在打蜡女人的腿。</v>
      </c>
    </row>
    <row r="28310">
      <c r="A28310" s="4" t="s">
        <v>35651</v>
      </c>
      <c r="B28310" s="4" t="s">
        <v>35653</v>
      </c>
      <c r="C28310" s="5" t="str">
        <f>IFERROR(__xludf.DUMMYFUNCTION("GOOGLETRANSLATE(B28310,""en"",""zh-CN"")"),"女人正在与镜头说话，并展示如何打蜡。")</f>
        <v>女人正在与镜头说话，并展示如何打蜡。</v>
      </c>
    </row>
    <row r="28311">
      <c r="A28311" s="4" t="s">
        <v>35654</v>
      </c>
      <c r="B28311" s="4" t="s">
        <v>35655</v>
      </c>
      <c r="C28311" s="5" t="str">
        <f>IFERROR(__xludf.DUMMYFUNCTION("GOOGLETRANSLATE(B28311,""en"",""zh-CN"")"),"两个人的双腿绑在一起，然后收到指示。")</f>
        <v>两个人的双腿绑在一起，然后收到指示。</v>
      </c>
    </row>
    <row r="28312">
      <c r="A28312" s="4" t="s">
        <v>35654</v>
      </c>
      <c r="B28312" s="4" t="s">
        <v>35656</v>
      </c>
      <c r="C28312" s="5" t="str">
        <f>IFERROR(__xludf.DUMMYFUNCTION("GOOGLETRANSLATE(B28312,""en"",""zh-CN"")"),"他们走到壁架上，然后跳过边缘。")</f>
        <v>他们走到壁架上，然后跳过边缘。</v>
      </c>
    </row>
    <row r="28313">
      <c r="A28313" s="4" t="s">
        <v>35657</v>
      </c>
      <c r="B28313" s="6" t="s">
        <v>35658</v>
      </c>
      <c r="C28313" s="5" t="str">
        <f>IFERROR(__xludf.DUMMYFUNCTION("GOOGLETRANSLATE(B28313,""en"",""zh-CN"")"),"饮料的图片随后是一个空碗，一个人将食材放在碗中。")</f>
        <v>饮料的图片随后是一个空碗，一个人将食材放在碗中。</v>
      </c>
    </row>
    <row r="28314">
      <c r="A28314" s="4" t="s">
        <v>35657</v>
      </c>
      <c r="B28314" s="4" t="s">
        <v>35659</v>
      </c>
      <c r="C28314" s="5" t="str">
        <f>IFERROR(__xludf.DUMMYFUNCTION("GOOGLETRANSLATE(B28314,""en"",""zh-CN"")"),"该人将整个成分搅动到周围，并将混合物倒入冰上供冰上食用。")</f>
        <v>该人将整个成分搅动到周围，并将混合物倒入冰上供冰上食用。</v>
      </c>
    </row>
    <row r="28315">
      <c r="A28315" s="4" t="s">
        <v>35660</v>
      </c>
      <c r="B28315" s="4" t="s">
        <v>35661</v>
      </c>
      <c r="C28315" s="5" t="str">
        <f>IFERROR(__xludf.DUMMYFUNCTION("GOOGLETRANSLATE(B28315,""en"",""zh-CN"")"),"将刷子连接到用于擦洗的动力钻头上。")</f>
        <v>将刷子连接到用于擦洗的动力钻头上。</v>
      </c>
    </row>
    <row r="28316">
      <c r="A28316" s="4" t="s">
        <v>35660</v>
      </c>
      <c r="B28316" s="4" t="s">
        <v>35662</v>
      </c>
      <c r="C28316" s="5" t="str">
        <f>IFERROR(__xludf.DUMMYFUNCTION("GOOGLETRANSLATE(B28316,""en"",""zh-CN"")"),"水槽的顶部被擦洗，然后碗。")</f>
        <v>水槽的顶部被擦洗，然后碗。</v>
      </c>
    </row>
    <row r="28317">
      <c r="A28317" s="4" t="s">
        <v>35660</v>
      </c>
      <c r="B28317" s="4" t="s">
        <v>35663</v>
      </c>
      <c r="C28317" s="5" t="str">
        <f>IFERROR(__xludf.DUMMYFUNCTION("GOOGLETRANSLATE(B28317,""en"",""zh-CN"")"),"它用毛巾擦拭以完成。")</f>
        <v>它用毛巾擦拭以完成。</v>
      </c>
    </row>
    <row r="28318">
      <c r="A28318" s="4" t="s">
        <v>35664</v>
      </c>
      <c r="B28318" s="4" t="s">
        <v>35665</v>
      </c>
      <c r="C28318" s="5" t="str">
        <f>IFERROR(__xludf.DUMMYFUNCTION("GOOGLETRANSLATE(B28318,""en"",""zh-CN"")"),"人们坐在房间里的锻炼机上。")</f>
        <v>人们坐在房间里的锻炼机上。</v>
      </c>
    </row>
    <row r="28319">
      <c r="A28319" s="4" t="s">
        <v>35664</v>
      </c>
      <c r="B28319" s="4" t="s">
        <v>35666</v>
      </c>
      <c r="C28319" s="5" t="str">
        <f>IFERROR(__xludf.DUMMYFUNCTION("GOOGLETRANSLATE(B28319,""en"",""zh-CN"")"),"他们都开始锻炼并拉绳子。")</f>
        <v>他们都开始锻炼并拉绳子。</v>
      </c>
    </row>
    <row r="28320">
      <c r="A28320" s="4" t="s">
        <v>35664</v>
      </c>
      <c r="B28320" s="4" t="s">
        <v>35667</v>
      </c>
      <c r="C28320" s="5" t="str">
        <f>IFERROR(__xludf.DUMMYFUNCTION("GOOGLETRANSLATE(B28320,""en"",""zh-CN"")"),"人们站在他们面前为他们加油打气。")</f>
        <v>人们站在他们面前为他们加油打气。</v>
      </c>
    </row>
    <row r="28321">
      <c r="A28321" s="4" t="s">
        <v>35668</v>
      </c>
      <c r="B28321" s="6" t="s">
        <v>35669</v>
      </c>
      <c r="C28321" s="5" t="str">
        <f>IFERROR(__xludf.DUMMYFUNCTION("GOOGLETRANSLATE(B28321,""en"",""zh-CN"")"),"当人们在她身后徘徊时，看到一个男人在拥挤的地区与呼啦圈共舞。")</f>
        <v>当人们在她身后徘徊时，看到一个男人在拥挤的地区与呼啦圈共舞。</v>
      </c>
    </row>
    <row r="28322">
      <c r="A28322" s="4" t="s">
        <v>35668</v>
      </c>
      <c r="B28322" s="4" t="s">
        <v>35670</v>
      </c>
      <c r="C28322" s="5" t="str">
        <f>IFERROR(__xludf.DUMMYFUNCTION("GOOGLETRANSLATE(B28322,""en"",""zh-CN"")"),"当人们看着她的旋转时，女人继续旋转自己的箍。")</f>
        <v>当人们看着她的旋转时，女人继续旋转自己的箍。</v>
      </c>
    </row>
    <row r="28323">
      <c r="A28323" s="4" t="s">
        <v>35671</v>
      </c>
      <c r="B28323" s="4" t="s">
        <v>35672</v>
      </c>
      <c r="C28323" s="5" t="str">
        <f>IFERROR(__xludf.DUMMYFUNCTION("GOOGLETRANSLATE(B28323,""en"",""zh-CN"")"),"爵士音乐家正在教授如何演奏萨克斯管。")</f>
        <v>爵士音乐家正在教授如何演奏萨克斯管。</v>
      </c>
    </row>
    <row r="28324">
      <c r="A28324" s="4" t="s">
        <v>35671</v>
      </c>
      <c r="B28324" s="4" t="s">
        <v>35673</v>
      </c>
      <c r="C28324" s="5" t="str">
        <f>IFERROR(__xludf.DUMMYFUNCTION("GOOGLETRANSLATE(B28324,""en"",""zh-CN"")"),"他正在提供指示，并谈论音乐和鳞片。")</f>
        <v>他正在提供指示，并谈论音乐和鳞片。</v>
      </c>
    </row>
    <row r="28325">
      <c r="A28325" s="4" t="s">
        <v>35671</v>
      </c>
      <c r="B28325" s="4" t="s">
        <v>35674</v>
      </c>
      <c r="C28325" s="5" t="str">
        <f>IFERROR(__xludf.DUMMYFUNCTION("GOOGLETRANSLATE(B28325,""en"",""zh-CN"")"),"然后，他开始演奏一些，然后才能返回演讲。")</f>
        <v>然后，他开始演奏一些，然后才能返回演讲。</v>
      </c>
    </row>
    <row r="28326">
      <c r="A28326" s="4" t="s">
        <v>35671</v>
      </c>
      <c r="B28326" s="6" t="s">
        <v>35675</v>
      </c>
      <c r="C28326" s="5" t="str">
        <f>IFERROR(__xludf.DUMMYFUNCTION("GOOGLETRANSLATE(B28326,""en"",""zh-CN"")"),"他谈到了他在粉笔板上写的笔记，然后回到了更多有关这一切的讲话。")</f>
        <v>他谈到了他在粉笔板上写的笔记，然后回到了更多有关这一切的讲话。</v>
      </c>
    </row>
    <row r="28327">
      <c r="A28327" s="4" t="s">
        <v>35676</v>
      </c>
      <c r="B28327" s="4" t="s">
        <v>35677</v>
      </c>
      <c r="C28327" s="5" t="str">
        <f>IFERROR(__xludf.DUMMYFUNCTION("GOOGLETRANSLATE(B28327,""en"",""zh-CN"")"),"一个人坐在船上拿着桨的船上说话。")</f>
        <v>一个人坐在船上拿着桨的船上说话。</v>
      </c>
    </row>
    <row r="28328">
      <c r="A28328" s="4" t="s">
        <v>35676</v>
      </c>
      <c r="B28328" s="4" t="s">
        <v>35678</v>
      </c>
      <c r="C28328" s="5" t="str">
        <f>IFERROR(__xludf.DUMMYFUNCTION("GOOGLETRANSLATE(B28328,""en"",""zh-CN"")"),"然后，这个人在波涛汹涌的水域航行，突然他将船只旋转起来，帮助桨。")</f>
        <v>然后，这个人在波涛汹涌的水域航行，突然他将船只旋转起来，帮助桨。</v>
      </c>
    </row>
    <row r="28329">
      <c r="A28329" s="4" t="s">
        <v>35679</v>
      </c>
      <c r="B28329" s="4" t="s">
        <v>35680</v>
      </c>
      <c r="C28329" s="5" t="str">
        <f>IFERROR(__xludf.DUMMYFUNCTION("GOOGLETRANSLATE(B28329,""en"",""zh-CN"")"),"一群孩子和成人在河边。")</f>
        <v>一群孩子和成人在河边。</v>
      </c>
    </row>
    <row r="28330">
      <c r="A28330" s="4" t="s">
        <v>35679</v>
      </c>
      <c r="B28330" s="4" t="s">
        <v>35681</v>
      </c>
      <c r="C28330" s="5" t="str">
        <f>IFERROR(__xludf.DUMMYFUNCTION("GOOGLETRANSLATE(B28330,""en"",""zh-CN"")"),"他们进入木筏并漂浮在溪流中。")</f>
        <v>他们进入木筏并漂浮在溪流中。</v>
      </c>
    </row>
    <row r="28331">
      <c r="A28331" s="4" t="s">
        <v>35679</v>
      </c>
      <c r="B28331" s="4" t="s">
        <v>35682</v>
      </c>
      <c r="C28331" s="5" t="str">
        <f>IFERROR(__xludf.DUMMYFUNCTION("GOOGLETRANSLATE(B28331,""en"",""zh-CN"")"),"他们划过急流和跌倒。")</f>
        <v>他们划过急流和跌倒。</v>
      </c>
    </row>
    <row r="28332">
      <c r="A28332" s="4" t="s">
        <v>35683</v>
      </c>
      <c r="B28332" s="4" t="s">
        <v>35684</v>
      </c>
      <c r="C28332" s="5" t="str">
        <f>IFERROR(__xludf.DUMMYFUNCTION("GOOGLETRANSLATE(B28332,""en"",""zh-CN"")"),"屏幕上出现“如何使用Fiair开始篝火”。")</f>
        <v>屏幕上出现“如何使用Fiair开始篝火”。</v>
      </c>
    </row>
    <row r="28333">
      <c r="A28333" s="4" t="s">
        <v>35683</v>
      </c>
      <c r="B28333" s="4" t="s">
        <v>35685</v>
      </c>
      <c r="C28333" s="5" t="str">
        <f>IFERROR(__xludf.DUMMYFUNCTION("GOOGLETRANSLATE(B28333,""en"",""zh-CN"")"),"野生动植物生物学家布莱恩·希斯勒（Bryon Shissler）坐在篝火坑外面，与镜头说话。")</f>
        <v>野生动植物生物学家布莱恩·希斯勒（Bryon Shissler）坐在篝火坑外面，与镜头说话。</v>
      </c>
    </row>
    <row r="28334">
      <c r="A28334" s="4" t="s">
        <v>35683</v>
      </c>
      <c r="B28334" s="4" t="s">
        <v>35686</v>
      </c>
      <c r="C28334" s="5" t="str">
        <f>IFERROR(__xludf.DUMMYFUNCTION("GOOGLETRANSLATE(B28334,""en"",""zh-CN"")"),"他使用Fiair设备在坑中燃烧并点燃火。")</f>
        <v>他使用Fiair设备在坑中燃烧并点燃火。</v>
      </c>
    </row>
    <row r="28335">
      <c r="A28335" s="4" t="s">
        <v>35683</v>
      </c>
      <c r="B28335" s="4" t="s">
        <v>35687</v>
      </c>
      <c r="C28335" s="5" t="str">
        <f>IFERROR(__xludf.DUMMYFUNCTION("GOOGLETRANSLATE(B28335,""en"",""zh-CN"")"),"屏幕上出现了“ fiair少量鼓风机来喂火”。")</f>
        <v>屏幕上出现了“ fiair少量鼓风机来喂火”。</v>
      </c>
    </row>
    <row r="28336">
      <c r="A28336" s="4" t="s">
        <v>35688</v>
      </c>
      <c r="B28336" s="6" t="s">
        <v>35689</v>
      </c>
      <c r="C28336" s="5" t="str">
        <f>IFERROR(__xludf.DUMMYFUNCTION("GOOGLETRANSLATE(B28336,""en"",""zh-CN"")"),"人们看着游行队伍，人们在前面行走的游行乐队拿着横幅并挥舞着观众。")</f>
        <v>人们看着游行队伍，人们在前面行走的游行乐队拿着横幅并挥舞着观众。</v>
      </c>
    </row>
    <row r="28337">
      <c r="A28337" s="4" t="s">
        <v>35688</v>
      </c>
      <c r="B28337" s="4" t="s">
        <v>35690</v>
      </c>
      <c r="C28337" s="5" t="str">
        <f>IFERROR(__xludf.DUMMYFUNCTION("GOOGLETRANSLATE(B28337,""en"",""zh-CN"")"),"一个男人握着一个小国旗，伸出街道并伸出手。")</f>
        <v>一个男人握着一个小国旗，伸出街道并伸出手。</v>
      </c>
    </row>
    <row r="28338">
      <c r="A28338" s="4" t="s">
        <v>35688</v>
      </c>
      <c r="B28338" s="4" t="s">
        <v>35691</v>
      </c>
      <c r="C28338" s="5" t="str">
        <f>IFERROR(__xludf.DUMMYFUNCTION("GOOGLETRANSLATE(B28338,""en"",""zh-CN"")"),"一群士兵在前面的黑色汽车上握着步枪和旗帜。")</f>
        <v>一群士兵在前面的黑色汽车上握着步枪和旗帜。</v>
      </c>
    </row>
    <row r="28339">
      <c r="A28339" s="4" t="s">
        <v>35688</v>
      </c>
      <c r="B28339" s="4" t="s">
        <v>35692</v>
      </c>
      <c r="C28339" s="5" t="str">
        <f>IFERROR(__xludf.DUMMYFUNCTION("GOOGLETRANSLATE(B28339,""en"",""zh-CN"")"),"老将向军事致敬。")</f>
        <v>老将向军事致敬。</v>
      </c>
    </row>
    <row r="28340">
      <c r="A28340" s="4" t="s">
        <v>35693</v>
      </c>
      <c r="B28340" s="4" t="s">
        <v>35694</v>
      </c>
      <c r="C28340" s="5" t="str">
        <f>IFERROR(__xludf.DUMMYFUNCTION("GOOGLETRANSLATE(B28340,""en"",""zh-CN"")"),"一个人将油漆刷浸入锅中。")</f>
        <v>一个人将油漆刷浸入锅中。</v>
      </c>
    </row>
    <row r="28341">
      <c r="A28341" s="4" t="s">
        <v>35693</v>
      </c>
      <c r="B28341" s="4" t="s">
        <v>35695</v>
      </c>
      <c r="C28341" s="5" t="str">
        <f>IFERROR(__xludf.DUMMYFUNCTION("GOOGLETRANSLATE(B28341,""en"",""zh-CN"")"),"他们使用刷子绘画桌子的侧面。")</f>
        <v>他们使用刷子绘画桌子的侧面。</v>
      </c>
    </row>
    <row r="28342">
      <c r="A28342" s="4" t="s">
        <v>35693</v>
      </c>
      <c r="B28342" s="4" t="s">
        <v>35696</v>
      </c>
      <c r="C28342" s="5" t="str">
        <f>IFERROR(__xludf.DUMMYFUNCTION("GOOGLETRANSLATE(B28342,""en"",""zh-CN"")"),"他们使用大笔触，继续绘画。")</f>
        <v>他们使用大笔触，继续绘画。</v>
      </c>
    </row>
    <row r="28343">
      <c r="A28343" s="4" t="s">
        <v>35697</v>
      </c>
      <c r="B28343" s="4" t="s">
        <v>35698</v>
      </c>
      <c r="C28343" s="5" t="str">
        <f>IFERROR(__xludf.DUMMYFUNCTION("GOOGLETRANSLATE(B28343,""en"",""zh-CN"")"),"一个男人走到另一个男人不高兴，建议一场手臂摔跤比赛。")</f>
        <v>一个男人走到另一个男人不高兴，建议一场手臂摔跤比赛。</v>
      </c>
    </row>
    <row r="28344">
      <c r="A28344" s="4" t="s">
        <v>35697</v>
      </c>
      <c r="B28344" s="4" t="s">
        <v>35699</v>
      </c>
      <c r="C28344" s="5" t="str">
        <f>IFERROR(__xludf.DUMMYFUNCTION("GOOGLETRANSLATE(B28344,""en"",""zh-CN"")"),"当两个女人走进现场时，男人开始握手并迅速移开。")</f>
        <v>当两个女人走进现场时，男人开始握手并迅速移开。</v>
      </c>
    </row>
    <row r="28345">
      <c r="A28345" s="4" t="s">
        <v>35697</v>
      </c>
      <c r="B28345" s="4" t="s">
        <v>35700</v>
      </c>
      <c r="C28345" s="5" t="str">
        <f>IFERROR(__xludf.DUMMYFUNCTION("GOOGLETRANSLATE(B28345,""en"",""zh-CN"")"),"男人继续比赛，看上去很平静，另一个看起来挣扎。")</f>
        <v>男人继续比赛，看上去很平静，另一个看起来挣扎。</v>
      </c>
    </row>
    <row r="28346">
      <c r="A28346" s="4" t="s">
        <v>35697</v>
      </c>
      <c r="B28346" s="4" t="s">
        <v>35701</v>
      </c>
      <c r="C28346" s="5" t="str">
        <f>IFERROR(__xludf.DUMMYFUNCTION("GOOGLETRANSLATE(B28346,""en"",""zh-CN"")"),"当男人讨论自己的问题和看着男人大喊大叫的女人时，比赛继续进行。")</f>
        <v>当男人讨论自己的问题和看着男人大喊大叫的女人时，比赛继续进行。</v>
      </c>
    </row>
    <row r="28347">
      <c r="A28347" s="4" t="s">
        <v>35697</v>
      </c>
      <c r="B28347" s="4" t="s">
        <v>35702</v>
      </c>
      <c r="C28347" s="5" t="str">
        <f>IFERROR(__xludf.DUMMYFUNCTION("GOOGLETRANSLATE(B28347,""en"",""zh-CN"")"),"然后，女人帮助男人的手臂搏斗，一个人猛击另一个男人，以帮助一个男人赢得胜利。")</f>
        <v>然后，女人帮助男人的手臂搏斗，一个人猛击另一个男人，以帮助一个男人赢得胜利。</v>
      </c>
    </row>
    <row r="28348">
      <c r="A28348" s="4" t="s">
        <v>35697</v>
      </c>
      <c r="B28348" s="4" t="s">
        <v>35703</v>
      </c>
      <c r="C28348" s="5" t="str">
        <f>IFERROR(__xludf.DUMMYFUNCTION("GOOGLETRANSLATE(B28348,""en"",""zh-CN"")"),"拳的女人将手臂拉起并刺伤，而另一个男人也刺伤了他们。")</f>
        <v>拳的女人将手臂拉起并刺伤，而另一个男人也刺伤了他们。</v>
      </c>
    </row>
    <row r="28349">
      <c r="A28349" s="4" t="s">
        <v>35697</v>
      </c>
      <c r="B28349" s="4" t="s">
        <v>35704</v>
      </c>
      <c r="C28349" s="5" t="str">
        <f>IFERROR(__xludf.DUMMYFUNCTION("GOOGLETRANSLATE(B28349,""en"",""zh-CN"")"),"这些女人将胶带拔出，将一个身体塞进袋子中。")</f>
        <v>这些女人将胶带拔出，将一个身体塞进袋子中。</v>
      </c>
    </row>
    <row r="28350">
      <c r="A28350" s="4" t="s">
        <v>35705</v>
      </c>
      <c r="B28350" s="4" t="s">
        <v>35706</v>
      </c>
      <c r="C28350" s="5" t="str">
        <f>IFERROR(__xludf.DUMMYFUNCTION("GOOGLETRANSLATE(B28350,""en"",""zh-CN"")"),"一个男人在锦标赛上投掷飞镖时，他非常努力地集中精力。")</f>
        <v>一个男人在锦标赛上投掷飞镖时，他非常努力地集中精力。</v>
      </c>
    </row>
    <row r="28351">
      <c r="A28351" s="4" t="s">
        <v>35705</v>
      </c>
      <c r="B28351" s="6" t="s">
        <v>35707</v>
      </c>
      <c r="C28351" s="5" t="str">
        <f>IFERROR(__xludf.DUMMYFUNCTION("GOOGLETRANSLATE(B28351,""en"",""zh-CN"")"),"当另一个人接近董事会并为他召集竞争时，人们为他加油和屏幕。")</f>
        <v>当另一个人接近董事会并为他召集竞争时，人们为他加油和屏幕。</v>
      </c>
    </row>
    <row r="28352">
      <c r="A28352" s="4" t="s">
        <v>35705</v>
      </c>
      <c r="B28352" s="6" t="s">
        <v>35708</v>
      </c>
      <c r="C28352" s="5" t="str">
        <f>IFERROR(__xludf.DUMMYFUNCTION("GOOGLETRANSLATE(B28352,""en"",""zh-CN"")"),"两者来回走动，但是第一个家伙似乎是球迷的最爱，最终赢得了比赛。")</f>
        <v>两者来回走动，但是第一个家伙似乎是球迷的最爱，最终赢得了比赛。</v>
      </c>
    </row>
    <row r="28353">
      <c r="A28353" s="4" t="s">
        <v>35709</v>
      </c>
      <c r="B28353" s="4" t="s">
        <v>35710</v>
      </c>
      <c r="C28353" s="5" t="str">
        <f>IFERROR(__xludf.DUMMYFUNCTION("GOOGLETRANSLATE(B28353,""en"",""zh-CN"")"),"一个男人坐在锻炼自行车上。")</f>
        <v>一个男人坐在锻炼自行车上。</v>
      </c>
    </row>
    <row r="28354">
      <c r="A28354" s="4" t="s">
        <v>35709</v>
      </c>
      <c r="B28354" s="4" t="s">
        <v>35711</v>
      </c>
      <c r="C28354" s="5" t="str">
        <f>IFERROR(__xludf.DUMMYFUNCTION("GOOGLETRANSLATE(B28354,""en"",""zh-CN"")"),"他正在骑自行车。")</f>
        <v>他正在骑自行车。</v>
      </c>
    </row>
    <row r="28355">
      <c r="A28355" s="4" t="s">
        <v>35709</v>
      </c>
      <c r="B28355" s="4" t="s">
        <v>35712</v>
      </c>
      <c r="C28355" s="5" t="str">
        <f>IFERROR(__xludf.DUMMYFUNCTION("GOOGLETRANSLATE(B28355,""en"",""zh-CN"")"),"他在锻炼时正在和镜头说话。")</f>
        <v>他在锻炼时正在和镜头说话。</v>
      </c>
    </row>
    <row r="28356">
      <c r="A28356" s="4" t="s">
        <v>35713</v>
      </c>
      <c r="B28356" s="4" t="s">
        <v>35714</v>
      </c>
      <c r="C28356" s="5" t="str">
        <f>IFERROR(__xludf.DUMMYFUNCTION("GOOGLETRANSLATE(B28356,""en"",""zh-CN"")"),"一群武术家和鼓手在街头比赛中表演。")</f>
        <v>一群武术家和鼓手在街头比赛中表演。</v>
      </c>
    </row>
    <row r="28357">
      <c r="A28357" s="4" t="s">
        <v>35713</v>
      </c>
      <c r="B28357" s="4" t="s">
        <v>35715</v>
      </c>
      <c r="C28357" s="5" t="str">
        <f>IFERROR(__xludf.DUMMYFUNCTION("GOOGLETRANSLATE(B28357,""en"",""zh-CN"")"),"穿着红色裤子和黑色衬衫的武术家确实踢和翻转。")</f>
        <v>穿着红色裤子和黑色衬衫的武术家确实踢和翻转。</v>
      </c>
    </row>
    <row r="28358">
      <c r="A28358" s="4" t="s">
        <v>35713</v>
      </c>
      <c r="B28358" s="4" t="s">
        <v>35716</v>
      </c>
      <c r="C28358" s="5" t="str">
        <f>IFERROR(__xludf.DUMMYFUNCTION("GOOGLETRANSLATE(B28358,""en"",""zh-CN"")"),"戴着所有黑色帽子的鼓手演奏鼓。")</f>
        <v>戴着所有黑色帽子的鼓手演奏鼓。</v>
      </c>
    </row>
    <row r="28359">
      <c r="A28359" s="4" t="s">
        <v>35713</v>
      </c>
      <c r="B28359" s="4" t="s">
        <v>35717</v>
      </c>
      <c r="C28359" s="5" t="str">
        <f>IFERROR(__xludf.DUMMYFUNCTION("GOOGLETRANSLATE(B28359,""en"",""zh-CN"")"),"表演者完成了他们的作品，人群为之鼓掌。")</f>
        <v>表演者完成了他们的作品，人群为之鼓掌。</v>
      </c>
    </row>
    <row r="28360">
      <c r="A28360" s="4" t="s">
        <v>35718</v>
      </c>
      <c r="B28360" s="4" t="s">
        <v>35719</v>
      </c>
      <c r="C28360" s="5" t="str">
        <f>IFERROR(__xludf.DUMMYFUNCTION("GOOGLETRANSLATE(B28360,""en"",""zh-CN"")"),"一个小男孩和女孩和母亲聊天。")</f>
        <v>一个小男孩和女孩和母亲聊天。</v>
      </c>
    </row>
    <row r="28361">
      <c r="A28361" s="4" t="s">
        <v>35718</v>
      </c>
      <c r="B28361" s="4" t="s">
        <v>35720</v>
      </c>
      <c r="C28361" s="5" t="str">
        <f>IFERROR(__xludf.DUMMYFUNCTION("GOOGLETRANSLATE(B28361,""en"",""zh-CN"")"),"母亲指示他们在笑时如何刷牙。")</f>
        <v>母亲指示他们在笑时如何刷牙。</v>
      </c>
    </row>
    <row r="28362">
      <c r="A28362" s="4" t="s">
        <v>35718</v>
      </c>
      <c r="B28362" s="4" t="s">
        <v>35721</v>
      </c>
      <c r="C28362" s="5" t="str">
        <f>IFERROR(__xludf.DUMMYFUNCTION("GOOGLETRANSLATE(B28362,""en"",""zh-CN"")"),"这个男孩帮助他的妹妹刷牙。")</f>
        <v>这个男孩帮助他的妹妹刷牙。</v>
      </c>
    </row>
    <row r="28363">
      <c r="A28363" s="4" t="s">
        <v>35718</v>
      </c>
      <c r="B28363" s="4" t="s">
        <v>35722</v>
      </c>
      <c r="C28363" s="5" t="str">
        <f>IFERROR(__xludf.DUMMYFUNCTION("GOOGLETRANSLATE(B28363,""en"",""zh-CN"")"),"她给他们一些水来漱口。")</f>
        <v>她给他们一些水来漱口。</v>
      </c>
    </row>
    <row r="28364">
      <c r="A28364" s="4" t="s">
        <v>35718</v>
      </c>
      <c r="B28364" s="4" t="s">
        <v>35723</v>
      </c>
      <c r="C28364" s="5" t="str">
        <f>IFERROR(__xludf.DUMMYFUNCTION("GOOGLETRANSLATE(B28364,""en"",""zh-CN"")"),"男孩和女孩开始在水槽里玩。")</f>
        <v>男孩和女孩开始在水槽里玩。</v>
      </c>
    </row>
    <row r="28365">
      <c r="A28365" s="4" t="s">
        <v>35718</v>
      </c>
      <c r="B28365" s="4" t="s">
        <v>35724</v>
      </c>
      <c r="C28365" s="5" t="str">
        <f>IFERROR(__xludf.DUMMYFUNCTION("GOOGLETRANSLATE(B28365,""en"",""zh-CN"")"),"那个女人嘲笑孩子们运球。")</f>
        <v>那个女人嘲笑孩子们运球。</v>
      </c>
    </row>
    <row r="28366">
      <c r="A28366" s="4" t="s">
        <v>35725</v>
      </c>
      <c r="B28366" s="4" t="s">
        <v>35726</v>
      </c>
      <c r="C28366" s="5" t="str">
        <f>IFERROR(__xludf.DUMMYFUNCTION("GOOGLETRANSLATE(B28366,""en"",""zh-CN"")"),"一个女人在外面吹着她的头发，景色很棒。")</f>
        <v>一个女人在外面吹着她的头发，景色很棒。</v>
      </c>
    </row>
    <row r="28367">
      <c r="A28367" s="4" t="s">
        <v>35725</v>
      </c>
      <c r="B28367" s="4" t="s">
        <v>35727</v>
      </c>
      <c r="C28367" s="5" t="str">
        <f>IFERROR(__xludf.DUMMYFUNCTION("GOOGLETRANSLATE(B28367,""en"",""zh-CN"")"),"有一群跑步者开始马拉松比赛。")</f>
        <v>有一群跑步者开始马拉松比赛。</v>
      </c>
    </row>
    <row r="28368">
      <c r="A28368" s="4" t="s">
        <v>35725</v>
      </c>
      <c r="B28368" s="4" t="s">
        <v>35728</v>
      </c>
      <c r="C28368" s="5" t="str">
        <f>IFERROR(__xludf.DUMMYFUNCTION("GOOGLETRANSLATE(B28368,""en"",""zh-CN"")"),"风景优美，美丽，花朵盛开，一切。")</f>
        <v>风景优美，美丽，花朵盛开，一切。</v>
      </c>
    </row>
    <row r="28369">
      <c r="A28369" s="4" t="s">
        <v>35725</v>
      </c>
      <c r="B28369" s="4" t="s">
        <v>35729</v>
      </c>
      <c r="C28369" s="5" t="str">
        <f>IFERROR(__xludf.DUMMYFUNCTION("GOOGLETRANSLATE(B28369,""en"",""zh-CN"")"),"一些跑步者与记者谈论他们的经历。")</f>
        <v>一些跑步者与记者谈论他们的经历。</v>
      </c>
    </row>
    <row r="28370">
      <c r="A28370" s="4" t="s">
        <v>35730</v>
      </c>
      <c r="B28370" s="4" t="s">
        <v>35731</v>
      </c>
      <c r="C28370" s="5" t="str">
        <f>IFERROR(__xludf.DUMMYFUNCTION("GOOGLETRANSLATE(B28370,""en"",""zh-CN"")"),"她的表演在舞台上非常优雅地与警棍跳舞。")</f>
        <v>她的表演在舞台上非常优雅地与警棍跳舞。</v>
      </c>
    </row>
    <row r="28371">
      <c r="A28371" s="4" t="s">
        <v>35730</v>
      </c>
      <c r="B28371" s="4" t="s">
        <v>35732</v>
      </c>
      <c r="C28371" s="5" t="str">
        <f>IFERROR(__xludf.DUMMYFUNCTION("GOOGLETRANSLATE(B28371,""en"",""zh-CN"")"),"她做了倒立和各种有趣的动作。")</f>
        <v>她做了倒立和各种有趣的动作。</v>
      </c>
    </row>
    <row r="28372">
      <c r="A28372" s="4" t="s">
        <v>35730</v>
      </c>
      <c r="B28372" s="4" t="s">
        <v>35733</v>
      </c>
      <c r="C28372" s="5" t="str">
        <f>IFERROR(__xludf.DUMMYFUNCTION("GOOGLETRANSLATE(B28372,""en"",""zh-CN"")"),"她将接力棒扔了出来，并及时进行了几个车轮和降落以捕捉它。")</f>
        <v>她将接力棒扔了出来，并及时进行了几个车轮和降落以捕捉它。</v>
      </c>
    </row>
    <row r="28373">
      <c r="A28373" s="4" t="s">
        <v>35730</v>
      </c>
      <c r="B28373" s="6" t="s">
        <v>35734</v>
      </c>
      <c r="C28373" s="5" t="str">
        <f>IFERROR(__xludf.DUMMYFUNCTION("GOOGLETRANSLATE(B28373,""en"",""zh-CN"")"),"她不小心丢下了接力棒，捡起它，继续不断地直到舞蹈结束。")</f>
        <v>她不小心丢下了接力棒，捡起它，继续不断地直到舞蹈结束。</v>
      </c>
    </row>
    <row r="28374">
      <c r="A28374" s="4" t="s">
        <v>35735</v>
      </c>
      <c r="B28374" s="4" t="s">
        <v>35736</v>
      </c>
      <c r="C28374" s="5" t="str">
        <f>IFERROR(__xludf.DUMMYFUNCTION("GOOGLETRANSLATE(B28374,""en"",""zh-CN"")"),"孩子在一个房间里打磨，在与镜头交谈。")</f>
        <v>孩子在一个房间里打磨，在与镜头交谈。</v>
      </c>
    </row>
    <row r="28375">
      <c r="A28375" s="4" t="s">
        <v>35735</v>
      </c>
      <c r="B28375" s="4" t="s">
        <v>35737</v>
      </c>
      <c r="C28375" s="5" t="str">
        <f>IFERROR(__xludf.DUMMYFUNCTION("GOOGLETRANSLATE(B28375,""en"",""zh-CN"")"),"Anoher Man出现在房间上，正在练习头锁。")</f>
        <v>Anoher Man出现在房间上，正在练习头锁。</v>
      </c>
    </row>
    <row r="28376">
      <c r="A28376" s="4" t="s">
        <v>35735</v>
      </c>
      <c r="B28376" s="4" t="s">
        <v>35738</v>
      </c>
      <c r="C28376" s="5" t="str">
        <f>IFERROR(__xludf.DUMMYFUNCTION("GOOGLETRANSLATE(B28376,""en"",""zh-CN"")"),"男人把孩子扔到床上，站着。")</f>
        <v>男人把孩子扔到床上，站着。</v>
      </c>
    </row>
    <row r="28377">
      <c r="A28377" s="4" t="s">
        <v>35739</v>
      </c>
      <c r="B28377" s="4" t="s">
        <v>35740</v>
      </c>
      <c r="C28377" s="5" t="str">
        <f>IFERROR(__xludf.DUMMYFUNCTION("GOOGLETRANSLATE(B28377,""en"",""zh-CN"")"),"显示了带有歌曲标题的开幕屏幕。")</f>
        <v>显示了带有歌曲标题的开幕屏幕。</v>
      </c>
    </row>
    <row r="28378">
      <c r="A28378" s="4" t="s">
        <v>35739</v>
      </c>
      <c r="B28378" s="4" t="s">
        <v>35741</v>
      </c>
      <c r="C28378" s="5" t="str">
        <f>IFERROR(__xludf.DUMMYFUNCTION("GOOGLETRANSLATE(B28378,""en"",""zh-CN"")"),"我们看到一个男人在唱片工作室里弹吉他。")</f>
        <v>我们看到一个男人在唱片工作室里弹吉他。</v>
      </c>
    </row>
    <row r="28379">
      <c r="A28379" s="4" t="s">
        <v>35739</v>
      </c>
      <c r="B28379" s="4" t="s">
        <v>35742</v>
      </c>
      <c r="C28379" s="5" t="str">
        <f>IFERROR(__xludf.DUMMYFUNCTION("GOOGLETRANSLATE(B28379,""en"",""zh-CN"")"),"我们在上面看到一个带有男人的YouTube频道地址的结尾屏幕。")</f>
        <v>我们在上面看到一个带有男人的YouTube频道地址的结尾屏幕。</v>
      </c>
    </row>
    <row r="28380">
      <c r="A28380" s="4" t="s">
        <v>35743</v>
      </c>
      <c r="B28380" s="4" t="s">
        <v>35744</v>
      </c>
      <c r="C28380" s="5" t="str">
        <f>IFERROR(__xludf.DUMMYFUNCTION("GOOGLETRANSLATE(B28380,""en"",""zh-CN"")"),"人正在跑步跑步，跳入灰尘。")</f>
        <v>人正在跑步跑步，跳入灰尘。</v>
      </c>
    </row>
    <row r="28381">
      <c r="A28381" s="4" t="s">
        <v>35743</v>
      </c>
      <c r="B28381" s="4" t="s">
        <v>35745</v>
      </c>
      <c r="C28381" s="5" t="str">
        <f>IFERROR(__xludf.DUMMYFUNCTION("GOOGLETRANSLATE(B28381,""en"",""zh-CN"")"),"女人正在将数字放在scoe板上。")</f>
        <v>女人正在将数字放在scoe板上。</v>
      </c>
    </row>
    <row r="28382">
      <c r="A28382" s="4" t="s">
        <v>35743</v>
      </c>
      <c r="B28382" s="4" t="s">
        <v>35746</v>
      </c>
      <c r="C28382" s="5" t="str">
        <f>IFERROR(__xludf.DUMMYFUNCTION("GOOGLETRANSLATE(B28382,""en"",""zh-CN"")"),"人在场的中间跑步。")</f>
        <v>人在场的中间跑步。</v>
      </c>
    </row>
    <row r="28383">
      <c r="A28383" s="4" t="s">
        <v>35747</v>
      </c>
      <c r="B28383" s="4" t="s">
        <v>35748</v>
      </c>
      <c r="C28383" s="5" t="str">
        <f>IFERROR(__xludf.DUMMYFUNCTION("GOOGLETRANSLATE(B28383,""en"",""zh-CN"")"),"两名男子在内部法庭上。")</f>
        <v>两名男子在内部法庭上。</v>
      </c>
    </row>
    <row r="28384">
      <c r="A28384" s="4" t="s">
        <v>35747</v>
      </c>
      <c r="B28384" s="4" t="s">
        <v>35749</v>
      </c>
      <c r="C28384" s="5" t="str">
        <f>IFERROR(__xludf.DUMMYFUNCTION("GOOGLETRANSLATE(B28384,""en"",""zh-CN"")"),"他们一起打壁球比赛。")</f>
        <v>他们一起打壁球比赛。</v>
      </c>
    </row>
    <row r="28385">
      <c r="A28385" s="4" t="s">
        <v>35747</v>
      </c>
      <c r="B28385" s="4" t="s">
        <v>35750</v>
      </c>
      <c r="C28385" s="5" t="str">
        <f>IFERROR(__xludf.DUMMYFUNCTION("GOOGLETRANSLATE(B28385,""en"",""zh-CN"")"),"他们轮流在墙上来回击球。")</f>
        <v>他们轮流在墙上来回击球。</v>
      </c>
    </row>
    <row r="28386">
      <c r="A28386" s="4" t="s">
        <v>35751</v>
      </c>
      <c r="B28386" s="4" t="s">
        <v>35752</v>
      </c>
      <c r="C28386" s="5" t="str">
        <f>IFERROR(__xludf.DUMMYFUNCTION("GOOGLETRANSLATE(B28386,""en"",""zh-CN"")"),"人们坐在汽车上。")</f>
        <v>人们坐在汽车上。</v>
      </c>
    </row>
    <row r="28387">
      <c r="A28387" s="4" t="s">
        <v>35751</v>
      </c>
      <c r="B28387" s="4" t="s">
        <v>35753</v>
      </c>
      <c r="C28387" s="5" t="str">
        <f>IFERROR(__xludf.DUMMYFUNCTION("GOOGLETRANSLATE(B28387,""en"",""zh-CN"")"),"他们站在大型充气筏周围。")</f>
        <v>他们站在大型充气筏周围。</v>
      </c>
    </row>
    <row r="28388">
      <c r="A28388" s="4" t="s">
        <v>35751</v>
      </c>
      <c r="B28388" s="4" t="s">
        <v>35754</v>
      </c>
      <c r="C28388" s="5" t="str">
        <f>IFERROR(__xludf.DUMMYFUNCTION("GOOGLETRANSLATE(B28388,""en"",""zh-CN"")"),"他们在河流的波涛汹涌的水中漂流。")</f>
        <v>他们在河流的波涛汹涌的水中漂流。</v>
      </c>
    </row>
    <row r="28389">
      <c r="A28389" s="4" t="s">
        <v>35755</v>
      </c>
      <c r="B28389" s="6" t="s">
        <v>35756</v>
      </c>
      <c r="C28389" s="5" t="str">
        <f>IFERROR(__xludf.DUMMYFUNCTION("GOOGLETRANSLATE(B28389,""en"",""zh-CN"")"),"各种各样的照片显示了人们挤在一起的人以及在海滩上踢足球的人。")</f>
        <v>各种各样的照片显示了人们挤在一起的人以及在海滩上踢足球的人。</v>
      </c>
    </row>
    <row r="28390">
      <c r="A28390" s="4" t="s">
        <v>35755</v>
      </c>
      <c r="B28390" s="6" t="s">
        <v>35757</v>
      </c>
      <c r="C28390" s="5" t="str">
        <f>IFERROR(__xludf.DUMMYFUNCTION("GOOGLETRANSLATE(B28390,""en"",""zh-CN"")"),"显示了更多人参加比赛的人以及一个男人接受奖杯并与他人一起庆祝。")</f>
        <v>显示了更多人参加比赛的人以及一个男人接受奖杯并与他人一起庆祝。</v>
      </c>
    </row>
    <row r="28391">
      <c r="A28391" s="4" t="s">
        <v>35758</v>
      </c>
      <c r="B28391" s="4" t="s">
        <v>35759</v>
      </c>
      <c r="C28391" s="5" t="str">
        <f>IFERROR(__xludf.DUMMYFUNCTION("GOOGLETRANSLATE(B28391,""en"",""zh-CN"")"),"一个摄像头围着一个坐在椅子上抽烟的女人躺在椅子上。")</f>
        <v>一个摄像头围着一个坐在椅子上抽烟的女人躺在椅子上。</v>
      </c>
    </row>
    <row r="28392">
      <c r="A28392" s="4" t="s">
        <v>35758</v>
      </c>
      <c r="B28392" s="4" t="s">
        <v>35760</v>
      </c>
      <c r="C28392" s="5" t="str">
        <f>IFERROR(__xludf.DUMMYFUNCTION("GOOGLETRANSLATE(B28392,""en"",""zh-CN"")"),"她在继续抽烟的同时，通过张开双腿说话并结束。")</f>
        <v>她在继续抽烟的同时，通过张开双腿说话并结束。</v>
      </c>
    </row>
    <row r="28393">
      <c r="A28393" s="4" t="s">
        <v>35761</v>
      </c>
      <c r="B28393" s="4" t="s">
        <v>35762</v>
      </c>
      <c r="C28393" s="5" t="str">
        <f>IFERROR(__xludf.DUMMYFUNCTION("GOOGLETRANSLATE(B28393,""en"",""zh-CN"")"),"女人戴着大帽子和微笑。")</f>
        <v>女人戴着大帽子和微笑。</v>
      </c>
    </row>
    <row r="28394">
      <c r="A28394" s="4" t="s">
        <v>35761</v>
      </c>
      <c r="B28394" s="6" t="s">
        <v>35763</v>
      </c>
      <c r="C28394" s="5" t="str">
        <f>IFERROR(__xludf.DUMMYFUNCTION("GOOGLETRANSLATE(B28394,""en"",""zh-CN"")"),"佩尔佩（Peolpe）在码头旁边的海中潜水，背上有袋子，并在地板上展示了鱼类和岩石。")</f>
        <v>佩尔佩（Peolpe）在码头旁边的海中潜水，背上有袋子，并在地板上展示了鱼类和岩石。</v>
      </c>
    </row>
    <row r="28395">
      <c r="A28395" s="4" t="s">
        <v>35764</v>
      </c>
      <c r="B28395" s="4" t="s">
        <v>35765</v>
      </c>
      <c r="C28395" s="5" t="str">
        <f>IFERROR(__xludf.DUMMYFUNCTION("GOOGLETRANSLATE(B28395,""en"",""zh-CN"")"),"一群十几岁的男孩在院子里。")</f>
        <v>一群十几岁的男孩在院子里。</v>
      </c>
    </row>
    <row r="28396">
      <c r="A28396" s="4" t="s">
        <v>35764</v>
      </c>
      <c r="B28396" s="4" t="s">
        <v>35766</v>
      </c>
      <c r="C28396" s="5" t="str">
        <f>IFERROR(__xludf.DUMMYFUNCTION("GOOGLETRANSLATE(B28396,""en"",""zh-CN"")"),"他们收集物资，然后点燃火。")</f>
        <v>他们收集物资，然后点燃火。</v>
      </c>
    </row>
    <row r="28397">
      <c r="A28397" s="4" t="s">
        <v>35764</v>
      </c>
      <c r="B28397" s="4" t="s">
        <v>35767</v>
      </c>
      <c r="C28397" s="5" t="str">
        <f>IFERROR(__xludf.DUMMYFUNCTION("GOOGLETRANSLATE(B28397,""en"",""zh-CN"")"),"他们开始来回踢一个燃烧的球。")</f>
        <v>他们开始来回踢一个燃烧的球。</v>
      </c>
    </row>
    <row r="28398">
      <c r="A28398" s="4" t="s">
        <v>35768</v>
      </c>
      <c r="B28398" s="4" t="s">
        <v>35769</v>
      </c>
      <c r="C28398" s="5" t="str">
        <f>IFERROR(__xludf.DUMMYFUNCTION("GOOGLETRANSLATE(B28398,""en"",""zh-CN"")"),"一个男孩坐在桌子后面。")</f>
        <v>一个男孩坐在桌子后面。</v>
      </c>
    </row>
    <row r="28399">
      <c r="A28399" s="4" t="s">
        <v>35768</v>
      </c>
      <c r="B28399" s="4" t="s">
        <v>35770</v>
      </c>
      <c r="C28399" s="5" t="str">
        <f>IFERROR(__xludf.DUMMYFUNCTION("GOOGLETRANSLATE(B28399,""en"",""zh-CN"")"),"他拿起啤酒，迅速喝一杯。")</f>
        <v>他拿起啤酒，迅速喝一杯。</v>
      </c>
    </row>
    <row r="28400">
      <c r="A28400" s="4" t="s">
        <v>35768</v>
      </c>
      <c r="B28400" s="4" t="s">
        <v>35771</v>
      </c>
      <c r="C28400" s="5" t="str">
        <f>IFERROR(__xludf.DUMMYFUNCTION("GOOGLETRANSLATE(B28400,""en"",""zh-CN"")"),"一个女人把它从他身上抓住。")</f>
        <v>一个女人把它从他身上抓住。</v>
      </c>
    </row>
    <row r="28401">
      <c r="A28401" s="4" t="s">
        <v>35772</v>
      </c>
      <c r="B28401" s="6" t="s">
        <v>35773</v>
      </c>
      <c r="C28401" s="5" t="str">
        <f>IFERROR(__xludf.DUMMYFUNCTION("GOOGLETRANSLATE(B28401,""en"",""zh-CN"")"),"显示了各种镀板食物的镜头，后面是一个三明治坐在桌子上，一个女人抱着锅。")</f>
        <v>显示了各种镀板食物的镜头，后面是一个三明治坐在桌子上，一个女人抱着锅。</v>
      </c>
    </row>
    <row r="28402">
      <c r="A28402" s="4" t="s">
        <v>35772</v>
      </c>
      <c r="B28402" s="6" t="s">
        <v>35774</v>
      </c>
      <c r="C28402" s="5" t="str">
        <f>IFERROR(__xludf.DUMMYFUNCTION("GOOGLETRANSLATE(B28402,""en"",""zh-CN"")"),"然后，该名女子将食材放在三明治面包上，将两者混合在一起，并多咬。")</f>
        <v>然后，该名女子将食材放在三明治面包上，将两者混合在一起，并多咬。</v>
      </c>
    </row>
    <row r="28403">
      <c r="A28403" s="4" t="s">
        <v>35775</v>
      </c>
      <c r="B28403" s="4" t="s">
        <v>35776</v>
      </c>
      <c r="C28403" s="5" t="str">
        <f>IFERROR(__xludf.DUMMYFUNCTION("GOOGLETRANSLATE(B28403,""en"",""zh-CN"")"),"看到一个女人在举起水桶和锅时在相机上说话。")</f>
        <v>看到一个女人在举起水桶和锅时在相机上说话。</v>
      </c>
    </row>
    <row r="28404">
      <c r="A28404" s="4" t="s">
        <v>35775</v>
      </c>
      <c r="B28404" s="4" t="s">
        <v>35777</v>
      </c>
      <c r="C28404" s="5" t="str">
        <f>IFERROR(__xludf.DUMMYFUNCTION("GOOGLETRANSLATE(B28404,""en"",""zh-CN"")"),"她将水从锅中倒入水桶中以及一些洗涤剂。")</f>
        <v>她将水从锅中倒入水桶中以及一些洗涤剂。</v>
      </c>
    </row>
    <row r="28405">
      <c r="A28405" s="4" t="s">
        <v>35775</v>
      </c>
      <c r="B28405" s="4" t="s">
        <v>35778</v>
      </c>
      <c r="C28405" s="5" t="str">
        <f>IFERROR(__xludf.DUMMYFUNCTION("GOOGLETRANSLATE(B28405,""en"",""zh-CN"")"),"然后，她不断地用水和牙刷在水桶里洗衣服。")</f>
        <v>然后，她不断地用水和牙刷在水桶里洗衣服。</v>
      </c>
    </row>
    <row r="28406">
      <c r="A28406" s="4" t="s">
        <v>35775</v>
      </c>
      <c r="B28406" s="4" t="s">
        <v>35779</v>
      </c>
      <c r="C28406" s="5" t="str">
        <f>IFERROR(__xludf.DUMMYFUNCTION("GOOGLETRANSLATE(B28406,""en"",""zh-CN"")"),"她把衣服放在最后，然后挂上衣服。")</f>
        <v>她把衣服放在最后，然后挂上衣服。</v>
      </c>
    </row>
    <row r="28407">
      <c r="A28407" s="4" t="s">
        <v>35780</v>
      </c>
      <c r="B28407" s="4" t="s">
        <v>35781</v>
      </c>
      <c r="C28407" s="5" t="str">
        <f>IFERROR(__xludf.DUMMYFUNCTION("GOOGLETRANSLATE(B28407,""en"",""zh-CN"")"),"三个人在工作室谈论新闻。")</f>
        <v>三个人在工作室谈论新闻。</v>
      </c>
    </row>
    <row r="28408">
      <c r="A28408" s="4" t="s">
        <v>35780</v>
      </c>
      <c r="B28408" s="6" t="s">
        <v>35782</v>
      </c>
      <c r="C28408" s="5" t="str">
        <f>IFERROR(__xludf.DUMMYFUNCTION("GOOGLETRANSLATE(B28408,""en"",""zh-CN"")"),"屏幕上显示了有关冰壶运动和儿童队在场上和得分的历史。")</f>
        <v>屏幕上显示了有关冰壶运动和儿童队在场上和得分的历史。</v>
      </c>
    </row>
    <row r="28409">
      <c r="A28409" s="4" t="s">
        <v>35780</v>
      </c>
      <c r="B28409" s="4" t="s">
        <v>35783</v>
      </c>
      <c r="C28409" s="5" t="str">
        <f>IFERROR(__xludf.DUMMYFUNCTION("GOOGLETRANSLATE(B28409,""en"",""zh-CN"")"),"回到工作室记者不断谈论历史。")</f>
        <v>回到工作室记者不断谈论历史。</v>
      </c>
    </row>
    <row r="28410">
      <c r="A28410" s="4" t="s">
        <v>35784</v>
      </c>
      <c r="B28410" s="4" t="s">
        <v>35785</v>
      </c>
      <c r="C28410" s="5" t="str">
        <f>IFERROR(__xludf.DUMMYFUNCTION("GOOGLETRANSLATE(B28410,""en"",""zh-CN"")"),"一个男人戴着防护头盖在沙发后面。")</f>
        <v>一个男人戴着防护头盖在沙发后面。</v>
      </c>
    </row>
    <row r="28411">
      <c r="A28411" s="4" t="s">
        <v>35784</v>
      </c>
      <c r="B28411" s="4" t="s">
        <v>35786</v>
      </c>
      <c r="C28411" s="5" t="str">
        <f>IFERROR(__xludf.DUMMYFUNCTION("GOOGLETRANSLATE(B28411,""en"",""zh-CN"")"),"他用塑料覆盖沙发，然后将其贴上胶带。")</f>
        <v>他用塑料覆盖沙发，然后将其贴上胶带。</v>
      </c>
    </row>
    <row r="28412">
      <c r="A28412" s="4" t="s">
        <v>35784</v>
      </c>
      <c r="B28412" s="4" t="s">
        <v>35787</v>
      </c>
      <c r="C28412" s="5" t="str">
        <f>IFERROR(__xludf.DUMMYFUNCTION("GOOGLETRANSLATE(B28412,""en"",""zh-CN"")"),"他与相机谈论自己的工作更长的时间。")</f>
        <v>他与相机谈论自己的工作更长的时间。</v>
      </c>
    </row>
    <row r="28413">
      <c r="A28413" s="4" t="s">
        <v>35788</v>
      </c>
      <c r="B28413" s="4" t="s">
        <v>35789</v>
      </c>
      <c r="C28413" s="5" t="str">
        <f>IFERROR(__xludf.DUMMYFUNCTION("GOOGLETRANSLATE(B28413,""en"",""zh-CN"")"),"我们在黑屏上看到蓝色字母，并看到屋顶。")</f>
        <v>我们在黑屏上看到蓝色字母，并看到屋顶。</v>
      </c>
    </row>
    <row r="28414">
      <c r="A28414" s="4" t="s">
        <v>35788</v>
      </c>
      <c r="B28414" s="4" t="s">
        <v>35790</v>
      </c>
      <c r="C28414" s="5" t="str">
        <f>IFERROR(__xludf.DUMMYFUNCTION("GOOGLETRANSLATE(B28414,""en"",""zh-CN"")"),"然后，我们切换到更多的字母，并用溶液喷洒了屋顶。")</f>
        <v>然后，我们切换到更多的字母，并用溶液喷洒了屋顶。</v>
      </c>
    </row>
    <row r="28415">
      <c r="A28415" s="4" t="s">
        <v>35788</v>
      </c>
      <c r="B28415" s="4" t="s">
        <v>35791</v>
      </c>
      <c r="C28415" s="5" t="str">
        <f>IFERROR(__xludf.DUMMYFUNCTION("GOOGLETRANSLATE(B28415,""en"",""zh-CN"")"),"我们被告知屋顶已经清洁并显示了干净的屋顶的镜头。")</f>
        <v>我们被告知屋顶已经清洁并显示了干净的屋顶的镜头。</v>
      </c>
    </row>
    <row r="28416">
      <c r="A28416" s="4" t="s">
        <v>35788</v>
      </c>
      <c r="B28416" s="4" t="s">
        <v>35792</v>
      </c>
      <c r="C28416" s="5" t="str">
        <f>IFERROR(__xludf.DUMMYFUNCTION("GOOGLETRANSLATE(B28416,""en"",""zh-CN"")"),"然后，我们看到房子的前部。")</f>
        <v>然后，我们看到房子的前部。</v>
      </c>
    </row>
    <row r="28417">
      <c r="A28417" s="4" t="s">
        <v>35788</v>
      </c>
      <c r="B28417" s="4" t="s">
        <v>35793</v>
      </c>
      <c r="C28417" s="5" t="str">
        <f>IFERROR(__xludf.DUMMYFUNCTION("GOOGLETRANSLATE(B28417,""en"",""zh-CN"")"),"我们提供了压力垫圈的电话号码。")</f>
        <v>我们提供了压力垫圈的电话号码。</v>
      </c>
    </row>
    <row r="28418">
      <c r="A28418" s="4" t="s">
        <v>35794</v>
      </c>
      <c r="B28418" s="4" t="s">
        <v>14504</v>
      </c>
      <c r="C28418" s="5" t="str">
        <f>IFERROR(__xludf.DUMMYFUNCTION("GOOGLETRANSLATE(B28418,""en"",""zh-CN"")"),"人们在海滩上打排球。")</f>
        <v>人们在海滩上打排球。</v>
      </c>
    </row>
    <row r="28419">
      <c r="A28419" s="4" t="s">
        <v>35794</v>
      </c>
      <c r="B28419" s="4" t="s">
        <v>35795</v>
      </c>
      <c r="C28419" s="5" t="str">
        <f>IFERROR(__xludf.DUMMYFUNCTION("GOOGLETRANSLATE(B28419,""en"",""zh-CN"")"),"球落在地面上，一个穿着红色短裤的家伙捡起它。")</f>
        <v>球落在地面上，一个穿着红色短裤的家伙捡起它。</v>
      </c>
    </row>
    <row r="28420">
      <c r="A28420" s="4" t="s">
        <v>35794</v>
      </c>
      <c r="B28420" s="4" t="s">
        <v>35796</v>
      </c>
      <c r="C28420" s="5" t="str">
        <f>IFERROR(__xludf.DUMMYFUNCTION("GOOGLETRANSLATE(B28420,""en"",""zh-CN"")"),"一个戴着黑帽子的男人为球服务。")</f>
        <v>一个戴着黑帽子的男人为球服务。</v>
      </c>
    </row>
    <row r="28421">
      <c r="A28421" s="4" t="s">
        <v>35797</v>
      </c>
      <c r="B28421" s="4" t="s">
        <v>35798</v>
      </c>
      <c r="C28421" s="5" t="str">
        <f>IFERROR(__xludf.DUMMYFUNCTION("GOOGLETRANSLATE(B28421,""en"",""zh-CN"")"),"一个人站在外面的草地中相对较低的草地。")</f>
        <v>一个人站在外面的草地中相对较低的草地。</v>
      </c>
    </row>
    <row r="28422">
      <c r="A28422" s="4" t="s">
        <v>35797</v>
      </c>
      <c r="B28422" s="6" t="s">
        <v>35799</v>
      </c>
      <c r="C28422" s="5" t="str">
        <f>IFERROR(__xludf.DUMMYFUNCTION("GOOGLETRANSLATE(B28422,""en"",""zh-CN"")"),"然而，他手中有一个镰刀，开始来回摆动，进一步砍伐草。")</f>
        <v>然而，他手中有一个镰刀，开始来回摆动，进一步砍伐草。</v>
      </c>
    </row>
    <row r="28423">
      <c r="A28423" s="4" t="s">
        <v>35797</v>
      </c>
      <c r="B28423" s="6" t="s">
        <v>35800</v>
      </c>
      <c r="C28423" s="5" t="str">
        <f>IFERROR(__xludf.DUMMYFUNCTION("GOOGLETRANSLATE(B28423,""en"",""zh-CN"")"),"当他剪切时，屏幕上出现了几条文字，上面写着白色单词，说明他在做什么并解释活动。")</f>
        <v>当他剪切时，屏幕上出现了几条文字，上面写着白色单词，说明他在做什么并解释活动。</v>
      </c>
    </row>
    <row r="28424">
      <c r="A28424" s="4" t="s">
        <v>35801</v>
      </c>
      <c r="B28424" s="6" t="s">
        <v>35802</v>
      </c>
      <c r="C28424" s="5" t="str">
        <f>IFERROR(__xludf.DUMMYFUNCTION("GOOGLETRANSLATE(B28424,""en"",""zh-CN"")"),"显示了一群美国奥运会击剑冠军参加了围栏，并在围栏上播放了图像和图形广告，这些图像和图形在纽约即将举行的围栏比赛中。")</f>
        <v>显示了一群美国奥运会击剑冠军参加了围栏，并在围栏上播放了图像和图形广告，这些图像和图形在纽约即将举行的围栏比赛中。</v>
      </c>
    </row>
    <row r="28425">
      <c r="A28425" s="4" t="s">
        <v>35801</v>
      </c>
      <c r="B28425" s="4" t="s">
        <v>35803</v>
      </c>
      <c r="C28425" s="5" t="str">
        <f>IFERROR(__xludf.DUMMYFUNCTION("GOOGLETRANSLATE(B28425,""en"",""zh-CN"")"),"击剑手的几张图像散布在击剑手走路的视频中。")</f>
        <v>击剑手的几张图像散布在击剑手走路的视频中。</v>
      </c>
    </row>
    <row r="28426">
      <c r="A28426" s="4" t="s">
        <v>35801</v>
      </c>
      <c r="B28426" s="4" t="s">
        <v>35804</v>
      </c>
      <c r="C28426" s="5" t="str">
        <f>IFERROR(__xludf.DUMMYFUNCTION("GOOGLETRANSLATE(B28426,""en"",""zh-CN"")"),"出现了一个女孩在她身后拿着美国国旗的女孩的形象。")</f>
        <v>出现了一个女孩在她身后拿着美国国旗的女孩的形象。</v>
      </c>
    </row>
    <row r="28427">
      <c r="A28427" s="4" t="s">
        <v>35801</v>
      </c>
      <c r="B28427" s="6" t="s">
        <v>35805</v>
      </c>
      <c r="C28427" s="5" t="str">
        <f>IFERROR(__xludf.DUMMYFUNCTION("GOOGLETRANSLATE(B28427,""en"",""zh-CN"")"),"在最终的营销图形上出现了围栏竞赛的更多静止图像和围栏竞赛的慢动作视频。")</f>
        <v>在最终的营销图形上出现了围栏竞赛的更多静止图像和围栏竞赛的慢动作视频。</v>
      </c>
    </row>
    <row r="28428">
      <c r="A28428" s="4" t="s">
        <v>35806</v>
      </c>
      <c r="B28428" s="4" t="s">
        <v>35807</v>
      </c>
      <c r="C28428" s="5" t="str">
        <f>IFERROR(__xludf.DUMMYFUNCTION("GOOGLETRANSLATE(B28428,""en"",""zh-CN"")"),"一名老年妇女靠在棕色枕头上。")</f>
        <v>一名老年妇女靠在棕色枕头上。</v>
      </c>
    </row>
    <row r="28429">
      <c r="A28429" s="4" t="s">
        <v>35806</v>
      </c>
      <c r="B28429" s="4" t="s">
        <v>35808</v>
      </c>
      <c r="C28429" s="5" t="str">
        <f>IFERROR(__xludf.DUMMYFUNCTION("GOOGLETRANSLATE(B28429,""en"",""zh-CN"")"),"她握着口琴并扮演。")</f>
        <v>她握着口琴并扮演。</v>
      </c>
    </row>
    <row r="28430">
      <c r="A28430" s="4" t="s">
        <v>35806</v>
      </c>
      <c r="B28430" s="4" t="s">
        <v>35809</v>
      </c>
      <c r="C28430" s="5" t="str">
        <f>IFERROR(__xludf.DUMMYFUNCTION("GOOGLETRANSLATE(B28430,""en"",""zh-CN"")"),"房间里的灯照亮了。")</f>
        <v>房间里的灯照亮了。</v>
      </c>
    </row>
    <row r="28431">
      <c r="A28431" s="4" t="s">
        <v>35806</v>
      </c>
      <c r="B28431" s="4" t="s">
        <v>35810</v>
      </c>
      <c r="C28431" s="5" t="str">
        <f>IFERROR(__xludf.DUMMYFUNCTION("GOOGLETRANSLATE(B28431,""en"",""zh-CN"")"),"她结束了比赛和笑。")</f>
        <v>她结束了比赛和笑。</v>
      </c>
    </row>
    <row r="28432">
      <c r="A28432" s="4" t="s">
        <v>35811</v>
      </c>
      <c r="B28432" s="4" t="s">
        <v>35812</v>
      </c>
      <c r="C28432" s="5" t="str">
        <f>IFERROR(__xludf.DUMMYFUNCTION("GOOGLETRANSLATE(B28432,""en"",""zh-CN"")"),"黑白队的几名球员正在竞技场打冰球。")</f>
        <v>黑白队的几名球员正在竞技场打冰球。</v>
      </c>
    </row>
    <row r="28433">
      <c r="A28433" s="4" t="s">
        <v>35811</v>
      </c>
      <c r="B28433" s="4" t="s">
        <v>35813</v>
      </c>
      <c r="C28433" s="5" t="str">
        <f>IFERROR(__xludf.DUMMYFUNCTION("GOOGLETRANSLATE(B28433,""en"",""zh-CN"")"),"黑人队的一名球员击中了冰球，远离对手。")</f>
        <v>黑人队的一名球员击中了冰球，远离对手。</v>
      </c>
    </row>
    <row r="28434">
      <c r="A28434" s="4" t="s">
        <v>35811</v>
      </c>
      <c r="B28434" s="4" t="s">
        <v>35814</v>
      </c>
      <c r="C28434" s="5" t="str">
        <f>IFERROR(__xludf.DUMMYFUNCTION("GOOGLETRANSLATE(B28434,""en"",""zh-CN"")"),"白人团队的球员试图阻止他达到目标。")</f>
        <v>白人团队的球员试图阻止他达到目标。</v>
      </c>
    </row>
    <row r="28435">
      <c r="A28435" s="4" t="s">
        <v>35811</v>
      </c>
      <c r="B28435" s="4" t="s">
        <v>35815</v>
      </c>
      <c r="C28435" s="5" t="str">
        <f>IFERROR(__xludf.DUMMYFUNCTION("GOOGLETRANSLATE(B28435,""en"",""zh-CN"")"),"游戏的动画版本显示在屏幕上。")</f>
        <v>游戏的动画版本显示在屏幕上。</v>
      </c>
    </row>
    <row r="28436">
      <c r="A28436" s="4" t="s">
        <v>35811</v>
      </c>
      <c r="B28436" s="6" t="s">
        <v>35816</v>
      </c>
      <c r="C28436" s="5" t="str">
        <f>IFERROR(__xludf.DUMMYFUNCTION("GOOGLETRANSLATE(B28436,""en"",""zh-CN"")"),"然后，重点重新放在了真实的比赛上，黑人球队球员在进球时被突出显示。")</f>
        <v>然后，重点重新放在了真实的比赛上，黑人球队球员在进球时被突出显示。</v>
      </c>
    </row>
    <row r="28437">
      <c r="A28437" s="4" t="s">
        <v>35811</v>
      </c>
      <c r="B28437" s="4" t="s">
        <v>35817</v>
      </c>
      <c r="C28437" s="5" t="str">
        <f>IFERROR(__xludf.DUMMYFUNCTION("GOOGLETRANSLATE(B28437,""en"",""zh-CN"")"),"同样，显示了另一个动画示例来解释游戏的工作原理。")</f>
        <v>同样，显示了另一个动画示例来解释游戏的工作原理。</v>
      </c>
    </row>
    <row r="28438">
      <c r="A28438" s="4" t="s">
        <v>35811</v>
      </c>
      <c r="B28438" s="4" t="s">
        <v>35818</v>
      </c>
      <c r="C28438" s="5" t="str">
        <f>IFERROR(__xludf.DUMMYFUNCTION("GOOGLETRANSLATE(B28438,""en"",""zh-CN"")"),"这位黑人队的球员在冰的另一个角落撞到了冰球。")</f>
        <v>这位黑人队的球员在冰的另一个角落撞到了冰球。</v>
      </c>
    </row>
    <row r="28439">
      <c r="A28439" s="4" t="s">
        <v>35811</v>
      </c>
      <c r="B28439" s="4" t="s">
        <v>35819</v>
      </c>
      <c r="C28439" s="5" t="str">
        <f>IFERROR(__xludf.DUMMYFUNCTION("GOOGLETRANSLATE(B28439,""en"",""zh-CN"")"),"随着黑人的行驶速度快进球，这会导致守门员摔倒。")</f>
        <v>随着黑人的行驶速度快进球，这会导致守门员摔倒。</v>
      </c>
    </row>
    <row r="28440">
      <c r="A28440" s="4" t="s">
        <v>35811</v>
      </c>
      <c r="B28440" s="4" t="s">
        <v>35820</v>
      </c>
      <c r="C28440" s="5" t="str">
        <f>IFERROR(__xludf.DUMMYFUNCTION("GOOGLETRANSLATE(B28440,""en"",""zh-CN"")"),"黑人队赢得了进球，并取得了比赛的胜利。")</f>
        <v>黑人队赢得了进球，并取得了比赛的胜利。</v>
      </c>
    </row>
    <row r="28441">
      <c r="A28441" s="4" t="s">
        <v>35821</v>
      </c>
      <c r="B28441" s="4" t="s">
        <v>35822</v>
      </c>
      <c r="C28441" s="5" t="str">
        <f>IFERROR(__xludf.DUMMYFUNCTION("GOOGLETRANSLATE(B28441,""en"",""zh-CN"")"),"相机在举重室铺设，并向许多在机器上工作的人。")</f>
        <v>相机在举重室铺设，并向许多在机器上工作的人。</v>
      </c>
    </row>
    <row r="28442">
      <c r="A28442" s="4" t="s">
        <v>35821</v>
      </c>
      <c r="B28442" s="4" t="s">
        <v>35823</v>
      </c>
      <c r="C28442" s="5" t="str">
        <f>IFERROR(__xludf.DUMMYFUNCTION("GOOGLETRANSLATE(B28442,""en"",""zh-CN"")"),"看到一个人在椭圆机上奔跑，而另一个人则在背面使用划船机。")</f>
        <v>看到一个人在椭圆机上奔跑，而另一个人则在背面使用划船机。</v>
      </c>
    </row>
    <row r="28443">
      <c r="A28443" s="4" t="s">
        <v>35824</v>
      </c>
      <c r="B28443" s="4" t="s">
        <v>35825</v>
      </c>
      <c r="C28443" s="5" t="str">
        <f>IFERROR(__xludf.DUMMYFUNCTION("GOOGLETRANSLATE(B28443,""en"",""zh-CN"")"),"一个人正在从汽车顶上铲雪。")</f>
        <v>一个人正在从汽车顶上铲雪。</v>
      </c>
    </row>
    <row r="28444">
      <c r="A28444" s="4" t="s">
        <v>35824</v>
      </c>
      <c r="B28444" s="4" t="s">
        <v>35826</v>
      </c>
      <c r="C28444" s="5" t="str">
        <f>IFERROR(__xludf.DUMMYFUNCTION("GOOGLETRANSLATE(B28444,""en"",""zh-CN"")"),"他在车上走来走去，开始铲土。")</f>
        <v>他在车上走来走去，开始铲土。</v>
      </c>
    </row>
    <row r="28445">
      <c r="A28445" s="4" t="s">
        <v>35827</v>
      </c>
      <c r="B28445" s="4" t="s">
        <v>35828</v>
      </c>
      <c r="C28445" s="5" t="str">
        <f>IFERROR(__xludf.DUMMYFUNCTION("GOOGLETRANSLATE(B28445,""en"",""zh-CN"")"),"一个人将保龄球扔下一条车道。")</f>
        <v>一个人将保龄球扔下一条车道。</v>
      </c>
    </row>
    <row r="28446">
      <c r="A28446" s="4" t="s">
        <v>35827</v>
      </c>
      <c r="B28446" s="4" t="s">
        <v>35829</v>
      </c>
      <c r="C28446" s="5" t="str">
        <f>IFERROR(__xludf.DUMMYFUNCTION("GOOGLETRANSLATE(B28446,""en"",""zh-CN"")"),"他们把别针击倒了。")</f>
        <v>他们把别针击倒了。</v>
      </c>
    </row>
    <row r="28447">
      <c r="A28447" s="4" t="s">
        <v>35827</v>
      </c>
      <c r="B28447" s="4" t="s">
        <v>35830</v>
      </c>
      <c r="C28447" s="5" t="str">
        <f>IFERROR(__xludf.DUMMYFUNCTION("GOOGLETRANSLATE(B28447,""en"",""zh-CN"")"),"他们将球扔在备用的地方，然后将所有销钉击倒。")</f>
        <v>他们将球扔在备用的地方，然后将所有销钉击倒。</v>
      </c>
    </row>
    <row r="28448">
      <c r="A28448" s="4" t="s">
        <v>35831</v>
      </c>
      <c r="B28448" s="4" t="s">
        <v>35832</v>
      </c>
      <c r="C28448" s="5" t="str">
        <f>IFERROR(__xludf.DUMMYFUNCTION("GOOGLETRANSLATE(B28448,""en"",""zh-CN"")"),"一个女人用肥皂洗衣服。")</f>
        <v>一个女人用肥皂洗衣服。</v>
      </c>
    </row>
    <row r="28449">
      <c r="A28449" s="4" t="s">
        <v>35831</v>
      </c>
      <c r="B28449" s="4" t="s">
        <v>35833</v>
      </c>
      <c r="C28449" s="5" t="str">
        <f>IFERROR(__xludf.DUMMYFUNCTION("GOOGLETRANSLATE(B28449,""en"",""zh-CN"")"),"那个女人把毛巾缠住了。")</f>
        <v>那个女人把毛巾缠住了。</v>
      </c>
    </row>
    <row r="28450">
      <c r="A28450" s="4" t="s">
        <v>35831</v>
      </c>
      <c r="B28450" s="4" t="s">
        <v>35834</v>
      </c>
      <c r="C28450" s="5" t="str">
        <f>IFERROR(__xludf.DUMMYFUNCTION("GOOGLETRANSLATE(B28450,""en"",""zh-CN"")"),"当女人继续洗衣服时，有人在背景中折叠。")</f>
        <v>当女人继续洗衣服时，有人在背景中折叠。</v>
      </c>
    </row>
    <row r="28451">
      <c r="A28451" s="4" t="s">
        <v>35835</v>
      </c>
      <c r="B28451" s="6" t="s">
        <v>35836</v>
      </c>
      <c r="C28451" s="5" t="str">
        <f>IFERROR(__xludf.DUMMYFUNCTION("GOOGLETRANSLATE(B28451,""en"",""zh-CN"")"),"一个戴着棒球帽，短裤和蓝色短袖衬衫的男子在网球场上在网球场上提供三个网球。")</f>
        <v>一个戴着棒球帽，短裤和蓝色短袖衬衫的男子在网球场上在网球场上提供三个网球。</v>
      </c>
    </row>
    <row r="28452">
      <c r="A28452" s="4" t="s">
        <v>35835</v>
      </c>
      <c r="B28452" s="4" t="s">
        <v>35837</v>
      </c>
      <c r="C28452" s="5" t="str">
        <f>IFERROR(__xludf.DUMMYFUNCTION("GOOGLETRANSLATE(B28452,""en"",""zh-CN"")"),"一个人自己在网球场上的男子为网球提供网球，上面有网球球拍。")</f>
        <v>一个人自己在网球场上的男子为网球提供网球，上面有网球球拍。</v>
      </c>
    </row>
    <row r="28453">
      <c r="A28453" s="4" t="s">
        <v>35835</v>
      </c>
      <c r="B28453" s="4" t="s">
        <v>35838</v>
      </c>
      <c r="C28453" s="5" t="str">
        <f>IFERROR(__xludf.DUMMYFUNCTION("GOOGLETRANSLATE(B28453,""en"",""zh-CN"")"),"然后，该男子在网上再提供两个球，球就落在另一侧。")</f>
        <v>然后，该男子在网上再提供两个球，球就落在另一侧。</v>
      </c>
    </row>
    <row r="28454">
      <c r="A28454" s="4" t="s">
        <v>35839</v>
      </c>
      <c r="B28454" s="4" t="s">
        <v>35840</v>
      </c>
      <c r="C28454" s="5" t="str">
        <f>IFERROR(__xludf.DUMMYFUNCTION("GOOGLETRANSLATE(B28454,""en"",""zh-CN"")"),"一名男运动员在赛道上跑步。")</f>
        <v>一名男运动员在赛道上跑步。</v>
      </c>
    </row>
    <row r="28455">
      <c r="A28455" s="4" t="s">
        <v>35839</v>
      </c>
      <c r="B28455" s="4" t="s">
        <v>35841</v>
      </c>
      <c r="C28455" s="5" t="str">
        <f>IFERROR(__xludf.DUMMYFUNCTION("GOOGLETRANSLATE(B28455,""en"",""zh-CN"")"),"他高高地跳入空中。")</f>
        <v>他高高地跳入空中。</v>
      </c>
    </row>
    <row r="28456">
      <c r="A28456" s="4" t="s">
        <v>35839</v>
      </c>
      <c r="B28456" s="4" t="s">
        <v>35842</v>
      </c>
      <c r="C28456" s="5" t="str">
        <f>IFERROR(__xludf.DUMMYFUNCTION("GOOGLETRANSLATE(B28456,""en"",""zh-CN"")"),"他在远光灯上向后跳动。")</f>
        <v>他在远光灯上向后跳动。</v>
      </c>
    </row>
    <row r="28457">
      <c r="A28457" s="4" t="s">
        <v>35839</v>
      </c>
      <c r="B28457" s="4" t="s">
        <v>35843</v>
      </c>
      <c r="C28457" s="5" t="str">
        <f>IFERROR(__xludf.DUMMYFUNCTION("GOOGLETRANSLATE(B28457,""en"",""zh-CN"")"),"这显示在慢动作中重复多次。")</f>
        <v>这显示在慢动作中重复多次。</v>
      </c>
    </row>
    <row r="28458">
      <c r="A28458" s="4" t="s">
        <v>35844</v>
      </c>
      <c r="B28458" s="4" t="s">
        <v>35845</v>
      </c>
      <c r="C28458" s="5" t="str">
        <f>IFERROR(__xludf.DUMMYFUNCTION("GOOGLETRANSLATE(B28458,""en"",""zh-CN"")"),"一个男人用吉他坐下。")</f>
        <v>一个男人用吉他坐下。</v>
      </c>
    </row>
    <row r="28459">
      <c r="A28459" s="4" t="s">
        <v>35844</v>
      </c>
      <c r="B28459" s="4" t="s">
        <v>35846</v>
      </c>
      <c r="C28459" s="5" t="str">
        <f>IFERROR(__xludf.DUMMYFUNCTION("GOOGLETRANSLATE(B28459,""en"",""zh-CN"")"),"该男子开始弹吉他。")</f>
        <v>该男子开始弹吉他。</v>
      </c>
    </row>
    <row r="28460">
      <c r="A28460" s="4" t="s">
        <v>35844</v>
      </c>
      <c r="B28460" s="4" t="s">
        <v>35847</v>
      </c>
      <c r="C28460" s="5" t="str">
        <f>IFERROR(__xludf.DUMMYFUNCTION("GOOGLETRANSLATE(B28460,""en"",""zh-CN"")"),"该男子在弹吉他时开始唱歌。")</f>
        <v>该男子在弹吉他时开始唱歌。</v>
      </c>
    </row>
    <row r="28461">
      <c r="A28461" s="4" t="s">
        <v>35844</v>
      </c>
      <c r="B28461" s="4" t="s">
        <v>35848</v>
      </c>
      <c r="C28461" s="5" t="str">
        <f>IFERROR(__xludf.DUMMYFUNCTION("GOOGLETRANSLATE(B28461,""en"",""zh-CN"")"),"该男子停止弹吉他，站起来，走向相机。")</f>
        <v>该男子停止弹吉他，站起来，走向相机。</v>
      </c>
    </row>
    <row r="28462">
      <c r="A28462" s="4" t="s">
        <v>35849</v>
      </c>
      <c r="B28462" s="4" t="s">
        <v>35850</v>
      </c>
      <c r="C28462" s="5" t="str">
        <f>IFERROR(__xludf.DUMMYFUNCTION("GOOGLETRANSLATE(B28462,""en"",""zh-CN"")"),"一个男人在城市广场上玩风笛，而没有人注意。")</f>
        <v>一个男人在城市广场上玩风笛，而没有人注意。</v>
      </c>
    </row>
    <row r="28463">
      <c r="A28463" s="4" t="s">
        <v>35849</v>
      </c>
      <c r="B28463" s="4" t="s">
        <v>35851</v>
      </c>
      <c r="C28463" s="5" t="str">
        <f>IFERROR(__xludf.DUMMYFUNCTION("GOOGLETRANSLATE(B28463,""en"",""zh-CN"")"),"警察告诉他停下来。")</f>
        <v>警察告诉他停下来。</v>
      </c>
    </row>
    <row r="28464">
      <c r="A28464" s="4" t="s">
        <v>35852</v>
      </c>
      <c r="B28464" s="4" t="s">
        <v>35853</v>
      </c>
      <c r="C28464" s="5" t="str">
        <f>IFERROR(__xludf.DUMMYFUNCTION("GOOGLETRANSLATE(B28464,""en"",""zh-CN"")"),"一个男孩慢慢地沿着一条小路奔跑。")</f>
        <v>一个男孩慢慢地沿着一条小路奔跑。</v>
      </c>
    </row>
    <row r="28465">
      <c r="A28465" s="4" t="s">
        <v>35852</v>
      </c>
      <c r="B28465" s="4" t="s">
        <v>35854</v>
      </c>
      <c r="C28465" s="5" t="str">
        <f>IFERROR(__xludf.DUMMYFUNCTION("GOOGLETRANSLATE(B28465,""en"",""zh-CN"")"),"他巨大的飞跃进入了空中。")</f>
        <v>他巨大的飞跃进入了空中。</v>
      </c>
    </row>
    <row r="28466">
      <c r="A28466" s="4" t="s">
        <v>35852</v>
      </c>
      <c r="B28466" s="4" t="s">
        <v>35855</v>
      </c>
      <c r="C28466" s="5" t="str">
        <f>IFERROR(__xludf.DUMMYFUNCTION("GOOGLETRANSLATE(B28466,""en"",""zh-CN"")"),"他降落在一个巨大的沙坑里。")</f>
        <v>他降落在一个巨大的沙坑里。</v>
      </c>
    </row>
    <row r="28467">
      <c r="A28467" s="4" t="s">
        <v>35856</v>
      </c>
      <c r="B28467" s="6" t="s">
        <v>35857</v>
      </c>
      <c r="C28467" s="5" t="str">
        <f>IFERROR(__xludf.DUMMYFUNCTION("GOOGLETRANSLATE(B28467,""en"",""zh-CN"")"),"看到一小群人在场上玩棒球比赛，并带来了更多的射击。")</f>
        <v>看到一小群人在场上玩棒球比赛，并带来了更多的射击。</v>
      </c>
    </row>
    <row r="28468">
      <c r="A28468" s="4" t="s">
        <v>35856</v>
      </c>
      <c r="B28468" s="6" t="s">
        <v>35858</v>
      </c>
      <c r="C28468" s="5" t="str">
        <f>IFERROR(__xludf.DUMMYFUNCTION("GOOGLETRANSLATE(B28468,""en"",""zh-CN"")"),"该视频继续进行，几个人击中并捕捉球，并在屏幕上以文字结束。")</f>
        <v>该视频继续进行，几个人击中并捕捉球，并在屏幕上以文字结束。</v>
      </c>
    </row>
    <row r="28469">
      <c r="A28469" s="4" t="s">
        <v>35859</v>
      </c>
      <c r="B28469" s="4" t="s">
        <v>35860</v>
      </c>
      <c r="C28469" s="5" t="str">
        <f>IFERROR(__xludf.DUMMYFUNCTION("GOOGLETRANSLATE(B28469,""en"",""zh-CN"")"),"一个男人和女人在壁球场上打球。")</f>
        <v>一个男人和女人在壁球场上打球。</v>
      </c>
    </row>
    <row r="28470">
      <c r="A28470" s="4" t="s">
        <v>35859</v>
      </c>
      <c r="B28470" s="4" t="s">
        <v>35861</v>
      </c>
      <c r="C28470" s="5" t="str">
        <f>IFERROR(__xludf.DUMMYFUNCTION("GOOGLETRANSLATE(B28470,""en"",""zh-CN"")"),"他们使用球拍，球，特殊鞋子和防护眼镜。")</f>
        <v>他们使用球拍，球，特殊鞋子和防护眼镜。</v>
      </c>
    </row>
    <row r="28471">
      <c r="A28471" s="4" t="s">
        <v>35859</v>
      </c>
      <c r="B28471" s="4" t="s">
        <v>35862</v>
      </c>
      <c r="C28471" s="5" t="str">
        <f>IFERROR(__xludf.DUMMYFUNCTION("GOOGLETRANSLATE(B28471,""en"",""zh-CN"")"),"他们展示了如何站立并击球。")</f>
        <v>他们展示了如何站立并击球。</v>
      </c>
    </row>
    <row r="28472">
      <c r="A28472" s="4" t="s">
        <v>35863</v>
      </c>
      <c r="B28472" s="4" t="s">
        <v>35864</v>
      </c>
      <c r="C28472" s="5" t="str">
        <f>IFERROR(__xludf.DUMMYFUNCTION("GOOGLETRANSLATE(B28472,""en"",""zh-CN"")"),"一个男孩站在音乐架后面演奏长笛。")</f>
        <v>一个男孩站在音乐架后面演奏长笛。</v>
      </c>
    </row>
    <row r="28473">
      <c r="A28473" s="4" t="s">
        <v>35863</v>
      </c>
      <c r="B28473" s="4" t="s">
        <v>35865</v>
      </c>
      <c r="C28473" s="5" t="str">
        <f>IFERROR(__xludf.DUMMYFUNCTION("GOOGLETRANSLATE(B28473,""en"",""zh-CN"")"),"他停止玩耍并微笑，然后走开。")</f>
        <v>他停止玩耍并微笑，然后走开。</v>
      </c>
    </row>
    <row r="28474">
      <c r="A28474" s="4" t="s">
        <v>35866</v>
      </c>
      <c r="B28474" s="4" t="s">
        <v>35867</v>
      </c>
      <c r="C28474" s="5" t="str">
        <f>IFERROR(__xludf.DUMMYFUNCTION("GOOGLETRANSLATE(B28474,""en"",""zh-CN"")"),"一个戴着帽子的女人在看台和谈话。")</f>
        <v>一个戴着帽子的女人在看台和谈话。</v>
      </c>
    </row>
    <row r="28475">
      <c r="A28475" s="4" t="s">
        <v>35866</v>
      </c>
      <c r="B28475" s="4" t="s">
        <v>35868</v>
      </c>
      <c r="C28475" s="5" t="str">
        <f>IFERROR(__xludf.DUMMYFUNCTION("GOOGLETRANSLATE(B28475,""en"",""zh-CN"")"),"她正在玩头发和聊天。")</f>
        <v>她正在玩头发和聊天。</v>
      </c>
    </row>
    <row r="28476">
      <c r="A28476" s="4" t="s">
        <v>35866</v>
      </c>
      <c r="B28476" s="4" t="s">
        <v>35869</v>
      </c>
      <c r="C28476" s="5" t="str">
        <f>IFERROR(__xludf.DUMMYFUNCTION("GOOGLETRANSLATE(B28476,""en"",""zh-CN"")"),"她的头发图片被插入。")</f>
        <v>她的头发图片被插入。</v>
      </c>
    </row>
    <row r="28477">
      <c r="A28477" s="4" t="s">
        <v>35870</v>
      </c>
      <c r="B28477" s="4" t="s">
        <v>35871</v>
      </c>
      <c r="C28477" s="5" t="str">
        <f>IFERROR(__xludf.DUMMYFUNCTION("GOOGLETRANSLATE(B28477,""en"",""zh-CN"")"),"一个比基尼的女孩正在露台上做呼啦圈。")</f>
        <v>一个比基尼的女孩正在露台上做呼啦圈。</v>
      </c>
    </row>
    <row r="28478">
      <c r="A28478" s="4" t="s">
        <v>35870</v>
      </c>
      <c r="B28478" s="4" t="s">
        <v>35872</v>
      </c>
      <c r="C28478" s="5" t="str">
        <f>IFERROR(__xludf.DUMMYFUNCTION("GOOGLETRANSLATE(B28478,""en"",""zh-CN"")"),"她大约几次旋转，似乎很开心。")</f>
        <v>她大约几次旋转，似乎很开心。</v>
      </c>
    </row>
    <row r="28479">
      <c r="A28479" s="4" t="s">
        <v>35870</v>
      </c>
      <c r="B28479" s="4" t="s">
        <v>35873</v>
      </c>
      <c r="C28479" s="5" t="str">
        <f>IFERROR(__xludf.DUMMYFUNCTION("GOOGLETRANSLATE(B28479,""en"",""zh-CN"")"),"来了，上下移动以使她保持在框架中。")</f>
        <v>来了，上下移动以使她保持在框架中。</v>
      </c>
    </row>
    <row r="28480">
      <c r="A28480" s="4" t="s">
        <v>35870</v>
      </c>
      <c r="B28480" s="4" t="s">
        <v>35874</v>
      </c>
      <c r="C28480" s="5" t="str">
        <f>IFERROR(__xludf.DUMMYFUNCTION("GOOGLETRANSLATE(B28480,""en"",""zh-CN"")"),"然后，它跳到另一个女孩，只显示了她的下半部分，因为呼啦圈在她周围旋转。")</f>
        <v>然后，它跳到另一个女孩，只显示了她的下半部分，因为呼啦圈在她周围旋转。</v>
      </c>
    </row>
    <row r="28481">
      <c r="A28481" s="4" t="s">
        <v>35870</v>
      </c>
      <c r="B28481" s="4" t="s">
        <v>35875</v>
      </c>
      <c r="C28481" s="5" t="str">
        <f>IFERROR(__xludf.DUMMYFUNCTION("GOOGLETRANSLATE(B28481,""en"",""zh-CN"")"),"另一个女孩几次在房子里跳舞。")</f>
        <v>另一个女孩几次在房子里跳舞。</v>
      </c>
    </row>
    <row r="28482">
      <c r="A28482" s="4" t="s">
        <v>35876</v>
      </c>
      <c r="B28482" s="6" t="s">
        <v>35877</v>
      </c>
      <c r="C28482" s="5" t="str">
        <f>IFERROR(__xludf.DUMMYFUNCTION("GOOGLETRANSLATE(B28482,""en"",""zh-CN"")"),"一大群人在玩一项运动的游戏中显示了几张镜头，而数百人则在侧面观看。")</f>
        <v>一大群人在玩一项运动的游戏中显示了几张镜头，而数百人则在侧面观看。</v>
      </c>
    </row>
    <row r="28483">
      <c r="A28483" s="4" t="s">
        <v>35876</v>
      </c>
      <c r="B28483" s="6" t="s">
        <v>35878</v>
      </c>
      <c r="C28483" s="5" t="str">
        <f>IFERROR(__xludf.DUMMYFUNCTION("GOOGLETRANSLATE(B28483,""en"",""zh-CN"")"),"在显示教练的特写镜头时，这些人继续在球场上跑来跑去，一个进球得分。")</f>
        <v>在显示教练的特写镜头时，这些人继续在球场上跑来跑去，一个进球得分。</v>
      </c>
    </row>
    <row r="28484">
      <c r="A28484" s="4" t="s">
        <v>35876</v>
      </c>
      <c r="B28484" s="4" t="s">
        <v>35879</v>
      </c>
      <c r="C28484" s="5" t="str">
        <f>IFERROR(__xludf.DUMMYFUNCTION("GOOGLETRANSLATE(B28484,""en"",""zh-CN"")"),"一个人跪下，其他人与球员握手。")</f>
        <v>一个人跪下，其他人与球员握手。</v>
      </c>
    </row>
    <row r="28485">
      <c r="A28485" s="4" t="s">
        <v>35880</v>
      </c>
      <c r="B28485" s="4" t="s">
        <v>35881</v>
      </c>
      <c r="C28485" s="5" t="str">
        <f>IFERROR(__xludf.DUMMYFUNCTION("GOOGLETRANSLATE(B28485,""en"",""zh-CN"")"),"一位戴着条纹上衣的女主厨在厨房里讲话。")</f>
        <v>一位戴着条纹上衣的女主厨在厨房里讲话。</v>
      </c>
    </row>
    <row r="28486">
      <c r="A28486" s="4" t="s">
        <v>35880</v>
      </c>
      <c r="B28486" s="6" t="s">
        <v>35882</v>
      </c>
      <c r="C28486" s="5" t="str">
        <f>IFERROR(__xludf.DUMMYFUNCTION("GOOGLETRANSLATE(B28486,""en"",""zh-CN"")"),"夫人厨师描述了所需的成分以及奶油海鲜面食的准备。")</f>
        <v>夫人厨师描述了所需的成分以及奶油海鲜面食的准备。</v>
      </c>
    </row>
    <row r="28487">
      <c r="A28487" s="4" t="s">
        <v>35880</v>
      </c>
      <c r="B28487" s="6" t="s">
        <v>35883</v>
      </c>
      <c r="C28487" s="5" t="str">
        <f>IFERROR(__xludf.DUMMYFUNCTION("GOOGLETRANSLATE(B28487,""en"",""zh-CN"")"),"夫人厨师展示了准备奶油海鲜面食菜肴的逐步过程，并显示了最终产品。")</f>
        <v>夫人厨师展示了准备奶油海鲜面食菜肴的逐步过程，并显示了最终产品。</v>
      </c>
    </row>
    <row r="28488">
      <c r="A28488" s="4" t="s">
        <v>35884</v>
      </c>
      <c r="B28488" s="4" t="s">
        <v>35885</v>
      </c>
      <c r="C28488" s="5" t="str">
        <f>IFERROR(__xludf.DUMMYFUNCTION("GOOGLETRANSLATE(B28488,""en"",""zh-CN"")"),"一个男人在养活他旁边的一匹马时，正在稳定地说话。")</f>
        <v>一个男人在养活他旁边的一匹马时，正在稳定地说话。</v>
      </c>
    </row>
    <row r="28489">
      <c r="A28489" s="4" t="s">
        <v>35884</v>
      </c>
      <c r="B28489" s="4" t="s">
        <v>35886</v>
      </c>
      <c r="C28489" s="5" t="str">
        <f>IFERROR(__xludf.DUMMYFUNCTION("GOOGLETRANSLATE(B28489,""en"",""zh-CN"")"),"他广泛谈论骑马的好处。")</f>
        <v>他广泛谈论骑马的好处。</v>
      </c>
    </row>
    <row r="28490">
      <c r="A28490" s="4" t="s">
        <v>35884</v>
      </c>
      <c r="B28490" s="4" t="s">
        <v>35887</v>
      </c>
      <c r="C28490" s="5" t="str">
        <f>IFERROR(__xludf.DUMMYFUNCTION("GOOGLETRANSLATE(B28490,""en"",""zh-CN"")"),"他将马鞍骑在马上。")</f>
        <v>他将马鞍骑在马上。</v>
      </c>
    </row>
    <row r="28491">
      <c r="A28491" s="4" t="s">
        <v>35884</v>
      </c>
      <c r="B28491" s="4" t="s">
        <v>35888</v>
      </c>
      <c r="C28491" s="5" t="str">
        <f>IFERROR(__xludf.DUMMYFUNCTION("GOOGLETRANSLATE(B28491,""en"",""zh-CN"")"),"然后，他带领这匹马出去，在继续讲话时给他喂了一个苹果。")</f>
        <v>然后，他带领这匹马出去，在继续讲话时给他喂了一个苹果。</v>
      </c>
    </row>
    <row r="28492">
      <c r="A28492" s="4" t="s">
        <v>35889</v>
      </c>
      <c r="B28492" s="4" t="s">
        <v>35890</v>
      </c>
      <c r="C28492" s="5" t="str">
        <f>IFERROR(__xludf.DUMMYFUNCTION("GOOGLETRANSLATE(B28492,""en"",""zh-CN"")"),"一个人站在一群绳子的人面前。")</f>
        <v>一个人站在一群绳子的人面前。</v>
      </c>
    </row>
    <row r="28493">
      <c r="A28493" s="4" t="s">
        <v>35889</v>
      </c>
      <c r="B28493" s="4" t="s">
        <v>35891</v>
      </c>
      <c r="C28493" s="5" t="str">
        <f>IFERROR(__xludf.DUMMYFUNCTION("GOOGLETRANSLATE(B28493,""en"",""zh-CN"")"),"该男子举起手臂，两支球队开始了一场拔河比赛。")</f>
        <v>该男子举起手臂，两支球队开始了一场拔河比赛。</v>
      </c>
    </row>
    <row r="28494">
      <c r="A28494" s="4" t="s">
        <v>35889</v>
      </c>
      <c r="B28494" s="4" t="s">
        <v>35892</v>
      </c>
      <c r="C28494" s="5" t="str">
        <f>IFERROR(__xludf.DUMMYFUNCTION("GOOGLETRANSLATE(B28494,""en"",""zh-CN"")"),"另一场拔河比赛发生在侧面，最后是男人站直。")</f>
        <v>另一场拔河比赛发生在侧面，最后是男人站直。</v>
      </c>
    </row>
    <row r="28495">
      <c r="A28495" s="4" t="s">
        <v>35893</v>
      </c>
      <c r="B28495" s="4" t="s">
        <v>35894</v>
      </c>
      <c r="C28495" s="5" t="str">
        <f>IFERROR(__xludf.DUMMYFUNCTION("GOOGLETRANSLATE(B28495,""en"",""zh-CN"")"),"我们看到一个女孩坐在一个穿孔的厅里，一位女士站在她附近。")</f>
        <v>我们看到一个女孩坐在一个穿孔的厅里，一位女士站在她附近。</v>
      </c>
    </row>
    <row r="28496">
      <c r="A28496" s="4" t="s">
        <v>35893</v>
      </c>
      <c r="B28496" s="4" t="s">
        <v>35895</v>
      </c>
      <c r="C28496" s="5" t="str">
        <f>IFERROR(__xludf.DUMMYFUNCTION("GOOGLETRANSLATE(B28496,""en"",""zh-CN"")"),"这位女士在女孩的嘴唇上剪了一个剪辑，并用嘴唇插入一根大针。")</f>
        <v>这位女士在女孩的嘴唇上剪了一个剪辑，并用嘴唇插入一根大针。</v>
      </c>
    </row>
    <row r="28497">
      <c r="A28497" s="4" t="s">
        <v>35893</v>
      </c>
      <c r="B28497" s="4" t="s">
        <v>35896</v>
      </c>
      <c r="C28497" s="5" t="str">
        <f>IFERROR(__xludf.DUMMYFUNCTION("GOOGLETRANSLATE(B28497,""en"",""zh-CN"")"),"这位女士将耳朵滑过女孩的嘴唇，并在上面放了一个消毒剂。")</f>
        <v>这位女士将耳朵滑过女孩的嘴唇，并在上面放了一个消毒剂。</v>
      </c>
    </row>
    <row r="28498">
      <c r="A28498" s="4" t="s">
        <v>35897</v>
      </c>
      <c r="B28498" s="4" t="s">
        <v>35898</v>
      </c>
      <c r="C28498" s="5" t="str">
        <f>IFERROR(__xludf.DUMMYFUNCTION("GOOGLETRANSLATE(B28498,""en"",""zh-CN"")"),"看到一个年轻的女孩在相机上说话，并在相机上拿起一瓶。")</f>
        <v>看到一个年轻的女孩在相机上说话，并在相机上拿起一瓶。</v>
      </c>
    </row>
    <row r="28499">
      <c r="A28499" s="4" t="s">
        <v>35897</v>
      </c>
      <c r="B28499" s="4" t="s">
        <v>35899</v>
      </c>
      <c r="C28499" s="5" t="str">
        <f>IFERROR(__xludf.DUMMYFUNCTION("GOOGLETRANSLATE(B28499,""en"",""zh-CN"")"),"然后，女孩开始画指甲并将其炫耀到相机上。")</f>
        <v>然后，女孩开始画指甲并将其炫耀到相机上。</v>
      </c>
    </row>
    <row r="28500">
      <c r="A28500" s="4" t="s">
        <v>35897</v>
      </c>
      <c r="B28500" s="4" t="s">
        <v>35900</v>
      </c>
      <c r="C28500" s="5" t="str">
        <f>IFERROR(__xludf.DUMMYFUNCTION("GOOGLETRANSLATE(B28500,""en"",""zh-CN"")"),"她继续画指甲，并为镜头做有趣的面孔。")</f>
        <v>她继续画指甲，并为镜头做有趣的面孔。</v>
      </c>
    </row>
    <row r="28501">
      <c r="A28501" s="4" t="s">
        <v>35901</v>
      </c>
      <c r="B28501" s="4" t="s">
        <v>35902</v>
      </c>
      <c r="C28501" s="5" t="str">
        <f>IFERROR(__xludf.DUMMYFUNCTION("GOOGLETRANSLATE(B28501,""en"",""zh-CN"")"),"一个人将地毯放在地板上。")</f>
        <v>一个人将地毯放在地板上。</v>
      </c>
    </row>
    <row r="28502">
      <c r="A28502" s="4" t="s">
        <v>35901</v>
      </c>
      <c r="B28502" s="4" t="s">
        <v>35903</v>
      </c>
      <c r="C28502" s="5" t="str">
        <f>IFERROR(__xludf.DUMMYFUNCTION("GOOGLETRANSLATE(B28502,""en"",""zh-CN"")"),"该男子测量垫片以适合角落。")</f>
        <v>该男子测量垫片以适合角落。</v>
      </c>
    </row>
    <row r="28503">
      <c r="A28503" s="4" t="s">
        <v>35901</v>
      </c>
      <c r="B28503" s="4" t="s">
        <v>35904</v>
      </c>
      <c r="C28503" s="5" t="str">
        <f>IFERROR(__xludf.DUMMYFUNCTION("GOOGLETRANSLATE(B28503,""en"",""zh-CN"")"),"之后，该人将条纹放在垫片的边界上，然后放地毯。")</f>
        <v>之后，该人将条纹放在垫片的边界上，然后放地毯。</v>
      </c>
    </row>
    <row r="28504">
      <c r="A28504" s="4" t="s">
        <v>35905</v>
      </c>
      <c r="B28504" s="4" t="s">
        <v>35906</v>
      </c>
      <c r="C28504" s="5" t="str">
        <f>IFERROR(__xludf.DUMMYFUNCTION("GOOGLETRANSLATE(B28504,""en"",""zh-CN"")"),"一个人拍摄了他滑雪和滑雪板的视频。")</f>
        <v>一个人拍摄了他滑雪和滑雪板的视频。</v>
      </c>
    </row>
    <row r="28505">
      <c r="A28505" s="4" t="s">
        <v>35905</v>
      </c>
      <c r="B28505" s="4" t="s">
        <v>35907</v>
      </c>
      <c r="C28505" s="5" t="str">
        <f>IFERROR(__xludf.DUMMYFUNCTION("GOOGLETRANSLATE(B28505,""en"",""zh-CN"")"),"他还穿过森林。")</f>
        <v>他还穿过森林。</v>
      </c>
    </row>
    <row r="28506">
      <c r="A28506" s="4" t="s">
        <v>35908</v>
      </c>
      <c r="B28506" s="4" t="s">
        <v>35909</v>
      </c>
      <c r="C28506" s="5" t="str">
        <f>IFERROR(__xludf.DUMMYFUNCTION("GOOGLETRANSLATE(B28506,""en"",""zh-CN"")"),"两名游泳者在高潜水平台上向前鞠躬。")</f>
        <v>两名游泳者在高潜水平台上向前鞠躬。</v>
      </c>
    </row>
    <row r="28507">
      <c r="A28507" s="4" t="s">
        <v>35908</v>
      </c>
      <c r="B28507" s="4" t="s">
        <v>35910</v>
      </c>
      <c r="C28507" s="5" t="str">
        <f>IFERROR(__xludf.DUMMYFUNCTION("GOOGLETRANSLATE(B28507,""en"",""zh-CN"")"),"潜水员从平台潜入水中。")</f>
        <v>潜水员从平台潜入水中。</v>
      </c>
    </row>
    <row r="28508">
      <c r="A28508" s="4" t="s">
        <v>35911</v>
      </c>
      <c r="B28508" s="6" t="s">
        <v>35912</v>
      </c>
      <c r="C28508" s="5" t="str">
        <f>IFERROR(__xludf.DUMMYFUNCTION("GOOGLETRANSLATE(B28508,""en"",""zh-CN"")"),"两个人在视频的开头介绍了自己，并告诉观众他们将谈论纹身。")</f>
        <v>两个人在视频的开头介绍了自己，并告诉观众他们将谈论纹身。</v>
      </c>
    </row>
    <row r="28509">
      <c r="A28509" s="4" t="s">
        <v>35911</v>
      </c>
      <c r="B28509" s="4" t="s">
        <v>35913</v>
      </c>
      <c r="C28509" s="5" t="str">
        <f>IFERROR(__xludf.DUMMYFUNCTION("GOOGLETRANSLATE(B28509,""en"",""zh-CN"")"),"其中一个人来到屏幕上，并提供了一些有关如何准备纹身的提示。")</f>
        <v>其中一个人来到屏幕上，并提供了一些有关如何准备纹身的提示。</v>
      </c>
    </row>
    <row r="28510">
      <c r="A28510" s="4" t="s">
        <v>35911</v>
      </c>
      <c r="B28510" s="4" t="s">
        <v>35914</v>
      </c>
      <c r="C28510" s="5" t="str">
        <f>IFERROR(__xludf.DUMMYFUNCTION("GOOGLETRANSLATE(B28510,""en"",""zh-CN"")"),"一个人的特写显示给某人纹身。")</f>
        <v>一个人的特写显示给某人纹身。</v>
      </c>
    </row>
    <row r="28511">
      <c r="A28511" s="4" t="s">
        <v>35911</v>
      </c>
      <c r="B28511" s="4" t="s">
        <v>35915</v>
      </c>
      <c r="C28511" s="5" t="str">
        <f>IFERROR(__xludf.DUMMYFUNCTION("GOOGLETRANSLATE(B28511,""en"",""zh-CN"")"),"在纹身过程中，几个客户在屏幕上显示了近距离。")</f>
        <v>在纹身过程中，几个客户在屏幕上显示了近距离。</v>
      </c>
    </row>
    <row r="28512">
      <c r="A28512" s="4" t="s">
        <v>35916</v>
      </c>
      <c r="B28512" s="6" t="s">
        <v>35917</v>
      </c>
      <c r="C28512" s="5" t="str">
        <f>IFERROR(__xludf.DUMMYFUNCTION("GOOGLETRANSLATE(B28512,""en"",""zh-CN"")"),"看到一个女人在冰上推一根冰球，然后人们在冰球前用扫帚刷冰。")</f>
        <v>看到一个女人在冰上推一根冰球，然后人们在冰球前用扫帚刷冰。</v>
      </c>
    </row>
    <row r="28513">
      <c r="A28513" s="4" t="s">
        <v>35916</v>
      </c>
      <c r="B28513" s="6" t="s">
        <v>35918</v>
      </c>
      <c r="C28513" s="5" t="str">
        <f>IFERROR(__xludf.DUMMYFUNCTION("GOOGLETRANSLATE(B28513,""en"",""zh-CN"")"),"他们不断地刷牙并以圆圈结束冰球，并以女人与其他人说话结束。")</f>
        <v>他们不断地刷牙并以圆圈结束冰球，并以女人与其他人说话结束。</v>
      </c>
    </row>
    <row r="28514">
      <c r="A28514" s="4" t="s">
        <v>35919</v>
      </c>
      <c r="B28514" s="6" t="s">
        <v>35920</v>
      </c>
      <c r="C28514" s="5" t="str">
        <f>IFERROR(__xludf.DUMMYFUNCTION("GOOGLETRANSLATE(B28514,""en"",""zh-CN"")"),"一个男人首先向一条腿旋转时向房间内的空手道敬意，然后向他致敬。")</f>
        <v>一个男人首先向一条腿旋转时向房间内的空手道敬意，然后向他致敬。</v>
      </c>
    </row>
    <row r="28515">
      <c r="A28515" s="4" t="s">
        <v>35919</v>
      </c>
      <c r="B28515" s="4" t="s">
        <v>35921</v>
      </c>
      <c r="C28515" s="5" t="str">
        <f>IFERROR(__xludf.DUMMYFUNCTION("GOOGLETRANSLATE(B28515,""en"",""zh-CN"")"),"雄性使交叉信号处于蹲下的位置，然后旋转身体。")</f>
        <v>雄性使交叉信号处于蹲下的位置，然后旋转身体。</v>
      </c>
    </row>
    <row r="28516">
      <c r="A28516" s="4" t="s">
        <v>35919</v>
      </c>
      <c r="B28516" s="4" t="s">
        <v>35922</v>
      </c>
      <c r="C28516" s="5" t="str">
        <f>IFERROR(__xludf.DUMMYFUNCTION("GOOGLETRANSLATE(B28516,""en"",""zh-CN"")"),"然后，跳跃和踢球时男人和男性战斗。")</f>
        <v>然后，跳跃和踢球时男人和男性战斗。</v>
      </c>
    </row>
    <row r="28517">
      <c r="A28517" s="4" t="s">
        <v>35919</v>
      </c>
      <c r="B28517" s="6" t="s">
        <v>35923</v>
      </c>
      <c r="C28517" s="5" t="str">
        <f>IFERROR(__xludf.DUMMYFUNCTION("GOOGLETRANSLATE(B28517,""en"",""zh-CN"")"),"之后，雄性用脚踢了男人的脸，并用手在地板上旋转，而男人则落在泡沫垫上。")</f>
        <v>之后，雄性用脚踢了男人的脸，并用手在地板上旋转，而男人则落在泡沫垫上。</v>
      </c>
    </row>
    <row r="28518">
      <c r="A28518" s="4" t="s">
        <v>35924</v>
      </c>
      <c r="B28518" s="4" t="s">
        <v>35925</v>
      </c>
      <c r="C28518" s="5" t="str">
        <f>IFERROR(__xludf.DUMMYFUNCTION("GOOGLETRANSLATE(B28518,""en"",""zh-CN"")"),"垫子的特写镜头被冰球包围，中间坐着一根棍子。")</f>
        <v>垫子的特写镜头被冰球包围，中间坐着一根棍子。</v>
      </c>
    </row>
    <row r="28519">
      <c r="A28519" s="4" t="s">
        <v>35924</v>
      </c>
      <c r="B28519" s="6" t="s">
        <v>35926</v>
      </c>
      <c r="C28519" s="5" t="str">
        <f>IFERROR(__xludf.DUMMYFUNCTION("GOOGLETRANSLATE(B28519,""en"",""zh-CN"")"),"相机向人们沿着冰上推冰的人，然后一个将冰球推入中间的人。")</f>
        <v>相机向人们沿着冰上推冰的人，然后一个将冰球推入中间的人。</v>
      </c>
    </row>
    <row r="28520">
      <c r="A28520" s="4" t="s">
        <v>35927</v>
      </c>
      <c r="B28520" s="4" t="s">
        <v>35928</v>
      </c>
      <c r="C28520" s="5" t="str">
        <f>IFERROR(__xludf.DUMMYFUNCTION("GOOGLETRANSLATE(B28520,""en"",""zh-CN"")"),"一个小男孩在他的帕哈玛（Pajamma）站在镜子里看着自己刷牙。")</f>
        <v>一个小男孩在他的帕哈玛（Pajamma）站在镜子里看着自己刷牙。</v>
      </c>
    </row>
    <row r="28521">
      <c r="A28521" s="4" t="s">
        <v>35927</v>
      </c>
      <c r="B28521" s="4" t="s">
        <v>35929</v>
      </c>
      <c r="C28521" s="5" t="str">
        <f>IFERROR(__xludf.DUMMYFUNCTION("GOOGLETRANSLATE(B28521,""en"",""zh-CN"")"),"他向前移动一点，吐出一些牙膏。")</f>
        <v>他向前移动一点，吐出一些牙膏。</v>
      </c>
    </row>
    <row r="28522">
      <c r="A28522" s="4" t="s">
        <v>35927</v>
      </c>
      <c r="B28522" s="6" t="s">
        <v>35930</v>
      </c>
      <c r="C28522" s="5" t="str">
        <f>IFERROR(__xludf.DUMMYFUNCTION("GOOGLETRANSLATE(B28522,""en"",""zh-CN"")"),"然后继续刷牙，他将牙刷放下，抓住一杯水，然后吐出来。")</f>
        <v>然后继续刷牙，他将牙刷放下，抓住一杯水，然后吐出来。</v>
      </c>
    </row>
    <row r="28523">
      <c r="A28523" s="4" t="s">
        <v>35927</v>
      </c>
      <c r="B28523" s="6" t="s">
        <v>35931</v>
      </c>
      <c r="C28523" s="5" t="str">
        <f>IFERROR(__xludf.DUMMYFUNCTION("GOOGLETRANSLATE(B28523,""en"",""zh-CN"")"),"他发现这很有趣，然后一遍又一遍地做到这一点，直到水杯空了，然后他从凳子上下来，用毛巾清洁脸。")</f>
        <v>他发现这很有趣，然后一遍又一遍地做到这一点，直到水杯空了，然后他从凳子上下来，用毛巾清洁脸。</v>
      </c>
    </row>
    <row r="28524">
      <c r="A28524" s="4" t="s">
        <v>35932</v>
      </c>
      <c r="B28524" s="4" t="s">
        <v>35933</v>
      </c>
      <c r="C28524" s="5" t="str">
        <f>IFERROR(__xludf.DUMMYFUNCTION("GOOGLETRANSLATE(B28524,""en"",""zh-CN"")"),"屏幕上出现了一些文字，询问了有关潜水安全性主题的问题。")</f>
        <v>屏幕上出现了一些文字，询问了有关潜水安全性主题的问题。</v>
      </c>
    </row>
    <row r="28525">
      <c r="A28525" s="4" t="s">
        <v>35932</v>
      </c>
      <c r="B28525" s="6" t="s">
        <v>35934</v>
      </c>
      <c r="C28525" s="5" t="str">
        <f>IFERROR(__xludf.DUMMYFUNCTION("GOOGLETRANSLATE(B28525,""en"",""zh-CN"")"),"场景变化以显示许多水肺空气箱和更多文本，以更多地解释有关该问题的信息。")</f>
        <v>场景变化以显示许多水肺空气箱和更多文本，以更多地解释有关该问题的信息。</v>
      </c>
    </row>
    <row r="28526">
      <c r="A28526" s="4" t="s">
        <v>35932</v>
      </c>
      <c r="B28526" s="6" t="s">
        <v>35935</v>
      </c>
      <c r="C28526" s="5" t="str">
        <f>IFERROR(__xludf.DUMMYFUNCTION("GOOGLETRANSLATE(B28526,""en"",""zh-CN"")"),"一个人在水下潜水，同时将空气坦克握在手中，文字继续解释。")</f>
        <v>一个人在水下潜水，同时将空气坦克握在手中，文字继续解释。</v>
      </c>
    </row>
    <row r="28527">
      <c r="A28527" s="4" t="s">
        <v>35932</v>
      </c>
      <c r="B28527" s="4" t="s">
        <v>35936</v>
      </c>
      <c r="C28527" s="5" t="str">
        <f>IFERROR(__xludf.DUMMYFUNCTION("GOOGLETRANSLATE(B28527,""en"",""zh-CN"")"),"可以看到空气罐在海床上漂浮。")</f>
        <v>可以看到空气罐在海床上漂浮。</v>
      </c>
    </row>
    <row r="28528">
      <c r="A28528" s="4" t="s">
        <v>35932</v>
      </c>
      <c r="B28528" s="4" t="s">
        <v>35937</v>
      </c>
      <c r="C28528" s="5" t="str">
        <f>IFERROR(__xludf.DUMMYFUNCTION("GOOGLETRANSLATE(B28528,""en"",""zh-CN"")"),"另一个人是水肺潜水，他放开坦克表现出浮力。")</f>
        <v>另一个人是水肺潜水，他放开坦克表现出浮力。</v>
      </c>
    </row>
    <row r="28529">
      <c r="A28529" s="4" t="s">
        <v>35932</v>
      </c>
      <c r="B28529" s="4" t="s">
        <v>35938</v>
      </c>
      <c r="C28529" s="5" t="str">
        <f>IFERROR(__xludf.DUMMYFUNCTION("GOOGLETRANSLATE(B28529,""en"",""zh-CN"")"),"场景切换回空气坦克组，并提供了更多文字解释。")</f>
        <v>场景切换回空气坦克组，并提供了更多文字解释。</v>
      </c>
    </row>
    <row r="28530">
      <c r="A28530" s="4" t="s">
        <v>35932</v>
      </c>
      <c r="B28530" s="4" t="s">
        <v>35939</v>
      </c>
      <c r="C28530" s="5" t="str">
        <f>IFERROR(__xludf.DUMMYFUNCTION("GOOGLETRANSLATE(B28530,""en"",""zh-CN"")"),"另一个场景显示了2个坦克和一个袋子旁边的树木。")</f>
        <v>另一个场景显示了2个坦克和一个袋子旁边的树木。</v>
      </c>
    </row>
    <row r="28531">
      <c r="A28531" s="4" t="s">
        <v>35940</v>
      </c>
      <c r="B28531" s="4" t="s">
        <v>35941</v>
      </c>
      <c r="C28531" s="5" t="str">
        <f>IFERROR(__xludf.DUMMYFUNCTION("GOOGLETRANSLATE(B28531,""en"",""zh-CN"")"),"一个男人坐在旷野的一些岩石上，拿着小刀。")</f>
        <v>一个男人坐在旷野的一些岩石上，拿着小刀。</v>
      </c>
    </row>
    <row r="28532">
      <c r="A28532" s="4" t="s">
        <v>35940</v>
      </c>
      <c r="B28532" s="4" t="s">
        <v>35942</v>
      </c>
      <c r="C28532" s="5" t="str">
        <f>IFERROR(__xludf.DUMMYFUNCTION("GOOGLETRANSLATE(B28532,""en"",""zh-CN"")"),"然后，他从流动的河中拿起一块小石头，将其砸在另一个石头上。")</f>
        <v>然后，他从流动的河中拿起一块小石头，将其砸在另一个石头上。</v>
      </c>
    </row>
    <row r="28533">
      <c r="A28533" s="4" t="s">
        <v>35940</v>
      </c>
      <c r="B28533" s="4" t="s">
        <v>35943</v>
      </c>
      <c r="C28533" s="5" t="str">
        <f>IFERROR(__xludf.DUMMYFUNCTION("GOOGLETRANSLATE(B28533,""en"",""zh-CN"")"),"他开始将小石头粉碎成小块。")</f>
        <v>他开始将小石头粉碎成小块。</v>
      </c>
    </row>
    <row r="28534">
      <c r="A28534" s="4" t="s">
        <v>35940</v>
      </c>
      <c r="B28534" s="4" t="s">
        <v>35944</v>
      </c>
      <c r="C28534" s="5" t="str">
        <f>IFERROR(__xludf.DUMMYFUNCTION("GOOGLETRANSLATE(B28534,""en"",""zh-CN"")"),"他很难使碎片变得更小。")</f>
        <v>他很难使碎片变得更小。</v>
      </c>
    </row>
    <row r="28535">
      <c r="A28535" s="4" t="s">
        <v>35940</v>
      </c>
      <c r="B28535" s="4" t="s">
        <v>35945</v>
      </c>
      <c r="C28535" s="5" t="str">
        <f>IFERROR(__xludf.DUMMYFUNCTION("GOOGLETRANSLATE(B28535,""en"",""zh-CN"")"),"然后，他取了一块树皮，将动力的石块擦在上面。")</f>
        <v>然后，他取了一块树皮，将动力的石块擦在上面。</v>
      </c>
    </row>
    <row r="28536">
      <c r="A28536" s="4" t="s">
        <v>35940</v>
      </c>
      <c r="B28536" s="4" t="s">
        <v>35946</v>
      </c>
      <c r="C28536" s="5" t="str">
        <f>IFERROR(__xludf.DUMMYFUNCTION("GOOGLETRANSLATE(B28536,""en"",""zh-CN"")"),"石头颗粒粘在湿木头上。")</f>
        <v>石头颗粒粘在湿木头上。</v>
      </c>
    </row>
    <row r="28537">
      <c r="A28537" s="4" t="s">
        <v>35940</v>
      </c>
      <c r="B28537" s="4" t="s">
        <v>35947</v>
      </c>
      <c r="C28537" s="5" t="str">
        <f>IFERROR(__xludf.DUMMYFUNCTION("GOOGLETRANSLATE(B28537,""en"",""zh-CN"")"),"然后，他拿起刀，将其磨在木头上。")</f>
        <v>然后，他拿起刀，将其磨在木头上。</v>
      </c>
    </row>
    <row r="28538">
      <c r="A28538" s="4" t="s">
        <v>35940</v>
      </c>
      <c r="B28538" s="4" t="s">
        <v>35948</v>
      </c>
      <c r="C28538" s="5" t="str">
        <f>IFERROR(__xludf.DUMMYFUNCTION("GOOGLETRANSLATE(B28538,""en"",""zh-CN"")"),"然后，他注意到坐在他旁边的一只黑色和绿色有毒的青蛙。")</f>
        <v>然后，他注意到坐在他旁边的一只黑色和绿色有毒的青蛙。</v>
      </c>
    </row>
    <row r="28539">
      <c r="A28539" s="4" t="s">
        <v>35940</v>
      </c>
      <c r="B28539" s="4" t="s">
        <v>35949</v>
      </c>
      <c r="C28539" s="5" t="str">
        <f>IFERROR(__xludf.DUMMYFUNCTION("GOOGLETRANSLATE(B28539,""en"",""zh-CN"")"),"然后，青蛙逃脱并跳了起来。")</f>
        <v>然后，青蛙逃脱并跳了起来。</v>
      </c>
    </row>
    <row r="28540">
      <c r="A28540" s="4" t="s">
        <v>35940</v>
      </c>
      <c r="B28540" s="4" t="s">
        <v>35950</v>
      </c>
      <c r="C28540" s="5" t="str">
        <f>IFERROR(__xludf.DUMMYFUNCTION("GOOGLETRANSLATE(B28540,""en"",""zh-CN"")"),"他解释了青蛙如何分泌一种可能非常有害的有毒液体。")</f>
        <v>他解释了青蛙如何分泌一种可能非常有害的有毒液体。</v>
      </c>
    </row>
    <row r="28541">
      <c r="A28541" s="4" t="s">
        <v>35951</v>
      </c>
      <c r="B28541" s="4" t="s">
        <v>35952</v>
      </c>
      <c r="C28541" s="5" t="str">
        <f>IFERROR(__xludf.DUMMYFUNCTION("GOOGLETRANSLATE(B28541,""en"",""zh-CN"")"),"我们看到一个粉红色的打开屏幕。")</f>
        <v>我们看到一个粉红色的打开屏幕。</v>
      </c>
    </row>
    <row r="28542">
      <c r="A28542" s="4" t="s">
        <v>35951</v>
      </c>
      <c r="B28542" s="4" t="s">
        <v>35953</v>
      </c>
      <c r="C28542" s="5" t="str">
        <f>IFERROR(__xludf.DUMMYFUNCTION("GOOGLETRANSLATE(B28542,""en"",""zh-CN"")"),"我们看到一位女士刷两匹马。")</f>
        <v>我们看到一位女士刷两匹马。</v>
      </c>
    </row>
    <row r="28543">
      <c r="A28543" s="4" t="s">
        <v>35951</v>
      </c>
      <c r="B28543" s="4" t="s">
        <v>35954</v>
      </c>
      <c r="C28543" s="5" t="str">
        <f>IFERROR(__xludf.DUMMYFUNCTION("GOOGLETRANSLATE(B28543,""en"",""zh-CN"")"),"那位女士清洁了棕色马蹄。")</f>
        <v>那位女士清洁了棕色马蹄。</v>
      </c>
    </row>
    <row r="28544">
      <c r="A28544" s="4" t="s">
        <v>35951</v>
      </c>
      <c r="B28544" s="4" t="s">
        <v>35955</v>
      </c>
      <c r="C28544" s="5" t="str">
        <f>IFERROR(__xludf.DUMMYFUNCTION("GOOGLETRANSLATE(B28544,""en"",""zh-CN"")"),"那位女士在白色和棕褐色马上清洗蹄。")</f>
        <v>那位女士在白色和棕褐色马上清洗蹄。</v>
      </c>
    </row>
    <row r="28545">
      <c r="A28545" s="4" t="s">
        <v>35951</v>
      </c>
      <c r="B28545" s="4" t="s">
        <v>35956</v>
      </c>
      <c r="C28545" s="5" t="str">
        <f>IFERROR(__xludf.DUMMYFUNCTION("GOOGLETRANSLATE(B28545,""en"",""zh-CN"")"),"女士在两匹马上刷鬃毛。")</f>
        <v>女士在两匹马上刷鬃毛。</v>
      </c>
    </row>
    <row r="28546">
      <c r="A28546" s="4" t="s">
        <v>35951</v>
      </c>
      <c r="B28546" s="4" t="s">
        <v>35957</v>
      </c>
      <c r="C28546" s="5" t="str">
        <f>IFERROR(__xludf.DUMMYFUNCTION("GOOGLETRANSLATE(B28546,""en"",""zh-CN"")"),"那位女士放下了补给。")</f>
        <v>那位女士放下了补给。</v>
      </c>
    </row>
    <row r="28547">
      <c r="A28547" s="4" t="s">
        <v>35951</v>
      </c>
      <c r="B28547" s="4" t="s">
        <v>777</v>
      </c>
      <c r="C28547" s="5" t="str">
        <f>IFERROR(__xludf.DUMMYFUNCTION("GOOGLETRANSLATE(B28547,""en"",""zh-CN"")"),"我们看到结尾标题屏幕。")</f>
        <v>我们看到结尾标题屏幕。</v>
      </c>
    </row>
    <row r="28548">
      <c r="A28548" s="4" t="s">
        <v>35951</v>
      </c>
      <c r="B28548" s="4" t="s">
        <v>35958</v>
      </c>
      <c r="C28548" s="5" t="str">
        <f>IFERROR(__xludf.DUMMYFUNCTION("GOOGLETRANSLATE(B28548,""en"",""zh-CN"")"),"我们看到黑白静止的马匹图像。")</f>
        <v>我们看到黑白静止的马匹图像。</v>
      </c>
    </row>
    <row r="28549">
      <c r="A28549" s="4" t="s">
        <v>35951</v>
      </c>
      <c r="B28549" s="4" t="s">
        <v>35959</v>
      </c>
      <c r="C28549" s="5" t="str">
        <f>IFERROR(__xludf.DUMMYFUNCTION("GOOGLETRANSLATE(B28549,""en"",""zh-CN"")"),"我们看到那位女士再次刷了棕色马。")</f>
        <v>我们看到那位女士再次刷了棕色马。</v>
      </c>
    </row>
    <row r="28550">
      <c r="A28550" s="4" t="s">
        <v>35960</v>
      </c>
      <c r="B28550" s="4" t="s">
        <v>35961</v>
      </c>
      <c r="C28550" s="5" t="str">
        <f>IFERROR(__xludf.DUMMYFUNCTION("GOOGLETRANSLATE(B28550,""en"",""zh-CN"")"),"一群孩子乘坐碰碰车。")</f>
        <v>一群孩子乘坐碰碰车。</v>
      </c>
    </row>
    <row r="28551">
      <c r="A28551" s="4" t="s">
        <v>35960</v>
      </c>
      <c r="B28551" s="4" t="s">
        <v>35962</v>
      </c>
      <c r="C28551" s="5" t="str">
        <f>IFERROR(__xludf.DUMMYFUNCTION("GOOGLETRANSLATE(B28551,""en"",""zh-CN"")"),"他们在赛道上来回走动。")</f>
        <v>他们在赛道上来回走动。</v>
      </c>
    </row>
    <row r="28552">
      <c r="A28552" s="4" t="s">
        <v>35960</v>
      </c>
      <c r="B28552" s="4" t="s">
        <v>35963</v>
      </c>
      <c r="C28552" s="5" t="str">
        <f>IFERROR(__xludf.DUMMYFUNCTION("GOOGLETRANSLATE(B28552,""en"",""zh-CN"")"),"他们互相碰到，微笑着大笑。")</f>
        <v>他们互相碰到，微笑着大笑。</v>
      </c>
    </row>
    <row r="28553">
      <c r="A28553" s="4" t="s">
        <v>35964</v>
      </c>
      <c r="B28553" s="4" t="s">
        <v>35965</v>
      </c>
      <c r="C28553" s="5" t="str">
        <f>IFERROR(__xludf.DUMMYFUNCTION("GOOGLETRANSLATE(B28553,""en"",""zh-CN"")"),"展示了雪山，人们正在沿着山脉持有滑雪板。")</f>
        <v>展示了雪山，人们正在沿着山脉持有滑雪板。</v>
      </c>
    </row>
    <row r="28554">
      <c r="A28554" s="4" t="s">
        <v>35964</v>
      </c>
      <c r="B28554" s="4" t="s">
        <v>35966</v>
      </c>
      <c r="C28554" s="5" t="str">
        <f>IFERROR(__xludf.DUMMYFUNCTION("GOOGLETRANSLATE(B28554,""en"",""zh-CN"")"),"显示了一个带孩子玩耍的雪地。")</f>
        <v>显示了一个带孩子玩耍的雪地。</v>
      </c>
    </row>
    <row r="28555">
      <c r="A28555" s="4" t="s">
        <v>35964</v>
      </c>
      <c r="B28555" s="4" t="s">
        <v>35967</v>
      </c>
      <c r="C28555" s="5" t="str">
        <f>IFERROR(__xludf.DUMMYFUNCTION("GOOGLETRANSLATE(B28555,""en"",""zh-CN"")"),"马正在玩玩具飞机。")</f>
        <v>马正在玩玩具飞机。</v>
      </c>
    </row>
    <row r="28556">
      <c r="A28556" s="4" t="s">
        <v>35964</v>
      </c>
      <c r="B28556" s="6" t="s">
        <v>35968</v>
      </c>
      <c r="C28556" s="5" t="str">
        <f>IFERROR(__xludf.DUMMYFUNCTION("GOOGLETRANSLATE(B28556,""en"",""zh-CN"")"),"进行单板滑雪的人们正带着红色的小腿和烟火在山上。")</f>
        <v>进行单板滑雪的人们正带着红色的小腿和烟火在山上。</v>
      </c>
    </row>
    <row r="28557">
      <c r="A28557" s="4" t="s">
        <v>35969</v>
      </c>
      <c r="B28557" s="4" t="s">
        <v>1251</v>
      </c>
      <c r="C28557" s="5" t="str">
        <f>IFERROR(__xludf.DUMMYFUNCTION("GOOGLETRANSLATE(B28557,""en"",""zh-CN"")"),"显示了剪辑的信用。")</f>
        <v>显示了剪辑的信用。</v>
      </c>
    </row>
    <row r="28558">
      <c r="A28558" s="4" t="s">
        <v>35969</v>
      </c>
      <c r="B28558" s="4" t="s">
        <v>35970</v>
      </c>
      <c r="C28558" s="5" t="str">
        <f>IFERROR(__xludf.DUMMYFUNCTION("GOOGLETRANSLATE(B28558,""en"",""zh-CN"")"),"显示产品的不同尺寸。")</f>
        <v>显示产品的不同尺寸。</v>
      </c>
    </row>
    <row r="28559">
      <c r="A28559" s="4" t="s">
        <v>35969</v>
      </c>
      <c r="B28559" s="6" t="s">
        <v>35971</v>
      </c>
      <c r="C28559" s="5" t="str">
        <f>IFERROR(__xludf.DUMMYFUNCTION("GOOGLETRANSLATE(B28559,""en"",""zh-CN"")"),"该家伙将产品倒在容器中，并使用刷子将液体放在金属物体的表面上。")</f>
        <v>该家伙将产品倒在容器中，并使用刷子将液体放在金属物体的表面上。</v>
      </c>
    </row>
    <row r="28560">
      <c r="A28560" s="4" t="s">
        <v>35969</v>
      </c>
      <c r="B28560" s="4" t="s">
        <v>35972</v>
      </c>
      <c r="C28560" s="5" t="str">
        <f>IFERROR(__xludf.DUMMYFUNCTION("GOOGLETRANSLATE(B28560,""en"",""zh-CN"")"),"那家伙把白布放在边缘。")</f>
        <v>那家伙把白布放在边缘。</v>
      </c>
    </row>
    <row r="28561">
      <c r="A28561" s="4" t="s">
        <v>35969</v>
      </c>
      <c r="B28561" s="4" t="s">
        <v>35973</v>
      </c>
      <c r="C28561" s="5" t="str">
        <f>IFERROR(__xludf.DUMMYFUNCTION("GOOGLETRANSLATE(B28561,""en"",""zh-CN"")"),"这个家伙反复穿过白布。")</f>
        <v>这个家伙反复穿过白布。</v>
      </c>
    </row>
    <row r="28562">
      <c r="A28562" s="4" t="s">
        <v>35969</v>
      </c>
      <c r="B28562" s="4" t="s">
        <v>573</v>
      </c>
      <c r="C28562" s="5" t="str">
        <f>IFERROR(__xludf.DUMMYFUNCTION("GOOGLETRANSLATE(B28562,""en"",""zh-CN"")"),"显示了视频的积分。")</f>
        <v>显示了视频的积分。</v>
      </c>
    </row>
    <row r="28563">
      <c r="A28563" s="4" t="s">
        <v>35974</v>
      </c>
      <c r="B28563" s="4" t="s">
        <v>35975</v>
      </c>
      <c r="C28563" s="5" t="str">
        <f>IFERROR(__xludf.DUMMYFUNCTION("GOOGLETRANSLATE(B28563,""en"",""zh-CN"")"),"绘画显示了几张绘画工具和用品的图片。")</f>
        <v>绘画显示了几张绘画工具和用品的图片。</v>
      </c>
    </row>
    <row r="28564">
      <c r="A28564" s="4" t="s">
        <v>35974</v>
      </c>
      <c r="B28564" s="6" t="s">
        <v>35976</v>
      </c>
      <c r="C28564" s="5" t="str">
        <f>IFERROR(__xludf.DUMMYFUNCTION("GOOGLETRANSLATE(B28564,""en"",""zh-CN"")"),"然后，一个人的手开始在绘画上贴上痕迹，并将刷子连续浸入油漆中。")</f>
        <v>然后，一个人的手开始在绘画上贴上痕迹，并将刷子连续浸入油漆中。</v>
      </c>
    </row>
    <row r="28565">
      <c r="A28565" s="4" t="s">
        <v>35974</v>
      </c>
      <c r="B28565" s="4" t="s">
        <v>35977</v>
      </c>
      <c r="C28565" s="5" t="str">
        <f>IFERROR(__xludf.DUMMYFUNCTION("GOOGLETRANSLATE(B28565,""en"",""zh-CN"")"),"摄像机向下竖起完成的图片，并在屏幕上显示了文本。")</f>
        <v>摄像机向下竖起完成的图片，并在屏幕上显示了文本。</v>
      </c>
    </row>
    <row r="28566">
      <c r="A28566" s="4" t="s">
        <v>35978</v>
      </c>
      <c r="B28566" s="6" t="s">
        <v>35979</v>
      </c>
      <c r="C28566" s="5" t="str">
        <f>IFERROR(__xludf.DUMMYFUNCTION("GOOGLETRANSLATE(B28566,""en"",""zh-CN"")"),"看到一个女人和狗一起在后院玩飞盘，并与狗一起表演了多个技巧。")</f>
        <v>看到一个女人和狗一起在后院玩飞盘，并与狗一起表演了多个技巧。</v>
      </c>
    </row>
    <row r="28567">
      <c r="A28567" s="4" t="s">
        <v>35978</v>
      </c>
      <c r="B28567" s="4" t="s">
        <v>35980</v>
      </c>
      <c r="C28567" s="5" t="str">
        <f>IFERROR(__xludf.DUMMYFUNCTION("GOOGLETRANSLATE(B28567,""en"",""zh-CN"")"),"当另一个人在侧面看时，她不断与狗玩几个玩具。")</f>
        <v>当另一个人在侧面看时，她不断与狗玩几个玩具。</v>
      </c>
    </row>
    <row r="28568">
      <c r="A28568" s="4" t="s">
        <v>35981</v>
      </c>
      <c r="B28568" s="4" t="s">
        <v>35982</v>
      </c>
      <c r="C28568" s="5" t="str">
        <f>IFERROR(__xludf.DUMMYFUNCTION("GOOGLETRANSLATE(B28568,""en"",""zh-CN"")"),"晚期的一名高加索妇女坐在客厅沙发上。")</f>
        <v>晚期的一名高加索妇女坐在客厅沙发上。</v>
      </c>
    </row>
    <row r="28569">
      <c r="A28569" s="4" t="s">
        <v>35981</v>
      </c>
      <c r="B28569" s="6" t="s">
        <v>35983</v>
      </c>
      <c r="C28569" s="5" t="str">
        <f>IFERROR(__xludf.DUMMYFUNCTION("GOOGLETRANSLATE(B28569,""en"",""zh-CN"")"),"她伸出腿时，她戴着袜子在左脚上，然后继续穿上左脚的网球鞋。")</f>
        <v>她伸出腿时，她戴着袜子在左脚上，然后继续穿上左脚的网球鞋。</v>
      </c>
    </row>
    <row r="28570">
      <c r="A28570" s="4" t="s">
        <v>35981</v>
      </c>
      <c r="B28570" s="4" t="s">
        <v>35984</v>
      </c>
      <c r="C28570" s="5" t="str">
        <f>IFERROR(__xludf.DUMMYFUNCTION("GOOGLETRANSLATE(B28570,""en"",""zh-CN"")"),"当她继续系上鞋子时，她感到不适，这是她坐在奥斯曼帝国上的。")</f>
        <v>当她继续系上鞋子时，她感到不适，这是她坐在奥斯曼帝国上的。</v>
      </c>
    </row>
    <row r="28571">
      <c r="A28571" s="4" t="s">
        <v>35981</v>
      </c>
      <c r="B28571" s="6" t="s">
        <v>35985</v>
      </c>
      <c r="C28571" s="5" t="str">
        <f>IFERROR(__xludf.DUMMYFUNCTION("GOOGLETRANSLATE(B28571,""en"",""zh-CN"")"),"她休息一下，然后继续穿上右鞋，在绑着鞋子的同时，她将右脚靠在脚踏车上。")</f>
        <v>她休息一下，然后继续穿上右鞋，在绑着鞋子的同时，她将右脚靠在脚踏车上。</v>
      </c>
    </row>
    <row r="28572">
      <c r="A28572" s="4" t="s">
        <v>35981</v>
      </c>
      <c r="B28572" s="6" t="s">
        <v>35986</v>
      </c>
      <c r="C28572" s="5" t="str">
        <f>IFERROR(__xludf.DUMMYFUNCTION("GOOGLETRANSLATE(B28572,""en"",""zh-CN"")"),"满足和疲惫的女人坐在沙发上，握住她的大肚子，因为她完成了穿上正确的鞋子的任务。")</f>
        <v>满足和疲惫的女人坐在沙发上，握住她的大肚子，因为她完成了穿上正确的鞋子的任务。</v>
      </c>
    </row>
    <row r="28573">
      <c r="A28573" s="4" t="s">
        <v>35987</v>
      </c>
      <c r="B28573" s="4" t="s">
        <v>35988</v>
      </c>
      <c r="C28573" s="5" t="str">
        <f>IFERROR(__xludf.DUMMYFUNCTION("GOOGLETRANSLATE(B28573,""en"",""zh-CN"")"),"一个拿着球拍的人站在壁球场上与镜头交谈。")</f>
        <v>一个拿着球拍的人站在壁球场上与镜头交谈。</v>
      </c>
    </row>
    <row r="28574">
      <c r="A28574" s="4" t="s">
        <v>35987</v>
      </c>
      <c r="B28574" s="4" t="s">
        <v>35989</v>
      </c>
      <c r="C28574" s="5" t="str">
        <f>IFERROR(__xludf.DUMMYFUNCTION("GOOGLETRANSLATE(B28574,""en"",""zh-CN"")"),"该男子弹跳并抓住一个蓝色的球。")</f>
        <v>该男子弹跳并抓住一个蓝色的球。</v>
      </c>
    </row>
    <row r="28575">
      <c r="A28575" s="4" t="s">
        <v>35987</v>
      </c>
      <c r="B28575" s="4" t="s">
        <v>35990</v>
      </c>
      <c r="C28575" s="5" t="str">
        <f>IFERROR(__xludf.DUMMYFUNCTION("GOOGLETRANSLATE(B28575,""en"",""zh-CN"")"),"然后，那个男人将球从后墙击中并抓住。")</f>
        <v>然后，那个男人将球从后墙击中并抓住。</v>
      </c>
    </row>
    <row r="28576">
      <c r="A28576" s="4" t="s">
        <v>35987</v>
      </c>
      <c r="B28576" s="4" t="s">
        <v>35991</v>
      </c>
      <c r="C28576" s="5" t="str">
        <f>IFERROR(__xludf.DUMMYFUNCTION("GOOGLETRANSLATE(B28576,""en"",""zh-CN"")"),"然后，男人站着并与镜头交谈。")</f>
        <v>然后，男人站着并与镜头交谈。</v>
      </c>
    </row>
    <row r="28577">
      <c r="A28577" s="4" t="s">
        <v>35992</v>
      </c>
      <c r="B28577" s="4" t="s">
        <v>35993</v>
      </c>
      <c r="C28577" s="5" t="str">
        <f>IFERROR(__xludf.DUMMYFUNCTION("GOOGLETRANSLATE(B28577,""en"",""zh-CN"")"),"看到一小群人站在田野周围，涉及人民。")</f>
        <v>看到一小群人站在田野周围，涉及人民。</v>
      </c>
    </row>
    <row r="28578">
      <c r="A28578" s="4" t="s">
        <v>35992</v>
      </c>
      <c r="B28578" s="6" t="s">
        <v>35994</v>
      </c>
      <c r="C28578" s="5" t="str">
        <f>IFERROR(__xludf.DUMMYFUNCTION("GOOGLETRANSLATE(B28578,""en"",""zh-CN"")"),"然后，玩家开始曲棍球比赛，彼此之间的比赛，并在场地上奔跑。")</f>
        <v>然后，玩家开始曲棍球比赛，彼此之间的比赛，并在场地上奔跑。</v>
      </c>
    </row>
    <row r="28579">
      <c r="A28579" s="4" t="s">
        <v>35995</v>
      </c>
      <c r="B28579" s="4" t="s">
        <v>35996</v>
      </c>
      <c r="C28579" s="5" t="str">
        <f>IFERROR(__xludf.DUMMYFUNCTION("GOOGLETRANSLATE(B28579,""en"",""zh-CN"")"),"有两个穿着黄色衬衫的人在完成的地下室里打乒乓球。")</f>
        <v>有两个穿着黄色衬衫的人在完成的地下室里打乒乓球。</v>
      </c>
    </row>
    <row r="28580">
      <c r="A28580" s="4" t="s">
        <v>35995</v>
      </c>
      <c r="B28580" s="4" t="s">
        <v>35997</v>
      </c>
      <c r="C28580" s="5" t="str">
        <f>IFERROR(__xludf.DUMMYFUNCTION("GOOGLETRANSLATE(B28580,""en"",""zh-CN"")"),"他们旁边有三个人坐在他们看足球电视的沙发上。")</f>
        <v>他们旁边有三个人坐在他们看足球电视的沙发上。</v>
      </c>
    </row>
    <row r="28581">
      <c r="A28581" s="4" t="s">
        <v>35995</v>
      </c>
      <c r="B28581" s="4" t="s">
        <v>35998</v>
      </c>
      <c r="C28581" s="5" t="str">
        <f>IFERROR(__xludf.DUMMYFUNCTION("GOOGLETRANSLATE(B28581,""en"",""zh-CN"")"),"另一个坐在沙发上的人正在手机上玩。")</f>
        <v>另一个坐在沙发上的人正在手机上玩。</v>
      </c>
    </row>
    <row r="28582">
      <c r="A28582" s="4" t="s">
        <v>35995</v>
      </c>
      <c r="B28582" s="4" t="s">
        <v>35999</v>
      </c>
      <c r="C28582" s="5" t="str">
        <f>IFERROR(__xludf.DUMMYFUNCTION("GOOGLETRANSLATE(B28582,""en"",""zh-CN"")"),"两名球员继续打乒乓球。")</f>
        <v>两名球员继续打乒乓球。</v>
      </c>
    </row>
    <row r="28583">
      <c r="A28583" s="4" t="s">
        <v>35995</v>
      </c>
      <c r="B28583" s="4" t="s">
        <v>36000</v>
      </c>
      <c r="C28583" s="5" t="str">
        <f>IFERROR(__xludf.DUMMYFUNCTION("GOOGLETRANSLATE(B28583,""en"",""zh-CN"")"),"右侧的球员击中了对手的球，以快速的方式返回。")</f>
        <v>右侧的球员击中了对手的球，以快速的方式返回。</v>
      </c>
    </row>
    <row r="28584">
      <c r="A28584" s="4" t="s">
        <v>35995</v>
      </c>
      <c r="B28584" s="4" t="s">
        <v>36001</v>
      </c>
      <c r="C28584" s="5" t="str">
        <f>IFERROR(__xludf.DUMMYFUNCTION("GOOGLETRANSLATE(B28584,""en"",""zh-CN"")"),"球从桌子上掉下来。")</f>
        <v>球从桌子上掉下来。</v>
      </c>
    </row>
    <row r="28585">
      <c r="A28585" s="4" t="s">
        <v>35995</v>
      </c>
      <c r="B28585" s="4" t="s">
        <v>36002</v>
      </c>
      <c r="C28585" s="5" t="str">
        <f>IFERROR(__xludf.DUMMYFUNCTION("GOOGLETRANSLATE(B28585,""en"",""zh-CN"")"),"右边的人跑来接球。")</f>
        <v>右边的人跑来接球。</v>
      </c>
    </row>
    <row r="28586">
      <c r="A28586" s="4" t="s">
        <v>35995</v>
      </c>
      <c r="B28586" s="4" t="s">
        <v>36003</v>
      </c>
      <c r="C28586" s="5" t="str">
        <f>IFERROR(__xludf.DUMMYFUNCTION("GOOGLETRANSLATE(B28586,""en"",""zh-CN"")"),"他们继续打球并输给球。")</f>
        <v>他们继续打球并输给球。</v>
      </c>
    </row>
    <row r="28587">
      <c r="A28587" s="4" t="s">
        <v>35995</v>
      </c>
      <c r="B28587" s="4" t="s">
        <v>36004</v>
      </c>
      <c r="C28587" s="5" t="str">
        <f>IFERROR(__xludf.DUMMYFUNCTION("GOOGLETRANSLATE(B28587,""en"",""zh-CN"")"),"一个穿着黑色连帽衫的家伙走过。")</f>
        <v>一个穿着黑色连帽衫的家伙走过。</v>
      </c>
    </row>
    <row r="28588">
      <c r="A28588" s="4" t="s">
        <v>35995</v>
      </c>
      <c r="B28588" s="4" t="s">
        <v>36005</v>
      </c>
      <c r="C28588" s="5" t="str">
        <f>IFERROR(__xludf.DUMMYFUNCTION("GOOGLETRANSLATE(B28588,""en"",""zh-CN"")"),"玩家之一停下来调整表。")</f>
        <v>玩家之一停下来调整表。</v>
      </c>
    </row>
    <row r="28589">
      <c r="A28589" s="4" t="s">
        <v>35995</v>
      </c>
      <c r="B28589" s="4" t="s">
        <v>36006</v>
      </c>
      <c r="C28589" s="5" t="str">
        <f>IFERROR(__xludf.DUMMYFUNCTION("GOOGLETRANSLATE(B28589,""en"",""zh-CN"")"),"当他们互相交谈时，他们继续打乒乓球。")</f>
        <v>当他们互相交谈时，他们继续打乒乓球。</v>
      </c>
    </row>
    <row r="28590">
      <c r="A28590" s="4" t="s">
        <v>36007</v>
      </c>
      <c r="B28590" s="6" t="s">
        <v>36008</v>
      </c>
      <c r="C28590" s="5" t="str">
        <f>IFERROR(__xludf.DUMMYFUNCTION("GOOGLETRANSLATE(B28590,""en"",""zh-CN"")"),"当一个孩子爬过一套猴子酒吧，而另一个台阶远离框架时，显示了两个年幼的孩子。")</f>
        <v>当一个孩子爬过一套猴子酒吧，而另一个台阶远离框架时，显示了两个年幼的孩子。</v>
      </c>
    </row>
    <row r="28591">
      <c r="A28591" s="4" t="s">
        <v>36007</v>
      </c>
      <c r="B28591" s="4" t="s">
        <v>36009</v>
      </c>
      <c r="C28591" s="5" t="str">
        <f>IFERROR(__xludf.DUMMYFUNCTION("GOOGLETRANSLATE(B28591,""en"",""zh-CN"")"),"女孩到达酒吧的尽头，看着相机说话和微笑。")</f>
        <v>女孩到达酒吧的尽头，看着相机说话和微笑。</v>
      </c>
    </row>
    <row r="28592">
      <c r="A28592" s="4" t="s">
        <v>36010</v>
      </c>
      <c r="B28592" s="4" t="s">
        <v>36011</v>
      </c>
      <c r="C28592" s="5" t="str">
        <f>IFERROR(__xludf.DUMMYFUNCTION("GOOGLETRANSLATE(B28592,""en"",""zh-CN"")"),"一个女人在厨房里说话，然后来两个男孩，然后在柜台上展示果实时说话。")</f>
        <v>一个女人在厨房里说话，然后来两个男孩，然后在柜台上展示果实时说话。</v>
      </c>
    </row>
    <row r="28593">
      <c r="A28593" s="4" t="s">
        <v>36010</v>
      </c>
      <c r="B28593" s="4" t="s">
        <v>36012</v>
      </c>
      <c r="C28593" s="5" t="str">
        <f>IFERROR(__xludf.DUMMYFUNCTION("GOOGLETRANSLATE(B28593,""en"",""zh-CN"")"),"然后，一个人来，将所有水果放在一个大碗中，同时解释。")</f>
        <v>然后，一个人来，将所有水果放在一个大碗中，同时解释。</v>
      </c>
    </row>
    <row r="28594">
      <c r="A28594" s="4" t="s">
        <v>36010</v>
      </c>
      <c r="B28594" s="4" t="s">
        <v>36013</v>
      </c>
      <c r="C28594" s="5" t="str">
        <f>IFERROR(__xludf.DUMMYFUNCTION("GOOGLETRANSLATE(B28594,""en"",""zh-CN"")"),"之后，该男子在水果酸奶，巧克力和谷物上添加。")</f>
        <v>之后，该男子在水果酸奶，巧克力和谷物上添加。</v>
      </c>
    </row>
    <row r="28595">
      <c r="A28595" s="4" t="s">
        <v>36014</v>
      </c>
      <c r="B28595" s="4" t="s">
        <v>36015</v>
      </c>
      <c r="C28595" s="5" t="str">
        <f>IFERROR(__xludf.DUMMYFUNCTION("GOOGLETRANSLATE(B28595,""en"",""zh-CN"")"),"穿着背心的人在街上有几个水桶。")</f>
        <v>穿着背心的人在街上有几个水桶。</v>
      </c>
    </row>
    <row r="28596">
      <c r="A28596" s="4" t="s">
        <v>36014</v>
      </c>
      <c r="B28596" s="6" t="s">
        <v>36016</v>
      </c>
      <c r="C28596" s="5" t="str">
        <f>IFERROR(__xludf.DUMMYFUNCTION("GOOGLETRANSLATE(B28596,""en"",""zh-CN"")"),"许多人惊讶地看着这个人玩耍，而有些人则用相机录制。")</f>
        <v>许多人惊讶地看着这个人玩耍，而有些人则用相机录制。</v>
      </c>
    </row>
    <row r="28597">
      <c r="A28597" s="4" t="s">
        <v>36014</v>
      </c>
      <c r="B28597" s="4" t="s">
        <v>36017</v>
      </c>
      <c r="C28597" s="5" t="str">
        <f>IFERROR(__xludf.DUMMYFUNCTION("GOOGLETRANSLATE(B28597,""en"",""zh-CN"")"),"该男子继续鼓声更快，人群继续为他加油。")</f>
        <v>该男子继续鼓声更快，人群继续为他加油。</v>
      </c>
    </row>
    <row r="28598">
      <c r="A28598" s="4" t="s">
        <v>36014</v>
      </c>
      <c r="B28598" s="4" t="s">
        <v>36018</v>
      </c>
      <c r="C28598" s="5" t="str">
        <f>IFERROR(__xludf.DUMMYFUNCTION("GOOGLETRANSLATE(B28598,""en"",""zh-CN"")"),"许多人走过，似乎没有注意到鼓手。")</f>
        <v>许多人走过，似乎没有注意到鼓手。</v>
      </c>
    </row>
    <row r="28599">
      <c r="A28599" s="4" t="s">
        <v>36019</v>
      </c>
      <c r="B28599" s="4" t="s">
        <v>36020</v>
      </c>
      <c r="C28599" s="5" t="str">
        <f>IFERROR(__xludf.DUMMYFUNCTION("GOOGLETRANSLATE(B28599,""en"",""zh-CN"")"),"一个男孩站在食物桌后面。")</f>
        <v>一个男孩站在食物桌后面。</v>
      </c>
    </row>
    <row r="28600">
      <c r="A28600" s="4" t="s">
        <v>36019</v>
      </c>
      <c r="B28600" s="4" t="s">
        <v>36021</v>
      </c>
      <c r="C28600" s="5" t="str">
        <f>IFERROR(__xludf.DUMMYFUNCTION("GOOGLETRANSLATE(B28600,""en"",""zh-CN"")"),"他开始在面包片上散布蛋黄酱。")</f>
        <v>他开始在面包片上散布蛋黄酱。</v>
      </c>
    </row>
    <row r="28601">
      <c r="A28601" s="4" t="s">
        <v>36019</v>
      </c>
      <c r="B28601" s="4" t="s">
        <v>36022</v>
      </c>
      <c r="C28601" s="5" t="str">
        <f>IFERROR(__xludf.DUMMYFUNCTION("GOOGLETRANSLATE(B28601,""en"",""zh-CN"")"),"他把生菜放在面包上。")</f>
        <v>他把生菜放在面包上。</v>
      </c>
    </row>
    <row r="28602">
      <c r="A28602" s="4" t="s">
        <v>36019</v>
      </c>
      <c r="B28602" s="4" t="s">
        <v>36023</v>
      </c>
      <c r="C28602" s="5" t="str">
        <f>IFERROR(__xludf.DUMMYFUNCTION("GOOGLETRANSLATE(B28602,""en"",""zh-CN"")"),"他将西红柿堆在面包上的生菜上。")</f>
        <v>他将西红柿堆在面包上的生菜上。</v>
      </c>
    </row>
    <row r="28603">
      <c r="A28603" s="4" t="s">
        <v>36019</v>
      </c>
      <c r="B28603" s="4" t="s">
        <v>36024</v>
      </c>
      <c r="C28603" s="5" t="str">
        <f>IFERROR(__xludf.DUMMYFUNCTION("GOOGLETRANSLATE(B28603,""en"",""zh-CN"")"),"他把鸡放在番茄上。")</f>
        <v>他把鸡放在番茄上。</v>
      </c>
    </row>
    <row r="28604">
      <c r="A28604" s="4" t="s">
        <v>36019</v>
      </c>
      <c r="B28604" s="4" t="s">
        <v>36025</v>
      </c>
      <c r="C28604" s="5" t="str">
        <f>IFERROR(__xludf.DUMMYFUNCTION("GOOGLETRANSLATE(B28604,""en"",""zh-CN"")"),"他把一块面包放在另一个面包上。")</f>
        <v>他把一块面包放在另一个面包上。</v>
      </c>
    </row>
    <row r="28605">
      <c r="A28605" s="4" t="s">
        <v>36019</v>
      </c>
      <c r="B28605" s="4" t="s">
        <v>36026</v>
      </c>
      <c r="C28605" s="5" t="str">
        <f>IFERROR(__xludf.DUMMYFUNCTION("GOOGLETRANSLATE(B28605,""en"",""zh-CN"")"),"他将蛋黄酱放在顶部的面包上。")</f>
        <v>他将蛋黄酱放在顶部的面包上。</v>
      </c>
    </row>
    <row r="28606">
      <c r="A28606" s="4" t="s">
        <v>36019</v>
      </c>
      <c r="B28606" s="4" t="s">
        <v>36027</v>
      </c>
      <c r="C28606" s="5" t="str">
        <f>IFERROR(__xludf.DUMMYFUNCTION("GOOGLETRANSLATE(B28606,""en"",""zh-CN"")"),"他再次将食物堆放在面包上。")</f>
        <v>他再次将食物堆放在面包上。</v>
      </c>
    </row>
    <row r="28607">
      <c r="A28607" s="4" t="s">
        <v>36019</v>
      </c>
      <c r="B28607" s="4" t="s">
        <v>36028</v>
      </c>
      <c r="C28607" s="5" t="str">
        <f>IFERROR(__xludf.DUMMYFUNCTION("GOOGLETRANSLATE(B28607,""en"",""zh-CN"")"),"他用最后一块面包在上面。")</f>
        <v>他用最后一块面包在上面。</v>
      </c>
    </row>
    <row r="28608">
      <c r="A28608" s="4" t="s">
        <v>36019</v>
      </c>
      <c r="B28608" s="4" t="s">
        <v>36029</v>
      </c>
      <c r="C28608" s="5" t="str">
        <f>IFERROR(__xludf.DUMMYFUNCTION("GOOGLETRANSLATE(B28608,""en"",""zh-CN"")"),"他将三明治切成四片。")</f>
        <v>他将三明治切成四片。</v>
      </c>
    </row>
    <row r="28609">
      <c r="A28609" s="4" t="s">
        <v>36019</v>
      </c>
      <c r="B28609" s="4" t="s">
        <v>36030</v>
      </c>
      <c r="C28609" s="5" t="str">
        <f>IFERROR(__xludf.DUMMYFUNCTION("GOOGLETRANSLATE(B28609,""en"",""zh-CN"")"),"他在三明治的每个部分都放了一个牙签。")</f>
        <v>他在三明治的每个部分都放了一个牙签。</v>
      </c>
    </row>
    <row r="28610">
      <c r="A28610" s="4" t="s">
        <v>36019</v>
      </c>
      <c r="B28610" s="4" t="s">
        <v>36031</v>
      </c>
      <c r="C28610" s="5" t="str">
        <f>IFERROR(__xludf.DUMMYFUNCTION("GOOGLETRANSLATE(B28610,""en"",""zh-CN"")"),"他将三明治从板上移到盘子上。")</f>
        <v>他将三明治从板上移到盘子上。</v>
      </c>
    </row>
    <row r="28611">
      <c r="A28611" s="4" t="s">
        <v>36019</v>
      </c>
      <c r="B28611" s="4" t="s">
        <v>36032</v>
      </c>
      <c r="C28611" s="5" t="str">
        <f>IFERROR(__xludf.DUMMYFUNCTION("GOOGLETRANSLATE(B28611,""en"",""zh-CN"")"),"他将薯条加上三明治。")</f>
        <v>他将薯条加上三明治。</v>
      </c>
    </row>
    <row r="28612">
      <c r="A28612" s="4" t="s">
        <v>36033</v>
      </c>
      <c r="B28612" s="6" t="s">
        <v>36034</v>
      </c>
      <c r="C28612" s="5" t="str">
        <f>IFERROR(__xludf.DUMMYFUNCTION("GOOGLETRANSLATE(B28612,""en"",""zh-CN"")"),"NBC新闻记者穿着一件红色毛衣和白色衬衫，谈论剪裁巫师的狗修饰，这是一家美容公司。")</f>
        <v>NBC新闻记者穿着一件红色毛衣和白色衬衫，谈论剪裁巫师的狗修饰，这是一家美容公司。</v>
      </c>
    </row>
    <row r="28613">
      <c r="A28613" s="4" t="s">
        <v>36033</v>
      </c>
      <c r="B28613" s="6" t="s">
        <v>36035</v>
      </c>
      <c r="C28613" s="5" t="str">
        <f>IFERROR(__xludf.DUMMYFUNCTION("GOOGLETRANSLATE(B28613,""en"",""zh-CN"")"),"该公司的代表正在谈论他们提供的服务以及这些狗如何参加狗表演。")</f>
        <v>该公司的代表正在谈论他们提供的服务以及这些狗如何参加狗表演。</v>
      </c>
    </row>
    <row r="28614">
      <c r="A28614" s="4" t="s">
        <v>36033</v>
      </c>
      <c r="B28614" s="6" t="s">
        <v>36036</v>
      </c>
      <c r="C28614" s="5" t="str">
        <f>IFERROR(__xludf.DUMMYFUNCTION("GOOGLETRANSLATE(B28614,""en"",""zh-CN"")"),"可以看到美容师使用剪切物来创造性地修剪狗的头发，甚至用五颜六色的红色，绿色，黄色和蓝色染色。")</f>
        <v>可以看到美容师使用剪切物来创造性地修剪狗的头发，甚至用五颜六色的红色，绿色，黄色和蓝色染色。</v>
      </c>
    </row>
    <row r="28615">
      <c r="A28615" s="4" t="s">
        <v>36037</v>
      </c>
      <c r="B28615" s="6" t="s">
        <v>36038</v>
      </c>
      <c r="C28615" s="5" t="str">
        <f>IFERROR(__xludf.DUMMYFUNCTION("GOOGLETRANSLATE(B28615,""en"",""zh-CN"")"),"多人在健身房里有很多镜子的房间里参加运动课，他们在跳舞，旋转并踩到平台上。")</f>
        <v>多人在健身房里有很多镜子的房间里参加运动课，他们在跳舞，旋转并踩到平台上。</v>
      </c>
    </row>
    <row r="28616">
      <c r="A28616" s="4" t="s">
        <v>36037</v>
      </c>
      <c r="B28616" s="4" t="s">
        <v>36039</v>
      </c>
      <c r="C28616" s="5" t="str">
        <f>IFERROR(__xludf.DUMMYFUNCTION("GOOGLETRANSLATE(B28616,""en"",""zh-CN"")"),"一个女人在健身室里走去，举重。")</f>
        <v>一个女人在健身室里走去，举重。</v>
      </c>
    </row>
    <row r="28617">
      <c r="A28617" s="4" t="s">
        <v>36037</v>
      </c>
      <c r="B28617" s="4" t="s">
        <v>36040</v>
      </c>
      <c r="C28617" s="5" t="str">
        <f>IFERROR(__xludf.DUMMYFUNCTION("GOOGLETRANSLATE(B28617,""en"",""zh-CN"")"),"女人将重量放在架子上。")</f>
        <v>女人将重量放在架子上。</v>
      </c>
    </row>
    <row r="28618">
      <c r="A28618" s="4" t="s">
        <v>36037</v>
      </c>
      <c r="B28618" s="4" t="s">
        <v>36041</v>
      </c>
      <c r="C28618" s="5" t="str">
        <f>IFERROR(__xludf.DUMMYFUNCTION("GOOGLETRANSLATE(B28618,""en"",""zh-CN"")"),"一个女人走过而没有举重。")</f>
        <v>一个女人走过而没有举重。</v>
      </c>
    </row>
    <row r="28619">
      <c r="A28619" s="4" t="s">
        <v>36042</v>
      </c>
      <c r="B28619" s="4" t="s">
        <v>36043</v>
      </c>
      <c r="C28619" s="5" t="str">
        <f>IFERROR(__xludf.DUMMYFUNCTION("GOOGLETRANSLATE(B28619,""en"",""zh-CN"")"),"红色野马正在被软管。")</f>
        <v>红色野马正在被软管。</v>
      </c>
    </row>
    <row r="28620">
      <c r="A28620" s="4" t="s">
        <v>36042</v>
      </c>
      <c r="B28620" s="4" t="s">
        <v>36044</v>
      </c>
      <c r="C28620" s="5" t="str">
        <f>IFERROR(__xludf.DUMMYFUNCTION("GOOGLETRANSLATE(B28620,""en"",""zh-CN"")"),"接下来，工人在汽车上摩擦肥皂。")</f>
        <v>接下来，工人在汽车上摩擦肥皂。</v>
      </c>
    </row>
    <row r="28621">
      <c r="A28621" s="4" t="s">
        <v>36042</v>
      </c>
      <c r="B28621" s="4" t="s">
        <v>36045</v>
      </c>
      <c r="C28621" s="5" t="str">
        <f>IFERROR(__xludf.DUMMYFUNCTION("GOOGLETRANSLATE(B28621,""en"",""zh-CN"")"),"之后，他们俩都致力于清洗肥皂，然后再在车辆上涂抹肥皂。")</f>
        <v>之后，他们俩都致力于清洗肥皂，然后再在车辆上涂抹肥皂。</v>
      </c>
    </row>
    <row r="28622">
      <c r="A28622" s="4" t="s">
        <v>36042</v>
      </c>
      <c r="B28622" s="4" t="s">
        <v>36046</v>
      </c>
      <c r="C28622" s="5" t="str">
        <f>IFERROR(__xludf.DUMMYFUNCTION("GOOGLETRANSLATE(B28622,""en"",""zh-CN"")"),"然后，他们使用软管清洗汽车。")</f>
        <v>然后，他们使用软管清洗汽车。</v>
      </c>
    </row>
    <row r="28623">
      <c r="A28623" s="4" t="s">
        <v>36047</v>
      </c>
      <c r="B28623" s="4" t="s">
        <v>36048</v>
      </c>
      <c r="C28623" s="5" t="str">
        <f>IFERROR(__xludf.DUMMYFUNCTION("GOOGLETRANSLATE(B28623,""en"",""zh-CN"")"),"看到一小群男人在篮球场上玩篮球比赛。")</f>
        <v>看到一小群男人在篮球场上玩篮球比赛。</v>
      </c>
    </row>
    <row r="28624">
      <c r="A28624" s="4" t="s">
        <v>36047</v>
      </c>
      <c r="B28624" s="6" t="s">
        <v>36049</v>
      </c>
      <c r="C28624" s="5" t="str">
        <f>IFERROR(__xludf.DUMMYFUNCTION("GOOGLETRANSLATE(B28624,""en"",""zh-CN"")"),"一名球员在拿着球的网周围移动，并演示了如何正确射出箍。")</f>
        <v>一名球员在拿着球的网周围移动，并演示了如何正确射出箍。</v>
      </c>
    </row>
    <row r="28625">
      <c r="A28625" s="4" t="s">
        <v>36047</v>
      </c>
      <c r="B28625" s="4" t="s">
        <v>36050</v>
      </c>
      <c r="C28625" s="5" t="str">
        <f>IFERROR(__xludf.DUMMYFUNCTION("GOOGLETRANSLATE(B28625,""en"",""zh-CN"")"),"他向球弹跳了一下，显示了更多的人射门。")</f>
        <v>他向球弹跳了一下，显示了更多的人射门。</v>
      </c>
    </row>
    <row r="28626">
      <c r="A28626" s="4" t="s">
        <v>36051</v>
      </c>
      <c r="B28626" s="6" t="s">
        <v>36052</v>
      </c>
      <c r="C28626" s="5" t="str">
        <f>IFERROR(__xludf.DUMMYFUNCTION("GOOGLETRANSLATE(B28626,""en"",""zh-CN"")"),"看到一个男人在相机上说话，同时展示一盘食物并将食材倒在盘子上。")</f>
        <v>看到一个男人在相机上说话，同时展示一盘食物并将食材倒在盘子上。</v>
      </c>
    </row>
    <row r="28627">
      <c r="A28627" s="4" t="s">
        <v>36051</v>
      </c>
      <c r="B28627" s="6" t="s">
        <v>36053</v>
      </c>
      <c r="C28627" s="5" t="str">
        <f>IFERROR(__xludf.DUMMYFUNCTION("GOOGLETRANSLATE(B28627,""en"",""zh-CN"")"),"他继续将食材混合到盘子上，并以盘子的特写结束，他说更多。")</f>
        <v>他继续将食材混合到盘子上，并以盘子的特写结束，他说更多。</v>
      </c>
    </row>
    <row r="28628">
      <c r="A28628" s="4" t="s">
        <v>36054</v>
      </c>
      <c r="B28628" s="4" t="s">
        <v>36055</v>
      </c>
      <c r="C28628" s="5" t="str">
        <f>IFERROR(__xludf.DUMMYFUNCTION("GOOGLETRANSLATE(B28628,""en"",""zh-CN"")"),"显示了两个人握着围栏并彼此指向。")</f>
        <v>显示了两个人握着围栏并彼此指向。</v>
      </c>
    </row>
    <row r="28629">
      <c r="A28629" s="4" t="s">
        <v>36054</v>
      </c>
      <c r="B28629" s="4" t="s">
        <v>36056</v>
      </c>
      <c r="C28629" s="5" t="str">
        <f>IFERROR(__xludf.DUMMYFUNCTION("GOOGLETRANSLATE(B28629,""en"",""zh-CN"")"),"他们向后移，第四，彼此匹配。")</f>
        <v>他们向后移，第四，彼此匹配。</v>
      </c>
    </row>
    <row r="28630">
      <c r="A28630" s="4" t="s">
        <v>36057</v>
      </c>
      <c r="B28630" s="4" t="s">
        <v>36058</v>
      </c>
      <c r="C28630" s="5" t="str">
        <f>IFERROR(__xludf.DUMMYFUNCTION("GOOGLETRANSLATE(B28630,""en"",""zh-CN"")"),"一个人骑在海洋的冲浪板上。")</f>
        <v>一个人骑在海洋的冲浪板上。</v>
      </c>
    </row>
    <row r="28631">
      <c r="A28631" s="4" t="s">
        <v>36057</v>
      </c>
      <c r="B28631" s="4" t="s">
        <v>36059</v>
      </c>
      <c r="C28631" s="5" t="str">
        <f>IFERROR(__xludf.DUMMYFUNCTION("GOOGLETRANSLATE(B28631,""en"",""zh-CN"")"),"他进行了一个大的翻转，降落在海浪中。")</f>
        <v>他进行了一个大的翻转，降落在海浪中。</v>
      </c>
    </row>
    <row r="28632">
      <c r="A28632" s="4" t="s">
        <v>36057</v>
      </c>
      <c r="B28632" s="4" t="s">
        <v>36060</v>
      </c>
      <c r="C28632" s="5" t="str">
        <f>IFERROR(__xludf.DUMMYFUNCTION("GOOGLETRANSLATE(B28632,""en"",""zh-CN"")"),"翻转以慢动作重复。")</f>
        <v>翻转以慢动作重复。</v>
      </c>
    </row>
    <row r="28633">
      <c r="A28633" s="4" t="s">
        <v>36061</v>
      </c>
      <c r="B28633" s="6" t="s">
        <v>36062</v>
      </c>
      <c r="C28633" s="5" t="str">
        <f>IFERROR(__xludf.DUMMYFUNCTION("GOOGLETRANSLATE(B28633,""en"",""zh-CN"")"),"女人正站在舞台中间与镜头交谈，并以慢动作舞蹈动作显示。")</f>
        <v>女人正站在舞台中间与镜头交谈，并以慢动作舞蹈动作显示。</v>
      </c>
    </row>
    <row r="28634">
      <c r="A28634" s="4" t="s">
        <v>36061</v>
      </c>
      <c r="B28634" s="4" t="s">
        <v>36063</v>
      </c>
      <c r="C28634" s="5" t="str">
        <f>IFERROR(__xludf.DUMMYFUNCTION("GOOGLETRANSLATE(B28634,""en"",""zh-CN"")"),"女人正在迅速进行动作，并显示手的位置。")</f>
        <v>女人正在迅速进行动作，并显示手的位置。</v>
      </c>
    </row>
    <row r="28635">
      <c r="A28635" s="4" t="s">
        <v>36061</v>
      </c>
      <c r="B28635" s="4" t="s">
        <v>36064</v>
      </c>
      <c r="C28635" s="5" t="str">
        <f>IFERROR(__xludf.DUMMYFUNCTION("GOOGLETRANSLATE(B28635,""en"",""zh-CN"")"),"女人正在房间里展示莎莎动作。")</f>
        <v>女人正在房间里展示莎莎动作。</v>
      </c>
    </row>
    <row r="28636">
      <c r="A28636" s="4" t="s">
        <v>36065</v>
      </c>
      <c r="B28636" s="4" t="s">
        <v>36066</v>
      </c>
      <c r="C28636" s="5" t="str">
        <f>IFERROR(__xludf.DUMMYFUNCTION("GOOGLETRANSLATE(B28636,""en"",""zh-CN"")"),"一个人站在黑暗的田野上。")</f>
        <v>一个人站在黑暗的田野上。</v>
      </c>
    </row>
    <row r="28637">
      <c r="A28637" s="4" t="s">
        <v>36065</v>
      </c>
      <c r="B28637" s="4" t="s">
        <v>36067</v>
      </c>
      <c r="C28637" s="5" t="str">
        <f>IFERROR(__xludf.DUMMYFUNCTION("GOOGLETRANSLATE(B28637,""en"",""zh-CN"")"),"他将飞盘扔在空中，然后狗抓住它。")</f>
        <v>他将飞盘扔在空中，然后狗抓住它。</v>
      </c>
    </row>
    <row r="28638">
      <c r="A28638" s="4" t="s">
        <v>36065</v>
      </c>
      <c r="B28638" s="4" t="s">
        <v>36068</v>
      </c>
      <c r="C28638" s="5" t="str">
        <f>IFERROR(__xludf.DUMMYFUNCTION("GOOGLETRANSLATE(B28638,""en"",""zh-CN"")"),"狗追着并做窍门以获取飞盘。")</f>
        <v>狗追着并做窍门以获取飞盘。</v>
      </c>
    </row>
    <row r="28639">
      <c r="A28639" s="4" t="s">
        <v>36069</v>
      </c>
      <c r="B28639" s="6" t="s">
        <v>36070</v>
      </c>
      <c r="C28639" s="5" t="str">
        <f>IFERROR(__xludf.DUMMYFUNCTION("GOOGLETRANSLATE(B28639,""en"",""zh-CN"")"),"一群小男孩在沙滩后面骑自行车，准备起飞并奔跑。")</f>
        <v>一群小男孩在沙滩后面骑自行车，准备起飞并奔跑。</v>
      </c>
    </row>
    <row r="28640">
      <c r="A28640" s="4" t="s">
        <v>36069</v>
      </c>
      <c r="B28640" s="4" t="s">
        <v>36071</v>
      </c>
      <c r="C28640" s="5" t="str">
        <f>IFERROR(__xludf.DUMMYFUNCTION("GOOGLETRANSLATE(B28640,""en"",""zh-CN"")"),"闩锁被放下，他们都开始进入泥土，开始在泥土中比赛。")</f>
        <v>闩锁被放下，他们都开始进入泥土，开始在泥土中比赛。</v>
      </c>
    </row>
    <row r="28641">
      <c r="A28641" s="4" t="s">
        <v>36069</v>
      </c>
      <c r="B28641" s="6" t="s">
        <v>36072</v>
      </c>
      <c r="C28641" s="5" t="str">
        <f>IFERROR(__xludf.DUMMYFUNCTION("GOOGLETRANSLATE(B28641,""en"",""zh-CN"")"),"许多男孩一直在赛道上走来走去，人们在整个课程中散布着棍子。")</f>
        <v>许多男孩一直在赛道上走来走去，人们在整个课程中散布着棍子。</v>
      </c>
    </row>
    <row r="28642">
      <c r="A28642" s="4" t="s">
        <v>36073</v>
      </c>
      <c r="B28642" s="4" t="s">
        <v>36074</v>
      </c>
      <c r="C28642" s="5" t="str">
        <f>IFERROR(__xludf.DUMMYFUNCTION("GOOGLETRANSLATE(B28642,""en"",""zh-CN"")"),"一个男人用强大的喷枪喷洒围栏灰色。")</f>
        <v>一个男人用强大的喷枪喷洒围栏灰色。</v>
      </c>
    </row>
    <row r="28643">
      <c r="A28643" s="4" t="s">
        <v>36073</v>
      </c>
      <c r="B28643" s="4" t="s">
        <v>36075</v>
      </c>
      <c r="C28643" s="5" t="str">
        <f>IFERROR(__xludf.DUMMYFUNCTION("GOOGLETRANSLATE(B28643,""en"",""zh-CN"")"),"一个随便站在他身后的男人用双手交叉看着，打着哈欠。")</f>
        <v>一个随便站在他身后的男人用双手交叉看着，打着哈欠。</v>
      </c>
    </row>
    <row r="28644">
      <c r="A28644" s="4" t="s">
        <v>36073</v>
      </c>
      <c r="B28644" s="4" t="s">
        <v>36076</v>
      </c>
      <c r="C28644" s="5" t="str">
        <f>IFERROR(__xludf.DUMMYFUNCTION("GOOGLETRANSLATE(B28644,""en"",""zh-CN"")"),"该男子喷洒在上下喷雾，度过了美好的时光。")</f>
        <v>该男子喷洒在上下喷雾，度过了美好的时光。</v>
      </c>
    </row>
    <row r="28645">
      <c r="A28645" s="4" t="s">
        <v>36073</v>
      </c>
      <c r="B28645" s="4" t="s">
        <v>36077</v>
      </c>
      <c r="C28645" s="5" t="str">
        <f>IFERROR(__xludf.DUMMYFUNCTION("GOOGLETRANSLATE(B28645,""en"",""zh-CN"")"),"他确保遍历所有景点，以免错过任何地方。")</f>
        <v>他确保遍历所有景点，以免错过任何地方。</v>
      </c>
    </row>
    <row r="28646">
      <c r="A28646" s="4" t="s">
        <v>36078</v>
      </c>
      <c r="B28646" s="4" t="s">
        <v>36079</v>
      </c>
      <c r="C28646" s="5" t="str">
        <f>IFERROR(__xludf.DUMMYFUNCTION("GOOGLETRANSLATE(B28646,""en"",""zh-CN"")"),"该男子踢了屋顶的瓷砖，直到它移动为止。")</f>
        <v>该男子踢了屋顶的瓷砖，直到它移动为止。</v>
      </c>
    </row>
    <row r="28647">
      <c r="A28647" s="4" t="s">
        <v>36078</v>
      </c>
      <c r="B28647" s="4" t="s">
        <v>36080</v>
      </c>
      <c r="C28647" s="5" t="str">
        <f>IFERROR(__xludf.DUMMYFUNCTION("GOOGLETRANSLATE(B28647,""en"",""zh-CN"")"),"该男子掏出一个轮胎的屋顶，指着瓷砖的侧面。")</f>
        <v>该男子掏出一个轮胎的屋顶，指着瓷砖的侧面。</v>
      </c>
    </row>
    <row r="28648">
      <c r="A28648" s="4" t="s">
        <v>36078</v>
      </c>
      <c r="B28648" s="4" t="s">
        <v>36081</v>
      </c>
      <c r="C28648" s="5" t="str">
        <f>IFERROR(__xludf.DUMMYFUNCTION("GOOGLETRANSLATE(B28648,""en"",""zh-CN"")"),"他放回瓷砖，将其移至原始位置。")</f>
        <v>他放回瓷砖，将其移至原始位置。</v>
      </c>
    </row>
    <row r="28649">
      <c r="A28649" s="4" t="s">
        <v>36082</v>
      </c>
      <c r="B28649" s="4" t="s">
        <v>36083</v>
      </c>
      <c r="C28649" s="5" t="str">
        <f>IFERROR(__xludf.DUMMYFUNCTION("GOOGLETRANSLATE(B28649,""en"",""zh-CN"")"),"一个黑色背心的男子描述了旋转自行车上的有氧运动。")</f>
        <v>一个黑色背心的男子描述了旋转自行车上的有氧运动。</v>
      </c>
    </row>
    <row r="28650">
      <c r="A28650" s="4" t="s">
        <v>36082</v>
      </c>
      <c r="B28650" s="6" t="s">
        <v>36084</v>
      </c>
      <c r="C28650" s="5" t="str">
        <f>IFERROR(__xludf.DUMMYFUNCTION("GOOGLETRANSLATE(B28650,""en"",""zh-CN"")"),"黑色背心的那个人以45秒的巡航速度张力间隔安装了旋转自行车，这是15秒的硬张力，紧张张力。")</f>
        <v>黑色背心的那个人以45秒的巡航速度张力间隔安装了旋转自行车，这是15秒的硬张力，紧张张力。</v>
      </c>
    </row>
    <row r="28651">
      <c r="A28651" s="4" t="s">
        <v>36082</v>
      </c>
      <c r="B28651" s="4" t="s">
        <v>36085</v>
      </c>
      <c r="C28651" s="5" t="str">
        <f>IFERROR(__xludf.DUMMYFUNCTION("GOOGLETRANSLATE(B28651,""en"",""zh-CN"")"),"然后使用巡航速度张力冷却。")</f>
        <v>然后使用巡航速度张力冷却。</v>
      </c>
    </row>
    <row r="28652">
      <c r="A28652" s="4" t="s">
        <v>36086</v>
      </c>
      <c r="B28652" s="4" t="s">
        <v>36087</v>
      </c>
      <c r="C28652" s="5" t="str">
        <f>IFERROR(__xludf.DUMMYFUNCTION("GOOGLETRANSLATE(B28652,""en"",""zh-CN"")"),"显示了一台机器的特写，后面是一个男人在地板上铲污垢。")</f>
        <v>显示了一台机器的特写，后面是一个男人在地板上铲污垢。</v>
      </c>
    </row>
    <row r="28653">
      <c r="A28653" s="4" t="s">
        <v>36086</v>
      </c>
      <c r="B28653" s="4" t="s">
        <v>36088</v>
      </c>
      <c r="C28653" s="5" t="str">
        <f>IFERROR(__xludf.DUMMYFUNCTION("GOOGLETRANSLATE(B28653,""en"",""zh-CN"")"),"然后，该男子将机器在泥土周围使用，然后在该区域下水。")</f>
        <v>然后，该男子将机器在泥土周围使用，然后在该区域下水。</v>
      </c>
    </row>
    <row r="28654">
      <c r="A28654" s="4" t="s">
        <v>36086</v>
      </c>
      <c r="B28654" s="4" t="s">
        <v>36089</v>
      </c>
      <c r="C28654" s="5" t="str">
        <f>IFERROR(__xludf.DUMMYFUNCTION("GOOGLETRANSLATE(B28654,""en"",""zh-CN"")"),"看到另一个男人将水倒在地上，将白纸倒下来。")</f>
        <v>看到另一个男人将水倒在地上，将白纸倒下来。</v>
      </c>
    </row>
    <row r="28655">
      <c r="A28655" s="4" t="s">
        <v>36090</v>
      </c>
      <c r="B28655" s="4" t="s">
        <v>36091</v>
      </c>
      <c r="C28655" s="5" t="str">
        <f>IFERROR(__xludf.DUMMYFUNCTION("GOOGLETRANSLATE(B28655,""en"",""zh-CN"")"),"一个人用桨在浑浊的水域中。")</f>
        <v>一个人用桨在浑浊的水域中。</v>
      </c>
    </row>
    <row r="28656">
      <c r="A28656" s="4" t="s">
        <v>36090</v>
      </c>
      <c r="B28656" s="4" t="s">
        <v>36092</v>
      </c>
      <c r="C28656" s="5" t="str">
        <f>IFERROR(__xludf.DUMMYFUNCTION("GOOGLETRANSLATE(B28656,""en"",""zh-CN"")"),"他正在朝相机和其他皮划艇运动员划皮艇。")</f>
        <v>他正在朝相机和其他皮划艇运动员划皮艇。</v>
      </c>
    </row>
    <row r="28657">
      <c r="A28657" s="4" t="s">
        <v>36090</v>
      </c>
      <c r="B28657" s="4" t="s">
        <v>36093</v>
      </c>
      <c r="C28657" s="5" t="str">
        <f>IFERROR(__xludf.DUMMYFUNCTION("GOOGLETRANSLATE(B28657,""en"",""zh-CN"")"),"他更快地穿过水，试图跟上当前的水平。")</f>
        <v>他更快地穿过水，试图跟上当前的水平。</v>
      </c>
    </row>
    <row r="28658">
      <c r="A28658" s="4" t="s">
        <v>36094</v>
      </c>
      <c r="B28658" s="6" t="s">
        <v>36095</v>
      </c>
      <c r="C28658" s="5" t="str">
        <f>IFERROR(__xludf.DUMMYFUNCTION("GOOGLETRANSLATE(B28658,""en"",""zh-CN"")"),"看到一个男人在一对高跷上跳来跳去，而其他一些人则在高跷上四处走动。")</f>
        <v>看到一个男人在一对高跷上跳来跳去，而其他一些人则在高跷上四处走动。</v>
      </c>
    </row>
    <row r="28659">
      <c r="A28659" s="4" t="s">
        <v>36094</v>
      </c>
      <c r="B28659" s="6" t="s">
        <v>36096</v>
      </c>
      <c r="C28659" s="5" t="str">
        <f>IFERROR(__xludf.DUMMYFUNCTION("GOOGLETRANSLATE(B28659,""en"",""zh-CN"")"),"显示了更多人在高跷上跳来跳去，而其他人仍需要他人的帮助。")</f>
        <v>显示了更多人在高跷上跳来跳去，而其他人仍需要他人的帮助。</v>
      </c>
    </row>
    <row r="28660">
      <c r="A28660" s="4" t="s">
        <v>36097</v>
      </c>
      <c r="B28660" s="6" t="s">
        <v>36098</v>
      </c>
      <c r="C28660" s="5" t="str">
        <f>IFERROR(__xludf.DUMMYFUNCTION("GOOGLETRANSLATE(B28660,""en"",""zh-CN"")"),"摄像机在游泳池和观众周围摇晃，并进入一群站在侧面的游泳者。")</f>
        <v>摄像机在游泳池和观众周围摇晃，并进入一群站在侧面的游泳者。</v>
      </c>
    </row>
    <row r="28661">
      <c r="A28661" s="4" t="s">
        <v>36097</v>
      </c>
      <c r="B28661" s="6" t="s">
        <v>36099</v>
      </c>
      <c r="C28661" s="5" t="str">
        <f>IFERROR(__xludf.DUMMYFUNCTION("GOOGLETRANSLATE(B28661,""en"",""zh-CN"")"),"之后，几名男子被看到令人印象深刻的潜水进入一个游泳池，其中包括翻转和技巧，而潜水员最终获得了奖牌。")</f>
        <v>之后，几名男子被看到令人印象深刻的潜水进入一个游泳池，其中包括翻转和技巧，而潜水员最终获得了奖牌。</v>
      </c>
    </row>
    <row r="28662">
      <c r="A28662" s="4" t="s">
        <v>36100</v>
      </c>
      <c r="B28662" s="4" t="s">
        <v>36101</v>
      </c>
      <c r="C28662" s="5" t="str">
        <f>IFERROR(__xludf.DUMMYFUNCTION("GOOGLETRANSLATE(B28662,""en"",""zh-CN"")"),"人们在牛仔竞技舞台上，一匹马骑着马准备绳索。")</f>
        <v>人们在牛仔竞技舞台上，一匹马骑着马准备绳索。</v>
      </c>
    </row>
    <row r="28663">
      <c r="A28663" s="4" t="s">
        <v>36100</v>
      </c>
      <c r="B28663" s="4" t="s">
        <v>36102</v>
      </c>
      <c r="C28663" s="5" t="str">
        <f>IFERROR(__xludf.DUMMYFUNCTION("GOOGLETRANSLATE(B28663,""en"",""zh-CN"")"),"然后，该男子旋转循环并投掷以捕捉小腿，然后跑步并系小牛。")</f>
        <v>然后，该男子旋转循环并投掷以捕捉小腿，然后跑步并系小牛。</v>
      </c>
    </row>
    <row r="28664">
      <c r="A28664" s="4" t="s">
        <v>36100</v>
      </c>
      <c r="B28664" s="4" t="s">
        <v>36103</v>
      </c>
      <c r="C28664" s="5" t="str">
        <f>IFERROR(__xludf.DUMMYFUNCTION("GOOGLETRANSLATE(B28664,""en"",""zh-CN"")"),"一个年轻人进入竞技场并解开小牛。")</f>
        <v>一个年轻人进入竞技场并解开小牛。</v>
      </c>
    </row>
    <row r="28665">
      <c r="A28665" s="4" t="s">
        <v>36104</v>
      </c>
      <c r="B28665" s="4" t="s">
        <v>36105</v>
      </c>
      <c r="C28665" s="5" t="str">
        <f>IFERROR(__xludf.DUMMYFUNCTION("GOOGLETRANSLATE(B28665,""en"",""zh-CN"")"),"各种镜头显示了一条从几个角度沿着粗糙的水条件骑行的船。")</f>
        <v>各种镜头显示了一条从几个角度沿着粗糙的水条件骑行的船。</v>
      </c>
    </row>
    <row r="28666">
      <c r="A28666" s="4" t="s">
        <v>36104</v>
      </c>
      <c r="B28666" s="6" t="s">
        <v>36106</v>
      </c>
      <c r="C28666" s="5" t="str">
        <f>IFERROR(__xludf.DUMMYFUNCTION("GOOGLETRANSLATE(B28666,""en"",""zh-CN"")"),"相机显示了一个木板，并带回到水中，过渡到坐在船上的人。")</f>
        <v>相机显示了一个木板，并带回到水中，过渡到坐在船上的人。</v>
      </c>
    </row>
    <row r="28667">
      <c r="A28667" s="4" t="s">
        <v>36104</v>
      </c>
      <c r="B28667" s="4" t="s">
        <v>36107</v>
      </c>
      <c r="C28667" s="5" t="str">
        <f>IFERROR(__xludf.DUMMYFUNCTION("GOOGLETRANSLATE(B28667,""en"",""zh-CN"")"),"相机走动更多，捕捉了内部和水的景色。")</f>
        <v>相机走动更多，捕捉了内部和水的景色。</v>
      </c>
    </row>
    <row r="28668">
      <c r="A28668" s="4" t="s">
        <v>36108</v>
      </c>
      <c r="B28668" s="4" t="s">
        <v>36109</v>
      </c>
      <c r="C28668" s="5" t="str">
        <f>IFERROR(__xludf.DUMMYFUNCTION("GOOGLETRANSLATE(B28668,""en"",""zh-CN"")"),"一个秃头的男人在家中拿着相机，并录制了一个女人的高跷。")</f>
        <v>一个秃头的男人在家中拿着相机，并录制了一个女人的高跷。</v>
      </c>
    </row>
    <row r="28669">
      <c r="A28669" s="4" t="s">
        <v>36108</v>
      </c>
      <c r="B28669" s="4" t="s">
        <v>36110</v>
      </c>
      <c r="C28669" s="5" t="str">
        <f>IFERROR(__xludf.DUMMYFUNCTION("GOOGLETRANSLATE(B28669,""en"",""zh-CN"")"),"相机向那个女人摇晃，她正围着高跷绕着客厅走来走去。")</f>
        <v>相机向那个女人摇晃，她正围着高跷绕着客厅走来走去。</v>
      </c>
    </row>
    <row r="28670">
      <c r="A28670" s="4" t="s">
        <v>36108</v>
      </c>
      <c r="B28670" s="4" t="s">
        <v>36111</v>
      </c>
      <c r="C28670" s="5" t="str">
        <f>IFERROR(__xludf.DUMMYFUNCTION("GOOGLETRANSLATE(B28670,""en"",""zh-CN"")"),"该男子要求女人像电影角色一样行事，她同意。")</f>
        <v>该男子要求女人像电影角色一样行事，她同意。</v>
      </c>
    </row>
    <row r="28671">
      <c r="A28671" s="4" t="s">
        <v>36108</v>
      </c>
      <c r="B28671" s="4" t="s">
        <v>36112</v>
      </c>
      <c r="C28671" s="5" t="str">
        <f>IFERROR(__xludf.DUMMYFUNCTION("GOOGLETRANSLATE(B28671,""en"",""zh-CN"")"),"那个女人然后抓住相机，景色被她的手遮住了。")</f>
        <v>那个女人然后抓住相机，景色被她的手遮住了。</v>
      </c>
    </row>
    <row r="28672">
      <c r="A28672" s="4" t="s">
        <v>36113</v>
      </c>
      <c r="B28672" s="4" t="s">
        <v>36114</v>
      </c>
      <c r="C28672" s="5" t="str">
        <f>IFERROR(__xludf.DUMMYFUNCTION("GOOGLETRANSLATE(B28672,""en"",""zh-CN"")"),"一个女人站在外面，和镜头说话。")</f>
        <v>一个女人站在外面，和镜头说话。</v>
      </c>
    </row>
    <row r="28673">
      <c r="A28673" s="4" t="s">
        <v>36113</v>
      </c>
      <c r="B28673" s="4" t="s">
        <v>36115</v>
      </c>
      <c r="C28673" s="5" t="str">
        <f>IFERROR(__xludf.DUMMYFUNCTION("GOOGLETRANSLATE(B28673,""en"",""zh-CN"")"),"她在纽约市广泛讲话。")</f>
        <v>她在纽约市广泛讲话。</v>
      </c>
    </row>
    <row r="28674">
      <c r="A28674" s="4" t="s">
        <v>36113</v>
      </c>
      <c r="B28674" s="4" t="s">
        <v>36116</v>
      </c>
      <c r="C28674" s="5" t="str">
        <f>IFERROR(__xludf.DUMMYFUNCTION("GOOGLETRANSLATE(B28674,""en"",""zh-CN"")"),"最后，出现一个带有联系信息的屏幕。")</f>
        <v>最后，出现一个带有联系信息的屏幕。</v>
      </c>
    </row>
    <row r="28675">
      <c r="A28675" s="4" t="s">
        <v>36117</v>
      </c>
      <c r="B28675" s="4" t="s">
        <v>36118</v>
      </c>
      <c r="C28675" s="5" t="str">
        <f>IFERROR(__xludf.DUMMYFUNCTION("GOOGLETRANSLATE(B28675,""en"",""zh-CN"")"),"首先，这个人一开始就走到舞台上，大致摇了摇头。")</f>
        <v>首先，这个人一开始就走到舞台上，大致摇了摇头。</v>
      </c>
    </row>
    <row r="28676">
      <c r="A28676" s="4" t="s">
        <v>36117</v>
      </c>
      <c r="B28676" s="4" t="s">
        <v>36119</v>
      </c>
      <c r="C28676" s="5" t="str">
        <f>IFERROR(__xludf.DUMMYFUNCTION("GOOGLETRANSLATE(B28676,""en"",""zh-CN"")"),"然后，他在摔跤比赛中摔跤一个秃头的男人。")</f>
        <v>然后，他在摔跤比赛中摔跤一个秃头的男人。</v>
      </c>
    </row>
    <row r="28677">
      <c r="A28677" s="4" t="s">
        <v>36117</v>
      </c>
      <c r="B28677" s="6" t="s">
        <v>36120</v>
      </c>
      <c r="C28677" s="5" t="str">
        <f>IFERROR(__xludf.DUMMYFUNCTION("GOOGLETRANSLATE(B28677,""en"",""zh-CN"")"),"接下来，他为一个长长的金发而摔跤，他摔跤了一个低发且赢得胜利的男人。")</f>
        <v>接下来，他为一个长长的金发而摔跤，他摔跤了一个低发且赢得胜利的男人。</v>
      </c>
    </row>
    <row r="28678">
      <c r="A28678" s="4" t="s">
        <v>36117</v>
      </c>
      <c r="B28678" s="4" t="s">
        <v>36121</v>
      </c>
      <c r="C28678" s="5" t="str">
        <f>IFERROR(__xludf.DUMMYFUNCTION("GOOGLETRANSLATE(B28678,""en"",""zh-CN"")"),"由于他赢了多少次，人群开始欢呼和咆哮。")</f>
        <v>由于他赢了多少次，人群开始欢呼和咆哮。</v>
      </c>
    </row>
    <row r="28679">
      <c r="A28679" s="4" t="s">
        <v>36122</v>
      </c>
      <c r="B28679" s="4" t="s">
        <v>36123</v>
      </c>
      <c r="C28679" s="5" t="str">
        <f>IFERROR(__xludf.DUMMYFUNCTION("GOOGLETRANSLATE(B28679,""en"",""zh-CN"")"),"一个年轻人坐在床上。")</f>
        <v>一个年轻人坐在床上。</v>
      </c>
    </row>
    <row r="28680">
      <c r="A28680" s="4" t="s">
        <v>36122</v>
      </c>
      <c r="B28680" s="4" t="s">
        <v>36124</v>
      </c>
      <c r="C28680" s="5" t="str">
        <f>IFERROR(__xludf.DUMMYFUNCTION("GOOGLETRANSLATE(B28680,""en"",""zh-CN"")"),"该男子开始弹声吉他。")</f>
        <v>该男子开始弹声吉他。</v>
      </c>
    </row>
    <row r="28681">
      <c r="A28681" s="4" t="s">
        <v>36122</v>
      </c>
      <c r="B28681" s="4" t="s">
        <v>36125</v>
      </c>
      <c r="C28681" s="5" t="str">
        <f>IFERROR(__xludf.DUMMYFUNCTION("GOOGLETRANSLATE(B28681,""en"",""zh-CN"")"),"男人在演奏时开始唱歌。")</f>
        <v>男人在演奏时开始唱歌。</v>
      </c>
    </row>
    <row r="28682">
      <c r="A28682" s="4" t="s">
        <v>36122</v>
      </c>
      <c r="B28682" s="4" t="s">
        <v>36126</v>
      </c>
      <c r="C28682" s="5" t="str">
        <f>IFERROR(__xludf.DUMMYFUNCTION("GOOGLETRANSLATE(B28682,""en"",""zh-CN"")"),"那个男人的停顿和卷是眼睛。")</f>
        <v>那个男人的停顿和卷是眼睛。</v>
      </c>
    </row>
    <row r="28683">
      <c r="A28683" s="4" t="s">
        <v>36122</v>
      </c>
      <c r="B28683" s="4" t="s">
        <v>36127</v>
      </c>
      <c r="C28683" s="5" t="str">
        <f>IFERROR(__xludf.DUMMYFUNCTION("GOOGLETRANSLATE(B28683,""en"",""zh-CN"")"),"那个人结束并抬头，然后在地上。")</f>
        <v>那个人结束并抬头，然后在地上。</v>
      </c>
    </row>
    <row r="28684">
      <c r="A28684" s="4" t="s">
        <v>36128</v>
      </c>
      <c r="B28684" s="4" t="s">
        <v>36129</v>
      </c>
      <c r="C28684" s="5" t="str">
        <f>IFERROR(__xludf.DUMMYFUNCTION("GOOGLETRANSLATE(B28684,""en"",""zh-CN"")"),"看到一个男人坐在鼓盘后开始演奏，而其他人则看着他在侧面。")</f>
        <v>看到一个男人坐在鼓盘后开始演奏，而其他人则看着他在侧面。</v>
      </c>
    </row>
    <row r="28685">
      <c r="A28685" s="4" t="s">
        <v>36128</v>
      </c>
      <c r="B28685" s="6" t="s">
        <v>36130</v>
      </c>
      <c r="C28685" s="5" t="str">
        <f>IFERROR(__xludf.DUMMYFUNCTION("GOOGLETRANSLATE(B28685,""en"",""zh-CN"")"),"该男子继续越来越快地演奏鼓组，并通过停下来与相机说话结束。")</f>
        <v>该男子继续越来越快地演奏鼓组，并通过停下来与相机说话结束。</v>
      </c>
    </row>
    <row r="28686">
      <c r="A28686" s="4" t="s">
        <v>36131</v>
      </c>
      <c r="B28686" s="4" t="s">
        <v>36132</v>
      </c>
      <c r="C28686" s="5" t="str">
        <f>IFERROR(__xludf.DUMMYFUNCTION("GOOGLETRANSLATE(B28686,""en"",""zh-CN"")"),"女人正在调整马特，而男人正在举起杆子。")</f>
        <v>女人正在调整马特，而男人正在举起杆子。</v>
      </c>
    </row>
    <row r="28687">
      <c r="A28687" s="4" t="s">
        <v>36131</v>
      </c>
      <c r="B28687" s="4" t="s">
        <v>36133</v>
      </c>
      <c r="C28687" s="5" t="str">
        <f>IFERROR(__xludf.DUMMYFUNCTION("GOOGLETRANSLATE(B28687,""en"",""zh-CN"")"),"女人用杆子奔跑，然后她跳过黄色的绳子。")</f>
        <v>女人用杆子奔跑，然后她跳过黄色的绳子。</v>
      </c>
    </row>
    <row r="28688">
      <c r="A28688" s="4" t="s">
        <v>36131</v>
      </c>
      <c r="B28688" s="6" t="s">
        <v>36134</v>
      </c>
      <c r="C28688" s="5" t="str">
        <f>IFERROR(__xludf.DUMMYFUNCTION("GOOGLETRANSLATE(B28688,""en"",""zh-CN"")"),"当她的教练站在绳索的一边时，那个女人跳过了绳索，当她跳过杆子时，她的教练在看着她。")</f>
        <v>当她的教练站在绳索的一边时，那个女人跳过了绳索，当她跳过杆子时，她的教练在看着她。</v>
      </c>
    </row>
    <row r="28689">
      <c r="A28689" s="4" t="s">
        <v>36135</v>
      </c>
      <c r="B28689" s="4" t="s">
        <v>36136</v>
      </c>
      <c r="C28689" s="5" t="str">
        <f>IFERROR(__xludf.DUMMYFUNCTION("GOOGLETRANSLATE(B28689,""en"",""zh-CN"")"),"在美发沙龙的客户头上使用剪子显示理发师。")</f>
        <v>在美发沙龙的客户头上使用剪子显示理发师。</v>
      </c>
    </row>
    <row r="28690">
      <c r="A28690" s="4" t="s">
        <v>36135</v>
      </c>
      <c r="B28690" s="4" t="s">
        <v>36137</v>
      </c>
      <c r="C28690" s="5" t="str">
        <f>IFERROR(__xludf.DUMMYFUNCTION("GOOGLETRANSLATE(B28690,""en"",""zh-CN"")"),"他用剃须膏和剃刀剃光了一个男人的头。")</f>
        <v>他用剃须膏和剃刀剃光了一个男人的头。</v>
      </c>
    </row>
    <row r="28691">
      <c r="A28691" s="4" t="s">
        <v>36135</v>
      </c>
      <c r="B28691" s="4" t="s">
        <v>36138</v>
      </c>
      <c r="C28691" s="5" t="str">
        <f>IFERROR(__xludf.DUMMYFUNCTION("GOOGLETRANSLATE(B28691,""en"",""zh-CN"")"),"他还用凝胶和梳子来设计男孩的头发。")</f>
        <v>他还用凝胶和梳子来设计男孩的头发。</v>
      </c>
    </row>
    <row r="28692">
      <c r="A28692" s="4" t="s">
        <v>36135</v>
      </c>
      <c r="B28692" s="4" t="s">
        <v>36139</v>
      </c>
      <c r="C28692" s="5" t="str">
        <f>IFERROR(__xludf.DUMMYFUNCTION("GOOGLETRANSLATE(B28692,""en"",""zh-CN"")"),"他用剃须凝胶和剃须刀剃光男人的胡须。")</f>
        <v>他用剃须凝胶和剃须刀剃光男人的胡须。</v>
      </c>
    </row>
    <row r="28693">
      <c r="A28693" s="4" t="s">
        <v>36135</v>
      </c>
      <c r="B28693" s="4" t="s">
        <v>36140</v>
      </c>
      <c r="C28693" s="5" t="str">
        <f>IFERROR(__xludf.DUMMYFUNCTION("GOOGLETRANSLATE(B28693,""en"",""zh-CN"")"),"他还用剪刀剪下一个男人的头发，给他一个莫霍克族。")</f>
        <v>他还用剪刀剪下一个男人的头发，给他一个莫霍克族。</v>
      </c>
    </row>
    <row r="28694">
      <c r="A28694" s="4" t="s">
        <v>36135</v>
      </c>
      <c r="B28694" s="4" t="s">
        <v>36141</v>
      </c>
      <c r="C28694" s="5" t="str">
        <f>IFERROR(__xludf.DUMMYFUNCTION("GOOGLETRANSLATE(B28694,""en"",""zh-CN"")"),"他在一个年轻人身上使用快船。")</f>
        <v>他在一个年轻人身上使用快船。</v>
      </c>
    </row>
    <row r="28695">
      <c r="A28695" s="4" t="s">
        <v>36135</v>
      </c>
      <c r="B28695" s="4" t="s">
        <v>36142</v>
      </c>
      <c r="C28695" s="5" t="str">
        <f>IFERROR(__xludf.DUMMYFUNCTION("GOOGLETRANSLATE(B28695,""en"",""zh-CN"")"),"该网站在屏幕上刊登了网站的刊登广告。")</f>
        <v>该网站在屏幕上刊登了网站的刊登广告。</v>
      </c>
    </row>
    <row r="28696">
      <c r="A28696" s="4" t="s">
        <v>36143</v>
      </c>
      <c r="B28696" s="4" t="s">
        <v>36144</v>
      </c>
      <c r="C28696" s="5" t="str">
        <f>IFERROR(__xludf.DUMMYFUNCTION("GOOGLETRANSLATE(B28696,""en"",""zh-CN"")"),"一个男人在草地上，将割草机来回推动。")</f>
        <v>一个男人在草地上，将割草机来回推动。</v>
      </c>
    </row>
    <row r="28697">
      <c r="A28697" s="4" t="s">
        <v>36143</v>
      </c>
      <c r="B28697" s="6" t="s">
        <v>36145</v>
      </c>
      <c r="C28697" s="5" t="str">
        <f>IFERROR(__xludf.DUMMYFUNCTION("GOOGLETRANSLATE(B28697,""en"",""zh-CN"")"),"一旦他到达了地带的另一侧，带相机的人就会走近他，开始与他们交谈。")</f>
        <v>一旦他到达了地带的另一侧，带相机的人就会走近他，开始与他们交谈。</v>
      </c>
    </row>
    <row r="28698">
      <c r="A28698" s="4" t="s">
        <v>36143</v>
      </c>
      <c r="B28698" s="4" t="s">
        <v>36146</v>
      </c>
      <c r="C28698" s="5" t="str">
        <f>IFERROR(__xludf.DUMMYFUNCTION("GOOGLETRANSLATE(B28698,""en"",""zh-CN"")"),"之后，那个割草机的家伙开始大笑，继续割伤院子。")</f>
        <v>之后，那个割草机的家伙开始大笑，继续割伤院子。</v>
      </c>
    </row>
    <row r="28699">
      <c r="A28699" s="4" t="s">
        <v>36147</v>
      </c>
      <c r="B28699" s="4" t="s">
        <v>36148</v>
      </c>
      <c r="C28699" s="5" t="str">
        <f>IFERROR(__xludf.DUMMYFUNCTION("GOOGLETRANSLATE(B28699,""en"",""zh-CN"")"),"可以看到一个男孩踢足球的3个后卫的图形。")</f>
        <v>可以看到一个男孩踢足球的3个后卫的图形。</v>
      </c>
    </row>
    <row r="28700">
      <c r="A28700" s="4" t="s">
        <v>36147</v>
      </c>
      <c r="B28700" s="4" t="s">
        <v>36149</v>
      </c>
      <c r="C28700" s="5" t="str">
        <f>IFERROR(__xludf.DUMMYFUNCTION("GOOGLETRANSLATE(B28700,""en"",""zh-CN"")"),"球在图形中被防守者偏转。")</f>
        <v>球在图形中被防守者偏转。</v>
      </c>
    </row>
    <row r="28701">
      <c r="A28701" s="4" t="s">
        <v>36147</v>
      </c>
      <c r="B28701" s="6" t="s">
        <v>36150</v>
      </c>
      <c r="C28701" s="5" t="str">
        <f>IFERROR(__xludf.DUMMYFUNCTION("GOOGLETRANSLATE(B28701,""en"",""zh-CN"")"),"一名足球运动员踢出一个被一系列防守者和守门员和室内场的守门员所阻挡的球。")</f>
        <v>一名足球运动员踢出一个被一系列防守者和守门员和室内场的守门员所阻挡的球。</v>
      </c>
    </row>
    <row r="28702">
      <c r="A28702" s="4" t="s">
        <v>36151</v>
      </c>
      <c r="B28702" s="4" t="s">
        <v>36152</v>
      </c>
      <c r="C28702" s="5" t="str">
        <f>IFERROR(__xludf.DUMMYFUNCTION("GOOGLETRANSLATE(B28702,""en"",""zh-CN"")"),"看到一个小的游乐场，接着是一个男人，他的狗走进框架。")</f>
        <v>看到一个小的游乐场，接着是一个男人，他的狗走进框架。</v>
      </c>
    </row>
    <row r="28703">
      <c r="A28703" s="4" t="s">
        <v>36151</v>
      </c>
      <c r="B28703" s="4" t="s">
        <v>36153</v>
      </c>
      <c r="C28703" s="5" t="str">
        <f>IFERROR(__xludf.DUMMYFUNCTION("GOOGLETRANSLATE(B28703,""en"",""zh-CN"")"),"该男子将其狗向上推，狗沿着滑梯骑行。")</f>
        <v>该男子将其狗向上推，狗沿着滑梯骑行。</v>
      </c>
    </row>
    <row r="28704">
      <c r="A28704" s="4" t="s">
        <v>36151</v>
      </c>
      <c r="B28704" s="4" t="s">
        <v>36154</v>
      </c>
      <c r="C28704" s="5" t="str">
        <f>IFERROR(__xludf.DUMMYFUNCTION("GOOGLETRANSLATE(B28704,""en"",""zh-CN"")"),"这个男人在另一个操场上再次与狗一起做。")</f>
        <v>这个男人在另一个操场上再次与狗一起做。</v>
      </c>
    </row>
    <row r="28705">
      <c r="A28705" s="4" t="s">
        <v>36155</v>
      </c>
      <c r="B28705" s="4" t="s">
        <v>36156</v>
      </c>
      <c r="C28705" s="5" t="str">
        <f>IFERROR(__xludf.DUMMYFUNCTION("GOOGLETRANSLATE(B28705,""en"",""zh-CN"")"),"一个人在水里的船上。")</f>
        <v>一个人在水里的船上。</v>
      </c>
    </row>
    <row r="28706">
      <c r="A28706" s="4" t="s">
        <v>36155</v>
      </c>
      <c r="B28706" s="4" t="s">
        <v>36157</v>
      </c>
      <c r="C28706" s="5" t="str">
        <f>IFERROR(__xludf.DUMMYFUNCTION("GOOGLETRANSLATE(B28706,""en"",""zh-CN"")"),"一条面包被扔给鱼，他们正在努力吃。")</f>
        <v>一条面包被扔给鱼，他们正在努力吃。</v>
      </c>
    </row>
    <row r="28707">
      <c r="A28707" s="4" t="s">
        <v>36155</v>
      </c>
      <c r="B28707" s="4" t="s">
        <v>36158</v>
      </c>
      <c r="C28707" s="5" t="str">
        <f>IFERROR(__xludf.DUMMYFUNCTION("GOOGLETRANSLATE(B28707,""en"",""zh-CN"")"),"人正在通过浅滩和珊瑚潜入深海。")</f>
        <v>人正在通过浅滩和珊瑚潜入深海。</v>
      </c>
    </row>
    <row r="28708">
      <c r="A28708" s="4" t="s">
        <v>36159</v>
      </c>
      <c r="B28708" s="4" t="s">
        <v>36160</v>
      </c>
      <c r="C28708" s="5" t="str">
        <f>IFERROR(__xludf.DUMMYFUNCTION("GOOGLETRANSLATE(B28708,""en"",""zh-CN"")"),"有四个人在室内球场上打道奇球。")</f>
        <v>有四个人在室内球场上打道奇球。</v>
      </c>
    </row>
    <row r="28709">
      <c r="A28709" s="4" t="s">
        <v>36159</v>
      </c>
      <c r="B28709" s="4" t="s">
        <v>36161</v>
      </c>
      <c r="C28709" s="5" t="str">
        <f>IFERROR(__xludf.DUMMYFUNCTION("GOOGLETRANSLATE(B28709,""en"",""zh-CN"")"),"教练吹口哨之后，他们开始朝着红球奔跑。")</f>
        <v>教练吹口哨之后，他们开始朝着红球奔跑。</v>
      </c>
    </row>
    <row r="28710">
      <c r="A28710" s="4" t="s">
        <v>36159</v>
      </c>
      <c r="B28710" s="4" t="s">
        <v>36162</v>
      </c>
      <c r="C28710" s="5" t="str">
        <f>IFERROR(__xludf.DUMMYFUNCTION("GOOGLETRANSLATE(B28710,""en"",""zh-CN"")"),"其中一名球员击中了他的对手。")</f>
        <v>其中一名球员击中了他的对手。</v>
      </c>
    </row>
    <row r="28711">
      <c r="A28711" s="4" t="s">
        <v>36159</v>
      </c>
      <c r="B28711" s="4" t="s">
        <v>36163</v>
      </c>
      <c r="C28711" s="5" t="str">
        <f>IFERROR(__xludf.DUMMYFUNCTION("GOOGLETRANSLATE(B28711,""en"",""zh-CN"")"),"对手向另一个球员射击，但他设法躲开了球。")</f>
        <v>对手向另一个球员射击，但他设法躲开了球。</v>
      </c>
    </row>
    <row r="28712">
      <c r="A28712" s="4" t="s">
        <v>36159</v>
      </c>
      <c r="B28712" s="4" t="s">
        <v>36164</v>
      </c>
      <c r="C28712" s="5" t="str">
        <f>IFERROR(__xludf.DUMMYFUNCTION("GOOGLETRANSLATE(B28712,""en"",""zh-CN"")"),"接下来，球员直接在他的对手身上击中了另一个球。")</f>
        <v>接下来，球员直接在他的对手身上击中了另一个球。</v>
      </c>
    </row>
    <row r="28713">
      <c r="A28713" s="4" t="s">
        <v>36159</v>
      </c>
      <c r="B28713" s="4" t="s">
        <v>36165</v>
      </c>
      <c r="C28713" s="5" t="str">
        <f>IFERROR(__xludf.DUMMYFUNCTION("GOOGLETRANSLATE(B28713,""en"",""zh-CN"")"),"球员在对手的腿上猛烈地击球。")</f>
        <v>球员在对手的腿上猛烈地击球。</v>
      </c>
    </row>
    <row r="28714">
      <c r="A28714" s="4" t="s">
        <v>36159</v>
      </c>
      <c r="B28714" s="4" t="s">
        <v>36166</v>
      </c>
      <c r="C28714" s="5" t="str">
        <f>IFERROR(__xludf.DUMMYFUNCTION("GOOGLETRANSLATE(B28714,""en"",""zh-CN"")"),"他们继续打几轮道奇球。")</f>
        <v>他们继续打几轮道奇球。</v>
      </c>
    </row>
    <row r="28715">
      <c r="A28715" s="4" t="s">
        <v>36159</v>
      </c>
      <c r="B28715" s="4" t="s">
        <v>36167</v>
      </c>
      <c r="C28715" s="5" t="str">
        <f>IFERROR(__xludf.DUMMYFUNCTION("GOOGLETRANSLATE(B28715,""en"",""zh-CN"")"),"球员直接瞄准了他的对手之一，并击中了他的腿。")</f>
        <v>球员直接瞄准了他的对手之一，并击中了他的腿。</v>
      </c>
    </row>
    <row r="28716">
      <c r="A28716" s="4" t="s">
        <v>36159</v>
      </c>
      <c r="B28716" s="4" t="s">
        <v>36168</v>
      </c>
      <c r="C28716" s="5" t="str">
        <f>IFERROR(__xludf.DUMMYFUNCTION("GOOGLETRANSLATE(B28716,""en"",""zh-CN"")"),"在教练吹口哨之后，比赛结束了。")</f>
        <v>在教练吹口哨之后，比赛结束了。</v>
      </c>
    </row>
    <row r="28717">
      <c r="A28717" s="4" t="s">
        <v>36169</v>
      </c>
      <c r="B28717" s="4" t="s">
        <v>36170</v>
      </c>
      <c r="C28717" s="5" t="str">
        <f>IFERROR(__xludf.DUMMYFUNCTION("GOOGLETRANSLATE(B28717,""en"",""zh-CN"")"),"人们在河流划船托的独木舟中航行。")</f>
        <v>人们在河流划船托的独木舟中航行。</v>
      </c>
    </row>
    <row r="28718">
      <c r="A28718" s="4" t="s">
        <v>36169</v>
      </c>
      <c r="B28718" s="4" t="s">
        <v>36171</v>
      </c>
      <c r="C28718" s="5" t="str">
        <f>IFERROR(__xludf.DUMMYFUNCTION("GOOGLETRANSLATE(B28718,""en"",""zh-CN"")"),"一个年轻人在船上弹吉他，而年轻人抽烟。")</f>
        <v>一个年轻人在船上弹吉他，而年轻人抽烟。</v>
      </c>
    </row>
    <row r="28719">
      <c r="A28719" s="4" t="s">
        <v>36169</v>
      </c>
      <c r="B28719" s="4" t="s">
        <v>36172</v>
      </c>
      <c r="C28719" s="5" t="str">
        <f>IFERROR(__xludf.DUMMYFUNCTION("GOOGLETRANSLATE(B28719,""en"",""zh-CN"")"),"两名年轻女士在男子后面航行了一条船。")</f>
        <v>两名年轻女士在男子后面航行了一条船。</v>
      </c>
    </row>
    <row r="28720">
      <c r="A28720" s="4" t="s">
        <v>36173</v>
      </c>
      <c r="B28720" s="6" t="s">
        <v>36174</v>
      </c>
      <c r="C28720" s="5" t="str">
        <f>IFERROR(__xludf.DUMMYFUNCTION("GOOGLETRANSLATE(B28720,""en"",""zh-CN"")"),"看到一名妇女主持新闻节目，并导致踢足球和观众观看的人的镜头。")</f>
        <v>看到一名妇女主持新闻节目，并导致踢足球和观众观看的人的镜头。</v>
      </c>
    </row>
    <row r="28721">
      <c r="A28721" s="4" t="s">
        <v>36173</v>
      </c>
      <c r="B28721" s="6" t="s">
        <v>36175</v>
      </c>
      <c r="C28721" s="5" t="str">
        <f>IFERROR(__xludf.DUMMYFUNCTION("GOOGLETRANSLATE(B28721,""en"",""zh-CN"")"),"展示了更多游戏的亮点，以及互相庆祝和拥抱的队友。")</f>
        <v>展示了更多游戏的亮点，以及互相庆祝和拥抱的队友。</v>
      </c>
    </row>
    <row r="28722">
      <c r="A28722" s="4" t="s">
        <v>36176</v>
      </c>
      <c r="B28722" s="4" t="s">
        <v>36177</v>
      </c>
      <c r="C28722" s="5" t="str">
        <f>IFERROR(__xludf.DUMMYFUNCTION("GOOGLETRANSLATE(B28722,""en"",""zh-CN"")"),"屏幕上出现了福克斯新闻偶像。")</f>
        <v>屏幕上出现了福克斯新闻偶像。</v>
      </c>
    </row>
    <row r="28723">
      <c r="A28723" s="4" t="s">
        <v>36176</v>
      </c>
      <c r="B28723" s="4" t="s">
        <v>36178</v>
      </c>
      <c r="C28723" s="5" t="str">
        <f>IFERROR(__xludf.DUMMYFUNCTION("GOOGLETRANSLATE(B28723,""en"",""zh-CN"")"),"一群人在建筑物中，玩一个名为Beer Pong的游戏。")</f>
        <v>一群人在建筑物中，玩一个名为Beer Pong的游戏。</v>
      </c>
    </row>
    <row r="28724">
      <c r="A28724" s="4" t="s">
        <v>36176</v>
      </c>
      <c r="B28724" s="4" t="s">
        <v>36179</v>
      </c>
      <c r="C28724" s="5" t="str">
        <f>IFERROR(__xludf.DUMMYFUNCTION("GOOGLETRANSLATE(B28724,""en"",""zh-CN"")"),"新闻记者聚集在他们的工作室里玩啤酒。")</f>
        <v>新闻记者聚集在他们的工作室里玩啤酒。</v>
      </c>
    </row>
    <row r="28725">
      <c r="A28725" s="4" t="s">
        <v>36176</v>
      </c>
      <c r="B28725" s="4" t="s">
        <v>36180</v>
      </c>
      <c r="C28725" s="5" t="str">
        <f>IFERROR(__xludf.DUMMYFUNCTION("GOOGLETRANSLATE(B28725,""en"",""zh-CN"")"),"一名男性和女性记者试图将球扔向杯子。")</f>
        <v>一名男性和女性记者试图将球扔向杯子。</v>
      </c>
    </row>
    <row r="28726">
      <c r="A28726" s="4" t="s">
        <v>36176</v>
      </c>
      <c r="B28726" s="4" t="s">
        <v>36181</v>
      </c>
      <c r="C28726" s="5" t="str">
        <f>IFERROR(__xludf.DUMMYFUNCTION("GOOGLETRANSLATE(B28726,""en"",""zh-CN"")"),"当其他记者继续讲话时，女人走开了。")</f>
        <v>当其他记者继续讲话时，女人走开了。</v>
      </c>
    </row>
    <row r="28727">
      <c r="A28727" s="4" t="s">
        <v>36176</v>
      </c>
      <c r="B28727" s="4" t="s">
        <v>36182</v>
      </c>
      <c r="C28727" s="5" t="str">
        <f>IFERROR(__xludf.DUMMYFUNCTION("GOOGLETRANSLATE(B28727,""en"",""zh-CN"")"),"他们恢复播放，然后福克斯新闻偶像再次出现在屏幕上。")</f>
        <v>他们恢复播放，然后福克斯新闻偶像再次出现在屏幕上。</v>
      </c>
    </row>
    <row r="28728">
      <c r="A28728" s="4" t="s">
        <v>36183</v>
      </c>
      <c r="B28728" s="4" t="s">
        <v>36184</v>
      </c>
      <c r="C28728" s="5" t="str">
        <f>IFERROR(__xludf.DUMMYFUNCTION("GOOGLETRANSLATE(B28728,""en"",""zh-CN"")"),"看到两个人在街道和人行道中间的高跷上四处走动。")</f>
        <v>看到两个人在街道和人行道中间的高跷上四处走动。</v>
      </c>
    </row>
    <row r="28729">
      <c r="A28729" s="4" t="s">
        <v>36183</v>
      </c>
      <c r="B28729" s="4" t="s">
        <v>36185</v>
      </c>
      <c r="C28729" s="5" t="str">
        <f>IFERROR(__xludf.DUMMYFUNCTION("GOOGLETRANSLATE(B28729,""en"",""zh-CN"")"),"散步继续走在街上，沿着人物和讲话的高跷走在街上。")</f>
        <v>散步继续走在街上，沿着人物和讲话的高跷走在街上。</v>
      </c>
    </row>
    <row r="28730">
      <c r="A28730" s="4" t="s">
        <v>36186</v>
      </c>
      <c r="B28730" s="4" t="s">
        <v>36187</v>
      </c>
      <c r="C28730" s="5" t="str">
        <f>IFERROR(__xludf.DUMMYFUNCTION("GOOGLETRANSLATE(B28730,""en"",""zh-CN"")"),"女人站在玩风笛的田野里。")</f>
        <v>女人站在玩风笛的田野里。</v>
      </c>
    </row>
    <row r="28731">
      <c r="A28731" s="4" t="s">
        <v>36186</v>
      </c>
      <c r="B28731" s="4" t="s">
        <v>36188</v>
      </c>
      <c r="C28731" s="5" t="str">
        <f>IFERROR(__xludf.DUMMYFUNCTION("GOOGLETRANSLATE(B28731,""en"",""zh-CN"")"),"女人站在一个停车场的中间，玩具管管。")</f>
        <v>女人站在一个停车场的中间，玩具管管。</v>
      </c>
    </row>
    <row r="28732">
      <c r="A28732" s="4" t="s">
        <v>36186</v>
      </c>
      <c r="B28732" s="4" t="s">
        <v>36189</v>
      </c>
      <c r="C28732" s="5" t="str">
        <f>IFERROR(__xludf.DUMMYFUNCTION("GOOGLETRANSLATE(B28732,""en"",""zh-CN"")"),"一个正在玩风笛的女人后面的蓝房子。")</f>
        <v>一个正在玩风笛的女人后面的蓝房子。</v>
      </c>
    </row>
    <row r="28733">
      <c r="A28733" s="4" t="s">
        <v>36190</v>
      </c>
      <c r="B28733" s="4" t="s">
        <v>36191</v>
      </c>
      <c r="C28733" s="5" t="str">
        <f>IFERROR(__xludf.DUMMYFUNCTION("GOOGLETRANSLATE(B28733,""en"",""zh-CN"")"),"滑板手来了，侧面走了一块污垢。")</f>
        <v>滑板手来了，侧面走了一块污垢。</v>
      </c>
    </row>
    <row r="28734">
      <c r="A28734" s="4" t="s">
        <v>36190</v>
      </c>
      <c r="B28734" s="4" t="s">
        <v>36192</v>
      </c>
      <c r="C28734" s="5" t="str">
        <f>IFERROR(__xludf.DUMMYFUNCTION("GOOGLETRANSLATE(B28734,""en"",""zh-CN"")"),"然后，一个男人开始从一条倾斜的道路上从屋顶的顶部骑滑板。")</f>
        <v>然后，一个男人开始从一条倾斜的道路上从屋顶的顶部骑滑板。</v>
      </c>
    </row>
    <row r="28735">
      <c r="A28735" s="4" t="s">
        <v>36190</v>
      </c>
      <c r="B28735" s="6" t="s">
        <v>36193</v>
      </c>
      <c r="C28735" s="5" t="str">
        <f>IFERROR(__xludf.DUMMYFUNCTION("GOOGLETRANSLATE(B28735,""en"",""zh-CN"")"),"然后，该男子开始在整个社区中移动和滑板，并与人们互动。")</f>
        <v>然后，该男子开始在整个社区中移动和滑板，并与人们互动。</v>
      </c>
    </row>
    <row r="28736">
      <c r="A28736" s="4" t="s">
        <v>36190</v>
      </c>
      <c r="B28736" s="6" t="s">
        <v>36194</v>
      </c>
      <c r="C28736" s="5" t="str">
        <f>IFERROR(__xludf.DUMMYFUNCTION("GOOGLETRANSLATE(B28736,""en"",""zh-CN"")"),"突然，那个男人走过地铁，从滑板上下车，直到他到达目的地。")</f>
        <v>突然，那个男人走过地铁，从滑板上下车，直到他到达目的地。</v>
      </c>
    </row>
    <row r="28737">
      <c r="A28737" s="4" t="s">
        <v>36190</v>
      </c>
      <c r="B28737" s="4" t="s">
        <v>36195</v>
      </c>
      <c r="C28737" s="5" t="str">
        <f>IFERROR(__xludf.DUMMYFUNCTION("GOOGLETRANSLATE(B28737,""en"",""zh-CN"")"),"然后，他继续滑过整个城市，跳过电线杆，积分开始滚动。")</f>
        <v>然后，他继续滑过整个城市，跳过电线杆，积分开始滚动。</v>
      </c>
    </row>
    <row r="28738">
      <c r="A28738" s="4" t="s">
        <v>36196</v>
      </c>
      <c r="B28738" s="4" t="s">
        <v>36197</v>
      </c>
      <c r="C28738" s="5" t="str">
        <f>IFERROR(__xludf.DUMMYFUNCTION("GOOGLETRANSLATE(B28738,""en"",""zh-CN"")"),"男人正站在厨房烹饪的前面，并向厨师展示食材。")</f>
        <v>男人正站在厨房烹饪的前面，并向厨师展示食材。</v>
      </c>
    </row>
    <row r="28739">
      <c r="A28739" s="4" t="s">
        <v>36196</v>
      </c>
      <c r="B28739" s="4" t="s">
        <v>36198</v>
      </c>
      <c r="C28739" s="5" t="str">
        <f>IFERROR(__xludf.DUMMYFUNCTION("GOOGLETRANSLATE(B28739,""en"",""zh-CN"")"),"人将食材放入锅中，然后用沙拉煮鸡肉，然后将其食用在盘子中。")</f>
        <v>人将食材放入锅中，然后用沙拉煮鸡肉，然后将其食用在盘子中。</v>
      </c>
    </row>
    <row r="28740">
      <c r="A28740" s="4" t="s">
        <v>36199</v>
      </c>
      <c r="B28740" s="4" t="s">
        <v>36200</v>
      </c>
      <c r="C28740" s="5" t="str">
        <f>IFERROR(__xludf.DUMMYFUNCTION("GOOGLETRANSLATE(B28740,""en"",""zh-CN"")"),"介绍出现在屏幕上，以获取有关赌场交易的视频。")</f>
        <v>介绍出现在屏幕上，以获取有关赌场交易的视频。</v>
      </c>
    </row>
    <row r="28741">
      <c r="A28741" s="4" t="s">
        <v>36199</v>
      </c>
      <c r="B28741" s="4" t="s">
        <v>36201</v>
      </c>
      <c r="C28741" s="5" t="str">
        <f>IFERROR(__xludf.DUMMYFUNCTION("GOOGLETRANSLATE(B28741,""en"",""zh-CN"")"),"一个人解释说，他们在一所赌场交易学校，他们将教人们如何交易。")</f>
        <v>一个人解释说，他们在一所赌场交易学校，他们将教人们如何交易。</v>
      </c>
    </row>
    <row r="28742">
      <c r="A28742" s="4" t="s">
        <v>36199</v>
      </c>
      <c r="B28742" s="4" t="s">
        <v>36202</v>
      </c>
      <c r="C28742" s="5" t="str">
        <f>IFERROR(__xludf.DUMMYFUNCTION("GOOGLETRANSLATE(B28742,""en"",""zh-CN"")"),"另一个人开始讲述赌场交易的基础知识。")</f>
        <v>另一个人开始讲述赌场交易的基础知识。</v>
      </c>
    </row>
    <row r="28743">
      <c r="A28743" s="4" t="s">
        <v>36199</v>
      </c>
      <c r="B28743" s="4" t="s">
        <v>4761</v>
      </c>
      <c r="C28743" s="5" t="str">
        <f>IFERROR(__xludf.DUMMYFUNCTION("GOOGLETRANSLATE(B28743,""en"",""zh-CN"")"),"视频以屏幕上显示的结尾学分结束。")</f>
        <v>视频以屏幕上显示的结尾学分结束。</v>
      </c>
    </row>
    <row r="28744">
      <c r="A28744" s="4" t="s">
        <v>36203</v>
      </c>
      <c r="B28744" s="4" t="s">
        <v>36204</v>
      </c>
      <c r="C28744" s="5" t="str">
        <f>IFERROR(__xludf.DUMMYFUNCTION("GOOGLETRANSLATE(B28744,""en"",""zh-CN"")"),"一个男人在外面使用叶吹器，用它来吹一堆叶子。")</f>
        <v>一个男人在外面使用叶吹器，用它来吹一堆叶子。</v>
      </c>
    </row>
    <row r="28745">
      <c r="A28745" s="4" t="s">
        <v>36203</v>
      </c>
      <c r="B28745" s="4" t="s">
        <v>36205</v>
      </c>
      <c r="C28745" s="5" t="str">
        <f>IFERROR(__xludf.DUMMYFUNCTION("GOOGLETRANSLATE(B28745,""en"",""zh-CN"")"),"他似乎在公园或停车场的东西。")</f>
        <v>他似乎在公园或停车场的东西。</v>
      </c>
    </row>
    <row r="28746">
      <c r="A28746" s="4" t="s">
        <v>36203</v>
      </c>
      <c r="B28746" s="4" t="s">
        <v>36206</v>
      </c>
      <c r="C28746" s="5" t="str">
        <f>IFERROR(__xludf.DUMMYFUNCTION("GOOGLETRANSLATE(B28746,""en"",""zh-CN"")"),"他戴着帽子和牛仔裤，独自一人。")</f>
        <v>他戴着帽子和牛仔裤，独自一人。</v>
      </c>
    </row>
    <row r="28747">
      <c r="A28747" s="4" t="s">
        <v>36203</v>
      </c>
      <c r="B28747" s="4" t="s">
        <v>36207</v>
      </c>
      <c r="C28747" s="5" t="str">
        <f>IFERROR(__xludf.DUMMYFUNCTION("GOOGLETRANSLATE(B28747,""en"",""zh-CN"")"),"当狗无处不在时，他继续吹叶子。")</f>
        <v>当狗无处不在时，他继续吹叶子。</v>
      </c>
    </row>
    <row r="28748">
      <c r="A28748" s="4" t="s">
        <v>36208</v>
      </c>
      <c r="B28748" s="4" t="s">
        <v>36209</v>
      </c>
      <c r="C28748" s="5" t="str">
        <f>IFERROR(__xludf.DUMMYFUNCTION("GOOGLETRANSLATE(B28748,""en"",""zh-CN"")"),"一个潜水男子与一条大鱼在水下互动。")</f>
        <v>一个潜水男子与一条大鱼在水下互动。</v>
      </c>
    </row>
    <row r="28749">
      <c r="A28749" s="4" t="s">
        <v>36208</v>
      </c>
      <c r="B28749" s="4" t="s">
        <v>36210</v>
      </c>
      <c r="C28749" s="5" t="str">
        <f>IFERROR(__xludf.DUMMYFUNCTION("GOOGLETRANSLATE(B28749,""en"",""zh-CN"")"),"该男子对相机做出一个推动的手势。")</f>
        <v>该男子对相机做出一个推动的手势。</v>
      </c>
    </row>
    <row r="28750">
      <c r="A28750" s="4" t="s">
        <v>36208</v>
      </c>
      <c r="B28750" s="4" t="s">
        <v>36211</v>
      </c>
      <c r="C28750" s="5" t="str">
        <f>IFERROR(__xludf.DUMMYFUNCTION("GOOGLETRANSLATE(B28750,""en"",""zh-CN"")"),"该男子对相机做出了几个手势。")</f>
        <v>该男子对相机做出了几个手势。</v>
      </c>
    </row>
    <row r="28751">
      <c r="A28751" s="4" t="s">
        <v>36208</v>
      </c>
      <c r="B28751" s="4" t="s">
        <v>36212</v>
      </c>
      <c r="C28751" s="5" t="str">
        <f>IFERROR(__xludf.DUMMYFUNCTION("GOOGLETRANSLATE(B28751,""en"",""zh-CN"")"),"鱼公羊进入男人，游走了。")</f>
        <v>鱼公羊进入男人，游走了。</v>
      </c>
    </row>
    <row r="28752">
      <c r="A28752" s="4" t="s">
        <v>36213</v>
      </c>
      <c r="B28752" s="4" t="s">
        <v>36214</v>
      </c>
      <c r="C28752" s="5" t="str">
        <f>IFERROR(__xludf.DUMMYFUNCTION("GOOGLETRANSLATE(B28752,""en"",""zh-CN"")"),"一个男人拿着两把剑，假装击中另一个拿着剑的人。")</f>
        <v>一个男人拿着两把剑，假装击中另一个拿着剑的人。</v>
      </c>
    </row>
    <row r="28753">
      <c r="A28753" s="4" t="s">
        <v>36213</v>
      </c>
      <c r="B28753" s="4" t="s">
        <v>36215</v>
      </c>
      <c r="C28753" s="5" t="str">
        <f>IFERROR(__xludf.DUMMYFUNCTION("GOOGLETRANSLATE(B28753,""en"",""zh-CN"")"),"他再次演示，将剑交给另一个男人。")</f>
        <v>他再次演示，将剑交给另一个男人。</v>
      </c>
    </row>
    <row r="28754">
      <c r="A28754" s="4" t="s">
        <v>36213</v>
      </c>
      <c r="B28754" s="4" t="s">
        <v>36216</v>
      </c>
      <c r="C28754" s="5" t="str">
        <f>IFERROR(__xludf.DUMMYFUNCTION("GOOGLETRANSLATE(B28754,""en"",""zh-CN"")"),"他在继续展示几把剑动作的同时评论了自己的能力。")</f>
        <v>他在继续展示几把剑动作的同时评论了自己的能力。</v>
      </c>
    </row>
    <row r="28755">
      <c r="A28755" s="4" t="s">
        <v>36213</v>
      </c>
      <c r="B28755" s="4" t="s">
        <v>36217</v>
      </c>
      <c r="C28755" s="5" t="str">
        <f>IFERROR(__xludf.DUMMYFUNCTION("GOOGLETRANSLATE(B28755,""en"",""zh-CN"")"),"其他男人开始用剑战。")</f>
        <v>其他男人开始用剑战。</v>
      </c>
    </row>
    <row r="28756">
      <c r="A28756" s="4" t="s">
        <v>36213</v>
      </c>
      <c r="B28756" s="4" t="s">
        <v>36218</v>
      </c>
      <c r="C28756" s="5" t="str">
        <f>IFERROR(__xludf.DUMMYFUNCTION("GOOGLETRANSLATE(B28756,""en"",""zh-CN"")"),"一个人摔倒了，行为受伤，以扮演戏剧小村庄的角色。")</f>
        <v>一个人摔倒了，行为受伤，以扮演戏剧小村庄的角色。</v>
      </c>
    </row>
    <row r="28757">
      <c r="A28757" s="4" t="s">
        <v>36219</v>
      </c>
      <c r="B28757" s="4" t="s">
        <v>36220</v>
      </c>
      <c r="C28757" s="5" t="str">
        <f>IFERROR(__xludf.DUMMYFUNCTION("GOOGLETRANSLATE(B28757,""en"",""zh-CN"")"),"一个摄像头绕着一个女人站在狗在篱笆上平衡的狗前面。")</f>
        <v>一个摄像头绕着一个女人站在狗在篱笆上平衡的狗前面。</v>
      </c>
    </row>
    <row r="28758">
      <c r="A28758" s="4" t="s">
        <v>36219</v>
      </c>
      <c r="B28758" s="4" t="s">
        <v>36221</v>
      </c>
      <c r="C28758" s="5" t="str">
        <f>IFERROR(__xludf.DUMMYFUNCTION("GOOGLETRANSLATE(B28758,""en"",""zh-CN"")"),"当摄像机竖起时，狗继续在栅栏上保持平衡。")</f>
        <v>当摄像机竖起时，狗继续在栅栏上保持平衡。</v>
      </c>
    </row>
    <row r="28759">
      <c r="A28759" s="4" t="s">
        <v>36219</v>
      </c>
      <c r="B28759" s="4" t="s">
        <v>36222</v>
      </c>
      <c r="C28759" s="5" t="str">
        <f>IFERROR(__xludf.DUMMYFUNCTION("GOOGLETRANSLATE(B28759,""en"",""zh-CN"")"),"然后，狗最后跳下篱笆。")</f>
        <v>然后，狗最后跳下篱笆。</v>
      </c>
    </row>
    <row r="28760">
      <c r="A28760" s="4" t="s">
        <v>36223</v>
      </c>
      <c r="B28760" s="4" t="s">
        <v>36224</v>
      </c>
      <c r="C28760" s="5" t="str">
        <f>IFERROR(__xludf.DUMMYFUNCTION("GOOGLETRANSLATE(B28760,""en"",""zh-CN"")"),"一个男人拿着白鞋，将其放在地上。")</f>
        <v>一个男人拿着白鞋，将其放在地上。</v>
      </c>
    </row>
    <row r="28761">
      <c r="A28761" s="4" t="s">
        <v>36223</v>
      </c>
      <c r="B28761" s="4" t="s">
        <v>36225</v>
      </c>
      <c r="C28761" s="5" t="str">
        <f>IFERROR(__xludf.DUMMYFUNCTION("GOOGLETRANSLATE(B28761,""en"",""zh-CN"")"),"该男子的右脚已经有一双鞋子，当他碰到它时，它会收紧。")</f>
        <v>该男子的右脚已经有一双鞋子，当他碰到它时，它会收紧。</v>
      </c>
    </row>
    <row r="28762">
      <c r="A28762" s="4" t="s">
        <v>36223</v>
      </c>
      <c r="B28762" s="6" t="s">
        <v>36226</v>
      </c>
      <c r="C28762" s="5" t="str">
        <f>IFERROR(__xludf.DUMMYFUNCTION("GOOGLETRANSLATE(B28762,""en"",""zh-CN"")"),"该男子的脸显示出来，他低头看着鞋子，然后在脚上显示了左鞋，并且自身正在收紧。")</f>
        <v>该男子的脸显示出来，他低头看着鞋子，然后在脚上显示了左鞋，并且自身正在收紧。</v>
      </c>
    </row>
    <row r="28763">
      <c r="A28763" s="4" t="s">
        <v>36223</v>
      </c>
      <c r="B28763" s="6" t="s">
        <v>36227</v>
      </c>
      <c r="C28763" s="5" t="str">
        <f>IFERROR(__xludf.DUMMYFUNCTION("GOOGLETRANSLATE(B28763,""en"",""zh-CN"")"),"该男子从汽车上站起来，场景揭示了电影中的迈克尔·J·福克斯（Michael J Fox）回到未来。")</f>
        <v>该男子从汽车上站起来，场景揭示了电影中的迈克尔·J·福克斯（Michael J Fox）回到未来。</v>
      </c>
    </row>
    <row r="28764">
      <c r="A28764" s="4" t="s">
        <v>36228</v>
      </c>
      <c r="B28764" s="4" t="s">
        <v>36229</v>
      </c>
      <c r="C28764" s="5" t="str">
        <f>IFERROR(__xludf.DUMMYFUNCTION("GOOGLETRANSLATE(B28764,""en"",""zh-CN"")"),"一个女孩在船上拿着三个呼啦圈的船上。")</f>
        <v>一个女孩在船上拿着三个呼啦圈的船上。</v>
      </c>
    </row>
    <row r="28765">
      <c r="A28765" s="4" t="s">
        <v>36228</v>
      </c>
      <c r="B28765" s="6" t="s">
        <v>36230</v>
      </c>
      <c r="C28765" s="5" t="str">
        <f>IFERROR(__xludf.DUMMYFUNCTION("GOOGLETRANSLATE(B28765,""en"",""zh-CN"")"),"她开始用手，腿部和脖子挥舞着它们，并短暂停止以调整相机。")</f>
        <v>她开始用手，腿部和脖子挥舞着它们，并短暂停止以调整相机。</v>
      </c>
    </row>
    <row r="28766">
      <c r="A28766" s="4" t="s">
        <v>36228</v>
      </c>
      <c r="B28766" s="6" t="s">
        <v>36231</v>
      </c>
      <c r="C28766" s="5" t="str">
        <f>IFERROR(__xludf.DUMMYFUNCTION("GOOGLETRANSLATE(B28766,""en"",""zh-CN"")"),"然后，这位年轻的女士再次出现，她的身体周围有二十至三十个呼啦圈，来回摆动它们，然后建议您订阅频道。")</f>
        <v>然后，这位年轻的女士再次出现，她的身体周围有二十至三十个呼啦圈，来回摆动它们，然后建议您订阅频道。</v>
      </c>
    </row>
    <row r="28767">
      <c r="A28767" s="4" t="s">
        <v>36232</v>
      </c>
      <c r="B28767" s="6" t="s">
        <v>36233</v>
      </c>
      <c r="C28767" s="5" t="str">
        <f>IFERROR(__xludf.DUMMYFUNCTION("GOOGLETRANSLATE(B28767,""en"",""zh-CN"")"),"看到两个人站在一个封闭的房间里，拿着网球拍，开始将球从墙上撞到彼此。")</f>
        <v>看到两个人站在一个封闭的房间里，拿着网球拍，开始将球从墙上撞到彼此。</v>
      </c>
    </row>
    <row r="28768">
      <c r="A28768" s="4" t="s">
        <v>36232</v>
      </c>
      <c r="B28768" s="6" t="s">
        <v>36234</v>
      </c>
      <c r="C28768" s="5" t="str">
        <f>IFERROR(__xludf.DUMMYFUNCTION("GOOGLETRANSLATE(B28768,""en"",""zh-CN"")"),"这些人继续在球上回去第四，然后将其从墙壁上撞到，并撞到墙壁上。")</f>
        <v>这些人继续在球上回去第四，然后将其从墙壁上撞到，并撞到墙壁上。</v>
      </c>
    </row>
    <row r="28769">
      <c r="A28769" s="4" t="s">
        <v>36235</v>
      </c>
      <c r="B28769" s="4" t="s">
        <v>36236</v>
      </c>
      <c r="C28769" s="5" t="str">
        <f>IFERROR(__xludf.DUMMYFUNCTION("GOOGLETRANSLATE(B28769,""en"",""zh-CN"")"),"看到两个男人彼此传球，并导致一群踢足球的人。")</f>
        <v>看到两个男人彼此传球，并导致一群踢足球的人。</v>
      </c>
    </row>
    <row r="28770">
      <c r="A28770" s="4" t="s">
        <v>36235</v>
      </c>
      <c r="B28770" s="4" t="s">
        <v>36237</v>
      </c>
      <c r="C28770" s="5" t="str">
        <f>IFERROR(__xludf.DUMMYFUNCTION("GOOGLETRANSLATE(B28770,""en"",""zh-CN"")"),"当相机跟随他们的动作时，人们在球场上上下移动。")</f>
        <v>当相机跟随他们的动作时，人们在球场上上下移动。</v>
      </c>
    </row>
    <row r="28771">
      <c r="A28771" s="4" t="s">
        <v>36235</v>
      </c>
      <c r="B28771" s="4" t="s">
        <v>36238</v>
      </c>
      <c r="C28771" s="5" t="str">
        <f>IFERROR(__xludf.DUMMYFUNCTION("GOOGLETRANSLATE(B28771,""en"",""zh-CN"")"),"当小组继续比赛时，许多人看着两侧。")</f>
        <v>当小组继续比赛时，许多人看着两侧。</v>
      </c>
    </row>
    <row r="28772">
      <c r="A28772" s="4" t="s">
        <v>36239</v>
      </c>
      <c r="B28772" s="6" t="s">
        <v>36240</v>
      </c>
      <c r="C28772" s="5" t="str">
        <f>IFERROR(__xludf.DUMMYFUNCTION("GOOGLETRANSLATE(B28772,""en"",""zh-CN"")"),"当多个潜水员轮流并站在最高的潜水点上，印第安纳州的一词在室内泳池手表中，他们在登陆泳池之前进行了多次翻转。")</f>
        <v>当多个潜水员轮流并站在最高的潜水点上，印第安纳州的一词在室内泳池手表中，他们在登陆泳池之前进行了多次翻转。</v>
      </c>
    </row>
    <row r="28773">
      <c r="A28773" s="4" t="s">
        <v>36239</v>
      </c>
      <c r="B28773" s="6" t="s">
        <v>36241</v>
      </c>
      <c r="C28773" s="5" t="str">
        <f>IFERROR(__xludf.DUMMYFUNCTION("GOOGLETRANSLATE(B28773,""en"",""zh-CN"")"),"几个女人轮流以不同的方式从最高的潜水点跳下来，进行多次翻转，然后潜入游泳池时，在撞到水时会产生小的飞溅。")</f>
        <v>几个女人轮流以不同的方式从最高的潜水点跳下来，进行多次翻转，然后潜入游泳池时，在撞到水时会产生小的飞溅。</v>
      </c>
    </row>
    <row r="28774">
      <c r="A28774" s="4" t="s">
        <v>36239</v>
      </c>
      <c r="B28774" s="6" t="s">
        <v>36242</v>
      </c>
      <c r="C28774" s="5" t="str">
        <f>IFERROR(__xludf.DUMMYFUNCTION("GOOGLETRANSLATE(B28774,""en"",""zh-CN"")"),"一个金发碧眼的女人向游泳池露面的倒立非常缓慢，然后推开并进行多次翻转，然后才跳入游泳池，形成一个小的飞溅。")</f>
        <v>一个金发碧眼的女人向游泳池露面的倒立非常缓慢，然后推开并进行多次翻转，然后才跳入游泳池，形成一个小的飞溅。</v>
      </c>
    </row>
    <row r="28775">
      <c r="A28775" s="4" t="s">
        <v>36239</v>
      </c>
      <c r="B28775" s="6" t="s">
        <v>36243</v>
      </c>
      <c r="C28775" s="5" t="str">
        <f>IFERROR(__xludf.DUMMYFUNCTION("GOOGLETRANSLATE(B28775,""en"",""zh-CN"")"),"当女人完成潜水时，男人也从最高点进行跳水，他们在撞到水中会产生小小的飞溅之前进行了多次翻转。")</f>
        <v>当女人完成潜水时，男人也从最高点进行跳水，他们在撞到水中会产生小小的飞溅之前进行了多次翻转。</v>
      </c>
    </row>
    <row r="28776">
      <c r="A28776" s="4" t="s">
        <v>36244</v>
      </c>
      <c r="B28776" s="4" t="s">
        <v>36245</v>
      </c>
      <c r="C28776" s="5" t="str">
        <f>IFERROR(__xludf.DUMMYFUNCTION("GOOGLETRANSLATE(B28776,""en"",""zh-CN"")"),"黑暗冬季装备中的一个人正在使用铲子将停车场的人行道铲。")</f>
        <v>黑暗冬季装备中的一个人正在使用铲子将停车场的人行道铲。</v>
      </c>
    </row>
    <row r="28777">
      <c r="A28777" s="4" t="s">
        <v>36244</v>
      </c>
      <c r="B28777" s="4" t="s">
        <v>36246</v>
      </c>
      <c r="C28777" s="5" t="str">
        <f>IFERROR(__xludf.DUMMYFUNCTION("GOOGLETRANSLATE(B28777,""en"",""zh-CN"")"),"这是夜间的时间，街道上有路灯昏暗。")</f>
        <v>这是夜间的时间，街道上有路灯昏暗。</v>
      </c>
    </row>
    <row r="28778">
      <c r="A28778" s="4" t="s">
        <v>36244</v>
      </c>
      <c r="B28778" s="4" t="s">
        <v>36247</v>
      </c>
      <c r="C28778" s="5" t="str">
        <f>IFERROR(__xludf.DUMMYFUNCTION("GOOGLETRANSLATE(B28778,""en"",""zh-CN"")"),"当几辆汽车在附近的主要道路上行驶时，他继续铲除整个道路。")</f>
        <v>当几辆汽车在附近的主要道路上行驶时，他继续铲除整个道路。</v>
      </c>
    </row>
    <row r="28779">
      <c r="A28779" s="4" t="s">
        <v>36244</v>
      </c>
      <c r="B28779" s="4" t="s">
        <v>36248</v>
      </c>
      <c r="C28779" s="5" t="str">
        <f>IFERROR(__xludf.DUMMYFUNCTION("GOOGLETRANSLATE(B28779,""en"",""zh-CN"")"),"他捡起雪，将其堆在拐角处。")</f>
        <v>他捡起雪，将其堆在拐角处。</v>
      </c>
    </row>
    <row r="28780">
      <c r="A28780" s="4" t="s">
        <v>36244</v>
      </c>
      <c r="B28780" s="4" t="s">
        <v>36249</v>
      </c>
      <c r="C28780" s="5" t="str">
        <f>IFERROR(__xludf.DUMMYFUNCTION("GOOGLETRANSLATE(B28780,""en"",""zh-CN"")"),"结束后，他走开了。")</f>
        <v>结束后，他走开了。</v>
      </c>
    </row>
    <row r="28781">
      <c r="A28781" s="4" t="s">
        <v>36250</v>
      </c>
      <c r="B28781" s="4" t="s">
        <v>36251</v>
      </c>
      <c r="C28781" s="5" t="str">
        <f>IFERROR(__xludf.DUMMYFUNCTION("GOOGLETRANSLATE(B28781,""en"",""zh-CN"")"),"一个人坐在健身房的垫子上，抬起双腿时确实坐了起来。")</f>
        <v>一个人坐在健身房的垫子上，抬起双腿时确实坐了起来。</v>
      </c>
    </row>
    <row r="28782">
      <c r="A28782" s="4" t="s">
        <v>36250</v>
      </c>
      <c r="B28782" s="4" t="s">
        <v>36252</v>
      </c>
      <c r="C28782" s="5" t="str">
        <f>IFERROR(__xludf.DUMMYFUNCTION("GOOGLETRANSLATE(B28782,""en"",""zh-CN"")"),"该人完成了锻炼程序并休息一下。")</f>
        <v>该人完成了锻炼程序并休息一下。</v>
      </c>
    </row>
    <row r="28783">
      <c r="A28783" s="4" t="s">
        <v>36250</v>
      </c>
      <c r="B28783" s="4" t="s">
        <v>36253</v>
      </c>
      <c r="C28783" s="5" t="str">
        <f>IFERROR(__xludf.DUMMYFUNCTION("GOOGLETRANSLATE(B28783,""en"",""zh-CN"")"),"看到图形，羽毛掉落。")</f>
        <v>看到图形，羽毛掉落。</v>
      </c>
    </row>
    <row r="28784">
      <c r="A28784" s="4" t="s">
        <v>36254</v>
      </c>
      <c r="B28784" s="6" t="s">
        <v>36255</v>
      </c>
      <c r="C28784" s="5" t="str">
        <f>IFERROR(__xludf.DUMMYFUNCTION("GOOGLETRANSLATE(B28784,""en"",""zh-CN"")"),"在海滩上玩耍的人们都显示了各种剪辑，并戴上防晒霜并携带物体。")</f>
        <v>在海滩上玩耍的人们都显示了各种剪辑，并戴上防晒霜并携带物体。</v>
      </c>
    </row>
    <row r="28785">
      <c r="A28785" s="4" t="s">
        <v>36254</v>
      </c>
      <c r="B28785" s="6" t="s">
        <v>36256</v>
      </c>
      <c r="C28785" s="5" t="str">
        <f>IFERROR(__xludf.DUMMYFUNCTION("GOOGLETRANSLATE(B28785,""en"",""zh-CN"")"),"显示了一个大爆炸，然后是孩子们和一个男人一起钓鱼的孩子，还有更多在海滩上玩的人。")</f>
        <v>显示了一个大爆炸，然后是孩子们和一个男人一起钓鱼的孩子，还有更多在海滩上玩的人。</v>
      </c>
    </row>
    <row r="28786">
      <c r="A28786" s="4" t="s">
        <v>36257</v>
      </c>
      <c r="B28786" s="4" t="s">
        <v>36258</v>
      </c>
      <c r="C28786" s="5" t="str">
        <f>IFERROR(__xludf.DUMMYFUNCTION("GOOGLETRANSLATE(B28786,""en"",""zh-CN"")"),"三个人走进一栋建筑物。")</f>
        <v>三个人走进一栋建筑物。</v>
      </c>
    </row>
    <row r="28787">
      <c r="A28787" s="4" t="s">
        <v>36257</v>
      </c>
      <c r="B28787" s="4" t="s">
        <v>36259</v>
      </c>
      <c r="C28787" s="5" t="str">
        <f>IFERROR(__xludf.DUMMYFUNCTION("GOOGLETRANSLATE(B28787,""en"",""zh-CN"")"),"他们开始玩冰壶游戏。")</f>
        <v>他们开始玩冰壶游戏。</v>
      </c>
    </row>
    <row r="28788">
      <c r="A28788" s="4" t="s">
        <v>36257</v>
      </c>
      <c r="B28788" s="6" t="s">
        <v>36260</v>
      </c>
      <c r="C28788" s="5" t="str">
        <f>IFERROR(__xludf.DUMMYFUNCTION("GOOGLETRANSLATE(B28788,""en"",""zh-CN"")"),"人们在冰壶大厅里展示了自己的享受，并显示了奖杯。")</f>
        <v>人们在冰壶大厅里展示了自己的享受，并显示了奖杯。</v>
      </c>
    </row>
    <row r="28789">
      <c r="A28789" s="4" t="s">
        <v>36257</v>
      </c>
      <c r="B28789" s="4" t="s">
        <v>36261</v>
      </c>
      <c r="C28789" s="5" t="str">
        <f>IFERROR(__xludf.DUMMYFUNCTION("GOOGLETRANSLATE(B28789,""en"",""zh-CN"")"),"这些人在储物柜中显示出准备卷曲。")</f>
        <v>这些人在储物柜中显示出准备卷曲。</v>
      </c>
    </row>
    <row r="28790">
      <c r="A28790" s="4" t="s">
        <v>36257</v>
      </c>
      <c r="B28790" s="4" t="s">
        <v>36262</v>
      </c>
      <c r="C28790" s="5" t="str">
        <f>IFERROR(__xludf.DUMMYFUNCTION("GOOGLETRANSLATE(B28790,""en"",""zh-CN"")"),"这些人一起在冰上摆姿势。")</f>
        <v>这些人一起在冰上摆姿势。</v>
      </c>
    </row>
    <row r="28791">
      <c r="A28791" s="4" t="s">
        <v>36263</v>
      </c>
      <c r="B28791" s="4" t="s">
        <v>36264</v>
      </c>
      <c r="C28791" s="5" t="str">
        <f>IFERROR(__xludf.DUMMYFUNCTION("GOOGLETRANSLATE(B28791,""en"",""zh-CN"")"),"许多法官坐在场上，等待运动员的表现。")</f>
        <v>许多法官坐在场上，等待运动员的表现。</v>
      </c>
    </row>
    <row r="28792">
      <c r="A28792" s="4" t="s">
        <v>36263</v>
      </c>
      <c r="B28792" s="4" t="s">
        <v>36265</v>
      </c>
      <c r="C28792" s="5" t="str">
        <f>IFERROR(__xludf.DUMMYFUNCTION("GOOGLETRANSLATE(B28792,""en"",""zh-CN"")"),"一名运动员接近现场区域。")</f>
        <v>一名运动员接近现场区域。</v>
      </c>
    </row>
    <row r="28793">
      <c r="A28793" s="4" t="s">
        <v>36263</v>
      </c>
      <c r="B28793" s="4" t="s">
        <v>36266</v>
      </c>
      <c r="C28793" s="5" t="str">
        <f>IFERROR(__xludf.DUMMYFUNCTION("GOOGLETRANSLATE(B28793,""en"",""zh-CN"")"),"运动员旋转身体，用最大的力扔圆盘。")</f>
        <v>运动员旋转身体，用最大的力扔圆盘。</v>
      </c>
    </row>
    <row r="28794">
      <c r="A28794" s="4" t="s">
        <v>36267</v>
      </c>
      <c r="B28794" s="4" t="s">
        <v>36268</v>
      </c>
      <c r="C28794" s="5" t="str">
        <f>IFERROR(__xludf.DUMMYFUNCTION("GOOGLETRANSLATE(B28794,""en"",""zh-CN"")"),"一个人躺在床上。")</f>
        <v>一个人躺在床上。</v>
      </c>
    </row>
    <row r="28795">
      <c r="A28795" s="4" t="s">
        <v>36267</v>
      </c>
      <c r="B28795" s="4" t="s">
        <v>36269</v>
      </c>
      <c r="C28795" s="5" t="str">
        <f>IFERROR(__xludf.DUMMYFUNCTION("GOOGLETRANSLATE(B28795,""en"",""zh-CN"")"),"一个人把蜡放在他们的腿上。")</f>
        <v>一个人把蜡放在他们的腿上。</v>
      </c>
    </row>
    <row r="28796">
      <c r="A28796" s="4" t="s">
        <v>36267</v>
      </c>
      <c r="B28796" s="4" t="s">
        <v>36270</v>
      </c>
      <c r="C28796" s="5" t="str">
        <f>IFERROR(__xludf.DUMMYFUNCTION("GOOGLETRANSLATE(B28796,""en"",""zh-CN"")"),"他们把纸放在上面，撕下头发。")</f>
        <v>他们把纸放在上面，撕下头发。</v>
      </c>
    </row>
    <row r="28797">
      <c r="A28797" s="4" t="s">
        <v>36271</v>
      </c>
      <c r="B28797" s="4" t="s">
        <v>36272</v>
      </c>
      <c r="C28797" s="5" t="str">
        <f>IFERROR(__xludf.DUMMYFUNCTION("GOOGLETRANSLATE(B28797,""en"",""zh-CN"")"),"我们看到一个男人正在准备和投掷射击。")</f>
        <v>我们看到一个男人正在准备和投掷射击。</v>
      </c>
    </row>
    <row r="28798">
      <c r="A28798" s="4" t="s">
        <v>36271</v>
      </c>
      <c r="B28798" s="4" t="s">
        <v>36273</v>
      </c>
      <c r="C28798" s="5" t="str">
        <f>IFERROR(__xludf.DUMMYFUNCTION("GOOGLETRANSLATE(B28798,""en"",""zh-CN"")"),"我们看到一个人奔跑以测量距离。")</f>
        <v>我们看到一个人奔跑以测量距离。</v>
      </c>
    </row>
    <row r="28799">
      <c r="A28799" s="4" t="s">
        <v>36271</v>
      </c>
      <c r="B28799" s="4" t="s">
        <v>36274</v>
      </c>
      <c r="C28799" s="5" t="str">
        <f>IFERROR(__xludf.DUMMYFUNCTION("GOOGLETRANSLATE(B28799,""en"",""zh-CN"")"),"我们看到一个人站立。")</f>
        <v>我们看到一个人站立。</v>
      </c>
    </row>
    <row r="28800">
      <c r="A28800" s="4" t="s">
        <v>36271</v>
      </c>
      <c r="B28800" s="4" t="s">
        <v>36275</v>
      </c>
      <c r="C28800" s="5" t="str">
        <f>IFERROR(__xludf.DUMMYFUNCTION("GOOGLETRANSLATE(B28800,""en"",""zh-CN"")"),"我们看到人群中的人们欢呼。")</f>
        <v>我们看到人群中的人们欢呼。</v>
      </c>
    </row>
    <row r="28801">
      <c r="A28801" s="4" t="s">
        <v>36271</v>
      </c>
      <c r="B28801" s="4" t="s">
        <v>36276</v>
      </c>
      <c r="C28801" s="5" t="str">
        <f>IFERROR(__xludf.DUMMYFUNCTION("GOOGLETRANSLATE(B28801,""en"",""zh-CN"")"),"我们再次看到看台上的人。")</f>
        <v>我们再次看到看台上的人。</v>
      </c>
    </row>
    <row r="28802">
      <c r="A28802" s="4" t="s">
        <v>36271</v>
      </c>
      <c r="B28802" s="4" t="s">
        <v>36277</v>
      </c>
      <c r="C28802" s="5" t="str">
        <f>IFERROR(__xludf.DUMMYFUNCTION("GOOGLETRANSLATE(B28802,""en"",""zh-CN"")"),"当玩家走开时，我们放大了。")</f>
        <v>当玩家走开时，我们放大了。</v>
      </c>
    </row>
    <row r="28803">
      <c r="A28803" s="4" t="s">
        <v>36278</v>
      </c>
      <c r="B28803" s="4" t="s">
        <v>36279</v>
      </c>
      <c r="C28803" s="5" t="str">
        <f>IFERROR(__xludf.DUMMYFUNCTION("GOOGLETRANSLATE(B28803,""en"",""zh-CN"")"),"两个女人和一个男人舞蹈流行音乐，同时做不同的步骤。")</f>
        <v>两个女人和一个男人舞蹈流行音乐，同时做不同的步骤。</v>
      </c>
    </row>
    <row r="28804">
      <c r="A28804" s="4" t="s">
        <v>36278</v>
      </c>
      <c r="B28804" s="4" t="s">
        <v>36280</v>
      </c>
      <c r="C28804" s="5" t="str">
        <f>IFERROR(__xludf.DUMMYFUNCTION("GOOGLETRANSLATE(B28804,""en"",""zh-CN"")"),"女人和男人在跳舞时举起手臂，然后继续跳舞和转身。")</f>
        <v>女人和男人在跳舞时举起手臂，然后继续跳舞和转身。</v>
      </c>
    </row>
    <row r="28805">
      <c r="A28805" s="4" t="s">
        <v>36281</v>
      </c>
      <c r="B28805" s="4" t="s">
        <v>20672</v>
      </c>
      <c r="C28805" s="5" t="str">
        <f>IFERROR(__xludf.DUMMYFUNCTION("GOOGLETRANSLATE(B28805,""en"",""zh-CN"")"),"一个女孩跳到平衡梁上。")</f>
        <v>一个女孩跳到平衡梁上。</v>
      </c>
    </row>
    <row r="28806">
      <c r="A28806" s="4" t="s">
        <v>36281</v>
      </c>
      <c r="B28806" s="4" t="s">
        <v>36282</v>
      </c>
      <c r="C28806" s="5" t="str">
        <f>IFERROR(__xludf.DUMMYFUNCTION("GOOGLETRANSLATE(B28806,""en"",""zh-CN"")"),"她在平衡梁上做一个体操例程。")</f>
        <v>她在平衡梁上做一个体操例程。</v>
      </c>
    </row>
    <row r="28807">
      <c r="A28807" s="4" t="s">
        <v>36281</v>
      </c>
      <c r="B28807" s="4" t="s">
        <v>36283</v>
      </c>
      <c r="C28807" s="5" t="str">
        <f>IFERROR(__xludf.DUMMYFUNCTION("GOOGLETRANSLATE(B28807,""en"",""zh-CN"")"),"她跳下光束，用手抬起垫子。")</f>
        <v>她跳下光束，用手抬起垫子。</v>
      </c>
    </row>
    <row r="28808">
      <c r="A28808" s="4" t="s">
        <v>36281</v>
      </c>
      <c r="B28808" s="4" t="s">
        <v>36284</v>
      </c>
      <c r="C28808" s="5" t="str">
        <f>IFERROR(__xludf.DUMMYFUNCTION("GOOGLETRANSLATE(B28808,""en"",""zh-CN"")"),"一个穿着蓝色衬衫的女人过来拥抱她。")</f>
        <v>一个穿着蓝色衬衫的女人过来拥抱她。</v>
      </c>
    </row>
    <row r="28809">
      <c r="A28809" s="4" t="s">
        <v>36285</v>
      </c>
      <c r="B28809" s="4" t="s">
        <v>36286</v>
      </c>
      <c r="C28809" s="5" t="str">
        <f>IFERROR(__xludf.DUMMYFUNCTION("GOOGLETRANSLATE(B28809,""en"",""zh-CN"")"),"一个女人用手里卷起纸走进车库。")</f>
        <v>一个女人用手里卷起纸走进车库。</v>
      </c>
    </row>
    <row r="28810">
      <c r="A28810" s="4" t="s">
        <v>36285</v>
      </c>
      <c r="B28810" s="6" t="s">
        <v>36287</v>
      </c>
      <c r="C28810" s="5" t="str">
        <f>IFERROR(__xludf.DUMMYFUNCTION("GOOGLETRANSLATE(B28810,""en"",""zh-CN"")"),"一旦她离开，就展示了一只黑猫，然后开始爬行一切，然后女士来宠物。")</f>
        <v>一旦她离开，就展示了一只黑猫，然后开始爬行一切，然后女士来宠物。</v>
      </c>
    </row>
    <row r="28811">
      <c r="A28811" s="4" t="s">
        <v>36285</v>
      </c>
      <c r="B28811" s="4" t="s">
        <v>36288</v>
      </c>
      <c r="C28811" s="5" t="str">
        <f>IFERROR(__xludf.DUMMYFUNCTION("GOOGLETRANSLATE(B28811,""en"",""zh-CN"")"),"雌性叶子和走进一个房间，开始用墙纸覆盖房间。")</f>
        <v>雌性叶子和走进一个房间，开始用墙纸覆盖房间。</v>
      </c>
    </row>
    <row r="28812">
      <c r="A28812" s="4" t="s">
        <v>36285</v>
      </c>
      <c r="B28812" s="6" t="s">
        <v>36289</v>
      </c>
      <c r="C28812" s="5" t="str">
        <f>IFERROR(__xludf.DUMMYFUNCTION("GOOGLETRANSLATE(B28812,""en"",""zh-CN"")"),"她忘记了剪刀，走出去抓住它们，然后回来在墙上涂上更多纸。")</f>
        <v>她忘记了剪刀，走出去抓住它们，然后回来在墙上涂上更多纸。</v>
      </c>
    </row>
    <row r="28813">
      <c r="A28813" s="4" t="s">
        <v>36285</v>
      </c>
      <c r="B28813" s="4" t="s">
        <v>36290</v>
      </c>
      <c r="C28813" s="5" t="str">
        <f>IFERROR(__xludf.DUMMYFUNCTION("GOOGLETRANSLATE(B28813,""en"",""zh-CN"")"),"需要休息一下，女人从厨房喝酒。")</f>
        <v>需要休息一下，女人从厨房喝酒。</v>
      </c>
    </row>
    <row r="28814">
      <c r="A28814" s="4" t="s">
        <v>36285</v>
      </c>
      <c r="B28814" s="4" t="s">
        <v>36291</v>
      </c>
      <c r="C28814" s="5" t="str">
        <f>IFERROR(__xludf.DUMMYFUNCTION("GOOGLETRANSLATE(B28814,""en"",""zh-CN"")"),"不久之后，这位女士继续她的任务，然后走到外面把猫带出去。")</f>
        <v>不久之后，这位女士继续她的任务，然后走到外面把猫带出去。</v>
      </c>
    </row>
    <row r="28815">
      <c r="A28815" s="4" t="s">
        <v>36285</v>
      </c>
      <c r="B28815" s="6" t="s">
        <v>36292</v>
      </c>
      <c r="C28815" s="5" t="str">
        <f>IFERROR(__xludf.DUMMYFUNCTION("GOOGLETRANSLATE(B28815,""en"",""zh-CN"")"),"墙仍然没有完成，她回到房间里完成它的外部，以确保其光滑度。")</f>
        <v>墙仍然没有完成，她回到房间里完成它的外部，以确保其光滑度。</v>
      </c>
    </row>
    <row r="28816">
      <c r="A28816" s="4" t="s">
        <v>36285</v>
      </c>
      <c r="B28816" s="6" t="s">
        <v>36293</v>
      </c>
      <c r="C28816" s="5" t="str">
        <f>IFERROR(__xludf.DUMMYFUNCTION("GOOGLETRANSLATE(B28816,""en"",""zh-CN"")"),"当她结束时，猫进入房间，开始玩球，然后再回到外面。")</f>
        <v>当她结束时，猫进入房间，开始玩球，然后再回到外面。</v>
      </c>
    </row>
    <row r="28817">
      <c r="A28817" s="4" t="s">
        <v>36285</v>
      </c>
      <c r="B28817" s="6" t="s">
        <v>36294</v>
      </c>
      <c r="C28817" s="5" t="str">
        <f>IFERROR(__xludf.DUMMYFUNCTION("GOOGLETRANSLATE(B28817,""en"",""zh-CN"")"),"女人们穿着另一组衣服重新出现以完成墙壁，她终于完成了，开始抬起手，倒在床上。")</f>
        <v>女人们穿着另一组衣服重新出现以完成墙壁，她终于完成了，开始抬起手，倒在床上。</v>
      </c>
    </row>
    <row r="28818">
      <c r="A28818" s="4" t="s">
        <v>36295</v>
      </c>
      <c r="B28818" s="4" t="s">
        <v>36296</v>
      </c>
      <c r="C28818" s="5" t="str">
        <f>IFERROR(__xludf.DUMMYFUNCTION("GOOGLETRANSLATE(B28818,""en"",""zh-CN"")"),"人们在草地上打高尔夫球。")</f>
        <v>人们在草地上打高尔夫球。</v>
      </c>
    </row>
    <row r="28819">
      <c r="A28819" s="4" t="s">
        <v>36295</v>
      </c>
      <c r="B28819" s="4" t="s">
        <v>36297</v>
      </c>
      <c r="C28819" s="5" t="str">
        <f>IFERROR(__xludf.DUMMYFUNCTION("GOOGLETRANSLATE(B28819,""en"",""zh-CN"")"),"一个男人用俱乐部击球。")</f>
        <v>一个男人用俱乐部击球。</v>
      </c>
    </row>
    <row r="28820">
      <c r="A28820" s="4" t="s">
        <v>36295</v>
      </c>
      <c r="B28820" s="4" t="s">
        <v>36298</v>
      </c>
      <c r="C28820" s="5" t="str">
        <f>IFERROR(__xludf.DUMMYFUNCTION("GOOGLETRANSLATE(B28820,""en"",""zh-CN"")"),"一个戴着白帽子的男人走在他身后。")</f>
        <v>一个戴着白帽子的男人走在他身后。</v>
      </c>
    </row>
    <row r="28821">
      <c r="A28821" s="4" t="s">
        <v>36299</v>
      </c>
      <c r="B28821" s="4" t="s">
        <v>36300</v>
      </c>
      <c r="C28821" s="5" t="str">
        <f>IFERROR(__xludf.DUMMYFUNCTION("GOOGLETRANSLATE(B28821,""en"",""zh-CN"")"),"显示了最终产品和信用。")</f>
        <v>显示了最终产品和信用。</v>
      </c>
    </row>
    <row r="28822">
      <c r="A28822" s="4" t="s">
        <v>36299</v>
      </c>
      <c r="B28822" s="4" t="s">
        <v>36301</v>
      </c>
      <c r="C28822" s="5" t="str">
        <f>IFERROR(__xludf.DUMMYFUNCTION("GOOGLETRANSLATE(B28822,""en"",""zh-CN"")"),"混合并炒食物。")</f>
        <v>混合并炒食物。</v>
      </c>
    </row>
    <row r="28823">
      <c r="A28823" s="4" t="s">
        <v>36299</v>
      </c>
      <c r="B28823" s="4" t="s">
        <v>36302</v>
      </c>
      <c r="C28823" s="5" t="str">
        <f>IFERROR(__xludf.DUMMYFUNCTION("GOOGLETRANSLATE(B28823,""en"",""zh-CN"")"),"面食被添加到煎锅中。")</f>
        <v>面食被添加到煎锅中。</v>
      </c>
    </row>
    <row r="28824">
      <c r="A28824" s="4" t="s">
        <v>36299</v>
      </c>
      <c r="B28824" s="4" t="s">
        <v>36303</v>
      </c>
      <c r="C28824" s="5" t="str">
        <f>IFERROR(__xludf.DUMMYFUNCTION("GOOGLETRANSLATE(B28824,""en"",""zh-CN"")"),"番茄酱和干成分添加到锅中。")</f>
        <v>番茄酱和干成分添加到锅中。</v>
      </c>
    </row>
    <row r="28825">
      <c r="A28825" s="4" t="s">
        <v>36299</v>
      </c>
      <c r="B28825" s="4" t="s">
        <v>36304</v>
      </c>
      <c r="C28825" s="5" t="str">
        <f>IFERROR(__xludf.DUMMYFUNCTION("GOOGLETRANSLATE(B28825,""en"",""zh-CN"")"),"最终产品取自Fry Pan并放在白板上。")</f>
        <v>最终产品取自Fry Pan并放在白板上。</v>
      </c>
    </row>
    <row r="28826">
      <c r="A28826" s="4" t="s">
        <v>36299</v>
      </c>
      <c r="B28826" s="4" t="s">
        <v>36305</v>
      </c>
      <c r="C28826" s="5" t="str">
        <f>IFERROR(__xludf.DUMMYFUNCTION("GOOGLETRANSLATE(B28826,""en"",""zh-CN"")"),"显示了剪辑的最终产品和信用。")</f>
        <v>显示了剪辑的最终产品和信用。</v>
      </c>
    </row>
    <row r="28827">
      <c r="A28827" s="4" t="s">
        <v>36306</v>
      </c>
      <c r="B28827" s="4" t="s">
        <v>36307</v>
      </c>
      <c r="C28827" s="5" t="str">
        <f>IFERROR(__xludf.DUMMYFUNCTION("GOOGLETRANSLATE(B28827,""en"",""zh-CN"")"),"人们将这些Qloja机器绑在他们的脚上。")</f>
        <v>人们将这些Qloja机器绑在他们的脚上。</v>
      </c>
    </row>
    <row r="28828">
      <c r="A28828" s="4" t="s">
        <v>36306</v>
      </c>
      <c r="B28828" s="4" t="s">
        <v>36308</v>
      </c>
      <c r="C28828" s="5" t="str">
        <f>IFERROR(__xludf.DUMMYFUNCTION("GOOGLETRANSLATE(B28828,""en"",""zh-CN"")"),"将它们推开，然后他们开始走路需要很长时间。")</f>
        <v>将它们推开，然后他们开始走路需要很长时间。</v>
      </c>
    </row>
    <row r="28829">
      <c r="A28829" s="4" t="s">
        <v>36306</v>
      </c>
      <c r="B28829" s="4" t="s">
        <v>36309</v>
      </c>
      <c r="C28829" s="5" t="str">
        <f>IFERROR(__xludf.DUMMYFUNCTION("GOOGLETRANSLATE(B28829,""en"",""zh-CN"")"),"他们增加了一点速度，并开始在一条线上运行。")</f>
        <v>他们增加了一点速度，并开始在一条线上运行。</v>
      </c>
    </row>
    <row r="28830">
      <c r="A28830" s="4" t="s">
        <v>36306</v>
      </c>
      <c r="B28830" s="6" t="s">
        <v>36310</v>
      </c>
      <c r="C28830" s="5" t="str">
        <f>IFERROR(__xludf.DUMMYFUNCTION("GOOGLETRANSLATE(B28830,""en"",""zh-CN"")"),"大约15人穿着这些避孕措施正在运行，然后，一组三个小组在周围上下弹跳。")</f>
        <v>大约15人穿着这些避孕措施正在运行，然后，一组三个小组在周围上下弹跳。</v>
      </c>
    </row>
    <row r="28831">
      <c r="A28831" s="4" t="s">
        <v>36311</v>
      </c>
      <c r="B28831" s="4" t="s">
        <v>13870</v>
      </c>
      <c r="C28831" s="5" t="str">
        <f>IFERROR(__xludf.DUMMYFUNCTION("GOOGLETRANSLATE(B28831,""en"",""zh-CN"")"),"一件白衬衫的男人正在和镜头说话。")</f>
        <v>一件白衬衫的男人正在和镜头说话。</v>
      </c>
    </row>
    <row r="28832">
      <c r="A28832" s="4" t="s">
        <v>36311</v>
      </c>
      <c r="B28832" s="4" t="s">
        <v>36312</v>
      </c>
      <c r="C28832" s="5" t="str">
        <f>IFERROR(__xludf.DUMMYFUNCTION("GOOGLETRANSLATE(B28832,""en"",""zh-CN"")"),"人们正在互相打排球的比赛。")</f>
        <v>人们正在互相打排球的比赛。</v>
      </c>
    </row>
    <row r="28833">
      <c r="A28833" s="4" t="s">
        <v>36313</v>
      </c>
      <c r="B28833" s="4" t="s">
        <v>36314</v>
      </c>
      <c r="C28833" s="5" t="str">
        <f>IFERROR(__xludf.DUMMYFUNCTION("GOOGLETRANSLATE(B28833,""en"",""zh-CN"")"),"两个人编舞与双节棍的例行活动。")</f>
        <v>两个人编舞与双节棍的例行活动。</v>
      </c>
    </row>
    <row r="28834">
      <c r="A28834" s="4" t="s">
        <v>36313</v>
      </c>
      <c r="B28834" s="4" t="s">
        <v>36315</v>
      </c>
      <c r="C28834" s="5" t="str">
        <f>IFERROR(__xludf.DUMMYFUNCTION("GOOGLETRANSLATE(B28834,""en"",""zh-CN"")"),"女孩们丢下了双节棍，然后跳舞。")</f>
        <v>女孩们丢下了双节棍，然后跳舞。</v>
      </c>
    </row>
    <row r="28835">
      <c r="A28835" s="4" t="s">
        <v>36313</v>
      </c>
      <c r="B28835" s="4" t="s">
        <v>36316</v>
      </c>
      <c r="C28835" s="5" t="str">
        <f>IFERROR(__xludf.DUMMYFUNCTION("GOOGLETRANSLATE(B28835,""en"",""zh-CN"")"),"第三个人加入然后离开。")</f>
        <v>第三个人加入然后离开。</v>
      </c>
    </row>
    <row r="28836">
      <c r="A28836" s="4" t="s">
        <v>36317</v>
      </c>
      <c r="B28836" s="4" t="s">
        <v>36318</v>
      </c>
      <c r="C28836" s="5" t="str">
        <f>IFERROR(__xludf.DUMMYFUNCTION("GOOGLETRANSLATE(B28836,""en"",""zh-CN"")"),"一只手坐在屋顶的顶部。")</f>
        <v>一只手坐在屋顶的顶部。</v>
      </c>
    </row>
    <row r="28837">
      <c r="A28837" s="4" t="s">
        <v>36317</v>
      </c>
      <c r="B28837" s="4" t="s">
        <v>36319</v>
      </c>
      <c r="C28837" s="5" t="str">
        <f>IFERROR(__xludf.DUMMYFUNCTION("GOOGLETRANSLATE(B28837,""en"",""zh-CN"")"),"梯子靠在上面。")</f>
        <v>梯子靠在上面。</v>
      </c>
    </row>
    <row r="28838">
      <c r="A28838" s="4" t="s">
        <v>36317</v>
      </c>
      <c r="B28838" s="4" t="s">
        <v>36320</v>
      </c>
      <c r="C28838" s="5" t="str">
        <f>IFERROR(__xludf.DUMMYFUNCTION("GOOGLETRANSLATE(B28838,""en"",""zh-CN"")"),"屋顶是古老而破旧的。")</f>
        <v>屋顶是古老而破旧的。</v>
      </c>
    </row>
    <row r="28839">
      <c r="A28839" s="4" t="s">
        <v>36317</v>
      </c>
      <c r="B28839" s="4" t="s">
        <v>36321</v>
      </c>
      <c r="C28839" s="5" t="str">
        <f>IFERROR(__xludf.DUMMYFUNCTION("GOOGLETRANSLATE(B28839,""en"",""zh-CN"")"),"然后，相机向下平移。")</f>
        <v>然后，相机向下平移。</v>
      </c>
    </row>
    <row r="28840">
      <c r="A28840" s="4" t="s">
        <v>36322</v>
      </c>
      <c r="B28840" s="4" t="s">
        <v>36323</v>
      </c>
      <c r="C28840" s="5" t="str">
        <f>IFERROR(__xludf.DUMMYFUNCTION("GOOGLETRANSLATE(B28840,""en"",""zh-CN"")"),"举重运动员张开嘴巴。")</f>
        <v>举重运动员张开嘴巴。</v>
      </c>
    </row>
    <row r="28841">
      <c r="A28841" s="4" t="s">
        <v>36322</v>
      </c>
      <c r="B28841" s="4" t="s">
        <v>36324</v>
      </c>
      <c r="C28841" s="5" t="str">
        <f>IFERROR(__xludf.DUMMYFUNCTION("GOOGLETRANSLATE(B28841,""en"",""zh-CN"")"),"他竭尽全力举起一个巨大的杠铃。")</f>
        <v>他竭尽全力举起一个巨大的杠铃。</v>
      </c>
    </row>
    <row r="28842">
      <c r="A28842" s="4" t="s">
        <v>36322</v>
      </c>
      <c r="B28842" s="4" t="s">
        <v>36325</v>
      </c>
      <c r="C28842" s="5" t="str">
        <f>IFERROR(__xludf.DUMMYFUNCTION("GOOGLETRANSLATE(B28842,""en"",""zh-CN"")"),"他把它抬到胸前，然后抬过头。")</f>
        <v>他把它抬到胸前，然后抬过头。</v>
      </c>
    </row>
    <row r="28843">
      <c r="A28843" s="4" t="s">
        <v>36326</v>
      </c>
      <c r="B28843" s="4" t="s">
        <v>36327</v>
      </c>
      <c r="C28843" s="5" t="str">
        <f>IFERROR(__xludf.DUMMYFUNCTION("GOOGLETRANSLATE(B28843,""en"",""zh-CN"")"),"看到一个女人站在院子里，她面前有割草机。")</f>
        <v>看到一个女人站在院子里，她面前有割草机。</v>
      </c>
    </row>
    <row r="28844">
      <c r="A28844" s="4" t="s">
        <v>36326</v>
      </c>
      <c r="B28844" s="4" t="s">
        <v>36328</v>
      </c>
      <c r="C28844" s="5" t="str">
        <f>IFERROR(__xludf.DUMMYFUNCTION("GOOGLETRANSLATE(B28844,""en"",""zh-CN"")"),"然后，女孩将割草机推到院子上。")</f>
        <v>然后，女孩将割草机推到院子上。</v>
      </c>
    </row>
    <row r="28845">
      <c r="A28845" s="4" t="s">
        <v>36326</v>
      </c>
      <c r="B28845" s="4" t="s">
        <v>36329</v>
      </c>
      <c r="C28845" s="5" t="str">
        <f>IFERROR(__xludf.DUMMYFUNCTION("GOOGLETRANSLATE(B28845,""en"",""zh-CN"")"),"摄像机靠近那个女人，仍然推动割草机并与相机说话。")</f>
        <v>摄像机靠近那个女人，仍然推动割草机并与相机说话。</v>
      </c>
    </row>
    <row r="28846">
      <c r="A28846" s="4" t="s">
        <v>36330</v>
      </c>
      <c r="B28846" s="4" t="s">
        <v>36331</v>
      </c>
      <c r="C28846" s="5" t="str">
        <f>IFERROR(__xludf.DUMMYFUNCTION("GOOGLETRANSLATE(B28846,""en"",""zh-CN"")"),"一个男人站在帐篷下面，用棍子击中皮纳塔。")</f>
        <v>一个男人站在帐篷下面，用棍子击中皮纳塔。</v>
      </c>
    </row>
    <row r="28847">
      <c r="A28847" s="4" t="s">
        <v>36330</v>
      </c>
      <c r="B28847" s="6" t="s">
        <v>36332</v>
      </c>
      <c r="C28847" s="5" t="str">
        <f>IFERROR(__xludf.DUMMYFUNCTION("GOOGLETRANSLATE(B28847,""en"",""zh-CN"")"),"大约三根琴弦之后，他移动并给一个带有灰色和黑色连衣裙的年轻女孩。")</f>
        <v>大约三根琴弦之后，他移动并给一个带有灰色和黑色连衣裙的年轻女孩。</v>
      </c>
    </row>
    <row r="28848">
      <c r="A28848" s="4" t="s">
        <v>36330</v>
      </c>
      <c r="B28848" s="6" t="s">
        <v>36333</v>
      </c>
      <c r="C28848" s="5" t="str">
        <f>IFERROR(__xludf.DUMMYFUNCTION("GOOGLETRANSLATE(B28848,""en"",""zh-CN"")"),"一旦她拥有棍子，她就会朝错误的方向撞到，然后将其重定向到Pinata，最终仍然缺少它。")</f>
        <v>一旦她拥有棍子，她就会朝错误的方向撞到，然后将其重定向到Pinata，最终仍然缺少它。</v>
      </c>
    </row>
    <row r="28849">
      <c r="A28849" s="4" t="s">
        <v>36334</v>
      </c>
      <c r="B28849" s="4" t="s">
        <v>36335</v>
      </c>
      <c r="C28849" s="5" t="str">
        <f>IFERROR(__xludf.DUMMYFUNCTION("GOOGLETRANSLATE(B28849,""en"",""zh-CN"")"),"一个男人和一个女人在舞台中间跳舞做Zumba的编排。")</f>
        <v>一个男人和一个女人在舞台中间跳舞做Zumba的编排。</v>
      </c>
    </row>
    <row r="28850">
      <c r="A28850" s="4" t="s">
        <v>36334</v>
      </c>
      <c r="B28850" s="4" t="s">
        <v>36336</v>
      </c>
      <c r="C28850" s="5" t="str">
        <f>IFERROR(__xludf.DUMMYFUNCTION("GOOGLETRANSLATE(B28850,""en"",""zh-CN"")"),"男人穿着灰色衬衫的舞台和继续跳舞。")</f>
        <v>男人穿着灰色衬衫的舞台和继续跳舞。</v>
      </c>
    </row>
    <row r="28851">
      <c r="A28851" s="4" t="s">
        <v>36334</v>
      </c>
      <c r="B28851" s="4" t="s">
        <v>36337</v>
      </c>
      <c r="C28851" s="5" t="str">
        <f>IFERROR(__xludf.DUMMYFUNCTION("GOOGLETRANSLATE(B28851,""en"",""zh-CN"")"),"穿着粉红色衬衫的女人在背景中拿着白色手机并拍照。")</f>
        <v>穿着粉红色衬衫的女人在背景中拿着白色手机并拍照。</v>
      </c>
    </row>
    <row r="28852">
      <c r="A28852" s="4" t="s">
        <v>36338</v>
      </c>
      <c r="B28852" s="4" t="s">
        <v>36339</v>
      </c>
      <c r="C28852" s="5" t="str">
        <f>IFERROR(__xludf.DUMMYFUNCTION("GOOGLETRANSLATE(B28852,""en"",""zh-CN"")"),"一对夫妇在公园区为一辆小货车和冷却器。")</f>
        <v>一对夫妇在公园区为一辆小货车和冷却器。</v>
      </c>
    </row>
    <row r="28853">
      <c r="A28853" s="4" t="s">
        <v>36338</v>
      </c>
      <c r="B28853" s="6" t="s">
        <v>36340</v>
      </c>
      <c r="C28853" s="5" t="str">
        <f>IFERROR(__xludf.DUMMYFUNCTION("GOOGLETRANSLATE(B28853,""en"",""zh-CN"")"),"收集棍子，然后构造一块石头，棍棒与里面的树枝一起堆叠在一起。")</f>
        <v>收集棍子，然后构造一块石头，棍棒与里面的树枝一起堆叠在一起。</v>
      </c>
    </row>
    <row r="28854">
      <c r="A28854" s="4" t="s">
        <v>36338</v>
      </c>
      <c r="B28854" s="4" t="s">
        <v>36341</v>
      </c>
      <c r="C28854" s="5" t="str">
        <f>IFERROR(__xludf.DUMMYFUNCTION("GOOGLETRANSLATE(B28854,""en"",""zh-CN"")"),"一束树林被火着点燃，增加了更多的棍子，以保持其继续前进。")</f>
        <v>一束树林被火着点燃，增加了更多的棍子，以保持其继续前进。</v>
      </c>
    </row>
    <row r="28855">
      <c r="A28855" s="4" t="s">
        <v>36338</v>
      </c>
      <c r="B28855" s="4" t="s">
        <v>36342</v>
      </c>
      <c r="C28855" s="5" t="str">
        <f>IFERROR(__xludf.DUMMYFUNCTION("GOOGLETRANSLATE(B28855,""en"",""zh-CN"")"),"该男子坐在草坪椅上，享受这一天。")</f>
        <v>该男子坐在草坪椅上，享受这一天。</v>
      </c>
    </row>
    <row r="28856">
      <c r="A28856" s="4" t="s">
        <v>36338</v>
      </c>
      <c r="B28856" s="4" t="s">
        <v>36343</v>
      </c>
      <c r="C28856" s="5" t="str">
        <f>IFERROR(__xludf.DUMMYFUNCTION("GOOGLETRANSLATE(B28856,""en"",""zh-CN"")"),"该男子将喷嘴拧到丙烷罐上，并用它燃烧火。")</f>
        <v>该男子将喷嘴拧到丙烷罐上，并用它燃烧火。</v>
      </c>
    </row>
    <row r="28857">
      <c r="A28857" s="4" t="s">
        <v>36338</v>
      </c>
      <c r="B28857" s="4" t="s">
        <v>36344</v>
      </c>
      <c r="C28857" s="5" t="str">
        <f>IFERROR(__xludf.DUMMYFUNCTION("GOOGLETRANSLATE(B28857,""en"",""zh-CN"")"),"大火用一桶水扑灭，被大地覆盖。")</f>
        <v>大火用一桶水扑灭，被大地覆盖。</v>
      </c>
    </row>
    <row r="28858">
      <c r="A28858" s="4" t="s">
        <v>36345</v>
      </c>
      <c r="B28858" s="4" t="s">
        <v>36346</v>
      </c>
      <c r="C28858" s="5" t="str">
        <f>IFERROR(__xludf.DUMMYFUNCTION("GOOGLETRANSLATE(B28858,""en"",""zh-CN"")"),"一个男人用工具从轮胎上脱下轮胎。")</f>
        <v>一个男人用工具从轮胎上脱下轮胎。</v>
      </c>
    </row>
    <row r="28859">
      <c r="A28859" s="4" t="s">
        <v>36345</v>
      </c>
      <c r="B28859" s="4" t="s">
        <v>36347</v>
      </c>
      <c r="C28859" s="5" t="str">
        <f>IFERROR(__xludf.DUMMYFUNCTION("GOOGLETRANSLATE(B28859,""en"",""zh-CN"")"),"然后，他将轮胎放在工具的顶部，以将其卸下。")</f>
        <v>然后，他将轮胎放在工具的顶部，以将其卸下。</v>
      </c>
    </row>
    <row r="28860">
      <c r="A28860" s="4" t="s">
        <v>36348</v>
      </c>
      <c r="B28860" s="4" t="s">
        <v>36349</v>
      </c>
      <c r="C28860" s="5" t="str">
        <f>IFERROR(__xludf.DUMMYFUNCTION("GOOGLETRANSLATE(B28860,""en"",""zh-CN"")"),"一群球员在场上奔跑。")</f>
        <v>一群球员在场上奔跑。</v>
      </c>
    </row>
    <row r="28861">
      <c r="A28861" s="4" t="s">
        <v>36348</v>
      </c>
      <c r="B28861" s="4" t="s">
        <v>36350</v>
      </c>
      <c r="C28861" s="5" t="str">
        <f>IFERROR(__xludf.DUMMYFUNCTION("GOOGLETRANSLATE(B28861,""en"",""zh-CN"")"),"他们拿着某种球拍。")</f>
        <v>他们拿着某种球拍。</v>
      </c>
    </row>
    <row r="28862">
      <c r="A28862" s="4" t="s">
        <v>36348</v>
      </c>
      <c r="B28862" s="4" t="s">
        <v>36351</v>
      </c>
      <c r="C28862" s="5" t="str">
        <f>IFERROR(__xludf.DUMMYFUNCTION("GOOGLETRANSLATE(B28862,""en"",""zh-CN"")"),"他们互相摆动。")</f>
        <v>他们互相摆动。</v>
      </c>
    </row>
    <row r="28863">
      <c r="A28863" s="4" t="s">
        <v>36348</v>
      </c>
      <c r="B28863" s="4" t="s">
        <v>36352</v>
      </c>
      <c r="C28863" s="5" t="str">
        <f>IFERROR(__xludf.DUMMYFUNCTION("GOOGLETRANSLATE(B28863,""en"",""zh-CN"")"),"一些球员经过黄线。")</f>
        <v>一些球员经过黄线。</v>
      </c>
    </row>
    <row r="28864">
      <c r="A28864" s="4" t="s">
        <v>36353</v>
      </c>
      <c r="B28864" s="4" t="s">
        <v>36354</v>
      </c>
      <c r="C28864" s="5" t="str">
        <f>IFERROR(__xludf.DUMMYFUNCTION("GOOGLETRANSLATE(B28864,""en"",""zh-CN"")"),"开放学分显示了即将举行的活动。")</f>
        <v>开放学分显示了即将举行的活动。</v>
      </c>
    </row>
    <row r="28865">
      <c r="A28865" s="4" t="s">
        <v>36353</v>
      </c>
      <c r="B28865" s="4" t="s">
        <v>36355</v>
      </c>
      <c r="C28865" s="5" t="str">
        <f>IFERROR(__xludf.DUMMYFUNCTION("GOOGLETRANSLATE(B28865,""en"",""zh-CN"")"),"一名格子男子站在一个麦克风上，承认人群。")</f>
        <v>一名格子男子站在一个麦克风上，承认人群。</v>
      </c>
    </row>
    <row r="28866">
      <c r="A28866" s="4" t="s">
        <v>36353</v>
      </c>
      <c r="B28866" s="4" t="s">
        <v>36356</v>
      </c>
      <c r="C28866" s="5" t="str">
        <f>IFERROR(__xludf.DUMMYFUNCTION("GOOGLETRANSLATE(B28866,""en"",""zh-CN"")"),"他开始玩口琴。")</f>
        <v>他开始玩口琴。</v>
      </c>
    </row>
    <row r="28867">
      <c r="A28867" s="4" t="s">
        <v>36353</v>
      </c>
      <c r="B28867" s="4" t="s">
        <v>36357</v>
      </c>
      <c r="C28867" s="5" t="str">
        <f>IFERROR(__xludf.DUMMYFUNCTION("GOOGLETRANSLATE(B28867,""en"",""zh-CN"")"),"该男子停止比赛，然后跳舞。")</f>
        <v>该男子停止比赛，然后跳舞。</v>
      </c>
    </row>
    <row r="28868">
      <c r="A28868" s="4" t="s">
        <v>36353</v>
      </c>
      <c r="B28868" s="4" t="s">
        <v>36358</v>
      </c>
      <c r="C28868" s="5" t="str">
        <f>IFERROR(__xludf.DUMMYFUNCTION("GOOGLETRANSLATE(B28868,""en"",""zh-CN"")"),"该男子继续扮演口琴。")</f>
        <v>该男子继续扮演口琴。</v>
      </c>
    </row>
    <row r="28869">
      <c r="A28869" s="4" t="s">
        <v>36353</v>
      </c>
      <c r="B28869" s="4" t="s">
        <v>36359</v>
      </c>
      <c r="C28869" s="5" t="str">
        <f>IFERROR(__xludf.DUMMYFUNCTION("GOOGLETRANSLATE(B28869,""en"",""zh-CN"")"),"该男子停止张开，并感谢人群出现。")</f>
        <v>该男子停止张开，并感谢人群出现。</v>
      </c>
    </row>
    <row r="28870">
      <c r="A28870" s="4" t="s">
        <v>36360</v>
      </c>
      <c r="B28870" s="4" t="s">
        <v>36361</v>
      </c>
      <c r="C28870" s="5" t="str">
        <f>IFERROR(__xludf.DUMMYFUNCTION("GOOGLETRANSLATE(B28870,""en"",""zh-CN"")"),"有一个小男孩穿着红色衬衫和蓝色牛仔裤，坐在黑色皮革躺椅上。")</f>
        <v>有一个小男孩穿着红色衬衫和蓝色牛仔裤，坐在黑色皮革躺椅上。</v>
      </c>
    </row>
    <row r="28871">
      <c r="A28871" s="4" t="s">
        <v>36360</v>
      </c>
      <c r="B28871" s="4" t="s">
        <v>36362</v>
      </c>
      <c r="C28871" s="5" t="str">
        <f>IFERROR(__xludf.DUMMYFUNCTION("GOOGLETRANSLATE(B28871,""en"",""zh-CN"")"),"他的双手伸出来。")</f>
        <v>他的双手伸出来。</v>
      </c>
    </row>
    <row r="28872">
      <c r="A28872" s="4" t="s">
        <v>36360</v>
      </c>
      <c r="B28872" s="4" t="s">
        <v>36363</v>
      </c>
      <c r="C28872" s="5" t="str">
        <f>IFERROR(__xludf.DUMMYFUNCTION("GOOGLETRANSLATE(B28872,""en"",""zh-CN"")"),"一个站在他旁边的男人用一根小棍子用棍子挠痒痒。")</f>
        <v>一个站在他旁边的男人用一根小棍子用棍子挠痒痒。</v>
      </c>
    </row>
    <row r="28873">
      <c r="A28873" s="4" t="s">
        <v>36360</v>
      </c>
      <c r="B28873" s="4" t="s">
        <v>36364</v>
      </c>
      <c r="C28873" s="5" t="str">
        <f>IFERROR(__xludf.DUMMYFUNCTION("GOOGLETRANSLATE(B28873,""en"",""zh-CN"")"),"这个男孩似乎很喜欢它，并要求他另一方面也这样做。")</f>
        <v>这个男孩似乎很喜欢它，并要求他另一方面也这样做。</v>
      </c>
    </row>
    <row r="28874">
      <c r="A28874" s="4" t="s">
        <v>36360</v>
      </c>
      <c r="B28874" s="4" t="s">
        <v>36365</v>
      </c>
      <c r="C28874" s="5" t="str">
        <f>IFERROR(__xludf.DUMMYFUNCTION("GOOGLETRANSLATE(B28874,""en"",""zh-CN"")"),"该男子也挠一小男孩的另一只手。")</f>
        <v>该男子也挠一小男孩的另一只手。</v>
      </c>
    </row>
    <row r="28875">
      <c r="A28875" s="4" t="s">
        <v>36360</v>
      </c>
      <c r="B28875" s="4" t="s">
        <v>36366</v>
      </c>
      <c r="C28875" s="5" t="str">
        <f>IFERROR(__xludf.DUMMYFUNCTION("GOOGLETRANSLATE(B28875,""en"",""zh-CN"")"),"这个男孩微笑着，要求更多。")</f>
        <v>这个男孩微笑着，要求更多。</v>
      </c>
    </row>
    <row r="28876">
      <c r="A28876" s="4" t="s">
        <v>36367</v>
      </c>
      <c r="B28876" s="4" t="s">
        <v>36368</v>
      </c>
      <c r="C28876" s="5" t="str">
        <f>IFERROR(__xludf.DUMMYFUNCTION("GOOGLETRANSLATE(B28876,""en"",""zh-CN"")"),"相机在草地上摇晃，并通向篱笆。")</f>
        <v>相机在草地上摇晃，并通向篱笆。</v>
      </c>
    </row>
    <row r="28877">
      <c r="A28877" s="4" t="s">
        <v>36367</v>
      </c>
      <c r="B28877" s="4" t="s">
        <v>36369</v>
      </c>
      <c r="C28877" s="5" t="str">
        <f>IFERROR(__xludf.DUMMYFUNCTION("GOOGLETRANSLATE(B28877,""en"",""zh-CN"")"),"摄像机在栅栏周围晃动，侧面有花朵。")</f>
        <v>摄像机在栅栏周围晃动，侧面有花朵。</v>
      </c>
    </row>
    <row r="28878">
      <c r="A28878" s="4" t="s">
        <v>36367</v>
      </c>
      <c r="B28878" s="4" t="s">
        <v>36370</v>
      </c>
      <c r="C28878" s="5" t="str">
        <f>IFERROR(__xludf.DUMMYFUNCTION("GOOGLETRANSLATE(B28878,""en"",""zh-CN"")"),"相机继续围绕篱笆和不同的颜色泛滥。")</f>
        <v>相机继续围绕篱笆和不同的颜色泛滥。</v>
      </c>
    </row>
    <row r="28879">
      <c r="A28879" s="4" t="s">
        <v>36371</v>
      </c>
      <c r="B28879" s="4" t="s">
        <v>36372</v>
      </c>
      <c r="C28879" s="5" t="str">
        <f>IFERROR(__xludf.DUMMYFUNCTION("GOOGLETRANSLATE(B28879,""en"",""zh-CN"")"),"一个男人拿一个水烟并呼出烟环。")</f>
        <v>一个男人拿一个水烟并呼出烟环。</v>
      </c>
    </row>
    <row r="28880">
      <c r="A28880" s="4" t="s">
        <v>36371</v>
      </c>
      <c r="B28880" s="4" t="s">
        <v>36373</v>
      </c>
      <c r="C28880" s="5" t="str">
        <f>IFERROR(__xludf.DUMMYFUNCTION("GOOGLETRANSLATE(B28880,""en"",""zh-CN"")"),"他吸气了，然后再次做。")</f>
        <v>他吸气了，然后再次做。</v>
      </c>
    </row>
    <row r="28881">
      <c r="A28881" s="4" t="s">
        <v>36374</v>
      </c>
      <c r="B28881" s="6" t="s">
        <v>36375</v>
      </c>
      <c r="C28881" s="5" t="str">
        <f>IFERROR(__xludf.DUMMYFUNCTION("GOOGLETRANSLATE(B28881,""en"",""zh-CN"")"),"八名中年白人是一条绳子之一，试图在外面的比赛中赢得一场拔河比赛，这看起来像是一场比赛。")</f>
        <v>八名中年白人是一条绳子之一，试图在外面的比赛中赢得一场拔河比赛，这看起来像是一场比赛。</v>
      </c>
    </row>
    <row r="28882">
      <c r="A28882" s="4" t="s">
        <v>36374</v>
      </c>
      <c r="B28882" s="4" t="s">
        <v>36376</v>
      </c>
      <c r="C28882" s="5" t="str">
        <f>IFERROR(__xludf.DUMMYFUNCTION("GOOGLETRANSLATE(B28882,""en"",""zh-CN"")"),"随着比赛的开始，当他们努力拉绳子时，这些人都陷入了倾斜的位置。")</f>
        <v>随着比赛的开始，当他们努力拉绳子时，这些人都陷入了倾斜的位置。</v>
      </c>
    </row>
    <row r="28883">
      <c r="A28883" s="4" t="s">
        <v>36374</v>
      </c>
      <c r="B28883" s="6" t="s">
        <v>36377</v>
      </c>
      <c r="C28883" s="5" t="str">
        <f>IFERROR(__xludf.DUMMYFUNCTION("GOOGLETRANSLATE(B28883,""en"",""zh-CN"")"),"突然，一个侧面的男人开始与前面的那个人交谈，并朝他的脸上说，好像他在给他一个鼓舞人心的谈话以保持坚强，胜利，而不是让另一支球队得到最好的。")</f>
        <v>突然，一个侧面的男人开始与前面的那个人交谈，并朝他的脸上说，好像他在给他一个鼓舞人心的谈话以保持坚强，胜利，而不是让另一支球队得到最好的。</v>
      </c>
    </row>
    <row r="28884">
      <c r="A28884" s="4" t="s">
        <v>36374</v>
      </c>
      <c r="B28884" s="6" t="s">
        <v>36378</v>
      </c>
      <c r="C28884" s="5" t="str">
        <f>IFERROR(__xludf.DUMMYFUNCTION("GOOGLETRANSLATE(B28884,""en"",""zh-CN"")"),"比赛仍在继续，您可以看到球队正在吸毒，但他们突然获得了力量，并将绳索拉回了自己的身边，然后随着比赛结束，他们都站起来。")</f>
        <v>比赛仍在继续，您可以看到球队正在吸毒，但他们突然获得了力量，并将绳索拉回了自己的身边，然后随着比赛结束，他们都站起来。</v>
      </c>
    </row>
    <row r="28885">
      <c r="A28885" s="4" t="s">
        <v>36379</v>
      </c>
      <c r="B28885" s="4" t="s">
        <v>36380</v>
      </c>
      <c r="C28885" s="5" t="str">
        <f>IFERROR(__xludf.DUMMYFUNCTION("GOOGLETRANSLATE(B28885,""en"",""zh-CN"")"),"两个人上卡车。")</f>
        <v>两个人上卡车。</v>
      </c>
    </row>
    <row r="28886">
      <c r="A28886" s="4" t="s">
        <v>36379</v>
      </c>
      <c r="B28886" s="4" t="s">
        <v>36381</v>
      </c>
      <c r="C28886" s="5" t="str">
        <f>IFERROR(__xludf.DUMMYFUNCTION("GOOGLETRANSLATE(B28886,""en"",""zh-CN"")"),"他们开车上街。")</f>
        <v>他们开车上街。</v>
      </c>
    </row>
    <row r="28887">
      <c r="A28887" s="4" t="s">
        <v>36379</v>
      </c>
      <c r="B28887" s="4" t="s">
        <v>36382</v>
      </c>
      <c r="C28887" s="5" t="str">
        <f>IFERROR(__xludf.DUMMYFUNCTION("GOOGLETRANSLATE(B28887,""en"",""zh-CN"")"),"一个载着梯子的人将其靠在房子上。")</f>
        <v>一个载着梯子的人将其靠在房子上。</v>
      </c>
    </row>
    <row r="28888">
      <c r="A28888" s="4" t="s">
        <v>36379</v>
      </c>
      <c r="B28888" s="4" t="s">
        <v>36383</v>
      </c>
      <c r="C28888" s="5" t="str">
        <f>IFERROR(__xludf.DUMMYFUNCTION("GOOGLETRANSLATE(B28888,""en"",""zh-CN"")"),"女人看着男人。")</f>
        <v>女人看着男人。</v>
      </c>
    </row>
    <row r="28889">
      <c r="A28889" s="4" t="s">
        <v>36379</v>
      </c>
      <c r="B28889" s="4" t="s">
        <v>36384</v>
      </c>
      <c r="C28889" s="5" t="str">
        <f>IFERROR(__xludf.DUMMYFUNCTION("GOOGLETRANSLATE(B28889,""en"",""zh-CN"")"),"那个男人看着梯子上房子的屋顶。")</f>
        <v>那个男人看着梯子上房子的屋顶。</v>
      </c>
    </row>
    <row r="28890">
      <c r="A28890" s="4" t="s">
        <v>36379</v>
      </c>
      <c r="B28890" s="4" t="s">
        <v>36385</v>
      </c>
      <c r="C28890" s="5" t="str">
        <f>IFERROR(__xludf.DUMMYFUNCTION("GOOGLETRANSLATE(B28890,""en"",""zh-CN"")"),"他向她展示了一些东西，她手里拿着它。")</f>
        <v>他向她展示了一些东西，她手里拿着它。</v>
      </c>
    </row>
    <row r="28891">
      <c r="A28891" s="4" t="s">
        <v>36379</v>
      </c>
      <c r="B28891" s="4" t="s">
        <v>36386</v>
      </c>
      <c r="C28891" s="5" t="str">
        <f>IFERROR(__xludf.DUMMYFUNCTION("GOOGLETRANSLATE(B28891,""en"",""zh-CN"")"),"一个男人在房子面前说话。")</f>
        <v>一个男人在房子面前说话。</v>
      </c>
    </row>
    <row r="28892">
      <c r="A28892" s="4" t="s">
        <v>36379</v>
      </c>
      <c r="B28892" s="4" t="s">
        <v>36387</v>
      </c>
      <c r="C28892" s="5" t="str">
        <f>IFERROR(__xludf.DUMMYFUNCTION("GOOGLETRANSLATE(B28892,""en"",""zh-CN"")"),"一个人爬一个梯子，看着屋顶。")</f>
        <v>一个人爬一个梯子，看着屋顶。</v>
      </c>
    </row>
    <row r="28893">
      <c r="A28893" s="4" t="s">
        <v>36379</v>
      </c>
      <c r="B28893" s="4" t="s">
        <v>36388</v>
      </c>
      <c r="C28893" s="5" t="str">
        <f>IFERROR(__xludf.DUMMYFUNCTION("GOOGLETRANSLATE(B28893,""en"",""zh-CN"")"),"一个人经过一堆论文。")</f>
        <v>一个人经过一堆论文。</v>
      </c>
    </row>
    <row r="28894">
      <c r="A28894" s="4" t="s">
        <v>36379</v>
      </c>
      <c r="B28894" s="4" t="s">
        <v>36389</v>
      </c>
      <c r="C28894" s="5" t="str">
        <f>IFERROR(__xludf.DUMMYFUNCTION("GOOGLETRANSLATE(B28894,""en"",""zh-CN"")"),"它显示屏幕上的论文。")</f>
        <v>它显示屏幕上的论文。</v>
      </c>
    </row>
    <row r="28895">
      <c r="A28895" s="4" t="s">
        <v>36390</v>
      </c>
      <c r="B28895" s="4" t="s">
        <v>36391</v>
      </c>
      <c r="C28895" s="5" t="str">
        <f>IFERROR(__xludf.DUMMYFUNCTION("GOOGLETRANSLATE(B28895,""en"",""zh-CN"")"),"看到一名体操运动员站在横梁举起手臂之前，其他人在侧面看着。")</f>
        <v>看到一名体操运动员站在横梁举起手臂之前，其他人在侧面看着。</v>
      </c>
    </row>
    <row r="28896">
      <c r="A28896" s="4" t="s">
        <v>36390</v>
      </c>
      <c r="B28896" s="4" t="s">
        <v>36392</v>
      </c>
      <c r="C28896" s="5" t="str">
        <f>IFERROR(__xludf.DUMMYFUNCTION("GOOGLETRANSLATE(B28896,""en"",""zh-CN"")"),"然后，该名女子在一大批人面前进行了体操运动员的例行活动。")</f>
        <v>然后，该名女子在一大批人面前进行了体操运动员的例行活动。</v>
      </c>
    </row>
    <row r="28897">
      <c r="A28897" s="4" t="s">
        <v>36390</v>
      </c>
      <c r="B28897" s="6" t="s">
        <v>36393</v>
      </c>
      <c r="C28897" s="5" t="str">
        <f>IFERROR(__xludf.DUMMYFUNCTION("GOOGLETRANSLATE(B28897,""en"",""zh-CN"")"),"她在某一时刻跌倒了，跳回了她的例行程序，并跳下侧面结束了她的例行程序。")</f>
        <v>她在某一时刻跌倒了，跳回了她的例行程序，并跳下侧面结束了她的例行程序。</v>
      </c>
    </row>
    <row r="28898">
      <c r="A28898" s="4" t="s">
        <v>36394</v>
      </c>
      <c r="B28898" s="4" t="s">
        <v>36395</v>
      </c>
      <c r="C28898" s="5" t="str">
        <f>IFERROR(__xludf.DUMMYFUNCTION("GOOGLETRANSLATE(B28898,""en"",""zh-CN"")"),"一个人正在解释如何在邦戈斯上演奏鼓。")</f>
        <v>一个人正在解释如何在邦戈斯上演奏鼓。</v>
      </c>
    </row>
    <row r="28899">
      <c r="A28899" s="4" t="s">
        <v>36394</v>
      </c>
      <c r="B28899" s="4" t="s">
        <v>36396</v>
      </c>
      <c r="C28899" s="5" t="str">
        <f>IFERROR(__xludf.DUMMYFUNCTION("GOOGLETRANSLATE(B28899,""en"",""zh-CN"")"),"他演示了他如何在三个邦戈斯之间交替。")</f>
        <v>他演示了他如何在三个邦戈斯之间交替。</v>
      </c>
    </row>
    <row r="28900">
      <c r="A28900" s="4" t="s">
        <v>36394</v>
      </c>
      <c r="B28900" s="4" t="s">
        <v>36397</v>
      </c>
      <c r="C28900" s="5" t="str">
        <f>IFERROR(__xludf.DUMMYFUNCTION("GOOGLETRANSLATE(B28900,""en"",""zh-CN"")"),"后来，他通过在邦戈斯（Bongos）上鼓声而切换到较慢的节奏和节奏。")</f>
        <v>后来，他通过在邦戈斯（Bongos）上鼓声而切换到较慢的节奏和节奏。</v>
      </c>
    </row>
    <row r="28901">
      <c r="A28901" s="4" t="s">
        <v>36394</v>
      </c>
      <c r="B28901" s="4" t="s">
        <v>36398</v>
      </c>
      <c r="C28901" s="5" t="str">
        <f>IFERROR(__xludf.DUMMYFUNCTION("GOOGLETRANSLATE(B28901,""en"",""zh-CN"")"),"他解释了随着节奏的变化，鼓上的节拍是如何变化的。")</f>
        <v>他解释了随着节奏的变化，鼓上的节拍是如何变化的。</v>
      </c>
    </row>
    <row r="28902">
      <c r="A28902" s="4" t="s">
        <v>36394</v>
      </c>
      <c r="B28902" s="6" t="s">
        <v>36399</v>
      </c>
      <c r="C28902" s="5" t="str">
        <f>IFERROR(__xludf.DUMMYFUNCTION("GOOGLETRANSLATE(B28902,""en"",""zh-CN"")"),"然后，他通过在两个鼓之间交替回到鼓上更快的节奏和节奏。")</f>
        <v>然后，他通过在两个鼓之间交替回到鼓上更快的节奏和节奏。</v>
      </c>
    </row>
    <row r="28903">
      <c r="A28903" s="4" t="s">
        <v>36400</v>
      </c>
      <c r="B28903" s="4" t="s">
        <v>36401</v>
      </c>
      <c r="C28903" s="5" t="str">
        <f>IFERROR(__xludf.DUMMYFUNCTION("GOOGLETRANSLATE(B28903,""en"",""zh-CN"")"),"一个女人站在潜水板的尽头。")</f>
        <v>一个女人站在潜水板的尽头。</v>
      </c>
    </row>
    <row r="28904">
      <c r="A28904" s="4" t="s">
        <v>36400</v>
      </c>
      <c r="B28904" s="4" t="s">
        <v>36402</v>
      </c>
      <c r="C28904" s="5" t="str">
        <f>IFERROR(__xludf.DUMMYFUNCTION("GOOGLETRANSLATE(B28904,""en"",""zh-CN"")"),"她轻轻地上下跳动。")</f>
        <v>她轻轻地上下跳动。</v>
      </c>
    </row>
    <row r="28905">
      <c r="A28905" s="4" t="s">
        <v>36400</v>
      </c>
      <c r="B28905" s="4" t="s">
        <v>36403</v>
      </c>
      <c r="C28905" s="5" t="str">
        <f>IFERROR(__xludf.DUMMYFUNCTION("GOOGLETRANSLATE(B28905,""en"",""zh-CN"")"),"然后，她将后空推入水中。")</f>
        <v>然后，她将后空推入水中。</v>
      </c>
    </row>
    <row r="28906">
      <c r="A28906" s="4" t="s">
        <v>36404</v>
      </c>
      <c r="B28906" s="4" t="s">
        <v>36405</v>
      </c>
      <c r="C28906" s="5" t="str">
        <f>IFERROR(__xludf.DUMMYFUNCTION("GOOGLETRANSLATE(B28906,""en"",""zh-CN"")"),"一群妇女聚集在一个房间里，然后去海滩。")</f>
        <v>一群妇女聚集在一个房间里，然后去海滩。</v>
      </c>
    </row>
    <row r="28907">
      <c r="A28907" s="4" t="s">
        <v>36404</v>
      </c>
      <c r="B28907" s="4" t="s">
        <v>36406</v>
      </c>
      <c r="C28907" s="5" t="str">
        <f>IFERROR(__xludf.DUMMYFUNCTION("GOOGLETRANSLATE(B28907,""en"",""zh-CN"")"),"一个女人在码头下拍摄其他人。")</f>
        <v>一个女人在码头下拍摄其他人。</v>
      </c>
    </row>
    <row r="28908">
      <c r="A28908" s="4" t="s">
        <v>36404</v>
      </c>
      <c r="B28908" s="4" t="s">
        <v>36407</v>
      </c>
      <c r="C28908" s="5" t="str">
        <f>IFERROR(__xludf.DUMMYFUNCTION("GOOGLETRANSLATE(B28908,""en"",""zh-CN"")"),"他们与摄影之间的相机交谈。")</f>
        <v>他们与摄影之间的相机交谈。</v>
      </c>
    </row>
    <row r="28909">
      <c r="A28909" s="4" t="s">
        <v>36408</v>
      </c>
      <c r="B28909" s="4" t="s">
        <v>36409</v>
      </c>
      <c r="C28909" s="5" t="str">
        <f>IFERROR(__xludf.DUMMYFUNCTION("GOOGLETRANSLATE(B28909,""en"",""zh-CN"")"),"一个男人在开始弹吉他之前花点时间给自己。")</f>
        <v>一个男人在开始弹吉他之前花点时间给自己。</v>
      </c>
    </row>
    <row r="28910">
      <c r="A28910" s="4" t="s">
        <v>36408</v>
      </c>
      <c r="B28910" s="4" t="s">
        <v>36410</v>
      </c>
      <c r="C28910" s="5" t="str">
        <f>IFERROR(__xludf.DUMMYFUNCTION("GOOGLETRANSLATE(B28910,""en"",""zh-CN"")"),"该男子弹吉他。")</f>
        <v>该男子弹吉他。</v>
      </c>
    </row>
    <row r="28911">
      <c r="A28911" s="4" t="s">
        <v>36408</v>
      </c>
      <c r="B28911" s="4" t="s">
        <v>36411</v>
      </c>
      <c r="C28911" s="5" t="str">
        <f>IFERROR(__xludf.DUMMYFUNCTION("GOOGLETRANSLATE(B28911,""en"",""zh-CN"")"),"该男子退出弹吉他。")</f>
        <v>该男子退出弹吉他。</v>
      </c>
    </row>
    <row r="28912">
      <c r="A28912" s="4" t="s">
        <v>36412</v>
      </c>
      <c r="B28912" s="4" t="s">
        <v>36413</v>
      </c>
      <c r="C28912" s="5" t="str">
        <f>IFERROR(__xludf.DUMMYFUNCTION("GOOGLETRANSLATE(B28912,""en"",""zh-CN"")"),"两个人正在玩乒乓球游戏。")</f>
        <v>两个人正在玩乒乓球游戏。</v>
      </c>
    </row>
    <row r="28913">
      <c r="A28913" s="4" t="s">
        <v>36412</v>
      </c>
      <c r="B28913" s="4" t="s">
        <v>36414</v>
      </c>
      <c r="C28913" s="5" t="str">
        <f>IFERROR(__xludf.DUMMYFUNCTION("GOOGLETRANSLATE(B28913,""en"",""zh-CN"")"),"人们在他们身后打篮球。")</f>
        <v>人们在他们身后打篮球。</v>
      </c>
    </row>
    <row r="28914">
      <c r="A28914" s="4" t="s">
        <v>36412</v>
      </c>
      <c r="B28914" s="4" t="s">
        <v>36415</v>
      </c>
      <c r="C28914" s="5" t="str">
        <f>IFERROR(__xludf.DUMMYFUNCTION("GOOGLETRANSLATE(B28914,""en"",""zh-CN"")"),"该名男子再次抓住球，将球放在桌子上。")</f>
        <v>该名男子再次抓住球，将球放在桌子上。</v>
      </c>
    </row>
    <row r="28915">
      <c r="A28915" s="4" t="s">
        <v>36412</v>
      </c>
      <c r="B28915" s="4" t="s">
        <v>36416</v>
      </c>
      <c r="C28915" s="5" t="str">
        <f>IFERROR(__xludf.DUMMYFUNCTION("GOOGLETRANSLATE(B28915,""en"",""zh-CN"")"),"该男子拿着电话并与女孩合影。")</f>
        <v>该男子拿着电话并与女孩合影。</v>
      </c>
    </row>
    <row r="28916">
      <c r="A28916" s="4" t="s">
        <v>36417</v>
      </c>
      <c r="B28916" s="4" t="s">
        <v>36418</v>
      </c>
      <c r="C28916" s="5" t="str">
        <f>IFERROR(__xludf.DUMMYFUNCTION("GOOGLETRANSLATE(B28916,""en"",""zh-CN"")"),"一位脖子上的老年女士在杂货店里的镜头大喊。")</f>
        <v>一位脖子上的老年女士在杂货店里的镜头大喊。</v>
      </c>
    </row>
    <row r="28917">
      <c r="A28917" s="4" t="s">
        <v>36417</v>
      </c>
      <c r="B28917" s="4" t="s">
        <v>36419</v>
      </c>
      <c r="C28917" s="5" t="str">
        <f>IFERROR(__xludf.DUMMYFUNCTION("GOOGLETRANSLATE(B28917,""en"",""zh-CN"")"),"女士吸尘商店的地板。")</f>
        <v>女士吸尘商店的地板。</v>
      </c>
    </row>
    <row r="28918">
      <c r="A28918" s="4" t="s">
        <v>36417</v>
      </c>
      <c r="B28918" s="4" t="s">
        <v>36420</v>
      </c>
      <c r="C28918" s="5" t="str">
        <f>IFERROR(__xludf.DUMMYFUNCTION("GOOGLETRANSLATE(B28918,""en"",""zh-CN"")"),"女士在音乐上跳舞，假装弹吉他。")</f>
        <v>女士在音乐上跳舞，假装弹吉他。</v>
      </c>
    </row>
    <row r="28919">
      <c r="A28919" s="4" t="s">
        <v>36417</v>
      </c>
      <c r="B28919" s="4" t="s">
        <v>36421</v>
      </c>
      <c r="C28919" s="5" t="str">
        <f>IFERROR(__xludf.DUMMYFUNCTION("GOOGLETRANSLATE(B28919,""en"",""zh-CN"")"),"这位女士脱下太阳镜，与镜头交谈。")</f>
        <v>这位女士脱下太阳镜，与镜头交谈。</v>
      </c>
    </row>
    <row r="28920">
      <c r="A28920" s="4" t="s">
        <v>36417</v>
      </c>
      <c r="B28920" s="4" t="s">
        <v>36422</v>
      </c>
      <c r="C28920" s="5" t="str">
        <f>IFERROR(__xludf.DUMMYFUNCTION("GOOGLETRANSLATE(B28920,""en"",""zh-CN"")"),"我们最终看到她站在过道上。")</f>
        <v>我们最终看到她站在过道上。</v>
      </c>
    </row>
    <row r="28921">
      <c r="A28921" s="4" t="s">
        <v>36423</v>
      </c>
      <c r="B28921" s="4" t="s">
        <v>36424</v>
      </c>
      <c r="C28921" s="5" t="str">
        <f>IFERROR(__xludf.DUMMYFUNCTION("GOOGLETRANSLATE(B28921,""en"",""zh-CN"")"),"有一群韩国流行歌手在舞台上表演。")</f>
        <v>有一群韩国流行歌手在舞台上表演。</v>
      </c>
    </row>
    <row r="28922">
      <c r="A28922" s="4" t="s">
        <v>36423</v>
      </c>
      <c r="B28922" s="4" t="s">
        <v>36425</v>
      </c>
      <c r="C28922" s="5" t="str">
        <f>IFERROR(__xludf.DUMMYFUNCTION("GOOGLETRANSLATE(B28922,""en"",""zh-CN"")"),"其中一位歌手正在演奏小提琴，而观众为他欢呼和拍手。")</f>
        <v>其中一位歌手正在演奏小提琴，而观众为他欢呼和拍手。</v>
      </c>
    </row>
    <row r="28923">
      <c r="A28923" s="4" t="s">
        <v>36423</v>
      </c>
      <c r="B28923" s="4" t="s">
        <v>36426</v>
      </c>
      <c r="C28923" s="5" t="str">
        <f>IFERROR(__xludf.DUMMYFUNCTION("GOOGLETRANSLATE(B28923,""en"",""zh-CN"")"),"然后另一位歌手抓住麦克风并与观众交谈。")</f>
        <v>然后另一位歌手抓住麦克风并与观众交谈。</v>
      </c>
    </row>
    <row r="28924">
      <c r="A28924" s="4" t="s">
        <v>36423</v>
      </c>
      <c r="B28924" s="4" t="s">
        <v>36427</v>
      </c>
      <c r="C28924" s="5" t="str">
        <f>IFERROR(__xludf.DUMMYFUNCTION("GOOGLETRANSLATE(B28924,""en"",""zh-CN"")"),"观众在观看时称赞和微笑。")</f>
        <v>观众在观看时称赞和微笑。</v>
      </c>
    </row>
    <row r="28925">
      <c r="A28925" s="4" t="s">
        <v>36423</v>
      </c>
      <c r="B28925" s="4" t="s">
        <v>36428</v>
      </c>
      <c r="C28925" s="5" t="str">
        <f>IFERROR(__xludf.DUMMYFUNCTION("GOOGLETRANSLATE(B28925,""en"",""zh-CN"")"),"表演者在弹小提琴时唱歌，然后在观众面前鞠躬。")</f>
        <v>表演者在弹小提琴时唱歌，然后在观众面前鞠躬。</v>
      </c>
    </row>
    <row r="28926">
      <c r="A28926" s="4" t="s">
        <v>36423</v>
      </c>
      <c r="B28926" s="4" t="s">
        <v>36429</v>
      </c>
      <c r="C28926" s="5" t="str">
        <f>IFERROR(__xludf.DUMMYFUNCTION("GOOGLETRANSLATE(B28926,""en"",""zh-CN"")"),"人群为他欢呼和鼓掌。")</f>
        <v>人群为他欢呼和鼓掌。</v>
      </c>
    </row>
    <row r="28927">
      <c r="A28927" s="4" t="s">
        <v>36430</v>
      </c>
      <c r="B28927" s="4" t="s">
        <v>36431</v>
      </c>
      <c r="C28927" s="5" t="str">
        <f>IFERROR(__xludf.DUMMYFUNCTION("GOOGLETRANSLATE(B28927,""en"",""zh-CN"")"),"一个男人站在健身房里，准备举起一组放在酒吧上的重物。")</f>
        <v>一个男人站在健身房里，准备举起一组放在酒吧上的重物。</v>
      </c>
    </row>
    <row r="28928">
      <c r="A28928" s="4" t="s">
        <v>36430</v>
      </c>
      <c r="B28928" s="4" t="s">
        <v>36432</v>
      </c>
      <c r="C28928" s="5" t="str">
        <f>IFERROR(__xludf.DUMMYFUNCTION("GOOGLETRANSLATE(B28928,""en"",""zh-CN"")"),"接下来，屏幕会闪烁到年轻的男性抽搐，然后将酒吧放在地上。")</f>
        <v>接下来，屏幕会闪烁到年轻的男性抽搐，然后将酒吧放在地上。</v>
      </c>
    </row>
    <row r="28929">
      <c r="A28929" s="4" t="s">
        <v>36430</v>
      </c>
      <c r="B28929" s="4" t="s">
        <v>36433</v>
      </c>
      <c r="C28929" s="5" t="str">
        <f>IFERROR(__xludf.DUMMYFUNCTION("GOOGLETRANSLATE(B28929,""en"",""zh-CN"")"),"还显示了更多人举重并将其放在地上。")</f>
        <v>还显示了更多人举重并将其放在地上。</v>
      </c>
    </row>
    <row r="28930">
      <c r="A28930" s="4" t="s">
        <v>36430</v>
      </c>
      <c r="B28930" s="6" t="s">
        <v>36434</v>
      </c>
      <c r="C28930" s="5" t="str">
        <f>IFERROR(__xludf.DUMMYFUNCTION("GOOGLETRANSLATE(B28930,""en"",""zh-CN"")"),"该男子在举起并放下酒吧时开始跳舞，重复举重。")</f>
        <v>该男子在举起并放下酒吧时开始跳舞，重复举重。</v>
      </c>
    </row>
    <row r="28931">
      <c r="A28931" s="4" t="s">
        <v>36430</v>
      </c>
      <c r="B28931" s="4" t="s">
        <v>36435</v>
      </c>
      <c r="C28931" s="5" t="str">
        <f>IFERROR(__xludf.DUMMYFUNCTION("GOOGLETRANSLATE(B28931,""en"",""zh-CN"")"),"之后，这些人继续在健身房漫步，吃蛋白质棒。")</f>
        <v>之后，这些人继续在健身房漫步，吃蛋白质棒。</v>
      </c>
    </row>
    <row r="28932">
      <c r="A28932" s="4" t="s">
        <v>36436</v>
      </c>
      <c r="B28932" s="4" t="s">
        <v>36437</v>
      </c>
      <c r="C28932" s="5" t="str">
        <f>IFERROR(__xludf.DUMMYFUNCTION("GOOGLETRANSLATE(B28932,""en"",""zh-CN"")"),"看到一个人将彩弹枪瞄准大型田野的远处。")</f>
        <v>看到一个人将彩弹枪瞄准大型田野的远处。</v>
      </c>
    </row>
    <row r="28933">
      <c r="A28933" s="4" t="s">
        <v>36436</v>
      </c>
      <c r="B28933" s="4" t="s">
        <v>36438</v>
      </c>
      <c r="C28933" s="5" t="str">
        <f>IFERROR(__xludf.DUMMYFUNCTION("GOOGLETRANSLATE(B28933,""en"",""zh-CN"")"),"当男人的目标时，许多人看着一边。")</f>
        <v>当男人的目标时，许多人看着一边。</v>
      </c>
    </row>
    <row r="28934">
      <c r="A28934" s="4" t="s">
        <v>36436</v>
      </c>
      <c r="B28934" s="4" t="s">
        <v>36439</v>
      </c>
      <c r="C28934" s="5" t="str">
        <f>IFERROR(__xludf.DUMMYFUNCTION("GOOGLETRANSLATE(B28934,""en"",""zh-CN"")"),"突然，另一个人进入框架并与男人一起玩。")</f>
        <v>突然，另一个人进入框架并与男人一起玩。</v>
      </c>
    </row>
    <row r="28935">
      <c r="A28935" s="4" t="s">
        <v>36440</v>
      </c>
      <c r="B28935" s="4" t="s">
        <v>36441</v>
      </c>
      <c r="C28935" s="5" t="str">
        <f>IFERROR(__xludf.DUMMYFUNCTION("GOOGLETRANSLATE(B28935,""en"",""zh-CN"")"),"一个男孩从地面上捡起耙子，然后拿起它。")</f>
        <v>一个男孩从地面上捡起耙子，然后拿起它。</v>
      </c>
    </row>
    <row r="28936">
      <c r="A28936" s="4" t="s">
        <v>36440</v>
      </c>
      <c r="B28936" s="4" t="s">
        <v>36442</v>
      </c>
      <c r="C28936" s="5" t="str">
        <f>IFERROR(__xludf.DUMMYFUNCTION("GOOGLETRANSLATE(B28936,""en"",""zh-CN"")"),"一个男人戴着蓝色头盔掉下滑梯。")</f>
        <v>一个男人戴着蓝色头盔掉下滑梯。</v>
      </c>
    </row>
    <row r="28937">
      <c r="A28937" s="4" t="s">
        <v>36440</v>
      </c>
      <c r="B28937" s="4" t="s">
        <v>36443</v>
      </c>
      <c r="C28937" s="5" t="str">
        <f>IFERROR(__xludf.DUMMYFUNCTION("GOOGLETRANSLATE(B28937,""en"",""zh-CN"")"),"他沿着滑梯跌落在地上。")</f>
        <v>他沿着滑梯跌落在地上。</v>
      </c>
    </row>
    <row r="28938">
      <c r="A28938" s="4" t="s">
        <v>36444</v>
      </c>
      <c r="B28938" s="6" t="s">
        <v>36445</v>
      </c>
      <c r="C28938" s="5" t="str">
        <f>IFERROR(__xludf.DUMMYFUNCTION("GOOGLETRANSLATE(B28938,""en"",""zh-CN"")"),"看到一小群女孩站在准备好的旗帜上，并带领他们表演常规。")</f>
        <v>看到一小群女孩站在准备好的旗帜上，并带领他们表演常规。</v>
      </c>
    </row>
    <row r="28939">
      <c r="A28939" s="4" t="s">
        <v>36444</v>
      </c>
      <c r="B28939" s="6" t="s">
        <v>36446</v>
      </c>
      <c r="C28939" s="5" t="str">
        <f>IFERROR(__xludf.DUMMYFUNCTION("GOOGLETRANSLATE(B28939,""en"",""zh-CN"")"),"一个男人坐在他们的前面演奏乐器，而他们继续旋转，侧面有许多人看着。")</f>
        <v>一个男人坐在他们的前面演奏乐器，而他们继续旋转，侧面有许多人看着。</v>
      </c>
    </row>
    <row r="28940">
      <c r="A28940" s="4" t="s">
        <v>36447</v>
      </c>
      <c r="B28940" s="4" t="s">
        <v>36448</v>
      </c>
      <c r="C28940" s="5" t="str">
        <f>IFERROR(__xludf.DUMMYFUNCTION("GOOGLETRANSLATE(B28940,""en"",""zh-CN"")"),"橙色队的一名球员带着冰球溜冰，直到他被绊倒并跌倒。")</f>
        <v>橙色队的一名球员带着冰球溜冰，直到他被绊倒并跌倒。</v>
      </c>
    </row>
    <row r="28941">
      <c r="A28941" s="4" t="s">
        <v>36447</v>
      </c>
      <c r="B28941" s="6" t="s">
        <v>36449</v>
      </c>
      <c r="C28941" s="5" t="str">
        <f>IFERROR(__xludf.DUMMYFUNCTION("GOOGLETRANSLATE(B28941,""en"",""zh-CN"")"),"灰色团队中的球员18取回了冰球，并击倒了防守者仔细阅读的冰。")</f>
        <v>灰色团队中的球员18取回了冰球，并击倒了防守者仔细阅读的冰。</v>
      </c>
    </row>
    <row r="28942">
      <c r="A28942" s="4" t="s">
        <v>36447</v>
      </c>
      <c r="B28942" s="4" t="s">
        <v>36450</v>
      </c>
      <c r="C28942" s="5" t="str">
        <f>IFERROR(__xludf.DUMMYFUNCTION("GOOGLETRANSLATE(B28942,""en"",""zh-CN"")"),"球员18对球门进行了射门。")</f>
        <v>球员18对球门进行了射门。</v>
      </c>
    </row>
    <row r="28943">
      <c r="A28943" s="4" t="s">
        <v>36447</v>
      </c>
      <c r="B28943" s="4" t="s">
        <v>36451</v>
      </c>
      <c r="C28943" s="5" t="str">
        <f>IFERROR(__xludf.DUMMYFUNCTION("GOOGLETRANSLATE(B28943,""en"",""zh-CN"")"),"橙队的守门员阻止了射门，并将冰球重新发挥作用。")</f>
        <v>橙队的守门员阻止了射门，并将冰球重新发挥作用。</v>
      </c>
    </row>
    <row r="28944">
      <c r="A28944" s="4" t="s">
        <v>36447</v>
      </c>
      <c r="B28944" s="6" t="s">
        <v>36452</v>
      </c>
      <c r="C28944" s="5" t="str">
        <f>IFERROR(__xludf.DUMMYFUNCTION("GOOGLETRANSLATE(B28944,""en"",""zh-CN"")"),"橙队的球员4一旦自己通过了防守者，就将冰球击倒了。")</f>
        <v>橙队的球员4一旦自己通过了防守者，就将冰球击倒了。</v>
      </c>
    </row>
    <row r="28945">
      <c r="A28945" s="4" t="s">
        <v>36447</v>
      </c>
      <c r="B28945" s="4" t="s">
        <v>36453</v>
      </c>
      <c r="C28945" s="5" t="str">
        <f>IFERROR(__xludf.DUMMYFUNCTION("GOOGLETRANSLATE(B28945,""en"",""zh-CN"")"),"玩家4开球并得分。")</f>
        <v>玩家4开球并得分。</v>
      </c>
    </row>
    <row r="28946">
      <c r="A28946" s="4" t="s">
        <v>36447</v>
      </c>
      <c r="B28946" s="4" t="s">
        <v>36454</v>
      </c>
      <c r="C28946" s="5" t="str">
        <f>IFERROR(__xludf.DUMMYFUNCTION("GOOGLETRANSLATE(B28946,""en"",""zh-CN"")"),"球员4和队友庆祝并赢得冰球。")</f>
        <v>球员4和队友庆祝并赢得冰球。</v>
      </c>
    </row>
    <row r="28947">
      <c r="A28947" s="4" t="s">
        <v>36455</v>
      </c>
      <c r="B28947" s="4" t="s">
        <v>36456</v>
      </c>
      <c r="C28947" s="5" t="str">
        <f>IFERROR(__xludf.DUMMYFUNCTION("GOOGLETRANSLATE(B28947,""en"",""zh-CN"")"),"一个坐着的人与其他人在教室环境中清洁鞋子。")</f>
        <v>一个坐着的人与其他人在教室环境中清洁鞋子。</v>
      </c>
    </row>
    <row r="28948">
      <c r="A28948" s="4" t="s">
        <v>36455</v>
      </c>
      <c r="B28948" s="4" t="s">
        <v>36457</v>
      </c>
      <c r="C28948" s="5" t="str">
        <f>IFERROR(__xludf.DUMMYFUNCTION("GOOGLETRANSLATE(B28948,""en"",""zh-CN"")"),"这个人转向相机并微笑。")</f>
        <v>这个人转向相机并微笑。</v>
      </c>
    </row>
    <row r="28949">
      <c r="A28949" s="4" t="s">
        <v>36455</v>
      </c>
      <c r="B28949" s="4" t="s">
        <v>36458</v>
      </c>
      <c r="C28949" s="5" t="str">
        <f>IFERROR(__xludf.DUMMYFUNCTION("GOOGLETRANSLATE(B28949,""en"",""zh-CN"")"),"该男子将鞋子向下握住时笑了。")</f>
        <v>该男子将鞋子向下握住时笑了。</v>
      </c>
    </row>
    <row r="28950">
      <c r="A28950" s="4" t="s">
        <v>36459</v>
      </c>
      <c r="B28950" s="4" t="s">
        <v>36460</v>
      </c>
      <c r="C28950" s="5" t="str">
        <f>IFERROR(__xludf.DUMMYFUNCTION("GOOGLETRANSLATE(B28950,""en"",""zh-CN"")"),"我们在建筑物中看到木筏和人们。")</f>
        <v>我们在建筑物中看到木筏和人们。</v>
      </c>
    </row>
    <row r="28951">
      <c r="A28951" s="4" t="s">
        <v>36459</v>
      </c>
      <c r="B28951" s="4" t="s">
        <v>36461</v>
      </c>
      <c r="C28951" s="5" t="str">
        <f>IFERROR(__xludf.DUMMYFUNCTION("GOOGLETRANSLATE(B28951,""en"",""zh-CN"")"),"人们登上公共汽车并在水上公园出口。")</f>
        <v>人们登上公共汽车并在水上公园出口。</v>
      </c>
    </row>
    <row r="28952">
      <c r="A28952" s="4" t="s">
        <v>36459</v>
      </c>
      <c r="B28952" s="4" t="s">
        <v>36462</v>
      </c>
      <c r="C28952" s="5" t="str">
        <f>IFERROR(__xludf.DUMMYFUNCTION("GOOGLETRANSLATE(B28952,""en"",""zh-CN"")"),"人们抓住筏子，木筏上的人们充满了河。")</f>
        <v>人们抓住筏子，木筏上的人们充满了河。</v>
      </c>
    </row>
    <row r="28953">
      <c r="A28953" s="4" t="s">
        <v>36459</v>
      </c>
      <c r="B28953" s="4" t="s">
        <v>36463</v>
      </c>
      <c r="C28953" s="5" t="str">
        <f>IFERROR(__xludf.DUMMYFUNCTION("GOOGLETRANSLATE(B28953,""en"",""zh-CN"")"),"我们看到人造瀑布，人们滑过它。")</f>
        <v>我们看到人造瀑布，人们滑过它。</v>
      </c>
    </row>
    <row r="28954">
      <c r="A28954" s="4" t="s">
        <v>36459</v>
      </c>
      <c r="B28954" s="4" t="s">
        <v>36464</v>
      </c>
      <c r="C28954" s="5" t="str">
        <f>IFERROR(__xludf.DUMMYFUNCTION("GOOGLETRANSLATE(B28954,""en"",""zh-CN"")"),"一个人从木筏上掉下来。")</f>
        <v>一个人从木筏上掉下来。</v>
      </c>
    </row>
    <row r="28955">
      <c r="A28955" s="4" t="s">
        <v>36459</v>
      </c>
      <c r="B28955" s="4" t="s">
        <v>36465</v>
      </c>
      <c r="C28955" s="5" t="str">
        <f>IFERROR(__xludf.DUMMYFUNCTION("GOOGLETRANSLATE(B28955,""en"",""zh-CN"")"),"一个拿着自拍照的男人正在骑筏。")</f>
        <v>一个拿着自拍照的男人正在骑筏。</v>
      </c>
    </row>
    <row r="28956">
      <c r="A28956" s="4" t="s">
        <v>36459</v>
      </c>
      <c r="B28956" s="4" t="s">
        <v>36466</v>
      </c>
      <c r="C28956" s="5" t="str">
        <f>IFERROR(__xludf.DUMMYFUNCTION("GOOGLETRANSLATE(B28956,""en"",""zh-CN"")"),"另一个拿着自拍照的男人。")</f>
        <v>另一个拿着自拍照的男人。</v>
      </c>
    </row>
    <row r="28957">
      <c r="A28957" s="4" t="s">
        <v>36459</v>
      </c>
      <c r="B28957" s="4" t="s">
        <v>36467</v>
      </c>
      <c r="C28957" s="5" t="str">
        <f>IFERROR(__xludf.DUMMYFUNCTION("GOOGLETRANSLATE(B28957,""en"",""zh-CN"")"),"我们看到了视频的电话号码和积分。")</f>
        <v>我们看到了视频的电话号码和积分。</v>
      </c>
    </row>
    <row r="28958">
      <c r="A28958" s="4" t="s">
        <v>36468</v>
      </c>
      <c r="B28958" s="4" t="s">
        <v>36469</v>
      </c>
      <c r="C28958" s="5" t="str">
        <f>IFERROR(__xludf.DUMMYFUNCTION("GOOGLETRANSLATE(B28958,""en"",""zh-CN"")"),"看到一小群人站在外面，一个人蒙住眼睛并握着蝙蝠。")</f>
        <v>看到一小群人站在外面，一个人蒙住眼睛并握着蝙蝠。</v>
      </c>
    </row>
    <row r="28959">
      <c r="A28959" s="4" t="s">
        <v>36468</v>
      </c>
      <c r="B28959" s="4" t="s">
        <v>36470</v>
      </c>
      <c r="C28959" s="5" t="str">
        <f>IFERROR(__xludf.DUMMYFUNCTION("GOOGLETRANSLATE(B28959,""en"",""zh-CN"")"),"然后，一个人拉起pinata，开始向物体摆动。")</f>
        <v>然后，一个人拉起pinata，开始向物体摆动。</v>
      </c>
    </row>
    <row r="28960">
      <c r="A28960" s="4" t="s">
        <v>36468</v>
      </c>
      <c r="B28960" s="4" t="s">
        <v>36471</v>
      </c>
      <c r="C28960" s="5" t="str">
        <f>IFERROR(__xludf.DUMMYFUNCTION("GOOGLETRANSLATE(B28960,""en"",""zh-CN"")"),"男孩四处走动，继续向物体摆动。")</f>
        <v>男孩四处走动，继续向物体摆动。</v>
      </c>
    </row>
    <row r="28961">
      <c r="A28961" s="4" t="s">
        <v>36472</v>
      </c>
      <c r="B28961" s="4" t="s">
        <v>36473</v>
      </c>
      <c r="C28961" s="5" t="str">
        <f>IFERROR(__xludf.DUMMYFUNCTION("GOOGLETRANSLATE(B28961,""en"",""zh-CN"")"),"人们聚集在甜点的旅游设施中。")</f>
        <v>人们聚集在甜点的旅游设施中。</v>
      </c>
    </row>
    <row r="28962">
      <c r="A28962" s="4" t="s">
        <v>36472</v>
      </c>
      <c r="B28962" s="4" t="s">
        <v>36474</v>
      </c>
      <c r="C28962" s="5" t="str">
        <f>IFERROR(__xludf.DUMMYFUNCTION("GOOGLETRANSLATE(B28962,""en"",""zh-CN"")"),"然后，人们骑着男人拉的骆驼。")</f>
        <v>然后，人们骑着男人拉的骆驼。</v>
      </c>
    </row>
    <row r="28963">
      <c r="A28963" s="4" t="s">
        <v>36472</v>
      </c>
      <c r="B28963" s="4" t="s">
        <v>36475</v>
      </c>
      <c r="C28963" s="5" t="str">
        <f>IFERROR(__xludf.DUMMYFUNCTION("GOOGLETRANSLATE(B28963,""en"",""zh-CN"")"),"大篷车在沙漠中前进，而骆驼则排队。")</f>
        <v>大篷车在沙漠中前进，而骆驼则排队。</v>
      </c>
    </row>
    <row r="28964">
      <c r="A28964" s="4" t="s">
        <v>36472</v>
      </c>
      <c r="B28964" s="4" t="s">
        <v>36476</v>
      </c>
      <c r="C28964" s="5" t="str">
        <f>IFERROR(__xludf.DUMMYFUNCTION("GOOGLETRANSLATE(B28964,""en"",""zh-CN"")"),"骆驼后面的白色停车场。")</f>
        <v>骆驼后面的白色停车场。</v>
      </c>
    </row>
    <row r="28965">
      <c r="A28965" s="4" t="s">
        <v>36472</v>
      </c>
      <c r="B28965" s="4" t="s">
        <v>36477</v>
      </c>
      <c r="C28965" s="5" t="str">
        <f>IFERROR(__xludf.DUMMYFUNCTION("GOOGLETRANSLATE(B28965,""en"",""zh-CN"")"),"然后，那个男人让跪在骆驼上，人们跌倒了骆驼。")</f>
        <v>然后，那个男人让跪在骆驼上，人们跌倒了骆驼。</v>
      </c>
    </row>
    <row r="28966">
      <c r="A28966" s="4" t="s">
        <v>36472</v>
      </c>
      <c r="B28966" s="4" t="s">
        <v>36478</v>
      </c>
      <c r="C28966" s="5" t="str">
        <f>IFERROR(__xludf.DUMMYFUNCTION("GOOGLETRANSLATE(B28966,""en"",""zh-CN"")"),"之后，一群游客骑骆驼，并在旅游设施前面。")</f>
        <v>之后，一群游客骑骆驼，并在旅游设施前面。</v>
      </c>
    </row>
    <row r="28967">
      <c r="A28967" s="4" t="s">
        <v>36479</v>
      </c>
      <c r="B28967" s="6" t="s">
        <v>36480</v>
      </c>
      <c r="C28967" s="5" t="str">
        <f>IFERROR(__xludf.DUMMYFUNCTION("GOOGLETRANSLATE(B28967,""en"",""zh-CN"")"),"介绍导致几次潜水员在海洋中移动，并在水下经过各种鱼类和物品。")</f>
        <v>介绍导致几次潜水员在海洋中移动，并在水下经过各种鱼类和物品。</v>
      </c>
    </row>
    <row r="28968">
      <c r="A28968" s="4" t="s">
        <v>36479</v>
      </c>
      <c r="B28968" s="4" t="s">
        <v>36481</v>
      </c>
      <c r="C28968" s="5" t="str">
        <f>IFERROR(__xludf.DUMMYFUNCTION("GOOGLETRANSLATE(B28968,""en"",""zh-CN"")"),"潜水员在水面上的水上上方，在相机跟随时旋转。")</f>
        <v>潜水员在水面上的水上上方，在相机跟随时旋转。</v>
      </c>
    </row>
    <row r="28969">
      <c r="A28969" s="4" t="s">
        <v>36482</v>
      </c>
      <c r="B28969" s="4" t="s">
        <v>36483</v>
      </c>
      <c r="C28969" s="5" t="str">
        <f>IFERROR(__xludf.DUMMYFUNCTION("GOOGLETRANSLATE(B28969,""en"",""zh-CN"")"),"一个男人和一个女人在人群面前的舞池里跳舞。")</f>
        <v>一个男人和一个女人在人群面前的舞池里跳舞。</v>
      </c>
    </row>
    <row r="28970">
      <c r="A28970" s="4" t="s">
        <v>36482</v>
      </c>
      <c r="B28970" s="4" t="s">
        <v>36484</v>
      </c>
      <c r="C28970" s="5" t="str">
        <f>IFERROR(__xludf.DUMMYFUNCTION("GOOGLETRANSLATE(B28970,""en"",""zh-CN"")"),"人群为他们鼓掌。")</f>
        <v>人群为他们鼓掌。</v>
      </c>
    </row>
    <row r="28971">
      <c r="A28971" s="4" t="s">
        <v>36482</v>
      </c>
      <c r="B28971" s="4" t="s">
        <v>36485</v>
      </c>
      <c r="C28971" s="5" t="str">
        <f>IFERROR(__xludf.DUMMYFUNCTION("GOOGLETRANSLATE(B28971,""en"",""zh-CN"")"),"这对夫妇拥抱着人群。")</f>
        <v>这对夫妇拥抱着人群。</v>
      </c>
    </row>
    <row r="28972">
      <c r="A28972" s="4" t="s">
        <v>36486</v>
      </c>
      <c r="B28972" s="4" t="s">
        <v>36487</v>
      </c>
      <c r="C28972" s="5" t="str">
        <f>IFERROR(__xludf.DUMMYFUNCTION("GOOGLETRANSLATE(B28972,""en"",""zh-CN"")"),"看到一个人坐在拿着rubix立方体的长凳上。")</f>
        <v>看到一个人坐在拿着rubix立方体的长凳上。</v>
      </c>
    </row>
    <row r="28973">
      <c r="A28973" s="4" t="s">
        <v>36486</v>
      </c>
      <c r="B28973" s="4" t="s">
        <v>36488</v>
      </c>
      <c r="C28973" s="5" t="str">
        <f>IFERROR(__xludf.DUMMYFUNCTION("GOOGLETRANSLATE(B28973,""en"",""zh-CN"")"),"然后，该人开始将双手移动到解决立方体上。")</f>
        <v>然后，该人开始将双手移动到解决立方体上。</v>
      </c>
    </row>
    <row r="28974">
      <c r="A28974" s="4" t="s">
        <v>36486</v>
      </c>
      <c r="B28974" s="4" t="s">
        <v>36489</v>
      </c>
      <c r="C28974" s="5" t="str">
        <f>IFERROR(__xludf.DUMMYFUNCTION("GOOGLETRANSLATE(B28974,""en"",""zh-CN"")"),"该人解决了立方体，然后将相机关闭。")</f>
        <v>该人解决了立方体，然后将相机关闭。</v>
      </c>
    </row>
    <row r="28975">
      <c r="A28975" s="4" t="s">
        <v>36490</v>
      </c>
      <c r="B28975" s="6" t="s">
        <v>36491</v>
      </c>
      <c r="C28975" s="5" t="str">
        <f>IFERROR(__xludf.DUMMYFUNCTION("GOOGLETRANSLATE(B28975,""en"",""zh-CN"")"),"看到两个男人彼此之间挥舞着胳膊和腿，而一群人站着看着他们。")</f>
        <v>看到两个男人彼此之间挥舞着胳膊和腿，而一群人站着看着他们。</v>
      </c>
    </row>
    <row r="28976">
      <c r="A28976" s="4" t="s">
        <v>36490</v>
      </c>
      <c r="B28976" s="6" t="s">
        <v>36492</v>
      </c>
      <c r="C28976" s="5" t="str">
        <f>IFERROR(__xludf.DUMMYFUNCTION("GOOGLETRANSLATE(B28976,""en"",""zh-CN"")"),"这些人继续旋转着韦尔人的拍手，最后他们握手。")</f>
        <v>这些人继续旋转着韦尔人的拍手，最后他们握手。</v>
      </c>
    </row>
    <row r="28977">
      <c r="A28977" s="4" t="s">
        <v>36493</v>
      </c>
      <c r="B28977" s="4" t="s">
        <v>36494</v>
      </c>
      <c r="C28977" s="5" t="str">
        <f>IFERROR(__xludf.DUMMYFUNCTION("GOOGLETRANSLATE(B28977,""en"",""zh-CN"")"),"一个人正在骑自行车的链条上。")</f>
        <v>一个人正在骑自行车的链条上。</v>
      </c>
    </row>
    <row r="28978">
      <c r="A28978" s="4" t="s">
        <v>36493</v>
      </c>
      <c r="B28978" s="4" t="s">
        <v>36495</v>
      </c>
      <c r="C28978" s="5" t="str">
        <f>IFERROR(__xludf.DUMMYFUNCTION("GOOGLETRANSLATE(B28978,""en"",""zh-CN"")"),"他们使用蓝色工具将链条拆开。")</f>
        <v>他们使用蓝色工具将链条拆开。</v>
      </c>
    </row>
    <row r="28979">
      <c r="A28979" s="4" t="s">
        <v>36493</v>
      </c>
      <c r="B28979" s="4" t="s">
        <v>36496</v>
      </c>
      <c r="C28979" s="5" t="str">
        <f>IFERROR(__xludf.DUMMYFUNCTION("GOOGLETRANSLATE(B28979,""en"",""zh-CN"")"),"他们使用工具将其放回原处。")</f>
        <v>他们使用工具将其放回原处。</v>
      </c>
    </row>
    <row r="28980">
      <c r="A28980" s="4" t="s">
        <v>36497</v>
      </c>
      <c r="B28980" s="4" t="s">
        <v>36498</v>
      </c>
      <c r="C28980" s="5" t="str">
        <f>IFERROR(__xludf.DUMMYFUNCTION("GOOGLETRANSLATE(B28980,""en"",""zh-CN"")"),"一个男人正在平衡梁上做一个体操例程。")</f>
        <v>一个男人正在平衡梁上做一个体操例程。</v>
      </c>
    </row>
    <row r="28981">
      <c r="A28981" s="4" t="s">
        <v>36497</v>
      </c>
      <c r="B28981" s="4" t="s">
        <v>36499</v>
      </c>
      <c r="C28981" s="5" t="str">
        <f>IFERROR(__xludf.DUMMYFUNCTION("GOOGLETRANSLATE(B28981,""en"",""zh-CN"")"),"他将光束跳到垫子上。")</f>
        <v>他将光束跳到垫子上。</v>
      </c>
    </row>
    <row r="28982">
      <c r="A28982" s="4" t="s">
        <v>36497</v>
      </c>
      <c r="B28982" s="4" t="s">
        <v>36500</v>
      </c>
      <c r="C28982" s="5" t="str">
        <f>IFERROR(__xludf.DUMMYFUNCTION("GOOGLETRANSLATE(B28982,""en"",""zh-CN"")"),"另一个男人跳到平衡梁上并进行例行。")</f>
        <v>另一个男人跳到平衡梁上并进行例行。</v>
      </c>
    </row>
    <row r="28983">
      <c r="A28983" s="4" t="s">
        <v>36501</v>
      </c>
      <c r="B28983" s="4" t="s">
        <v>36502</v>
      </c>
      <c r="C28983" s="5" t="str">
        <f>IFERROR(__xludf.DUMMYFUNCTION("GOOGLETRANSLATE(B28983,""en"",""zh-CN"")"),"几名为寒冷打扮的男人正在雪地外面等待。")</f>
        <v>几名为寒冷打扮的男人正在雪地外面等待。</v>
      </c>
    </row>
    <row r="28984">
      <c r="A28984" s="4" t="s">
        <v>36501</v>
      </c>
      <c r="B28984" s="4" t="s">
        <v>36503</v>
      </c>
      <c r="C28984" s="5" t="str">
        <f>IFERROR(__xludf.DUMMYFUNCTION("GOOGLETRANSLATE(B28984,""en"",""zh-CN"")"),"他们走到外面，准备滑雪。")</f>
        <v>他们走到外面，准备滑雪。</v>
      </c>
    </row>
    <row r="28985">
      <c r="A28985" s="4" t="s">
        <v>36501</v>
      </c>
      <c r="B28985" s="6" t="s">
        <v>36504</v>
      </c>
      <c r="C28985" s="5" t="str">
        <f>IFERROR(__xludf.DUMMYFUNCTION("GOOGLETRANSLATE(B28985,""en"",""zh-CN"")"),"他们开始滑雪，沿着陡峭的山坡沿着陡峭的山坡移动，然后在雪覆盖的树木中钓鱼。")</f>
        <v>他们开始滑雪，沿着陡峭的山坡沿着陡峭的山坡移动，然后在雪覆盖的树木中钓鱼。</v>
      </c>
    </row>
    <row r="28986">
      <c r="A28986" s="4" t="s">
        <v>36505</v>
      </c>
      <c r="B28986" s="4" t="s">
        <v>36506</v>
      </c>
      <c r="C28986" s="5" t="str">
        <f>IFERROR(__xludf.DUMMYFUNCTION("GOOGLETRANSLATE(B28986,""en"",""zh-CN"")"),"一群人在海滩上的户外场上。")</f>
        <v>一群人在海滩上的户外场上。</v>
      </c>
    </row>
    <row r="28987">
      <c r="A28987" s="4" t="s">
        <v>36505</v>
      </c>
      <c r="B28987" s="4" t="s">
        <v>36507</v>
      </c>
      <c r="C28987" s="5" t="str">
        <f>IFERROR(__xludf.DUMMYFUNCTION("GOOGLETRANSLATE(B28987,""en"",""zh-CN"")"),"他们正在打排球。")</f>
        <v>他们正在打排球。</v>
      </c>
    </row>
    <row r="28988">
      <c r="A28988" s="4" t="s">
        <v>36505</v>
      </c>
      <c r="B28988" s="6" t="s">
        <v>36508</v>
      </c>
      <c r="C28988" s="5" t="str">
        <f>IFERROR(__xludf.DUMMYFUNCTION("GOOGLETRANSLATE(B28988,""en"",""zh-CN"")"),"他们来回踢球，庆祝他们在人群拍手和欢呼时赢得胜利。")</f>
        <v>他们来回踢球，庆祝他们在人群拍手和欢呼时赢得胜利。</v>
      </c>
    </row>
    <row r="28989">
      <c r="A28989" s="4" t="s">
        <v>36509</v>
      </c>
      <c r="B28989" s="4" t="s">
        <v>36510</v>
      </c>
      <c r="C28989" s="5" t="str">
        <f>IFERROR(__xludf.DUMMYFUNCTION("GOOGLETRANSLATE(B28989,""en"",""zh-CN"")"),"一个小女孩在她的弟弟旁边的秋千上。")</f>
        <v>一个小女孩在她的弟弟旁边的秋千上。</v>
      </c>
    </row>
    <row r="28990">
      <c r="A28990" s="4" t="s">
        <v>36509</v>
      </c>
      <c r="B28990" s="4" t="s">
        <v>36511</v>
      </c>
      <c r="C28990" s="5" t="str">
        <f>IFERROR(__xludf.DUMMYFUNCTION("GOOGLETRANSLATE(B28990,""en"",""zh-CN"")"),"当他们来回摆动时，他们被推动了。")</f>
        <v>当他们来回摆动时，他们被推动了。</v>
      </c>
    </row>
    <row r="28991">
      <c r="A28991" s="4" t="s">
        <v>36512</v>
      </c>
      <c r="B28991" s="4" t="s">
        <v>36513</v>
      </c>
      <c r="C28991" s="5" t="str">
        <f>IFERROR(__xludf.DUMMYFUNCTION("GOOGLETRANSLATE(B28991,""en"",""zh-CN"")"),"人们在汽车和帐篷周围走来走去，在背景中坐在椅子上做不同的事情。")</f>
        <v>人们在汽车和帐篷周围走来走去，在背景中坐在椅子上做不同的事情。</v>
      </c>
    </row>
    <row r="28992">
      <c r="A28992" s="4" t="s">
        <v>36512</v>
      </c>
      <c r="B28992" s="4" t="s">
        <v>36514</v>
      </c>
      <c r="C28992" s="5" t="str">
        <f>IFERROR(__xludf.DUMMYFUNCTION("GOOGLETRANSLATE(B28992,""en"",""zh-CN"")"),"一个男人和一只狗正准备打飞盘。")</f>
        <v>一个男人和一只狗正准备打飞盘。</v>
      </c>
    </row>
    <row r="28993">
      <c r="A28993" s="4" t="s">
        <v>36512</v>
      </c>
      <c r="B28993" s="4" t="s">
        <v>36515</v>
      </c>
      <c r="C28993" s="5" t="str">
        <f>IFERROR(__xludf.DUMMYFUNCTION("GOOGLETRANSLATE(B28993,""en"",""zh-CN"")"),"该男子扔了一个飞盘，狗奔跑，抓住它并将其带回。")</f>
        <v>该男子扔了一个飞盘，狗奔跑，抓住它并将其带回。</v>
      </c>
    </row>
    <row r="28994">
      <c r="A28994" s="4" t="s">
        <v>36512</v>
      </c>
      <c r="B28994" s="4" t="s">
        <v>36516</v>
      </c>
      <c r="C28994" s="5" t="str">
        <f>IFERROR(__xludf.DUMMYFUNCTION("GOOGLETRANSLATE(B28994,""en"",""zh-CN"")"),"这只狗为他的下一个技巧做准备感到非常兴奋。")</f>
        <v>这只狗为他的下一个技巧做准备感到非常兴奋。</v>
      </c>
    </row>
    <row r="28995">
      <c r="A28995" s="4" t="s">
        <v>36512</v>
      </c>
      <c r="B28995" s="4" t="s">
        <v>36517</v>
      </c>
      <c r="C28995" s="5" t="str">
        <f>IFERROR(__xludf.DUMMYFUNCTION("GOOGLETRANSLATE(B28995,""en"",""zh-CN"")"),"该男子跪下，在他滚动，翻转和走来走去时为狗扔菜。")</f>
        <v>该男子跪下，在他滚动，翻转和走来走去时为狗扔菜。</v>
      </c>
    </row>
    <row r="28996">
      <c r="A28996" s="4" t="s">
        <v>36512</v>
      </c>
      <c r="B28996" s="6" t="s">
        <v>36518</v>
      </c>
      <c r="C28996" s="5" t="str">
        <f>IFERROR(__xludf.DUMMYFUNCTION("GOOGLETRANSLATE(B28996,""en"",""zh-CN"")"),"第二个人加入了场上的第一个男人，他们俩都举起手臂，然后转身走开。")</f>
        <v>第二个人加入了场上的第一个男人，他们俩都举起手臂，然后转身走开。</v>
      </c>
    </row>
    <row r="28997">
      <c r="A28997" s="4" t="s">
        <v>36519</v>
      </c>
      <c r="B28997" s="4" t="s">
        <v>36520</v>
      </c>
      <c r="C28997" s="5" t="str">
        <f>IFERROR(__xludf.DUMMYFUNCTION("GOOGLETRANSLATE(B28997,""en"",""zh-CN"")"),"看到一个女人在一条小轨道上奔跑，第四名奔跑，并戴上头盔。")</f>
        <v>看到一个女人在一条小轨道上奔跑，第四名奔跑，并戴上头盔。</v>
      </c>
    </row>
    <row r="28998">
      <c r="A28998" s="4" t="s">
        <v>36519</v>
      </c>
      <c r="B28998" s="4" t="s">
        <v>36521</v>
      </c>
      <c r="C28998" s="5" t="str">
        <f>IFERROR(__xludf.DUMMYFUNCTION("GOOGLETRANSLATE(B28998,""en"",""zh-CN"")"),"她抓住一根杆子，沿着轨道跳过酒吧，然后上垫子。")</f>
        <v>她抓住一根杆子，沿着轨道跳过酒吧，然后上垫子。</v>
      </c>
    </row>
    <row r="28999">
      <c r="A28999" s="4" t="s">
        <v>36519</v>
      </c>
      <c r="B28999" s="4" t="s">
        <v>36522</v>
      </c>
      <c r="C28999" s="5" t="str">
        <f>IFERROR(__xludf.DUMMYFUNCTION("GOOGLETRANSLATE(B28999,""en"",""zh-CN"")"),"她跳了起来，走到一群保持得分的人。")</f>
        <v>她跳了起来，走到一群保持得分的人。</v>
      </c>
    </row>
    <row r="29000">
      <c r="A29000" s="4" t="s">
        <v>36523</v>
      </c>
      <c r="B29000" s="4" t="s">
        <v>36524</v>
      </c>
      <c r="C29000" s="5" t="str">
        <f>IFERROR(__xludf.DUMMYFUNCTION("GOOGLETRANSLATE(B29000,""en"",""zh-CN"")"),"孩子们正在游乐园开车碰碰车。")</f>
        <v>孩子们正在游乐园开车碰碰车。</v>
      </c>
    </row>
    <row r="29001">
      <c r="A29001" s="4" t="s">
        <v>36523</v>
      </c>
      <c r="B29001" s="4" t="s">
        <v>36525</v>
      </c>
      <c r="C29001" s="5" t="str">
        <f>IFERROR(__xludf.DUMMYFUNCTION("GOOGLETRANSLATE(B29001,""en"",""zh-CN"")"),"父母和他的孩子坐在保险杠上。")</f>
        <v>父母和他的孩子坐在保险杠上。</v>
      </c>
    </row>
    <row r="29002">
      <c r="A29002" s="4" t="s">
        <v>36523</v>
      </c>
      <c r="B29002" s="4" t="s">
        <v>36526</v>
      </c>
      <c r="C29002" s="5" t="str">
        <f>IFERROR(__xludf.DUMMYFUNCTION("GOOGLETRANSLATE(B29002,""en"",""zh-CN"")"),"穿着黄色背心的男人坐在背景上。")</f>
        <v>穿着黄色背心的男人坐在背景上。</v>
      </c>
    </row>
    <row r="29003">
      <c r="A29003" s="4" t="s">
        <v>36527</v>
      </c>
      <c r="B29003" s="6" t="s">
        <v>36528</v>
      </c>
      <c r="C29003" s="5" t="str">
        <f>IFERROR(__xludf.DUMMYFUNCTION("GOOGLETRANSLATE(B29003,""en"",""zh-CN"")"),"看到一大批人穿着保护性听觉和徘徊在彼此交谈的地方。")</f>
        <v>看到一大批人穿着保护性听觉和徘徊在彼此交谈的地方。</v>
      </c>
    </row>
    <row r="29004">
      <c r="A29004" s="4" t="s">
        <v>36527</v>
      </c>
      <c r="B29004" s="6" t="s">
        <v>36529</v>
      </c>
      <c r="C29004" s="5" t="str">
        <f>IFERROR(__xludf.DUMMYFUNCTION("GOOGLETRANSLATE(B29004,""en"",""zh-CN"")"),"另一个人跑进去和其他人说话，同时拿着枪支和其他针对方面的人。")</f>
        <v>另一个人跑进去和其他人说话，同时拿着枪支和其他针对方面的人。</v>
      </c>
    </row>
    <row r="29005">
      <c r="A29005" s="4" t="s">
        <v>36527</v>
      </c>
      <c r="B29005" s="4" t="s">
        <v>36530</v>
      </c>
      <c r="C29005" s="5" t="str">
        <f>IFERROR(__xludf.DUMMYFUNCTION("GOOGLETRANSLATE(B29005,""en"",""zh-CN"")"),"一个女人抓住玩具长颈鹿，而其他人做出反应，而其他人则在远处观看。")</f>
        <v>一个女人抓住玩具长颈鹿，而其他人做出反应，而其他人则在远处观看。</v>
      </c>
    </row>
    <row r="29006">
      <c r="A29006" s="4" t="s">
        <v>36531</v>
      </c>
      <c r="B29006" s="4" t="s">
        <v>36532</v>
      </c>
      <c r="C29006" s="5" t="str">
        <f>IFERROR(__xludf.DUMMYFUNCTION("GOOGLETRANSLATE(B29006,""en"",""zh-CN"")"),"一个男人在谈论女人在骑马时的工作方式。")</f>
        <v>一个男人在谈论女人在骑马时的工作方式。</v>
      </c>
    </row>
    <row r="29007">
      <c r="A29007" s="4" t="s">
        <v>36531</v>
      </c>
      <c r="B29007" s="4" t="s">
        <v>36533</v>
      </c>
      <c r="C29007" s="5" t="str">
        <f>IFERROR(__xludf.DUMMYFUNCTION("GOOGLETRANSLATE(B29007,""en"",""zh-CN"")"),"当他说话时，他用一些洗手液洗手。")</f>
        <v>当他说话时，他用一些洗手液洗手。</v>
      </c>
    </row>
    <row r="29008">
      <c r="A29008" s="4" t="s">
        <v>36531</v>
      </c>
      <c r="B29008" s="4" t="s">
        <v>36534</v>
      </c>
      <c r="C29008" s="5" t="str">
        <f>IFERROR(__xludf.DUMMYFUNCTION("GOOGLETRANSLATE(B29008,""en"",""zh-CN"")"),"然后他得到肥皂，开始非常透彻地洗手。")</f>
        <v>然后他得到肥皂，开始非常透彻地洗手。</v>
      </c>
    </row>
    <row r="29009">
      <c r="A29009" s="4" t="s">
        <v>36531</v>
      </c>
      <c r="B29009" s="4" t="s">
        <v>36535</v>
      </c>
      <c r="C29009" s="5" t="str">
        <f>IFERROR(__xludf.DUMMYFUNCTION("GOOGLETRANSLATE(B29009,""en"",""zh-CN"")"),"他抓住了餐巾，干了手，仍然继续讲话。")</f>
        <v>他抓住了餐巾，干了手，仍然继续讲话。</v>
      </c>
    </row>
    <row r="29010">
      <c r="A29010" s="4" t="s">
        <v>36536</v>
      </c>
      <c r="B29010" s="4" t="s">
        <v>36537</v>
      </c>
      <c r="C29010" s="5" t="str">
        <f>IFERROR(__xludf.DUMMYFUNCTION("GOOGLETRANSLATE(B29010,""en"",""zh-CN"")"),"看到一个人抱着一个女人的长发以及手里的刷子。")</f>
        <v>看到一个人抱着一个女人的长发以及手里的刷子。</v>
      </c>
    </row>
    <row r="29011">
      <c r="A29011" s="4" t="s">
        <v>36536</v>
      </c>
      <c r="B29011" s="4" t="s">
        <v>36538</v>
      </c>
      <c r="C29011" s="5" t="str">
        <f>IFERROR(__xludf.DUMMYFUNCTION("GOOGLETRANSLATE(B29011,""en"",""zh-CN"")"),"该男子继续玩头发，并导致他刷头发并编织头发。")</f>
        <v>该男子继续玩头发，并导致他刷头发并编织头发。</v>
      </c>
    </row>
    <row r="29012">
      <c r="A29012" s="4" t="s">
        <v>36539</v>
      </c>
      <c r="B29012" s="4" t="s">
        <v>36540</v>
      </c>
      <c r="C29012" s="5" t="str">
        <f>IFERROR(__xludf.DUMMYFUNCTION("GOOGLETRANSLATE(B29012,""en"",""zh-CN"")"),"看到两个人坐在桌子旁，桌子上的桌子上有一杯咖啡。")</f>
        <v>看到两个人坐在桌子旁，桌子上的桌子上有一杯咖啡。</v>
      </c>
    </row>
    <row r="29013">
      <c r="A29013" s="4" t="s">
        <v>36539</v>
      </c>
      <c r="B29013" s="4" t="s">
        <v>36541</v>
      </c>
      <c r="C29013" s="5" t="str">
        <f>IFERROR(__xludf.DUMMYFUNCTION("GOOGLETRANSLATE(B29013,""en"",""zh-CN"")"),"然后看到这个人独自坐在各个地方，然后开始在墙上跳舞。")</f>
        <v>然后看到这个人独自坐在各个地方，然后开始在墙上跳舞。</v>
      </c>
    </row>
    <row r="29014">
      <c r="A29014" s="4" t="s">
        <v>36539</v>
      </c>
      <c r="B29014" s="4" t="s">
        <v>36542</v>
      </c>
      <c r="C29014" s="5" t="str">
        <f>IFERROR(__xludf.DUMMYFUNCTION("GOOGLETRANSLATE(B29014,""en"",""zh-CN"")"),"然后，他被证明在床上醒来，假设这是一个梦想。")</f>
        <v>然后，他被证明在床上醒来，假设这是一个梦想。</v>
      </c>
    </row>
    <row r="29015">
      <c r="A29015" s="4" t="s">
        <v>36543</v>
      </c>
      <c r="B29015" s="4" t="s">
        <v>36544</v>
      </c>
      <c r="C29015" s="5" t="str">
        <f>IFERROR(__xludf.DUMMYFUNCTION("GOOGLETRANSLATE(B29015,""en"",""zh-CN"")"),"一个男孩坐在双层床上。")</f>
        <v>一个男孩坐在双层床上。</v>
      </c>
    </row>
    <row r="29016">
      <c r="A29016" s="4" t="s">
        <v>36543</v>
      </c>
      <c r="B29016" s="4" t="s">
        <v>36545</v>
      </c>
      <c r="C29016" s="5" t="str">
        <f>IFERROR(__xludf.DUMMYFUNCTION("GOOGLETRANSLATE(B29016,""en"",""zh-CN"")"),"另一个男孩将双腿缠绕在脖子上时走近。")</f>
        <v>另一个男孩将双腿缠绕在脖子上时走近。</v>
      </c>
    </row>
    <row r="29017">
      <c r="A29017" s="4" t="s">
        <v>36543</v>
      </c>
      <c r="B29017" s="4" t="s">
        <v>36546</v>
      </c>
      <c r="C29017" s="5" t="str">
        <f>IFERROR(__xludf.DUMMYFUNCTION("GOOGLETRANSLATE(B29017,""en"",""zh-CN"")"),"第二个男孩旋转着他，将他猛撞到地面上。")</f>
        <v>第二个男孩旋转着他，将他猛撞到地面上。</v>
      </c>
    </row>
    <row r="29018">
      <c r="A29018" s="4" t="s">
        <v>36547</v>
      </c>
      <c r="B29018" s="6" t="s">
        <v>36548</v>
      </c>
      <c r="C29018" s="5" t="str">
        <f>IFERROR(__xludf.DUMMYFUNCTION("GOOGLETRANSLATE(B29018,""en"",""zh-CN"")"),"有4个人都在玩羽毛球，白衬衫是第一个穿着黑色衬衫的男人的男孩。")</f>
        <v>有4个人都在玩羽毛球，白衬衫是第一个穿着黑色衬衫的男人的男孩。</v>
      </c>
    </row>
    <row r="29019">
      <c r="A29019" s="4" t="s">
        <v>36547</v>
      </c>
      <c r="B29019" s="4" t="s">
        <v>36549</v>
      </c>
      <c r="C29019" s="5" t="str">
        <f>IFERROR(__xludf.DUMMYFUNCTION("GOOGLETRANSLATE(B29019,""en"",""zh-CN"")"),"然后，穿着黑色衬衫的男人为那个穿着金色衬衫的男孩服务。")</f>
        <v>然后，穿着黑色衬衫的男人为那个穿着金色衬衫的男孩服务。</v>
      </c>
    </row>
    <row r="29020">
      <c r="A29020" s="4" t="s">
        <v>36547</v>
      </c>
      <c r="B29020" s="6" t="s">
        <v>36550</v>
      </c>
      <c r="C29020" s="5" t="str">
        <f>IFERROR(__xludf.DUMMYFUNCTION("GOOGLETRANSLATE(B29020,""en"",""zh-CN"")"),"然后，穿着白色衬衫的男孩撞到了露天赛车，并为穿着粉红色衬衫的女孩服务，游戏还在继续，每个人都互相服务，他们都使用不同的shuttlecocks。")</f>
        <v>然后，穿着白色衬衫的男孩撞到了露天赛车，并为穿着粉红色衬衫的女孩服务，游戏还在继续，每个人都互相服务，他们都使用不同的shuttlecocks。</v>
      </c>
    </row>
    <row r="29021">
      <c r="A29021" s="4" t="s">
        <v>36551</v>
      </c>
      <c r="B29021" s="4" t="s">
        <v>36552</v>
      </c>
      <c r="C29021" s="5" t="str">
        <f>IFERROR(__xludf.DUMMYFUNCTION("GOOGLETRANSLATE(B29021,""en"",""zh-CN"")"),"一个男孩坐在桌子上，摆弄魔方，然后将其放在桌子上。")</f>
        <v>一个男孩坐在桌子上，摆弄魔方，然后将其放在桌子上。</v>
      </c>
    </row>
    <row r="29022">
      <c r="A29022" s="4" t="s">
        <v>36551</v>
      </c>
      <c r="B29022" s="4" t="s">
        <v>36553</v>
      </c>
      <c r="C29022" s="5" t="str">
        <f>IFERROR(__xludf.DUMMYFUNCTION("GOOGLETRANSLATE(B29022,""en"",""zh-CN"")"),"然后，男孩捡起它，开始与其他四名男性竞争解决它。")</f>
        <v>然后，男孩捡起它，开始与其他四名男性竞争解决它。</v>
      </c>
    </row>
    <row r="29023">
      <c r="A29023" s="4" t="s">
        <v>36551</v>
      </c>
      <c r="B29023" s="6" t="s">
        <v>36554</v>
      </c>
      <c r="C29023" s="5" t="str">
        <f>IFERROR(__xludf.DUMMYFUNCTION("GOOGLETRANSLATE(B29023,""en"",""zh-CN"")"),"解决后，男孩将手臂猛撞到一个黑色的酒吧上，该黑色酒吧停止了计时器，法官在20秒钟时就将他推到了他。")</f>
        <v>解决后，男孩将手臂猛撞到一个黑色的酒吧上，该黑色酒吧停止了计时器，法官在20秒钟时就将他推到了他。</v>
      </c>
    </row>
    <row r="29024">
      <c r="A29024" s="4" t="s">
        <v>36555</v>
      </c>
      <c r="B29024" s="4" t="s">
        <v>36556</v>
      </c>
      <c r="C29024" s="5" t="str">
        <f>IFERROR(__xludf.DUMMYFUNCTION("GOOGLETRANSLATE(B29024,""en"",""zh-CN"")"),"一群海滩玩家在一个繁忙的海滩上穿着泳衣打出一场排球比赛。")</f>
        <v>一群海滩玩家在一个繁忙的海滩上穿着泳衣打出一场排球比赛。</v>
      </c>
    </row>
    <row r="29025">
      <c r="A29025" s="4" t="s">
        <v>36555</v>
      </c>
      <c r="B29025" s="4" t="s">
        <v>36557</v>
      </c>
      <c r="C29025" s="5" t="str">
        <f>IFERROR(__xludf.DUMMYFUNCTION("GOOGLETRANSLATE(B29025,""en"",""zh-CN"")"),"一个女人在发出发球后跳舞并拥抱她的朋友。")</f>
        <v>一个女人在发出发球后跳舞并拥抱她的朋友。</v>
      </c>
    </row>
    <row r="29026">
      <c r="A29026" s="4" t="s">
        <v>36555</v>
      </c>
      <c r="B29026" s="4" t="s">
        <v>36558</v>
      </c>
      <c r="C29026" s="5" t="str">
        <f>IFERROR(__xludf.DUMMYFUNCTION("GOOGLETRANSLATE(B29026,""en"",""zh-CN"")"),"球员得分并为队友提供高五分。")</f>
        <v>球员得分并为队友提供高五分。</v>
      </c>
    </row>
    <row r="29027">
      <c r="A29027" s="4" t="s">
        <v>36555</v>
      </c>
      <c r="B29027" s="4" t="s">
        <v>36559</v>
      </c>
      <c r="C29027" s="5" t="str">
        <f>IFERROR(__xludf.DUMMYFUNCTION("GOOGLETRANSLATE(B29027,""en"",""zh-CN"")"),"看到海滩游客在水中玩耍。")</f>
        <v>看到海滩游客在水中玩耍。</v>
      </c>
    </row>
    <row r="29028">
      <c r="A29028" s="4" t="s">
        <v>36560</v>
      </c>
      <c r="B29028" s="4" t="s">
        <v>36561</v>
      </c>
      <c r="C29028" s="5" t="str">
        <f>IFERROR(__xludf.DUMMYFUNCTION("GOOGLETRANSLATE(B29028,""en"",""zh-CN"")"),"显示了高潜水的近距离，后面是人们走上台阶。")</f>
        <v>显示了高潜水的近距离，后面是人们走上台阶。</v>
      </c>
    </row>
    <row r="29029">
      <c r="A29029" s="4" t="s">
        <v>36560</v>
      </c>
      <c r="B29029" s="4" t="s">
        <v>36562</v>
      </c>
      <c r="C29029" s="5" t="str">
        <f>IFERROR(__xludf.DUMMYFUNCTION("GOOGLETRANSLATE(B29029,""en"",""zh-CN"")"),"突然有人看到一个人跳出高潜水并进入游泳池。")</f>
        <v>突然有人看到一个人跳出高潜水并进入游泳池。</v>
      </c>
    </row>
    <row r="29030">
      <c r="A29030" s="4" t="s">
        <v>36563</v>
      </c>
      <c r="B29030" s="6" t="s">
        <v>36564</v>
      </c>
      <c r="C29030" s="5" t="str">
        <f>IFERROR(__xludf.DUMMYFUNCTION("GOOGLETRANSLATE(B29030,""en"",""zh-CN"")"),"显示了特写成分，后面是一个男人舔勺子并将成分混合到锅中。")</f>
        <v>显示了特写成分，后面是一个男人舔勺子并将成分混合到锅中。</v>
      </c>
    </row>
    <row r="29031">
      <c r="A29031" s="4" t="s">
        <v>36563</v>
      </c>
      <c r="B29031" s="4" t="s">
        <v>36565</v>
      </c>
      <c r="C29031" s="5" t="str">
        <f>IFERROR(__xludf.DUMMYFUNCTION("GOOGLETRANSLATE(B29031,""en"",""zh-CN"")"),"他将更多的成分混合在搅拌机中，然后将它们全部挤入球中以放入烤箱中。")</f>
        <v>他将更多的成分混合在搅拌机中，然后将它们全部挤入球中以放入烤箱中。</v>
      </c>
    </row>
    <row r="29032">
      <c r="A29032" s="4" t="s">
        <v>36563</v>
      </c>
      <c r="B29032" s="4" t="s">
        <v>36566</v>
      </c>
      <c r="C29032" s="5" t="str">
        <f>IFERROR(__xludf.DUMMYFUNCTION("GOOGLETRANSLATE(B29032,""en"",""zh-CN"")"),"他将它们取出并通过装饰来完成。")</f>
        <v>他将它们取出并通过装饰来完成。</v>
      </c>
    </row>
    <row r="29033">
      <c r="A29033" s="4" t="s">
        <v>36567</v>
      </c>
      <c r="B29033" s="4" t="s">
        <v>36568</v>
      </c>
      <c r="C29033" s="5" t="str">
        <f>IFERROR(__xludf.DUMMYFUNCTION("GOOGLETRANSLATE(B29033,""en"",""zh-CN"")"),"简介导致绘画的特写，画笔周围旋转。")</f>
        <v>简介导致绘画的特写，画笔周围旋转。</v>
      </c>
    </row>
    <row r="29034">
      <c r="A29034" s="4" t="s">
        <v>36567</v>
      </c>
      <c r="B29034" s="4" t="s">
        <v>36569</v>
      </c>
      <c r="C29034" s="5" t="str">
        <f>IFERROR(__xludf.DUMMYFUNCTION("GOOGLETRANSLATE(B29034,""en"",""zh-CN"")"),"握着刷子的手开始在图片下缓慢地将草涂成绘画。")</f>
        <v>握着刷子的手开始在图片下缓慢地将草涂成绘画。</v>
      </c>
    </row>
    <row r="29035">
      <c r="A29035" s="4" t="s">
        <v>36570</v>
      </c>
      <c r="B29035" s="4" t="s">
        <v>36571</v>
      </c>
      <c r="C29035" s="5" t="str">
        <f>IFERROR(__xludf.DUMMYFUNCTION("GOOGLETRANSLATE(B29035,""en"",""zh-CN"")"),"两个人站在一个玩网球比赛的房间里。")</f>
        <v>两个人站在一个玩网球比赛的房间里。</v>
      </c>
    </row>
    <row r="29036">
      <c r="A29036" s="4" t="s">
        <v>36570</v>
      </c>
      <c r="B29036" s="6" t="s">
        <v>36572</v>
      </c>
      <c r="C29036" s="5" t="str">
        <f>IFERROR(__xludf.DUMMYFUNCTION("GOOGLETRANSLATE(B29036,""en"",""zh-CN"")"),"在那个男人的后面，有一排孩子坐在墙上，一排孩子在看着他们玩耍。")</f>
        <v>在那个男人的后面，有一排孩子坐在墙上，一排孩子在看着他们玩耍。</v>
      </c>
    </row>
    <row r="29037">
      <c r="A29037" s="4" t="s">
        <v>36570</v>
      </c>
      <c r="B29037" s="6" t="s">
        <v>36573</v>
      </c>
      <c r="C29037" s="5" t="str">
        <f>IFERROR(__xludf.DUMMYFUNCTION("GOOGLETRANSLATE(B29037,""en"",""zh-CN"")"),"游戏继续进行，孩子握住了自己的，直到成年人最终击中它，而孩子无法返回球。")</f>
        <v>游戏继续进行，孩子握住了自己的，直到成年人最终击中它，而孩子无法返回球。</v>
      </c>
    </row>
    <row r="29038">
      <c r="A29038" s="4" t="s">
        <v>36574</v>
      </c>
      <c r="B29038" s="6" t="s">
        <v>36575</v>
      </c>
      <c r="C29038" s="5" t="str">
        <f>IFERROR(__xludf.DUMMYFUNCTION("GOOGLETRANSLATE(B29038,""en"",""zh-CN"")"),"有两个新闻主播，一位女士和一位绅士都穿着黑色，展示了新闻部分。")</f>
        <v>有两个新闻主播，一位女士和一位绅士都穿着黑色，展示了新闻部分。</v>
      </c>
    </row>
    <row r="29039">
      <c r="A29039" s="4" t="s">
        <v>36574</v>
      </c>
      <c r="B29039" s="4" t="s">
        <v>36576</v>
      </c>
      <c r="C29039" s="5" t="str">
        <f>IFERROR(__xludf.DUMMYFUNCTION("GOOGLETRANSLATE(B29039,""en"",""zh-CN"")"),"当她向观众谈论产品时，这位女士手里拿着两张小卡片。")</f>
        <v>当她向观众谈论产品时，这位女士手里拿着两张小卡片。</v>
      </c>
    </row>
    <row r="29040">
      <c r="A29040" s="4" t="s">
        <v>36574</v>
      </c>
      <c r="B29040" s="6" t="s">
        <v>36577</v>
      </c>
      <c r="C29040" s="5" t="str">
        <f>IFERROR(__xludf.DUMMYFUNCTION("GOOGLETRANSLATE(B29040,""en"",""zh-CN"")"),"还有另一个女士坐在桌子上，还有另外两个女人，演示了如何在眼睛里戴上彩色镜头。")</f>
        <v>还有另一个女士坐在桌子上，还有另外两个女人，演示了如何在眼睛里戴上彩色镜头。</v>
      </c>
    </row>
    <row r="29041">
      <c r="A29041" s="4" t="s">
        <v>36574</v>
      </c>
      <c r="B29041" s="4" t="s">
        <v>36578</v>
      </c>
      <c r="C29041" s="5" t="str">
        <f>IFERROR(__xludf.DUMMYFUNCTION("GOOGLETRANSLATE(B29041,""en"",""zh-CN"")"),"他们正在谈论并讨论镜头及其工作原理。")</f>
        <v>他们正在谈论并讨论镜头及其工作原理。</v>
      </c>
    </row>
    <row r="29042">
      <c r="A29042" s="4" t="s">
        <v>36574</v>
      </c>
      <c r="B29042" s="6" t="s">
        <v>36579</v>
      </c>
      <c r="C29042" s="5" t="str">
        <f>IFERROR(__xludf.DUMMYFUNCTION("GOOGLETRANSLATE(B29042,""en"",""zh-CN"")"),"有一个广告，其中有几个人佩戴相同的镜头以显示如何使用它。")</f>
        <v>有一个广告，其中有几个人佩戴相同的镜头以显示如何使用它。</v>
      </c>
    </row>
    <row r="29043">
      <c r="A29043" s="4" t="s">
        <v>36574</v>
      </c>
      <c r="B29043" s="4" t="s">
        <v>36580</v>
      </c>
      <c r="C29043" s="5" t="str">
        <f>IFERROR(__xludf.DUMMYFUNCTION("GOOGLETRANSLATE(B29043,""en"",""zh-CN"")"),"实验室外套中的医生也谈到了这些镜头，而人们正在展示如何使用它们。")</f>
        <v>实验室外套中的医生也谈到了这些镜头，而人们正在展示如何使用它们。</v>
      </c>
    </row>
    <row r="29044">
      <c r="A29044" s="4" t="s">
        <v>36574</v>
      </c>
      <c r="B29044" s="6" t="s">
        <v>36581</v>
      </c>
      <c r="C29044" s="5" t="str">
        <f>IFERROR(__xludf.DUMMYFUNCTION("GOOGLETRANSLATE(B29044,""en"",""zh-CN"")"),"另一个新闻主播还谈到了相同的镜头以及它如何成为青少年的危险趋势。")</f>
        <v>另一个新闻主播还谈到了相同的镜头以及它如何成为青少年的危险趋势。</v>
      </c>
    </row>
    <row r="29045">
      <c r="A29045" s="4" t="s">
        <v>36574</v>
      </c>
      <c r="B29045" s="4" t="s">
        <v>36582</v>
      </c>
      <c r="C29045" s="5" t="str">
        <f>IFERROR(__xludf.DUMMYFUNCTION("GOOGLETRANSLATE(B29045,""en"",""zh-CN"")"),"Lady News主播带着男性新闻主播返回，继续该计划。")</f>
        <v>Lady News主播带着男性新闻主播返回，继续该计划。</v>
      </c>
    </row>
    <row r="29046">
      <c r="A29046" s="4" t="s">
        <v>36583</v>
      </c>
      <c r="B29046" s="4" t="s">
        <v>36584</v>
      </c>
      <c r="C29046" s="5" t="str">
        <f>IFERROR(__xludf.DUMMYFUNCTION("GOOGLETRANSLATE(B29046,""en"",""zh-CN"")"),"几个球员在溜冰场上显示。")</f>
        <v>几个球员在溜冰场上显示。</v>
      </c>
    </row>
    <row r="29047">
      <c r="A29047" s="4" t="s">
        <v>36583</v>
      </c>
      <c r="B29047" s="4" t="s">
        <v>36585</v>
      </c>
      <c r="C29047" s="5" t="str">
        <f>IFERROR(__xludf.DUMMYFUNCTION("GOOGLETRANSLATE(B29047,""en"",""zh-CN"")"),"他们参与了不同的冰壶游戏。")</f>
        <v>他们参与了不同的冰壶游戏。</v>
      </c>
    </row>
    <row r="29048">
      <c r="A29048" s="4" t="s">
        <v>36583</v>
      </c>
      <c r="B29048" s="4" t="s">
        <v>36586</v>
      </c>
      <c r="C29048" s="5" t="str">
        <f>IFERROR(__xludf.DUMMYFUNCTION("GOOGLETRANSLATE(B29048,""en"",""zh-CN"")"),"他们用蝙蝠移动冰球，完成后燃油。")</f>
        <v>他们用蝙蝠移动冰球，完成后燃油。</v>
      </c>
    </row>
    <row r="29049">
      <c r="A29049" s="4" t="s">
        <v>36587</v>
      </c>
      <c r="B29049" s="4" t="s">
        <v>36588</v>
      </c>
      <c r="C29049" s="5" t="str">
        <f>IFERROR(__xludf.DUMMYFUNCTION("GOOGLETRANSLATE(B29049,""en"",""zh-CN"")"),"播放了卡通网络节目。")</f>
        <v>播放了卡通网络节目。</v>
      </c>
    </row>
    <row r="29050">
      <c r="A29050" s="4" t="s">
        <v>36587</v>
      </c>
      <c r="B29050" s="4" t="s">
        <v>36589</v>
      </c>
      <c r="C29050" s="5" t="str">
        <f>IFERROR(__xludf.DUMMYFUNCTION("GOOGLETRANSLATE(B29050,""en"",""zh-CN"")"),"一个蓝色角色将块置于街区，但失败了几次。")</f>
        <v>一个蓝色角色将块置于街区，但失败了几次。</v>
      </c>
    </row>
    <row r="29051">
      <c r="A29051" s="4" t="s">
        <v>36590</v>
      </c>
      <c r="B29051" s="6" t="s">
        <v>36591</v>
      </c>
      <c r="C29051" s="5" t="str">
        <f>IFERROR(__xludf.DUMMYFUNCTION("GOOGLETRANSLATE(B29051,""en"",""zh-CN"")"),"玻利维亚投球手团队通过练习杰森·贝尔蒙特（Jason Belmont）教授的技术来准备开始打保龄球，并用两只手指在孔中，用两只手旋转球。")</f>
        <v>玻利维亚投球手团队通过练习杰森·贝尔蒙特（Jason Belmont）教授的技术来准备开始打保龄球，并用两只手指在孔中，用两只手旋转球。</v>
      </c>
    </row>
    <row r="29052">
      <c r="A29052" s="4" t="s">
        <v>36590</v>
      </c>
      <c r="B29052" s="4" t="s">
        <v>36592</v>
      </c>
      <c r="C29052" s="5" t="str">
        <f>IFERROR(__xludf.DUMMYFUNCTION("GOOGLETRANSLATE(B29052,""en"",""zh-CN"")"),"年轻的业余球员开始使用两种手技术来打保龄球。")</f>
        <v>年轻的业余球员开始使用两种手技术来打保龄球。</v>
      </c>
    </row>
    <row r="29053">
      <c r="A29053" s="4" t="s">
        <v>36590</v>
      </c>
      <c r="B29053" s="4" t="s">
        <v>36593</v>
      </c>
      <c r="C29053" s="5" t="str">
        <f>IFERROR(__xludf.DUMMYFUNCTION("GOOGLETRANSLATE(B29053,""en"",""zh-CN"")"),"介绍了保龄球联合会的总统马塞洛·加拉利（Marcelo Garafulic）。")</f>
        <v>介绍了保龄球联合会的总统马塞洛·加拉利（Marcelo Garafulic）。</v>
      </c>
    </row>
    <row r="29054">
      <c r="A29054" s="4" t="s">
        <v>36590</v>
      </c>
      <c r="B29054" s="6" t="s">
        <v>36594</v>
      </c>
      <c r="C29054" s="5" t="str">
        <f>IFERROR(__xludf.DUMMYFUNCTION("GOOGLETRANSLATE(B29054,""en"",""zh-CN"")"),"播音员开始解释玻利维亚投球手的训练和更多练习。")</f>
        <v>播音员开始解释玻利维亚投球手的训练和更多练习。</v>
      </c>
    </row>
    <row r="29055">
      <c r="A29055" s="4" t="s">
        <v>36590</v>
      </c>
      <c r="B29055" s="4" t="s">
        <v>36595</v>
      </c>
      <c r="C29055" s="5" t="str">
        <f>IFERROR(__xludf.DUMMYFUNCTION("GOOGLETRANSLATE(B29055,""en"",""zh-CN"")"),"Garafulic开始解释诊所和他们赢得的绝对完美游戏的奖牌。")</f>
        <v>Garafulic开始解释诊所和他们赢得的绝对完美游戏的奖牌。</v>
      </c>
    </row>
    <row r="29056">
      <c r="A29056" s="4" t="s">
        <v>36590</v>
      </c>
      <c r="B29056" s="4" t="s">
        <v>36596</v>
      </c>
      <c r="C29056" s="5" t="str">
        <f>IFERROR(__xludf.DUMMYFUNCTION("GOOGLETRANSLATE(B29056,""en"",""zh-CN"")"),"投球手再次练习。")</f>
        <v>投球手再次练习。</v>
      </c>
    </row>
    <row r="29057">
      <c r="A29057" s="4" t="s">
        <v>36597</v>
      </c>
      <c r="B29057" s="4" t="s">
        <v>36598</v>
      </c>
      <c r="C29057" s="5" t="str">
        <f>IFERROR(__xludf.DUMMYFUNCTION("GOOGLETRANSLATE(B29057,""en"",""zh-CN"")"),"一个男孩赤脚，将割草机推到院子里。")</f>
        <v>一个男孩赤脚，将割草机推到院子里。</v>
      </c>
    </row>
    <row r="29058">
      <c r="A29058" s="4" t="s">
        <v>36597</v>
      </c>
      <c r="B29058" s="4" t="s">
        <v>36599</v>
      </c>
      <c r="C29058" s="5" t="str">
        <f>IFERROR(__xludf.DUMMYFUNCTION("GOOGLETRANSLATE(B29058,""en"",""zh-CN"")"),"一个小女孩在割草时跑来跑去。")</f>
        <v>一个小女孩在割草时跑来跑去。</v>
      </c>
    </row>
    <row r="29059">
      <c r="A29059" s="4" t="s">
        <v>36600</v>
      </c>
      <c r="B29059" s="4" t="s">
        <v>36601</v>
      </c>
      <c r="C29059" s="5" t="str">
        <f>IFERROR(__xludf.DUMMYFUNCTION("GOOGLETRANSLATE(B29059,""en"",""zh-CN"")"),"一个男人在一个房间里，一群人在准备表演时看着他。")</f>
        <v>一个男人在一个房间里，一群人在准备表演时看着他。</v>
      </c>
    </row>
    <row r="29060">
      <c r="A29060" s="4" t="s">
        <v>36600</v>
      </c>
      <c r="B29060" s="6" t="s">
        <v>36602</v>
      </c>
      <c r="C29060" s="5" t="str">
        <f>IFERROR(__xludf.DUMMYFUNCTION("GOOGLETRANSLATE(B29060,""en"",""zh-CN"")"),"雄性站起来，将蓝色的塑料椅放在双腿之间，然后开始在他的头上旋转。")</f>
        <v>雄性站起来，将蓝色的塑料椅放在双腿之间，然后开始在他的头上旋转。</v>
      </c>
    </row>
    <row r="29061">
      <c r="A29061" s="4" t="s">
        <v>36600</v>
      </c>
      <c r="B29061" s="6" t="s">
        <v>36603</v>
      </c>
      <c r="C29061" s="5" t="str">
        <f>IFERROR(__xludf.DUMMYFUNCTION("GOOGLETRANSLATE(B29061,""en"",""zh-CN"")"),"一旦他完成，另一个人就会出现，他开始在头上旋转，因为五颜六色的呼啦圈开始在他的腰间旋转。")</f>
        <v>一旦他完成，另一个人就会出现，他开始在头上旋转，因为五颜六色的呼啦圈开始在他的腰间旋转。</v>
      </c>
    </row>
    <row r="29062">
      <c r="A29062" s="4" t="s">
        <v>36600</v>
      </c>
      <c r="B29062" s="4" t="s">
        <v>36604</v>
      </c>
      <c r="C29062" s="5" t="str">
        <f>IFERROR(__xludf.DUMMYFUNCTION("GOOGLETRANSLATE(B29062,""en"",""zh-CN"")"),"他完成了自己的表现，人群跳了起来，祝贺男人。")</f>
        <v>他完成了自己的表现，人群跳了起来，祝贺男人。</v>
      </c>
    </row>
    <row r="29063">
      <c r="A29063" s="4" t="s">
        <v>36605</v>
      </c>
      <c r="B29063" s="6" t="s">
        <v>36606</v>
      </c>
      <c r="C29063" s="5" t="str">
        <f>IFERROR(__xludf.DUMMYFUNCTION("GOOGLETRANSLATE(B29063,""en"",""zh-CN"")"),"电动机连接到乒乓球桌的末端，并以人的手的运动感觉移动。")</f>
        <v>电动机连接到乒乓球桌的末端，并以人的手的运动感觉移动。</v>
      </c>
    </row>
    <row r="29064">
      <c r="A29064" s="4" t="s">
        <v>36605</v>
      </c>
      <c r="B29064" s="4" t="s">
        <v>36607</v>
      </c>
      <c r="C29064" s="5" t="str">
        <f>IFERROR(__xludf.DUMMYFUNCTION("GOOGLETRANSLATE(B29064,""en"",""zh-CN"")"),"之后，然后将几个球扔向桨，并由机器返回。")</f>
        <v>之后，然后将几个球扔向桨，并由机器返回。</v>
      </c>
    </row>
    <row r="29065">
      <c r="A29065" s="4" t="s">
        <v>36605</v>
      </c>
      <c r="B29065" s="6" t="s">
        <v>36608</v>
      </c>
      <c r="C29065" s="5" t="str">
        <f>IFERROR(__xludf.DUMMYFUNCTION("GOOGLETRANSLATE(B29065,""en"",""zh-CN"")"),"然后，该人走过桌子，开始更快地击球，机器加速击球。")</f>
        <v>然后，该人走过桌子，开始更快地击球，机器加速击球。</v>
      </c>
    </row>
    <row r="29066">
      <c r="A29066" s="4" t="s">
        <v>36609</v>
      </c>
      <c r="B29066" s="4" t="s">
        <v>36610</v>
      </c>
      <c r="C29066" s="5" t="str">
        <f>IFERROR(__xludf.DUMMYFUNCTION("GOOGLETRANSLATE(B29066,""en"",""zh-CN"")"),"成年人在球场上打出一场排球比赛。")</f>
        <v>成年人在球场上打出一场排球比赛。</v>
      </c>
    </row>
    <row r="29067">
      <c r="A29067" s="4" t="s">
        <v>36609</v>
      </c>
      <c r="B29067" s="4" t="s">
        <v>5896</v>
      </c>
      <c r="C29067" s="5" t="str">
        <f>IFERROR(__xludf.DUMMYFUNCTION("GOOGLETRANSLATE(B29067,""en"",""zh-CN"")"),"一群人看着他们玩。")</f>
        <v>一群人看着他们玩。</v>
      </c>
    </row>
    <row r="29068">
      <c r="A29068" s="4" t="s">
        <v>36611</v>
      </c>
      <c r="B29068" s="4" t="s">
        <v>29742</v>
      </c>
      <c r="C29068" s="5" t="str">
        <f>IFERROR(__xludf.DUMMYFUNCTION("GOOGLETRANSLATE(B29068,""en"",""zh-CN"")"),"人们在健身房里锻炼。")</f>
        <v>人们在健身房里锻炼。</v>
      </c>
    </row>
    <row r="29069">
      <c r="A29069" s="4" t="s">
        <v>36611</v>
      </c>
      <c r="B29069" s="4" t="s">
        <v>36612</v>
      </c>
      <c r="C29069" s="5" t="str">
        <f>IFERROR(__xludf.DUMMYFUNCTION("GOOGLETRANSLATE(B29069,""en"",""zh-CN"")"),"人们正在锻炼旋转自行车。")</f>
        <v>人们正在锻炼旋转自行车。</v>
      </c>
    </row>
    <row r="29070">
      <c r="A29070" s="4" t="s">
        <v>36611</v>
      </c>
      <c r="B29070" s="4" t="s">
        <v>36613</v>
      </c>
      <c r="C29070" s="5" t="str">
        <f>IFERROR(__xludf.DUMMYFUNCTION("GOOGLETRANSLATE(B29070,""en"",""zh-CN"")"),"一个黄色背心的女人在与镜头交谈。")</f>
        <v>一个黄色背心的女人在与镜头交谈。</v>
      </c>
    </row>
    <row r="29071">
      <c r="A29071" s="4" t="s">
        <v>36611</v>
      </c>
      <c r="B29071" s="4" t="s">
        <v>36614</v>
      </c>
      <c r="C29071" s="5" t="str">
        <f>IFERROR(__xludf.DUMMYFUNCTION("GOOGLETRANSLATE(B29071,""en"",""zh-CN"")"),"一个穿着绿色背心的女人在与镜头交谈。")</f>
        <v>一个穿着绿色背心的女人在与镜头交谈。</v>
      </c>
    </row>
    <row r="29072">
      <c r="A29072" s="4" t="s">
        <v>36615</v>
      </c>
      <c r="B29072" s="6" t="s">
        <v>36616</v>
      </c>
      <c r="C29072" s="5" t="str">
        <f>IFERROR(__xludf.DUMMYFUNCTION("GOOGLETRANSLATE(B29072,""en"",""zh-CN"")"),"看到一个女人走进框架，并在手中握着各种物体的同时与相机说话。")</f>
        <v>看到一个女人走进框架，并在手中握着各种物体的同时与相机说话。</v>
      </c>
    </row>
    <row r="29073">
      <c r="A29073" s="4" t="s">
        <v>36615</v>
      </c>
      <c r="B29073" s="4" t="s">
        <v>36617</v>
      </c>
      <c r="C29073" s="5" t="str">
        <f>IFERROR(__xludf.DUMMYFUNCTION("GOOGLETRANSLATE(B29073,""en"",""zh-CN"")"),"她继续与相机说话时继续拔出更多物体。")</f>
        <v>她继续与相机说话时继续拔出更多物体。</v>
      </c>
    </row>
    <row r="29074">
      <c r="A29074" s="4" t="s">
        <v>36618</v>
      </c>
      <c r="B29074" s="4" t="s">
        <v>36619</v>
      </c>
      <c r="C29074" s="5" t="str">
        <f>IFERROR(__xludf.DUMMYFUNCTION("GOOGLETRANSLATE(B29074,""en"",""zh-CN"")"),"两个男孩在游泳池附近的人行道上走下去。")</f>
        <v>两个男孩在游泳池附近的人行道上走下去。</v>
      </c>
    </row>
    <row r="29075">
      <c r="A29075" s="4" t="s">
        <v>36618</v>
      </c>
      <c r="B29075" s="4" t="s">
        <v>36620</v>
      </c>
      <c r="C29075" s="5" t="str">
        <f>IFERROR(__xludf.DUMMYFUNCTION("GOOGLETRANSLATE(B29075,""en"",""zh-CN"")"),"在游泳池周围和周围，有很多人在做不同的事情。")</f>
        <v>在游泳池周围和周围，有很多人在做不同的事情。</v>
      </c>
    </row>
    <row r="29076">
      <c r="A29076" s="4" t="s">
        <v>36618</v>
      </c>
      <c r="B29076" s="4" t="s">
        <v>36621</v>
      </c>
      <c r="C29076" s="5" t="str">
        <f>IFERROR(__xludf.DUMMYFUNCTION("GOOGLETRANSLATE(B29076,""en"",""zh-CN"")"),"一些男孩跳下跳水板进行翻转和其他技巧。")</f>
        <v>一些男孩跳下跳水板进行翻转和其他技巧。</v>
      </c>
    </row>
    <row r="29077">
      <c r="A29077" s="4" t="s">
        <v>36622</v>
      </c>
      <c r="B29077" s="4" t="s">
        <v>1251</v>
      </c>
      <c r="C29077" s="5" t="str">
        <f>IFERROR(__xludf.DUMMYFUNCTION("GOOGLETRANSLATE(B29077,""en"",""zh-CN"")"),"显示了剪辑的信用。")</f>
        <v>显示了剪辑的信用。</v>
      </c>
    </row>
    <row r="29078">
      <c r="A29078" s="4" t="s">
        <v>36622</v>
      </c>
      <c r="B29078" s="4" t="s">
        <v>36623</v>
      </c>
      <c r="C29078" s="5" t="str">
        <f>IFERROR(__xludf.DUMMYFUNCTION("GOOGLETRANSLATE(B29078,""en"",""zh-CN"")"),"人们可以在赌场桌子上。")</f>
        <v>人们可以在赌场桌子上。</v>
      </c>
    </row>
    <row r="29079">
      <c r="A29079" s="4" t="s">
        <v>36622</v>
      </c>
      <c r="B29079" s="4" t="s">
        <v>573</v>
      </c>
      <c r="C29079" s="5" t="str">
        <f>IFERROR(__xludf.DUMMYFUNCTION("GOOGLETRANSLATE(B29079,""en"",""zh-CN"")"),"显示了视频的积分。")</f>
        <v>显示了视频的积分。</v>
      </c>
    </row>
    <row r="29080">
      <c r="A29080" s="4" t="s">
        <v>36624</v>
      </c>
      <c r="B29080" s="4" t="s">
        <v>36625</v>
      </c>
      <c r="C29080" s="5" t="str">
        <f>IFERROR(__xludf.DUMMYFUNCTION("GOOGLETRANSLATE(B29080,""en"",""zh-CN"")"),"一个女人坐在钢琴后面。")</f>
        <v>一个女人坐在钢琴后面。</v>
      </c>
    </row>
    <row r="29081">
      <c r="A29081" s="4" t="s">
        <v>36624</v>
      </c>
      <c r="B29081" s="4" t="s">
        <v>36626</v>
      </c>
      <c r="C29081" s="5" t="str">
        <f>IFERROR(__xludf.DUMMYFUNCTION("GOOGLETRANSLATE(B29081,""en"",""zh-CN"")"),"一个孩子坐在键盘后面弹奏它。")</f>
        <v>一个孩子坐在键盘后面弹奏它。</v>
      </c>
    </row>
    <row r="29082">
      <c r="A29082" s="4" t="s">
        <v>36624</v>
      </c>
      <c r="B29082" s="4" t="s">
        <v>36627</v>
      </c>
      <c r="C29082" s="5" t="str">
        <f>IFERROR(__xludf.DUMMYFUNCTION("GOOGLETRANSLATE(B29082,""en"",""zh-CN"")"),"最后显示了钢琴的图片。")</f>
        <v>最后显示了钢琴的图片。</v>
      </c>
    </row>
    <row r="29083">
      <c r="A29083" s="4" t="s">
        <v>36628</v>
      </c>
      <c r="B29083" s="4" t="s">
        <v>36629</v>
      </c>
      <c r="C29083" s="5" t="str">
        <f>IFERROR(__xludf.DUMMYFUNCTION("GOOGLETRANSLATE(B29083,""en"",""zh-CN"")"),"在赛道上显示一个女孩几次奔跑。")</f>
        <v>在赛道上显示一个女孩几次奔跑。</v>
      </c>
    </row>
    <row r="29084">
      <c r="A29084" s="4" t="s">
        <v>36628</v>
      </c>
      <c r="B29084" s="4" t="s">
        <v>36630</v>
      </c>
      <c r="C29084" s="5" t="str">
        <f>IFERROR(__xludf.DUMMYFUNCTION("GOOGLETRANSLATE(B29084,""en"",""zh-CN"")"),"她用杆子在酒吧上拱顶。")</f>
        <v>她用杆子在酒吧上拱顶。</v>
      </c>
    </row>
    <row r="29085">
      <c r="A29085" s="4" t="s">
        <v>36628</v>
      </c>
      <c r="B29085" s="4" t="s">
        <v>36631</v>
      </c>
      <c r="C29085" s="5" t="str">
        <f>IFERROR(__xludf.DUMMYFUNCTION("GOOGLETRANSLATE(B29085,""en"",""zh-CN"")"),"她降落在另一侧的垫子上。")</f>
        <v>她降落在另一侧的垫子上。</v>
      </c>
    </row>
    <row r="29086">
      <c r="A29086" s="4" t="s">
        <v>36632</v>
      </c>
      <c r="B29086" s="4" t="s">
        <v>36633</v>
      </c>
      <c r="C29086" s="5" t="str">
        <f>IFERROR(__xludf.DUMMYFUNCTION("GOOGLETRANSLATE(B29086,""en"",""zh-CN"")"),"一艘与两个人有蓝色帆的船正在在水体中航行。")</f>
        <v>一艘与两个人有蓝色帆的船正在在水体中航行。</v>
      </c>
    </row>
    <row r="29087">
      <c r="A29087" s="4" t="s">
        <v>36632</v>
      </c>
      <c r="B29087" s="4" t="s">
        <v>36634</v>
      </c>
      <c r="C29087" s="5" t="str">
        <f>IFERROR(__xludf.DUMMYFUNCTION("GOOGLETRANSLATE(B29087,""en"",""zh-CN"")"),"船前的人正靠在侧面，似乎正在撞到水。")</f>
        <v>船前的人正靠在侧面，似乎正在撞到水。</v>
      </c>
    </row>
    <row r="29088">
      <c r="A29088" s="4" t="s">
        <v>36632</v>
      </c>
      <c r="B29088" s="4" t="s">
        <v>36635</v>
      </c>
      <c r="C29088" s="5" t="str">
        <f>IFERROR(__xludf.DUMMYFUNCTION("GOOGLETRANSLATE(B29088,""en"",""zh-CN"")"),"水开始变得越来越波动。")</f>
        <v>水开始变得越来越波动。</v>
      </c>
    </row>
    <row r="29089">
      <c r="A29089" s="4" t="s">
        <v>36632</v>
      </c>
      <c r="B29089" s="4" t="s">
        <v>36636</v>
      </c>
      <c r="C29089" s="5" t="str">
        <f>IFERROR(__xludf.DUMMYFUNCTION("GOOGLETRANSLATE(B29089,""en"",""zh-CN"")"),"船向右转。")</f>
        <v>船向右转。</v>
      </c>
    </row>
    <row r="29090">
      <c r="A29090" s="4" t="s">
        <v>36632</v>
      </c>
      <c r="B29090" s="4" t="s">
        <v>36637</v>
      </c>
      <c r="C29090" s="5" t="str">
        <f>IFERROR(__xludf.DUMMYFUNCTION("GOOGLETRANSLATE(B29090,""en"",""zh-CN"")"),"船开始前往岸边。")</f>
        <v>船开始前往岸边。</v>
      </c>
    </row>
    <row r="29091">
      <c r="A29091" s="4" t="s">
        <v>36638</v>
      </c>
      <c r="B29091" s="4" t="s">
        <v>36639</v>
      </c>
      <c r="C29091" s="5" t="str">
        <f>IFERROR(__xludf.DUMMYFUNCTION("GOOGLETRANSLATE(B29091,""en"",""zh-CN"")"),"我们在游泳池里看到两个人在水中。")</f>
        <v>我们在游泳池里看到两个人在水中。</v>
      </c>
    </row>
    <row r="29092">
      <c r="A29092" s="4" t="s">
        <v>36638</v>
      </c>
      <c r="B29092" s="4" t="s">
        <v>36640</v>
      </c>
      <c r="C29092" s="5" t="str">
        <f>IFERROR(__xludf.DUMMYFUNCTION("GOOGLETRANSLATE(B29092,""en"",""zh-CN"")"),"人们交换了一个脚。")</f>
        <v>人们交换了一个脚。</v>
      </c>
    </row>
    <row r="29093">
      <c r="A29093" s="4" t="s">
        <v>36638</v>
      </c>
      <c r="B29093" s="4" t="s">
        <v>36641</v>
      </c>
      <c r="C29093" s="5" t="str">
        <f>IFERROR(__xludf.DUMMYFUNCTION("GOOGLETRANSLATE(B29093,""en"",""zh-CN"")"),"这些人开始分享喘息。")</f>
        <v>这些人开始分享喘息。</v>
      </c>
    </row>
    <row r="29094">
      <c r="A29094" s="4" t="s">
        <v>36638</v>
      </c>
      <c r="B29094" s="4" t="s">
        <v>36642</v>
      </c>
      <c r="C29094" s="5" t="str">
        <f>IFERROR(__xludf.DUMMYFUNCTION("GOOGLETRANSLATE(B29094,""en"",""zh-CN"")"),"交换他们的其他肢体。")</f>
        <v>交换他们的其他肢体。</v>
      </c>
    </row>
    <row r="29095">
      <c r="A29095" s="4" t="s">
        <v>36638</v>
      </c>
      <c r="B29095" s="4" t="s">
        <v>36643</v>
      </c>
      <c r="C29095" s="5" t="str">
        <f>IFERROR(__xludf.DUMMYFUNCTION("GOOGLETRANSLATE(B29095,""en"",""zh-CN"")"),"这些人改变了空气设备。")</f>
        <v>这些人改变了空气设备。</v>
      </c>
    </row>
    <row r="29096">
      <c r="A29096" s="4" t="s">
        <v>36638</v>
      </c>
      <c r="B29096" s="4" t="s">
        <v>36644</v>
      </c>
      <c r="C29096" s="5" t="str">
        <f>IFERROR(__xludf.DUMMYFUNCTION("GOOGLETRANSLATE(B29096,""en"",""zh-CN"")"),"合适的人找不到手臂孔。")</f>
        <v>合适的人找不到手臂孔。</v>
      </c>
    </row>
    <row r="29097">
      <c r="A29097" s="4" t="s">
        <v>36645</v>
      </c>
      <c r="B29097" s="4" t="s">
        <v>36646</v>
      </c>
      <c r="C29097" s="5" t="str">
        <f>IFERROR(__xludf.DUMMYFUNCTION("GOOGLETRANSLATE(B29097,""en"",""zh-CN"")"),"首先，人们向后游泳。")</f>
        <v>首先，人们向后游泳。</v>
      </c>
    </row>
    <row r="29098">
      <c r="A29098" s="4" t="s">
        <v>36645</v>
      </c>
      <c r="B29098" s="4" t="s">
        <v>36647</v>
      </c>
      <c r="C29098" s="5" t="str">
        <f>IFERROR(__xludf.DUMMYFUNCTION("GOOGLETRANSLATE(B29098,""en"",""zh-CN"")"),"然后，他们在水中表现出了排球。")</f>
        <v>然后，他们在水中表现出了排球。</v>
      </c>
    </row>
    <row r="29099">
      <c r="A29099" s="4" t="s">
        <v>36648</v>
      </c>
      <c r="B29099" s="4" t="s">
        <v>36649</v>
      </c>
      <c r="C29099" s="5" t="str">
        <f>IFERROR(__xludf.DUMMYFUNCTION("GOOGLETRANSLATE(B29099,""en"",""zh-CN"")"),"一个女人在平原上的两只鹿的形象面前说话。")</f>
        <v>一个女人在平原上的两只鹿的形象面前说话。</v>
      </c>
    </row>
    <row r="29100">
      <c r="A29100" s="4" t="s">
        <v>36648</v>
      </c>
      <c r="B29100" s="4" t="s">
        <v>36650</v>
      </c>
      <c r="C29100" s="5" t="str">
        <f>IFERROR(__xludf.DUMMYFUNCTION("GOOGLETRANSLATE(B29100,""en"",""zh-CN"")"),"然后，我们看到一个男人在冰上钻孔时说话。")</f>
        <v>然后，我们看到一个男人在冰上钻孔时说话。</v>
      </c>
    </row>
    <row r="29101">
      <c r="A29101" s="4" t="s">
        <v>36648</v>
      </c>
      <c r="B29101" s="4" t="s">
        <v>36651</v>
      </c>
      <c r="C29101" s="5" t="str">
        <f>IFERROR(__xludf.DUMMYFUNCTION("GOOGLETRANSLATE(B29101,""en"",""zh-CN"")"),"一些摊位在冰鱼时为人们提供热狗。")</f>
        <v>一些摊位在冰鱼时为人们提供热狗。</v>
      </c>
    </row>
    <row r="29102">
      <c r="A29102" s="4" t="s">
        <v>36648</v>
      </c>
      <c r="B29102" s="4" t="s">
        <v>36652</v>
      </c>
      <c r="C29102" s="5" t="str">
        <f>IFERROR(__xludf.DUMMYFUNCTION("GOOGLETRANSLATE(B29102,""en"",""zh-CN"")"),"一个小男孩和女孩试图钓鱼。")</f>
        <v>一个小男孩和女孩试图钓鱼。</v>
      </c>
    </row>
    <row r="29103">
      <c r="A29103" s="4" t="s">
        <v>36648</v>
      </c>
      <c r="B29103" s="4" t="s">
        <v>36653</v>
      </c>
      <c r="C29103" s="5" t="str">
        <f>IFERROR(__xludf.DUMMYFUNCTION("GOOGLETRANSLATE(B29103,""en"",""zh-CN"")"),"他们在钓鱼时接受采访。")</f>
        <v>他们在钓鱼时接受采访。</v>
      </c>
    </row>
    <row r="29104">
      <c r="A29104" s="4" t="s">
        <v>36654</v>
      </c>
      <c r="B29104" s="4" t="s">
        <v>36655</v>
      </c>
      <c r="C29104" s="5" t="str">
        <f>IFERROR(__xludf.DUMMYFUNCTION("GOOGLETRANSLATE(B29104,""en"",""zh-CN"")"),"手指按下黑钥匙。")</f>
        <v>手指按下黑钥匙。</v>
      </c>
    </row>
    <row r="29105">
      <c r="A29105" s="4" t="s">
        <v>36654</v>
      </c>
      <c r="B29105" s="4" t="s">
        <v>36656</v>
      </c>
      <c r="C29105" s="5" t="str">
        <f>IFERROR(__xludf.DUMMYFUNCTION("GOOGLETRANSLATE(B29105,""en"",""zh-CN"")"),"一根手指按下一个键。")</f>
        <v>一根手指按下一个键。</v>
      </c>
    </row>
    <row r="29106">
      <c r="A29106" s="4" t="s">
        <v>36654</v>
      </c>
      <c r="B29106" s="4" t="s">
        <v>36657</v>
      </c>
      <c r="C29106" s="5" t="str">
        <f>IFERROR(__xludf.DUMMYFUNCTION("GOOGLETRANSLATE(B29106,""en"",""zh-CN"")"),"手指正在移动到不同的钥匙并按下它们。")</f>
        <v>手指正在移动到不同的钥匙并按下它们。</v>
      </c>
    </row>
    <row r="29107">
      <c r="A29107" s="4" t="s">
        <v>36658</v>
      </c>
      <c r="B29107" s="6" t="s">
        <v>36659</v>
      </c>
      <c r="C29107" s="5" t="str">
        <f>IFERROR(__xludf.DUMMYFUNCTION("GOOGLETRANSLATE(B29107,""en"",""zh-CN"")"),"看到一个女人用手向相机说话，并跪下倾倒了一个水桶。")</f>
        <v>看到一个女人用手向相机说话，并跪下倾倒了一个水桶。</v>
      </c>
    </row>
    <row r="29108">
      <c r="A29108" s="4" t="s">
        <v>36658</v>
      </c>
      <c r="B29108" s="6" t="s">
        <v>36660</v>
      </c>
      <c r="C29108" s="5" t="str">
        <f>IFERROR(__xludf.DUMMYFUNCTION("GOOGLETRANSLATE(B29108,""en"",""zh-CN"")"),"然后，她用耙子将其擦在树上的所有污垢，同时仍停止与相机说话。")</f>
        <v>然后，她用耙子将其擦在树上的所有污垢，同时仍停止与相机说话。</v>
      </c>
    </row>
    <row r="29109">
      <c r="A29109" s="4" t="s">
        <v>36661</v>
      </c>
      <c r="B29109" s="4" t="s">
        <v>36662</v>
      </c>
      <c r="C29109" s="5" t="str">
        <f>IFERROR(__xludf.DUMMYFUNCTION("GOOGLETRANSLATE(B29109,""en"",""zh-CN"")"),"一名妇女在站在大型健身房时被拿着射击和与镜头交谈。")</f>
        <v>一名妇女在站在大型健身房时被拿着射击和与镜头交谈。</v>
      </c>
    </row>
    <row r="29110">
      <c r="A29110" s="4" t="s">
        <v>36661</v>
      </c>
      <c r="B29110" s="6" t="s">
        <v>36663</v>
      </c>
      <c r="C29110" s="5" t="str">
        <f>IFERROR(__xludf.DUMMYFUNCTION("GOOGLETRANSLATE(B29110,""en"",""zh-CN"")"),"她演示了如何正确抛出工具并进行多次投掷以说明它是正确的。")</f>
        <v>她演示了如何正确抛出工具并进行多次投掷以说明它是正确的。</v>
      </c>
    </row>
    <row r="29111">
      <c r="A29111" s="4" t="s">
        <v>36664</v>
      </c>
      <c r="B29111" s="4" t="s">
        <v>36665</v>
      </c>
      <c r="C29111" s="5" t="str">
        <f>IFERROR(__xludf.DUMMYFUNCTION("GOOGLETRANSLATE(B29111,""en"",""zh-CN"")"),"从停车场看到一家商店的外部。")</f>
        <v>从停车场看到一家商店的外部。</v>
      </c>
    </row>
    <row r="29112">
      <c r="A29112" s="4" t="s">
        <v>36664</v>
      </c>
      <c r="B29112" s="4" t="s">
        <v>36666</v>
      </c>
      <c r="C29112" s="5" t="str">
        <f>IFERROR(__xludf.DUMMYFUNCTION("GOOGLETRANSLATE(B29112,""en"",""zh-CN"")"),"一个男人坐在木制长凳上，靠在带有奖杯的窗户上。")</f>
        <v>一个男人坐在木制长凳上，靠在带有奖杯的窗户上。</v>
      </c>
    </row>
    <row r="29113">
      <c r="A29113" s="4" t="s">
        <v>36664</v>
      </c>
      <c r="B29113" s="4" t="s">
        <v>36667</v>
      </c>
      <c r="C29113" s="5" t="str">
        <f>IFERROR(__xludf.DUMMYFUNCTION("GOOGLETRANSLATE(B29113,""en"",""zh-CN"")"),"该男子在坐在肩膀上工作的纹身艺术家时说话。")</f>
        <v>该男子在坐在肩膀上工作的纹身艺术家时说话。</v>
      </c>
    </row>
    <row r="29114">
      <c r="A29114" s="4" t="s">
        <v>36664</v>
      </c>
      <c r="B29114" s="4" t="s">
        <v>36668</v>
      </c>
      <c r="C29114" s="5" t="str">
        <f>IFERROR(__xludf.DUMMYFUNCTION("GOOGLETRANSLATE(B29114,""en"",""zh-CN"")"),"纹身艺术家擦拭了他正在研究的区域，并继续绘画。")</f>
        <v>纹身艺术家擦拭了他正在研究的区域，并继续绘画。</v>
      </c>
    </row>
    <row r="29115">
      <c r="A29115" s="4" t="s">
        <v>36664</v>
      </c>
      <c r="B29115" s="4" t="s">
        <v>36669</v>
      </c>
      <c r="C29115" s="5" t="str">
        <f>IFERROR(__xludf.DUMMYFUNCTION("GOOGLETRANSLATE(B29115,""en"",""zh-CN"")"),"纹身艺术家关闭了光明，停止了他的作品。")</f>
        <v>纹身艺术家关闭了光明，停止了他的作品。</v>
      </c>
    </row>
    <row r="29116">
      <c r="A29116" s="4" t="s">
        <v>36664</v>
      </c>
      <c r="B29116" s="4" t="s">
        <v>36670</v>
      </c>
      <c r="C29116" s="5" t="str">
        <f>IFERROR(__xludf.DUMMYFUNCTION("GOOGLETRANSLATE(B29116,""en"",""zh-CN"")"),"该男子站起来，炫耀他的纹身。")</f>
        <v>该男子站起来，炫耀他的纹身。</v>
      </c>
    </row>
    <row r="29117">
      <c r="A29117" s="4" t="s">
        <v>36671</v>
      </c>
      <c r="B29117" s="4" t="s">
        <v>36672</v>
      </c>
      <c r="C29117" s="5" t="str">
        <f>IFERROR(__xludf.DUMMYFUNCTION("GOOGLETRANSLATE(B29117,""en"",""zh-CN"")"),"男子在汽车上的侧面，在洗车上抛光蓝色汽车。")</f>
        <v>男子在汽车上的侧面，在洗车上抛光蓝色汽车。</v>
      </c>
    </row>
    <row r="29118">
      <c r="A29118" s="4" t="s">
        <v>36671</v>
      </c>
      <c r="B29118" s="4" t="s">
        <v>36673</v>
      </c>
      <c r="C29118" s="5" t="str">
        <f>IFERROR(__xludf.DUMMYFUNCTION("GOOGLETRANSLATE(B29118,""en"",""zh-CN"")"),"蓝色的汽车在蓝色洗车内部，人们正在抛光它。")</f>
        <v>蓝色的汽车在蓝色洗车内部，人们正在抛光它。</v>
      </c>
    </row>
    <row r="29119">
      <c r="A29119" s="4" t="s">
        <v>36671</v>
      </c>
      <c r="B29119" s="4" t="s">
        <v>36674</v>
      </c>
      <c r="C29119" s="5" t="str">
        <f>IFERROR(__xludf.DUMMYFUNCTION("GOOGLETRANSLATE(B29119,""en"",""zh-CN"")"),"男人在他们的手上拿着衣服打扫汽车。")</f>
        <v>男人在他们的手上拿着衣服打扫汽车。</v>
      </c>
    </row>
    <row r="29120">
      <c r="A29120" s="4" t="s">
        <v>36675</v>
      </c>
      <c r="B29120" s="4" t="s">
        <v>36676</v>
      </c>
      <c r="C29120" s="5" t="str">
        <f>IFERROR(__xludf.DUMMYFUNCTION("GOOGLETRANSLATE(B29120,""en"",""zh-CN"")"),"一个人正在走廊上吸尘。")</f>
        <v>一个人正在走廊上吸尘。</v>
      </c>
    </row>
    <row r="29121">
      <c r="A29121" s="4" t="s">
        <v>36675</v>
      </c>
      <c r="B29121" s="6" t="s">
        <v>36677</v>
      </c>
      <c r="C29121" s="5" t="str">
        <f>IFERROR(__xludf.DUMMYFUNCTION("GOOGLETRANSLATE(B29121,""en"",""zh-CN"")"),"一个睡衣的蹒跚学步的孩子疯狂地奔跑，跑进其他房间并兴奋地跳跃，因为他想被接来。")</f>
        <v>一个睡衣的蹒跚学步的孩子疯狂地奔跑，跑进其他房间并兴奋地跳跃，因为他想被接来。</v>
      </c>
    </row>
    <row r="29122">
      <c r="A29122" s="4" t="s">
        <v>36675</v>
      </c>
      <c r="B29122" s="4" t="s">
        <v>36678</v>
      </c>
      <c r="C29122" s="5" t="str">
        <f>IFERROR(__xludf.DUMMYFUNCTION("GOOGLETRANSLATE(B29122,""en"",""zh-CN"")"),"当母亲带着真空上浴室时，他很生气。")</f>
        <v>当母亲带着真空上浴室时，他很生气。</v>
      </c>
    </row>
    <row r="29123">
      <c r="A29123" s="4" t="s">
        <v>36675</v>
      </c>
      <c r="B29123" s="4" t="s">
        <v>36679</v>
      </c>
      <c r="C29123" s="5" t="str">
        <f>IFERROR(__xludf.DUMMYFUNCTION("GOOGLETRANSLATE(B29123,""en"",""zh-CN"")"),"女人给男孩真空吸尘器，他吸尘地板。")</f>
        <v>女人给男孩真空吸尘器，他吸尘地板。</v>
      </c>
    </row>
    <row r="29124">
      <c r="A29124" s="4" t="s">
        <v>36680</v>
      </c>
      <c r="B29124" s="4" t="s">
        <v>36681</v>
      </c>
      <c r="C29124" s="5" t="str">
        <f>IFERROR(__xludf.DUMMYFUNCTION("GOOGLETRANSLATE(B29124,""en"",""zh-CN"")"),"人们坐在游泳池的椅子上。")</f>
        <v>人们坐在游泳池的椅子上。</v>
      </c>
    </row>
    <row r="29125">
      <c r="A29125" s="4" t="s">
        <v>36680</v>
      </c>
      <c r="B29125" s="4" t="s">
        <v>36682</v>
      </c>
      <c r="C29125" s="5" t="str">
        <f>IFERROR(__xludf.DUMMYFUNCTION("GOOGLETRANSLATE(B29125,""en"",""zh-CN"")"),"男人和女人正在聊天，并介绍走在游泳池旁的男人。")</f>
        <v>男人和女人正在聊天，并介绍走在游泳池旁的男人。</v>
      </c>
    </row>
    <row r="29126">
      <c r="A29126" s="4" t="s">
        <v>36680</v>
      </c>
      <c r="B29126" s="4" t="s">
        <v>36683</v>
      </c>
      <c r="C29126" s="5" t="str">
        <f>IFERROR(__xludf.DUMMYFUNCTION("GOOGLETRANSLATE(B29126,""en"",""zh-CN"")"),"人正在举重，并从蹦床和相机聊天。")</f>
        <v>人正在举重，并从蹦床和相机聊天。</v>
      </c>
    </row>
    <row r="29127">
      <c r="A29127" s="4" t="s">
        <v>36680</v>
      </c>
      <c r="B29127" s="4" t="s">
        <v>36684</v>
      </c>
      <c r="C29127" s="5" t="str">
        <f>IFERROR(__xludf.DUMMYFUNCTION("GOOGLETRANSLATE(B29127,""en"",""zh-CN"")"),"展示了一个大的柏拉图，一个男人在蹦床上被一名妇女采访。")</f>
        <v>展示了一个大的柏拉图，一个男人在蹦床上被一名妇女采访。</v>
      </c>
    </row>
    <row r="29128">
      <c r="A29128" s="4" t="s">
        <v>36680</v>
      </c>
      <c r="B29128" s="4" t="s">
        <v>36685</v>
      </c>
      <c r="C29128" s="5" t="str">
        <f>IFERROR(__xludf.DUMMYFUNCTION("GOOGLETRANSLATE(B29128,""en"",""zh-CN"")"),"观众中的女人在尖叫和投掷吻。")</f>
        <v>观众中的女人在尖叫和投掷吻。</v>
      </c>
    </row>
    <row r="29129">
      <c r="A29129" s="4" t="s">
        <v>36680</v>
      </c>
      <c r="B29129" s="4" t="s">
        <v>36686</v>
      </c>
      <c r="C29129" s="5" t="str">
        <f>IFERROR(__xludf.DUMMYFUNCTION("GOOGLETRANSLATE(B29129,""en"",""zh-CN"")"),"人在10 m的蹦床上，做一个手站立，使跳到游泳池。")</f>
        <v>人在10 m的蹦床上，做一个手站立，使跳到游泳池。</v>
      </c>
    </row>
    <row r="29130">
      <c r="A29130" s="4" t="s">
        <v>36680</v>
      </c>
      <c r="B29130" s="4" t="s">
        <v>36687</v>
      </c>
      <c r="C29130" s="5" t="str">
        <f>IFERROR(__xludf.DUMMYFUNCTION("GOOGLETRANSLATE(B29130,""en"",""zh-CN"")"),"女人在游泳池旁打动了印象深刻，她的手放在脸上。")</f>
        <v>女人在游泳池旁打动了印象深刻，她的手放在脸上。</v>
      </c>
    </row>
    <row r="29131">
      <c r="A29131" s="4" t="s">
        <v>36680</v>
      </c>
      <c r="B29131" s="4" t="s">
        <v>36688</v>
      </c>
      <c r="C29131" s="5" t="str">
        <f>IFERROR(__xludf.DUMMYFUNCTION("GOOGLETRANSLATE(B29131,""en"",""zh-CN"")"),"主持人正在采访男人。")</f>
        <v>主持人正在采访男人。</v>
      </c>
    </row>
    <row r="29132">
      <c r="A29132" s="4" t="s">
        <v>36689</v>
      </c>
      <c r="B29132" s="4" t="s">
        <v>36690</v>
      </c>
      <c r="C29132" s="5" t="str">
        <f>IFERROR(__xludf.DUMMYFUNCTION("GOOGLETRANSLATE(B29132,""en"",""zh-CN"")"),"一群人正在野外骑马。")</f>
        <v>一群人正在野外骑马。</v>
      </c>
    </row>
    <row r="29133">
      <c r="A29133" s="4" t="s">
        <v>36689</v>
      </c>
      <c r="B29133" s="4" t="s">
        <v>36691</v>
      </c>
      <c r="C29133" s="5" t="str">
        <f>IFERROR(__xludf.DUMMYFUNCTION("GOOGLETRANSLATE(B29133,""en"",""zh-CN"")"),"他们开始了马球比赛。")</f>
        <v>他们开始了马球比赛。</v>
      </c>
    </row>
    <row r="29134">
      <c r="A29134" s="4" t="s">
        <v>36689</v>
      </c>
      <c r="B29134" s="4" t="s">
        <v>36692</v>
      </c>
      <c r="C29134" s="5" t="str">
        <f>IFERROR(__xludf.DUMMYFUNCTION("GOOGLETRANSLATE(B29134,""en"",""zh-CN"")"),"他们竞争马，试图拿到球。")</f>
        <v>他们竞争马，试图拿到球。</v>
      </c>
    </row>
    <row r="29135">
      <c r="A29135" s="4" t="s">
        <v>36693</v>
      </c>
      <c r="B29135" s="4" t="s">
        <v>36694</v>
      </c>
      <c r="C29135" s="5" t="str">
        <f>IFERROR(__xludf.DUMMYFUNCTION("GOOGLETRANSLATE(B29135,""en"",""zh-CN"")"),"妇女站在沙滩上看着其他一些妇女冲浪。")</f>
        <v>妇女站在沙滩上看着其他一些妇女冲浪。</v>
      </c>
    </row>
    <row r="29136">
      <c r="A29136" s="4" t="s">
        <v>36693</v>
      </c>
      <c r="B29136" s="4" t="s">
        <v>36695</v>
      </c>
      <c r="C29136" s="5" t="str">
        <f>IFERROR(__xludf.DUMMYFUNCTION("GOOGLETRANSLATE(B29136,""en"",""zh-CN"")"),"他们中的一些人在海浪中骑着海浪，享受着骑行。")</f>
        <v>他们中的一些人在海浪中骑着海浪，享受着骑行。</v>
      </c>
    </row>
    <row r="29137">
      <c r="A29137" s="4" t="s">
        <v>36693</v>
      </c>
      <c r="B29137" s="4" t="s">
        <v>36696</v>
      </c>
      <c r="C29137" s="5" t="str">
        <f>IFERROR(__xludf.DUMMYFUNCTION("GOOGLETRANSLATE(B29137,""en"",""zh-CN"")"),"其中一个只有一只手臂，她的冲浪很好，令人惊奇。")</f>
        <v>其中一个只有一只手臂，她的冲浪很好，令人惊奇。</v>
      </c>
    </row>
    <row r="29138">
      <c r="A29138" s="4" t="s">
        <v>36693</v>
      </c>
      <c r="B29138" s="6" t="s">
        <v>36697</v>
      </c>
      <c r="C29138" s="5" t="str">
        <f>IFERROR(__xludf.DUMMYFUNCTION("GOOGLETRANSLATE(B29138,""en"",""zh-CN"")"),"他们把她带到身上，然后有4个女孩站着，而他们的表演也有礼物，而一只手的女孩开始谈论它。")</f>
        <v>他们把她带到身上，然后有4个女孩站着，而他们的表演也有礼物，而一只手的女孩开始谈论它。</v>
      </c>
    </row>
    <row r="29139">
      <c r="A29139" s="4" t="s">
        <v>36698</v>
      </c>
      <c r="B29139" s="4" t="s">
        <v>1487</v>
      </c>
      <c r="C29139" s="5" t="str">
        <f>IFERROR(__xludf.DUMMYFUNCTION("GOOGLETRANSLATE(B29139,""en"",""zh-CN"")"),"我们看到一个开放标题屏幕。")</f>
        <v>我们看到一个开放标题屏幕。</v>
      </c>
    </row>
    <row r="29140">
      <c r="A29140" s="4" t="s">
        <v>36698</v>
      </c>
      <c r="B29140" s="4" t="s">
        <v>36699</v>
      </c>
      <c r="C29140" s="5" t="str">
        <f>IFERROR(__xludf.DUMMYFUNCTION("GOOGLETRANSLATE(B29140,""en"",""zh-CN"")"),"一个黑暗房间里的女人用手弹鼓。")</f>
        <v>一个黑暗房间里的女人用手弹鼓。</v>
      </c>
    </row>
    <row r="29141">
      <c r="A29141" s="4" t="s">
        <v>36698</v>
      </c>
      <c r="B29141" s="4" t="s">
        <v>36700</v>
      </c>
      <c r="C29141" s="5" t="str">
        <f>IFERROR(__xludf.DUMMYFUNCTION("GOOGLETRANSLATE(B29141,""en"",""zh-CN"")"),"摄像机倾斜在侧面，然后直立。")</f>
        <v>摄像机倾斜在侧面，然后直立。</v>
      </c>
    </row>
    <row r="29142">
      <c r="A29142" s="4" t="s">
        <v>36698</v>
      </c>
      <c r="B29142" s="4" t="s">
        <v>36701</v>
      </c>
      <c r="C29142" s="5" t="str">
        <f>IFERROR(__xludf.DUMMYFUNCTION("GOOGLETRANSLATE(B29142,""en"",""zh-CN"")"),"我们看到女士周围的房间。")</f>
        <v>我们看到女士周围的房间。</v>
      </c>
    </row>
    <row r="29143">
      <c r="A29143" s="4" t="s">
        <v>36698</v>
      </c>
      <c r="B29143" s="4" t="s">
        <v>777</v>
      </c>
      <c r="C29143" s="5" t="str">
        <f>IFERROR(__xludf.DUMMYFUNCTION("GOOGLETRANSLATE(B29143,""en"",""zh-CN"")"),"我们看到结尾标题屏幕。")</f>
        <v>我们看到结尾标题屏幕。</v>
      </c>
    </row>
    <row r="29144">
      <c r="A29144" s="4" t="s">
        <v>36702</v>
      </c>
      <c r="B29144" s="4" t="s">
        <v>36703</v>
      </c>
      <c r="C29144" s="5" t="str">
        <f>IFERROR(__xludf.DUMMYFUNCTION("GOOGLETRANSLATE(B29144,""en"",""zh-CN"")"),"看到一名妇女坐在锻炼设备上，向前看。")</f>
        <v>看到一名妇女坐在锻炼设备上，向前看。</v>
      </c>
    </row>
    <row r="29145">
      <c r="A29145" s="4" t="s">
        <v>36702</v>
      </c>
      <c r="B29145" s="4" t="s">
        <v>36704</v>
      </c>
      <c r="C29145" s="5" t="str">
        <f>IFERROR(__xludf.DUMMYFUNCTION("GOOGLETRANSLATE(B29145,""en"",""zh-CN"")"),"然后，她抓住了前面的杠杆，开始拉动自己。")</f>
        <v>然后，她抓住了前面的杠杆，开始拉动自己。</v>
      </c>
    </row>
    <row r="29146">
      <c r="A29146" s="4" t="s">
        <v>36702</v>
      </c>
      <c r="B29146" s="6" t="s">
        <v>36705</v>
      </c>
      <c r="C29146" s="5" t="str">
        <f>IFERROR(__xludf.DUMMYFUNCTION("GOOGLETRANSLATE(B29146,""en"",""zh-CN"")"),"然后，当相机捕捉她的动作时，女孩然后在机器上向后拉第四次。")</f>
        <v>然后，当相机捕捉她的动作时，女孩然后在机器上向后拉第四次。</v>
      </c>
    </row>
    <row r="29147">
      <c r="A29147" s="4" t="s">
        <v>36706</v>
      </c>
      <c r="B29147" s="4" t="s">
        <v>36707</v>
      </c>
      <c r="C29147" s="5" t="str">
        <f>IFERROR(__xludf.DUMMYFUNCTION("GOOGLETRANSLATE(B29147,""en"",""zh-CN"")"),"一个有恐惧的男人正在谈论并把乐器放在一起做一些音乐。")</f>
        <v>一个有恐惧的男人正在谈论并把乐器放在一起做一些音乐。</v>
      </c>
    </row>
    <row r="29148">
      <c r="A29148" s="4" t="s">
        <v>36706</v>
      </c>
      <c r="B29148" s="4" t="s">
        <v>36708</v>
      </c>
      <c r="C29148" s="5" t="str">
        <f>IFERROR(__xludf.DUMMYFUNCTION("GOOGLETRANSLATE(B29148,""en"",""zh-CN"")"),"他非常高兴地在车里挤出来。")</f>
        <v>他非常高兴地在车里挤出来。</v>
      </c>
    </row>
    <row r="29149">
      <c r="A29149" s="4" t="s">
        <v>36706</v>
      </c>
      <c r="B29149" s="4" t="s">
        <v>36709</v>
      </c>
      <c r="C29149" s="5" t="str">
        <f>IFERROR(__xludf.DUMMYFUNCTION("GOOGLETRANSLATE(B29149,""en"",""zh-CN"")"),"也有很多交通和救护车开车。")</f>
        <v>也有很多交通和救护车开车。</v>
      </c>
    </row>
    <row r="29150">
      <c r="A29150" s="4" t="s">
        <v>36706</v>
      </c>
      <c r="B29150" s="4" t="s">
        <v>36710</v>
      </c>
      <c r="C29150" s="5" t="str">
        <f>IFERROR(__xludf.DUMMYFUNCTION("GOOGLETRANSLATE(B29150,""en"",""zh-CN"")"),"他在笔记本电脑上记录所有音乐。")</f>
        <v>他在笔记本电脑上记录所有音乐。</v>
      </c>
    </row>
    <row r="29151">
      <c r="A29151" s="4" t="s">
        <v>36711</v>
      </c>
      <c r="B29151" s="6" t="s">
        <v>36712</v>
      </c>
      <c r="C29151" s="5" t="str">
        <f>IFERROR(__xludf.DUMMYFUNCTION("GOOGLETRANSLATE(B29151,""en"",""zh-CN"")"),"这个男孩站在一个小楼梯的底部，然后他走上来滑下蓝色滑梯。")</f>
        <v>这个男孩站在一个小楼梯的底部，然后他走上来滑下蓝色滑梯。</v>
      </c>
    </row>
    <row r="29152">
      <c r="A29152" s="4" t="s">
        <v>36711</v>
      </c>
      <c r="B29152" s="4" t="s">
        <v>36713</v>
      </c>
      <c r="C29152" s="5" t="str">
        <f>IFERROR(__xludf.DUMMYFUNCTION("GOOGLETRANSLATE(B29152,""en"",""zh-CN"")"),"当他滑下来后，他逃跑了，试图走出大门。")</f>
        <v>当他滑下来后，他逃跑了，试图走出大门。</v>
      </c>
    </row>
    <row r="29153">
      <c r="A29153" s="4" t="s">
        <v>36714</v>
      </c>
      <c r="B29153" s="4" t="s">
        <v>36715</v>
      </c>
      <c r="C29153" s="5" t="str">
        <f>IFERROR(__xludf.DUMMYFUNCTION("GOOGLETRANSLATE(B29153,""en"",""zh-CN"")"),"男人正在与摄像机交谈，以清洁木棚并开始涂漆。")</f>
        <v>男人正在与摄像机交谈，以清洁木棚并开始涂漆。</v>
      </c>
    </row>
    <row r="29154">
      <c r="A29154" s="4" t="s">
        <v>36714</v>
      </c>
      <c r="B29154" s="4" t="s">
        <v>36716</v>
      </c>
      <c r="C29154" s="5" t="str">
        <f>IFERROR(__xludf.DUMMYFUNCTION("GOOGLETRANSLATE(B29154,""en"",""zh-CN"")"),"该男子将油漆混合，并用刷子清漆所有棚子。")</f>
        <v>该男子将油漆混合，并用刷子清漆所有棚子。</v>
      </c>
    </row>
    <row r="29155">
      <c r="A29155" s="4" t="s">
        <v>36714</v>
      </c>
      <c r="B29155" s="4" t="s">
        <v>36717</v>
      </c>
      <c r="C29155" s="5" t="str">
        <f>IFERROR(__xludf.DUMMYFUNCTION("GOOGLETRANSLATE(B29155,""en"",""zh-CN"")"),"最后，该男子与相机交谈并显示材料清单。")</f>
        <v>最后，该男子与相机交谈并显示材料清单。</v>
      </c>
    </row>
    <row r="29156">
      <c r="A29156" s="4" t="s">
        <v>36718</v>
      </c>
      <c r="B29156" s="4" t="s">
        <v>1487</v>
      </c>
      <c r="C29156" s="5" t="str">
        <f>IFERROR(__xludf.DUMMYFUNCTION("GOOGLETRANSLATE(B29156,""en"",""zh-CN"")"),"我们看到一个开放标题屏幕。")</f>
        <v>我们看到一个开放标题屏幕。</v>
      </c>
    </row>
    <row r="29157">
      <c r="A29157" s="4" t="s">
        <v>36718</v>
      </c>
      <c r="B29157" s="4" t="s">
        <v>36719</v>
      </c>
      <c r="C29157" s="5" t="str">
        <f>IFERROR(__xludf.DUMMYFUNCTION("GOOGLETRANSLATE(B29157,""en"",""zh-CN"")"),"我们在晚上看到一个城市场景。")</f>
        <v>我们在晚上看到一个城市场景。</v>
      </c>
    </row>
    <row r="29158">
      <c r="A29158" s="4" t="s">
        <v>36718</v>
      </c>
      <c r="B29158" s="4" t="s">
        <v>36720</v>
      </c>
      <c r="C29158" s="5" t="str">
        <f>IFERROR(__xludf.DUMMYFUNCTION("GOOGLETRANSLATE(B29158,""en"",""zh-CN"")"),"我们看到人们晚上在户外踢足球。")</f>
        <v>我们看到人们晚上在户外踢足球。</v>
      </c>
    </row>
    <row r="29159">
      <c r="A29159" s="4" t="s">
        <v>36718</v>
      </c>
      <c r="B29159" s="4" t="s">
        <v>36721</v>
      </c>
      <c r="C29159" s="5" t="str">
        <f>IFERROR(__xludf.DUMMYFUNCTION("GOOGLETRANSLATE(B29159,""en"",""zh-CN"")"),"一个人跌倒在地面上。")</f>
        <v>一个人跌倒在地面上。</v>
      </c>
    </row>
    <row r="29160">
      <c r="A29160" s="4" t="s">
        <v>36718</v>
      </c>
      <c r="B29160" s="4" t="s">
        <v>36722</v>
      </c>
      <c r="C29160" s="5" t="str">
        <f>IFERROR(__xludf.DUMMYFUNCTION("GOOGLETRANSLATE(B29160,""en"",""zh-CN"")"),"我们看到一个男人用脚移动球。")</f>
        <v>我们看到一个男人用脚移动球。</v>
      </c>
    </row>
    <row r="29161">
      <c r="A29161" s="4" t="s">
        <v>36718</v>
      </c>
      <c r="B29161" s="4" t="s">
        <v>36723</v>
      </c>
      <c r="C29161" s="5" t="str">
        <f>IFERROR(__xludf.DUMMYFUNCTION("GOOGLETRANSLATE(B29161,""en"",""zh-CN"")"),"我们看到两个人彼此高五。")</f>
        <v>我们看到两个人彼此高五。</v>
      </c>
    </row>
    <row r="29162">
      <c r="A29162" s="4" t="s">
        <v>36718</v>
      </c>
      <c r="B29162" s="4" t="s">
        <v>36724</v>
      </c>
      <c r="C29162" s="5" t="str">
        <f>IFERROR(__xludf.DUMMYFUNCTION("GOOGLETRANSLATE(B29162,""en"",""zh-CN"")"),"我们看到关闭的瓷砖屏幕。")</f>
        <v>我们看到关闭的瓷砖屏幕。</v>
      </c>
    </row>
    <row r="29163">
      <c r="A29163" s="4" t="s">
        <v>36725</v>
      </c>
      <c r="B29163" s="4" t="s">
        <v>36726</v>
      </c>
      <c r="C29163" s="5" t="str">
        <f>IFERROR(__xludf.DUMMYFUNCTION("GOOGLETRANSLATE(B29163,""en"",""zh-CN"")"),"两个女孩在院子里。")</f>
        <v>两个女孩在院子里。</v>
      </c>
    </row>
    <row r="29164">
      <c r="A29164" s="4" t="s">
        <v>36725</v>
      </c>
      <c r="B29164" s="4" t="s">
        <v>36727</v>
      </c>
      <c r="C29164" s="5" t="str">
        <f>IFERROR(__xludf.DUMMYFUNCTION("GOOGLETRANSLATE(B29164,""en"",""zh-CN"")"),"他们在弹跳并互相扔球。")</f>
        <v>他们在弹跳并互相扔球。</v>
      </c>
    </row>
    <row r="29165">
      <c r="A29165" s="4" t="s">
        <v>36725</v>
      </c>
      <c r="B29165" s="4" t="s">
        <v>36728</v>
      </c>
      <c r="C29165" s="5" t="str">
        <f>IFERROR(__xludf.DUMMYFUNCTION("GOOGLETRANSLATE(B29165,""en"",""zh-CN"")"),"他们嬉戏地互相追逐。")</f>
        <v>他们嬉戏地互相追逐。</v>
      </c>
    </row>
    <row r="29166">
      <c r="A29166" s="4" t="s">
        <v>36725</v>
      </c>
      <c r="B29166" s="4" t="s">
        <v>36729</v>
      </c>
      <c r="C29166" s="5" t="str">
        <f>IFERROR(__xludf.DUMMYFUNCTION("GOOGLETRANSLATE(B29166,""en"",""zh-CN"")"),"他们跑到相机上，聊了一段时间。")</f>
        <v>他们跑到相机上，聊了一段时间。</v>
      </c>
    </row>
    <row r="29167">
      <c r="A29167" s="4" t="s">
        <v>36730</v>
      </c>
      <c r="B29167" s="4" t="s">
        <v>36731</v>
      </c>
      <c r="C29167" s="5" t="str">
        <f>IFERROR(__xludf.DUMMYFUNCTION("GOOGLETRANSLATE(B29167,""en"",""zh-CN"")"),"我们在外面看到一家冰淇淋商店。")</f>
        <v>我们在外面看到一家冰淇淋商店。</v>
      </c>
    </row>
    <row r="29168">
      <c r="A29168" s="4" t="s">
        <v>36730</v>
      </c>
      <c r="B29168" s="4" t="s">
        <v>36732</v>
      </c>
      <c r="C29168" s="5" t="str">
        <f>IFERROR(__xludf.DUMMYFUNCTION("GOOGLETRANSLATE(B29168,""en"",""zh-CN"")"),"我们看到蛋糕的标题屏幕。")</f>
        <v>我们看到蛋糕的标题屏幕。</v>
      </c>
    </row>
    <row r="29169">
      <c r="A29169" s="4" t="s">
        <v>36730</v>
      </c>
      <c r="B29169" s="4" t="s">
        <v>36733</v>
      </c>
      <c r="C29169" s="5" t="str">
        <f>IFERROR(__xludf.DUMMYFUNCTION("GOOGLETRANSLATE(B29169,""en"",""zh-CN"")"),"然后，我们看到一位女士做饭。")</f>
        <v>然后，我们看到一位女士做饭。</v>
      </c>
    </row>
    <row r="29170">
      <c r="A29170" s="4" t="s">
        <v>36730</v>
      </c>
      <c r="B29170" s="4" t="s">
        <v>36734</v>
      </c>
      <c r="C29170" s="5" t="str">
        <f>IFERROR(__xludf.DUMMYFUNCTION("GOOGLETRANSLATE(B29170,""en"",""zh-CN"")"),"这位女士把冰淇淋放在碗里。")</f>
        <v>这位女士把冰淇淋放在碗里。</v>
      </c>
    </row>
    <row r="29171">
      <c r="A29171" s="4" t="s">
        <v>36730</v>
      </c>
      <c r="B29171" s="4" t="s">
        <v>36735</v>
      </c>
      <c r="C29171" s="5" t="str">
        <f>IFERROR(__xludf.DUMMYFUNCTION("GOOGLETRANSLATE(B29171,""en"",""zh-CN"")"),"这位女士把米饭脆皮放在上面。")</f>
        <v>这位女士把米饭脆皮放在上面。</v>
      </c>
    </row>
    <row r="29172">
      <c r="A29172" s="4" t="s">
        <v>36730</v>
      </c>
      <c r="B29172" s="4" t="s">
        <v>36736</v>
      </c>
      <c r="C29172" s="5" t="str">
        <f>IFERROR(__xludf.DUMMYFUNCTION("GOOGLETRANSLATE(B29172,""en"",""zh-CN"")"),"这位女士将圆顶放在巧克力圆顶上，并在上面放一个脆皮圆圈。")</f>
        <v>这位女士将圆顶放在巧克力圆顶上，并在上面放一个脆皮圆圈。</v>
      </c>
    </row>
    <row r="29173">
      <c r="A29173" s="4" t="s">
        <v>36730</v>
      </c>
      <c r="B29173" s="4" t="s">
        <v>36737</v>
      </c>
      <c r="C29173" s="5" t="str">
        <f>IFERROR(__xludf.DUMMYFUNCTION("GOOGLETRANSLATE(B29173,""en"",""zh-CN"")"),"那位女士将孔放在巧克力圆顶上。")</f>
        <v>那位女士将孔放在巧克力圆顶上。</v>
      </c>
    </row>
    <row r="29174">
      <c r="A29174" s="4" t="s">
        <v>36730</v>
      </c>
      <c r="B29174" s="4" t="s">
        <v>36738</v>
      </c>
      <c r="C29174" s="5" t="str">
        <f>IFERROR(__xludf.DUMMYFUNCTION("GOOGLETRANSLATE(B29174,""en"",""zh-CN"")"),"女士喷洒了圆顶。")</f>
        <v>女士喷洒了圆顶。</v>
      </c>
    </row>
    <row r="29175">
      <c r="A29175" s="4" t="s">
        <v>36730</v>
      </c>
      <c r="B29175" s="4" t="s">
        <v>36739</v>
      </c>
      <c r="C29175" s="5" t="str">
        <f>IFERROR(__xludf.DUMMYFUNCTION("GOOGLETRANSLATE(B29175,""en"",""zh-CN"")"),"这位女士将红色圆顶放在黑色的圆顶上，并将圆顶放在上面。")</f>
        <v>这位女士将红色圆顶放在黑色的圆顶上，并将圆顶放在上面。</v>
      </c>
    </row>
    <row r="29176">
      <c r="A29176" s="4" t="s">
        <v>36730</v>
      </c>
      <c r="B29176" s="4" t="s">
        <v>36740</v>
      </c>
      <c r="C29176" s="5" t="str">
        <f>IFERROR(__xludf.DUMMYFUNCTION("GOOGLETRANSLATE(B29176,""en"",""zh-CN"")"),"女士把蛋糕放在陈列柜里。")</f>
        <v>女士把蛋糕放在陈列柜里。</v>
      </c>
    </row>
    <row r="29177">
      <c r="A29177" s="4" t="s">
        <v>36730</v>
      </c>
      <c r="B29177" s="4" t="s">
        <v>2486</v>
      </c>
      <c r="C29177" s="5" t="str">
        <f>IFERROR(__xludf.DUMMYFUNCTION("GOOGLETRANSLATE(B29177,""en"",""zh-CN"")"),"我们看到关闭屏幕。")</f>
        <v>我们看到关闭屏幕。</v>
      </c>
    </row>
    <row r="29178">
      <c r="A29178" s="4" t="s">
        <v>36741</v>
      </c>
      <c r="B29178" s="4" t="s">
        <v>36742</v>
      </c>
      <c r="C29178" s="5" t="str">
        <f>IFERROR(__xludf.DUMMYFUNCTION("GOOGLETRANSLATE(B29178,""en"",""zh-CN"")"),"看到一个人站在远处，另一个站在一个洞中。")</f>
        <v>看到一个人站在远处，另一个站在一个洞中。</v>
      </c>
    </row>
    <row r="29179">
      <c r="A29179" s="4" t="s">
        <v>36741</v>
      </c>
      <c r="B29179" s="4" t="s">
        <v>36743</v>
      </c>
      <c r="C29179" s="5" t="str">
        <f>IFERROR(__xludf.DUMMYFUNCTION("GOOGLETRANSLATE(B29179,""en"",""zh-CN"")"),"该人在孔上使用钓鱼竿，并试图拔出鱼。")</f>
        <v>该人在孔上使用钓鱼竿，并试图拔出鱼。</v>
      </c>
    </row>
    <row r="29180">
      <c r="A29180" s="4" t="s">
        <v>36741</v>
      </c>
      <c r="B29180" s="4" t="s">
        <v>36744</v>
      </c>
      <c r="C29180" s="5" t="str">
        <f>IFERROR(__xludf.DUMMYFUNCTION("GOOGLETRANSLATE(B29180,""en"",""zh-CN"")"),"该人继续拉动，而其他手表在侧面。")</f>
        <v>该人继续拉动，而其他手表在侧面。</v>
      </c>
    </row>
    <row r="29181">
      <c r="A29181" s="4" t="s">
        <v>36745</v>
      </c>
      <c r="B29181" s="4" t="s">
        <v>36746</v>
      </c>
      <c r="C29181" s="5" t="str">
        <f>IFERROR(__xludf.DUMMYFUNCTION("GOOGLETRANSLATE(B29181,""en"",""zh-CN"")"),"看到一个女人在整个头发上刷湿头发和擦洗乳液。")</f>
        <v>看到一个女人在整个头发上刷湿头发和擦洗乳液。</v>
      </c>
    </row>
    <row r="29182">
      <c r="A29182" s="4" t="s">
        <v>36745</v>
      </c>
      <c r="B29182" s="4" t="s">
        <v>36747</v>
      </c>
      <c r="C29182" s="5" t="str">
        <f>IFERROR(__xludf.DUMMYFUNCTION("GOOGLETRANSLATE(B29182,""en"",""zh-CN"")"),"然后，她吹干头发，再次看到她的头发钉在顶部。")</f>
        <v>然后，她吹干头发，再次看到她的头发钉在顶部。</v>
      </c>
    </row>
    <row r="29183">
      <c r="A29183" s="4" t="s">
        <v>36745</v>
      </c>
      <c r="B29183" s="4" t="s">
        <v>36748</v>
      </c>
      <c r="C29183" s="5" t="str">
        <f>IFERROR(__xludf.DUMMYFUNCTION("GOOGLETRANSLATE(B29183,""en"",""zh-CN"")"),"她吹干头发的底部，然后再次看到所有头发钉住。")</f>
        <v>她吹干头发的底部，然后再次看到所有头发钉住。</v>
      </c>
    </row>
    <row r="29184">
      <c r="A29184" s="4" t="s">
        <v>36745</v>
      </c>
      <c r="B29184" s="4" t="s">
        <v>36749</v>
      </c>
      <c r="C29184" s="5" t="str">
        <f>IFERROR(__xludf.DUMMYFUNCTION("GOOGLETRANSLATE(B29184,""en"",""zh-CN"")"),"她撤消了别针以炫耀自己的新头发。")</f>
        <v>她撤消了别针以炫耀自己的新头发。</v>
      </c>
    </row>
    <row r="29185">
      <c r="A29185" s="4" t="s">
        <v>36750</v>
      </c>
      <c r="B29185" s="4" t="s">
        <v>36751</v>
      </c>
      <c r="C29185" s="5" t="str">
        <f>IFERROR(__xludf.DUMMYFUNCTION("GOOGLETRANSLATE(B29185,""en"",""zh-CN"")"),"一个小男孩在家里弹钢琴，然后，他向左弯曲并说话。")</f>
        <v>一个小男孩在家里弹钢琴，然后，他向左弯曲并说话。</v>
      </c>
    </row>
    <row r="29186">
      <c r="A29186" s="4" t="s">
        <v>36750</v>
      </c>
      <c r="B29186" s="4" t="s">
        <v>36752</v>
      </c>
      <c r="C29186" s="5" t="str">
        <f>IFERROR(__xludf.DUMMYFUNCTION("GOOGLETRANSLATE(B29186,""en"",""zh-CN"")"),"之后，男孩继续弹钢琴，然后休息了。")</f>
        <v>之后，男孩继续弹钢琴，然后休息了。</v>
      </c>
    </row>
    <row r="29187">
      <c r="A29187" s="4" t="s">
        <v>36750</v>
      </c>
      <c r="B29187" s="4" t="s">
        <v>36753</v>
      </c>
      <c r="C29187" s="5" t="str">
        <f>IFERROR(__xludf.DUMMYFUNCTION("GOOGLETRANSLATE(B29187,""en"",""zh-CN"")"),"男孩换衣服，继续弹钢琴。")</f>
        <v>男孩换衣服，继续弹钢琴。</v>
      </c>
    </row>
    <row r="29188">
      <c r="A29188" s="4" t="s">
        <v>36754</v>
      </c>
      <c r="B29188" s="4" t="s">
        <v>36755</v>
      </c>
      <c r="C29188" s="5" t="str">
        <f>IFERROR(__xludf.DUMMYFUNCTION("GOOGLETRANSLATE(B29188,""en"",""zh-CN"")"),"一只蓬松的狗正在从兽医那里洗澡。")</f>
        <v>一只蓬松的狗正在从兽医那里洗澡。</v>
      </c>
    </row>
    <row r="29189">
      <c r="A29189" s="4" t="s">
        <v>36754</v>
      </c>
      <c r="B29189" s="4" t="s">
        <v>36756</v>
      </c>
      <c r="C29189" s="5" t="str">
        <f>IFERROR(__xludf.DUMMYFUNCTION("GOOGLETRANSLATE(B29189,""en"",""zh-CN"")"),"兽医洗了狗后正在吹干狗。")</f>
        <v>兽医洗了狗后正在吹干狗。</v>
      </c>
    </row>
    <row r="29190">
      <c r="A29190" s="4" t="s">
        <v>36754</v>
      </c>
      <c r="B29190" s="4" t="s">
        <v>36757</v>
      </c>
      <c r="C29190" s="5" t="str">
        <f>IFERROR(__xludf.DUMMYFUNCTION("GOOGLETRANSLATE(B29190,""en"",""zh-CN"")"),"另一位兽医正在抚摸和刷狗。")</f>
        <v>另一位兽医正在抚摸和刷狗。</v>
      </c>
    </row>
    <row r="29191">
      <c r="A29191" s="4" t="s">
        <v>36754</v>
      </c>
      <c r="B29191" s="4" t="s">
        <v>36758</v>
      </c>
      <c r="C29191" s="5" t="str">
        <f>IFERROR(__xludf.DUMMYFUNCTION("GOOGLETRANSLATE(B29191,""en"",""zh-CN"")"),"狗的视频蒙太奇弹奏，然后归功于滚动。")</f>
        <v>狗的视频蒙太奇弹奏，然后归功于滚动。</v>
      </c>
    </row>
    <row r="29192">
      <c r="A29192" s="4" t="s">
        <v>36759</v>
      </c>
      <c r="B29192" s="4" t="s">
        <v>36760</v>
      </c>
      <c r="C29192" s="5" t="str">
        <f>IFERROR(__xludf.DUMMYFUNCTION("GOOGLETRANSLATE(B29192,""en"",""zh-CN"")"),"一个小女孩站在厨房的水槽前。")</f>
        <v>一个小女孩站在厨房的水槽前。</v>
      </c>
    </row>
    <row r="29193">
      <c r="A29193" s="4" t="s">
        <v>36759</v>
      </c>
      <c r="B29193" s="4" t="s">
        <v>36761</v>
      </c>
      <c r="C29193" s="5" t="str">
        <f>IFERROR(__xludf.DUMMYFUNCTION("GOOGLETRANSLATE(B29193,""en"",""zh-CN"")"),"她的手里有一个碗和一把刀。")</f>
        <v>她的手里有一个碗和一把刀。</v>
      </c>
    </row>
    <row r="29194">
      <c r="A29194" s="4" t="s">
        <v>36759</v>
      </c>
      <c r="B29194" s="4" t="s">
        <v>36762</v>
      </c>
      <c r="C29194" s="5" t="str">
        <f>IFERROR(__xludf.DUMMYFUNCTION("GOOGLETRANSLATE(B29194,""en"",""zh-CN"")"),"她用刀剥土豆。")</f>
        <v>她用刀剥土豆。</v>
      </c>
    </row>
    <row r="29195">
      <c r="A29195" s="4" t="s">
        <v>36763</v>
      </c>
      <c r="B29195" s="6" t="s">
        <v>36764</v>
      </c>
      <c r="C29195" s="5" t="str">
        <f>IFERROR(__xludf.DUMMYFUNCTION("GOOGLETRANSLATE(B29195,""en"",""zh-CN"")"),"两个穿着搭配衬衫的男孩坐在沙发上，用糖果玩具将糖果握在相机上，玩糖果玩具按钮并交谈时，手里聊着。")</f>
        <v>两个穿着搭配衬衫的男孩坐在沙发上，用糖果玩具将糖果握在相机上，玩糖果玩具按钮并交谈时，手里聊着。</v>
      </c>
    </row>
    <row r="29196">
      <c r="A29196" s="4" t="s">
        <v>36763</v>
      </c>
      <c r="B29196" s="6" t="s">
        <v>36765</v>
      </c>
      <c r="C29196" s="5" t="str">
        <f>IFERROR(__xludf.DUMMYFUNCTION("GOOGLETRANSLATE(B29196,""en"",""zh-CN"")"),"两个男孩用玩具糖果嘲笑打架，该玩具的形状像一只手，用可伸缩的手指打架，当他们这样做时，相机加快了速度。")</f>
        <v>两个男孩用玩具糖果嘲笑打架，该玩具的形状像一只手，用可伸缩的手指打架，当他们这样做时，相机加快了速度。</v>
      </c>
    </row>
    <row r="29197">
      <c r="A29197" s="4" t="s">
        <v>36763</v>
      </c>
      <c r="B29197" s="6" t="s">
        <v>36766</v>
      </c>
      <c r="C29197" s="5" t="str">
        <f>IFERROR(__xludf.DUMMYFUNCTION("GOOGLETRANSLATE(B29197,""en"",""zh-CN"")"),"然后，男孩们换玩具并打开玩具糖果，这时他们开始吃糖果并在咀嚼时说话。")</f>
        <v>然后，男孩们换玩具并打开玩具糖果，这时他们开始吃糖果并在咀嚼时说话。</v>
      </c>
    </row>
    <row r="29198">
      <c r="A29198" s="4" t="s">
        <v>36763</v>
      </c>
      <c r="B29198" s="4" t="s">
        <v>36767</v>
      </c>
      <c r="C29198" s="5" t="str">
        <f>IFERROR(__xludf.DUMMYFUNCTION("GOOGLETRANSLATE(B29198,""en"",""zh-CN"")"),"然后显示玩具糖果的特写镜头，糖果躺在栗色的背景下并摆姿势。")</f>
        <v>然后显示玩具糖果的特写镜头，糖果躺在栗色的背景下并摆姿势。</v>
      </c>
    </row>
    <row r="29199">
      <c r="A29199" s="4" t="s">
        <v>36768</v>
      </c>
      <c r="B29199" s="4" t="s">
        <v>36769</v>
      </c>
      <c r="C29199" s="5" t="str">
        <f>IFERROR(__xludf.DUMMYFUNCTION("GOOGLETRANSLATE(B29199,""en"",""zh-CN"")"),"一个人在营地开火，在树林周围戳了戳。")</f>
        <v>一个人在营地开火，在树林周围戳了戳。</v>
      </c>
    </row>
    <row r="29200">
      <c r="A29200" s="4" t="s">
        <v>36768</v>
      </c>
      <c r="B29200" s="4" t="s">
        <v>36770</v>
      </c>
      <c r="C29200" s="5" t="str">
        <f>IFERROR(__xludf.DUMMYFUNCTION("GOOGLETRANSLATE(B29200,""en"",""zh-CN"")"),"当相机与相机人交谈时，相机移到了一个小男孩。")</f>
        <v>当相机与相机人交谈时，相机移到了一个小男孩。</v>
      </c>
    </row>
    <row r="29201">
      <c r="A29201" s="4" t="s">
        <v>36768</v>
      </c>
      <c r="B29201" s="4" t="s">
        <v>36771</v>
      </c>
      <c r="C29201" s="5" t="str">
        <f>IFERROR(__xludf.DUMMYFUNCTION("GOOGLETRANSLATE(B29201,""en"",""zh-CN"")"),"当他记录大火时，相机人员继续叙述情况。")</f>
        <v>当他记录大火时，相机人员继续叙述情况。</v>
      </c>
    </row>
    <row r="29202">
      <c r="A29202" s="4" t="s">
        <v>36772</v>
      </c>
      <c r="B29202" s="4" t="s">
        <v>36773</v>
      </c>
      <c r="C29202" s="5" t="str">
        <f>IFERROR(__xludf.DUMMYFUNCTION("GOOGLETRANSLATE(B29202,""en"",""zh-CN"")"),"从鸟类的眼景中可以看到各种各样的人在露天的粗糙条件下工作。")</f>
        <v>从鸟类的眼景中可以看到各种各样的人在露天的粗糙条件下工作。</v>
      </c>
    </row>
    <row r="29203">
      <c r="A29203" s="4" t="s">
        <v>36772</v>
      </c>
      <c r="B29203" s="4" t="s">
        <v>36774</v>
      </c>
      <c r="C29203" s="5" t="str">
        <f>IFERROR(__xludf.DUMMYFUNCTION("GOOGLETRANSLATE(B29203,""en"",""zh-CN"")"),"他们正在擦洗衣服，并在摄像机锅周围观看时将其挂起来。")</f>
        <v>他们正在擦洗衣服，并在摄像机锅周围观看时将其挂起来。</v>
      </c>
    </row>
    <row r="29204">
      <c r="A29204" s="4" t="s">
        <v>36775</v>
      </c>
      <c r="B29204" s="4" t="s">
        <v>36776</v>
      </c>
      <c r="C29204" s="5" t="str">
        <f>IFERROR(__xludf.DUMMYFUNCTION("GOOGLETRANSLATE(B29204,""en"",""zh-CN"")"),"人们在公牛旁边行走。")</f>
        <v>人们在公牛旁边行走。</v>
      </c>
    </row>
    <row r="29205">
      <c r="A29205" s="4" t="s">
        <v>36775</v>
      </c>
      <c r="B29205" s="4" t="s">
        <v>36777</v>
      </c>
      <c r="C29205" s="5" t="str">
        <f>IFERROR(__xludf.DUMMYFUNCTION("GOOGLETRANSLATE(B29205,""en"",""zh-CN"")"),"公牛后面有一群人走。")</f>
        <v>公牛后面有一群人走。</v>
      </c>
    </row>
    <row r="29206">
      <c r="A29206" s="4" t="s">
        <v>36775</v>
      </c>
      <c r="B29206" s="4" t="s">
        <v>36778</v>
      </c>
      <c r="C29206" s="5" t="str">
        <f>IFERROR(__xludf.DUMMYFUNCTION("GOOGLETRANSLATE(B29206,""en"",""zh-CN"")"),"还有另一位公牛，他们开始战斗。")</f>
        <v>还有另一位公牛，他们开始战斗。</v>
      </c>
    </row>
    <row r="29207">
      <c r="A29207" s="4" t="s">
        <v>36775</v>
      </c>
      <c r="B29207" s="4" t="s">
        <v>36779</v>
      </c>
      <c r="C29207" s="5" t="str">
        <f>IFERROR(__xludf.DUMMYFUNCTION("GOOGLETRANSLATE(B29207,""en"",""zh-CN"")"),"人群在公牛周围集会。")</f>
        <v>人群在公牛周围集会。</v>
      </c>
    </row>
    <row r="29208">
      <c r="A29208" s="4" t="s">
        <v>36775</v>
      </c>
      <c r="B29208" s="4" t="s">
        <v>36780</v>
      </c>
      <c r="C29208" s="5" t="str">
        <f>IFERROR(__xludf.DUMMYFUNCTION("GOOGLETRANSLATE(B29208,""en"",""zh-CN"")"),"穿着红色衬衫的男人正在用麦克风说话。")</f>
        <v>穿着红色衬衫的男人正在用麦克风说话。</v>
      </c>
    </row>
    <row r="29209">
      <c r="A29209" s="4" t="s">
        <v>36775</v>
      </c>
      <c r="B29209" s="4" t="s">
        <v>36781</v>
      </c>
      <c r="C29209" s="5" t="str">
        <f>IFERROR(__xludf.DUMMYFUNCTION("GOOGLETRANSLATE(B29209,""en"",""zh-CN"")"),"一个男人穿着黑色衬衫。")</f>
        <v>一个男人穿着黑色衬衫。</v>
      </c>
    </row>
    <row r="29210">
      <c r="A29210" s="4" t="s">
        <v>36782</v>
      </c>
      <c r="B29210" s="4" t="s">
        <v>36783</v>
      </c>
      <c r="C29210" s="5" t="str">
        <f>IFERROR(__xludf.DUMMYFUNCTION("GOOGLETRANSLATE(B29210,""en"",""zh-CN"")"),"一个中年男子站在田野里准备击球。")</f>
        <v>一个中年男子站在田野里准备击球。</v>
      </c>
    </row>
    <row r="29211">
      <c r="A29211" s="4" t="s">
        <v>36782</v>
      </c>
      <c r="B29211" s="6" t="s">
        <v>36784</v>
      </c>
      <c r="C29211" s="5" t="str">
        <f>IFERROR(__xludf.DUMMYFUNCTION("GOOGLETRANSLATE(B29211,""en"",""zh-CN"")"),"一旦该男子击中球，就会抓住球，其他球队兴奋地跳动并欢呼，并且有重播。")</f>
        <v>一旦该男子击中球，就会抓住球，其他球队兴奋地跳动并欢呼，并且有重播。</v>
      </c>
    </row>
    <row r="29212">
      <c r="A29212" s="4" t="s">
        <v>36785</v>
      </c>
      <c r="B29212" s="4" t="s">
        <v>36786</v>
      </c>
      <c r="C29212" s="5" t="str">
        <f>IFERROR(__xludf.DUMMYFUNCTION("GOOGLETRANSLATE(B29212,""en"",""zh-CN"")"),"一个人展示了如何用机器锐化刀。")</f>
        <v>一个人展示了如何用机器锐化刀。</v>
      </c>
    </row>
    <row r="29213">
      <c r="A29213" s="4" t="s">
        <v>36785</v>
      </c>
      <c r="B29213" s="4" t="s">
        <v>36787</v>
      </c>
      <c r="C29213" s="5" t="str">
        <f>IFERROR(__xludf.DUMMYFUNCTION("GOOGLETRANSLATE(B29213,""en"",""zh-CN"")"),"然后，他互相匹配。")</f>
        <v>然后，他互相匹配。</v>
      </c>
    </row>
    <row r="29214">
      <c r="A29214" s="4" t="s">
        <v>36788</v>
      </c>
      <c r="B29214" s="4" t="s">
        <v>36789</v>
      </c>
      <c r="C29214" s="5" t="str">
        <f>IFERROR(__xludf.DUMMYFUNCTION("GOOGLETRANSLATE(B29214,""en"",""zh-CN"")"),"显示了一个女孩的头发的特写，后面是一个编织头发的人。")</f>
        <v>显示了一个女孩的头发的特写，后面是一个编织头发的人。</v>
      </c>
    </row>
    <row r="29215">
      <c r="A29215" s="4" t="s">
        <v>36788</v>
      </c>
      <c r="B29215" s="4" t="s">
        <v>36790</v>
      </c>
      <c r="C29215" s="5" t="str">
        <f>IFERROR(__xludf.DUMMYFUNCTION("GOOGLETRANSLATE(B29215,""en"",""zh-CN"")"),"该人继续编织头发，相机从她的脸上扔掉。")</f>
        <v>该人继续编织头发，相机从她的脸上扔掉。</v>
      </c>
    </row>
    <row r="29216">
      <c r="A29216" s="4" t="s">
        <v>36791</v>
      </c>
      <c r="B29216" s="4" t="s">
        <v>36792</v>
      </c>
      <c r="C29216" s="5" t="str">
        <f>IFERROR(__xludf.DUMMYFUNCTION("GOOGLETRANSLATE(B29216,""en"",""zh-CN"")"),"几个人在外面看着大约四个人用斗篷斗牛。")</f>
        <v>几个人在外面看着大约四个人用斗篷斗牛。</v>
      </c>
    </row>
    <row r="29217">
      <c r="A29217" s="4" t="s">
        <v>36791</v>
      </c>
      <c r="B29217" s="6" t="s">
        <v>36793</v>
      </c>
      <c r="C29217" s="5" t="str">
        <f>IFERROR(__xludf.DUMMYFUNCTION("GOOGLETRANSLATE(B29217,""en"",""zh-CN"")"),"一旦公牛被抓住，他们就开始移动它，并且由于人群在他们的背上而遇到困难。")</f>
        <v>一旦公牛被抓住，他们就开始移动它，并且由于人群在他们的背上而遇到困难。</v>
      </c>
    </row>
    <row r="29218">
      <c r="A29218" s="4" t="s">
        <v>36791</v>
      </c>
      <c r="B29218" s="6" t="s">
        <v>36794</v>
      </c>
      <c r="C29218" s="5" t="str">
        <f>IFERROR(__xludf.DUMMYFUNCTION("GOOGLETRANSLATE(B29218,""en"",""zh-CN"")"),"接下来，一个光着膀子的男人躺在泥土上，被公牛践踏，对刚刚发生的事情感到高兴。")</f>
        <v>接下来，一个光着膀子的男人躺在泥土上，被公牛践踏，对刚刚发生的事情感到高兴。</v>
      </c>
    </row>
    <row r="29219">
      <c r="A29219" s="4" t="s">
        <v>36791</v>
      </c>
      <c r="B29219" s="6" t="s">
        <v>36795</v>
      </c>
      <c r="C29219" s="5" t="str">
        <f>IFERROR(__xludf.DUMMYFUNCTION("GOOGLETRANSLATE(B29219,""en"",""zh-CN"")"),"另一只公牛来了，撞到一个人，这个人留在地上，一群人奔向他，在他的身体上铺上毯子。")</f>
        <v>另一只公牛来了，撞到一个人，这个人留在地上，一群人奔向他，在他的身体上铺上毯子。</v>
      </c>
    </row>
    <row r="29220">
      <c r="A29220" s="4" t="s">
        <v>36796</v>
      </c>
      <c r="B29220" s="6" t="s">
        <v>36797</v>
      </c>
      <c r="C29220" s="5" t="str">
        <f>IFERROR(__xludf.DUMMYFUNCTION("GOOGLETRANSLATE(B29220,""en"",""zh-CN"")"),"看到一个小男孩与他人说话，同时将芭蕾舞鞋包裹在他周围并越过别人。")</f>
        <v>看到一个小男孩与他人说话，同时将芭蕾舞鞋包裹在他周围并越过别人。</v>
      </c>
    </row>
    <row r="29221">
      <c r="A29221" s="4" t="s">
        <v>36796</v>
      </c>
      <c r="B29221" s="4" t="s">
        <v>36798</v>
      </c>
      <c r="C29221" s="5" t="str">
        <f>IFERROR(__xludf.DUMMYFUNCTION("GOOGLETRANSLATE(B29221,""en"",""zh-CN"")"),"然后，该男子进入芭蕾舞课，并与舞者互动，并通过喝啤酒结束。")</f>
        <v>然后，该男子进入芭蕾舞课，并与舞者互动，并通过喝啤酒结束。</v>
      </c>
    </row>
    <row r="29222">
      <c r="A29222" s="4" t="s">
        <v>36799</v>
      </c>
      <c r="B29222" s="4" t="s">
        <v>36800</v>
      </c>
      <c r="C29222" s="5" t="str">
        <f>IFERROR(__xludf.DUMMYFUNCTION("GOOGLETRANSLATE(B29222,""en"",""zh-CN"")"),"一个女士和一个年轻的女孩在圣诞树的房间里。")</f>
        <v>一个女士和一个年轻的女孩在圣诞树的房间里。</v>
      </c>
    </row>
    <row r="29223">
      <c r="A29223" s="4" t="s">
        <v>36799</v>
      </c>
      <c r="B29223" s="4" t="s">
        <v>36801</v>
      </c>
      <c r="C29223" s="5" t="str">
        <f>IFERROR(__xludf.DUMMYFUNCTION("GOOGLETRANSLATE(B29223,""en"",""zh-CN"")"),"灯在树上打开了灯，小女孩在它的前面跳舞。")</f>
        <v>灯在树上打开了灯，小女孩在它的前面跳舞。</v>
      </c>
    </row>
    <row r="29224">
      <c r="A29224" s="4" t="s">
        <v>36799</v>
      </c>
      <c r="B29224" s="4" t="s">
        <v>36802</v>
      </c>
      <c r="C29224" s="5" t="str">
        <f>IFERROR(__xludf.DUMMYFUNCTION("GOOGLETRANSLATE(B29224,""en"",""zh-CN"")"),"一个小男孩玩耍并把装饰品从树上取出，并将它们展示到相机上。")</f>
        <v>一个小男孩玩耍并把装饰品从树上取出，并将它们展示到相机上。</v>
      </c>
    </row>
    <row r="29225">
      <c r="A29225" s="4" t="s">
        <v>36799</v>
      </c>
      <c r="B29225" s="4" t="s">
        <v>36803</v>
      </c>
      <c r="C29225" s="5" t="str">
        <f>IFERROR(__xludf.DUMMYFUNCTION("GOOGLETRANSLATE(B29225,""en"",""zh-CN"")"),"该男子将其拿到相机上，然后将其放回原处。")</f>
        <v>该男子将其拿到相机上，然后将其放回原处。</v>
      </c>
    </row>
    <row r="29226">
      <c r="A29226" s="4" t="s">
        <v>36804</v>
      </c>
      <c r="B29226" s="4" t="s">
        <v>36805</v>
      </c>
      <c r="C29226" s="5" t="str">
        <f>IFERROR(__xludf.DUMMYFUNCTION("GOOGLETRANSLATE(B29226,""en"",""zh-CN"")"),"看到一个女孩在地板上的相机上说话。")</f>
        <v>看到一个女孩在地板上的相机上说话。</v>
      </c>
    </row>
    <row r="29227">
      <c r="A29227" s="4" t="s">
        <v>36804</v>
      </c>
      <c r="B29227" s="4" t="s">
        <v>36806</v>
      </c>
      <c r="C29227" s="5" t="str">
        <f>IFERROR(__xludf.DUMMYFUNCTION("GOOGLETRANSLATE(B29227,""en"",""zh-CN"")"),"看到另一个女人坐在摇摆着镜头的秋千上。")</f>
        <v>看到另一个女人坐在摇摆着镜头的秋千上。</v>
      </c>
    </row>
    <row r="29228">
      <c r="A29228" s="4" t="s">
        <v>36804</v>
      </c>
      <c r="B29228" s="4" t="s">
        <v>36807</v>
      </c>
      <c r="C29228" s="5" t="str">
        <f>IFERROR(__xludf.DUMMYFUNCTION("GOOGLETRANSLATE(B29228,""en"",""zh-CN"")"),"那个女人低头看着她的手，向后摇摆。")</f>
        <v>那个女人低头看着她的手，向后摇摆。</v>
      </c>
    </row>
    <row r="29229">
      <c r="A29229" s="4" t="s">
        <v>36808</v>
      </c>
      <c r="B29229" s="4" t="s">
        <v>36809</v>
      </c>
      <c r="C29229" s="5" t="str">
        <f>IFERROR(__xludf.DUMMYFUNCTION("GOOGLETRANSLATE(B29229,""en"",""zh-CN"")"),"穿着西装的男人正在弹钢琴。")</f>
        <v>穿着西装的男人正在弹钢琴。</v>
      </c>
    </row>
    <row r="29230">
      <c r="A29230" s="4" t="s">
        <v>36808</v>
      </c>
      <c r="B29230" s="4" t="s">
        <v>36810</v>
      </c>
      <c r="C29230" s="5" t="str">
        <f>IFERROR(__xludf.DUMMYFUNCTION("GOOGLETRANSLATE(B29230,""en"",""zh-CN"")"),"观众站起来为他鼓掌。")</f>
        <v>观众站起来为他鼓掌。</v>
      </c>
    </row>
    <row r="29231">
      <c r="A29231" s="4" t="s">
        <v>36808</v>
      </c>
      <c r="B29231" s="4" t="s">
        <v>36811</v>
      </c>
      <c r="C29231" s="5" t="str">
        <f>IFERROR(__xludf.DUMMYFUNCTION("GOOGLETRANSLATE(B29231,""en"",""zh-CN"")"),"人们在舞台上拥抱和混合。")</f>
        <v>人们在舞台上拥抱和混合。</v>
      </c>
    </row>
    <row r="29232">
      <c r="A29232" s="4" t="s">
        <v>36812</v>
      </c>
      <c r="B29232" s="4" t="s">
        <v>36813</v>
      </c>
      <c r="C29232" s="5" t="str">
        <f>IFERROR(__xludf.DUMMYFUNCTION("GOOGLETRANSLATE(B29232,""en"",""zh-CN"")"),"一小群人在碰到彼此的同时，在碰碰车上骑行。")</f>
        <v>一小群人在碰到彼此的同时，在碰碰车上骑行。</v>
      </c>
    </row>
    <row r="29233">
      <c r="A29233" s="4" t="s">
        <v>36812</v>
      </c>
      <c r="B29233" s="6" t="s">
        <v>36814</v>
      </c>
      <c r="C29233" s="5" t="str">
        <f>IFERROR(__xludf.DUMMYFUNCTION("GOOGLETRANSLATE(B29233,""en"",""zh-CN"")"),"当一个男人走进进出框架时，孩子们继续开车，确保孩子和父母安全。")</f>
        <v>当一个男人走进进出框架时，孩子们继续开车，确保孩子和父母安全。</v>
      </c>
    </row>
    <row r="29234">
      <c r="A29234" s="4" t="s">
        <v>36815</v>
      </c>
      <c r="B29234" s="4" t="s">
        <v>36816</v>
      </c>
      <c r="C29234" s="5" t="str">
        <f>IFERROR(__xludf.DUMMYFUNCTION("GOOGLETRANSLATE(B29234,""en"",""zh-CN"")"),"看到一个户外花园，一位穿着T恤的人站在里面拿着一双透明的人。")</f>
        <v>看到一个户外花园，一位穿着T恤的人站在里面拿着一双透明的人。</v>
      </c>
    </row>
    <row r="29235">
      <c r="A29235" s="4" t="s">
        <v>36815</v>
      </c>
      <c r="B29235" s="4" t="s">
        <v>36817</v>
      </c>
      <c r="C29235" s="5" t="str">
        <f>IFERROR(__xludf.DUMMYFUNCTION("GOOGLETRANSLATE(B29235,""en"",""zh-CN"")"),"在整个花园中都可以看到梅隆。")</f>
        <v>在整个花园中都可以看到梅隆。</v>
      </c>
    </row>
    <row r="29236">
      <c r="A29236" s="4" t="s">
        <v>36815</v>
      </c>
      <c r="B29236" s="6" t="s">
        <v>36818</v>
      </c>
      <c r="C29236" s="5" t="str">
        <f>IFERROR(__xludf.DUMMYFUNCTION("GOOGLETRANSLATE(B29236,""en"",""zh-CN"")"),"该男子指着瓜子靠在墙上，开始用透明的将它们扔到一边修剪它们。")</f>
        <v>该男子指着瓜子靠在墙上，开始用透明的将它们扔到一边修剪它们。</v>
      </c>
    </row>
    <row r="29237">
      <c r="A29237" s="4" t="s">
        <v>36815</v>
      </c>
      <c r="B29237" s="6" t="s">
        <v>36819</v>
      </c>
      <c r="C29237" s="5" t="str">
        <f>IFERROR(__xludf.DUMMYFUNCTION("GOOGLETRANSLATE(B29237,""en"",""zh-CN"")"),"该男子走到瓜植物的外边缘，一只手捡起大葡萄藤，然后用另一只手修剪叶子。")</f>
        <v>该男子走到瓜植物的外边缘，一只手捡起大葡萄藤，然后用另一只手修剪叶子。</v>
      </c>
    </row>
    <row r="29238">
      <c r="A29238" s="4" t="s">
        <v>36815</v>
      </c>
      <c r="B29238" s="4" t="s">
        <v>36820</v>
      </c>
      <c r="C29238" s="5" t="str">
        <f>IFERROR(__xludf.DUMMYFUNCTION("GOOGLETRANSLATE(B29238,""en"",""zh-CN"")"),"该男子用双手在浪费中进行圆形运动，以表现出大小。")</f>
        <v>该男子用双手在浪费中进行圆形运动，以表现出大小。</v>
      </c>
    </row>
    <row r="29239">
      <c r="A29239" s="4" t="s">
        <v>36815</v>
      </c>
      <c r="B29239" s="4" t="s">
        <v>36821</v>
      </c>
      <c r="C29239" s="5" t="str">
        <f>IFERROR(__xludf.DUMMYFUNCTION("GOOGLETRANSLATE(B29239,""en"",""zh-CN"")"),"可以看到一个花园网站。")</f>
        <v>可以看到一个花园网站。</v>
      </c>
    </row>
    <row r="29240">
      <c r="A29240" s="4" t="s">
        <v>36822</v>
      </c>
      <c r="B29240" s="4" t="s">
        <v>36823</v>
      </c>
      <c r="C29240" s="5" t="str">
        <f>IFERROR(__xludf.DUMMYFUNCTION("GOOGLETRANSLATE(B29240,""en"",""zh-CN"")"),"一块彩绘的建筑纸坐在桌子上，还有一堆物品。")</f>
        <v>一块彩绘的建筑纸坐在桌子上，还有一堆物品。</v>
      </c>
    </row>
    <row r="29241">
      <c r="A29241" s="4" t="s">
        <v>36822</v>
      </c>
      <c r="B29241" s="4" t="s">
        <v>36824</v>
      </c>
      <c r="C29241" s="5" t="str">
        <f>IFERROR(__xludf.DUMMYFUNCTION("GOOGLETRANSLATE(B29241,""en"",""zh-CN"")"),"我的人剪了一张建筑纸。")</f>
        <v>我的人剪了一张建筑纸。</v>
      </c>
    </row>
    <row r="29242">
      <c r="A29242" s="4" t="s">
        <v>36822</v>
      </c>
      <c r="B29242" s="4" t="s">
        <v>36825</v>
      </c>
      <c r="C29242" s="5" t="str">
        <f>IFERROR(__xludf.DUMMYFUNCTION("GOOGLETRANSLATE(B29242,""en"",""zh-CN"")"),"设计在用标记的纸上绘制。")</f>
        <v>设计在用标记的纸上绘制。</v>
      </c>
    </row>
    <row r="29243">
      <c r="A29243" s="4" t="s">
        <v>36822</v>
      </c>
      <c r="B29243" s="6" t="s">
        <v>36826</v>
      </c>
      <c r="C29243" s="5" t="str">
        <f>IFERROR(__xludf.DUMMYFUNCTION("GOOGLETRANSLATE(B29243,""en"",""zh-CN"")"),"将施工纸折叠在一件物品上，一块胶带将构造纸固定在中间。")</f>
        <v>将施工纸折叠在一件物品上，一块胶带将构造纸固定在中间。</v>
      </c>
    </row>
    <row r="29244">
      <c r="A29244" s="4" t="s">
        <v>36822</v>
      </c>
      <c r="B29244" s="6" t="s">
        <v>36827</v>
      </c>
      <c r="C29244" s="5" t="str">
        <f>IFERROR(__xludf.DUMMYFUNCTION("GOOGLETRANSLATE(B29244,""en"",""zh-CN"")"),"拐角像现在一样折叠，胶带的圆锥形用于固定包装的折叠端。")</f>
        <v>拐角像现在一样折叠，胶带的圆锥形用于固定包装的折叠端。</v>
      </c>
    </row>
    <row r="29245">
      <c r="A29245" s="4" t="s">
        <v>36822</v>
      </c>
      <c r="B29245" s="4" t="s">
        <v>36828</v>
      </c>
      <c r="C29245" s="5" t="str">
        <f>IFERROR(__xludf.DUMMYFUNCTION("GOOGLETRANSLATE(B29245,""en"",""zh-CN"")"),"丝带在包装下滑动并绑在弓上。")</f>
        <v>丝带在包装下滑动并绑在弓上。</v>
      </c>
    </row>
    <row r="29246">
      <c r="A29246" s="4" t="s">
        <v>36829</v>
      </c>
      <c r="B29246" s="4" t="s">
        <v>36830</v>
      </c>
      <c r="C29246" s="5" t="str">
        <f>IFERROR(__xludf.DUMMYFUNCTION("GOOGLETRANSLATE(B29246,""en"",""zh-CN"")"),"一群人在健身房打躲避球。")</f>
        <v>一群人在健身房打躲避球。</v>
      </c>
    </row>
    <row r="29247">
      <c r="A29247" s="4" t="s">
        <v>36829</v>
      </c>
      <c r="B29247" s="4" t="s">
        <v>36831</v>
      </c>
      <c r="C29247" s="5" t="str">
        <f>IFERROR(__xludf.DUMMYFUNCTION("GOOGLETRANSLATE(B29247,""en"",""zh-CN"")"),"屏幕上出现徽标。")</f>
        <v>屏幕上出现徽标。</v>
      </c>
    </row>
    <row r="29248">
      <c r="A29248" s="4" t="s">
        <v>36829</v>
      </c>
      <c r="B29248" s="4" t="s">
        <v>36832</v>
      </c>
      <c r="C29248" s="5" t="str">
        <f>IFERROR(__xludf.DUMMYFUNCTION("GOOGLETRANSLATE(B29248,""en"",""zh-CN"")"),"当人们在他身后打躲避球时，一个男人正在和镜头说话。")</f>
        <v>当人们在他身后打躲避球时，一个男人正在和镜头说话。</v>
      </c>
    </row>
    <row r="29249">
      <c r="A29249" s="4" t="s">
        <v>36829</v>
      </c>
      <c r="B29249" s="4" t="s">
        <v>36833</v>
      </c>
      <c r="C29249" s="5" t="str">
        <f>IFERROR(__xludf.DUMMYFUNCTION("GOOGLETRANSLATE(B29249,""en"",""zh-CN"")"),"男人和球员展示了躲避球的技术。")</f>
        <v>男人和球员展示了躲避球的技术。</v>
      </c>
    </row>
    <row r="29250">
      <c r="A29250" s="4" t="s">
        <v>36829</v>
      </c>
      <c r="B29250" s="4" t="s">
        <v>36834</v>
      </c>
      <c r="C29250" s="5" t="str">
        <f>IFERROR(__xludf.DUMMYFUNCTION("GOOGLETRANSLATE(B29250,""en"",""zh-CN"")"),"标题定期出现在屏幕上，以解释道奇球。")</f>
        <v>标题定期出现在屏幕上，以解释道奇球。</v>
      </c>
    </row>
    <row r="29251">
      <c r="A29251" s="4" t="s">
        <v>36835</v>
      </c>
      <c r="B29251" s="6" t="s">
        <v>36836</v>
      </c>
      <c r="C29251" s="5" t="str">
        <f>IFERROR(__xludf.DUMMYFUNCTION("GOOGLETRANSLATE(B29251,""en"",""zh-CN"")"),"有一个穿着绿色衬衫的男人说话，并被另一个穿着黑色外套和灰色裤子的男人采访。")</f>
        <v>有一个穿着绿色衬衫的男人说话，并被另一个穿着黑色外套和灰色裤子的男人采访。</v>
      </c>
    </row>
    <row r="29252">
      <c r="A29252" s="4" t="s">
        <v>36835</v>
      </c>
      <c r="B29252" s="4" t="s">
        <v>36837</v>
      </c>
      <c r="C29252" s="5" t="str">
        <f>IFERROR(__xludf.DUMMYFUNCTION("GOOGLETRANSLATE(B29252,""en"",""zh-CN"")"),"他们坐在带有木地板的大房间的椅子上。")</f>
        <v>他们坐在带有木地板的大房间的椅子上。</v>
      </c>
    </row>
    <row r="29253">
      <c r="A29253" s="4" t="s">
        <v>36835</v>
      </c>
      <c r="B29253" s="4" t="s">
        <v>36838</v>
      </c>
      <c r="C29253" s="5" t="str">
        <f>IFERROR(__xludf.DUMMYFUNCTION("GOOGLETRANSLATE(B29253,""en"",""zh-CN"")"),"显示了Valqueire网球俱乐部的入口。")</f>
        <v>显示了Valqueire网球俱乐部的入口。</v>
      </c>
    </row>
    <row r="29254">
      <c r="A29254" s="4" t="s">
        <v>36835</v>
      </c>
      <c r="B29254" s="4" t="s">
        <v>36839</v>
      </c>
      <c r="C29254" s="5" t="str">
        <f>IFERROR(__xludf.DUMMYFUNCTION("GOOGLETRANSLATE(B29254,""en"",""zh-CN"")"),"还显示了正在接受采访的人的身份证。")</f>
        <v>还显示了正在接受采访的人的身份证。</v>
      </c>
    </row>
    <row r="29255">
      <c r="A29255" s="4" t="s">
        <v>36835</v>
      </c>
      <c r="B29255" s="4" t="s">
        <v>36840</v>
      </c>
      <c r="C29255" s="5" t="str">
        <f>IFERROR(__xludf.DUMMYFUNCTION("GOOGLETRANSLATE(B29255,""en"",""zh-CN"")"),"绿色的那个人继续与面试官谈论足球。")</f>
        <v>绿色的那个人继续与面试官谈论足球。</v>
      </c>
    </row>
    <row r="29256">
      <c r="A29256" s="4" t="s">
        <v>36835</v>
      </c>
      <c r="B29256" s="4" t="s">
        <v>36841</v>
      </c>
      <c r="C29256" s="5" t="str">
        <f>IFERROR(__xludf.DUMMYFUNCTION("GOOGLETRANSLATE(B29256,""en"",""zh-CN"")"),"展示了巴西与委内瑞拉足球比赛。")</f>
        <v>展示了巴西与委内瑞拉足球比赛。</v>
      </c>
    </row>
    <row r="29257">
      <c r="A29257" s="4" t="s">
        <v>36835</v>
      </c>
      <c r="B29257" s="6" t="s">
        <v>36842</v>
      </c>
      <c r="C29257" s="5" t="str">
        <f>IFERROR(__xludf.DUMMYFUNCTION("GOOGLETRANSLATE(B29257,""en"",""zh-CN"")"),"绿色的男子谈到了与足球比赛有关的报纸文章，显示了足球比赛的片段。")</f>
        <v>绿色的男子谈到了与足球比赛有关的报纸文章，显示了足球比赛的片段。</v>
      </c>
    </row>
    <row r="29258">
      <c r="A29258" s="4" t="s">
        <v>36843</v>
      </c>
      <c r="B29258" s="6" t="s">
        <v>36844</v>
      </c>
      <c r="C29258" s="5" t="str">
        <f>IFERROR(__xludf.DUMMYFUNCTION("GOOGLETRANSLATE(B29258,""en"",""zh-CN"")"),"看到两个人站在彼此旁边，在相机上说话，并互相表演舞蹈。")</f>
        <v>看到两个人站在彼此旁边，在相机上说话，并互相表演舞蹈。</v>
      </c>
    </row>
    <row r="29259">
      <c r="A29259" s="4" t="s">
        <v>36843</v>
      </c>
      <c r="B29259" s="6" t="s">
        <v>36845</v>
      </c>
      <c r="C29259" s="5" t="str">
        <f>IFERROR(__xludf.DUMMYFUNCTION("GOOGLETRANSLATE(B29259,""en"",""zh-CN"")"),"人们继续在道路的侧面跳舞，并以摆姿势和笑声结束。")</f>
        <v>人们继续在道路的侧面跳舞，并以摆姿势和笑声结束。</v>
      </c>
    </row>
    <row r="29260">
      <c r="A29260" s="4" t="s">
        <v>36846</v>
      </c>
      <c r="B29260" s="4" t="s">
        <v>36847</v>
      </c>
      <c r="C29260" s="5" t="str">
        <f>IFERROR(__xludf.DUMMYFUNCTION("GOOGLETRANSLATE(B29260,""en"",""zh-CN"")"),"一个穿着白衬衫的男人在说话。")</f>
        <v>一个穿着白衬衫的男人在说话。</v>
      </c>
    </row>
    <row r="29261">
      <c r="A29261" s="4" t="s">
        <v>36846</v>
      </c>
      <c r="B29261" s="4" t="s">
        <v>36848</v>
      </c>
      <c r="C29261" s="5" t="str">
        <f>IFERROR(__xludf.DUMMYFUNCTION("GOOGLETRANSLATE(B29261,""en"",""zh-CN"")"),"在草地上设置了弓箭。")</f>
        <v>在草地上设置了弓箭。</v>
      </c>
    </row>
    <row r="29262">
      <c r="A29262" s="4" t="s">
        <v>36846</v>
      </c>
      <c r="B29262" s="4" t="s">
        <v>36849</v>
      </c>
      <c r="C29262" s="5" t="str">
        <f>IFERROR(__xludf.DUMMYFUNCTION("GOOGLETRANSLATE(B29262,""en"",""zh-CN"")"),"一个人在水中射出弓箭。")</f>
        <v>一个人在水中射出弓箭。</v>
      </c>
    </row>
    <row r="29263">
      <c r="A29263" s="4" t="s">
        <v>36850</v>
      </c>
      <c r="B29263" s="4" t="s">
        <v>36851</v>
      </c>
      <c r="C29263" s="5" t="str">
        <f>IFERROR(__xludf.DUMMYFUNCTION("GOOGLETRANSLATE(B29263,""en"",""zh-CN"")"),"将一只手放入刷子中，然后将头发移动到堆积并用另一只手进行泡沫。")</f>
        <v>将一只手放入刷子中，然后将头发移动到堆积并用另一只手进行泡沫。</v>
      </c>
    </row>
    <row r="29264">
      <c r="A29264" s="4" t="s">
        <v>36850</v>
      </c>
      <c r="B29264" s="4" t="s">
        <v>36852</v>
      </c>
      <c r="C29264" s="5" t="str">
        <f>IFERROR(__xludf.DUMMYFUNCTION("GOOGLETRANSLATE(B29264,""en"",""zh-CN"")"),"中间部分完成，马在被砍倒时静止不动。")</f>
        <v>中间部分完成，马在被砍倒时静止不动。</v>
      </c>
    </row>
    <row r="29265">
      <c r="A29265" s="4" t="s">
        <v>36850</v>
      </c>
      <c r="B29265" s="6" t="s">
        <v>36853</v>
      </c>
      <c r="C29265" s="5" t="str">
        <f>IFERROR(__xludf.DUMMYFUNCTION("GOOGLETRANSLATE(B29265,""en"",""zh-CN"")"),"现在，中间已经完成，人移到马后部，直到马的所有身体被砍倒为止。")</f>
        <v>现在，中间已经完成，人移到马后部，直到马的所有身体被砍倒为止。</v>
      </c>
    </row>
    <row r="29266">
      <c r="A29266" s="4" t="s">
        <v>36854</v>
      </c>
      <c r="B29266" s="4" t="s">
        <v>36855</v>
      </c>
      <c r="C29266" s="5" t="str">
        <f>IFERROR(__xludf.DUMMYFUNCTION("GOOGLETRANSLATE(B29266,""en"",""zh-CN"")"),"一个人坐在牛仔裤和T恤上坐在米色沙发上时弹吉他。")</f>
        <v>一个人坐在牛仔裤和T恤上坐在米色沙发上时弹吉他。</v>
      </c>
    </row>
    <row r="29267">
      <c r="A29267" s="4" t="s">
        <v>36854</v>
      </c>
      <c r="B29267" s="6" t="s">
        <v>36856</v>
      </c>
      <c r="C29267" s="5" t="str">
        <f>IFERROR(__xludf.DUMMYFUNCTION("GOOGLETRANSLATE(B29267,""en"",""zh-CN"")"),"展示了一个房间，上面有一把原声吉他，上面有米色沙发，沙发前有一块石头艺术品，里面有岩石。")</f>
        <v>展示了一个房间，上面有一把原声吉他，上面有米色沙发，沙发前有一块石头艺术品，里面有岩石。</v>
      </c>
    </row>
    <row r="29268">
      <c r="A29268" s="4" t="s">
        <v>36854</v>
      </c>
      <c r="B29268" s="4" t="s">
        <v>36857</v>
      </c>
      <c r="C29268" s="5" t="str">
        <f>IFERROR(__xludf.DUMMYFUNCTION("GOOGLETRANSLATE(B29268,""en"",""zh-CN"")"),"一个人面对看不见的人接近沙发，拿起吉他。")</f>
        <v>一个人面对看不见的人接近沙发，拿起吉他。</v>
      </c>
    </row>
    <row r="29269">
      <c r="A29269" s="4" t="s">
        <v>36854</v>
      </c>
      <c r="B29269" s="6" t="s">
        <v>36858</v>
      </c>
      <c r="C29269" s="5" t="str">
        <f>IFERROR(__xludf.DUMMYFUNCTION("GOOGLETRANSLATE(B29269,""en"",""zh-CN"")"),"然后，该人坐下来弹奏原声吉他，脖子上有一个帽子，直到场景逐渐消失为西班牙字幕。")</f>
        <v>然后，该人坐下来弹奏原声吉他，脖子上有一个帽子，直到场景逐渐消失为西班牙字幕。</v>
      </c>
    </row>
    <row r="29270">
      <c r="A29270" s="4" t="s">
        <v>36859</v>
      </c>
      <c r="B29270" s="6" t="s">
        <v>36860</v>
      </c>
      <c r="C29270" s="5" t="str">
        <f>IFERROR(__xludf.DUMMYFUNCTION("GOOGLETRANSLATE(B29270,""en"",""zh-CN"")"),"有一个男人在他的厨房里使用一升百事可乐瓶中的科学实验，里面装满了泡沫。")</f>
        <v>有一个男人在他的厨房里使用一升百事可乐瓶中的科学实验，里面装满了泡沫。</v>
      </c>
    </row>
    <row r="29271">
      <c r="A29271" s="4" t="s">
        <v>36859</v>
      </c>
      <c r="B29271" s="4" t="s">
        <v>36861</v>
      </c>
      <c r="C29271" s="5" t="str">
        <f>IFERROR(__xludf.DUMMYFUNCTION("GOOGLETRANSLATE(B29271,""en"",""zh-CN"")"),"一个男孩躺在地板上，双腿伸向橱柜。")</f>
        <v>一个男孩躺在地板上，双腿伸向橱柜。</v>
      </c>
    </row>
    <row r="29272">
      <c r="A29272" s="4" t="s">
        <v>36859</v>
      </c>
      <c r="B29272" s="4" t="s">
        <v>36862</v>
      </c>
      <c r="C29272" s="5" t="str">
        <f>IFERROR(__xludf.DUMMYFUNCTION("GOOGLETRANSLATE(B29272,""en"",""zh-CN"")"),"该男子一只手握住软管，并同时将空气吹入瓶子。")</f>
        <v>该男子一只手握住软管，并同时将空气吹入瓶子。</v>
      </c>
    </row>
    <row r="29273">
      <c r="A29273" s="4" t="s">
        <v>36859</v>
      </c>
      <c r="B29273" s="4" t="s">
        <v>36863</v>
      </c>
      <c r="C29273" s="5" t="str">
        <f>IFERROR(__xludf.DUMMYFUNCTION("GOOGLETRANSLATE(B29273,""en"",""zh-CN"")"),"然后，他将巨大的泡沫从瓶子掉到了男孩的脸上。")</f>
        <v>然后，他将巨大的泡沫从瓶子掉到了男孩的脸上。</v>
      </c>
    </row>
    <row r="29274">
      <c r="A29274" s="4" t="s">
        <v>36864</v>
      </c>
      <c r="B29274" s="4" t="s">
        <v>36865</v>
      </c>
      <c r="C29274" s="5" t="str">
        <f>IFERROR(__xludf.DUMMYFUNCTION("GOOGLETRANSLATE(B29274,""en"",""zh-CN"")"),"网址显示在幻灯片上。")</f>
        <v>网址显示在幻灯片上。</v>
      </c>
    </row>
    <row r="29275">
      <c r="A29275" s="4" t="s">
        <v>36864</v>
      </c>
      <c r="B29275" s="4" t="s">
        <v>36866</v>
      </c>
      <c r="C29275" s="5" t="str">
        <f>IFERROR(__xludf.DUMMYFUNCTION("GOOGLETRANSLATE(B29275,""en"",""zh-CN"")"),"显示了防晒霜的名称。")</f>
        <v>显示了防晒霜的名称。</v>
      </c>
    </row>
    <row r="29276">
      <c r="A29276" s="4" t="s">
        <v>36864</v>
      </c>
      <c r="B29276" s="4" t="s">
        <v>36867</v>
      </c>
      <c r="C29276" s="5" t="str">
        <f>IFERROR(__xludf.DUMMYFUNCTION("GOOGLETRANSLATE(B29276,""en"",""zh-CN"")"),"显示了防晒霜。")</f>
        <v>显示了防晒霜。</v>
      </c>
    </row>
    <row r="29277">
      <c r="A29277" s="4" t="s">
        <v>36864</v>
      </c>
      <c r="B29277" s="4" t="s">
        <v>36868</v>
      </c>
      <c r="C29277" s="5" t="str">
        <f>IFERROR(__xludf.DUMMYFUNCTION("GOOGLETRANSLATE(B29277,""en"",""zh-CN"")"),"显示了防晒霜的价格。")</f>
        <v>显示了防晒霜的价格。</v>
      </c>
    </row>
    <row r="29278">
      <c r="A29278" s="4" t="s">
        <v>36864</v>
      </c>
      <c r="B29278" s="4" t="s">
        <v>36869</v>
      </c>
      <c r="C29278" s="5" t="str">
        <f>IFERROR(__xludf.DUMMYFUNCTION("GOOGLETRANSLATE(B29278,""en"",""zh-CN"")"),"提出了防晒霜。")</f>
        <v>提出了防晒霜。</v>
      </c>
    </row>
    <row r="29279">
      <c r="A29279" s="4" t="s">
        <v>36864</v>
      </c>
      <c r="B29279" s="4" t="s">
        <v>36870</v>
      </c>
      <c r="C29279" s="5" t="str">
        <f>IFERROR(__xludf.DUMMYFUNCTION("GOOGLETRANSLATE(B29279,""en"",""zh-CN"")"),"显示了信息指南。")</f>
        <v>显示了信息指南。</v>
      </c>
    </row>
    <row r="29280">
      <c r="A29280" s="4" t="s">
        <v>36871</v>
      </c>
      <c r="B29280" s="4" t="s">
        <v>36872</v>
      </c>
      <c r="C29280" s="5" t="str">
        <f>IFERROR(__xludf.DUMMYFUNCTION("GOOGLETRANSLATE(B29280,""en"",""zh-CN"")"),"标题在屏幕上。")</f>
        <v>标题在屏幕上。</v>
      </c>
    </row>
    <row r="29281">
      <c r="A29281" s="4" t="s">
        <v>36871</v>
      </c>
      <c r="B29281" s="4" t="s">
        <v>36873</v>
      </c>
      <c r="C29281" s="5" t="str">
        <f>IFERROR(__xludf.DUMMYFUNCTION("GOOGLETRANSLATE(B29281,""en"",""zh-CN"")"),"屏幕切换到解释他的艺术的男人。")</f>
        <v>屏幕切换到解释他的艺术的男人。</v>
      </c>
    </row>
    <row r="29282">
      <c r="A29282" s="4" t="s">
        <v>36871</v>
      </c>
      <c r="B29282" s="4" t="s">
        <v>36874</v>
      </c>
      <c r="C29282" s="5" t="str">
        <f>IFERROR(__xludf.DUMMYFUNCTION("GOOGLETRANSLATE(B29282,""en"",""zh-CN"")"),"我们看到男人的艺术品。")</f>
        <v>我们看到男人的艺术品。</v>
      </c>
    </row>
    <row r="29283">
      <c r="A29283" s="4" t="s">
        <v>36871</v>
      </c>
      <c r="B29283" s="4" t="s">
        <v>36875</v>
      </c>
      <c r="C29283" s="5" t="str">
        <f>IFERROR(__xludf.DUMMYFUNCTION("GOOGLETRANSLATE(B29283,""en"",""zh-CN"")"),"我们看到男人再次说话。")</f>
        <v>我们看到男人再次说话。</v>
      </c>
    </row>
    <row r="29284">
      <c r="A29284" s="4" t="s">
        <v>36871</v>
      </c>
      <c r="B29284" s="4" t="s">
        <v>36876</v>
      </c>
      <c r="C29284" s="5" t="str">
        <f>IFERROR(__xludf.DUMMYFUNCTION("GOOGLETRANSLATE(B29284,""en"",""zh-CN"")"),"他在刷子上抓住油漆。")</f>
        <v>他在刷子上抓住油漆。</v>
      </c>
    </row>
    <row r="29285">
      <c r="A29285" s="4" t="s">
        <v>36871</v>
      </c>
      <c r="B29285" s="4" t="s">
        <v>36877</v>
      </c>
      <c r="C29285" s="5" t="str">
        <f>IFERROR(__xludf.DUMMYFUNCTION("GOOGLETRANSLATE(B29285,""en"",""zh-CN"")"),"他讨论了他的绘画技巧。")</f>
        <v>他讨论了他的绘画技巧。</v>
      </c>
    </row>
    <row r="29286">
      <c r="A29286" s="4" t="s">
        <v>36871</v>
      </c>
      <c r="B29286" s="4" t="s">
        <v>36878</v>
      </c>
      <c r="C29286" s="5" t="str">
        <f>IFERROR(__xludf.DUMMYFUNCTION("GOOGLETRANSLATE(B29286,""en"",""zh-CN"")"),"他正在艺术上画画。")</f>
        <v>他正在艺术上画画。</v>
      </c>
    </row>
    <row r="29287">
      <c r="A29287" s="4" t="s">
        <v>36871</v>
      </c>
      <c r="B29287" s="4" t="s">
        <v>36879</v>
      </c>
      <c r="C29287" s="5" t="str">
        <f>IFERROR(__xludf.DUMMYFUNCTION("GOOGLETRANSLATE(B29287,""en"",""zh-CN"")"),"他在纸上清洗刷子。")</f>
        <v>他在纸上清洗刷子。</v>
      </c>
    </row>
    <row r="29288">
      <c r="A29288" s="4" t="s">
        <v>36871</v>
      </c>
      <c r="B29288" s="4" t="s">
        <v>36880</v>
      </c>
      <c r="C29288" s="5" t="str">
        <f>IFERROR(__xludf.DUMMYFUNCTION("GOOGLETRANSLATE(B29288,""en"",""zh-CN"")"),"他在刷子中添加了更多油漆。")</f>
        <v>他在刷子中添加了更多油漆。</v>
      </c>
    </row>
    <row r="29289">
      <c r="A29289" s="4" t="s">
        <v>36871</v>
      </c>
      <c r="B29289" s="4" t="s">
        <v>36881</v>
      </c>
      <c r="C29289" s="5" t="str">
        <f>IFERROR(__xludf.DUMMYFUNCTION("GOOGLETRANSLATE(B29289,""en"",""zh-CN"")"),"他再次在艺术上画画。")</f>
        <v>他再次在艺术上画画。</v>
      </c>
    </row>
    <row r="29290">
      <c r="A29290" s="4" t="s">
        <v>36871</v>
      </c>
      <c r="B29290" s="4" t="s">
        <v>36882</v>
      </c>
      <c r="C29290" s="5" t="str">
        <f>IFERROR(__xludf.DUMMYFUNCTION("GOOGLETRANSLATE(B29290,""en"",""zh-CN"")"),"他再次在纸上清洗刷子。")</f>
        <v>他再次在纸上清洗刷子。</v>
      </c>
    </row>
    <row r="29291">
      <c r="A29291" s="4" t="s">
        <v>36871</v>
      </c>
      <c r="B29291" s="4" t="s">
        <v>36883</v>
      </c>
      <c r="C29291" s="5" t="str">
        <f>IFERROR(__xludf.DUMMYFUNCTION("GOOGLETRANSLATE(B29291,""en"",""zh-CN"")"),"他在刷子中添加了白色油漆。")</f>
        <v>他在刷子中添加了白色油漆。</v>
      </c>
    </row>
    <row r="29292">
      <c r="A29292" s="4" t="s">
        <v>36871</v>
      </c>
      <c r="B29292" s="4" t="s">
        <v>36884</v>
      </c>
      <c r="C29292" s="5" t="str">
        <f>IFERROR(__xludf.DUMMYFUNCTION("GOOGLETRANSLATE(B29292,""en"",""zh-CN"")"),"他在艺术品上画白色。")</f>
        <v>他在艺术品上画白色。</v>
      </c>
    </row>
    <row r="29293">
      <c r="A29293" s="4" t="s">
        <v>36871</v>
      </c>
      <c r="B29293" s="4" t="s">
        <v>36885</v>
      </c>
      <c r="C29293" s="5" t="str">
        <f>IFERROR(__xludf.DUMMYFUNCTION("GOOGLETRANSLATE(B29293,""en"",""zh-CN"")"),"他双臂交谈。")</f>
        <v>他双臂交谈。</v>
      </c>
    </row>
    <row r="29294">
      <c r="A29294" s="4" t="s">
        <v>36871</v>
      </c>
      <c r="B29294" s="4" t="s">
        <v>36886</v>
      </c>
      <c r="C29294" s="5" t="str">
        <f>IFERROR(__xludf.DUMMYFUNCTION("GOOGLETRANSLATE(B29294,""en"",""zh-CN"")"),"我们看到标题卡。")</f>
        <v>我们看到标题卡。</v>
      </c>
    </row>
    <row r="29295">
      <c r="A29295" s="4" t="s">
        <v>36887</v>
      </c>
      <c r="B29295" s="4" t="s">
        <v>36888</v>
      </c>
      <c r="C29295" s="5" t="str">
        <f>IFERROR(__xludf.DUMMYFUNCTION("GOOGLETRANSLATE(B29295,""en"",""zh-CN"")"),"人们潜入游泳池并开始游泳。")</f>
        <v>人们潜入游泳池并开始游泳。</v>
      </c>
    </row>
    <row r="29296">
      <c r="A29296" s="4" t="s">
        <v>36887</v>
      </c>
      <c r="B29296" s="4" t="s">
        <v>36889</v>
      </c>
      <c r="C29296" s="5" t="str">
        <f>IFERROR(__xludf.DUMMYFUNCTION("GOOGLETRANSLATE(B29296,""en"",""zh-CN"")"),"一个人到达末端，摘下镜头。")</f>
        <v>一个人到达末端，摘下镜头。</v>
      </c>
    </row>
    <row r="29297">
      <c r="A29297" s="4" t="s">
        <v>36887</v>
      </c>
      <c r="B29297" s="4" t="s">
        <v>36890</v>
      </c>
      <c r="C29297" s="5" t="str">
        <f>IFERROR(__xludf.DUMMYFUNCTION("GOOGLETRANSLATE(B29297,""en"",""zh-CN"")"),"他们挥舞着镜头微笑。")</f>
        <v>他们挥舞着镜头微笑。</v>
      </c>
    </row>
    <row r="29298">
      <c r="A29298" s="4" t="s">
        <v>36887</v>
      </c>
      <c r="B29298" s="4" t="s">
        <v>36891</v>
      </c>
      <c r="C29298" s="5" t="str">
        <f>IFERROR(__xludf.DUMMYFUNCTION("GOOGLETRANSLATE(B29298,""en"",""zh-CN"")"),"其他游泳者进入终点线。")</f>
        <v>其他游泳者进入终点线。</v>
      </c>
    </row>
    <row r="29299">
      <c r="A29299" s="4" t="s">
        <v>36892</v>
      </c>
      <c r="B29299" s="6" t="s">
        <v>36893</v>
      </c>
      <c r="C29299" s="5" t="str">
        <f>IFERROR(__xludf.DUMMYFUNCTION("GOOGLETRANSLATE(B29299,""en"",""zh-CN"")"),"一个戴着头盔的男人载着滑板在滑板上放着打保龄球，撞上别针。")</f>
        <v>一个戴着头盔的男人载着滑板在滑板上放着打保龄球，撞上别针。</v>
      </c>
    </row>
    <row r="29300">
      <c r="A29300" s="4" t="s">
        <v>36892</v>
      </c>
      <c r="B29300" s="4" t="s">
        <v>36894</v>
      </c>
      <c r="C29300" s="5" t="str">
        <f>IFERROR(__xludf.DUMMYFUNCTION("GOOGLETRANSLATE(B29300,""en"",""zh-CN"")"),"人们希望看着他走上车道。")</f>
        <v>人们希望看着他走上车道。</v>
      </c>
    </row>
    <row r="29301">
      <c r="A29301" s="4" t="s">
        <v>36892</v>
      </c>
      <c r="B29301" s="4" t="s">
        <v>36895</v>
      </c>
      <c r="C29301" s="5" t="str">
        <f>IFERROR(__xludf.DUMMYFUNCTION("GOOGLETRANSLATE(B29301,""en"",""zh-CN"")"),"有人将某人推向打保龄球的滑板。")</f>
        <v>有人将某人推向打保龄球的滑板。</v>
      </c>
    </row>
    <row r="29302">
      <c r="A29302" s="4" t="s">
        <v>36892</v>
      </c>
      <c r="B29302" s="4" t="s">
        <v>36896</v>
      </c>
      <c r="C29302" s="5" t="str">
        <f>IFERROR(__xludf.DUMMYFUNCTION("GOOGLETRANSLATE(B29302,""en"",""zh-CN"")"),"人们在这个人之后扔保龄球。")</f>
        <v>人们在这个人之后扔保龄球。</v>
      </c>
    </row>
    <row r="29303">
      <c r="A29303" s="4" t="s">
        <v>36892</v>
      </c>
      <c r="B29303" s="4" t="s">
        <v>36897</v>
      </c>
      <c r="C29303" s="5" t="str">
        <f>IFERROR(__xludf.DUMMYFUNCTION("GOOGLETRANSLATE(B29303,""en"",""zh-CN"")"),"两个人笑着看着那个男人。")</f>
        <v>两个人笑着看着那个男人。</v>
      </c>
    </row>
    <row r="29304">
      <c r="A29304" s="4" t="s">
        <v>36892</v>
      </c>
      <c r="B29304" s="4" t="s">
        <v>36898</v>
      </c>
      <c r="C29304" s="5" t="str">
        <f>IFERROR(__xludf.DUMMYFUNCTION("GOOGLETRANSLATE(B29304,""en"",""zh-CN"")"),"有人将另一个人推向打保龄球的滑板。")</f>
        <v>有人将另一个人推向打保龄球的滑板。</v>
      </c>
    </row>
    <row r="29305">
      <c r="A29305" s="4" t="s">
        <v>36899</v>
      </c>
      <c r="B29305" s="4" t="s">
        <v>36900</v>
      </c>
      <c r="C29305" s="5" t="str">
        <f>IFERROR(__xludf.DUMMYFUNCTION("GOOGLETRANSLATE(B29305,""en"",""zh-CN"")"),"一个人将不同颜色的油漆倒在表面上。")</f>
        <v>一个人将不同颜色的油漆倒在表面上。</v>
      </c>
    </row>
    <row r="29306">
      <c r="A29306" s="4" t="s">
        <v>36899</v>
      </c>
      <c r="B29306" s="4" t="s">
        <v>36901</v>
      </c>
      <c r="C29306" s="5" t="str">
        <f>IFERROR(__xludf.DUMMYFUNCTION("GOOGLETRANSLATE(B29306,""en"",""zh-CN"")"),"然后，女人在床头板上涂上鲜花。")</f>
        <v>然后，女人在床头板上涂上鲜花。</v>
      </c>
    </row>
    <row r="29307">
      <c r="A29307" s="4" t="s">
        <v>36902</v>
      </c>
      <c r="B29307" s="4" t="s">
        <v>36903</v>
      </c>
      <c r="C29307" s="5" t="str">
        <f>IFERROR(__xludf.DUMMYFUNCTION("GOOGLETRANSLATE(B29307,""en"",""zh-CN"")"),"一个小女孩坐在一杯冰淇淋上，然后她从杯子里取出一块食物，然后吃。")</f>
        <v>一个小女孩坐在一杯冰淇淋上，然后她从杯子里取出一块食物，然后吃。</v>
      </c>
    </row>
    <row r="29308">
      <c r="A29308" s="4" t="s">
        <v>36902</v>
      </c>
      <c r="B29308" s="4" t="s">
        <v>36904</v>
      </c>
      <c r="C29308" s="5" t="str">
        <f>IFERROR(__xludf.DUMMYFUNCTION("GOOGLETRANSLATE(B29308,""en"",""zh-CN"")"),"然后，女孩抓住汤匙，吃冰淇淋。")</f>
        <v>然后，女孩抓住汤匙，吃冰淇淋。</v>
      </c>
    </row>
    <row r="29309">
      <c r="A29309" s="4" t="s">
        <v>36902</v>
      </c>
      <c r="B29309" s="4" t="s">
        <v>36905</v>
      </c>
      <c r="C29309" s="5" t="str">
        <f>IFERROR(__xludf.DUMMYFUNCTION("GOOGLETRANSLATE(B29309,""en"",""zh-CN"")"),"一只手从冰桶里拿出坚果。")</f>
        <v>一只手从冰桶里拿出坚果。</v>
      </c>
    </row>
    <row r="29310">
      <c r="A29310" s="4" t="s">
        <v>36906</v>
      </c>
      <c r="B29310" s="4" t="s">
        <v>36907</v>
      </c>
      <c r="C29310" s="5" t="str">
        <f>IFERROR(__xludf.DUMMYFUNCTION("GOOGLETRANSLATE(B29310,""en"",""zh-CN"")"),"看到一个男人和一个女人在客厅里跳舞，表演探戈例程。")</f>
        <v>看到一个男人和一个女人在客厅里跳舞，表演探戈例程。</v>
      </c>
    </row>
    <row r="29311">
      <c r="A29311" s="4" t="s">
        <v>36906</v>
      </c>
      <c r="B29311" s="4" t="s">
        <v>36908</v>
      </c>
      <c r="C29311" s="5" t="str">
        <f>IFERROR(__xludf.DUMMYFUNCTION("GOOGLETRANSLATE(B29311,""en"",""zh-CN"")"),"他们互相旋转，并以信用滚动结束。")</f>
        <v>他们互相旋转，并以信用滚动结束。</v>
      </c>
    </row>
    <row r="29312">
      <c r="A29312" s="4" t="s">
        <v>36909</v>
      </c>
      <c r="B29312" s="4" t="s">
        <v>36910</v>
      </c>
      <c r="C29312" s="5" t="str">
        <f>IFERROR(__xludf.DUMMYFUNCTION("GOOGLETRANSLATE(B29312,""en"",""zh-CN"")"),"一个人将手指移动到自行车车轮的中心。")</f>
        <v>一个人将手指移动到自行车车轮的中心。</v>
      </c>
    </row>
    <row r="29313">
      <c r="A29313" s="4" t="s">
        <v>36909</v>
      </c>
      <c r="B29313" s="4" t="s">
        <v>36911</v>
      </c>
      <c r="C29313" s="5" t="str">
        <f>IFERROR(__xludf.DUMMYFUNCTION("GOOGLETRANSLATE(B29313,""en"",""zh-CN"")"),"该人占据黑色部分并添加。")</f>
        <v>该人占据黑色部分并添加。</v>
      </c>
    </row>
    <row r="29314">
      <c r="A29314" s="4" t="s">
        <v>36909</v>
      </c>
      <c r="B29314" s="4" t="s">
        <v>36912</v>
      </c>
      <c r="C29314" s="5" t="str">
        <f>IFERROR(__xludf.DUMMYFUNCTION("GOOGLETRANSLATE(B29314,""en"",""zh-CN"")"),"该人添加了一个较小的黑色部分并固定它。")</f>
        <v>该人添加了一个较小的黑色部分并固定它。</v>
      </c>
    </row>
    <row r="29315">
      <c r="A29315" s="4" t="s">
        <v>36909</v>
      </c>
      <c r="B29315" s="4" t="s">
        <v>36913</v>
      </c>
      <c r="C29315" s="5" t="str">
        <f>IFERROR(__xludf.DUMMYFUNCTION("GOOGLETRANSLATE(B29315,""en"",""zh-CN"")"),"该人从自行车车轮的中心移开手。")</f>
        <v>该人从自行车车轮的中心移开手。</v>
      </c>
    </row>
    <row r="29316">
      <c r="A29316" s="4" t="s">
        <v>36914</v>
      </c>
      <c r="B29316" s="4" t="s">
        <v>36915</v>
      </c>
      <c r="C29316" s="5" t="str">
        <f>IFERROR(__xludf.DUMMYFUNCTION("GOOGLETRANSLATE(B29316,""en"",""zh-CN"")"),"公园里有很多人在玩，有些人只是在看。")</f>
        <v>公园里有很多人在玩，有些人只是在看。</v>
      </c>
    </row>
    <row r="29317">
      <c r="A29317" s="4" t="s">
        <v>36914</v>
      </c>
      <c r="B29317" s="4" t="s">
        <v>36916</v>
      </c>
      <c r="C29317" s="5" t="str">
        <f>IFERROR(__xludf.DUMMYFUNCTION("GOOGLETRANSLATE(B29317,""en"",""zh-CN"")"),"一个男人和一个女人站在运动场的入口处，准备比赛。")</f>
        <v>一个男人和一个女人站在运动场的入口处，准备比赛。</v>
      </c>
    </row>
    <row r="29318">
      <c r="A29318" s="4" t="s">
        <v>36914</v>
      </c>
      <c r="B29318" s="6" t="s">
        <v>36917</v>
      </c>
      <c r="C29318" s="5" t="str">
        <f>IFERROR(__xludf.DUMMYFUNCTION("GOOGLETRANSLATE(B29318,""en"",""zh-CN"")"),"当球向他们滚动时，该男子踢球并奔跑，而其他球员则试图开始比赛。")</f>
        <v>当球向他们滚动时，该男子踢球并奔跑，而其他球员则试图开始比赛。</v>
      </c>
    </row>
    <row r="29319">
      <c r="A29319" s="4" t="s">
        <v>36914</v>
      </c>
      <c r="B29319" s="6" t="s">
        <v>36918</v>
      </c>
      <c r="C29319" s="5" t="str">
        <f>IFERROR(__xludf.DUMMYFUNCTION("GOOGLETRANSLATE(B29319,""en"",""zh-CN"")"),"另一个男人奔向家庭基地，潜入泥土上以触摸他们正在保护的基地，另一个男人正试图抓住球以将球赶出去。")</f>
        <v>另一个男人奔向家庭基地，潜入泥土上以触摸他们正在保护的基地，另一个男人正试图抓住球以将球赶出去。</v>
      </c>
    </row>
    <row r="29320">
      <c r="A29320" s="4" t="s">
        <v>36914</v>
      </c>
      <c r="B29320" s="6" t="s">
        <v>36919</v>
      </c>
      <c r="C29320" s="5" t="str">
        <f>IFERROR(__xludf.DUMMYFUNCTION("GOOGLETRANSLATE(B29320,""en"",""zh-CN"")"),"该男子试图抓住球，错过了球，跌落在地面上，将球扔到了已经在基地上的人的头上，他们都笑了，只有得分的球队互相给予了一个高弹力。")</f>
        <v>该男子试图抓住球，错过了球，跌落在地面上，将球扔到了已经在基地上的人的头上，他们都笑了，只有得分的球队互相给予了一个高弹力。</v>
      </c>
    </row>
    <row r="29321">
      <c r="A29321" s="4" t="s">
        <v>36920</v>
      </c>
      <c r="B29321" s="4" t="s">
        <v>36921</v>
      </c>
      <c r="C29321" s="5" t="str">
        <f>IFERROR(__xludf.DUMMYFUNCTION("GOOGLETRANSLATE(B29321,""en"",""zh-CN"")"),"两个孩子在游乐场一起玩。")</f>
        <v>两个孩子在游乐场一起玩。</v>
      </c>
    </row>
    <row r="29322">
      <c r="A29322" s="4" t="s">
        <v>36920</v>
      </c>
      <c r="B29322" s="4" t="s">
        <v>36922</v>
      </c>
      <c r="C29322" s="5" t="str">
        <f>IFERROR(__xludf.DUMMYFUNCTION("GOOGLETRANSLATE(B29322,""en"",""zh-CN"")"),"一个男孩跳下来，走到另一侧，另一个男孩开始做猴子酒吧。")</f>
        <v>一个男孩跳下来，走到另一侧，另一个男孩开始做猴子酒吧。</v>
      </c>
    </row>
    <row r="29323">
      <c r="A29323" s="4" t="s">
        <v>36920</v>
      </c>
      <c r="B29323" s="6" t="s">
        <v>36923</v>
      </c>
      <c r="C29323" s="5" t="str">
        <f>IFERROR(__xludf.DUMMYFUNCTION("GOOGLETRANSLATE(B29323,""en"",""zh-CN"")"),"在他到达另一侧后，他爬下并跑到另一组猴子酒吧，也跟随这些酒吧。")</f>
        <v>在他到达另一侧后，他爬下并跑到另一组猴子酒吧，也跟随这些酒吧。</v>
      </c>
    </row>
    <row r="29324">
      <c r="A29324" s="4" t="s">
        <v>36924</v>
      </c>
      <c r="B29324" s="4" t="s">
        <v>36925</v>
      </c>
      <c r="C29324" s="5" t="str">
        <f>IFERROR(__xludf.DUMMYFUNCTION("GOOGLETRANSLATE(B29324,""en"",""zh-CN"")"),"一块卷发石从冰上滑落。")</f>
        <v>一块卷发石从冰上滑落。</v>
      </c>
    </row>
    <row r="29325">
      <c r="A29325" s="4" t="s">
        <v>36924</v>
      </c>
      <c r="B29325" s="4" t="s">
        <v>36926</v>
      </c>
      <c r="C29325" s="5" t="str">
        <f>IFERROR(__xludf.DUMMYFUNCTION("GOOGLETRANSLATE(B29325,""en"",""zh-CN"")"),"蓝色团队讨论他们的策略。")</f>
        <v>蓝色团队讨论他们的策略。</v>
      </c>
    </row>
    <row r="29326">
      <c r="A29326" s="4" t="s">
        <v>36924</v>
      </c>
      <c r="B29326" s="4" t="s">
        <v>36927</v>
      </c>
      <c r="C29326" s="5" t="str">
        <f>IFERROR(__xludf.DUMMYFUNCTION("GOOGLETRANSLATE(B29326,""en"",""zh-CN"")"),"白队互相高五。")</f>
        <v>白队互相高五。</v>
      </c>
    </row>
    <row r="29327">
      <c r="A29327" s="4" t="s">
        <v>36924</v>
      </c>
      <c r="B29327" s="4" t="s">
        <v>36928</v>
      </c>
      <c r="C29327" s="5" t="str">
        <f>IFERROR(__xludf.DUMMYFUNCTION("GOOGLETRANSLATE(B29327,""en"",""zh-CN"")"),"蓝色团队在会员点时讨论。")</f>
        <v>蓝色团队在会员点时讨论。</v>
      </c>
    </row>
    <row r="29328">
      <c r="A29328" s="4" t="s">
        <v>36924</v>
      </c>
      <c r="B29328" s="4" t="s">
        <v>36929</v>
      </c>
      <c r="C29328" s="5" t="str">
        <f>IFERROR(__xludf.DUMMYFUNCTION("GOOGLETRANSLATE(B29328,""en"",""zh-CN"")"),"一名蓝色团队运动员轮到他，将石头卷曲到中心。")</f>
        <v>一名蓝色团队运动员轮到他，将石头卷曲到中心。</v>
      </c>
    </row>
    <row r="29329">
      <c r="A29329" s="4" t="s">
        <v>36924</v>
      </c>
      <c r="B29329" s="4" t="s">
        <v>36930</v>
      </c>
      <c r="C29329" s="5" t="str">
        <f>IFERROR(__xludf.DUMMYFUNCTION("GOOGLETRANSLATE(B29329,""en"",""zh-CN"")"),"蓝队来了，并在庆祝球员时拥抱了球员。")</f>
        <v>蓝队来了，并在庆祝球员时拥抱了球员。</v>
      </c>
    </row>
    <row r="29330">
      <c r="A29330" s="4" t="s">
        <v>36924</v>
      </c>
      <c r="B29330" s="4" t="s">
        <v>573</v>
      </c>
      <c r="C29330" s="5" t="str">
        <f>IFERROR(__xludf.DUMMYFUNCTION("GOOGLETRANSLATE(B29330,""en"",""zh-CN"")"),"显示了视频的积分。")</f>
        <v>显示了视频的积分。</v>
      </c>
    </row>
    <row r="29331">
      <c r="A29331" s="4" t="s">
        <v>36931</v>
      </c>
      <c r="B29331" s="4" t="s">
        <v>36932</v>
      </c>
      <c r="C29331" s="5" t="str">
        <f>IFERROR(__xludf.DUMMYFUNCTION("GOOGLETRANSLATE(B29331,""en"",""zh-CN"")"),"有人看到一个人坐在大人群前的一匹马上。")</f>
        <v>有人看到一个人坐在大人群前的一匹马上。</v>
      </c>
    </row>
    <row r="29332">
      <c r="A29332" s="4" t="s">
        <v>36931</v>
      </c>
      <c r="B29332" s="4" t="s">
        <v>36933</v>
      </c>
      <c r="C29332" s="5" t="str">
        <f>IFERROR(__xludf.DUMMYFUNCTION("GOOGLETRANSLATE(B29332,""en"",""zh-CN"")"),"然后，该男子骑着马骑着小牛。")</f>
        <v>然后，该男子骑着马骑着小牛。</v>
      </c>
    </row>
    <row r="29333">
      <c r="A29333" s="4" t="s">
        <v>36931</v>
      </c>
      <c r="B29333" s="4" t="s">
        <v>36934</v>
      </c>
      <c r="C29333" s="5" t="str">
        <f>IFERROR(__xludf.DUMMYFUNCTION("GOOGLETRANSLATE(B29333,""en"",""zh-CN"")"),"他将小腿绑起来，而其他人则骑马帮助。")</f>
        <v>他将小腿绑起来，而其他人则骑马帮助。</v>
      </c>
    </row>
    <row r="29334">
      <c r="A29334" s="4" t="s">
        <v>36935</v>
      </c>
      <c r="B29334" s="4" t="s">
        <v>36936</v>
      </c>
      <c r="C29334" s="5" t="str">
        <f>IFERROR(__xludf.DUMMYFUNCTION("GOOGLETRANSLATE(B29334,""en"",""zh-CN"")"),"一群啦啦队在准备大型礼堂中站在一条线上。")</f>
        <v>一群啦啦队在准备大型礼堂中站在一条线上。</v>
      </c>
    </row>
    <row r="29335">
      <c r="A29335" s="4" t="s">
        <v>36935</v>
      </c>
      <c r="B29335" s="4" t="s">
        <v>36937</v>
      </c>
      <c r="C29335" s="5" t="str">
        <f>IFERROR(__xludf.DUMMYFUNCTION("GOOGLETRANSLATE(B29335,""en"",""zh-CN"")"),"一群啦啦队在所有舞蹈中舞蹈中表演了一个舞蹈。")</f>
        <v>一群啦啦队在所有舞蹈中舞蹈中表演了一个舞蹈。</v>
      </c>
    </row>
    <row r="29336">
      <c r="A29336" s="4" t="s">
        <v>36935</v>
      </c>
      <c r="B29336" s="4" t="s">
        <v>36938</v>
      </c>
      <c r="C29336" s="5" t="str">
        <f>IFERROR(__xludf.DUMMYFUNCTION("GOOGLETRANSLATE(B29336,""en"",""zh-CN"")"),"一半的小组跪在地板上，另一个站立组向侧面退出。")</f>
        <v>一半的小组跪在地板上，另一个站立组向侧面退出。</v>
      </c>
    </row>
    <row r="29337">
      <c r="A29337" s="4" t="s">
        <v>36935</v>
      </c>
      <c r="B29337" s="4" t="s">
        <v>36939</v>
      </c>
      <c r="C29337" s="5" t="str">
        <f>IFERROR(__xludf.DUMMYFUNCTION("GOOGLETRANSLATE(B29337,""en"",""zh-CN"")"),"剩下的小组站起来，一起做第二个舞蹈。")</f>
        <v>剩下的小组站起来，一起做第二个舞蹈。</v>
      </c>
    </row>
    <row r="29338">
      <c r="A29338" s="4" t="s">
        <v>36935</v>
      </c>
      <c r="B29338" s="4" t="s">
        <v>36940</v>
      </c>
      <c r="C29338" s="5" t="str">
        <f>IFERROR(__xludf.DUMMYFUNCTION("GOOGLETRANSLATE(B29338,""en"",""zh-CN"")"),"啦啦队长终结了他们的例行程序，然后上下跳下来，然后向人群鞠躬。")</f>
        <v>啦啦队长终结了他们的例行程序，然后上下跳下来，然后向人群鞠躬。</v>
      </c>
    </row>
    <row r="29339">
      <c r="A29339" s="4" t="s">
        <v>36941</v>
      </c>
      <c r="B29339" s="4" t="s">
        <v>36942</v>
      </c>
      <c r="C29339" s="5" t="str">
        <f>IFERROR(__xludf.DUMMYFUNCTION("GOOGLETRANSLATE(B29339,""en"",""zh-CN"")"),"看到各种运动员准备就绪，而一个人跳到就位并为自己做准备。")</f>
        <v>看到各种运动员准备就绪，而一个人跳到就位并为自己做准备。</v>
      </c>
    </row>
    <row r="29340">
      <c r="A29340" s="4" t="s">
        <v>36941</v>
      </c>
      <c r="B29340" s="4" t="s">
        <v>36943</v>
      </c>
      <c r="C29340" s="5" t="str">
        <f>IFERROR(__xludf.DUMMYFUNCTION("GOOGLETRANSLATE(B29340,""en"",""zh-CN"")"),"然后，他沿着长长的轨道沿着沙坑奔跑，将手伸到空中。")</f>
        <v>然后，他沿着长长的轨道沿着沙坑奔跑，将手伸到空中。</v>
      </c>
    </row>
    <row r="29341">
      <c r="A29341" s="4" t="s">
        <v>36941</v>
      </c>
      <c r="B29341" s="6" t="s">
        <v>36944</v>
      </c>
      <c r="C29341" s="5" t="str">
        <f>IFERROR(__xludf.DUMMYFUNCTION("GOOGLETRANSLATE(B29341,""en"",""zh-CN"")"),"当运动员庆祝的时候，一个男人举起白色的fag，他的跳跃和人们对观众的反应再次显示出来。")</f>
        <v>当运动员庆祝的时候，一个男人举起白色的fag，他的跳跃和人们对观众的反应再次显示出来。</v>
      </c>
    </row>
    <row r="29342">
      <c r="A29342" s="4" t="s">
        <v>36945</v>
      </c>
      <c r="B29342" s="4" t="s">
        <v>36946</v>
      </c>
      <c r="C29342" s="5" t="str">
        <f>IFERROR(__xludf.DUMMYFUNCTION("GOOGLETRANSLATE(B29342,""en"",""zh-CN"")"),"一位穿着五颜六色泳衣的年轻女士正在游泳池里游泳。")</f>
        <v>一位穿着五颜六色泳衣的年轻女士正在游泳池里游泳。</v>
      </c>
    </row>
    <row r="29343">
      <c r="A29343" s="4" t="s">
        <v>36945</v>
      </c>
      <c r="B29343" s="6" t="s">
        <v>36947</v>
      </c>
      <c r="C29343" s="5" t="str">
        <f>IFERROR(__xludf.DUMMYFUNCTION("GOOGLETRANSLATE(B29343,""en"",""zh-CN"")"),"屏幕闪烁并显示第二步，因为女孩展示了脚靠近游泳。")</f>
        <v>屏幕闪烁并显示第二步，因为女孩展示了脚靠近游泳。</v>
      </c>
    </row>
    <row r="29344">
      <c r="A29344" s="4" t="s">
        <v>36945</v>
      </c>
      <c r="B29344" s="6" t="s">
        <v>36948</v>
      </c>
      <c r="C29344" s="5" t="str">
        <f>IFERROR(__xludf.DUMMYFUNCTION("GOOGLETRANSLATE(B29344,""en"",""zh-CN"")"),"接下来，一个警告屏幕似乎说如果没有护目镜，就说不游泳，就像女孩相反。")</f>
        <v>接下来，一个警告屏幕似乎说如果没有护目镜，就说不游泳，就像女孩相反。</v>
      </c>
    </row>
    <row r="29345">
      <c r="A29345" s="4" t="s">
        <v>36945</v>
      </c>
      <c r="B29345" s="6" t="s">
        <v>36949</v>
      </c>
      <c r="C29345" s="5" t="str">
        <f>IFERROR(__xludf.DUMMYFUNCTION("GOOGLETRANSLATE(B29345,""en"",""zh-CN"")"),"之后，当女孩加入另一个“美人鱼”时，她在水下游泳的橙色美人鱼的尾巴显示出来。")</f>
        <v>之后，当女孩加入另一个“美人鱼”时，她在水下游泳的橙色美人鱼的尾巴显示出来。</v>
      </c>
    </row>
    <row r="29346">
      <c r="A29346" s="4" t="s">
        <v>36950</v>
      </c>
      <c r="B29346" s="4" t="s">
        <v>36951</v>
      </c>
      <c r="C29346" s="5" t="str">
        <f>IFERROR(__xludf.DUMMYFUNCTION("GOOGLETRANSLATE(B29346,""en"",""zh-CN"")"),"一个穿着皮划艇类型的船的男人正在划船。")</f>
        <v>一个穿着皮划艇类型的船的男人正在划船。</v>
      </c>
    </row>
    <row r="29347">
      <c r="A29347" s="4" t="s">
        <v>36950</v>
      </c>
      <c r="B29347" s="4" t="s">
        <v>36952</v>
      </c>
      <c r="C29347" s="5" t="str">
        <f>IFERROR(__xludf.DUMMYFUNCTION("GOOGLETRANSLATE(B29347,""en"",""zh-CN"")"),"他坐在自己的身边，因为它很小，它真的很适合一个人。")</f>
        <v>他坐在自己的身边，因为它很小，它真的很适合一个人。</v>
      </c>
    </row>
    <row r="29348">
      <c r="A29348" s="4" t="s">
        <v>36950</v>
      </c>
      <c r="B29348" s="4" t="s">
        <v>36953</v>
      </c>
      <c r="C29348" s="5" t="str">
        <f>IFERROR(__xludf.DUMMYFUNCTION("GOOGLETRANSLATE(B29348,""en"",""zh-CN"")"),"他用大量精力进行划桨，进展非常快。")</f>
        <v>他用大量精力进行划桨，进展非常快。</v>
      </c>
    </row>
    <row r="29349">
      <c r="A29349" s="4" t="s">
        <v>36950</v>
      </c>
      <c r="B29349" s="4" t="s">
        <v>36954</v>
      </c>
      <c r="C29349" s="5" t="str">
        <f>IFERROR(__xludf.DUMMYFUNCTION("GOOGLETRANSLATE(B29349,""en"",""zh-CN"")"),"我相信他可能正在练习未来的事件。")</f>
        <v>我相信他可能正在练习未来的事件。</v>
      </c>
    </row>
    <row r="29350">
      <c r="A29350" s="4" t="s">
        <v>36955</v>
      </c>
      <c r="B29350" s="4" t="s">
        <v>36956</v>
      </c>
      <c r="C29350" s="5" t="str">
        <f>IFERROR(__xludf.DUMMYFUNCTION("GOOGLETRANSLATE(B29350,""en"",""zh-CN"")"),"一个女人站在大楼前的外面。")</f>
        <v>一个女人站在大楼前的外面。</v>
      </c>
    </row>
    <row r="29351">
      <c r="A29351" s="4" t="s">
        <v>36955</v>
      </c>
      <c r="B29351" s="4" t="s">
        <v>36957</v>
      </c>
      <c r="C29351" s="5" t="str">
        <f>IFERROR(__xludf.DUMMYFUNCTION("GOOGLETRANSLATE(B29351,""en"",""zh-CN"")"),"她开始与呼啦圈共舞。")</f>
        <v>她开始与呼啦圈共舞。</v>
      </c>
    </row>
    <row r="29352">
      <c r="A29352" s="4" t="s">
        <v>36955</v>
      </c>
      <c r="B29352" s="4" t="s">
        <v>36958</v>
      </c>
      <c r="C29352" s="5" t="str">
        <f>IFERROR(__xludf.DUMMYFUNCTION("GOOGLETRANSLATE(B29352,""en"",""zh-CN"")"),"她完成了，屏幕上有话。")</f>
        <v>她完成了，屏幕上有话。</v>
      </c>
    </row>
    <row r="29353">
      <c r="A29353" s="4" t="s">
        <v>36959</v>
      </c>
      <c r="B29353" s="4" t="s">
        <v>36960</v>
      </c>
      <c r="C29353" s="5" t="str">
        <f>IFERROR(__xludf.DUMMYFUNCTION("GOOGLETRANSLATE(B29353,""en"",""zh-CN"")"),"看到一大批人在城市中旋转和旋转警棍。")</f>
        <v>看到一大批人在城市中旋转和旋转警棍。</v>
      </c>
    </row>
    <row r="29354">
      <c r="A29354" s="4" t="s">
        <v>36959</v>
      </c>
      <c r="B29354" s="4" t="s">
        <v>36961</v>
      </c>
      <c r="C29354" s="5" t="str">
        <f>IFERROR(__xludf.DUMMYFUNCTION("GOOGLETRANSLATE(B29354,""en"",""zh-CN"")"),"看到一大批人坐在小组周围观看。")</f>
        <v>看到一大批人坐在小组周围观看。</v>
      </c>
    </row>
    <row r="29355">
      <c r="A29355" s="4" t="s">
        <v>36959</v>
      </c>
      <c r="B29355" s="6" t="s">
        <v>36962</v>
      </c>
      <c r="C29355" s="5" t="str">
        <f>IFERROR(__xludf.DUMMYFUNCTION("GOOGLETRANSLATE(B29355,""en"",""zh-CN"")"),"小组继续在城市街区​​跳舞，而相机周围摇晃并看着他们走开。")</f>
        <v>小组继续在城市街区​​跳舞，而相机周围摇晃并看着他们走开。</v>
      </c>
    </row>
    <row r="29356">
      <c r="A29356" s="4" t="s">
        <v>36963</v>
      </c>
      <c r="B29356" s="4" t="s">
        <v>36964</v>
      </c>
      <c r="C29356" s="5" t="str">
        <f>IFERROR(__xludf.DUMMYFUNCTION("GOOGLETRANSLATE(B29356,""en"",""zh-CN"")"),"一个男人坐在舞台上坐在固定的自行车上，开始锻炼。")</f>
        <v>一个男人坐在舞台上坐在固定的自行车上，开始锻炼。</v>
      </c>
    </row>
    <row r="29357">
      <c r="A29357" s="4" t="s">
        <v>36963</v>
      </c>
      <c r="B29357" s="4" t="s">
        <v>36965</v>
      </c>
      <c r="C29357" s="5" t="str">
        <f>IFERROR(__xludf.DUMMYFUNCTION("GOOGLETRANSLATE(B29357,""en"",""zh-CN"")"),"他将一条腿伸到一边。")</f>
        <v>他将一条腿伸到一边。</v>
      </c>
    </row>
    <row r="29358">
      <c r="A29358" s="4" t="s">
        <v>36963</v>
      </c>
      <c r="B29358" s="4" t="s">
        <v>36966</v>
      </c>
      <c r="C29358" s="5" t="str">
        <f>IFERROR(__xludf.DUMMYFUNCTION("GOOGLETRANSLATE(B29358,""en"",""zh-CN"")"),"他下车，做一个手站立。")</f>
        <v>他下车，做一个手站立。</v>
      </c>
    </row>
    <row r="29359">
      <c r="A29359" s="4" t="s">
        <v>36967</v>
      </c>
      <c r="B29359" s="4" t="s">
        <v>36968</v>
      </c>
      <c r="C29359" s="5" t="str">
        <f>IFERROR(__xludf.DUMMYFUNCTION("GOOGLETRANSLATE(B29359,""en"",""zh-CN"")"),"人行道上有一个带有粉笔的跳板板。")</f>
        <v>人行道上有一个带有粉笔的跳板板。</v>
      </c>
    </row>
    <row r="29360">
      <c r="A29360" s="4" t="s">
        <v>36967</v>
      </c>
      <c r="B29360" s="4" t="s">
        <v>36969</v>
      </c>
      <c r="C29360" s="5" t="str">
        <f>IFERROR(__xludf.DUMMYFUNCTION("GOOGLETRANSLATE(B29360,""en"",""zh-CN"")"),"一个绿色的小女孩轮到她，然后更多的朋友跟随。")</f>
        <v>一个绿色的小女孩轮到她，然后更多的朋友跟随。</v>
      </c>
    </row>
    <row r="29361">
      <c r="A29361" s="4" t="s">
        <v>36967</v>
      </c>
      <c r="B29361" s="4" t="s">
        <v>36970</v>
      </c>
      <c r="C29361" s="5" t="str">
        <f>IFERROR(__xludf.DUMMYFUNCTION("GOOGLETRANSLATE(B29361,""en"",""zh-CN"")"),"所有三个女孩都站着，然后放下一个瓶盖，以跳高。")</f>
        <v>所有三个女孩都站着，然后放下一个瓶盖，以跳高。</v>
      </c>
    </row>
    <row r="29362">
      <c r="A29362" s="4" t="s">
        <v>36967</v>
      </c>
      <c r="B29362" s="6" t="s">
        <v>36971</v>
      </c>
      <c r="C29362" s="5" t="str">
        <f>IFERROR(__xludf.DUMMYFUNCTION("GOOGLETRANSLATE(B29362,""en"",""zh-CN"")"),"他们玩游戏的不同变化只是在玩乐，而当它的一个女孩伸出双手时。")</f>
        <v>他们玩游戏的不同变化只是在玩乐，而当它的一个女孩伸出双手时。</v>
      </c>
    </row>
    <row r="29363">
      <c r="A29363" s="4" t="s">
        <v>36972</v>
      </c>
      <c r="B29363" s="4" t="s">
        <v>36973</v>
      </c>
      <c r="C29363" s="5" t="str">
        <f>IFERROR(__xludf.DUMMYFUNCTION("GOOGLETRANSLATE(B29363,""en"",""zh-CN"")"),"看到一大批人站在一个舞台上，人们在场边看着。")</f>
        <v>看到一大批人站在一个舞台上，人们在场边看着。</v>
      </c>
    </row>
    <row r="29364">
      <c r="A29364" s="4" t="s">
        <v>36972</v>
      </c>
      <c r="B29364" s="4" t="s">
        <v>36974</v>
      </c>
      <c r="C29364" s="5" t="str">
        <f>IFERROR(__xludf.DUMMYFUNCTION("GOOGLETRANSLATE(B29364,""en"",""zh-CN"")"),"人们轮流跳到横梁上的大垫子上，并与队友欢呼。")</f>
        <v>人们轮流跳到横梁上的大垫子上，并与队友欢呼。</v>
      </c>
    </row>
    <row r="29365">
      <c r="A29365" s="4" t="s">
        <v>36972</v>
      </c>
      <c r="B29365" s="4" t="s">
        <v>36975</v>
      </c>
      <c r="C29365" s="5" t="str">
        <f>IFERROR(__xludf.DUMMYFUNCTION("GOOGLETRANSLATE(B29365,""en"",""zh-CN"")"),"有更多的镜头显示孩子在看着相机时愚弄了鬼魂。")</f>
        <v>有更多的镜头显示孩子在看着相机时愚弄了鬼魂。</v>
      </c>
    </row>
    <row r="29366">
      <c r="A29366" s="4" t="s">
        <v>36976</v>
      </c>
      <c r="B29366" s="4" t="s">
        <v>36977</v>
      </c>
      <c r="C29366" s="5" t="str">
        <f>IFERROR(__xludf.DUMMYFUNCTION("GOOGLETRANSLATE(B29366,""en"",""zh-CN"")"),"一个蹒跚学步的人爬上游乐场的台阶。")</f>
        <v>一个蹒跚学步的人爬上游乐场的台阶。</v>
      </c>
    </row>
    <row r="29367">
      <c r="A29367" s="4" t="s">
        <v>36976</v>
      </c>
      <c r="B29367" s="4" t="s">
        <v>36978</v>
      </c>
      <c r="C29367" s="5" t="str">
        <f>IFERROR(__xludf.DUMMYFUNCTION("GOOGLETRANSLATE(B29367,""en"",""zh-CN"")"),"然后，男孩滑下直到到达地面。")</f>
        <v>然后，男孩滑下直到到达地面。</v>
      </c>
    </row>
    <row r="29368">
      <c r="A29368" s="4" t="s">
        <v>36979</v>
      </c>
      <c r="B29368" s="6" t="s">
        <v>36980</v>
      </c>
      <c r="C29368" s="5" t="str">
        <f>IFERROR(__xludf.DUMMYFUNCTION("GOOGLETRANSLATE(B29368,""en"",""zh-CN"")"),"看到一群人站在足球场上，导致一个人摔倒并得到帮助。")</f>
        <v>看到一群人站在足球场上，导致一个人摔倒并得到帮助。</v>
      </c>
    </row>
    <row r="29369">
      <c r="A29369" s="4" t="s">
        <v>36979</v>
      </c>
      <c r="B29369" s="6" t="s">
        <v>36981</v>
      </c>
      <c r="C29369" s="5" t="str">
        <f>IFERROR(__xludf.DUMMYFUNCTION("GOOGLETRANSLATE(B29369,""en"",""zh-CN"")"),"同一镜头再次以慢动作显示，并导致一个进球，而其他人则不注意。")</f>
        <v>同一镜头再次以慢动作显示，并导致一个进球，而其他人则不注意。</v>
      </c>
    </row>
    <row r="29370">
      <c r="A29370" s="4" t="s">
        <v>36979</v>
      </c>
      <c r="B29370" s="4" t="s">
        <v>36982</v>
      </c>
      <c r="C29370" s="5" t="str">
        <f>IFERROR(__xludf.DUMMYFUNCTION("GOOGLETRANSLATE(B29370,""en"",""zh-CN"")"),"同一镜头再次以慢动作几次显示，然后将所有球员放回原处。")</f>
        <v>同一镜头再次以慢动作几次显示，然后将所有球员放回原处。</v>
      </c>
    </row>
    <row r="29371">
      <c r="A29371" s="4" t="s">
        <v>36983</v>
      </c>
      <c r="B29371" s="4" t="s">
        <v>36984</v>
      </c>
      <c r="C29371" s="5" t="str">
        <f>IFERROR(__xludf.DUMMYFUNCTION("GOOGLETRANSLATE(B29371,""en"",""zh-CN"")"),"一位女士正在拍摄一个在公园游乐场户外活动的女孩和一个男孩。")</f>
        <v>一位女士正在拍摄一个在公园游乐场户外活动的女孩和一个男孩。</v>
      </c>
    </row>
    <row r="29372">
      <c r="A29372" s="4" t="s">
        <v>36983</v>
      </c>
      <c r="B29372" s="6" t="s">
        <v>36985</v>
      </c>
      <c r="C29372" s="5" t="str">
        <f>IFERROR(__xludf.DUMMYFUNCTION("GOOGLETRANSLATE(B29372,""en"",""zh-CN"")"),"年轻的女孩用手臂悬挂着猴子的猴子，而小男孩站在轨道和手表后面。")</f>
        <v>年轻的女孩用手臂悬挂着猴子的猴子，而小男孩站在轨道和手表后面。</v>
      </c>
    </row>
    <row r="29373">
      <c r="A29373" s="4" t="s">
        <v>36983</v>
      </c>
      <c r="B29373" s="6" t="s">
        <v>36986</v>
      </c>
      <c r="C29373" s="5" t="str">
        <f>IFERROR(__xludf.DUMMYFUNCTION("GOOGLETRANSLATE(B29373,""en"",""zh-CN"")"),"猴子酒吧尽头的跳跃，然后上下跳跃，为拍摄她的兴奋的女人带来了高五。")</f>
        <v>猴子酒吧尽头的跳跃，然后上下跳跃，为拍摄她的兴奋的女人带来了高五。</v>
      </c>
    </row>
    <row r="29374">
      <c r="A29374" s="4" t="s">
        <v>36983</v>
      </c>
      <c r="B29374" s="6" t="s">
        <v>36987</v>
      </c>
      <c r="C29374" s="5" t="str">
        <f>IFERROR(__xludf.DUMMYFUNCTION("GOOGLETRANSLATE(B29374,""en"",""zh-CN"")"),"然后，镜头后面的女士走过去，向现在在猴子酒吧在猴子酒吧的小男孩打了脚，并与他进行了交谈。")</f>
        <v>然后，镜头后面的女士走过去，向现在在猴子酒吧在猴子酒吧的小男孩打了脚，并与他进行了交谈。</v>
      </c>
    </row>
    <row r="29375">
      <c r="A29375" s="4" t="s">
        <v>36988</v>
      </c>
      <c r="B29375" s="4" t="s">
        <v>36989</v>
      </c>
      <c r="C29375" s="5" t="str">
        <f>IFERROR(__xludf.DUMMYFUNCTION("GOOGLETRANSLATE(B29375,""en"",""zh-CN"")"),"在商店里看到一辆自行车倒挂。")</f>
        <v>在商店里看到一辆自行车倒挂。</v>
      </c>
    </row>
    <row r="29376">
      <c r="A29376" s="4" t="s">
        <v>36988</v>
      </c>
      <c r="B29376" s="4" t="s">
        <v>36990</v>
      </c>
      <c r="C29376" s="5" t="str">
        <f>IFERROR(__xludf.DUMMYFUNCTION("GOOGLETRANSLATE(B29376,""en"",""zh-CN"")"),"一个人展示了如何拆卸轮胎。")</f>
        <v>一个人展示了如何拆卸轮胎。</v>
      </c>
    </row>
    <row r="29377">
      <c r="A29377" s="4" t="s">
        <v>36988</v>
      </c>
      <c r="B29377" s="4" t="s">
        <v>36991</v>
      </c>
      <c r="C29377" s="5" t="str">
        <f>IFERROR(__xludf.DUMMYFUNCTION("GOOGLETRANSLATE(B29377,""en"",""zh-CN"")"),"然后，他将其替换并将其收紧到位。")</f>
        <v>然后，他将其替换并将其收紧到位。</v>
      </c>
    </row>
    <row r="29378">
      <c r="A29378" s="4" t="s">
        <v>36992</v>
      </c>
      <c r="B29378" s="4" t="s">
        <v>36993</v>
      </c>
      <c r="C29378" s="5" t="str">
        <f>IFERROR(__xludf.DUMMYFUNCTION("GOOGLETRANSLATE(B29378,""en"",""zh-CN"")"),"看到一个男人在相机上说话，并导致滑雪的剪辑。")</f>
        <v>看到一个男人在相机上说话，并导致滑雪的剪辑。</v>
      </c>
    </row>
    <row r="29379">
      <c r="A29379" s="4" t="s">
        <v>36992</v>
      </c>
      <c r="B29379" s="4" t="s">
        <v>36994</v>
      </c>
      <c r="C29379" s="5" t="str">
        <f>IFERROR(__xludf.DUMMYFUNCTION("GOOGLETRANSLATE(B29379,""en"",""zh-CN"")"),"这些人沿着山一直沿着山上移动，而其他人则在他们旁边滑雪。")</f>
        <v>这些人沿着山一直沿着山上移动，而其他人则在他们旁边滑雪。</v>
      </c>
    </row>
    <row r="29380">
      <c r="A29380" s="4" t="s">
        <v>36992</v>
      </c>
      <c r="B29380" s="4" t="s">
        <v>36995</v>
      </c>
      <c r="C29380" s="5" t="str">
        <f>IFERROR(__xludf.DUMMYFUNCTION("GOOGLETRANSLATE(B29380,""en"",""zh-CN"")"),"人们继续沿着山坡骑行，最后停在底部。")</f>
        <v>人们继续沿着山坡骑行，最后停在底部。</v>
      </c>
    </row>
    <row r="29381">
      <c r="A29381" s="4" t="s">
        <v>36996</v>
      </c>
      <c r="B29381" s="4" t="s">
        <v>36997</v>
      </c>
      <c r="C29381" s="5" t="str">
        <f>IFERROR(__xludf.DUMMYFUNCTION("GOOGLETRANSLATE(B29381,""en"",""zh-CN"")"),"一群绳索跳跃队的女孩在一个大型音乐厅里做一个例行活动。")</f>
        <v>一群绳索跳跃队的女孩在一个大型音乐厅里做一个例行活动。</v>
      </c>
    </row>
    <row r="29382">
      <c r="A29382" s="4" t="s">
        <v>36996</v>
      </c>
      <c r="B29382" s="4" t="s">
        <v>36998</v>
      </c>
      <c r="C29382" s="5" t="str">
        <f>IFERROR(__xludf.DUMMYFUNCTION("GOOGLETRANSLATE(B29382,""en"",""zh-CN"")"),"一群女孩单独跳绳。")</f>
        <v>一群女孩单独跳绳。</v>
      </c>
    </row>
    <row r="29383">
      <c r="A29383" s="4" t="s">
        <v>36996</v>
      </c>
      <c r="B29383" s="4" t="s">
        <v>36999</v>
      </c>
      <c r="C29383" s="5" t="str">
        <f>IFERROR(__xludf.DUMMYFUNCTION("GOOGLETRANSLATE(B29383,""en"",""zh-CN"")"),"三个女孩跳绳子，两端握着一根绳子。")</f>
        <v>三个女孩跳绳子，两端握着一根绳子。</v>
      </c>
    </row>
    <row r="29384">
      <c r="A29384" s="4" t="s">
        <v>36996</v>
      </c>
      <c r="B29384" s="4" t="s">
        <v>37000</v>
      </c>
      <c r="C29384" s="5" t="str">
        <f>IFERROR(__xludf.DUMMYFUNCTION("GOOGLETRANSLATE(B29384,""en"",""zh-CN"")"),"三个女孩在一根绳子里跳动。")</f>
        <v>三个女孩在一根绳子里跳动。</v>
      </c>
    </row>
    <row r="29385">
      <c r="A29385" s="4" t="s">
        <v>36996</v>
      </c>
      <c r="B29385" s="6" t="s">
        <v>37001</v>
      </c>
      <c r="C29385" s="5" t="str">
        <f>IFERROR(__xludf.DUMMYFUNCTION("GOOGLETRANSLATE(B29385,""en"",""zh-CN"")"),"一群女孩握住两条绳索，然后轮流做双荷兰语，而成员跑步并跳绳。")</f>
        <v>一群女孩握住两条绳索，然后轮流做双荷兰语，而成员跑步并跳绳。</v>
      </c>
    </row>
    <row r="29386">
      <c r="A29386" s="4" t="s">
        <v>37002</v>
      </c>
      <c r="B29386" s="4" t="s">
        <v>37003</v>
      </c>
      <c r="C29386" s="5" t="str">
        <f>IFERROR(__xludf.DUMMYFUNCTION("GOOGLETRANSLATE(B29386,""en"",""zh-CN"")"),"看到一个男人以慢动作运动，拿着网球拍，将球扔向空中。")</f>
        <v>看到一个男人以慢动作运动，拿着网球拍，将球扔向空中。</v>
      </c>
    </row>
    <row r="29387">
      <c r="A29387" s="4" t="s">
        <v>37002</v>
      </c>
      <c r="B29387" s="6" t="s">
        <v>37004</v>
      </c>
      <c r="C29387" s="5" t="str">
        <f>IFERROR(__xludf.DUMMYFUNCTION("GOOGLETRANSLATE(B29387,""en"",""zh-CN"")"),"箭头指向他的身体，并向他击中球，同时停下来炫耀自己的身体运动。")</f>
        <v>箭头指向他的身体，并向他击中球，同时停下来炫耀自己的身体运动。</v>
      </c>
    </row>
    <row r="29388">
      <c r="A29388" s="4" t="s">
        <v>37005</v>
      </c>
      <c r="B29388" s="4" t="s">
        <v>37006</v>
      </c>
      <c r="C29388" s="5" t="str">
        <f>IFERROR(__xludf.DUMMYFUNCTION("GOOGLETRANSLATE(B29388,""en"",""zh-CN"")"),"一台自行车椭圆机坐在沙发上的客厅里。")</f>
        <v>一台自行车椭圆机坐在沙发上的客厅里。</v>
      </c>
    </row>
    <row r="29389">
      <c r="A29389" s="4" t="s">
        <v>37005</v>
      </c>
      <c r="B29389" s="4" t="s">
        <v>37007</v>
      </c>
      <c r="C29389" s="5" t="str">
        <f>IFERROR(__xludf.DUMMYFUNCTION("GOOGLETRANSLATE(B29389,""en"",""zh-CN"")"),"一只狗出现在沙发上，突然一个人坐在机器上并打开它。")</f>
        <v>一只狗出现在沙发上，突然一个人坐在机器上并打开它。</v>
      </c>
    </row>
    <row r="29390">
      <c r="A29390" s="4" t="s">
        <v>37005</v>
      </c>
      <c r="B29390" s="6" t="s">
        <v>37008</v>
      </c>
      <c r="C29390" s="5" t="str">
        <f>IFERROR(__xludf.DUMMYFUNCTION("GOOGLETRANSLATE(B29390,""en"",""zh-CN"")"),"一旦机器打开，它就会开始闪烁30分钟，并且该人开始在机器上锻炼，来回推动杆。")</f>
        <v>一旦机器打开，它就会开始闪烁30分钟，并且该人开始在机器上锻炼，来回推动杆。</v>
      </c>
    </row>
    <row r="29391">
      <c r="A29391" s="4" t="s">
        <v>37009</v>
      </c>
      <c r="B29391" s="6" t="s">
        <v>37010</v>
      </c>
      <c r="C29391" s="5" t="str">
        <f>IFERROR(__xludf.DUMMYFUNCTION("GOOGLETRANSLATE(B29391,""en"",""zh-CN"")"),"一名穿着黑色衬衫的男人抬起杠铃，开始上下上下持续几次，而在他身后，有两个人将金属板移到另一个杠铃上。")</f>
        <v>一名穿着黑色衬衫的男人抬起杠铃，开始上下上下持续几次，而在他身后，有两个人将金属板移到另一个杠铃上。</v>
      </c>
    </row>
    <row r="29392">
      <c r="A29392" s="4" t="s">
        <v>37009</v>
      </c>
      <c r="B29392" s="6" t="s">
        <v>37011</v>
      </c>
      <c r="C29392" s="5" t="str">
        <f>IFERROR(__xludf.DUMMYFUNCTION("GOOGLETRANSLATE(B29392,""en"",""zh-CN"")"),"穿着黑色衬衫的男人通过在两侧添加黄板，然后继续举重，从而增加了杠铃的重量。")</f>
        <v>穿着黑色衬衫的男人通过在两侧添加黄板，然后继续举重，从而增加了杠铃的重量。</v>
      </c>
    </row>
    <row r="29393">
      <c r="A29393" s="4" t="s">
        <v>37012</v>
      </c>
      <c r="B29393" s="4" t="s">
        <v>37013</v>
      </c>
      <c r="C29393" s="5" t="str">
        <f>IFERROR(__xludf.DUMMYFUNCTION("GOOGLETRANSLATE(B29393,""en"",""zh-CN"")"),"一个男人和孩子坐在沙发上，而成年人抽烟烟草。")</f>
        <v>一个男人和孩子坐在沙发上，而成年人抽烟烟草。</v>
      </c>
    </row>
    <row r="29394">
      <c r="A29394" s="4" t="s">
        <v>37012</v>
      </c>
      <c r="B29394" s="4" t="s">
        <v>37014</v>
      </c>
      <c r="C29394" s="5" t="str">
        <f>IFERROR(__xludf.DUMMYFUNCTION("GOOGLETRANSLATE(B29394,""en"",""zh-CN"")"),"孩子抓住它，好像要吸烟只是把它拉开。")</f>
        <v>孩子抓住它，好像要吸烟只是把它拉开。</v>
      </c>
    </row>
    <row r="29395">
      <c r="A29395" s="4" t="s">
        <v>37012</v>
      </c>
      <c r="B29395" s="4" t="s">
        <v>37015</v>
      </c>
      <c r="C29395" s="5" t="str">
        <f>IFERROR(__xludf.DUMMYFUNCTION("GOOGLETRANSLATE(B29395,""en"",""zh-CN"")"),"然后，孩子能够将其粘在他自己的嘴里，但不知道该怎么办。")</f>
        <v>然后，孩子能够将其粘在他自己的嘴里，但不知道该怎么办。</v>
      </c>
    </row>
    <row r="29396">
      <c r="A29396" s="4" t="s">
        <v>37012</v>
      </c>
      <c r="B29396" s="6" t="s">
        <v>37016</v>
      </c>
      <c r="C29396" s="5" t="str">
        <f>IFERROR(__xludf.DUMMYFUNCTION("GOOGLETRANSLATE(B29396,""en"",""zh-CN"")"),"他最终将其粘在成年人的嘴里，成年人继续从水烟管中抽烟。")</f>
        <v>他最终将其粘在成年人的嘴里，成年人继续从水烟管中抽烟。</v>
      </c>
    </row>
    <row r="29397">
      <c r="A29397" s="4" t="s">
        <v>37017</v>
      </c>
      <c r="B29397" s="4" t="s">
        <v>37018</v>
      </c>
      <c r="C29397" s="5" t="str">
        <f>IFERROR(__xludf.DUMMYFUNCTION("GOOGLETRANSLATE(B29397,""en"",""zh-CN"")"),"业务详细信息是用黑色背景上的白色文字写的。")</f>
        <v>业务详细信息是用黑色背景上的白色文字写的。</v>
      </c>
    </row>
    <row r="29398">
      <c r="A29398" s="4" t="s">
        <v>37017</v>
      </c>
      <c r="B29398" s="4" t="s">
        <v>37019</v>
      </c>
      <c r="C29398" s="5" t="str">
        <f>IFERROR(__xludf.DUMMYFUNCTION("GOOGLETRANSLATE(B29398,""en"",""zh-CN"")"),"穿着夹克压力的男人在停车场洗了一辆白色汽车。")</f>
        <v>穿着夹克压力的男人在停车场洗了一辆白色汽车。</v>
      </c>
    </row>
    <row r="29399">
      <c r="A29399" s="4" t="s">
        <v>37017</v>
      </c>
      <c r="B29399" s="4" t="s">
        <v>37020</v>
      </c>
      <c r="C29399" s="5" t="str">
        <f>IFERROR(__xludf.DUMMYFUNCTION("GOOGLETRANSLATE(B29399,""en"",""zh-CN"")"),"两名男子用压力冲洗软管清洗黑色SUV。")</f>
        <v>两名男子用压力冲洗软管清洗黑色SUV。</v>
      </c>
    </row>
    <row r="29400">
      <c r="A29400" s="4" t="s">
        <v>37017</v>
      </c>
      <c r="B29400" s="4" t="s">
        <v>37021</v>
      </c>
      <c r="C29400" s="5" t="str">
        <f>IFERROR(__xludf.DUMMYFUNCTION("GOOGLETRANSLATE(B29400,""en"",""zh-CN"")"),"男子用手巾洗白色的汽车。")</f>
        <v>男子用手巾洗白色的汽车。</v>
      </c>
    </row>
    <row r="29401">
      <c r="A29401" s="4" t="s">
        <v>37017</v>
      </c>
      <c r="B29401" s="4" t="s">
        <v>37022</v>
      </c>
      <c r="C29401" s="5" t="str">
        <f>IFERROR(__xludf.DUMMYFUNCTION("GOOGLETRANSLATE(B29401,""en"",""zh-CN"")"),"在显示视频的最终学分之前，请参阅业务细节。")</f>
        <v>在显示视频的最终学分之前，请参阅业务细节。</v>
      </c>
    </row>
    <row r="29402">
      <c r="A29402" s="4" t="s">
        <v>37023</v>
      </c>
      <c r="B29402" s="4" t="s">
        <v>37024</v>
      </c>
      <c r="C29402" s="5" t="str">
        <f>IFERROR(__xludf.DUMMYFUNCTION("GOOGLETRANSLATE(B29402,""en"",""zh-CN"")"),"该视频发生在各种体操运动员的体育馆中。")</f>
        <v>该视频发生在各种体操运动员的体育馆中。</v>
      </c>
    </row>
    <row r="29403">
      <c r="A29403" s="4" t="s">
        <v>37023</v>
      </c>
      <c r="B29403" s="4" t="s">
        <v>37025</v>
      </c>
      <c r="C29403" s="5" t="str">
        <f>IFERROR(__xludf.DUMMYFUNCTION("GOOGLETRANSLATE(B29403,""en"",""zh-CN"")"),"一个年轻的女孩站在蹦床上，准备跳。")</f>
        <v>一个年轻的女孩站在蹦床上，准备跳。</v>
      </c>
    </row>
    <row r="29404">
      <c r="A29404" s="4" t="s">
        <v>37023</v>
      </c>
      <c r="B29404" s="4" t="s">
        <v>37026</v>
      </c>
      <c r="C29404" s="5" t="str">
        <f>IFERROR(__xludf.DUMMYFUNCTION("GOOGLETRANSLATE(B29404,""en"",""zh-CN"")"),"她跳上酒吧，开始在两个酒吧之间进行几次翻转。")</f>
        <v>她跳上酒吧，开始在两个酒吧之间进行几次翻转。</v>
      </c>
    </row>
    <row r="29405">
      <c r="A29405" s="4" t="s">
        <v>37023</v>
      </c>
      <c r="B29405" s="4" t="s">
        <v>37027</v>
      </c>
      <c r="C29405" s="5" t="str">
        <f>IFERROR(__xludf.DUMMYFUNCTION("GOOGLETRANSLATE(B29405,""en"",""zh-CN"")"),"然后，她跳到软垫区域，伸出双手，一个男人给她一个拥抱。")</f>
        <v>然后，她跳到软垫区域，伸出双手，一个男人给她一个拥抱。</v>
      </c>
    </row>
    <row r="29406">
      <c r="A29406" s="4" t="s">
        <v>37028</v>
      </c>
      <c r="B29406" s="4" t="s">
        <v>37029</v>
      </c>
      <c r="C29406" s="5" t="str">
        <f>IFERROR(__xludf.DUMMYFUNCTION("GOOGLETRANSLATE(B29406,""en"",""zh-CN"")"),"看到一条大船在上面驶向风帆，沿着大风暴骑着船上的人。")</f>
        <v>看到一条大船在上面驶向风帆，沿着大风暴骑着船上的人。</v>
      </c>
    </row>
    <row r="29407">
      <c r="A29407" s="4" t="s">
        <v>37028</v>
      </c>
      <c r="B29407" s="4" t="s">
        <v>37030</v>
      </c>
      <c r="C29407" s="5" t="str">
        <f>IFERROR(__xludf.DUMMYFUNCTION("GOOGLETRANSLATE(B29407,""en"",""zh-CN"")"),"当另一艘船驶过并掉下来时，船在某一时刻尖端。")</f>
        <v>当另一艘船驶过并掉下来时，船在某一时刻尖端。</v>
      </c>
    </row>
    <row r="29408">
      <c r="A29408" s="4" t="s">
        <v>37031</v>
      </c>
      <c r="B29408" s="6" t="s">
        <v>37032</v>
      </c>
      <c r="C29408" s="5" t="str">
        <f>IFERROR(__xludf.DUMMYFUNCTION("GOOGLETRANSLATE(B29408,""en"",""zh-CN"")"),"女人正坐在沙发上，腿上拿着猫，他从她旁边的桌子上抓起一块sc骨，开始剪下前猫的指甲。")</f>
        <v>女人正坐在沙发上，腿上拿着猫，他从她旁边的桌子上抓起一块sc骨，开始剪下前猫的指甲。</v>
      </c>
    </row>
    <row r="29409">
      <c r="A29409" s="4" t="s">
        <v>37031</v>
      </c>
      <c r="B29409" s="4" t="s">
        <v>37033</v>
      </c>
      <c r="C29409" s="5" t="str">
        <f>IFERROR(__xludf.DUMMYFUNCTION("GOOGLETRANSLATE(B29409,""en"",""zh-CN"")"),"她看着他的后爪，给了猫一些猫的食物。")</f>
        <v>她看着他的后爪，给了猫一些猫的食物。</v>
      </c>
    </row>
    <row r="29410">
      <c r="A29410" s="4" t="s">
        <v>37031</v>
      </c>
      <c r="B29410" s="4" t="s">
        <v>37034</v>
      </c>
      <c r="C29410" s="5" t="str">
        <f>IFERROR(__xludf.DUMMYFUNCTION("GOOGLETRANSLATE(B29410,""en"",""zh-CN"")"),"女孩祝贺猫，把他放在地板上。")</f>
        <v>女孩祝贺猫，把他放在地板上。</v>
      </c>
    </row>
    <row r="29411">
      <c r="A29411" s="4" t="s">
        <v>37035</v>
      </c>
      <c r="B29411" s="4" t="s">
        <v>37036</v>
      </c>
      <c r="C29411" s="5" t="str">
        <f>IFERROR(__xludf.DUMMYFUNCTION("GOOGLETRANSLATE(B29411,""en"",""zh-CN"")"),"一个没有衬衫的男人坐在树上，用咖啡杯喝酒。")</f>
        <v>一个没有衬衫的男人坐在树上，用咖啡杯喝酒。</v>
      </c>
    </row>
    <row r="29412">
      <c r="A29412" s="4" t="s">
        <v>37035</v>
      </c>
      <c r="B29412" s="4" t="s">
        <v>37037</v>
      </c>
      <c r="C29412" s="5" t="str">
        <f>IFERROR(__xludf.DUMMYFUNCTION("GOOGLETRANSLATE(B29412,""en"",""zh-CN"")"),"看到一个人抚摸猫。")</f>
        <v>看到一个人抚摸猫。</v>
      </c>
    </row>
    <row r="29413">
      <c r="A29413" s="4" t="s">
        <v>37038</v>
      </c>
      <c r="B29413" s="4" t="s">
        <v>37039</v>
      </c>
      <c r="C29413" s="5" t="str">
        <f>IFERROR(__xludf.DUMMYFUNCTION("GOOGLETRANSLATE(B29413,""en"",""zh-CN"")"),"一个男孩正在海洋边缘附近建造一个沙堡。")</f>
        <v>一个男孩正在海洋边缘附近建造一个沙堡。</v>
      </c>
    </row>
    <row r="29414">
      <c r="A29414" s="4" t="s">
        <v>37038</v>
      </c>
      <c r="B29414" s="4" t="s">
        <v>37040</v>
      </c>
      <c r="C29414" s="5" t="str">
        <f>IFERROR(__xludf.DUMMYFUNCTION("GOOGLETRANSLATE(B29414,""en"",""zh-CN"")"),"他形成了巨大的圆圈，站起来。")</f>
        <v>他形成了巨大的圆圈，站起来。</v>
      </c>
    </row>
    <row r="29415">
      <c r="A29415" s="4" t="s">
        <v>37041</v>
      </c>
      <c r="B29415" s="4" t="s">
        <v>37042</v>
      </c>
      <c r="C29415" s="5" t="str">
        <f>IFERROR(__xludf.DUMMYFUNCTION("GOOGLETRANSLATE(B29415,""en"",""zh-CN"")"),"一个男人在海滩上亲吻一个女孩。")</f>
        <v>一个男人在海滩上亲吻一个女孩。</v>
      </c>
    </row>
    <row r="29416">
      <c r="A29416" s="4" t="s">
        <v>37041</v>
      </c>
      <c r="B29416" s="4" t="s">
        <v>37043</v>
      </c>
      <c r="C29416" s="5" t="str">
        <f>IFERROR(__xludf.DUMMYFUNCTION("GOOGLETRANSLATE(B29416,""en"",""zh-CN"")"),"人们在海滩上玩岩石剪刀。")</f>
        <v>人们在海滩上玩岩石剪刀。</v>
      </c>
    </row>
    <row r="29417">
      <c r="A29417" s="4" t="s">
        <v>37041</v>
      </c>
      <c r="B29417" s="4" t="s">
        <v>37044</v>
      </c>
      <c r="C29417" s="5" t="str">
        <f>IFERROR(__xludf.DUMMYFUNCTION("GOOGLETRANSLATE(B29417,""en"",""zh-CN"")"),"一个穿着黑色衬衫的男人站在海滩上。")</f>
        <v>一个穿着黑色衬衫的男人站在海滩上。</v>
      </c>
    </row>
    <row r="29418">
      <c r="A29418" s="4" t="s">
        <v>37045</v>
      </c>
      <c r="B29418" s="4" t="s">
        <v>37046</v>
      </c>
      <c r="C29418" s="5" t="str">
        <f>IFERROR(__xludf.DUMMYFUNCTION("GOOGLETRANSLATE(B29418,""en"",""zh-CN"")"),"一个男人将电缆插入吉他。")</f>
        <v>一个男人将电缆插入吉他。</v>
      </c>
    </row>
    <row r="29419">
      <c r="A29419" s="4" t="s">
        <v>37045</v>
      </c>
      <c r="B29419" s="4" t="s">
        <v>37047</v>
      </c>
      <c r="C29419" s="5" t="str">
        <f>IFERROR(__xludf.DUMMYFUNCTION("GOOGLETRANSLATE(B29419,""en"",""zh-CN"")"),"他开始弹吉他。")</f>
        <v>他开始弹吉他。</v>
      </c>
    </row>
    <row r="29420">
      <c r="A29420" s="4" t="s">
        <v>37045</v>
      </c>
      <c r="B29420" s="4" t="s">
        <v>37048</v>
      </c>
      <c r="C29420" s="5" t="str">
        <f>IFERROR(__xludf.DUMMYFUNCTION("GOOGLETRANSLATE(B29420,""en"",""zh-CN"")"),"他抬头说话。")</f>
        <v>他抬头说话。</v>
      </c>
    </row>
    <row r="29421">
      <c r="A29421" s="4" t="s">
        <v>37045</v>
      </c>
      <c r="B29421" s="4" t="s">
        <v>37049</v>
      </c>
      <c r="C29421" s="5" t="str">
        <f>IFERROR(__xludf.DUMMYFUNCTION("GOOGLETRANSLATE(B29421,""en"",""zh-CN"")"),"他回去弹吉他。")</f>
        <v>他回去弹吉他。</v>
      </c>
    </row>
    <row r="29422">
      <c r="A29422" s="4" t="s">
        <v>37045</v>
      </c>
      <c r="B29422" s="4" t="s">
        <v>37050</v>
      </c>
      <c r="C29422" s="5" t="str">
        <f>IFERROR(__xludf.DUMMYFUNCTION("GOOGLETRANSLATE(B29422,""en"",""zh-CN"")"),"他再次抬起头，说话时说话。")</f>
        <v>他再次抬起头，说话时说话。</v>
      </c>
    </row>
    <row r="29423">
      <c r="A29423" s="4" t="s">
        <v>37045</v>
      </c>
      <c r="B29423" s="4" t="s">
        <v>37051</v>
      </c>
      <c r="C29423" s="5" t="str">
        <f>IFERROR(__xludf.DUMMYFUNCTION("GOOGLETRANSLATE(B29423,""en"",""zh-CN"")"),"他再次开始弹吉他。")</f>
        <v>他再次开始弹吉他。</v>
      </c>
    </row>
    <row r="29424">
      <c r="A29424" s="4" t="s">
        <v>37045</v>
      </c>
      <c r="B29424" s="4" t="s">
        <v>37052</v>
      </c>
      <c r="C29424" s="5" t="str">
        <f>IFERROR(__xludf.DUMMYFUNCTION("GOOGLETRANSLATE(B29424,""en"",""zh-CN"")"),"他沿着吉他滑动手指。")</f>
        <v>他沿着吉他滑动手指。</v>
      </c>
    </row>
    <row r="29425">
      <c r="A29425" s="4" t="s">
        <v>37053</v>
      </c>
      <c r="B29425" s="4" t="s">
        <v>37054</v>
      </c>
      <c r="C29425" s="5" t="str">
        <f>IFERROR(__xludf.DUMMYFUNCTION("GOOGLETRANSLATE(B29425,""en"",""zh-CN"")"),"一个女人在厨房里，在锅里搅拌食物。")</f>
        <v>一个女人在厨房里，在锅里搅拌食物。</v>
      </c>
    </row>
    <row r="29426">
      <c r="A29426" s="4" t="s">
        <v>37053</v>
      </c>
      <c r="B29426" s="4" t="s">
        <v>37055</v>
      </c>
      <c r="C29426" s="5" t="str">
        <f>IFERROR(__xludf.DUMMYFUNCTION("GOOGLETRANSLATE(B29426,""en"",""zh-CN"")"),"她在谈话时一次添加一次收集的食材，显示她正在使用的面食。")</f>
        <v>她在谈话时一次添加一次收集的食材，显示她正在使用的面食。</v>
      </c>
    </row>
    <row r="29427">
      <c r="A29427" s="4" t="s">
        <v>37053</v>
      </c>
      <c r="B29427" s="4" t="s">
        <v>37056</v>
      </c>
      <c r="C29427" s="5" t="str">
        <f>IFERROR(__xludf.DUMMYFUNCTION("GOOGLETRANSLATE(B29427,""en"",""zh-CN"")"),"然后，她加了一碗蔬菜。")</f>
        <v>然后，她加了一碗蔬菜。</v>
      </c>
    </row>
    <row r="29428">
      <c r="A29428" s="4" t="s">
        <v>37057</v>
      </c>
      <c r="B29428" s="4" t="s">
        <v>37058</v>
      </c>
      <c r="C29428" s="5" t="str">
        <f>IFERROR(__xludf.DUMMYFUNCTION("GOOGLETRANSLATE(B29428,""en"",""zh-CN"")"),"看到一个人坐在拿着乐器的镜头前。")</f>
        <v>看到一个人坐在拿着乐器的镜头前。</v>
      </c>
    </row>
    <row r="29429">
      <c r="A29429" s="4" t="s">
        <v>37057</v>
      </c>
      <c r="B29429" s="4" t="s">
        <v>37059</v>
      </c>
      <c r="C29429" s="5" t="str">
        <f>IFERROR(__xludf.DUMMYFUNCTION("GOOGLETRANSLATE(B29429,""en"",""zh-CN"")"),"然后，当相机捕获是动作时，该男子开始演奏乐器。")</f>
        <v>然后，当相机捕获是动作时，该男子开始演奏乐器。</v>
      </c>
    </row>
    <row r="29430">
      <c r="A29430" s="4" t="s">
        <v>37057</v>
      </c>
      <c r="B29430" s="6" t="s">
        <v>37060</v>
      </c>
      <c r="C29430" s="5" t="str">
        <f>IFERROR(__xludf.DUMMYFUNCTION("GOOGLETRANSLATE(B29430,""en"",""zh-CN"")"),"该名男子一直沿着乐器挥舞着手动，最后将相机关闭。")</f>
        <v>该名男子一直沿着乐器挥舞着手动，最后将相机关闭。</v>
      </c>
    </row>
    <row r="29431">
      <c r="A29431" s="4" t="s">
        <v>37061</v>
      </c>
      <c r="B29431" s="4" t="s">
        <v>37062</v>
      </c>
      <c r="C29431" s="5" t="str">
        <f>IFERROR(__xludf.DUMMYFUNCTION("GOOGLETRANSLATE(B29431,""en"",""zh-CN"")"),"一个男人在寻找他的狗。")</f>
        <v>一个男人在寻找他的狗。</v>
      </c>
    </row>
    <row r="29432">
      <c r="A29432" s="4" t="s">
        <v>37061</v>
      </c>
      <c r="B29432" s="4" t="s">
        <v>37063</v>
      </c>
      <c r="C29432" s="5" t="str">
        <f>IFERROR(__xludf.DUMMYFUNCTION("GOOGLETRANSLATE(B29432,""en"",""zh-CN"")"),"他说他付了狗10美元来切草，现在他走了。")</f>
        <v>他说他付了狗10美元来切草，现在他走了。</v>
      </c>
    </row>
    <row r="29433">
      <c r="A29433" s="4" t="s">
        <v>37061</v>
      </c>
      <c r="B29433" s="4" t="s">
        <v>37064</v>
      </c>
      <c r="C29433" s="5" t="str">
        <f>IFERROR(__xludf.DUMMYFUNCTION("GOOGLETRANSLATE(B29433,""en"",""zh-CN"")"),"他终于找到了驾驶骑马割草机的狗。")</f>
        <v>他终于找到了驾驶骑马割草机的狗。</v>
      </c>
    </row>
    <row r="29434">
      <c r="A29434" s="4" t="s">
        <v>37061</v>
      </c>
      <c r="B29434" s="4" t="s">
        <v>37065</v>
      </c>
      <c r="C29434" s="5" t="str">
        <f>IFERROR(__xludf.DUMMYFUNCTION("GOOGLETRANSLATE(B29434,""en"",""zh-CN"")"),"根据所有者的说法，这只狗正在要求加薪。")</f>
        <v>根据所有者的说法，这只狗正在要求加薪。</v>
      </c>
    </row>
    <row r="29435">
      <c r="A29435" s="4" t="s">
        <v>37061</v>
      </c>
      <c r="B29435" s="4" t="s">
        <v>37066</v>
      </c>
      <c r="C29435" s="5" t="str">
        <f>IFERROR(__xludf.DUMMYFUNCTION("GOOGLETRANSLATE(B29435,""en"",""zh-CN"")"),"他继续以其他狗观看的方式继续割草。")</f>
        <v>他继续以其他狗观看的方式继续割草。</v>
      </c>
    </row>
    <row r="29436">
      <c r="A29436" s="4" t="s">
        <v>37067</v>
      </c>
      <c r="B29436" s="4" t="s">
        <v>37068</v>
      </c>
      <c r="C29436" s="5" t="str">
        <f>IFERROR(__xludf.DUMMYFUNCTION("GOOGLETRANSLATE(B29436,""en"",""zh-CN"")"),"看到两个孩子与另一个男人一起握住杆子，并在垫子上玩耍板板游戏。")</f>
        <v>看到两个孩子与另一个男人一起握住杆子，并在垫子上玩耍板板游戏。</v>
      </c>
    </row>
    <row r="29437">
      <c r="A29437" s="4" t="s">
        <v>37067</v>
      </c>
      <c r="B29437" s="6" t="s">
        <v>37069</v>
      </c>
      <c r="C29437" s="5" t="str">
        <f>IFERROR(__xludf.DUMMYFUNCTION("GOOGLETRANSLATE(B29437,""en"",""zh-CN"")"),"孩子们将冰球推到后方和第四次，而彼此走动，最后一个女人走进框架和一个小男孩的特写。")</f>
        <v>孩子们将冰球推到后方和第四次，而彼此走动，最后一个女人走进框架和一个小男孩的特写。</v>
      </c>
    </row>
    <row r="29438">
      <c r="A29438" s="4" t="s">
        <v>37070</v>
      </c>
      <c r="B29438" s="6" t="s">
        <v>37071</v>
      </c>
      <c r="C29438" s="5" t="str">
        <f>IFERROR(__xludf.DUMMYFUNCTION("GOOGLETRANSLATE(B29438,""en"",""zh-CN"")"),"相机在建筑物周围以及内部摆姿势图片和围栏装备的人。")</f>
        <v>相机在建筑物周围以及内部摆姿势图片和围栏装备的人。</v>
      </c>
    </row>
    <row r="29439">
      <c r="A29439" s="4" t="s">
        <v>37070</v>
      </c>
      <c r="B29439" s="6" t="s">
        <v>37072</v>
      </c>
      <c r="C29439" s="5" t="str">
        <f>IFERROR(__xludf.DUMMYFUNCTION("GOOGLETRANSLATE(B29439,""en"",""zh-CN"")"),"显示了更多的剪辑，其中显示了围栏物体，侧面观看的人以及其他准备围栏的剪辑。")</f>
        <v>显示了更多的剪辑，其中显示了围栏物体，侧面观看的人以及其他准备围栏的剪辑。</v>
      </c>
    </row>
    <row r="29440">
      <c r="A29440" s="4" t="s">
        <v>37070</v>
      </c>
      <c r="B29440" s="6" t="s">
        <v>37073</v>
      </c>
      <c r="C29440" s="5" t="str">
        <f>IFERROR(__xludf.DUMMYFUNCTION("GOOGLETRANSLATE(B29440,""en"",""zh-CN"")"),"然后显示了几个剪辑，两个人互相围起来，一个女人在侧面和侧面看着的人看着。")</f>
        <v>然后显示了几个剪辑，两个人互相围起来，一个女人在侧面和侧面看着的人看着。</v>
      </c>
    </row>
    <row r="29441">
      <c r="A29441" s="4" t="s">
        <v>37074</v>
      </c>
      <c r="B29441" s="4" t="s">
        <v>37075</v>
      </c>
      <c r="C29441" s="5" t="str">
        <f>IFERROR(__xludf.DUMMYFUNCTION("GOOGLETRANSLATE(B29441,""en"",""zh-CN"")"),"一个人在工作室的镜子前练习，而另一个人则看着。")</f>
        <v>一个人在工作室的镜子前练习，而另一个人则看着。</v>
      </c>
    </row>
    <row r="29442">
      <c r="A29442" s="4" t="s">
        <v>37074</v>
      </c>
      <c r="B29442" s="4" t="s">
        <v>37076</v>
      </c>
      <c r="C29442" s="5" t="str">
        <f>IFERROR(__xludf.DUMMYFUNCTION("GOOGLETRANSLATE(B29442,""en"",""zh-CN"")"),"他们开始轮流在镜子前试图完善自己的动作。")</f>
        <v>他们开始轮流在镜子前试图完善自己的动作。</v>
      </c>
    </row>
    <row r="29443">
      <c r="A29443" s="4" t="s">
        <v>37074</v>
      </c>
      <c r="B29443" s="4" t="s">
        <v>37077</v>
      </c>
      <c r="C29443" s="5" t="str">
        <f>IFERROR(__xludf.DUMMYFUNCTION("GOOGLETRANSLATE(B29443,""en"",""zh-CN"")"),"他们正在做各种疯狂的杂技翻转和其他动作。")</f>
        <v>他们正在做各种疯狂的杂技翻转和其他动作。</v>
      </c>
    </row>
    <row r="29444">
      <c r="A29444" s="4" t="s">
        <v>37074</v>
      </c>
      <c r="B29444" s="6" t="s">
        <v>37078</v>
      </c>
      <c r="C29444" s="5" t="str">
        <f>IFERROR(__xludf.DUMMYFUNCTION("GOOGLETRANSLATE(B29444,""en"",""zh-CN"")"),"大约有六个或七个人坐在墙上看着另一个人在空中翻转。")</f>
        <v>大约有六个或七个人坐在墙上看着另一个人在空中翻转。</v>
      </c>
    </row>
    <row r="29445">
      <c r="A29445" s="4" t="s">
        <v>37079</v>
      </c>
      <c r="B29445" s="4" t="s">
        <v>37080</v>
      </c>
      <c r="C29445" s="5" t="str">
        <f>IFERROR(__xludf.DUMMYFUNCTION("GOOGLETRANSLATE(B29445,""en"",""zh-CN"")"),"当相机放大时，看到一个人走在潜水板的长度上。")</f>
        <v>当相机放大时，看到一个人走在潜水板的长度上。</v>
      </c>
    </row>
    <row r="29446">
      <c r="A29446" s="4" t="s">
        <v>37079</v>
      </c>
      <c r="B29446" s="4" t="s">
        <v>37081</v>
      </c>
      <c r="C29446" s="5" t="str">
        <f>IFERROR(__xludf.DUMMYFUNCTION("GOOGLETRANSLATE(B29446,""en"",""zh-CN"")"),"该名男子转过身，将板上的背面翻转入水中。")</f>
        <v>该名男子转过身，将板上的背面翻转入水中。</v>
      </c>
    </row>
    <row r="29447">
      <c r="A29447" s="4" t="s">
        <v>37082</v>
      </c>
      <c r="B29447" s="4" t="s">
        <v>37083</v>
      </c>
      <c r="C29447" s="5" t="str">
        <f>IFERROR(__xludf.DUMMYFUNCTION("GOOGLETRANSLATE(B29447,""en"",""zh-CN"")"),"一位女士在健身健身房的有氧楼梯上跳舞。")</f>
        <v>一位女士在健身健身房的有氧楼梯上跳舞。</v>
      </c>
    </row>
    <row r="29448">
      <c r="A29448" s="4" t="s">
        <v>37082</v>
      </c>
      <c r="B29448" s="4" t="s">
        <v>37084</v>
      </c>
      <c r="C29448" s="5" t="str">
        <f>IFERROR(__xludf.DUMMYFUNCTION("GOOGLETRANSLATE(B29448,""en"",""zh-CN"")"),"女士旋转了脚步。")</f>
        <v>女士旋转了脚步。</v>
      </c>
    </row>
    <row r="29449">
      <c r="A29449" s="4" t="s">
        <v>37082</v>
      </c>
      <c r="B29449" s="4" t="s">
        <v>37085</v>
      </c>
      <c r="C29449" s="5" t="str">
        <f>IFERROR(__xludf.DUMMYFUNCTION("GOOGLETRANSLATE(B29449,""en"",""zh-CN"")"),"那位女士触摸她的脚趾。")</f>
        <v>那位女士触摸她的脚趾。</v>
      </c>
    </row>
    <row r="29450">
      <c r="A29450" s="4" t="s">
        <v>37082</v>
      </c>
      <c r="B29450" s="4" t="s">
        <v>37086</v>
      </c>
      <c r="C29450" s="5" t="str">
        <f>IFERROR(__xludf.DUMMYFUNCTION("GOOGLETRANSLATE(B29450,""en"",""zh-CN"")"),"这位女士反复重复例行。")</f>
        <v>这位女士反复重复例行。</v>
      </c>
    </row>
    <row r="29451">
      <c r="A29451" s="4" t="s">
        <v>37082</v>
      </c>
      <c r="B29451" s="4" t="s">
        <v>37087</v>
      </c>
      <c r="C29451" s="5" t="str">
        <f>IFERROR(__xludf.DUMMYFUNCTION("GOOGLETRANSLATE(B29451,""en"",""zh-CN"")"),"那位女士走出前面的脚步，看着相机。")</f>
        <v>那位女士走出前面的脚步，看着相机。</v>
      </c>
    </row>
    <row r="29452">
      <c r="A29452" s="4" t="s">
        <v>37088</v>
      </c>
      <c r="B29452" s="4" t="s">
        <v>37089</v>
      </c>
      <c r="C29452" s="5" t="str">
        <f>IFERROR(__xludf.DUMMYFUNCTION("GOOGLETRANSLATE(B29452,""en"",""zh-CN"")"),"一个老妇将白球扔向绿色杯子。")</f>
        <v>一个老妇将白球扔向绿色杯子。</v>
      </c>
    </row>
    <row r="29453">
      <c r="A29453" s="4" t="s">
        <v>37088</v>
      </c>
      <c r="B29453" s="4" t="s">
        <v>37090</v>
      </c>
      <c r="C29453" s="5" t="str">
        <f>IFERROR(__xludf.DUMMYFUNCTION("GOOGLETRANSLATE(B29453,""en"",""zh-CN"")"),"一个小男孩把球还给了球。")</f>
        <v>一个小男孩把球还给了球。</v>
      </c>
    </row>
    <row r="29454">
      <c r="A29454" s="4" t="s">
        <v>37088</v>
      </c>
      <c r="B29454" s="4" t="s">
        <v>37091</v>
      </c>
      <c r="C29454" s="5" t="str">
        <f>IFERROR(__xludf.DUMMYFUNCTION("GOOGLETRANSLATE(B29454,""en"",""zh-CN"")"),"女人再次扔球。")</f>
        <v>女人再次扔球。</v>
      </c>
    </row>
    <row r="29455">
      <c r="A29455" s="4" t="s">
        <v>37088</v>
      </c>
      <c r="B29455" s="4" t="s">
        <v>37092</v>
      </c>
      <c r="C29455" s="5" t="str">
        <f>IFERROR(__xludf.DUMMYFUNCTION("GOOGLETRANSLATE(B29455,""en"",""zh-CN"")"),"她跳舞并再次投掷。")</f>
        <v>她跳舞并再次投掷。</v>
      </c>
    </row>
    <row r="29456">
      <c r="A29456" s="4" t="s">
        <v>37088</v>
      </c>
      <c r="B29456" s="4" t="s">
        <v>37093</v>
      </c>
      <c r="C29456" s="5" t="str">
        <f>IFERROR(__xludf.DUMMYFUNCTION("GOOGLETRANSLATE(B29456,""en"",""zh-CN"")"),"她再次扔白球。")</f>
        <v>她再次扔白球。</v>
      </c>
    </row>
    <row r="29457">
      <c r="A29457" s="4" t="s">
        <v>37088</v>
      </c>
      <c r="B29457" s="4" t="s">
        <v>37094</v>
      </c>
      <c r="C29457" s="5" t="str">
        <f>IFERROR(__xludf.DUMMYFUNCTION("GOOGLETRANSLATE(B29457,""en"",""zh-CN"")"),"小男孩递给女人球，她再次扔了球。")</f>
        <v>小男孩递给女人球，她再次扔了球。</v>
      </c>
    </row>
    <row r="29458">
      <c r="A29458" s="4" t="s">
        <v>37088</v>
      </c>
      <c r="B29458" s="4" t="s">
        <v>37095</v>
      </c>
      <c r="C29458" s="5" t="str">
        <f>IFERROR(__xludf.DUMMYFUNCTION("GOOGLETRANSLATE(B29458,""en"",""zh-CN"")"),"老妇开始笑。")</f>
        <v>老妇开始笑。</v>
      </c>
    </row>
    <row r="29459">
      <c r="A29459" s="4" t="s">
        <v>37096</v>
      </c>
      <c r="B29459" s="4" t="s">
        <v>37097</v>
      </c>
      <c r="C29459" s="5" t="str">
        <f>IFERROR(__xludf.DUMMYFUNCTION("GOOGLETRANSLATE(B29459,""en"",""zh-CN"")"),"一群after子在那里划船，沿着河流和障碍物沿着河上划船。")</f>
        <v>一群after子在那里划船，沿着河流和障碍物沿着河上划船。</v>
      </c>
    </row>
    <row r="29460">
      <c r="A29460" s="4" t="s">
        <v>37096</v>
      </c>
      <c r="B29460" s="4" t="s">
        <v>37098</v>
      </c>
      <c r="C29460" s="5" t="str">
        <f>IFERROR(__xludf.DUMMYFUNCTION("GOOGLETRANSLATE(B29460,""en"",""zh-CN"")"),"一群rafter从岩石上驶下，然后转到那里，面对电流。")</f>
        <v>一群rafter从岩石上驶下，然后转到那里，面对电流。</v>
      </c>
    </row>
    <row r="29461">
      <c r="A29461" s="4" t="s">
        <v>37096</v>
      </c>
      <c r="B29461" s="4" t="s">
        <v>37099</v>
      </c>
      <c r="C29461" s="5" t="str">
        <f>IFERROR(__xludf.DUMMYFUNCTION("GOOGLETRANSLATE(B29461,""en"",""zh-CN"")"),"after绕通过混凝土结构进行操纵。")</f>
        <v>after绕通过混凝土结构进行操纵。</v>
      </c>
    </row>
    <row r="29462">
      <c r="A29462" s="4" t="s">
        <v>37096</v>
      </c>
      <c r="B29462" s="4" t="s">
        <v>37100</v>
      </c>
      <c r="C29462" s="5" t="str">
        <f>IFERROR(__xludf.DUMMYFUNCTION("GOOGLETRANSLATE(B29462,""en"",""zh-CN"")"),"该小组围在一块大巨石上划着河中间，挂在河中间。")</f>
        <v>该小组围在一块大巨石上划着河中间，挂在河中间。</v>
      </c>
    </row>
    <row r="29463">
      <c r="A29463" s="4" t="s">
        <v>37096</v>
      </c>
      <c r="B29463" s="4" t="s">
        <v>37101</v>
      </c>
      <c r="C29463" s="5" t="str">
        <f>IFERROR(__xludf.DUMMYFUNCTION("GOOGLETRANSLATE(B29463,""en"",""zh-CN"")"),"小组从一块岩石跳入河。")</f>
        <v>小组从一块岩石跳入河。</v>
      </c>
    </row>
    <row r="29464">
      <c r="A29464" s="4" t="s">
        <v>37102</v>
      </c>
      <c r="B29464" s="6" t="s">
        <v>37103</v>
      </c>
      <c r="C29464" s="5" t="str">
        <f>IFERROR(__xludf.DUMMYFUNCTION("GOOGLETRANSLATE(B29464,""en"",""zh-CN"")"),"出现了浅蓝色的屏幕，它具有多个不英语的蓝色单词，它们从下到顶部滚动。")</f>
        <v>出现了浅蓝色的屏幕，它具有多个不英语的蓝色单词，它们从下到顶部滚动。</v>
      </c>
    </row>
    <row r="29465">
      <c r="A29465" s="4" t="s">
        <v>37102</v>
      </c>
      <c r="B29465" s="4" t="s">
        <v>37104</v>
      </c>
      <c r="C29465" s="5" t="str">
        <f>IFERROR(__xludf.DUMMYFUNCTION("GOOGLETRANSLATE(B29465,""en"",""zh-CN"")"),"滚动字母的方向从底部变为顶部，现在它们位于中间。")</f>
        <v>滚动字母的方向从底部变为顶部，现在它们位于中间。</v>
      </c>
    </row>
    <row r="29466">
      <c r="A29466" s="4" t="s">
        <v>37102</v>
      </c>
      <c r="B29466" s="6" t="s">
        <v>37105</v>
      </c>
      <c r="C29466" s="5" t="str">
        <f>IFERROR(__xludf.DUMMYFUNCTION("GOOGLETRANSLATE(B29466,""en"",""zh-CN"")"),"一个穿着白色纽扣的男人穿着短袖衬衫和黑色长裤站在靠近水的绿草上，身后有一个大灌木丛，他的协调运动非常缓慢。")</f>
        <v>一个穿着白色纽扣的男人穿着短袖衬衫和黑色长裤站在靠近水的绿草上，身后有一个大灌木丛，他的协调运动非常缓慢。</v>
      </c>
    </row>
    <row r="29467">
      <c r="A29467" s="4" t="s">
        <v>37106</v>
      </c>
      <c r="B29467" s="4" t="s">
        <v>37107</v>
      </c>
      <c r="C29467" s="5" t="str">
        <f>IFERROR(__xludf.DUMMYFUNCTION("GOOGLETRANSLATE(B29467,""en"",""zh-CN"")"),"一名教练正在训练一个男孩和一个女孩进行跆拳道。")</f>
        <v>一名教练正在训练一个男孩和一个女孩进行跆拳道。</v>
      </c>
    </row>
    <row r="29468">
      <c r="A29468" s="4" t="s">
        <v>37106</v>
      </c>
      <c r="B29468" s="4" t="s">
        <v>37108</v>
      </c>
      <c r="C29468" s="5" t="str">
        <f>IFERROR(__xludf.DUMMYFUNCTION("GOOGLETRANSLATE(B29468,""en"",""zh-CN"")"),"有一个女人站在紫色的衬衫上，拍摄教练教孩子们。")</f>
        <v>有一个女人站在紫色的衬衫上，拍摄教练教孩子们。</v>
      </c>
    </row>
    <row r="29469">
      <c r="A29469" s="4" t="s">
        <v>37106</v>
      </c>
      <c r="B29469" s="4" t="s">
        <v>37109</v>
      </c>
      <c r="C29469" s="5" t="str">
        <f>IFERROR(__xludf.DUMMYFUNCTION("GOOGLETRANSLATE(B29469,""en"",""zh-CN"")"),"女孩和男孩都轮流返回拳，并踢到教练身上。")</f>
        <v>女孩和男孩都轮流返回拳，并踢到教练身上。</v>
      </c>
    </row>
    <row r="29470">
      <c r="A29470" s="4" t="s">
        <v>37106</v>
      </c>
      <c r="B29470" s="4" t="s">
        <v>37110</v>
      </c>
      <c r="C29470" s="5" t="str">
        <f>IFERROR(__xludf.DUMMYFUNCTION("GOOGLETRANSLATE(B29470,""en"",""zh-CN"")"),"教练正在鼓励学生不断打孔并返回踢脚。")</f>
        <v>教练正在鼓励学生不断打孔并返回踢脚。</v>
      </c>
    </row>
    <row r="29471">
      <c r="A29471" s="4" t="s">
        <v>37111</v>
      </c>
      <c r="B29471" s="4" t="s">
        <v>37112</v>
      </c>
      <c r="C29471" s="5" t="str">
        <f>IFERROR(__xludf.DUMMYFUNCTION("GOOGLETRANSLATE(B29471,""en"",""zh-CN"")"),"看到一小群孩子坐在游泳池周围，而相机在游泳池周围竖起。")</f>
        <v>看到一小群孩子坐在游泳池周围，而相机在游泳池周围竖起。</v>
      </c>
    </row>
    <row r="29472">
      <c r="A29472" s="4" t="s">
        <v>37111</v>
      </c>
      <c r="B29472" s="4" t="s">
        <v>37113</v>
      </c>
      <c r="C29472" s="5" t="str">
        <f>IFERROR(__xludf.DUMMYFUNCTION("GOOGLETRANSLATE(B29472,""en"",""zh-CN"")"),"孩子们踢脚，向一位教练展示帮助孩子。")</f>
        <v>孩子们踢脚，向一位教练展示帮助孩子。</v>
      </c>
    </row>
    <row r="29473">
      <c r="A29473" s="4" t="s">
        <v>37111</v>
      </c>
      <c r="B29473" s="4" t="s">
        <v>37114</v>
      </c>
      <c r="C29473" s="5" t="str">
        <f>IFERROR(__xludf.DUMMYFUNCTION("GOOGLETRANSLATE(B29473,""en"",""zh-CN"")"),"该男子继续带着孩子和孩子的近距离在游泳池周围游泳。")</f>
        <v>该男子继续带着孩子和孩子的近距离在游泳池周围游泳。</v>
      </c>
    </row>
    <row r="29474">
      <c r="A29474" s="4" t="s">
        <v>37115</v>
      </c>
      <c r="B29474" s="4" t="s">
        <v>37116</v>
      </c>
      <c r="C29474" s="5" t="str">
        <f>IFERROR(__xludf.DUMMYFUNCTION("GOOGLETRANSLATE(B29474,""en"",""zh-CN"")"),"一个小男孩正在推拖把。")</f>
        <v>一个小男孩正在推拖把。</v>
      </c>
    </row>
    <row r="29475">
      <c r="A29475" s="4" t="s">
        <v>37115</v>
      </c>
      <c r="B29475" s="4" t="s">
        <v>37117</v>
      </c>
      <c r="C29475" s="5" t="str">
        <f>IFERROR(__xludf.DUMMYFUNCTION("GOOGLETRANSLATE(B29475,""en"",""zh-CN"")"),"他关闭了开着的烤箱门。")</f>
        <v>他关闭了开着的烤箱门。</v>
      </c>
    </row>
    <row r="29476">
      <c r="A29476" s="4" t="s">
        <v>37115</v>
      </c>
      <c r="B29476" s="4" t="s">
        <v>37118</v>
      </c>
      <c r="C29476" s="5" t="str">
        <f>IFERROR(__xludf.DUMMYFUNCTION("GOOGLETRANSLATE(B29476,""en"",""zh-CN"")"),"他继续擦地板。")</f>
        <v>他继续擦地板。</v>
      </c>
    </row>
    <row r="29477">
      <c r="A29477" s="4" t="s">
        <v>37115</v>
      </c>
      <c r="B29477" s="4" t="s">
        <v>37119</v>
      </c>
      <c r="C29477" s="5" t="str">
        <f>IFERROR(__xludf.DUMMYFUNCTION("GOOGLETRANSLATE(B29477,""en"",""zh-CN"")"),"他拿起拖把，将其放在空中。")</f>
        <v>他拿起拖把，将其放在空中。</v>
      </c>
    </row>
    <row r="29478">
      <c r="A29478" s="4" t="s">
        <v>37115</v>
      </c>
      <c r="B29478" s="4" t="s">
        <v>37120</v>
      </c>
      <c r="C29478" s="5" t="str">
        <f>IFERROR(__xludf.DUMMYFUNCTION("GOOGLETRANSLATE(B29478,""en"",""zh-CN"")"),"他将其放下并继续拖曳。")</f>
        <v>他将其放下并继续拖曳。</v>
      </c>
    </row>
    <row r="29479">
      <c r="A29479" s="4" t="s">
        <v>37121</v>
      </c>
      <c r="B29479" s="4" t="s">
        <v>37122</v>
      </c>
      <c r="C29479" s="5" t="str">
        <f>IFERROR(__xludf.DUMMYFUNCTION("GOOGLETRANSLATE(B29479,""en"",""zh-CN"")"),"有人向有人沿着乌克兰的一条白雪皑皑的街道行驶。")</f>
        <v>有人向有人沿着乌克兰的一条白雪皑皑的街道行驶。</v>
      </c>
    </row>
    <row r="29480">
      <c r="A29480" s="4" t="s">
        <v>37121</v>
      </c>
      <c r="B29480" s="4" t="s">
        <v>37123</v>
      </c>
      <c r="C29480" s="5" t="str">
        <f>IFERROR(__xludf.DUMMYFUNCTION("GOOGLETRANSLATE(B29480,""en"",""zh-CN"")"),"几个滑雪者在山侧的斜坡上滑雪。")</f>
        <v>几个滑雪者在山侧的斜坡上滑雪。</v>
      </c>
    </row>
    <row r="29481">
      <c r="A29481" s="4" t="s">
        <v>37121</v>
      </c>
      <c r="B29481" s="4" t="s">
        <v>37124</v>
      </c>
      <c r="C29481" s="5" t="str">
        <f>IFERROR(__xludf.DUMMYFUNCTION("GOOGLETRANSLATE(B29481,""en"",""zh-CN"")"),"一些滑雪者在他们走时看到了特写。")</f>
        <v>一些滑雪者在他们走时看到了特写。</v>
      </c>
    </row>
    <row r="29482">
      <c r="A29482" s="4" t="s">
        <v>37125</v>
      </c>
      <c r="B29482" s="4" t="s">
        <v>37126</v>
      </c>
      <c r="C29482" s="5" t="str">
        <f>IFERROR(__xludf.DUMMYFUNCTION("GOOGLETRANSLATE(B29482,""en"",""zh-CN"")"),"看到一个人骑着越野车骑着越自行车，导致他对镜头说话。")</f>
        <v>看到一个人骑着越野车骑着越自行车，导致他对镜头说话。</v>
      </c>
    </row>
    <row r="29483">
      <c r="A29483" s="4" t="s">
        <v>37125</v>
      </c>
      <c r="B29483" s="4" t="s">
        <v>37127</v>
      </c>
      <c r="C29483" s="5" t="str">
        <f>IFERROR(__xludf.DUMMYFUNCTION("GOOGLETRANSLATE(B29483,""en"",""zh-CN"")"),"他炫耀自己的自行车和摄像头，并沿着他的几个剪辑骑行。")</f>
        <v>他炫耀自己的自行车和摄像头，并沿着他的几个剪辑骑行。</v>
      </c>
    </row>
    <row r="29484">
      <c r="A29484" s="4" t="s">
        <v>37125</v>
      </c>
      <c r="B29484" s="6" t="s">
        <v>37128</v>
      </c>
      <c r="C29484" s="5" t="str">
        <f>IFERROR(__xludf.DUMMYFUNCTION("GOOGLETRANSLATE(B29484,""en"",""zh-CN"")"),"他继续在赛道上骑行，同时还展示了自己的特写镜头和相机。")</f>
        <v>他继续在赛道上骑行，同时还展示了自己的特写镜头和相机。</v>
      </c>
    </row>
    <row r="29485">
      <c r="A29485" s="4" t="s">
        <v>37129</v>
      </c>
      <c r="B29485" s="4" t="s">
        <v>37130</v>
      </c>
      <c r="C29485" s="5" t="str">
        <f>IFERROR(__xludf.DUMMYFUNCTION("GOOGLETRANSLATE(B29485,""en"",""zh-CN"")"),"看到一个年轻人在一群人旁边弹一个鼓声。")</f>
        <v>看到一个年轻人在一群人旁边弹一个鼓声。</v>
      </c>
    </row>
    <row r="29486">
      <c r="A29486" s="4" t="s">
        <v>37129</v>
      </c>
      <c r="B29486" s="6" t="s">
        <v>37131</v>
      </c>
      <c r="C29486" s="5" t="str">
        <f>IFERROR(__xludf.DUMMYFUNCTION("GOOGLETRANSLATE(B29486,""en"",""zh-CN"")"),"这个男孩继续与小组一起鼓声，摄像机锅周围向侧面看着。")</f>
        <v>这个男孩继续与小组一起鼓声，摄像机锅周围向侧面看着。</v>
      </c>
    </row>
    <row r="29487">
      <c r="A29487" s="4" t="s">
        <v>37132</v>
      </c>
      <c r="B29487" s="4" t="s">
        <v>37133</v>
      </c>
      <c r="C29487" s="5" t="str">
        <f>IFERROR(__xludf.DUMMYFUNCTION("GOOGLETRANSLATE(B29487,""en"",""zh-CN"")"),"一个男人在滑板上骑着几张镜头显示。")</f>
        <v>一个男人在滑板上骑着几张镜头显示。</v>
      </c>
    </row>
    <row r="29488">
      <c r="A29488" s="4" t="s">
        <v>37132</v>
      </c>
      <c r="B29488" s="4" t="s">
        <v>37134</v>
      </c>
      <c r="C29488" s="5" t="str">
        <f>IFERROR(__xludf.DUMMYFUNCTION("GOOGLETRANSLATE(B29488,""en"",""zh-CN"")"),"特写镜头显示了物体和滑板，您可以购买它们的地方。")</f>
        <v>特写镜头显示了物体和滑板，您可以购买它们的地方。</v>
      </c>
    </row>
    <row r="29489">
      <c r="A29489" s="4" t="s">
        <v>37132</v>
      </c>
      <c r="B29489" s="4" t="s">
        <v>37135</v>
      </c>
      <c r="C29489" s="5" t="str">
        <f>IFERROR(__xludf.DUMMYFUNCTION("GOOGLETRANSLATE(B29489,""en"",""zh-CN"")"),"产品显示了更多的特写产品。")</f>
        <v>产品显示了更多的特写产品。</v>
      </c>
    </row>
    <row r="29490">
      <c r="A29490" s="4" t="s">
        <v>37136</v>
      </c>
      <c r="B29490" s="4" t="s">
        <v>37137</v>
      </c>
      <c r="C29490" s="5" t="str">
        <f>IFERROR(__xludf.DUMMYFUNCTION("GOOGLETRANSLATE(B29490,""en"",""zh-CN"")"),"我们看到一个人滑雪。")</f>
        <v>我们看到一个人滑雪。</v>
      </c>
    </row>
    <row r="29491">
      <c r="A29491" s="4" t="s">
        <v>37136</v>
      </c>
      <c r="B29491" s="4" t="s">
        <v>37138</v>
      </c>
      <c r="C29491" s="5" t="str">
        <f>IFERROR(__xludf.DUMMYFUNCTION("GOOGLETRANSLATE(B29491,""en"",""zh-CN"")"),"我们在冲浪板上看到红色和黑色帆。")</f>
        <v>我们在冲浪板上看到红色和黑色帆。</v>
      </c>
    </row>
    <row r="29492">
      <c r="A29492" s="4" t="s">
        <v>37136</v>
      </c>
      <c r="B29492" s="4" t="s">
        <v>37139</v>
      </c>
      <c r="C29492" s="5" t="str">
        <f>IFERROR(__xludf.DUMMYFUNCTION("GOOGLETRANSLATE(B29492,""en"",""zh-CN"")"),"然后，我们看到黄色和蓝色的帆。")</f>
        <v>然后，我们看到黄色和蓝色的帆。</v>
      </c>
    </row>
    <row r="29493">
      <c r="A29493" s="4" t="s">
        <v>37136</v>
      </c>
      <c r="B29493" s="4" t="s">
        <v>37140</v>
      </c>
      <c r="C29493" s="5" t="str">
        <f>IFERROR(__xludf.DUMMYFUNCTION("GOOGLETRANSLATE(B29493,""en"",""zh-CN"")"),"一个黄色的一个人经过黑色，然后继续前进，然后黄色转身。")</f>
        <v>一个黄色的一个人经过黑色，然后继续前进，然后黄色转身。</v>
      </c>
    </row>
    <row r="29494">
      <c r="A29494" s="4" t="s">
        <v>37136</v>
      </c>
      <c r="B29494" s="4" t="s">
        <v>37141</v>
      </c>
      <c r="C29494" s="5" t="str">
        <f>IFERROR(__xludf.DUMMYFUNCTION("GOOGLETRANSLATE(B29494,""en"",""zh-CN"")"),"屏幕上出现了淡黄色的绿色。")</f>
        <v>屏幕上出现了淡黄色的绿色。</v>
      </c>
    </row>
    <row r="29495">
      <c r="A29495" s="4" t="s">
        <v>37136</v>
      </c>
      <c r="B29495" s="4" t="s">
        <v>37142</v>
      </c>
      <c r="C29495" s="5" t="str">
        <f>IFERROR(__xludf.DUMMYFUNCTION("GOOGLETRANSLATE(B29495,""en"",""zh-CN"")"),"三个经过红色和蓝色的方向相反。")</f>
        <v>三个经过红色和蓝色的方向相反。</v>
      </c>
    </row>
    <row r="29496">
      <c r="A29496" s="4" t="s">
        <v>37136</v>
      </c>
      <c r="B29496" s="4" t="s">
        <v>37143</v>
      </c>
      <c r="C29496" s="5" t="str">
        <f>IFERROR(__xludf.DUMMYFUNCTION("GOOGLETRANSLATE(B29496,""en"",""zh-CN"")"),"红色和蓝色的骑手从他的董事会上掉下来。")</f>
        <v>红色和蓝色的骑手从他的董事会上掉下来。</v>
      </c>
    </row>
    <row r="29497">
      <c r="A29497" s="4" t="s">
        <v>37144</v>
      </c>
      <c r="B29497" s="4" t="s">
        <v>37145</v>
      </c>
      <c r="C29497" s="5" t="str">
        <f>IFERROR(__xludf.DUMMYFUNCTION("GOOGLETRANSLATE(B29497,""en"",""zh-CN"")"),"一个人站在椭圆形的锻炼上。")</f>
        <v>一个人站在椭圆形的锻炼上。</v>
      </c>
    </row>
    <row r="29498">
      <c r="A29498" s="4" t="s">
        <v>37144</v>
      </c>
      <c r="B29498" s="4" t="s">
        <v>37146</v>
      </c>
      <c r="C29498" s="5" t="str">
        <f>IFERROR(__xludf.DUMMYFUNCTION("GOOGLETRANSLATE(B29498,""en"",""zh-CN"")"),"他来回移动手臂。")</f>
        <v>他来回移动手臂。</v>
      </c>
    </row>
    <row r="29499">
      <c r="A29499" s="4" t="s">
        <v>37144</v>
      </c>
      <c r="B29499" s="4" t="s">
        <v>37147</v>
      </c>
      <c r="C29499" s="5" t="str">
        <f>IFERROR(__xludf.DUMMYFUNCTION("GOOGLETRANSLATE(B29499,""en"",""zh-CN"")"),"他身后有一个湖。")</f>
        <v>他身后有一个湖。</v>
      </c>
    </row>
    <row r="29500">
      <c r="A29500" s="4" t="s">
        <v>37148</v>
      </c>
      <c r="B29500" s="6" t="s">
        <v>37149</v>
      </c>
      <c r="C29500" s="5" t="str">
        <f>IFERROR(__xludf.DUMMYFUNCTION("GOOGLETRANSLATE(B29500,""en"",""zh-CN"")"),"看到三个孩子在房子前站在房子前面，当一个人玩苏格兰威士忌向框架中的一个人玩。")</f>
        <v>看到三个孩子在房子前站在房子前面，当一个人玩苏格兰威士忌向框架中的一个人玩。</v>
      </c>
    </row>
    <row r="29501">
      <c r="A29501" s="4" t="s">
        <v>37148</v>
      </c>
      <c r="B29501" s="6" t="s">
        <v>37150</v>
      </c>
      <c r="C29501" s="5" t="str">
        <f>IFERROR(__xludf.DUMMYFUNCTION("GOOGLETRANSLATE(B29501,""en"",""zh-CN"")"),"相机跟随同一个女孩跳下一条漫长的道路，继续回到她开始的地方。")</f>
        <v>相机跟随同一个女孩跳下一条漫长的道路，继续回到她开始的地方。</v>
      </c>
    </row>
    <row r="29502">
      <c r="A29502" s="4" t="s">
        <v>37151</v>
      </c>
      <c r="B29502" s="4" t="s">
        <v>37152</v>
      </c>
      <c r="C29502" s="5" t="str">
        <f>IFERROR(__xludf.DUMMYFUNCTION("GOOGLETRANSLATE(B29502,""en"",""zh-CN"")"),"一个年轻人坐在他的房间里。")</f>
        <v>一个年轻人坐在他的房间里。</v>
      </c>
    </row>
    <row r="29503">
      <c r="A29503" s="4" t="s">
        <v>37151</v>
      </c>
      <c r="B29503" s="4" t="s">
        <v>37153</v>
      </c>
      <c r="C29503" s="5" t="str">
        <f>IFERROR(__xludf.DUMMYFUNCTION("GOOGLETRANSLATE(B29503,""en"",""zh-CN"")"),"这个年轻人开始弹吉他。")</f>
        <v>这个年轻人开始弹吉他。</v>
      </c>
    </row>
    <row r="29504">
      <c r="A29504" s="4" t="s">
        <v>37151</v>
      </c>
      <c r="B29504" s="4" t="s">
        <v>37154</v>
      </c>
      <c r="C29504" s="5" t="str">
        <f>IFERROR(__xludf.DUMMYFUNCTION("GOOGLETRANSLATE(B29504,""en"",""zh-CN"")"),"当年轻人按下吉他上的线时，他正在移动手指。")</f>
        <v>当年轻人按下吉他上的线时，他正在移动手指。</v>
      </c>
    </row>
    <row r="29505">
      <c r="A29505" s="4" t="s">
        <v>37155</v>
      </c>
      <c r="B29505" s="6" t="s">
        <v>37156</v>
      </c>
      <c r="C29505" s="5" t="str">
        <f>IFERROR(__xludf.DUMMYFUNCTION("GOOGLETRANSLATE(B29505,""en"",""zh-CN"")"),"一个蒙住眼睛的男人站在外面，车辆停在他身后，他在玩一小件邦戈斯以及旁边的一大堆Bongos。")</f>
        <v>一个蒙住眼睛的男人站在外面，车辆停在他身后，他在玩一小件邦戈斯以及旁边的一大堆Bongos。</v>
      </c>
    </row>
    <row r="29506">
      <c r="A29506" s="4" t="s">
        <v>37155</v>
      </c>
      <c r="B29506" s="6" t="s">
        <v>37157</v>
      </c>
      <c r="C29506" s="5" t="str">
        <f>IFERROR(__xludf.DUMMYFUNCTION("GOOGLETRANSLATE(B29506,""en"",""zh-CN"")"),"这个人很快只击中了小邦戈斯，然后从右边向左移动到大邦戈斯。")</f>
        <v>这个人很快只击中了小邦戈斯，然后从右边向左移动到大邦戈斯。</v>
      </c>
    </row>
    <row r="29507">
      <c r="A29507" s="4" t="s">
        <v>37155</v>
      </c>
      <c r="B29507" s="6" t="s">
        <v>37158</v>
      </c>
      <c r="C29507" s="5" t="str">
        <f>IFERROR(__xludf.DUMMYFUNCTION("GOOGLETRANSLATE(B29507,""en"",""zh-CN"")"),"从他的左侧回到右边的返回时，他首先仅击中大型邦戈斯，然后击中较小的邦戈斯。")</f>
        <v>从他的左侧回到右边的返回时，他首先仅击中大型邦戈斯，然后击中较小的邦戈斯。</v>
      </c>
    </row>
    <row r="29508">
      <c r="A29508" s="4" t="s">
        <v>37159</v>
      </c>
      <c r="B29508" s="4" t="s">
        <v>37160</v>
      </c>
      <c r="C29508" s="5" t="str">
        <f>IFERROR(__xludf.DUMMYFUNCTION("GOOGLETRANSLATE(B29508,""en"",""zh-CN"")"),"一个戴着眼镜的女人显示了一个特写。")</f>
        <v>一个戴着眼镜的女人显示了一个特写。</v>
      </c>
    </row>
    <row r="29509">
      <c r="A29509" s="4" t="s">
        <v>37159</v>
      </c>
      <c r="B29509" s="4" t="s">
        <v>37161</v>
      </c>
      <c r="C29509" s="5" t="str">
        <f>IFERROR(__xludf.DUMMYFUNCTION("GOOGLETRANSLATE(B29509,""en"",""zh-CN"")"),"她开始抽烟，然后俯身。")</f>
        <v>她开始抽烟，然后俯身。</v>
      </c>
    </row>
    <row r="29510">
      <c r="A29510" s="4" t="s">
        <v>37159</v>
      </c>
      <c r="B29510" s="4" t="s">
        <v>37162</v>
      </c>
      <c r="C29510" s="5" t="str">
        <f>IFERROR(__xludf.DUMMYFUNCTION("GOOGLETRANSLATE(B29510,""en"",""zh-CN"")"),"一个女人躺在床上，她掉到自己的床上，仍在吸烟。")</f>
        <v>一个女人躺在床上，她掉到自己的床上，仍在吸烟。</v>
      </c>
    </row>
    <row r="29511">
      <c r="A29511" s="4" t="s">
        <v>37163</v>
      </c>
      <c r="B29511" s="6" t="s">
        <v>37164</v>
      </c>
      <c r="C29511" s="5" t="str">
        <f>IFERROR(__xludf.DUMMYFUNCTION("GOOGLETRANSLATE(B29511,""en"",""zh-CN"")"),"男人正站在桌子上切碎蔬菜并准备三明治的前面，他放入面包黄油奶酪，阿沃多和火腿和卷的三明治。")</f>
        <v>男人正站在桌子上切碎蔬菜并准备三明治的前面，他放入面包黄油奶酪，阿沃多和火腿和卷的三明治。</v>
      </c>
    </row>
    <row r="29512">
      <c r="A29512" s="4" t="s">
        <v>37163</v>
      </c>
      <c r="B29512" s="6" t="s">
        <v>37165</v>
      </c>
      <c r="C29512" s="5" t="str">
        <f>IFERROR(__xludf.DUMMYFUNCTION("GOOGLETRANSLATE(B29512,""en"",""zh-CN"")"),"人说话o镜头，用刀子将黄油撒在面包片中，放在切达干酪，火腿和番茄酱中，切成四片，然后将其放入盘子中。")</f>
        <v>人说话o镜头，用刀子将黄油撒在面包片中，放在切达干酪，火腿和番茄酱中，切成四片，然后将其放入盘子中。</v>
      </c>
    </row>
    <row r="29513">
      <c r="A29513" s="4" t="s">
        <v>37166</v>
      </c>
      <c r="B29513" s="4" t="s">
        <v>37167</v>
      </c>
      <c r="C29513" s="5" t="str">
        <f>IFERROR(__xludf.DUMMYFUNCTION("GOOGLETRANSLATE(B29513,""en"",""zh-CN"")"),"一个穿着蓝色外套的男人在岩石外面说话。")</f>
        <v>一个穿着蓝色外套的男人在岩石外面说话。</v>
      </c>
    </row>
    <row r="29514">
      <c r="A29514" s="4" t="s">
        <v>37166</v>
      </c>
      <c r="B29514" s="4" t="s">
        <v>37168</v>
      </c>
      <c r="C29514" s="5" t="str">
        <f>IFERROR(__xludf.DUMMYFUNCTION("GOOGLETRANSLATE(B29514,""en"",""zh-CN"")"),"他穿着攀岩安全带。")</f>
        <v>他穿着攀岩安全带。</v>
      </c>
    </row>
    <row r="29515">
      <c r="A29515" s="4" t="s">
        <v>37166</v>
      </c>
      <c r="B29515" s="4" t="s">
        <v>37169</v>
      </c>
      <c r="C29515" s="5" t="str">
        <f>IFERROR(__xludf.DUMMYFUNCTION("GOOGLETRANSLATE(B29515,""en"",""zh-CN"")"),"他开始爬上岩石。")</f>
        <v>他开始爬上岩石。</v>
      </c>
    </row>
    <row r="29516">
      <c r="A29516" s="4" t="s">
        <v>37166</v>
      </c>
      <c r="B29516" s="4" t="s">
        <v>37170</v>
      </c>
      <c r="C29516" s="5" t="str">
        <f>IFERROR(__xludf.DUMMYFUNCTION("GOOGLETRANSLATE(B29516,""en"",""zh-CN"")"),"他用不同的攀岩工具在脖子上有一根绳子。")</f>
        <v>他用不同的攀岩工具在脖子上有一根绳子。</v>
      </c>
    </row>
    <row r="29517">
      <c r="A29517" s="4" t="s">
        <v>37166</v>
      </c>
      <c r="B29517" s="4" t="s">
        <v>37171</v>
      </c>
      <c r="C29517" s="5" t="str">
        <f>IFERROR(__xludf.DUMMYFUNCTION("GOOGLETRANSLATE(B29517,""en"",""zh-CN"")"),"他给另一个人高五。")</f>
        <v>他给另一个人高五。</v>
      </c>
    </row>
    <row r="29518">
      <c r="A29518" s="4" t="s">
        <v>37172</v>
      </c>
      <c r="B29518" s="4" t="s">
        <v>37173</v>
      </c>
      <c r="C29518" s="5" t="str">
        <f>IFERROR(__xludf.DUMMYFUNCTION("GOOGLETRANSLATE(B29518,""en"",""zh-CN"")"),"看到两个人在滑雪板上骑着一个小山，另一个在雪橇上。")</f>
        <v>看到两个人在滑雪板上骑着一个小山，另一个在雪橇上。</v>
      </c>
    </row>
    <row r="29519">
      <c r="A29519" s="4" t="s">
        <v>37172</v>
      </c>
      <c r="B29519" s="6" t="s">
        <v>37174</v>
      </c>
      <c r="C29519" s="5" t="str">
        <f>IFERROR(__xludf.DUMMYFUNCTION("GOOGLETRANSLATE(B29519,""en"",""zh-CN"")"),"然后，该人跳过跳跃，撞到雪岸，再次以慢动作显示了同一射击。")</f>
        <v>然后，该人跳过跳跃，撞到雪岸，再次以慢动作显示了同一射击。</v>
      </c>
    </row>
    <row r="29520">
      <c r="A29520" s="4" t="s">
        <v>37175</v>
      </c>
      <c r="B29520" s="6" t="s">
        <v>37176</v>
      </c>
      <c r="C29520" s="5" t="str">
        <f>IFERROR(__xludf.DUMMYFUNCTION("GOOGLETRANSLATE(B29520,""en"",""zh-CN"")"),"一个穿着黑色晚礼服的男人和一个女人穿着黑色西装，穿着舞会舞蹈风格，在一个大房间里，带有石板和磨碎的窗户。")</f>
        <v>一个穿着黑色晚礼服的男人和一个女人穿着黑色西装，穿着舞会舞蹈风格，在一个大房间里，带有石板和磨碎的窗户。</v>
      </c>
    </row>
    <row r="29521">
      <c r="A29521" s="4" t="s">
        <v>37175</v>
      </c>
      <c r="B29521" s="4" t="s">
        <v>37177</v>
      </c>
      <c r="C29521" s="5" t="str">
        <f>IFERROR(__xludf.DUMMYFUNCTION("GOOGLETRANSLATE(B29521,""en"",""zh-CN"")"),"男人和女人从快速跳舞开始，大量的脚部工作在地板上旋转。")</f>
        <v>男人和女人从快速跳舞开始，大量的脚部工作在地板上旋转。</v>
      </c>
    </row>
    <row r="29522">
      <c r="A29522" s="4" t="s">
        <v>37175</v>
      </c>
      <c r="B29522" s="6" t="s">
        <v>37178</v>
      </c>
      <c r="C29522" s="5" t="str">
        <f>IFERROR(__xludf.DUMMYFUNCTION("GOOGLETRANSLATE(B29522,""en"",""zh-CN"")"),"然后，男人和女人开始缓慢的舞蹈，他们在地板上滑行，爱抚，旋转和互相旋转，有时会缠绕着暗示浪漫的闷烧姿势。")</f>
        <v>然后，男人和女人开始缓慢的舞蹈，他们在地板上滑行，爱抚，旋转和互相旋转，有时会缠绕着暗示浪漫的闷烧姿势。</v>
      </c>
    </row>
    <row r="29523">
      <c r="A29523" s="4" t="s">
        <v>37175</v>
      </c>
      <c r="B29523" s="6" t="s">
        <v>37179</v>
      </c>
      <c r="C29523" s="5" t="str">
        <f>IFERROR(__xludf.DUMMYFUNCTION("GOOGLETRANSLATE(B29523,""en"",""zh-CN"")"),"然后，男人和女人开始使用快速的旋转和脚步开始快速跳舞，男人将女人捡起并在空中旋转，直到最后一次下垂。")</f>
        <v>然后，男人和女人开始使用快速的旋转和脚步开始快速跳舞，男人将女人捡起并在空中旋转，直到最后一次下垂。</v>
      </c>
    </row>
    <row r="29524">
      <c r="A29524" s="4" t="s">
        <v>37180</v>
      </c>
      <c r="B29524" s="4" t="s">
        <v>37181</v>
      </c>
      <c r="C29524" s="5" t="str">
        <f>IFERROR(__xludf.DUMMYFUNCTION("GOOGLETRANSLATE(B29524,""en"",""zh-CN"")"),"看到一个小男孩和另一个人站在水中一起游泳。")</f>
        <v>看到一个小男孩和另一个人站在水中一起游泳。</v>
      </c>
    </row>
    <row r="29525">
      <c r="A29525" s="4" t="s">
        <v>37180</v>
      </c>
      <c r="B29525" s="4" t="s">
        <v>37182</v>
      </c>
      <c r="C29525" s="5" t="str">
        <f>IFERROR(__xludf.DUMMYFUNCTION("GOOGLETRANSLATE(B29525,""en"",""zh-CN"")"),"这个男孩继续与其他人一起游泳，并在水下翻转。")</f>
        <v>这个男孩继续与其他人一起游泳，并在水下翻转。</v>
      </c>
    </row>
    <row r="29526">
      <c r="A29526" s="4" t="s">
        <v>37180</v>
      </c>
      <c r="B29526" s="4" t="s">
        <v>37183</v>
      </c>
      <c r="C29526" s="5" t="str">
        <f>IFERROR(__xludf.DUMMYFUNCTION("GOOGLETRANSLATE(B29526,""en"",""zh-CN"")"),"当相机继续跟随他们时，孩子们在水下和越过水下移动。")</f>
        <v>当相机继续跟随他们时，孩子们在水下和越过水下移动。</v>
      </c>
    </row>
    <row r="29527">
      <c r="A29527" s="4" t="s">
        <v>37184</v>
      </c>
      <c r="B29527" s="4" t="s">
        <v>37185</v>
      </c>
      <c r="C29527" s="5" t="str">
        <f>IFERROR(__xludf.DUMMYFUNCTION("GOOGLETRANSLATE(B29527,""en"",""zh-CN"")"),"一个男人和某人一起唱歌在餐厅里播放手风琴。")</f>
        <v>一个男人和某人一起唱歌在餐厅里播放手风琴。</v>
      </c>
    </row>
    <row r="29528">
      <c r="A29528" s="4" t="s">
        <v>37184</v>
      </c>
      <c r="B29528" s="4" t="s">
        <v>37186</v>
      </c>
      <c r="C29528" s="5" t="str">
        <f>IFERROR(__xludf.DUMMYFUNCTION("GOOGLETRANSLATE(B29528,""en"",""zh-CN"")"),"玩手风琴的那个人将乐器分为一半。")</f>
        <v>玩手风琴的那个人将乐器分为一半。</v>
      </c>
    </row>
    <row r="29529">
      <c r="A29529" s="4" t="s">
        <v>37184</v>
      </c>
      <c r="B29529" s="4" t="s">
        <v>37187</v>
      </c>
      <c r="C29529" s="5" t="str">
        <f>IFERROR(__xludf.DUMMYFUNCTION("GOOGLETRANSLATE(B29529,""en"",""zh-CN"")"),"人民吓了一跳，但继续唱歌。")</f>
        <v>人民吓了一跳，但继续唱歌。</v>
      </c>
    </row>
    <row r="29530">
      <c r="A29530" s="4" t="s">
        <v>37188</v>
      </c>
      <c r="B29530" s="4" t="s">
        <v>37189</v>
      </c>
      <c r="C29530" s="5" t="str">
        <f>IFERROR(__xludf.DUMMYFUNCTION("GOOGLETRANSLATE(B29530,""en"",""zh-CN"")"),"一个小男孩站在停车场，他没有穿衬衫，他与镜头交谈。")</f>
        <v>一个小男孩站在停车场，他没有穿衬衫，他与镜头交谈。</v>
      </c>
    </row>
    <row r="29531">
      <c r="A29531" s="4" t="s">
        <v>37188</v>
      </c>
      <c r="B29531" s="4" t="s">
        <v>37190</v>
      </c>
      <c r="C29531" s="5" t="str">
        <f>IFERROR(__xludf.DUMMYFUNCTION("GOOGLETRANSLATE(B29531,""en"",""zh-CN"")"),"然后，他带着两个肘部走向道路。")</f>
        <v>然后，他带着两个肘部走向道路。</v>
      </c>
    </row>
    <row r="29532">
      <c r="A29532" s="4" t="s">
        <v>37188</v>
      </c>
      <c r="B29532" s="6" t="s">
        <v>37191</v>
      </c>
      <c r="C29532" s="5" t="str">
        <f>IFERROR(__xludf.DUMMYFUNCTION("GOOGLETRANSLATE(B29532,""en"",""zh-CN"")"),"这个男孩在舞台上弹棕色的吉他，他没有穿衬衫，他面前有一个麦克风，后面也是一个弹吉他的男人。")</f>
        <v>这个男孩在舞台上弹棕色的吉他，他没有穿衬衫，他面前有一个麦克风，后面也是一个弹吉他的男人。</v>
      </c>
    </row>
    <row r="29533">
      <c r="A29533" s="4" t="s">
        <v>37192</v>
      </c>
      <c r="B29533" s="4" t="s">
        <v>37193</v>
      </c>
      <c r="C29533" s="5" t="str">
        <f>IFERROR(__xludf.DUMMYFUNCTION("GOOGLETRANSLATE(B29533,""en"",""zh-CN"")"),"一个男孩在轨道上奔跑。")</f>
        <v>一个男孩在轨道上奔跑。</v>
      </c>
    </row>
    <row r="29534">
      <c r="A29534" s="4" t="s">
        <v>37192</v>
      </c>
      <c r="B29534" s="4" t="s">
        <v>37194</v>
      </c>
      <c r="C29534" s="5" t="str">
        <f>IFERROR(__xludf.DUMMYFUNCTION("GOOGLETRANSLATE(B29534,""en"",""zh-CN"")"),"这个男孩将身体抬高到杆子的高度上。")</f>
        <v>这个男孩将身体抬高到杆子的高度上。</v>
      </c>
    </row>
    <row r="29535">
      <c r="A29535" s="4" t="s">
        <v>37192</v>
      </c>
      <c r="B29535" s="4" t="s">
        <v>37195</v>
      </c>
      <c r="C29535" s="5" t="str">
        <f>IFERROR(__xludf.DUMMYFUNCTION("GOOGLETRANSLATE(B29535,""en"",""zh-CN"")"),"这个男孩落在了一个红色垫子上。")</f>
        <v>这个男孩落在了一个红色垫子上。</v>
      </c>
    </row>
    <row r="29536">
      <c r="A29536" s="4" t="s">
        <v>37192</v>
      </c>
      <c r="B29536" s="4" t="s">
        <v>37196</v>
      </c>
      <c r="C29536" s="5" t="str">
        <f>IFERROR(__xludf.DUMMYFUNCTION("GOOGLETRANSLATE(B29536,""en"",""zh-CN"")"),"这个男孩从垫子上站起来。")</f>
        <v>这个男孩从垫子上站起来。</v>
      </c>
    </row>
    <row r="29537">
      <c r="A29537" s="4" t="s">
        <v>37192</v>
      </c>
      <c r="B29537" s="4" t="s">
        <v>37197</v>
      </c>
      <c r="C29537" s="5" t="str">
        <f>IFERROR(__xludf.DUMMYFUNCTION("GOOGLETRANSLATE(B29537,""en"",""zh-CN"")"),"这个男孩通过鼓掌和弯曲双臂来庆祝。")</f>
        <v>这个男孩通过鼓掌和弯曲双臂来庆祝。</v>
      </c>
    </row>
    <row r="29538">
      <c r="A29538" s="4" t="s">
        <v>37192</v>
      </c>
      <c r="B29538" s="4" t="s">
        <v>37198</v>
      </c>
      <c r="C29538" s="5" t="str">
        <f>IFERROR(__xludf.DUMMYFUNCTION("GOOGLETRANSLATE(B29538,""en"",""zh-CN"")"),"一个人站着并观察。")</f>
        <v>一个人站着并观察。</v>
      </c>
    </row>
    <row r="29539">
      <c r="A29539" s="4" t="s">
        <v>37199</v>
      </c>
      <c r="B29539" s="4" t="s">
        <v>17268</v>
      </c>
      <c r="C29539" s="5" t="str">
        <f>IFERROR(__xludf.DUMMYFUNCTION("GOOGLETRANSLATE(B29539,""en"",""zh-CN"")"),"一个男人与镜头说话。")</f>
        <v>一个男人与镜头说话。</v>
      </c>
    </row>
    <row r="29540">
      <c r="A29540" s="4" t="s">
        <v>37199</v>
      </c>
      <c r="B29540" s="4" t="s">
        <v>37200</v>
      </c>
      <c r="C29540" s="5" t="str">
        <f>IFERROR(__xludf.DUMMYFUNCTION("GOOGLETRANSLATE(B29540,""en"",""zh-CN"")"),"该男子走向儿童游乐场。")</f>
        <v>该男子走向儿童游乐场。</v>
      </c>
    </row>
    <row r="29541">
      <c r="A29541" s="4" t="s">
        <v>37199</v>
      </c>
      <c r="B29541" s="4" t="s">
        <v>37201</v>
      </c>
      <c r="C29541" s="5" t="str">
        <f>IFERROR(__xludf.DUMMYFUNCTION("GOOGLETRANSLATE(B29541,""en"",""zh-CN"")"),"该男子从操场上的安装杆型设备上悬挂。")</f>
        <v>该男子从操场上的安装杆型设备上悬挂。</v>
      </c>
    </row>
    <row r="29542">
      <c r="A29542" s="4" t="s">
        <v>37199</v>
      </c>
      <c r="B29542" s="4" t="s">
        <v>37202</v>
      </c>
      <c r="C29542" s="5" t="str">
        <f>IFERROR(__xludf.DUMMYFUNCTION("GOOGLETRANSLATE(B29542,""en"",""zh-CN"")"),"该男子卸下并回到相机。")</f>
        <v>该男子卸下并回到相机。</v>
      </c>
    </row>
    <row r="29543">
      <c r="A29543" s="4" t="s">
        <v>37203</v>
      </c>
      <c r="B29543" s="4" t="s">
        <v>37204</v>
      </c>
      <c r="C29543" s="5" t="str">
        <f>IFERROR(__xludf.DUMMYFUNCTION("GOOGLETRANSLATE(B29543,""en"",""zh-CN"")"),"一个男人在相机上说话。")</f>
        <v>一个男人在相机上说话。</v>
      </c>
    </row>
    <row r="29544">
      <c r="A29544" s="4" t="s">
        <v>37203</v>
      </c>
      <c r="B29544" s="4" t="s">
        <v>37205</v>
      </c>
      <c r="C29544" s="5" t="str">
        <f>IFERROR(__xludf.DUMMYFUNCTION("GOOGLETRANSLATE(B29544,""en"",""zh-CN"")"),"另一个男人剃了脸，上面覆盖着剃须膏。")</f>
        <v>另一个男人剃了脸，上面覆盖着剃须膏。</v>
      </c>
    </row>
    <row r="29545">
      <c r="A29545" s="4" t="s">
        <v>37203</v>
      </c>
      <c r="B29545" s="4" t="s">
        <v>37206</v>
      </c>
      <c r="C29545" s="5" t="str">
        <f>IFERROR(__xludf.DUMMYFUNCTION("GOOGLETRANSLATE(B29545,""en"",""zh-CN"")"),"那个人剃了脖子的一部分。")</f>
        <v>那个人剃了脖子的一部分。</v>
      </c>
    </row>
    <row r="29546">
      <c r="A29546" s="4" t="s">
        <v>37203</v>
      </c>
      <c r="B29546" s="4" t="s">
        <v>37207</v>
      </c>
      <c r="C29546" s="5" t="str">
        <f>IFERROR(__xludf.DUMMYFUNCTION("GOOGLETRANSLATE(B29546,""en"",""zh-CN"")"),"该男子的剃须刀覆盖着剃须膏，因此他用水冲洗剃须刀。")</f>
        <v>该男子的剃须刀覆盖着剃须膏，因此他用水冲洗剃须刀。</v>
      </c>
    </row>
    <row r="29547">
      <c r="A29547" s="4" t="s">
        <v>37203</v>
      </c>
      <c r="B29547" s="4" t="s">
        <v>37208</v>
      </c>
      <c r="C29547" s="5" t="str">
        <f>IFERROR(__xludf.DUMMYFUNCTION("GOOGLETRANSLATE(B29547,""en"",""zh-CN"")"),"该男子再次与相机说话。")</f>
        <v>该男子再次与相机说话。</v>
      </c>
    </row>
    <row r="29548">
      <c r="A29548" s="4" t="s">
        <v>37203</v>
      </c>
      <c r="B29548" s="4" t="s">
        <v>37209</v>
      </c>
      <c r="C29548" s="5" t="str">
        <f>IFERROR(__xludf.DUMMYFUNCTION("GOOGLETRANSLATE(B29548,""en"",""zh-CN"")"),"剃光的人再次剃了他脸颊区域的一部分。")</f>
        <v>剃光的人再次剃了他脸颊区域的一部分。</v>
      </c>
    </row>
    <row r="29549">
      <c r="A29549" s="4" t="s">
        <v>37203</v>
      </c>
      <c r="B29549" s="4" t="s">
        <v>2807</v>
      </c>
      <c r="C29549" s="5" t="str">
        <f>IFERROR(__xludf.DUMMYFUNCTION("GOOGLETRANSLATE(B29549,""en"",""zh-CN"")"),"该男子回到相机上说话。")</f>
        <v>该男子回到相机上说话。</v>
      </c>
    </row>
    <row r="29550">
      <c r="A29550" s="4" t="s">
        <v>37203</v>
      </c>
      <c r="B29550" s="4" t="s">
        <v>37210</v>
      </c>
      <c r="C29550" s="5" t="str">
        <f>IFERROR(__xludf.DUMMYFUNCTION("GOOGLETRANSLATE(B29550,""en"",""zh-CN"")"),"显示了剃须的动画。")</f>
        <v>显示了剃须的动画。</v>
      </c>
    </row>
    <row r="29551">
      <c r="A29551" s="4" t="s">
        <v>37203</v>
      </c>
      <c r="B29551" s="4" t="s">
        <v>37211</v>
      </c>
      <c r="C29551" s="5" t="str">
        <f>IFERROR(__xludf.DUMMYFUNCTION("GOOGLETRANSLATE(B29551,""en"",""zh-CN"")"),"该男子继续与相机说话。")</f>
        <v>该男子继续与相机说话。</v>
      </c>
    </row>
    <row r="29552">
      <c r="A29552" s="4" t="s">
        <v>37203</v>
      </c>
      <c r="B29552" s="4" t="s">
        <v>37212</v>
      </c>
      <c r="C29552" s="5" t="str">
        <f>IFERROR(__xludf.DUMMYFUNCTION("GOOGLETRANSLATE(B29552,""en"",""zh-CN"")"),"剃光的人更剃光他的下巴，包括上脸颊。")</f>
        <v>剃光的人更剃光他的下巴，包括上脸颊。</v>
      </c>
    </row>
    <row r="29553">
      <c r="A29553" s="4" t="s">
        <v>37203</v>
      </c>
      <c r="B29553" s="4" t="s">
        <v>37213</v>
      </c>
      <c r="C29553" s="5" t="str">
        <f>IFERROR(__xludf.DUMMYFUNCTION("GOOGLETRANSLATE(B29553,""en"",""zh-CN"")"),"该男子对相机说更多的话。")</f>
        <v>该男子对相机说更多的话。</v>
      </c>
    </row>
    <row r="29554">
      <c r="A29554" s="4" t="s">
        <v>37214</v>
      </c>
      <c r="B29554" s="4" t="s">
        <v>37215</v>
      </c>
      <c r="C29554" s="5" t="str">
        <f>IFERROR(__xludf.DUMMYFUNCTION("GOOGLETRANSLATE(B29554,""en"",""zh-CN"")"),"一个男人正坐在两个康咖啡后面，一个肩膀卷起。")</f>
        <v>一个男人正坐在两个康咖啡后面，一个肩膀卷起。</v>
      </c>
    </row>
    <row r="29555">
      <c r="A29555" s="4" t="s">
        <v>37214</v>
      </c>
      <c r="B29555" s="4" t="s">
        <v>37216</v>
      </c>
      <c r="C29555" s="5" t="str">
        <f>IFERROR(__xludf.DUMMYFUNCTION("GOOGLETRANSLATE(B29555,""en"",""zh-CN"")"),"说话结束后，他开始击中康加。")</f>
        <v>说话结束后，他开始击中康加。</v>
      </c>
    </row>
    <row r="29556">
      <c r="A29556" s="4" t="s">
        <v>37214</v>
      </c>
      <c r="B29556" s="4" t="s">
        <v>37217</v>
      </c>
      <c r="C29556" s="5" t="str">
        <f>IFERROR(__xludf.DUMMYFUNCTION("GOOGLETRANSLATE(B29556,""en"",""zh-CN"")"),"经过几次命中，他在另一个康加（Conga）中添加了几次，并开始击中另一个康加（Conga）。")</f>
        <v>经过几次命中，他在另一个康加（Conga）中添加了几次，并开始击中另一个康加（Conga）。</v>
      </c>
    </row>
    <row r="29557">
      <c r="A29557" s="4" t="s">
        <v>37218</v>
      </c>
      <c r="B29557" s="4" t="s">
        <v>37219</v>
      </c>
      <c r="C29557" s="5" t="str">
        <f>IFERROR(__xludf.DUMMYFUNCTION("GOOGLETRANSLATE(B29557,""en"",""zh-CN"")"),"一个男人洗牌一张牌并交易它们。")</f>
        <v>一个男人洗牌一张牌并交易它们。</v>
      </c>
    </row>
    <row r="29558">
      <c r="A29558" s="4" t="s">
        <v>37218</v>
      </c>
      <c r="B29558" s="4" t="s">
        <v>37220</v>
      </c>
      <c r="C29558" s="5" t="str">
        <f>IFERROR(__xludf.DUMMYFUNCTION("GOOGLETRANSLATE(B29558,""en"",""zh-CN"")"),"桌子上朝上显示了四个ac。")</f>
        <v>桌子上朝上显示了四个ac。</v>
      </c>
    </row>
    <row r="29559">
      <c r="A29559" s="4" t="s">
        <v>37218</v>
      </c>
      <c r="B29559" s="4" t="s">
        <v>37221</v>
      </c>
      <c r="C29559" s="5" t="str">
        <f>IFERROR(__xludf.DUMMYFUNCTION("GOOGLETRANSLATE(B29559,""en"",""zh-CN"")"),"一个男人坐在桌子旁玩二十一点。")</f>
        <v>一个男人坐在桌子旁玩二十一点。</v>
      </c>
    </row>
    <row r="29560">
      <c r="A29560" s="4" t="s">
        <v>37222</v>
      </c>
      <c r="B29560" s="4" t="s">
        <v>37223</v>
      </c>
      <c r="C29560" s="5" t="str">
        <f>IFERROR(__xludf.DUMMYFUNCTION("GOOGLETRANSLATE(B29560,""en"",""zh-CN"")"),"一个团队一起乘公共汽车。")</f>
        <v>一个团队一起乘公共汽车。</v>
      </c>
    </row>
    <row r="29561">
      <c r="A29561" s="4" t="s">
        <v>37222</v>
      </c>
      <c r="B29561" s="4" t="s">
        <v>37224</v>
      </c>
      <c r="C29561" s="5" t="str">
        <f>IFERROR(__xludf.DUMMYFUNCTION("GOOGLETRANSLATE(B29561,""en"",""zh-CN"")"),"团队玩海滩足球比赛。")</f>
        <v>团队玩海滩足球比赛。</v>
      </c>
    </row>
    <row r="29562">
      <c r="A29562" s="4" t="s">
        <v>37222</v>
      </c>
      <c r="B29562" s="4" t="s">
        <v>37225</v>
      </c>
      <c r="C29562" s="5" t="str">
        <f>IFERROR(__xludf.DUMMYFUNCTION("GOOGLETRANSLATE(B29562,""en"",""zh-CN"")"),"一个男人在沙滩上踢自行车。")</f>
        <v>一个男人在沙滩上踢自行车。</v>
      </c>
    </row>
    <row r="29563">
      <c r="A29563" s="4" t="s">
        <v>37222</v>
      </c>
      <c r="B29563" s="4" t="s">
        <v>37226</v>
      </c>
      <c r="C29563" s="5" t="str">
        <f>IFERROR(__xludf.DUMMYFUNCTION("GOOGLETRANSLATE(B29563,""en"",""zh-CN"")"),"获胜的球队共同举办奖杯并庆祝。")</f>
        <v>获胜的球队共同举办奖杯并庆祝。</v>
      </c>
    </row>
    <row r="29564">
      <c r="A29564" s="4" t="s">
        <v>37222</v>
      </c>
      <c r="B29564" s="4" t="s">
        <v>37227</v>
      </c>
      <c r="C29564" s="5" t="str">
        <f>IFERROR(__xludf.DUMMYFUNCTION("GOOGLETRANSLATE(B29564,""en"",""zh-CN"")"),"队友从替补席上打来欢呼。")</f>
        <v>队友从替补席上打来欢呼。</v>
      </c>
    </row>
    <row r="29565">
      <c r="A29565" s="4" t="s">
        <v>37228</v>
      </c>
      <c r="B29565" s="6" t="s">
        <v>37229</v>
      </c>
      <c r="C29565" s="5" t="str">
        <f>IFERROR(__xludf.DUMMYFUNCTION("GOOGLETRANSLATE(B29565,""en"",""zh-CN"")"),"两名穿着制服的军人被绑在一起，并在相反的方向上互相拉动。")</f>
        <v>两名穿着制服的军人被绑在一起，并在相反的方向上互相拉动。</v>
      </c>
    </row>
    <row r="29566">
      <c r="A29566" s="4" t="s">
        <v>37228</v>
      </c>
      <c r="B29566" s="6" t="s">
        <v>37230</v>
      </c>
      <c r="C29566" s="5" t="str">
        <f>IFERROR(__xludf.DUMMYFUNCTION("GOOGLETRANSLATE(B29566,""en"",""zh-CN"")"),"当他们进行力量训练时，有一群军官看着他们为他们欢呼。")</f>
        <v>当他们进行力量训练时，有一群军官看着他们为他们欢呼。</v>
      </c>
    </row>
    <row r="29567">
      <c r="A29567" s="4" t="s">
        <v>37228</v>
      </c>
      <c r="B29567" s="6" t="s">
        <v>37231</v>
      </c>
      <c r="C29567" s="5" t="str">
        <f>IFERROR(__xludf.DUMMYFUNCTION("GOOGLETRANSLATE(B29567,""en"",""zh-CN"")"),"在一名陆军军官将另一名军官拖到地面并赢得比赛之后，比赛已经结束。")</f>
        <v>在一名陆军军官将另一名军官拖到地面并赢得比赛之后，比赛已经结束。</v>
      </c>
    </row>
    <row r="29568">
      <c r="A29568" s="4" t="s">
        <v>37232</v>
      </c>
      <c r="B29568" s="4" t="s">
        <v>37233</v>
      </c>
      <c r="C29568" s="5" t="str">
        <f>IFERROR(__xludf.DUMMYFUNCTION("GOOGLETRANSLATE(B29568,""en"",""zh-CN"")"),"穿着蓝色衬衫的男人在他面前弹起鼓。")</f>
        <v>穿着蓝色衬衫的男人在他面前弹起鼓。</v>
      </c>
    </row>
    <row r="29569">
      <c r="A29569" s="4" t="s">
        <v>37232</v>
      </c>
      <c r="B29569" s="4" t="s">
        <v>37234</v>
      </c>
      <c r="C29569" s="5" t="str">
        <f>IFERROR(__xludf.DUMMYFUNCTION("GOOGLETRANSLATE(B29569,""en"",""zh-CN"")"),"年轻人将鼓在他面前，然后是下一个鼓。")</f>
        <v>年轻人将鼓在他面前，然后是下一个鼓。</v>
      </c>
    </row>
    <row r="29570">
      <c r="A29570" s="4" t="s">
        <v>37232</v>
      </c>
      <c r="B29570" s="4" t="s">
        <v>37235</v>
      </c>
      <c r="C29570" s="5" t="str">
        <f>IFERROR(__xludf.DUMMYFUNCTION("GOOGLETRANSLATE(B29570,""en"",""zh-CN"")"),"那个年轻人在他面前的鼓声。")</f>
        <v>那个年轻人在他面前的鼓声。</v>
      </c>
    </row>
    <row r="29571">
      <c r="A29571" s="4" t="s">
        <v>37236</v>
      </c>
      <c r="B29571" s="4" t="s">
        <v>37237</v>
      </c>
      <c r="C29571" s="5" t="str">
        <f>IFERROR(__xludf.DUMMYFUNCTION("GOOGLETRANSLATE(B29571,""en"",""zh-CN"")"),"一个女人打开汽车的后备箱。")</f>
        <v>一个女人打开汽车的后备箱。</v>
      </c>
    </row>
    <row r="29572">
      <c r="A29572" s="4" t="s">
        <v>37236</v>
      </c>
      <c r="B29572" s="4" t="s">
        <v>37238</v>
      </c>
      <c r="C29572" s="5" t="str">
        <f>IFERROR(__xludf.DUMMYFUNCTION("GOOGLETRANSLATE(B29572,""en"",""zh-CN"")"),"她得到了一个备用轮胎，并将其放在地上。")</f>
        <v>她得到了一个备用轮胎，并将其放在地上。</v>
      </c>
    </row>
    <row r="29573">
      <c r="A29573" s="4" t="s">
        <v>37236</v>
      </c>
      <c r="B29573" s="4" t="s">
        <v>37239</v>
      </c>
      <c r="C29573" s="5" t="str">
        <f>IFERROR(__xludf.DUMMYFUNCTION("GOOGLETRANSLATE(B29573,""en"",""zh-CN"")"),"她脱掉了旧轮胎。")</f>
        <v>她脱掉了旧轮胎。</v>
      </c>
    </row>
    <row r="29574">
      <c r="A29574" s="4" t="s">
        <v>37236</v>
      </c>
      <c r="B29574" s="4" t="s">
        <v>37240</v>
      </c>
      <c r="C29574" s="5" t="str">
        <f>IFERROR(__xludf.DUMMYFUNCTION("GOOGLETRANSLATE(B29574,""en"",""zh-CN"")"),"她穿上新轮胎。")</f>
        <v>她穿上新轮胎。</v>
      </c>
    </row>
    <row r="29575">
      <c r="A29575" s="4" t="s">
        <v>37236</v>
      </c>
      <c r="B29575" s="4" t="s">
        <v>37241</v>
      </c>
      <c r="C29575" s="5" t="str">
        <f>IFERROR(__xludf.DUMMYFUNCTION("GOOGLETRANSLATE(B29575,""en"",""zh-CN"")"),"她放了轮胎的枢纽。")</f>
        <v>她放了轮胎的枢纽。</v>
      </c>
    </row>
    <row r="29576">
      <c r="A29576" s="4" t="s">
        <v>37242</v>
      </c>
      <c r="B29576" s="4" t="s">
        <v>37243</v>
      </c>
      <c r="C29576" s="5" t="str">
        <f>IFERROR(__xludf.DUMMYFUNCTION("GOOGLETRANSLATE(B29576,""en"",""zh-CN"")"),"一个穿着红色衬衫的男人将圆盘固定在冰上。")</f>
        <v>一个穿着红色衬衫的男人将圆盘固定在冰上。</v>
      </c>
    </row>
    <row r="29577">
      <c r="A29577" s="4" t="s">
        <v>37242</v>
      </c>
      <c r="B29577" s="4" t="s">
        <v>37244</v>
      </c>
      <c r="C29577" s="5" t="str">
        <f>IFERROR(__xludf.DUMMYFUNCTION("GOOGLETRANSLATE(B29577,""en"",""zh-CN"")"),"他放开光盘，然后向后走。")</f>
        <v>他放开光盘，然后向后走。</v>
      </c>
    </row>
    <row r="29578">
      <c r="A29578" s="4" t="s">
        <v>37245</v>
      </c>
      <c r="B29578" s="4" t="s">
        <v>37246</v>
      </c>
      <c r="C29578" s="5" t="str">
        <f>IFERROR(__xludf.DUMMYFUNCTION("GOOGLETRANSLATE(B29578,""en"",""zh-CN"")"),"一个小女孩在戒指上表演。")</f>
        <v>一个小女孩在戒指上表演。</v>
      </c>
    </row>
    <row r="29579">
      <c r="A29579" s="4" t="s">
        <v>37245</v>
      </c>
      <c r="B29579" s="4" t="s">
        <v>37247</v>
      </c>
      <c r="C29579" s="5" t="str">
        <f>IFERROR(__xludf.DUMMYFUNCTION("GOOGLETRANSLATE(B29579,""en"",""zh-CN"")"),"一个男孩站着一个男人，然后他举手走路，在平行的吟游诗人上表演。")</f>
        <v>一个男孩站着一个男人，然后他举手走路，在平行的吟游诗人上表演。</v>
      </c>
    </row>
    <row r="29580">
      <c r="A29580" s="4" t="s">
        <v>37245</v>
      </c>
      <c r="B29580" s="4" t="s">
        <v>37248</v>
      </c>
      <c r="C29580" s="5" t="str">
        <f>IFERROR(__xludf.DUMMYFUNCTION("GOOGLETRANSLATE(B29580,""en"",""zh-CN"")"),"男孩在酒吧摇摆，然后跳上垫子。")</f>
        <v>男孩在酒吧摇摆，然后跳上垫子。</v>
      </c>
    </row>
    <row r="29581">
      <c r="A29581" s="4" t="s">
        <v>37249</v>
      </c>
      <c r="B29581" s="4" t="s">
        <v>37250</v>
      </c>
      <c r="C29581" s="5" t="str">
        <f>IFERROR(__xludf.DUMMYFUNCTION("GOOGLETRANSLATE(B29581,""en"",""zh-CN"")"),"有一个穿着栗色衬衫的女人在水槽里洗脸。")</f>
        <v>有一个穿着栗色衬衫的女人在水槽里洗脸。</v>
      </c>
    </row>
    <row r="29582">
      <c r="A29582" s="4" t="s">
        <v>37249</v>
      </c>
      <c r="B29582" s="4" t="s">
        <v>37251</v>
      </c>
      <c r="C29582" s="5" t="str">
        <f>IFERROR(__xludf.DUMMYFUNCTION("GOOGLETRANSLATE(B29582,""en"",""zh-CN"")"),"美容师正在谈论皮肤护理程序，并提供有关如何保持面部皮肤清洁的提示。")</f>
        <v>美容师正在谈论皮肤护理程序，并提供有关如何保持面部皮肤清洁的提示。</v>
      </c>
    </row>
    <row r="29583">
      <c r="A29583" s="4" t="s">
        <v>37249</v>
      </c>
      <c r="B29583" s="4" t="s">
        <v>37252</v>
      </c>
      <c r="C29583" s="5" t="str">
        <f>IFERROR(__xludf.DUMMYFUNCTION("GOOGLETRANSLATE(B29583,""en"",""zh-CN"")"),"该模型洗脸，然后用毛巾轻轻干燥。")</f>
        <v>该模型洗脸，然后用毛巾轻轻干燥。</v>
      </c>
    </row>
    <row r="29584">
      <c r="A29584" s="4" t="s">
        <v>37253</v>
      </c>
      <c r="B29584" s="4" t="s">
        <v>37254</v>
      </c>
      <c r="C29584" s="5" t="str">
        <f>IFERROR(__xludf.DUMMYFUNCTION("GOOGLETRANSLATE(B29584,""en"",""zh-CN"")"),"三个女孩在房子里运动。")</f>
        <v>三个女孩在房子里运动。</v>
      </c>
    </row>
    <row r="29585">
      <c r="A29585" s="4" t="s">
        <v>37253</v>
      </c>
      <c r="B29585" s="4" t="s">
        <v>37255</v>
      </c>
      <c r="C29585" s="5" t="str">
        <f>IFERROR(__xludf.DUMMYFUNCTION("GOOGLETRANSLATE(B29585,""en"",""zh-CN"")"),"女孩在跳跃，旋转和移动臀部时跳舞。")</f>
        <v>女孩在跳跃，旋转和移动臀部时跳舞。</v>
      </c>
    </row>
    <row r="29586">
      <c r="A29586" s="4" t="s">
        <v>37253</v>
      </c>
      <c r="B29586" s="4" t="s">
        <v>37256</v>
      </c>
      <c r="C29586" s="5" t="str">
        <f>IFERROR(__xludf.DUMMYFUNCTION("GOOGLETRANSLATE(B29586,""en"",""zh-CN"")"),"然后，女孩一一扔到地上，然后站着继续跳舞。")</f>
        <v>然后，女孩一一扔到地上，然后站着继续跳舞。</v>
      </c>
    </row>
    <row r="29587">
      <c r="A29587" s="4" t="s">
        <v>37253</v>
      </c>
      <c r="B29587" s="6" t="s">
        <v>37257</v>
      </c>
      <c r="C29587" s="5" t="str">
        <f>IFERROR(__xludf.DUMMYFUNCTION("GOOGLETRANSLATE(B29587,""en"",""zh-CN"")"),"之后，两个女孩和一个孩子站在腿上，在女孩结束表演后举起手臂。")</f>
        <v>之后，两个女孩和一个孩子站在腿上，在女孩结束表演后举起手臂。</v>
      </c>
    </row>
    <row r="29588">
      <c r="A29588" s="4" t="s">
        <v>37258</v>
      </c>
      <c r="B29588" s="4" t="s">
        <v>37259</v>
      </c>
      <c r="C29588" s="5" t="str">
        <f>IFERROR(__xludf.DUMMYFUNCTION("GOOGLETRANSLATE(B29588,""en"",""zh-CN"")"),"两只狗在绳索附着的人行道上行走。")</f>
        <v>两只狗在绳索附着的人行道上行走。</v>
      </c>
    </row>
    <row r="29589">
      <c r="A29589" s="4" t="s">
        <v>37258</v>
      </c>
      <c r="B29589" s="4" t="s">
        <v>37260</v>
      </c>
      <c r="C29589" s="5" t="str">
        <f>IFERROR(__xludf.DUMMYFUNCTION("GOOGLETRANSLATE(B29589,""en"",""zh-CN"")"),"两个人在他们旁边的人行道上行走。")</f>
        <v>两个人在他们旁边的人行道上行走。</v>
      </c>
    </row>
    <row r="29590">
      <c r="A29590" s="4" t="s">
        <v>37258</v>
      </c>
      <c r="B29590" s="4" t="s">
        <v>37261</v>
      </c>
      <c r="C29590" s="5" t="str">
        <f>IFERROR(__xludf.DUMMYFUNCTION("GOOGLETRANSLATE(B29590,""en"",""zh-CN"")"),"其中一个人正在携带一个水瓶。")</f>
        <v>其中一个人正在携带一个水瓶。</v>
      </c>
    </row>
    <row r="29591">
      <c r="A29591" s="4" t="s">
        <v>37262</v>
      </c>
      <c r="B29591" s="4" t="s">
        <v>37263</v>
      </c>
      <c r="C29591" s="5" t="str">
        <f>IFERROR(__xludf.DUMMYFUNCTION("GOOGLETRANSLATE(B29591,""en"",""zh-CN"")"),"由设计的灌木引起的阴影在地面上。")</f>
        <v>由设计的灌木引起的阴影在地面上。</v>
      </c>
    </row>
    <row r="29592">
      <c r="A29592" s="4" t="s">
        <v>37262</v>
      </c>
      <c r="B29592" s="4" t="s">
        <v>37264</v>
      </c>
      <c r="C29592" s="5" t="str">
        <f>IFERROR(__xludf.DUMMYFUNCTION("GOOGLETRANSLATE(B29592,""en"",""zh-CN"")"),"一个男人在户外展示，在院子里炫耀了他众多的装饰灌木丛。")</f>
        <v>一个男人在户外展示，在院子里炫耀了他众多的装饰灌木丛。</v>
      </c>
    </row>
    <row r="29593">
      <c r="A29593" s="4" t="s">
        <v>37262</v>
      </c>
      <c r="B29593" s="4" t="s">
        <v>37265</v>
      </c>
      <c r="C29593" s="5" t="str">
        <f>IFERROR(__xludf.DUMMYFUNCTION("GOOGLETRANSLATE(B29593,""en"",""zh-CN"")"),"他剪辑并测量他们，以确保它们看起来最好。")</f>
        <v>他剪辑并测量他们，以确保它们看起来最好。</v>
      </c>
    </row>
    <row r="29594">
      <c r="A29594" s="4" t="s">
        <v>37262</v>
      </c>
      <c r="B29594" s="4" t="s">
        <v>37266</v>
      </c>
      <c r="C29594" s="5" t="str">
        <f>IFERROR(__xludf.DUMMYFUNCTION("GOOGLETRANSLATE(B29594,""en"",""zh-CN"")"),"他发现两个看起来像拳击手，并假装使他们战斗。")</f>
        <v>他发现两个看起来像拳击手，并假装使他们战斗。</v>
      </c>
    </row>
    <row r="29595">
      <c r="A29595" s="4" t="s">
        <v>37267</v>
      </c>
      <c r="B29595" s="6" t="s">
        <v>37268</v>
      </c>
      <c r="C29595" s="5" t="str">
        <f>IFERROR(__xludf.DUMMYFUNCTION("GOOGLETRANSLATE(B29595,""en"",""zh-CN"")"),"看到一个女人在公共场合与人们交谈，然后一个男人把嘴巴洗净并亲吻另一个女孩。")</f>
        <v>看到一个女人在公共场合与人们交谈，然后一个男人把嘴巴洗净并亲吻另一个女孩。</v>
      </c>
    </row>
    <row r="29596">
      <c r="A29596" s="4" t="s">
        <v>37267</v>
      </c>
      <c r="B29596" s="6" t="s">
        <v>37269</v>
      </c>
      <c r="C29596" s="5" t="str">
        <f>IFERROR(__xludf.DUMMYFUNCTION("GOOGLETRANSLATE(B29596,""en"",""zh-CN"")"),"然后，他向各种各样的人展示了嘴巴，并让人们与相机谈论他们的经历。")</f>
        <v>然后，他向各种各样的人展示了嘴巴，并让人们与相机谈论他们的经历。</v>
      </c>
    </row>
    <row r="29597">
      <c r="A29597" s="4" t="s">
        <v>37270</v>
      </c>
      <c r="B29597" s="4" t="s">
        <v>37271</v>
      </c>
      <c r="C29597" s="5" t="str">
        <f>IFERROR(__xludf.DUMMYFUNCTION("GOOGLETRANSLATE(B29597,""en"",""zh-CN"")"),"我们看到艾伦打乒乓球。")</f>
        <v>我们看到艾伦打乒乓球。</v>
      </c>
    </row>
    <row r="29598">
      <c r="A29598" s="4" t="s">
        <v>37270</v>
      </c>
      <c r="B29598" s="4" t="s">
        <v>37272</v>
      </c>
      <c r="C29598" s="5" t="str">
        <f>IFERROR(__xludf.DUMMYFUNCTION("GOOGLETRANSLATE(B29598,""en"",""zh-CN"")"),"乒乓球运动员出来了。")</f>
        <v>乒乓球运动员出来了。</v>
      </c>
    </row>
    <row r="29599">
      <c r="A29599" s="4" t="s">
        <v>37270</v>
      </c>
      <c r="B29599" s="4" t="s">
        <v>37273</v>
      </c>
      <c r="C29599" s="5" t="str">
        <f>IFERROR(__xludf.DUMMYFUNCTION("GOOGLETRANSLATE(B29599,""en"",""zh-CN"")"),"新比赛进行了。")</f>
        <v>新比赛进行了。</v>
      </c>
    </row>
    <row r="29600">
      <c r="A29600" s="4" t="s">
        <v>37270</v>
      </c>
      <c r="B29600" s="4" t="s">
        <v>37274</v>
      </c>
      <c r="C29600" s="5" t="str">
        <f>IFERROR(__xludf.DUMMYFUNCTION("GOOGLETRANSLATE(B29600,""en"",""zh-CN"")"),"该男子伸出手臂。")</f>
        <v>该男子伸出手臂。</v>
      </c>
    </row>
    <row r="29601">
      <c r="A29601" s="4" t="s">
        <v>37270</v>
      </c>
      <c r="B29601" s="4" t="s">
        <v>37275</v>
      </c>
      <c r="C29601" s="5" t="str">
        <f>IFERROR(__xludf.DUMMYFUNCTION("GOOGLETRANSLATE(B29601,""en"",""zh-CN"")"),"艾伦躲在桌子旁。")</f>
        <v>艾伦躲在桌子旁。</v>
      </c>
    </row>
    <row r="29602">
      <c r="A29602" s="4" t="s">
        <v>37270</v>
      </c>
      <c r="B29602" s="4" t="s">
        <v>37276</v>
      </c>
      <c r="C29602" s="5" t="str">
        <f>IFERROR(__xludf.DUMMYFUNCTION("GOOGLETRANSLATE(B29602,""en"",""zh-CN"")"),"玩家握手，那位女士拥抱艾伦并笑。")</f>
        <v>玩家握手，那位女士拥抱艾伦并笑。</v>
      </c>
    </row>
    <row r="29603">
      <c r="A29603" s="4" t="s">
        <v>37270</v>
      </c>
      <c r="B29603" s="4" t="s">
        <v>37277</v>
      </c>
      <c r="C29603" s="5" t="str">
        <f>IFERROR(__xludf.DUMMYFUNCTION("GOOGLETRANSLATE(B29603,""en"",""zh-CN"")"),"我们在上面看到了带有艾伦的结尾屏幕。")</f>
        <v>我们在上面看到了带有艾伦的结尾屏幕。</v>
      </c>
    </row>
    <row r="29604">
      <c r="A29604" s="4" t="s">
        <v>37278</v>
      </c>
      <c r="B29604" s="4" t="s">
        <v>37279</v>
      </c>
      <c r="C29604" s="5" t="str">
        <f>IFERROR(__xludf.DUMMYFUNCTION("GOOGLETRANSLATE(B29604,""en"",""zh-CN"")"),"一个人很快就在斜坡上滑雪。")</f>
        <v>一个人很快就在斜坡上滑雪。</v>
      </c>
    </row>
    <row r="29605">
      <c r="A29605" s="4" t="s">
        <v>37278</v>
      </c>
      <c r="B29605" s="4" t="s">
        <v>37280</v>
      </c>
      <c r="C29605" s="5" t="str">
        <f>IFERROR(__xludf.DUMMYFUNCTION("GOOGLETRANSLATE(B29605,""en"",""zh-CN"")"),"当他在途中穿过其他滑雪者之间，他转身。")</f>
        <v>当他在途中穿过其他滑雪者之间，他转身。</v>
      </c>
    </row>
    <row r="29606">
      <c r="A29606" s="4" t="s">
        <v>37278</v>
      </c>
      <c r="B29606" s="6" t="s">
        <v>37281</v>
      </c>
      <c r="C29606" s="5" t="str">
        <f>IFERROR(__xludf.DUMMYFUNCTION("GOOGLETRANSLATE(B29606,""en"",""zh-CN"")"),"该男子一直持续到他完成，然后将自己移到董事会上，并在休息地加入其他滑雪者。")</f>
        <v>该男子一直持续到他完成，然后将自己移到董事会上，并在休息地加入其他滑雪者。</v>
      </c>
    </row>
    <row r="29607">
      <c r="A29607" s="4" t="s">
        <v>37282</v>
      </c>
      <c r="B29607" s="4" t="s">
        <v>37283</v>
      </c>
      <c r="C29607" s="5" t="str">
        <f>IFERROR(__xludf.DUMMYFUNCTION("GOOGLETRANSLATE(B29607,""en"",""zh-CN"")"),"展示了叶子被吹的特写镜头。")</f>
        <v>展示了叶子被吹的特写镜头。</v>
      </c>
    </row>
    <row r="29608">
      <c r="A29608" s="4" t="s">
        <v>37282</v>
      </c>
      <c r="B29608" s="4" t="s">
        <v>37284</v>
      </c>
      <c r="C29608" s="5" t="str">
        <f>IFERROR(__xludf.DUMMYFUNCTION("GOOGLETRANSLATE(B29608,""en"",""zh-CN"")"),"一个人正在用叶子吹叶。")</f>
        <v>一个人正在用叶子吹叶。</v>
      </c>
    </row>
    <row r="29609">
      <c r="A29609" s="4" t="s">
        <v>37282</v>
      </c>
      <c r="B29609" s="4" t="s">
        <v>37285</v>
      </c>
      <c r="C29609" s="5" t="str">
        <f>IFERROR(__xludf.DUMMYFUNCTION("GOOGLETRANSLATE(B29609,""en"",""zh-CN"")"),"他们继续将叶子吹过院子。")</f>
        <v>他们继续将叶子吹过院子。</v>
      </c>
    </row>
    <row r="29610">
      <c r="A29610" s="4" t="s">
        <v>37286</v>
      </c>
      <c r="B29610" s="4" t="s">
        <v>37287</v>
      </c>
      <c r="C29610" s="5" t="str">
        <f>IFERROR(__xludf.DUMMYFUNCTION("GOOGLETRANSLATE(B29610,""en"",""zh-CN"")"),"一个女人在外面的人行道上溜走。")</f>
        <v>一个女人在外面的人行道上溜走。</v>
      </c>
    </row>
    <row r="29611">
      <c r="A29611" s="4" t="s">
        <v>37286</v>
      </c>
      <c r="B29611" s="4" t="s">
        <v>37288</v>
      </c>
      <c r="C29611" s="5" t="str">
        <f>IFERROR(__xludf.DUMMYFUNCTION("GOOGLETRANSLATE(B29611,""en"",""zh-CN"")"),"她慢慢滚过相机。")</f>
        <v>她慢慢滚过相机。</v>
      </c>
    </row>
    <row r="29612">
      <c r="A29612" s="4" t="s">
        <v>37286</v>
      </c>
      <c r="B29612" s="4" t="s">
        <v>37289</v>
      </c>
      <c r="C29612" s="5" t="str">
        <f>IFERROR(__xludf.DUMMYFUNCTION("GOOGLETRANSLATE(B29612,""en"",""zh-CN"")"),"她不断地滑过海洋边缘的人行道。")</f>
        <v>她不断地滑过海洋边缘的人行道。</v>
      </c>
    </row>
    <row r="29613">
      <c r="A29613" s="4" t="s">
        <v>37290</v>
      </c>
      <c r="B29613" s="4" t="s">
        <v>37291</v>
      </c>
      <c r="C29613" s="5" t="str">
        <f>IFERROR(__xludf.DUMMYFUNCTION("GOOGLETRANSLATE(B29613,""en"",""zh-CN"")"),"一个相机在真空周围竖起，并显示一个人的脚。")</f>
        <v>一个相机在真空周围竖起，并显示一个人的脚。</v>
      </c>
    </row>
    <row r="29614">
      <c r="A29614" s="4" t="s">
        <v>37290</v>
      </c>
      <c r="B29614" s="4" t="s">
        <v>37292</v>
      </c>
      <c r="C29614" s="5" t="str">
        <f>IFERROR(__xludf.DUMMYFUNCTION("GOOGLETRANSLATE(B29614,""en"",""zh-CN"")"),"该人用真空走来走去，将其推开地毯。")</f>
        <v>该人用真空走来走去，将其推开地毯。</v>
      </c>
    </row>
    <row r="29615">
      <c r="A29615" s="4" t="s">
        <v>37290</v>
      </c>
      <c r="B29615" s="6" t="s">
        <v>37293</v>
      </c>
      <c r="C29615" s="5" t="str">
        <f>IFERROR(__xludf.DUMMYFUNCTION("GOOGLETRANSLATE(B29615,""en"",""zh-CN"")"),"显示了更多人使用相机上的附件以及显示其制作方式的更多镜头。")</f>
        <v>显示了更多人使用相机上的附件以及显示其制作方式的更多镜头。</v>
      </c>
    </row>
    <row r="29616">
      <c r="A29616" s="4" t="s">
        <v>37294</v>
      </c>
      <c r="B29616" s="4" t="s">
        <v>37295</v>
      </c>
      <c r="C29616" s="5" t="str">
        <f>IFERROR(__xludf.DUMMYFUNCTION("GOOGLETRANSLATE(B29616,""en"",""zh-CN"")"),"在与镜头说话时，看到两个年轻女孩跪在浴缸前跪下。")</f>
        <v>在与镜头说话时，看到两个年轻女孩跪在浴缸前跪下。</v>
      </c>
    </row>
    <row r="29617">
      <c r="A29617" s="4" t="s">
        <v>37294</v>
      </c>
      <c r="B29617" s="6" t="s">
        <v>37296</v>
      </c>
      <c r="C29617" s="5" t="str">
        <f>IFERROR(__xludf.DUMMYFUNCTION("GOOGLETRANSLATE(B29617,""en"",""zh-CN"")"),"女孩们拿起产品，然后将其衡量，然后将其放入嘴里并挥动它。")</f>
        <v>女孩们拿起产品，然后将其衡量，然后将其放入嘴里并挥动它。</v>
      </c>
    </row>
    <row r="29618">
      <c r="A29618" s="4" t="s">
        <v>37294</v>
      </c>
      <c r="B29618" s="4" t="s">
        <v>37297</v>
      </c>
      <c r="C29618" s="5" t="str">
        <f>IFERROR(__xludf.DUMMYFUNCTION("GOOGLETRANSLATE(B29618,""en"",""zh-CN"")"),"然后，女孩们吐出液体，继续与相机说话。")</f>
        <v>然后，女孩们吐出液体，继续与相机说话。</v>
      </c>
    </row>
    <row r="29619">
      <c r="A29619" s="4" t="s">
        <v>37298</v>
      </c>
      <c r="B29619" s="4" t="s">
        <v>37299</v>
      </c>
      <c r="C29619" s="5" t="str">
        <f>IFERROR(__xludf.DUMMYFUNCTION("GOOGLETRANSLATE(B29619,""en"",""zh-CN"")"),"一个年轻人解决了一个立方体难题，而一个人站在他的前面。")</f>
        <v>一个年轻人解决了一个立方体难题，而一个人站在他的前面。</v>
      </c>
    </row>
    <row r="29620">
      <c r="A29620" s="4" t="s">
        <v>37298</v>
      </c>
      <c r="B29620" s="4" t="s">
        <v>37300</v>
      </c>
      <c r="C29620" s="5" t="str">
        <f>IFERROR(__xludf.DUMMYFUNCTION("GOOGLETRANSLATE(B29620,""en"",""zh-CN"")"),"然后，一个人写在纸上，向年轻人展示。")</f>
        <v>然后，一个人写在纸上，向年轻人展示。</v>
      </c>
    </row>
    <row r="29621">
      <c r="A29621" s="4" t="s">
        <v>37298</v>
      </c>
      <c r="B29621" s="4" t="s">
        <v>37301</v>
      </c>
      <c r="C29621" s="5" t="str">
        <f>IFERROR(__xludf.DUMMYFUNCTION("GOOGLETRANSLATE(B29621,""en"",""zh-CN"")"),"年轻人再次解决难题的时间更少，男人注意到了。")</f>
        <v>年轻人再次解决难题的时间更少，男人注意到了。</v>
      </c>
    </row>
    <row r="29622">
      <c r="A29622" s="4" t="s">
        <v>37298</v>
      </c>
      <c r="B29622" s="4" t="s">
        <v>37302</v>
      </c>
      <c r="C29622" s="5" t="str">
        <f>IFERROR(__xludf.DUMMYFUNCTION("GOOGLETRANSLATE(B29622,""en"",""zh-CN"")"),"在年轻人再次解决两次难题之后。")</f>
        <v>在年轻人再次解决两次难题之后。</v>
      </c>
    </row>
    <row r="29623">
      <c r="A29623" s="4" t="s">
        <v>37298</v>
      </c>
      <c r="B29623" s="6" t="s">
        <v>37303</v>
      </c>
      <c r="C29623" s="5" t="str">
        <f>IFERROR(__xludf.DUMMYFUNCTION("GOOGLETRANSLATE(B29623,""en"",""zh-CN"")"),"最后，这位年轻人在比以前更少的时间内解决了难题，他从椅子上开心。")</f>
        <v>最后，这位年轻人在比以前更少的时间内解决了难题，他从椅子上开心。</v>
      </c>
    </row>
    <row r="29624">
      <c r="A29624" s="4" t="s">
        <v>37304</v>
      </c>
      <c r="B29624" s="4" t="s">
        <v>37305</v>
      </c>
      <c r="C29624" s="5" t="str">
        <f>IFERROR(__xludf.DUMMYFUNCTION("GOOGLETRANSLATE(B29624,""en"",""zh-CN"")"),"一个年轻的女孩坐在椅子上，紧张地等待着。")</f>
        <v>一个年轻的女孩坐在椅子上，紧张地等待着。</v>
      </c>
    </row>
    <row r="29625">
      <c r="A29625" s="4" t="s">
        <v>37304</v>
      </c>
      <c r="B29625" s="4" t="s">
        <v>37306</v>
      </c>
      <c r="C29625" s="5" t="str">
        <f>IFERROR(__xludf.DUMMYFUNCTION("GOOGLETRANSLATE(B29625,""en"",""zh-CN"")"),"刺穿的艺术家在她的嘴唇上方画了一个点。")</f>
        <v>刺穿的艺术家在她的嘴唇上方画了一个点。</v>
      </c>
    </row>
    <row r="29626">
      <c r="A29626" s="4" t="s">
        <v>37304</v>
      </c>
      <c r="B29626" s="4" t="s">
        <v>37307</v>
      </c>
      <c r="C29626" s="5" t="str">
        <f>IFERROR(__xludf.DUMMYFUNCTION("GOOGLETRANSLATE(B29626,""en"",""zh-CN"")"),"他对自己的工具进行了消毒，并继续刺穿年轻女孩的嘴唇。")</f>
        <v>他对自己的工具进行了消毒，并继续刺穿年轻女孩的嘴唇。</v>
      </c>
    </row>
    <row r="29627">
      <c r="A29627" s="4" t="s">
        <v>37304</v>
      </c>
      <c r="B29627" s="4" t="s">
        <v>37308</v>
      </c>
      <c r="C29627" s="5" t="str">
        <f>IFERROR(__xludf.DUMMYFUNCTION("GOOGLETRANSLATE(B29627,""en"",""zh-CN"")"),"他将戒指插入刺穿。")</f>
        <v>他将戒指插入刺穿。</v>
      </c>
    </row>
    <row r="29628">
      <c r="A29628" s="4" t="s">
        <v>37304</v>
      </c>
      <c r="B29628" s="4" t="s">
        <v>37309</v>
      </c>
      <c r="C29628" s="5" t="str">
        <f>IFERROR(__xludf.DUMMYFUNCTION("GOOGLETRANSLATE(B29628,""en"",""zh-CN"")"),"他收紧穿刺并在穿刺周围清洁。")</f>
        <v>他收紧穿刺并在穿刺周围清洁。</v>
      </c>
    </row>
    <row r="29629">
      <c r="A29629" s="4" t="s">
        <v>37304</v>
      </c>
      <c r="B29629" s="4" t="s">
        <v>37310</v>
      </c>
      <c r="C29629" s="5" t="str">
        <f>IFERROR(__xludf.DUMMYFUNCTION("GOOGLETRANSLATE(B29629,""en"",""zh-CN"")"),"这个女孩看着刺穿艺术家交给她的镜子，看上去很高兴。")</f>
        <v>这个女孩看着刺穿艺术家交给她的镜子，看上去很高兴。</v>
      </c>
    </row>
    <row r="29630">
      <c r="A29630" s="4" t="s">
        <v>37311</v>
      </c>
      <c r="B29630" s="4" t="s">
        <v>37312</v>
      </c>
      <c r="C29630" s="5" t="str">
        <f>IFERROR(__xludf.DUMMYFUNCTION("GOOGLETRANSLATE(B29630,""en"",""zh-CN"")"),"看到一个孩子打开水龙头，开始在水槽里洗碗。")</f>
        <v>看到一个孩子打开水龙头，开始在水槽里洗碗。</v>
      </c>
    </row>
    <row r="29631">
      <c r="A29631" s="4" t="s">
        <v>37311</v>
      </c>
      <c r="B29631" s="6" t="s">
        <v>37313</v>
      </c>
      <c r="C29631" s="5" t="str">
        <f>IFERROR(__xludf.DUMMYFUNCTION("GOOGLETRANSLATE(B29631,""en"",""zh-CN"")"),"孩子在擦洗菜的同时再次打开水，另一个人走进来帮助。")</f>
        <v>孩子在擦洗菜的同时再次打开水，另一个人走进来帮助。</v>
      </c>
    </row>
    <row r="29632">
      <c r="A29632" s="4" t="s">
        <v>37314</v>
      </c>
      <c r="B29632" s="6" t="s">
        <v>37315</v>
      </c>
      <c r="C29632" s="5" t="str">
        <f>IFERROR(__xludf.DUMMYFUNCTION("GOOGLETRANSLATE(B29632,""en"",""zh-CN"")"),"穿着紫色制服的Cherleader团队在木制球场的中间进行编舞。")</f>
        <v>穿着紫色制服的Cherleader团队在木制球场的中间进行编舞。</v>
      </c>
    </row>
    <row r="29633">
      <c r="A29633" s="4" t="s">
        <v>37314</v>
      </c>
      <c r="B29633" s="4" t="s">
        <v>37316</v>
      </c>
      <c r="C29633" s="5" t="str">
        <f>IFERROR(__xludf.DUMMYFUNCTION("GOOGLETRANSLATE(B29633,""en"",""zh-CN"")"),"很多人坐在球场周围的看台上。")</f>
        <v>很多人坐在球场周围的看台上。</v>
      </c>
    </row>
    <row r="29634">
      <c r="A29634" s="4" t="s">
        <v>37314</v>
      </c>
      <c r="B29634" s="4" t="s">
        <v>37317</v>
      </c>
      <c r="C29634" s="5" t="str">
        <f>IFERROR(__xludf.DUMMYFUNCTION("GOOGLETRANSLATE(B29634,""en"",""zh-CN"")"),"人们正在屋顶体育馆的木制法庭的两侧行走。")</f>
        <v>人们正在屋顶体育馆的木制法庭的两侧行走。</v>
      </c>
    </row>
    <row r="29635">
      <c r="A29635" s="4" t="s">
        <v>37318</v>
      </c>
      <c r="B29635" s="4" t="s">
        <v>37319</v>
      </c>
      <c r="C29635" s="5" t="str">
        <f>IFERROR(__xludf.DUMMYFUNCTION("GOOGLETRANSLATE(B29635,""en"",""zh-CN"")"),"我们看到一个女孩准备在室内游泳池里潜水。")</f>
        <v>我们看到一个女孩准备在室内游泳池里潜水。</v>
      </c>
    </row>
    <row r="29636">
      <c r="A29636" s="4" t="s">
        <v>37318</v>
      </c>
      <c r="B29636" s="4" t="s">
        <v>37320</v>
      </c>
      <c r="C29636" s="5" t="str">
        <f>IFERROR(__xludf.DUMMYFUNCTION("GOOGLETRANSLATE(B29636,""en"",""zh-CN"")"),"女孩跳了起来，看上去很害怕高度。")</f>
        <v>女孩跳了起来，看上去很害怕高度。</v>
      </c>
    </row>
    <row r="29637">
      <c r="A29637" s="4" t="s">
        <v>37318</v>
      </c>
      <c r="B29637" s="4" t="s">
        <v>37321</v>
      </c>
      <c r="C29637" s="5" t="str">
        <f>IFERROR(__xludf.DUMMYFUNCTION("GOOGLETRANSLATE(B29637,""en"",""zh-CN"")"),"女孩转身潜入水中。")</f>
        <v>女孩转身潜入水中。</v>
      </c>
    </row>
    <row r="29638">
      <c r="A29638" s="4" t="s">
        <v>37318</v>
      </c>
      <c r="B29638" s="4" t="s">
        <v>37322</v>
      </c>
      <c r="C29638" s="5" t="str">
        <f>IFERROR(__xludf.DUMMYFUNCTION("GOOGLETRANSLATE(B29638,""en"",""zh-CN"")"),"女孩浮出水面，游泳到游泳池的边缘。")</f>
        <v>女孩浮出水面，游泳到游泳池的边缘。</v>
      </c>
    </row>
    <row r="29639">
      <c r="A29639" s="4" t="s">
        <v>37323</v>
      </c>
      <c r="B29639" s="4" t="s">
        <v>37324</v>
      </c>
      <c r="C29639" s="5" t="str">
        <f>IFERROR(__xludf.DUMMYFUNCTION("GOOGLETRANSLATE(B29639,""en"",""zh-CN"")"),"视频从光明大教堂的徽标开始。")</f>
        <v>视频从光明大教堂的徽标开始。</v>
      </c>
    </row>
    <row r="29640">
      <c r="A29640" s="4" t="s">
        <v>37323</v>
      </c>
      <c r="B29640" s="4" t="s">
        <v>37325</v>
      </c>
      <c r="C29640" s="5" t="str">
        <f>IFERROR(__xludf.DUMMYFUNCTION("GOOGLETRANSLATE(B29640,""en"",""zh-CN"")"),"接下来显示一群人。")</f>
        <v>接下来显示一群人。</v>
      </c>
    </row>
    <row r="29641">
      <c r="A29641" s="4" t="s">
        <v>37323</v>
      </c>
      <c r="B29641" s="4" t="s">
        <v>37326</v>
      </c>
      <c r="C29641" s="5" t="str">
        <f>IFERROR(__xludf.DUMMYFUNCTION("GOOGLETRANSLATE(B29641,""en"",""zh-CN"")"),"然后，人们在水下世界中游泳。")</f>
        <v>然后，人们在水下世界中游泳。</v>
      </c>
    </row>
    <row r="29642">
      <c r="A29642" s="4" t="s">
        <v>37323</v>
      </c>
      <c r="B29642" s="4" t="s">
        <v>37327</v>
      </c>
      <c r="C29642" s="5" t="str">
        <f>IFERROR(__xludf.DUMMYFUNCTION("GOOGLETRANSLATE(B29642,""en"",""zh-CN"")"),"礁石和岩石在水下显示。")</f>
        <v>礁石和岩石在水下显示。</v>
      </c>
    </row>
    <row r="29643">
      <c r="A29643" s="4" t="s">
        <v>37323</v>
      </c>
      <c r="B29643" s="4" t="s">
        <v>37328</v>
      </c>
      <c r="C29643" s="5" t="str">
        <f>IFERROR(__xludf.DUMMYFUNCTION("GOOGLETRANSLATE(B29643,""en"",""zh-CN"")"),"水肺潜水员在探索周围的东西深处游泳。")</f>
        <v>水肺潜水员在探索周围的东西深处游泳。</v>
      </c>
    </row>
    <row r="29644">
      <c r="A29644" s="4" t="s">
        <v>37329</v>
      </c>
      <c r="B29644" s="4" t="s">
        <v>37330</v>
      </c>
      <c r="C29644" s="5" t="str">
        <f>IFERROR(__xludf.DUMMYFUNCTION("GOOGLETRANSLATE(B29644,""en"",""zh-CN"")"),"两个男人坐在桌子旁边，戴着蓝色衬衫和焊接头盔。")</f>
        <v>两个男人坐在桌子旁边，戴着蓝色衬衫和焊接头盔。</v>
      </c>
    </row>
    <row r="29645">
      <c r="A29645" s="4" t="s">
        <v>37329</v>
      </c>
      <c r="B29645" s="6" t="s">
        <v>37331</v>
      </c>
      <c r="C29645" s="5" t="str">
        <f>IFERROR(__xludf.DUMMYFUNCTION("GOOGLETRANSLATE(B29645,""en"",""zh-CN"")"),"该男子正在拿着焊接机，并在引起火花的金属上工作，在他旁边是另一个男人密切看着金属。")</f>
        <v>该男子正在拿着焊接机，并在引起火花的金属上工作，在他旁边是另一个男人密切看着金属。</v>
      </c>
    </row>
    <row r="29646">
      <c r="A29646" s="4" t="s">
        <v>37329</v>
      </c>
      <c r="B29646" s="4" t="s">
        <v>37332</v>
      </c>
      <c r="C29646" s="5" t="str">
        <f>IFERROR(__xludf.DUMMYFUNCTION("GOOGLETRANSLATE(B29646,""en"",""zh-CN"")"),"灯光照亮了，那个男人正在戳金属。")</f>
        <v>灯光照亮了，那个男人正在戳金属。</v>
      </c>
    </row>
    <row r="29647">
      <c r="A29647" s="4" t="s">
        <v>37333</v>
      </c>
      <c r="B29647" s="4" t="s">
        <v>37334</v>
      </c>
      <c r="C29647" s="5" t="str">
        <f>IFERROR(__xludf.DUMMYFUNCTION("GOOGLETRANSLATE(B29647,""en"",""zh-CN"")"),"一名体操运动员紧张地等待着她的开始。")</f>
        <v>一名体操运动员紧张地等待着她的开始。</v>
      </c>
    </row>
    <row r="29648">
      <c r="A29648" s="4" t="s">
        <v>37333</v>
      </c>
      <c r="B29648" s="4" t="s">
        <v>37335</v>
      </c>
      <c r="C29648" s="5" t="str">
        <f>IFERROR(__xludf.DUMMYFUNCTION("GOOGLETRANSLATE(B29648,""en"",""zh-CN"")"),"舞台上的人群看着她。")</f>
        <v>舞台上的人群看着她。</v>
      </c>
    </row>
    <row r="29649">
      <c r="A29649" s="4" t="s">
        <v>37333</v>
      </c>
      <c r="B29649" s="4" t="s">
        <v>37336</v>
      </c>
      <c r="C29649" s="5" t="str">
        <f>IFERROR(__xludf.DUMMYFUNCTION("GOOGLETRANSLATE(B29649,""en"",""zh-CN"")"),"她爬上酒吧，进行各种翻转，手推车以及进行中间空气。")</f>
        <v>她爬上酒吧，进行各种翻转，手推车以及进行中间空气。</v>
      </c>
    </row>
    <row r="29650">
      <c r="A29650" s="4" t="s">
        <v>37333</v>
      </c>
      <c r="B29650" s="4" t="s">
        <v>37337</v>
      </c>
      <c r="C29650" s="5" t="str">
        <f>IFERROR(__xludf.DUMMYFUNCTION("GOOGLETRANSLATE(B29650,""en"",""zh-CN"")"),"她跳下酒吧，降落在蓝色垫子上。")</f>
        <v>她跳下酒吧，降落在蓝色垫子上。</v>
      </c>
    </row>
    <row r="29651">
      <c r="A29651" s="4" t="s">
        <v>37338</v>
      </c>
      <c r="B29651" s="6" t="s">
        <v>37339</v>
      </c>
      <c r="C29651" s="5" t="str">
        <f>IFERROR(__xludf.DUMMYFUNCTION("GOOGLETRANSLATE(B29651,""en"",""zh-CN"")"),"一个人的汽车从内部有几个角度显示，并带着里面的人驾驶汽车。")</f>
        <v>一个人的汽车从内部有几个角度显示，并带着里面的人驾驶汽车。</v>
      </c>
    </row>
    <row r="29652">
      <c r="A29652" s="4" t="s">
        <v>37338</v>
      </c>
      <c r="B29652" s="4" t="s">
        <v>37340</v>
      </c>
      <c r="C29652" s="5" t="str">
        <f>IFERROR(__xludf.DUMMYFUNCTION("GOOGLETRANSLATE(B29652,""en"",""zh-CN"")"),"然后，人们以各种角度骑着雪山，沿着山上沿着各个角度展示。")</f>
        <v>然后，人们以各种角度骑着雪山，沿着山上沿着各个角度展示。</v>
      </c>
    </row>
    <row r="29653">
      <c r="A29653" s="4" t="s">
        <v>37338</v>
      </c>
      <c r="B29653" s="6" t="s">
        <v>37341</v>
      </c>
      <c r="C29653" s="5" t="str">
        <f>IFERROR(__xludf.DUMMYFUNCTION("GOOGLETRANSLATE(B29653,""en"",""zh-CN"")"),"当人们几次上下山上并降落在山下的山顶时，人们的脸上张开了脸。")</f>
        <v>当人们几次上下山上并降落在山下的山顶时，人们的脸上张开了脸。</v>
      </c>
    </row>
    <row r="29654">
      <c r="A29654" s="4" t="s">
        <v>37342</v>
      </c>
      <c r="B29654" s="4" t="s">
        <v>37343</v>
      </c>
      <c r="C29654" s="5" t="str">
        <f>IFERROR(__xludf.DUMMYFUNCTION("GOOGLETRANSLATE(B29654,""en"",""zh-CN"")"),"一个人在土墩上，圆圈旋转。")</f>
        <v>一个人在土墩上，圆圈旋转。</v>
      </c>
    </row>
    <row r="29655">
      <c r="A29655" s="4" t="s">
        <v>37342</v>
      </c>
      <c r="B29655" s="4" t="s">
        <v>37344</v>
      </c>
      <c r="C29655" s="5" t="str">
        <f>IFERROR(__xludf.DUMMYFUNCTION("GOOGLETRANSLATE(B29655,""en"",""zh-CN"")"),"他放开光盘，看着它飞。")</f>
        <v>他放开光盘，看着它飞。</v>
      </c>
    </row>
    <row r="29656">
      <c r="A29656" s="4" t="s">
        <v>37342</v>
      </c>
      <c r="B29656" s="4" t="s">
        <v>37345</v>
      </c>
      <c r="C29656" s="5" t="str">
        <f>IFERROR(__xludf.DUMMYFUNCTION("GOOGLETRANSLATE(B29656,""en"",""zh-CN"")"),"在场上的一群人面前显示了一条光盘线，选择了自己的光盘。")</f>
        <v>在场上的一群人面前显示了一条光盘线，选择了自己的光盘。</v>
      </c>
    </row>
    <row r="29657">
      <c r="A29657" s="4" t="s">
        <v>37342</v>
      </c>
      <c r="B29657" s="4" t="s">
        <v>37346</v>
      </c>
      <c r="C29657" s="5" t="str">
        <f>IFERROR(__xludf.DUMMYFUNCTION("GOOGLETRANSLATE(B29657,""en"",""zh-CN"")"),"一次向人们展示一个，一次扔碟。")</f>
        <v>一次向人们展示一个，一次扔碟。</v>
      </c>
    </row>
    <row r="29658">
      <c r="A29658" s="4" t="s">
        <v>37342</v>
      </c>
      <c r="B29658" s="4" t="s">
        <v>37347</v>
      </c>
      <c r="C29658" s="5" t="str">
        <f>IFERROR(__xludf.DUMMYFUNCTION("GOOGLETRANSLATE(B29658,""en"",""zh-CN"")"),"获胜者凭借他的奖杯站着，握手的人握手。")</f>
        <v>获胜者凭借他的奖杯站着，握手的人握手。</v>
      </c>
    </row>
    <row r="29659">
      <c r="A29659" s="4" t="s">
        <v>37348</v>
      </c>
      <c r="B29659" s="6" t="s">
        <v>37349</v>
      </c>
      <c r="C29659" s="5" t="str">
        <f>IFERROR(__xludf.DUMMYFUNCTION("GOOGLETRANSLATE(B29659,""en"",""zh-CN"")"),"显示了各种剪辑的人，有人玩曲棍球，然后是一个拿着棍子并与镜头说话的男人。")</f>
        <v>显示了各种剪辑的人，有人玩曲棍球，然后是一个拿着棍子并与镜头说话的男人。</v>
      </c>
    </row>
    <row r="29660">
      <c r="A29660" s="4" t="s">
        <v>37348</v>
      </c>
      <c r="B29660" s="4" t="s">
        <v>37350</v>
      </c>
      <c r="C29660" s="5" t="str">
        <f>IFERROR(__xludf.DUMMYFUNCTION("GOOGLETRANSLATE(B29660,""en"",""zh-CN"")"),"他四处移动棍子，展示如何正确地发挥作用。")</f>
        <v>他四处移动棍子，展示如何正确地发挥作用。</v>
      </c>
    </row>
    <row r="29661">
      <c r="A29661" s="4" t="s">
        <v>37351</v>
      </c>
      <c r="B29661" s="4" t="s">
        <v>37352</v>
      </c>
      <c r="C29661" s="5" t="str">
        <f>IFERROR(__xludf.DUMMYFUNCTION("GOOGLETRANSLATE(B29661,""en"",""zh-CN"")"),"一个小女孩向母亲踢一个大的粉红色球，她的母亲抓住它并将其踢回去。")</f>
        <v>一个小女孩向母亲踢一个大的粉红色球，她的母亲抓住它并将其踢回去。</v>
      </c>
    </row>
    <row r="29662">
      <c r="A29662" s="4" t="s">
        <v>37351</v>
      </c>
      <c r="B29662" s="4" t="s">
        <v>37353</v>
      </c>
      <c r="C29662" s="5" t="str">
        <f>IFERROR(__xludf.DUMMYFUNCTION("GOOGLETRANSLATE(B29662,""en"",""zh-CN"")"),"他们继续踢球并互相扔给彼此，一个人加入了球。")</f>
        <v>他们继续踢球并互相扔给彼此，一个人加入了球。</v>
      </c>
    </row>
    <row r="29663">
      <c r="A29663" s="4" t="s">
        <v>37351</v>
      </c>
      <c r="B29663" s="4" t="s">
        <v>37354</v>
      </c>
      <c r="C29663" s="5" t="str">
        <f>IFERROR(__xludf.DUMMYFUNCTION("GOOGLETRANSLATE(B29663,""en"",""zh-CN"")"),"小女孩追赶球，把球带回来。")</f>
        <v>小女孩追赶球，把球带回来。</v>
      </c>
    </row>
    <row r="29664">
      <c r="A29664" s="4" t="s">
        <v>37355</v>
      </c>
      <c r="B29664" s="6" t="s">
        <v>37356</v>
      </c>
      <c r="C29664" s="5" t="str">
        <f>IFERROR(__xludf.DUMMYFUNCTION("GOOGLETRANSLATE(B29664,""en"",""zh-CN"")"),"一名女体操运动员跳到平衡梁上，进行许多技巧和翻转，并落在她的脚上。")</f>
        <v>一名女体操运动员跳到平衡梁上，进行许多技巧和翻转，并落在她的脚上。</v>
      </c>
    </row>
    <row r="29665">
      <c r="A29665" s="4" t="s">
        <v>37355</v>
      </c>
      <c r="B29665" s="6" t="s">
        <v>37357</v>
      </c>
      <c r="C29665" s="5" t="str">
        <f>IFERROR(__xludf.DUMMYFUNCTION("GOOGLETRANSLATE(B29665,""en"",""zh-CN"")"),"体操运动员进行了两次不错的后背翻转，同时保持平衡并降落在她的脚上。")</f>
        <v>体操运动员进行了两次不错的后背翻转，同时保持平衡并降落在她的脚上。</v>
      </c>
    </row>
    <row r="29666">
      <c r="A29666" s="4" t="s">
        <v>37355</v>
      </c>
      <c r="B29666" s="6" t="s">
        <v>37358</v>
      </c>
      <c r="C29666" s="5" t="str">
        <f>IFERROR(__xludf.DUMMYFUNCTION("GOOGLETRANSLATE(B29666,""en"",""zh-CN"")"),"最终，女体操运动员以高高的两倍的平衡梁在空气中的平衡梁进行了两次结束，并降落在垫子县长上。")</f>
        <v>最终，女体操运动员以高高的两倍的平衡梁在空气中的平衡梁进行了两次结束，并降落在垫子县长上。</v>
      </c>
    </row>
    <row r="29667">
      <c r="A29667" s="4" t="s">
        <v>37359</v>
      </c>
      <c r="B29667" s="6" t="s">
        <v>37360</v>
      </c>
      <c r="C29667" s="5" t="str">
        <f>IFERROR(__xludf.DUMMYFUNCTION("GOOGLETRANSLATE(B29667,""en"",""zh-CN"")"),"一个人出现在柜台上的物体前面的人出现，然后在猫头鹰的图片上出现一个白屏，屏幕上的单词包括网站和灰色单词“武士专业刀刀”。")</f>
        <v>一个人出现在柜台上的物体前面的人出现，然后在猫头鹰的图片上出现一个白屏，屏幕上的单词包括网站和灰色单词“武士专业刀刀”。</v>
      </c>
    </row>
    <row r="29668">
      <c r="A29668" s="4" t="s">
        <v>37359</v>
      </c>
      <c r="B29668" s="6" t="s">
        <v>37361</v>
      </c>
      <c r="C29668" s="5" t="str">
        <f>IFERROR(__xludf.DUMMYFUNCTION("GOOGLETRANSLATE(B29668,""en"",""zh-CN"")"),"然后，该男子将两把刀捡起他的切菜板附近，并演示了他们每个人如何切割一块绿色洋葱，然后他将磨刀器固定在柜台上，将他的刀子穿过磨刀器几次，然后返回显示它如何切割绿色洋葱以及叶片的外观。")</f>
        <v>然后，该男子将两把刀捡起他的切菜板附近，并演示了他们每个人如何切割一块绿色洋葱，然后他将磨刀器固定在柜台上，将他的刀子穿过磨刀器几次，然后返回显示它如何切割绿色洋葱以及叶片的外观。</v>
      </c>
    </row>
    <row r="29669">
      <c r="A29669" s="4" t="s">
        <v>37359</v>
      </c>
      <c r="B29669" s="4" t="s">
        <v>37362</v>
      </c>
      <c r="C29669" s="5" t="str">
        <f>IFERROR(__xludf.DUMMYFUNCTION("GOOGLETRANSLATE(B29669,""en"",""zh-CN"")"),"该男子正在触摸，握住并显示摄像头更仔细地看着磨刀器。")</f>
        <v>该男子正在触摸，握住并显示摄像头更仔细地看着磨刀器。</v>
      </c>
    </row>
    <row r="29670">
      <c r="A29670" s="4" t="s">
        <v>37359</v>
      </c>
      <c r="B29670" s="6" t="s">
        <v>37363</v>
      </c>
      <c r="C29670" s="5" t="str">
        <f>IFERROR(__xludf.DUMMYFUNCTION("GOOGLETRANSLATE(B29670,""en"",""zh-CN"")"),"Outro是一个将猫头鹰和网站吸引到带有标记的大纸上的人，在完成后给予大拇指，然后屏幕进入了刚刚绘制的同一猫头鹰的数字白屏和网站在它下面。")</f>
        <v>Outro是一个将猫头鹰和网站吸引到带有标记的大纸上的人，在完成后给予大拇指，然后屏幕进入了刚刚绘制的同一猫头鹰的数字白屏和网站在它下面。</v>
      </c>
    </row>
    <row r="29671">
      <c r="A29671" s="4" t="s">
        <v>37364</v>
      </c>
      <c r="B29671" s="4" t="s">
        <v>37365</v>
      </c>
      <c r="C29671" s="5" t="str">
        <f>IFERROR(__xludf.DUMMYFUNCTION("GOOGLETRANSLATE(B29671,""en"",""zh-CN"")"),"妇女在将球扔到田野上之前握住球并旋转。")</f>
        <v>妇女在将球扔到田野上之前握住球并旋转。</v>
      </c>
    </row>
    <row r="29672">
      <c r="A29672" s="4" t="s">
        <v>37364</v>
      </c>
      <c r="B29672" s="4" t="s">
        <v>37366</v>
      </c>
      <c r="C29672" s="5" t="str">
        <f>IFERROR(__xludf.DUMMYFUNCTION("GOOGLETRANSLATE(B29672,""en"",""zh-CN"")"),"一个穿着红色衬衫的男人拿着扫帚。")</f>
        <v>一个穿着红色衬衫的男人拿着扫帚。</v>
      </c>
    </row>
    <row r="29673">
      <c r="A29673" s="4" t="s">
        <v>37364</v>
      </c>
      <c r="B29673" s="4" t="s">
        <v>37367</v>
      </c>
      <c r="C29673" s="5" t="str">
        <f>IFERROR(__xludf.DUMMYFUNCTION("GOOGLETRANSLATE(B29673,""en"",""zh-CN"")"),"人们看着他们扔球。")</f>
        <v>人们看着他们扔球。</v>
      </c>
    </row>
    <row r="29674">
      <c r="A29674" s="4" t="s">
        <v>37368</v>
      </c>
      <c r="B29674" s="4" t="s">
        <v>37369</v>
      </c>
      <c r="C29674" s="5" t="str">
        <f>IFERROR(__xludf.DUMMYFUNCTION("GOOGLETRANSLATE(B29674,""en"",""zh-CN"")"),"显示了几张秃头保龄球的图像，然后他出现并扔了一个曲线球。")</f>
        <v>显示了几张秃头保龄球的图像，然后他出现并扔了一个曲线球。</v>
      </c>
    </row>
    <row r="29675">
      <c r="A29675" s="4" t="s">
        <v>37368</v>
      </c>
      <c r="B29675" s="6" t="s">
        <v>37370</v>
      </c>
      <c r="C29675" s="5" t="str">
        <f>IFERROR(__xludf.DUMMYFUNCTION("GOOGLETRANSLATE(B29675,""en"",""zh-CN"")"),"曲线球显示了来自不同位置的几个视频，球几乎进入了天沟，但弯曲距离保龄球大约两到三英尺。")</f>
        <v>曲线球显示了来自不同位置的几个视频，球几乎进入了天沟，但弯曲距离保龄球大约两到三英尺。</v>
      </c>
    </row>
    <row r="29676">
      <c r="A29676" s="4" t="s">
        <v>37371</v>
      </c>
      <c r="B29676" s="4" t="s">
        <v>37372</v>
      </c>
      <c r="C29676" s="5" t="str">
        <f>IFERROR(__xludf.DUMMYFUNCTION("GOOGLETRANSLATE(B29676,""en"",""zh-CN"")"),"一个男人在一条车道上几次打保龄球。")</f>
        <v>一个男人在一条车道上几次打保龄球。</v>
      </c>
    </row>
    <row r="29677">
      <c r="A29677" s="4" t="s">
        <v>37371</v>
      </c>
      <c r="B29677" s="4" t="s">
        <v>37373</v>
      </c>
      <c r="C29677" s="5" t="str">
        <f>IFERROR(__xludf.DUMMYFUNCTION("GOOGLETRANSLATE(B29677,""en"",""zh-CN"")"),"显示了分数板的屏幕。")</f>
        <v>显示了分数板的屏幕。</v>
      </c>
    </row>
    <row r="29678">
      <c r="A29678" s="4" t="s">
        <v>37374</v>
      </c>
      <c r="B29678" s="4" t="s">
        <v>37375</v>
      </c>
      <c r="C29678" s="5" t="str">
        <f>IFERROR(__xludf.DUMMYFUNCTION("GOOGLETRANSLATE(B29678,""en"",""zh-CN"")"),"看到一只狗的特写者继续逃往另一只狗。")</f>
        <v>看到一只狗的特写者继续逃往另一只狗。</v>
      </c>
    </row>
    <row r="29679">
      <c r="A29679" s="4" t="s">
        <v>37374</v>
      </c>
      <c r="B29679" s="4" t="s">
        <v>37376</v>
      </c>
      <c r="C29679" s="5" t="str">
        <f>IFERROR(__xludf.DUMMYFUNCTION("GOOGLETRANSLATE(B29679,""en"",""zh-CN"")"),"然后，大狗将小狗带到皮带上。")</f>
        <v>然后，大狗将小狗带到皮带上。</v>
      </c>
    </row>
    <row r="29680">
      <c r="A29680" s="4" t="s">
        <v>37377</v>
      </c>
      <c r="B29680" s="4" t="s">
        <v>37378</v>
      </c>
      <c r="C29680" s="5" t="str">
        <f>IFERROR(__xludf.DUMMYFUNCTION("GOOGLETRANSLATE(B29680,""en"",""zh-CN"")"),"这是有关获取盒辫子的视频教程。")</f>
        <v>这是有关获取盒辫子的视频教程。</v>
      </c>
    </row>
    <row r="29681">
      <c r="A29681" s="4" t="s">
        <v>37377</v>
      </c>
      <c r="B29681" s="4" t="s">
        <v>37379</v>
      </c>
      <c r="C29681" s="5" t="str">
        <f>IFERROR(__xludf.DUMMYFUNCTION("GOOGLETRANSLATE(B29681,""en"",""zh-CN"")"),"屏幕弹出了几个网站和社交媒体地址。")</f>
        <v>屏幕弹出了几个网站和社交媒体地址。</v>
      </c>
    </row>
    <row r="29682">
      <c r="A29682" s="4" t="s">
        <v>37377</v>
      </c>
      <c r="B29682" s="4" t="s">
        <v>37380</v>
      </c>
      <c r="C29682" s="5" t="str">
        <f>IFERROR(__xludf.DUMMYFUNCTION("GOOGLETRANSLATE(B29682,""en"",""zh-CN"")"),"这些过程有一些使辫子在粉红色外套上显示的辫子。")</f>
        <v>这些过程有一些使辫子在粉红色外套上显示的辫子。</v>
      </c>
    </row>
    <row r="29683">
      <c r="A29683" s="4" t="s">
        <v>37377</v>
      </c>
      <c r="B29683" s="6" t="s">
        <v>37381</v>
      </c>
      <c r="C29683" s="5" t="str">
        <f>IFERROR(__xludf.DUMMYFUNCTION("GOOGLETRANSLATE(B29683,""en"",""zh-CN"")"),"然后，视频显示了使用梳子在实际时间外观的外观以及将辫子分开的技术用手将辫子分开的技术。")</f>
        <v>然后，视频显示了使用梳子在实际时间外观的外观以及将辫子分开的技术用手将辫子分开的技术。</v>
      </c>
    </row>
    <row r="29684">
      <c r="A29684" s="4" t="s">
        <v>37377</v>
      </c>
      <c r="B29684" s="6" t="s">
        <v>37382</v>
      </c>
      <c r="C29684" s="5" t="str">
        <f>IFERROR(__xludf.DUMMYFUNCTION("GOOGLETRANSLATE(B29684,""en"",""zh-CN"")"),"然后是一个粉红色的小女孩的前景，因为她背后的女人完成了头部前部的编织过程。")</f>
        <v>然后是一个粉红色的小女孩的前景，因为她背后的女人完成了头部前部的编织过程。</v>
      </c>
    </row>
    <row r="29685">
      <c r="A29685" s="4" t="s">
        <v>37377</v>
      </c>
      <c r="B29685" s="4" t="s">
        <v>37383</v>
      </c>
      <c r="C29685" s="5" t="str">
        <f>IFERROR(__xludf.DUMMYFUNCTION("GOOGLETRANSLATE(B29685,""en"",""zh-CN"")"),"有屏幕文本提到六个小时后头发的外观。")</f>
        <v>有屏幕文本提到六个小时后头发的外观。</v>
      </c>
    </row>
    <row r="29686">
      <c r="A29686" s="4" t="s">
        <v>37377</v>
      </c>
      <c r="B29686" s="4" t="s">
        <v>37384</v>
      </c>
      <c r="C29686" s="5" t="str">
        <f>IFERROR(__xludf.DUMMYFUNCTION("GOOGLETRANSLATE(B29686,""en"",""zh-CN"")"),"然后仍然有辫子的镜头。")</f>
        <v>然后仍然有辫子的镜头。</v>
      </c>
    </row>
    <row r="29687">
      <c r="A29687" s="4" t="s">
        <v>37385</v>
      </c>
      <c r="B29687" s="6" t="s">
        <v>37386</v>
      </c>
      <c r="C29687" s="5" t="str">
        <f>IFERROR(__xludf.DUMMYFUNCTION("GOOGLETRANSLATE(B29687,""en"",""zh-CN"")"),"在河旁边的屏幕上出现了一个瀑布，标题为“ H20冒险萨维格河”。")</f>
        <v>在河旁边的屏幕上出现了一个瀑布，标题为“ H20冒险萨维格河”。</v>
      </c>
    </row>
    <row r="29688">
      <c r="A29688" s="4" t="s">
        <v>37385</v>
      </c>
      <c r="B29688" s="4" t="s">
        <v>37387</v>
      </c>
      <c r="C29688" s="5" t="str">
        <f>IFERROR(__xludf.DUMMYFUNCTION("GOOGLETRANSLATE(B29688,""en"",""zh-CN"")"),"一群人走过河上方的红色悬架步行桥。")</f>
        <v>一群人走过河上方的红色悬架步行桥。</v>
      </c>
    </row>
    <row r="29689">
      <c r="A29689" s="4" t="s">
        <v>37385</v>
      </c>
      <c r="B29689" s="4" t="s">
        <v>37388</v>
      </c>
      <c r="C29689" s="5" t="str">
        <f>IFERROR(__xludf.DUMMYFUNCTION("GOOGLETRANSLATE(B29689,""en"",""zh-CN"")"),"一群戴着救生背心的人会听取指示。")</f>
        <v>一群戴着救生背心的人会听取指示。</v>
      </c>
    </row>
    <row r="29690">
      <c r="A29690" s="4" t="s">
        <v>37385</v>
      </c>
      <c r="B29690" s="4" t="s">
        <v>37389</v>
      </c>
      <c r="C29690" s="5" t="str">
        <f>IFERROR(__xludf.DUMMYFUNCTION("GOOGLETRANSLATE(B29690,""en"",""zh-CN"")"),"一群人排在快速河流的河流上。")</f>
        <v>一群人排在快速河流的河流上。</v>
      </c>
    </row>
    <row r="29691">
      <c r="A29691" s="4" t="s">
        <v>37385</v>
      </c>
      <c r="B29691" s="4" t="s">
        <v>37390</v>
      </c>
      <c r="C29691" s="5" t="str">
        <f>IFERROR(__xludf.DUMMYFUNCTION("GOOGLETRANSLATE(B29691,""en"",""zh-CN"")"),"人们站在岸上说话和喝酒。")</f>
        <v>人们站在岸上说话和喝酒。</v>
      </c>
    </row>
    <row r="29692">
      <c r="A29692" s="4" t="s">
        <v>37385</v>
      </c>
      <c r="B29692" s="4" t="s">
        <v>37391</v>
      </c>
      <c r="C29692" s="5" t="str">
        <f>IFERROR(__xludf.DUMMYFUNCTION("GOOGLETRANSLATE(B29692,""en"",""zh-CN"")"),"视频学分出现在屏幕上的屏幕上的蜥蜴上的视频。")</f>
        <v>视频学分出现在屏幕上的屏幕上的蜥蜴上的视频。</v>
      </c>
    </row>
    <row r="29693">
      <c r="A29693" s="4" t="s">
        <v>37385</v>
      </c>
      <c r="B29693" s="4" t="s">
        <v>37392</v>
      </c>
      <c r="C29693" s="5" t="str">
        <f>IFERROR(__xludf.DUMMYFUNCTION("GOOGLETRANSLATE(B29693,""en"",""zh-CN"")"),"信用结束后，屏幕完全黑了。")</f>
        <v>信用结束后，屏幕完全黑了。</v>
      </c>
    </row>
    <row r="29694">
      <c r="A29694" s="4" t="s">
        <v>37393</v>
      </c>
      <c r="B29694" s="4" t="s">
        <v>37394</v>
      </c>
      <c r="C29694" s="5" t="str">
        <f>IFERROR(__xludf.DUMMYFUNCTION("GOOGLETRANSLATE(B29694,""en"",""zh-CN"")"),"几个男人在室内网球场上。")</f>
        <v>几个男人在室内网球场上。</v>
      </c>
    </row>
    <row r="29695">
      <c r="A29695" s="4" t="s">
        <v>37393</v>
      </c>
      <c r="B29695" s="4" t="s">
        <v>37395</v>
      </c>
      <c r="C29695" s="5" t="str">
        <f>IFERROR(__xludf.DUMMYFUNCTION("GOOGLETRANSLATE(B29695,""en"",""zh-CN"")"),"他们来回将球从网上来回lo。")</f>
        <v>他们来回将球从网上来回lo。</v>
      </c>
    </row>
    <row r="29696">
      <c r="A29696" s="4" t="s">
        <v>37393</v>
      </c>
      <c r="B29696" s="4" t="s">
        <v>37396</v>
      </c>
      <c r="C29696" s="5" t="str">
        <f>IFERROR(__xludf.DUMMYFUNCTION("GOOGLETRANSLATE(B29696,""en"",""zh-CN"")"),"他们互相击中。")</f>
        <v>他们互相击中。</v>
      </c>
    </row>
    <row r="29697">
      <c r="A29697" s="4" t="s">
        <v>37397</v>
      </c>
      <c r="B29697" s="4" t="s">
        <v>37398</v>
      </c>
      <c r="C29697" s="5" t="str">
        <f>IFERROR(__xludf.DUMMYFUNCTION("GOOGLETRANSLATE(B29697,""en"",""zh-CN"")"),"两人在街上跳舞，而行人和道路交通经过。")</f>
        <v>两人在街上跳舞，而行人和道路交通经过。</v>
      </c>
    </row>
    <row r="29698">
      <c r="A29698" s="4" t="s">
        <v>37397</v>
      </c>
      <c r="B29698" s="4" t="s">
        <v>37399</v>
      </c>
      <c r="C29698" s="5" t="str">
        <f>IFERROR(__xludf.DUMMYFUNCTION("GOOGLETRANSLATE(B29698,""en"",""zh-CN"")"),"两个女人停下来观看舞者。")</f>
        <v>两个女人停下来观看舞者。</v>
      </c>
    </row>
    <row r="29699">
      <c r="A29699" s="4" t="s">
        <v>37397</v>
      </c>
      <c r="B29699" s="4" t="s">
        <v>37400</v>
      </c>
      <c r="C29699" s="5" t="str">
        <f>IFERROR(__xludf.DUMMYFUNCTION("GOOGLETRANSLATE(B29699,""en"",""zh-CN"")"),"一个男人和一个女人停下来看舞者。")</f>
        <v>一个男人和一个女人停下来看舞者。</v>
      </c>
    </row>
    <row r="29700">
      <c r="A29700" s="4" t="s">
        <v>37401</v>
      </c>
      <c r="B29700" s="4" t="s">
        <v>37402</v>
      </c>
      <c r="C29700" s="5" t="str">
        <f>IFERROR(__xludf.DUMMYFUNCTION("GOOGLETRANSLATE(B29700,""en"",""zh-CN"")"),"一个男孩在户外网中。")</f>
        <v>一个男孩在户外网中。</v>
      </c>
    </row>
    <row r="29701">
      <c r="A29701" s="4" t="s">
        <v>37401</v>
      </c>
      <c r="B29701" s="4" t="s">
        <v>37403</v>
      </c>
      <c r="C29701" s="5" t="str">
        <f>IFERROR(__xludf.DUMMYFUNCTION("GOOGLETRANSLATE(B29701,""en"",""zh-CN"")"),"他很快将球挥动在绳子上。")</f>
        <v>他很快将球挥动在绳子上。</v>
      </c>
    </row>
    <row r="29702">
      <c r="A29702" s="4" t="s">
        <v>37401</v>
      </c>
      <c r="B29702" s="4" t="s">
        <v>37404</v>
      </c>
      <c r="C29702" s="5" t="str">
        <f>IFERROR(__xludf.DUMMYFUNCTION("GOOGLETRANSLATE(B29702,""en"",""zh-CN"")"),"他放开它，看着它飞过田野。")</f>
        <v>他放开它，看着它飞过田野。</v>
      </c>
    </row>
    <row r="29703">
      <c r="A29703" s="4" t="s">
        <v>37405</v>
      </c>
      <c r="B29703" s="4" t="s">
        <v>37406</v>
      </c>
      <c r="C29703" s="5" t="str">
        <f>IFERROR(__xludf.DUMMYFUNCTION("GOOGLETRANSLATE(B29703,""en"",""zh-CN"")"),"一个男孩在书的前面跳舞，有描述的信用。")</f>
        <v>一个男孩在书的前面跳舞，有描述的信用。</v>
      </c>
    </row>
    <row r="29704">
      <c r="A29704" s="4" t="s">
        <v>37405</v>
      </c>
      <c r="B29704" s="4" t="s">
        <v>37407</v>
      </c>
      <c r="C29704" s="5" t="str">
        <f>IFERROR(__xludf.DUMMYFUNCTION("GOOGLETRANSLATE(B29704,""en"",""zh-CN"")"),"这个男孩坐在一个空的房间里谈论他的舞步。")</f>
        <v>这个男孩坐在一个空的房间里谈论他的舞步。</v>
      </c>
    </row>
    <row r="29705">
      <c r="A29705" s="4" t="s">
        <v>37405</v>
      </c>
      <c r="B29705" s="6" t="s">
        <v>37408</v>
      </c>
      <c r="C29705" s="5" t="str">
        <f>IFERROR(__xludf.DUMMYFUNCTION("GOOGLETRANSLATE(B29705,""en"",""zh-CN"")"),"这个男孩站在房间里，表现出一个举动，始于他慢慢转动，并展示了目前的舞蹈动作的其余部分。")</f>
        <v>这个男孩站在房间里，表现出一个举动，始于他慢慢转动，并展示了目前的舞蹈动作的其余部分。</v>
      </c>
    </row>
    <row r="29706">
      <c r="A29706" s="4" t="s">
        <v>37405</v>
      </c>
      <c r="B29706" s="4" t="s">
        <v>37409</v>
      </c>
      <c r="C29706" s="5" t="str">
        <f>IFERROR(__xludf.DUMMYFUNCTION("GOOGLETRANSLATE(B29706,""en"",""zh-CN"")"),"接下来，男孩以相同的举动开始，但移动更快。")</f>
        <v>接下来，男孩以相同的举动开始，但移动更快。</v>
      </c>
    </row>
    <row r="29707">
      <c r="A29707" s="4" t="s">
        <v>37405</v>
      </c>
      <c r="B29707" s="4" t="s">
        <v>37410</v>
      </c>
      <c r="C29707" s="5" t="str">
        <f>IFERROR(__xludf.DUMMYFUNCTION("GOOGLETRANSLATE(B29707,""en"",""zh-CN"")"),"当男孩在几乎空荡荡的房间里跳舞时，显示了练习的说明。")</f>
        <v>当男孩在几乎空荡荡的房间里跳舞时，显示了练习的说明。</v>
      </c>
    </row>
    <row r="29708">
      <c r="A29708" s="4" t="s">
        <v>37411</v>
      </c>
      <c r="B29708" s="4" t="s">
        <v>17353</v>
      </c>
      <c r="C29708" s="5" t="str">
        <f>IFERROR(__xludf.DUMMYFUNCTION("GOOGLETRANSLATE(B29708,""en"",""zh-CN"")"),"人们在管中漂浮在河中。")</f>
        <v>人们在管中漂浮在河中。</v>
      </c>
    </row>
    <row r="29709">
      <c r="A29709" s="4" t="s">
        <v>37411</v>
      </c>
      <c r="B29709" s="4" t="s">
        <v>37412</v>
      </c>
      <c r="C29709" s="5" t="str">
        <f>IFERROR(__xludf.DUMMYFUNCTION("GOOGLETRANSLATE(B29709,""en"",""zh-CN"")"),"树木在水上显示。")</f>
        <v>树木在水上显示。</v>
      </c>
    </row>
    <row r="29710">
      <c r="A29710" s="4" t="s">
        <v>37411</v>
      </c>
      <c r="B29710" s="4" t="s">
        <v>37413</v>
      </c>
      <c r="C29710" s="5" t="str">
        <f>IFERROR(__xludf.DUMMYFUNCTION("GOOGLETRANSLATE(B29710,""en"",""zh-CN"")"),"一个男人把手放在头上。")</f>
        <v>一个男人把手放在头上。</v>
      </c>
    </row>
    <row r="29711">
      <c r="A29711" s="4" t="s">
        <v>37414</v>
      </c>
      <c r="B29711" s="4" t="s">
        <v>37415</v>
      </c>
      <c r="C29711" s="5" t="str">
        <f>IFERROR(__xludf.DUMMYFUNCTION("GOOGLETRANSLATE(B29711,""en"",""zh-CN"")"),"儿童在狂欢节中骑车车。")</f>
        <v>儿童在狂欢节中骑车车。</v>
      </c>
    </row>
    <row r="29712">
      <c r="A29712" s="4" t="s">
        <v>37414</v>
      </c>
      <c r="B29712" s="4" t="s">
        <v>37416</v>
      </c>
      <c r="C29712" s="5" t="str">
        <f>IFERROR(__xludf.DUMMYFUNCTION("GOOGLETRANSLATE(B29712,""en"",""zh-CN"")"),"孩子们陷入了中心，但他们有自由开车。")</f>
        <v>孩子们陷入了中心，但他们有自由开车。</v>
      </c>
    </row>
    <row r="29713">
      <c r="A29713" s="4" t="s">
        <v>37414</v>
      </c>
      <c r="B29713" s="4" t="s">
        <v>37417</v>
      </c>
      <c r="C29713" s="5" t="str">
        <f>IFERROR(__xludf.DUMMYFUNCTION("GOOGLETRANSLATE(B29713,""en"",""zh-CN"")"),"一个女人在街上推一辆婴儿车。")</f>
        <v>一个女人在街上推一辆婴儿车。</v>
      </c>
    </row>
    <row r="29714">
      <c r="A29714" s="4" t="s">
        <v>37414</v>
      </c>
      <c r="B29714" s="4" t="s">
        <v>37418</v>
      </c>
      <c r="C29714" s="5" t="str">
        <f>IFERROR(__xludf.DUMMYFUNCTION("GOOGLETRANSLATE(B29714,""en"",""zh-CN"")"),"孩子们撞车并骑车。")</f>
        <v>孩子们撞车并骑车。</v>
      </c>
    </row>
    <row r="29715">
      <c r="A29715" s="4" t="s">
        <v>37414</v>
      </c>
      <c r="B29715" s="4" t="s">
        <v>37419</v>
      </c>
      <c r="C29715" s="5" t="str">
        <f>IFERROR(__xludf.DUMMYFUNCTION("GOOGLETRANSLATE(B29715,""en"",""zh-CN"")"),"孩子们脱下保险杠汽车，步行到出口。")</f>
        <v>孩子们脱下保险杠汽车，步行到出口。</v>
      </c>
    </row>
    <row r="29716">
      <c r="A29716" s="4" t="s">
        <v>37420</v>
      </c>
      <c r="B29716" s="4" t="s">
        <v>37421</v>
      </c>
      <c r="C29716" s="5" t="str">
        <f>IFERROR(__xludf.DUMMYFUNCTION("GOOGLETRANSLATE(B29716,""en"",""zh-CN"")"),"一个人在地板上滑动一个沉重的球，同时握住左手的刷子。")</f>
        <v>一个人在地板上滑动一个沉重的球，同时握住左手的刷子。</v>
      </c>
    </row>
    <row r="29717">
      <c r="A29717" s="4" t="s">
        <v>37420</v>
      </c>
      <c r="B29717" s="4" t="s">
        <v>37422</v>
      </c>
      <c r="C29717" s="5" t="str">
        <f>IFERROR(__xludf.DUMMYFUNCTION("GOOGLETRANSLATE(B29717,""en"",""zh-CN"")"),"然后，两个男人刷重球前面的地板而不会碰到它。")</f>
        <v>然后，两个男人刷重球前面的地板而不会碰到它。</v>
      </c>
    </row>
    <row r="29718">
      <c r="A29718" s="4" t="s">
        <v>37420</v>
      </c>
      <c r="B29718" s="4" t="s">
        <v>37423</v>
      </c>
      <c r="C29718" s="5" t="str">
        <f>IFERROR(__xludf.DUMMYFUNCTION("GOOGLETRANSLATE(B29718,""en"",""zh-CN"")"),"人们在这个人身后玩耍。")</f>
        <v>人们在这个人身后玩耍。</v>
      </c>
    </row>
    <row r="29719">
      <c r="A29719" s="4" t="s">
        <v>37420</v>
      </c>
      <c r="B29719" s="4" t="s">
        <v>37424</v>
      </c>
      <c r="C29719" s="5" t="str">
        <f>IFERROR(__xludf.DUMMYFUNCTION("GOOGLETRANSLATE(B29719,""en"",""zh-CN"")"),"黄球到达红色圆圈的中心。")</f>
        <v>黄球到达红色圆圈的中心。</v>
      </c>
    </row>
    <row r="29720">
      <c r="A29720" s="4" t="s">
        <v>37425</v>
      </c>
      <c r="B29720" s="4" t="s">
        <v>37426</v>
      </c>
      <c r="C29720" s="5" t="str">
        <f>IFERROR(__xludf.DUMMYFUNCTION("GOOGLETRANSLATE(B29720,""en"",""zh-CN"")"),"一个男人戴着红帽和太阳镜。")</f>
        <v>一个男人戴着红帽和太阳镜。</v>
      </c>
    </row>
    <row r="29721">
      <c r="A29721" s="4" t="s">
        <v>37425</v>
      </c>
      <c r="B29721" s="4" t="s">
        <v>37427</v>
      </c>
      <c r="C29721" s="5" t="str">
        <f>IFERROR(__xludf.DUMMYFUNCTION("GOOGLETRANSLATE(B29721,""en"",""zh-CN"")"),"他在他面前扔了一只飞镖。")</f>
        <v>他在他面前扔了一只飞镖。</v>
      </c>
    </row>
    <row r="29722">
      <c r="A29722" s="4" t="s">
        <v>37425</v>
      </c>
      <c r="B29722" s="4" t="s">
        <v>37428</v>
      </c>
      <c r="C29722" s="5" t="str">
        <f>IFERROR(__xludf.DUMMYFUNCTION("GOOGLETRANSLATE(B29722,""en"",""zh-CN"")"),"他关注飞镖板。")</f>
        <v>他关注飞镖板。</v>
      </c>
    </row>
    <row r="29723">
      <c r="A29723" s="4" t="s">
        <v>37429</v>
      </c>
      <c r="B29723" s="4" t="s">
        <v>37430</v>
      </c>
      <c r="C29723" s="5" t="str">
        <f>IFERROR(__xludf.DUMMYFUNCTION("GOOGLETRANSLATE(B29723,""en"",""zh-CN"")"),"一个摄像头绕着柠檬水杯，然后是一个人从柠檬中挤出果汁。")</f>
        <v>一个摄像头绕着柠檬水杯，然后是一个人从柠檬中挤出果汁。</v>
      </c>
    </row>
    <row r="29724">
      <c r="A29724" s="4" t="s">
        <v>37429</v>
      </c>
      <c r="B29724" s="4" t="s">
        <v>37431</v>
      </c>
      <c r="C29724" s="5" t="str">
        <f>IFERROR(__xludf.DUMMYFUNCTION("GOOGLETRANSLATE(B29724,""en"",""zh-CN"")"),"该人将各种成分混合到碗中，然后将其倒入玻璃杯中。")</f>
        <v>该人将各种成分混合到碗中，然后将其倒入玻璃杯中。</v>
      </c>
    </row>
    <row r="29725">
      <c r="A29725" s="4" t="s">
        <v>37429</v>
      </c>
      <c r="B29725" s="4" t="s">
        <v>37432</v>
      </c>
      <c r="C29725" s="5" t="str">
        <f>IFERROR(__xludf.DUMMYFUNCTION("GOOGLETRANSLATE(B29725,""en"",""zh-CN"")"),"显示了几张镜头以及倒入相机上的眼镜。")</f>
        <v>显示了几张镜头以及倒入相机上的眼镜。</v>
      </c>
    </row>
    <row r="29726">
      <c r="A29726" s="4" t="s">
        <v>37433</v>
      </c>
      <c r="B29726" s="4" t="s">
        <v>37434</v>
      </c>
      <c r="C29726" s="5" t="str">
        <f>IFERROR(__xludf.DUMMYFUNCTION("GOOGLETRANSLATE(B29726,""en"",""zh-CN"")"),"一个男人坐在桌子旁，一个女人从他身上移动了一个盒子。")</f>
        <v>一个男人坐在桌子旁，一个女人从他身上移动了一个盒子。</v>
      </c>
    </row>
    <row r="29727">
      <c r="A29727" s="4" t="s">
        <v>37433</v>
      </c>
      <c r="B29727" s="4" t="s">
        <v>37435</v>
      </c>
      <c r="C29727" s="5" t="str">
        <f>IFERROR(__xludf.DUMMYFUNCTION("GOOGLETRANSLATE(B29727,""en"",""zh-CN"")"),"他把手放在桌子上，然后开始解决一个rubix多维数据集。")</f>
        <v>他把手放在桌子上，然后开始解决一个rubix多维数据集。</v>
      </c>
    </row>
    <row r="29728">
      <c r="A29728" s="4" t="s">
        <v>37433</v>
      </c>
      <c r="B29728" s="4" t="s">
        <v>37436</v>
      </c>
      <c r="C29728" s="5" t="str">
        <f>IFERROR(__xludf.DUMMYFUNCTION("GOOGLETRANSLATE(B29728,""en"",""zh-CN"")"),"计时器在解决立方体时继续。")</f>
        <v>计时器在解决立方体时继续。</v>
      </c>
    </row>
    <row r="29729">
      <c r="A29729" s="4" t="s">
        <v>37437</v>
      </c>
      <c r="B29729" s="4" t="s">
        <v>37438</v>
      </c>
      <c r="C29729" s="5" t="str">
        <f>IFERROR(__xludf.DUMMYFUNCTION("GOOGLETRANSLATE(B29729,""en"",""zh-CN"")"),"两个人站在海上的一艘帆船上。")</f>
        <v>两个人站在海上的一艘帆船上。</v>
      </c>
    </row>
    <row r="29730">
      <c r="A29730" s="4" t="s">
        <v>37437</v>
      </c>
      <c r="B29730" s="4" t="s">
        <v>37439</v>
      </c>
      <c r="C29730" s="5" t="str">
        <f>IFERROR(__xludf.DUMMYFUNCTION("GOOGLETRANSLATE(B29730,""en"",""zh-CN"")"),"男人正穿着红牛衬衫站在码头里，然后在闪船中。")</f>
        <v>男人正穿着红牛衬衫站在码头里，然后在闪船中。</v>
      </c>
    </row>
    <row r="29731">
      <c r="A29731" s="4" t="s">
        <v>37437</v>
      </c>
      <c r="B29731" s="4" t="s">
        <v>37440</v>
      </c>
      <c r="C29731" s="5" t="str">
        <f>IFERROR(__xludf.DUMMYFUNCTION("GOOGLETRANSLATE(B29731,""en"",""zh-CN"")"),"海豚在船旁边游泳。")</f>
        <v>海豚在船旁边游泳。</v>
      </c>
    </row>
    <row r="29732">
      <c r="A29732" s="4" t="s">
        <v>37437</v>
      </c>
      <c r="B29732" s="4" t="s">
        <v>37441</v>
      </c>
      <c r="C29732" s="5" t="str">
        <f>IFERROR(__xludf.DUMMYFUNCTION("GOOGLETRANSLATE(B29732,""en"",""zh-CN"")"),"人们正站在码头的晴天。")</f>
        <v>人们正站在码头的晴天。</v>
      </c>
    </row>
    <row r="29733">
      <c r="A29733" s="4" t="s">
        <v>37442</v>
      </c>
      <c r="B29733" s="4" t="s">
        <v>37443</v>
      </c>
      <c r="C29733" s="5" t="str">
        <f>IFERROR(__xludf.DUMMYFUNCTION("GOOGLETRANSLATE(B29733,""en"",""zh-CN"")"),"一个男人跪在冰上，另一个人旁边的皮旁边拉出绳子。")</f>
        <v>一个男人跪在冰上，另一个人旁边的皮旁边拉出绳子。</v>
      </c>
    </row>
    <row r="29734">
      <c r="A29734" s="4" t="s">
        <v>37442</v>
      </c>
      <c r="B29734" s="4" t="s">
        <v>37444</v>
      </c>
      <c r="C29734" s="5" t="str">
        <f>IFERROR(__xludf.DUMMYFUNCTION("GOOGLETRANSLATE(B29734,""en"",""zh-CN"")"),"他们继续拉绳子，而他旁边的男人抓住了钩子。")</f>
        <v>他们继续拉绳子，而他旁边的男人抓住了钩子。</v>
      </c>
    </row>
    <row r="29735">
      <c r="A29735" s="4" t="s">
        <v>37442</v>
      </c>
      <c r="B29735" s="4" t="s">
        <v>37445</v>
      </c>
      <c r="C29735" s="5" t="str">
        <f>IFERROR(__xludf.DUMMYFUNCTION("GOOGLETRANSLATE(B29735,""en"",""zh-CN"")"),"他将钩子放在洞附近，但该男子在绳子上抓住一条鱼。")</f>
        <v>他将钩子放在洞附近，但该男子在绳子上抓住一条鱼。</v>
      </c>
    </row>
    <row r="29736">
      <c r="A29736" s="4" t="s">
        <v>37442</v>
      </c>
      <c r="B29736" s="4" t="s">
        <v>37446</v>
      </c>
      <c r="C29736" s="5" t="str">
        <f>IFERROR(__xludf.DUMMYFUNCTION("GOOGLETRANSLATE(B29736,""en"",""zh-CN"")"),"鱼四处乱跑，那个男人抓住了鱼，把他抬起。")</f>
        <v>鱼四处乱跑，那个男人抓住了鱼，把他抬起。</v>
      </c>
    </row>
    <row r="29737">
      <c r="A29737" s="4" t="s">
        <v>37447</v>
      </c>
      <c r="B29737" s="4" t="s">
        <v>37448</v>
      </c>
      <c r="C29737" s="5" t="str">
        <f>IFERROR(__xludf.DUMMYFUNCTION("GOOGLETRANSLATE(B29737,""en"",""zh-CN"")"),"人们在狂欢节中驾驶保险杠汽车。")</f>
        <v>人们在狂欢节中驾驶保险杠汽车。</v>
      </c>
    </row>
    <row r="29738">
      <c r="A29738" s="4" t="s">
        <v>37447</v>
      </c>
      <c r="B29738" s="4" t="s">
        <v>37449</v>
      </c>
      <c r="C29738" s="5" t="str">
        <f>IFERROR(__xludf.DUMMYFUNCTION("GOOGLETRANSLATE(B29738,""en"",""zh-CN"")"),"一个小女孩跟随一个穿着黄色保险杠的男孩。")</f>
        <v>一个小女孩跟随一个穿着黄色保险杠的男孩。</v>
      </c>
    </row>
    <row r="29739">
      <c r="A29739" s="4" t="s">
        <v>37447</v>
      </c>
      <c r="B29739" s="4" t="s">
        <v>37450</v>
      </c>
      <c r="C29739" s="5" t="str">
        <f>IFERROR(__xludf.DUMMYFUNCTION("GOOGLETRANSLATE(B29739,""en"",""zh-CN"")"),"然后，男孩和女孩撞到了其他碰碰车。")</f>
        <v>然后，男孩和女孩撞到了其他碰碰车。</v>
      </c>
    </row>
    <row r="29740">
      <c r="A29740" s="4" t="s">
        <v>37451</v>
      </c>
      <c r="B29740" s="4" t="s">
        <v>37452</v>
      </c>
      <c r="C29740" s="5" t="str">
        <f>IFERROR(__xludf.DUMMYFUNCTION("GOOGLETRANSLATE(B29740,""en"",""zh-CN"")"),"一群人在木筏上，白水在岩石水域中漂流。")</f>
        <v>一群人在木筏上，白水在岩石水域中漂流。</v>
      </c>
    </row>
    <row r="29741">
      <c r="A29741" s="4" t="s">
        <v>37451</v>
      </c>
      <c r="B29741" s="4" t="s">
        <v>37453</v>
      </c>
      <c r="C29741" s="5" t="str">
        <f>IFERROR(__xludf.DUMMYFUNCTION("GOOGLETRANSLATE(B29741,""en"",""zh-CN"")"),"最终，他们穿过水，最终撞到一块巨大的岩石并失去了桨。")</f>
        <v>最终，他们穿过水，最终撞到一块巨大的岩石并失去了桨。</v>
      </c>
    </row>
    <row r="29742">
      <c r="A29742" s="4" t="s">
        <v>37451</v>
      </c>
      <c r="B29742" s="4" t="s">
        <v>37454</v>
      </c>
      <c r="C29742" s="5" t="str">
        <f>IFERROR(__xludf.DUMMYFUNCTION("GOOGLETRANSLATE(B29742,""en"",""zh-CN"")"),"之后，他们继续穿过水的岩石部分，滑落在小山丘上。")</f>
        <v>之后，他们继续穿过水的岩石部分，滑落在小山丘上。</v>
      </c>
    </row>
    <row r="29743">
      <c r="A29743" s="4" t="s">
        <v>37455</v>
      </c>
      <c r="B29743" s="6" t="s">
        <v>37456</v>
      </c>
      <c r="C29743" s="5" t="str">
        <f>IFERROR(__xludf.DUMMYFUNCTION("GOOGLETRANSLATE(B29743,""en"",""zh-CN"")"),"记者报告了有关使用先进技术的替换四肢或作为非截肢者的腿部扩展器和性能增强器的替换四肢的故事。")</f>
        <v>记者报告了有关使用先进技术的替换四肢或作为非截肢者的腿部扩展器和性能增强器的替换四肢的故事。</v>
      </c>
    </row>
    <row r="29744">
      <c r="A29744" s="4" t="s">
        <v>37455</v>
      </c>
      <c r="B29744" s="6" t="s">
        <v>37457</v>
      </c>
      <c r="C29744" s="5" t="str">
        <f>IFERROR(__xludf.DUMMYFUNCTION("GOOGLETRANSLATE(B29744,""en"",""zh-CN"")"),"在新闻广播中，一名记者坐在记者桌子上，然后剪辑剪裁到穿着肢体替代技术的人们。")</f>
        <v>在新闻广播中，一名记者坐在记者桌子上，然后剪辑剪裁到穿着肢体替代技术的人们。</v>
      </c>
    </row>
    <row r="29745">
      <c r="A29745" s="4" t="s">
        <v>37455</v>
      </c>
      <c r="B29745" s="6" t="s">
        <v>37458</v>
      </c>
      <c r="C29745" s="5" t="str">
        <f>IFERROR(__xludf.DUMMYFUNCTION("GOOGLETRANSLATE(B29745,""en"",""zh-CN"")"),"在街上奔跑和弹跳时，显示了几个不符合截肢者腿的截肢者腿的男人的剪辑。")</f>
        <v>在街上奔跑和弹跳时，显示了几个不符合截肢者腿的截肢者腿的男人的剪辑。</v>
      </c>
    </row>
    <row r="29746">
      <c r="A29746" s="4" t="s">
        <v>37459</v>
      </c>
      <c r="B29746" s="6" t="s">
        <v>37460</v>
      </c>
      <c r="C29746" s="5" t="str">
        <f>IFERROR(__xludf.DUMMYFUNCTION("GOOGLETRANSLATE(B29746,""en"",""zh-CN"")"),"看到绿巨人霍根（Hulk Hogan）在举起手臂的同时向相机说话，另一个男人站在背景中。")</f>
        <v>看到绿巨人霍根（Hulk Hogan）在举起手臂的同时向相机说话，另一个男人站在背景中。</v>
      </c>
    </row>
    <row r="29747">
      <c r="A29747" s="4" t="s">
        <v>37459</v>
      </c>
      <c r="B29747" s="6" t="s">
        <v>37461</v>
      </c>
      <c r="C29747" s="5" t="str">
        <f>IFERROR(__xludf.DUMMYFUNCTION("GOOGLETRANSLATE(B29747,""en"",""zh-CN"")"),"该男子继续与镜头说话，并导致男孩手臂摔跤的剪辑，另一个男人握住他的手臂。")</f>
        <v>该男子继续与镜头说话，并导致男孩手臂摔跤的剪辑，另一个男人握住他的手臂。</v>
      </c>
    </row>
    <row r="29748">
      <c r="A29748" s="4" t="s">
        <v>37462</v>
      </c>
      <c r="B29748" s="6" t="s">
        <v>37463</v>
      </c>
      <c r="C29748" s="5" t="str">
        <f>IFERROR(__xludf.DUMMYFUNCTION("GOOGLETRANSLATE(B29748,""en"",""zh-CN"")"),"一名亚洲男性站在坚硬的木地板上，开始说话，开始旋转他的头。")</f>
        <v>一名亚洲男性站在坚硬的木地板上，开始说话，开始旋转他的头。</v>
      </c>
    </row>
    <row r="29749">
      <c r="A29749" s="4" t="s">
        <v>37462</v>
      </c>
      <c r="B29749" s="4" t="s">
        <v>37464</v>
      </c>
      <c r="C29749" s="5" t="str">
        <f>IFERROR(__xludf.DUMMYFUNCTION("GOOGLETRANSLATE(B29749,""en"",""zh-CN"")"),"剪辑后，他回来了，并展示了如何正确地将您的手放在地板上。")</f>
        <v>剪辑后，他回来了，并展示了如何正确地将您的手放在地板上。</v>
      </c>
    </row>
    <row r="29750">
      <c r="A29750" s="4" t="s">
        <v>37462</v>
      </c>
      <c r="B29750" s="4" t="s">
        <v>37465</v>
      </c>
      <c r="C29750" s="5" t="str">
        <f>IFERROR(__xludf.DUMMYFUNCTION("GOOGLETRANSLATE(B29750,""en"",""zh-CN"")"),"当他继续前进时，他抓住了一个无檐小便帽，把它放在手上，使他变得更容易。")</f>
        <v>当他继续前进时，他抓住了一个无檐小便帽，把它放在手上，使他变得更容易。</v>
      </c>
    </row>
    <row r="29751">
      <c r="A29751" s="4" t="s">
        <v>37462</v>
      </c>
      <c r="B29751" s="6" t="s">
        <v>37466</v>
      </c>
      <c r="C29751" s="5" t="str">
        <f>IFERROR(__xludf.DUMMYFUNCTION("GOOGLETRANSLATE(B29751,""en"",""zh-CN"")"),"然后，该男子不断地进行扭曲，并炫耀板球的位置，然后再回头说话。")</f>
        <v>然后，该男子不断地进行扭曲，并炫耀板球的位置，然后再回头说话。</v>
      </c>
    </row>
    <row r="29752">
      <c r="A29752" s="4" t="s">
        <v>37467</v>
      </c>
      <c r="B29752" s="4" t="s">
        <v>37468</v>
      </c>
      <c r="C29752" s="5" t="str">
        <f>IFERROR(__xludf.DUMMYFUNCTION("GOOGLETRANSLATE(B29752,""en"",""zh-CN"")"),"人正在房间里焊接一台金属机器。")</f>
        <v>人正在房间里焊接一台金属机器。</v>
      </c>
    </row>
    <row r="29753">
      <c r="A29753" s="4" t="s">
        <v>37467</v>
      </c>
      <c r="B29753" s="4" t="s">
        <v>37469</v>
      </c>
      <c r="C29753" s="5" t="str">
        <f>IFERROR(__xludf.DUMMYFUNCTION("GOOGLETRANSLATE(B29753,""en"",""zh-CN"")"),"男人在摄像机上说话，并在机室里拿着emery。")</f>
        <v>男人在摄像机上说话，并在机室里拿着emery。</v>
      </c>
    </row>
    <row r="29754">
      <c r="A29754" s="4" t="s">
        <v>37470</v>
      </c>
      <c r="B29754" s="4" t="s">
        <v>37471</v>
      </c>
      <c r="C29754" s="5" t="str">
        <f>IFERROR(__xludf.DUMMYFUNCTION("GOOGLETRANSLATE(B29754,""en"",""zh-CN"")"),"看到一群男人拥挤在一张桌子上，那里有更多的人坐着讲话。")</f>
        <v>看到一群男人拥挤在一张桌子上，那里有更多的人坐着讲话。</v>
      </c>
    </row>
    <row r="29755">
      <c r="A29755" s="4" t="s">
        <v>37470</v>
      </c>
      <c r="B29755" s="4" t="s">
        <v>37472</v>
      </c>
      <c r="C29755" s="5" t="str">
        <f>IFERROR(__xludf.DUMMYFUNCTION("GOOGLETRANSLATE(B29755,""en"",""zh-CN"")"),"最终，有两个男人在啤酒上chut着啤酒，越来越多地喝啤酒。")</f>
        <v>最终，有两个男人在啤酒上chut着啤酒，越来越多地喝啤酒。</v>
      </c>
    </row>
    <row r="29756">
      <c r="A29756" s="4" t="s">
        <v>37470</v>
      </c>
      <c r="B29756" s="4" t="s">
        <v>37473</v>
      </c>
      <c r="C29756" s="5" t="str">
        <f>IFERROR(__xludf.DUMMYFUNCTION("GOOGLETRANSLATE(B29756,""en"",""zh-CN"")"),"这些人完成了啤酒，并互相鼓掌，而许多人则在旁边看。")</f>
        <v>这些人完成了啤酒，并互相鼓掌，而许多人则在旁边看。</v>
      </c>
    </row>
    <row r="29757">
      <c r="A29757" s="4" t="s">
        <v>37474</v>
      </c>
      <c r="B29757" s="6" t="s">
        <v>37475</v>
      </c>
      <c r="C29757" s="5" t="str">
        <f>IFERROR(__xludf.DUMMYFUNCTION("GOOGLETRANSLATE(B29757,""en"",""zh-CN"")"),"几个人在水里玩游戏，那个人向一个人扔了一个橙色的球。")</f>
        <v>几个人在水里玩游戏，那个人向一个人扔了一个橙色的球。</v>
      </c>
    </row>
    <row r="29758">
      <c r="A29758" s="4" t="s">
        <v>37474</v>
      </c>
      <c r="B29758" s="4" t="s">
        <v>37476</v>
      </c>
      <c r="C29758" s="5" t="str">
        <f>IFERROR(__xludf.DUMMYFUNCTION("GOOGLETRANSLATE(B29758,""en"",""zh-CN"")"),"然后，该人将球扔给坐在球门旁边的男人。")</f>
        <v>然后，该人将球扔给坐在球门旁边的男人。</v>
      </c>
    </row>
    <row r="29759">
      <c r="A29759" s="4" t="s">
        <v>37474</v>
      </c>
      <c r="B29759" s="4" t="s">
        <v>37477</v>
      </c>
      <c r="C29759" s="5" t="str">
        <f>IFERROR(__xludf.DUMMYFUNCTION("GOOGLETRANSLATE(B29759,""en"",""zh-CN"")"),"然后，他搬到游泳池的另一侧，抓住了目标。")</f>
        <v>然后，他搬到游泳池的另一侧，抓住了目标。</v>
      </c>
    </row>
    <row r="29760">
      <c r="A29760" s="4" t="s">
        <v>37478</v>
      </c>
      <c r="B29760" s="4" t="s">
        <v>37479</v>
      </c>
      <c r="C29760" s="5" t="str">
        <f>IFERROR(__xludf.DUMMYFUNCTION("GOOGLETRANSLATE(B29760,""en"",""zh-CN"")"),"一个男人坐在桌子旁边放置健身设备。")</f>
        <v>一个男人坐在桌子旁边放置健身设备。</v>
      </c>
    </row>
    <row r="29761">
      <c r="A29761" s="4" t="s">
        <v>37478</v>
      </c>
      <c r="B29761" s="4" t="s">
        <v>37480</v>
      </c>
      <c r="C29761" s="5" t="str">
        <f>IFERROR(__xludf.DUMMYFUNCTION("GOOGLETRANSLATE(B29761,""en"",""zh-CN"")"),"该男子炫耀设备的踏板以及设备上的计时器。")</f>
        <v>该男子炫耀设备的踏板以及设备上的计时器。</v>
      </c>
    </row>
    <row r="29762">
      <c r="A29762" s="4" t="s">
        <v>37478</v>
      </c>
      <c r="B29762" s="4" t="s">
        <v>37481</v>
      </c>
      <c r="C29762" s="5" t="str">
        <f>IFERROR(__xludf.DUMMYFUNCTION("GOOGLETRANSLATE(B29762,""en"",""zh-CN"")"),"看到一个女人在设备上行走。")</f>
        <v>看到一个女人在设备上行走。</v>
      </c>
    </row>
    <row r="29763">
      <c r="A29763" s="4" t="s">
        <v>37478</v>
      </c>
      <c r="B29763" s="4" t="s">
        <v>37482</v>
      </c>
      <c r="C29763" s="5" t="str">
        <f>IFERROR(__xludf.DUMMYFUNCTION("GOOGLETRANSLATE(B29763,""en"",""zh-CN"")"),"一个人从桌子下面拉出健身设备。")</f>
        <v>一个人从桌子下面拉出健身设备。</v>
      </c>
    </row>
    <row r="29764">
      <c r="A29764" s="4" t="s">
        <v>37478</v>
      </c>
      <c r="B29764" s="4" t="s">
        <v>37483</v>
      </c>
      <c r="C29764" s="5" t="str">
        <f>IFERROR(__xludf.DUMMYFUNCTION("GOOGLETRANSLATE(B29764,""en"",""zh-CN"")"),"该男子再次被桌子看到，谈论健身设备。")</f>
        <v>该男子再次被桌子看到，谈论健身设备。</v>
      </c>
    </row>
    <row r="29765">
      <c r="A29765" s="4" t="s">
        <v>37484</v>
      </c>
      <c r="B29765" s="6" t="s">
        <v>37485</v>
      </c>
      <c r="C29765" s="5" t="str">
        <f>IFERROR(__xludf.DUMMYFUNCTION("GOOGLETRANSLATE(B29765,""en"",""zh-CN"")"),"一个穿着蓝色连身裤的女人的屏幕截图站在姿势上，屏幕中间拿着两个警棍和白色的单词，说“ 2巴吞妮可”。")</f>
        <v>一个穿着蓝色连身裤的女人的屏幕截图站在姿势上，屏幕中间拿着两个警棍和白色的单词，说“ 2巴吞妮可”。</v>
      </c>
    </row>
    <row r="29766">
      <c r="A29766" s="4" t="s">
        <v>37484</v>
      </c>
      <c r="B29766" s="6" t="s">
        <v>37486</v>
      </c>
      <c r="C29766" s="5" t="str">
        <f>IFERROR(__xludf.DUMMYFUNCTION("GOOGLETRANSLATE(B29766,""en"",""zh-CN"")"),"该名女子现在站在地板上，有很多五颜六色的线条和破折号，她开始了她的2次接力棒例程，其中包括许多旋转，旋转，投掷和捕捉警棍。")</f>
        <v>该名女子现在站在地板上，有很多五颜六色的线条和破折号，她开始了她的2次接力棒例程，其中包括许多旋转，旋转，投掷和捕捉警棍。</v>
      </c>
    </row>
    <row r="29767">
      <c r="A29767" s="4" t="s">
        <v>37484</v>
      </c>
      <c r="B29767" s="6" t="s">
        <v>37487</v>
      </c>
      <c r="C29767" s="5" t="str">
        <f>IFERROR(__xludf.DUMMYFUNCTION("GOOGLETRANSLATE(B29767,""en"",""zh-CN"")"),"几乎到了她的日常工作结束时，女人两次丢下警棍，捡起他们，继续做她的例行直到最后。")</f>
        <v>几乎到了她的日常工作结束时，女人两次丢下警棍，捡起他们，继续做她的例行直到最后。</v>
      </c>
    </row>
    <row r="29768">
      <c r="A29768" s="4" t="s">
        <v>37488</v>
      </c>
      <c r="B29768" s="4" t="s">
        <v>37489</v>
      </c>
      <c r="C29768" s="5" t="str">
        <f>IFERROR(__xludf.DUMMYFUNCTION("GOOGLETRANSLATE(B29768,""en"",""zh-CN"")"),"一位女士在桌子上和两个南瓜说话。")</f>
        <v>一位女士在桌子上和两个南瓜说话。</v>
      </c>
    </row>
    <row r="29769">
      <c r="A29769" s="4" t="s">
        <v>37488</v>
      </c>
      <c r="B29769" s="4" t="s">
        <v>37490</v>
      </c>
      <c r="C29769" s="5" t="str">
        <f>IFERROR(__xludf.DUMMYFUNCTION("GOOGLETRANSLATE(B29769,""en"",""zh-CN"")"),"一个女人展示她的手掌。")</f>
        <v>一个女人展示她的手掌。</v>
      </c>
    </row>
    <row r="29770">
      <c r="A29770" s="4" t="s">
        <v>37488</v>
      </c>
      <c r="B29770" s="4" t="s">
        <v>37491</v>
      </c>
      <c r="C29770" s="5" t="str">
        <f>IFERROR(__xludf.DUMMYFUNCTION("GOOGLETRANSLATE(B29770,""en"",""zh-CN"")"),"一个人雕刻南瓜。")</f>
        <v>一个人雕刻南瓜。</v>
      </c>
    </row>
    <row r="29771">
      <c r="A29771" s="4" t="s">
        <v>37488</v>
      </c>
      <c r="B29771" s="4" t="s">
        <v>37492</v>
      </c>
      <c r="C29771" s="5" t="str">
        <f>IFERROR(__xludf.DUMMYFUNCTION("GOOGLETRANSLATE(B29771,""en"",""zh-CN"")"),"女性对雕刻套件进行采访。")</f>
        <v>女性对雕刻套件进行采访。</v>
      </c>
    </row>
    <row r="29772">
      <c r="A29772" s="4" t="s">
        <v>37488</v>
      </c>
      <c r="B29772" s="4" t="s">
        <v>37493</v>
      </c>
      <c r="C29772" s="5" t="str">
        <f>IFERROR(__xludf.DUMMYFUNCTION("GOOGLETRANSLATE(B29772,""en"",""zh-CN"")"),"孩子们的脸上挂着南瓜。")</f>
        <v>孩子们的脸上挂着南瓜。</v>
      </c>
    </row>
    <row r="29773">
      <c r="A29773" s="4" t="s">
        <v>37488</v>
      </c>
      <c r="B29773" s="4" t="s">
        <v>37494</v>
      </c>
      <c r="C29773" s="5" t="str">
        <f>IFERROR(__xludf.DUMMYFUNCTION("GOOGLETRANSLATE(B29773,""en"",""zh-CN"")"),"一个人将南瓜的顶部拉下。")</f>
        <v>一个人将南瓜的顶部拉下。</v>
      </c>
    </row>
    <row r="29774">
      <c r="A29774" s="4" t="s">
        <v>37488</v>
      </c>
      <c r="B29774" s="4" t="s">
        <v>37495</v>
      </c>
      <c r="C29774" s="5" t="str">
        <f>IFERROR(__xludf.DUMMYFUNCTION("GOOGLETRANSLATE(B29774,""en"",""zh-CN"")"),"这位女士展示了一把刀和较小的刀。")</f>
        <v>这位女士展示了一把刀和较小的刀。</v>
      </c>
    </row>
    <row r="29775">
      <c r="A29775" s="4" t="s">
        <v>37488</v>
      </c>
      <c r="B29775" s="4" t="s">
        <v>37496</v>
      </c>
      <c r="C29775" s="5" t="str">
        <f>IFERROR(__xludf.DUMMYFUNCTION("GOOGLETRANSLATE(B29775,""en"",""zh-CN"")"),"两个人在他们面前坐着论文。")</f>
        <v>两个人在他们面前坐着论文。</v>
      </c>
    </row>
    <row r="29776">
      <c r="A29776" s="4" t="s">
        <v>37497</v>
      </c>
      <c r="B29776" s="4" t="s">
        <v>37498</v>
      </c>
      <c r="C29776" s="5" t="str">
        <f>IFERROR(__xludf.DUMMYFUNCTION("GOOGLETRANSLATE(B29776,""en"",""zh-CN"")"),"一名穿着汗衫的男人用肥皂水洗净盘子和杯子。")</f>
        <v>一名穿着汗衫的男人用肥皂水洗净盘子和杯子。</v>
      </c>
    </row>
    <row r="29777">
      <c r="A29777" s="4" t="s">
        <v>37497</v>
      </c>
      <c r="B29777" s="4" t="s">
        <v>37499</v>
      </c>
      <c r="C29777" s="5" t="str">
        <f>IFERROR(__xludf.DUMMYFUNCTION("GOOGLETRANSLATE(B29777,""en"",""zh-CN"")"),"该男子捡起银器浸泡在水槽中并将其洗净。")</f>
        <v>该男子捡起银器浸泡在水槽中并将其洗净。</v>
      </c>
    </row>
    <row r="29778">
      <c r="A29778" s="4" t="s">
        <v>37497</v>
      </c>
      <c r="B29778" s="4" t="s">
        <v>37500</v>
      </c>
      <c r="C29778" s="5" t="str">
        <f>IFERROR(__xludf.DUMMYFUNCTION("GOOGLETRANSLATE(B29778,""en"",""zh-CN"")"),"该男子洗锅和切菜板。")</f>
        <v>该男子洗锅和切菜板。</v>
      </c>
    </row>
    <row r="29779">
      <c r="A29779" s="4" t="s">
        <v>37497</v>
      </c>
      <c r="B29779" s="4" t="s">
        <v>37501</v>
      </c>
      <c r="C29779" s="5" t="str">
        <f>IFERROR(__xludf.DUMMYFUNCTION("GOOGLETRANSLATE(B29779,""en"",""zh-CN"")"),"该男子洗了一个咖啡压力机。")</f>
        <v>该男子洗了一个咖啡压力机。</v>
      </c>
    </row>
    <row r="29780">
      <c r="A29780" s="4" t="s">
        <v>37497</v>
      </c>
      <c r="B29780" s="4" t="s">
        <v>37502</v>
      </c>
      <c r="C29780" s="5" t="str">
        <f>IFERROR(__xludf.DUMMYFUNCTION("GOOGLETRANSLATE(B29780,""en"",""zh-CN"")"),"该男子关掉水，排干水槽。")</f>
        <v>该男子关掉水，排干水槽。</v>
      </c>
    </row>
    <row r="29781">
      <c r="A29781" s="4" t="s">
        <v>37503</v>
      </c>
      <c r="B29781" s="4" t="s">
        <v>37504</v>
      </c>
      <c r="C29781" s="5" t="str">
        <f>IFERROR(__xludf.DUMMYFUNCTION("GOOGLETRANSLATE(B29781,""en"",""zh-CN"")"),"人们坐在水边。")</f>
        <v>人们坐在水边。</v>
      </c>
    </row>
    <row r="29782">
      <c r="A29782" s="4" t="s">
        <v>37503</v>
      </c>
      <c r="B29782" s="4" t="s">
        <v>37505</v>
      </c>
      <c r="C29782" s="5" t="str">
        <f>IFERROR(__xludf.DUMMYFUNCTION("GOOGLETRANSLATE(B29782,""en"",""zh-CN"")"),"一个人在地上切碎东西。")</f>
        <v>一个人在地上切碎东西。</v>
      </c>
    </row>
    <row r="29783">
      <c r="A29783" s="4" t="s">
        <v>37503</v>
      </c>
      <c r="B29783" s="4" t="s">
        <v>37506</v>
      </c>
      <c r="C29783" s="5" t="str">
        <f>IFERROR(__xludf.DUMMYFUNCTION("GOOGLETRANSLATE(B29783,""en"",""zh-CN"")"),"一个女人站起来走开。")</f>
        <v>一个女人站起来走开。</v>
      </c>
    </row>
    <row r="29784">
      <c r="A29784" s="4" t="s">
        <v>37507</v>
      </c>
      <c r="B29784" s="4" t="s">
        <v>37508</v>
      </c>
      <c r="C29784" s="5" t="str">
        <f>IFERROR(__xludf.DUMMYFUNCTION("GOOGLETRANSLATE(B29784,""en"",""zh-CN"")"),"显示了一个修饰室，三个人正在洗不同的狗。")</f>
        <v>显示了一个修饰室，三个人正在洗不同的狗。</v>
      </c>
    </row>
    <row r="29785">
      <c r="A29785" s="4" t="s">
        <v>37507</v>
      </c>
      <c r="B29785" s="6" t="s">
        <v>37509</v>
      </c>
      <c r="C29785" s="5" t="str">
        <f>IFERROR(__xludf.DUMMYFUNCTION("GOOGLETRANSLATE(B29785,""en"",""zh-CN"")"),"显示了其他房间，狗继续修饰并躺在地上等待轮到他们。")</f>
        <v>显示了其他房间，狗继续修饰并躺在地上等待轮到他们。</v>
      </c>
    </row>
    <row r="29786">
      <c r="A29786" s="4" t="s">
        <v>37507</v>
      </c>
      <c r="B29786" s="4" t="s">
        <v>37510</v>
      </c>
      <c r="C29786" s="5" t="str">
        <f>IFERROR(__xludf.DUMMYFUNCTION("GOOGLETRANSLATE(B29786,""en"",""zh-CN"")"),"之后，摄像机离开办公室的背面，并显示了接收区域。")</f>
        <v>之后，摄像机离开办公室的背面，并显示了接收区域。</v>
      </c>
    </row>
    <row r="29787">
      <c r="A29787" s="4" t="s">
        <v>37511</v>
      </c>
      <c r="B29787" s="4" t="s">
        <v>37512</v>
      </c>
      <c r="C29787" s="5" t="str">
        <f>IFERROR(__xludf.DUMMYFUNCTION("GOOGLETRANSLATE(B29787,""en"",""zh-CN"")"),"人们正在用蓝筏划桨。")</f>
        <v>人们正在用蓝筏划桨。</v>
      </c>
    </row>
    <row r="29788">
      <c r="A29788" s="4" t="s">
        <v>37511</v>
      </c>
      <c r="B29788" s="4" t="s">
        <v>37513</v>
      </c>
      <c r="C29788" s="5" t="str">
        <f>IFERROR(__xludf.DUMMYFUNCTION("GOOGLETRANSLATE(B29788,""en"",""zh-CN"")"),"他们越过水中的波浪。")</f>
        <v>他们越过水中的波浪。</v>
      </c>
    </row>
    <row r="29789">
      <c r="A29789" s="4" t="s">
        <v>37511</v>
      </c>
      <c r="B29789" s="4" t="s">
        <v>37514</v>
      </c>
      <c r="C29789" s="5" t="str">
        <f>IFERROR(__xludf.DUMMYFUNCTION("GOOGLETRANSLATE(B29789,""en"",""zh-CN"")"),"他们继续沿着河流走。")</f>
        <v>他们继续沿着河流走。</v>
      </c>
    </row>
    <row r="29790">
      <c r="A29790" s="4" t="s">
        <v>37515</v>
      </c>
      <c r="B29790" s="4" t="s">
        <v>37516</v>
      </c>
      <c r="C29790" s="5" t="str">
        <f>IFERROR(__xludf.DUMMYFUNCTION("GOOGLETRANSLATE(B29790,""en"",""zh-CN"")"),"一个男人坐在美发沙龙的椅子上。")</f>
        <v>一个男人坐在美发沙龙的椅子上。</v>
      </c>
    </row>
    <row r="29791">
      <c r="A29791" s="4" t="s">
        <v>37515</v>
      </c>
      <c r="B29791" s="4" t="s">
        <v>37517</v>
      </c>
      <c r="C29791" s="5" t="str">
        <f>IFERROR(__xludf.DUMMYFUNCTION("GOOGLETRANSLATE(B29791,""en"",""zh-CN"")"),"他正在从穿着蓝色连衣裙的美发师那里理发。")</f>
        <v>他正在从穿着蓝色连衣裙的美发师那里理发。</v>
      </c>
    </row>
    <row r="29792">
      <c r="A29792" s="4" t="s">
        <v>37515</v>
      </c>
      <c r="B29792" s="4" t="s">
        <v>37518</v>
      </c>
      <c r="C29792" s="5" t="str">
        <f>IFERROR(__xludf.DUMMYFUNCTION("GOOGLETRANSLATE(B29792,""en"",""zh-CN"")"),"该男子手里拿着相机坐在那里。")</f>
        <v>该男子手里拿着相机坐在那里。</v>
      </c>
    </row>
    <row r="29793">
      <c r="A29793" s="4" t="s">
        <v>37515</v>
      </c>
      <c r="B29793" s="4" t="s">
        <v>37519</v>
      </c>
      <c r="C29793" s="5" t="str">
        <f>IFERROR(__xludf.DUMMYFUNCTION("GOOGLETRANSLATE(B29793,""en"",""zh-CN"")"),"美发师完成了剪发，然后退后一步。")</f>
        <v>美发师完成了剪发，然后退后一步。</v>
      </c>
    </row>
    <row r="29794">
      <c r="A29794" s="4" t="s">
        <v>37520</v>
      </c>
      <c r="B29794" s="4" t="s">
        <v>37521</v>
      </c>
      <c r="C29794" s="5" t="str">
        <f>IFERROR(__xludf.DUMMYFUNCTION("GOOGLETRANSLATE(B29794,""en"",""zh-CN"")"),"一个跪着的人试图开火，而其他几个人看着。")</f>
        <v>一个跪着的人试图开火，而其他几个人看着。</v>
      </c>
    </row>
    <row r="29795">
      <c r="A29795" s="4" t="s">
        <v>37520</v>
      </c>
      <c r="B29795" s="4" t="s">
        <v>37522</v>
      </c>
      <c r="C29795" s="5" t="str">
        <f>IFERROR(__xludf.DUMMYFUNCTION("GOOGLETRANSLATE(B29795,""en"",""zh-CN"")"),"其中一位观众短暂地走开了。")</f>
        <v>其中一位观众短暂地走开了。</v>
      </c>
    </row>
    <row r="29796">
      <c r="A29796" s="4" t="s">
        <v>37520</v>
      </c>
      <c r="B29796" s="4" t="s">
        <v>37523</v>
      </c>
      <c r="C29796" s="5" t="str">
        <f>IFERROR(__xludf.DUMMYFUNCTION("GOOGLETRANSLATE(B29796,""en"",""zh-CN"")"),"跪着的人开火。")</f>
        <v>跪着的人开火。</v>
      </c>
    </row>
    <row r="29797">
      <c r="A29797" s="4" t="s">
        <v>37520</v>
      </c>
      <c r="B29797" s="4" t="s">
        <v>37524</v>
      </c>
      <c r="C29797" s="5" t="str">
        <f>IFERROR(__xludf.DUMMYFUNCTION("GOOGLETRANSLATE(B29797,""en"",""zh-CN"")"),"一个观众亲吻膝盖的人。")</f>
        <v>一个观众亲吻膝盖的人。</v>
      </c>
    </row>
    <row r="29798">
      <c r="A29798" s="4" t="s">
        <v>37525</v>
      </c>
      <c r="B29798" s="4" t="s">
        <v>37526</v>
      </c>
      <c r="C29798" s="5" t="str">
        <f>IFERROR(__xludf.DUMMYFUNCTION("GOOGLETRANSLATE(B29798,""en"",""zh-CN"")"),"一群男人坐在酒吧里，在酒吧后面的调酒师调情。")</f>
        <v>一群男人坐在酒吧里，在酒吧后面的调酒师调情。</v>
      </c>
    </row>
    <row r="29799">
      <c r="A29799" s="4" t="s">
        <v>37525</v>
      </c>
      <c r="B29799" s="6" t="s">
        <v>37527</v>
      </c>
      <c r="C29799" s="5" t="str">
        <f>IFERROR(__xludf.DUMMYFUNCTION("GOOGLETRANSLATE(B29799,""en"",""zh-CN"")"),"那个女人继续与男人说话，而相机在附近的各个人群周围摇晃。")</f>
        <v>那个女人继续与男人说话，而相机在附近的各个人群周围摇晃。</v>
      </c>
    </row>
    <row r="29800">
      <c r="A29800" s="4" t="s">
        <v>37525</v>
      </c>
      <c r="B29800" s="4" t="s">
        <v>37528</v>
      </c>
      <c r="C29800" s="5" t="str">
        <f>IFERROR(__xludf.DUMMYFUNCTION("GOOGLETRANSLATE(B29800,""en"",""zh-CN"")"),"女人用手火花，同时还为酒吧里的人打牌。")</f>
        <v>女人用手火花，同时还为酒吧里的人打牌。</v>
      </c>
    </row>
    <row r="29801">
      <c r="A29801" s="4" t="s">
        <v>37529</v>
      </c>
      <c r="B29801" s="4" t="s">
        <v>37530</v>
      </c>
      <c r="C29801" s="5" t="str">
        <f>IFERROR(__xludf.DUMMYFUNCTION("GOOGLETRANSLATE(B29801,""en"",""zh-CN"")"),"看到一个男人在他面前用一双鞋子在相机上说话。")</f>
        <v>看到一个男人在他面前用一双鞋子在相机上说话。</v>
      </c>
    </row>
    <row r="29802">
      <c r="A29802" s="4" t="s">
        <v>37529</v>
      </c>
      <c r="B29802" s="4" t="s">
        <v>37531</v>
      </c>
      <c r="C29802" s="5" t="str">
        <f>IFERROR(__xludf.DUMMYFUNCTION("GOOGLETRANSLATE(B29802,""en"",""zh-CN"")"),"他举起鞋子以及清洁产品，并开始在鞋子上使用它们。")</f>
        <v>他举起鞋子以及清洁产品，并开始在鞋子上使用它们。</v>
      </c>
    </row>
    <row r="29803">
      <c r="A29803" s="4" t="s">
        <v>37529</v>
      </c>
      <c r="B29803" s="4" t="s">
        <v>37532</v>
      </c>
      <c r="C29803" s="5" t="str">
        <f>IFERROR(__xludf.DUMMYFUNCTION("GOOGLETRANSLATE(B29803,""en"",""zh-CN"")"),"他擦拭鞋子，同时仍展示清洁产品并与相机交谈。")</f>
        <v>他擦拭鞋子，同时仍展示清洁产品并与相机交谈。</v>
      </c>
    </row>
    <row r="29804">
      <c r="A29804" s="4" t="s">
        <v>37533</v>
      </c>
      <c r="B29804" s="4" t="s">
        <v>37534</v>
      </c>
      <c r="C29804" s="5" t="str">
        <f>IFERROR(__xludf.DUMMYFUNCTION("GOOGLETRANSLATE(B29804,""en"",""zh-CN"")"),"男人坐在桌子的字体上谈论如何清洁白色运动鞋。")</f>
        <v>男人坐在桌子的字体上谈论如何清洁白色运动鞋。</v>
      </c>
    </row>
    <row r="29805">
      <c r="A29805" s="4" t="s">
        <v>37533</v>
      </c>
      <c r="B29805" s="4" t="s">
        <v>37535</v>
      </c>
      <c r="C29805" s="5" t="str">
        <f>IFERROR(__xludf.DUMMYFUNCTION("GOOGLETRANSLATE(B29805,""en"",""zh-CN"")"),"人将液体倒在水上，用刷子清洁鞋子，然后用擦拭抛光剂。")</f>
        <v>人将液体倒在水上，用刷子清洁鞋子，然后用擦拭抛光剂。</v>
      </c>
    </row>
    <row r="29806">
      <c r="A29806" s="4" t="s">
        <v>37536</v>
      </c>
      <c r="B29806" s="4" t="s">
        <v>37537</v>
      </c>
      <c r="C29806" s="5" t="str">
        <f>IFERROR(__xludf.DUMMYFUNCTION("GOOGLETRANSLATE(B29806,""en"",""zh-CN"")"),"每次使用PVC管道一次向女孩展示一个女孩，将室内健身房的穹顶贴在垫子上。")</f>
        <v>每次使用PVC管道一次向女孩展示一个女孩，将室内健身房的穹顶贴在垫子上。</v>
      </c>
    </row>
    <row r="29807">
      <c r="A29807" s="4" t="s">
        <v>37536</v>
      </c>
      <c r="B29807" s="4" t="s">
        <v>37538</v>
      </c>
      <c r="C29807" s="5" t="str">
        <f>IFERROR(__xludf.DUMMYFUNCTION("GOOGLETRANSLATE(B29807,""en"",""zh-CN"")"),"最后，一个男孩也被显示为拱顶。")</f>
        <v>最后，一个男孩也被显示为拱顶。</v>
      </c>
    </row>
    <row r="29808">
      <c r="A29808" s="4" t="s">
        <v>37539</v>
      </c>
      <c r="B29808" s="4" t="s">
        <v>37540</v>
      </c>
      <c r="C29808" s="5" t="str">
        <f>IFERROR(__xludf.DUMMYFUNCTION("GOOGLETRANSLATE(B29808,""en"",""zh-CN"")"),"显示了一个卡通地球的特写，其次是一个带标枪的卡通人。")</f>
        <v>显示了一个卡通地球的特写，其次是一个带标枪的卡通人。</v>
      </c>
    </row>
    <row r="29809">
      <c r="A29809" s="4" t="s">
        <v>37539</v>
      </c>
      <c r="B29809" s="6" t="s">
        <v>37541</v>
      </c>
      <c r="C29809" s="5" t="str">
        <f>IFERROR(__xludf.DUMMYFUNCTION("GOOGLETRANSLATE(B29809,""en"",""zh-CN"")"),"然后显示该男子在比赛中投掷三个不同的标枪，并散布在屏幕上。")</f>
        <v>然后显示该男子在比赛中投掷三个不同的标枪，并散布在屏幕上。</v>
      </c>
    </row>
    <row r="29810">
      <c r="A29810" s="4" t="s">
        <v>37542</v>
      </c>
      <c r="B29810" s="4" t="s">
        <v>37543</v>
      </c>
      <c r="C29810" s="5" t="str">
        <f>IFERROR(__xludf.DUMMYFUNCTION("GOOGLETRANSLATE(B29810,""en"",""zh-CN"")"),"看到一名妇女远离镜头时，一个女人站在冷冻的汽车旁边。")</f>
        <v>看到一名妇女远离镜头时，一个女人站在冷冻的汽车旁边。</v>
      </c>
    </row>
    <row r="29811">
      <c r="A29811" s="4" t="s">
        <v>37542</v>
      </c>
      <c r="B29811" s="4" t="s">
        <v>37544</v>
      </c>
      <c r="C29811" s="5" t="str">
        <f>IFERROR(__xludf.DUMMYFUNCTION("GOOGLETRANSLATE(B29811,""en"",""zh-CN"")"),"然后，女人开始使用刮刀刮去两侧。")</f>
        <v>然后，女人开始使用刮刀刮去两侧。</v>
      </c>
    </row>
    <row r="29812">
      <c r="A29812" s="4" t="s">
        <v>37542</v>
      </c>
      <c r="B29812" s="4" t="s">
        <v>37545</v>
      </c>
      <c r="C29812" s="5" t="str">
        <f>IFERROR(__xludf.DUMMYFUNCTION("GOOGLETRANSLATE(B29812,""en"",""zh-CN"")"),"女人继续刮擦汽车，望向远处。")</f>
        <v>女人继续刮擦汽车，望向远处。</v>
      </c>
    </row>
    <row r="29813">
      <c r="A29813" s="4" t="s">
        <v>37546</v>
      </c>
      <c r="B29813" s="4" t="s">
        <v>37547</v>
      </c>
      <c r="C29813" s="5" t="str">
        <f>IFERROR(__xludf.DUMMYFUNCTION("GOOGLETRANSLATE(B29813,""en"",""zh-CN"")"),"运动员正在接受采访，有些人展示了他们的参与奖牌。")</f>
        <v>运动员正在接受采访，有些人展示了他们的参与奖牌。</v>
      </c>
    </row>
    <row r="29814">
      <c r="A29814" s="4" t="s">
        <v>37546</v>
      </c>
      <c r="B29814" s="4" t="s">
        <v>37548</v>
      </c>
      <c r="C29814" s="5" t="str">
        <f>IFERROR(__xludf.DUMMYFUNCTION("GOOGLETRANSLATE(B29814,""en"",""zh-CN"")"),"运动员正在登上白色巴士。")</f>
        <v>运动员正在登上白色巴士。</v>
      </c>
    </row>
    <row r="29815">
      <c r="A29815" s="4" t="s">
        <v>37546</v>
      </c>
      <c r="B29815" s="4" t="s">
        <v>37549</v>
      </c>
      <c r="C29815" s="5" t="str">
        <f>IFERROR(__xludf.DUMMYFUNCTION("GOOGLETRANSLATE(B29815,""en"",""zh-CN"")"),"公共汽车从道路上移动。")</f>
        <v>公共汽车从道路上移动。</v>
      </c>
    </row>
    <row r="29816">
      <c r="A29816" s="4" t="s">
        <v>37546</v>
      </c>
      <c r="B29816" s="4" t="s">
        <v>37550</v>
      </c>
      <c r="C29816" s="5" t="str">
        <f>IFERROR(__xludf.DUMMYFUNCTION("GOOGLETRANSLATE(B29816,""en"",""zh-CN"")"),"一个人堆叠T恤。")</f>
        <v>一个人堆叠T恤。</v>
      </c>
    </row>
    <row r="29817">
      <c r="A29817" s="4" t="s">
        <v>37546</v>
      </c>
      <c r="B29817" s="4" t="s">
        <v>37551</v>
      </c>
      <c r="C29817" s="5" t="str">
        <f>IFERROR(__xludf.DUMMYFUNCTION("GOOGLETRANSLATE(B29817,""en"",""zh-CN"")"),"运动员在起跑线上等待。")</f>
        <v>运动员在起跑线上等待。</v>
      </c>
    </row>
    <row r="29818">
      <c r="A29818" s="4" t="s">
        <v>37546</v>
      </c>
      <c r="B29818" s="4" t="s">
        <v>37552</v>
      </c>
      <c r="C29818" s="5" t="str">
        <f>IFERROR(__xludf.DUMMYFUNCTION("GOOGLETRANSLATE(B29818,""en"",""zh-CN"")"),"运动员在路上奔跑。")</f>
        <v>运动员在路上奔跑。</v>
      </c>
    </row>
    <row r="29819">
      <c r="A29819" s="4" t="s">
        <v>37546</v>
      </c>
      <c r="B29819" s="4" t="s">
        <v>37553</v>
      </c>
      <c r="C29819" s="5" t="str">
        <f>IFERROR(__xludf.DUMMYFUNCTION("GOOGLETRANSLATE(B29819,""en"",""zh-CN"")"),"运动员越过终点线。")</f>
        <v>运动员越过终点线。</v>
      </c>
    </row>
    <row r="29820">
      <c r="A29820" s="4" t="s">
        <v>37546</v>
      </c>
      <c r="B29820" s="4" t="s">
        <v>1251</v>
      </c>
      <c r="C29820" s="5" t="str">
        <f>IFERROR(__xludf.DUMMYFUNCTION("GOOGLETRANSLATE(B29820,""en"",""zh-CN"")"),"显示了剪辑的信用。")</f>
        <v>显示了剪辑的信用。</v>
      </c>
    </row>
    <row r="29821">
      <c r="A29821" s="4" t="s">
        <v>37554</v>
      </c>
      <c r="B29821" s="4" t="s">
        <v>37555</v>
      </c>
      <c r="C29821" s="5" t="str">
        <f>IFERROR(__xludf.DUMMYFUNCTION("GOOGLETRANSLATE(B29821,""en"",""zh-CN"")"),"当一个男人走过并递给他鞋子时，看到一名运动员坐在地上。")</f>
        <v>当一个男人走过并递给他鞋子时，看到一名运动员坐在地上。</v>
      </c>
    </row>
    <row r="29822">
      <c r="A29822" s="4" t="s">
        <v>37554</v>
      </c>
      <c r="B29822" s="4" t="s">
        <v>37556</v>
      </c>
      <c r="C29822" s="5" t="str">
        <f>IFERROR(__xludf.DUMMYFUNCTION("GOOGLETRANSLATE(B29822,""en"",""zh-CN"")"),"然后，该男子穿上鞋子，开始在场上移动。")</f>
        <v>然后，该男子穿上鞋子，开始在场上移动。</v>
      </c>
    </row>
    <row r="29823">
      <c r="A29823" s="4" t="s">
        <v>37554</v>
      </c>
      <c r="B29823" s="4" t="s">
        <v>37557</v>
      </c>
      <c r="C29823" s="5" t="str">
        <f>IFERROR(__xludf.DUMMYFUNCTION("GOOGLETRANSLATE(B29823,""en"",""zh-CN"")"),"当相机从后面跟着他跟随他时，该男子踢了一个球。")</f>
        <v>当相机从后面跟着他跟随他时，该男子踢了一个球。</v>
      </c>
    </row>
    <row r="29824">
      <c r="A29824" s="4" t="s">
        <v>37558</v>
      </c>
      <c r="B29824" s="6" t="s">
        <v>37559</v>
      </c>
      <c r="C29824" s="5" t="str">
        <f>IFERROR(__xludf.DUMMYFUNCTION("GOOGLETRANSLATE(B29824,""en"",""zh-CN"")"),"在大型领域中显示了玩棒球比赛的人，有数十个人在旁边观看。")</f>
        <v>在大型领域中显示了玩棒球比赛的人，有数十个人在旁边观看。</v>
      </c>
    </row>
    <row r="29825">
      <c r="A29825" s="4" t="s">
        <v>37558</v>
      </c>
      <c r="B29825" s="6" t="s">
        <v>37560</v>
      </c>
      <c r="C29825" s="5" t="str">
        <f>IFERROR(__xludf.DUMMYFUNCTION("GOOGLETRANSLATE(B29825,""en"",""zh-CN"")"),"人们继续玩游戏，最后以几个球员在场的比赛结束。")</f>
        <v>人们继续玩游戏，最后以几个球员在场的比赛结束。</v>
      </c>
    </row>
    <row r="29826">
      <c r="A29826" s="4" t="s">
        <v>37561</v>
      </c>
      <c r="B29826" s="4" t="s">
        <v>37562</v>
      </c>
      <c r="C29826" s="5" t="str">
        <f>IFERROR(__xludf.DUMMYFUNCTION("GOOGLETRANSLATE(B29826,""en"",""zh-CN"")"),"一个人正在帮助一个年轻人跳到桥梁的轨道后面并检查皮带。")</f>
        <v>一个人正在帮助一个年轻人跳到桥梁的轨道后面并检查皮带。</v>
      </c>
    </row>
    <row r="29827">
      <c r="A29827" s="4" t="s">
        <v>37561</v>
      </c>
      <c r="B29827" s="4" t="s">
        <v>37563</v>
      </c>
      <c r="C29827" s="5" t="str">
        <f>IFERROR(__xludf.DUMMYFUNCTION("GOOGLETRANSLATE(B29827,""en"",""zh-CN"")"),"然后，男人跳下桥。")</f>
        <v>然后，男人跳下桥。</v>
      </c>
    </row>
    <row r="29828">
      <c r="A29828" s="4" t="s">
        <v>37564</v>
      </c>
      <c r="B29828" s="4" t="s">
        <v>37565</v>
      </c>
      <c r="C29828" s="5" t="str">
        <f>IFERROR(__xludf.DUMMYFUNCTION("GOOGLETRANSLATE(B29828,""en"",""zh-CN"")"),"一场炸丸子游戏正在进行中。")</f>
        <v>一场炸丸子游戏正在进行中。</v>
      </c>
    </row>
    <row r="29829">
      <c r="A29829" s="4" t="s">
        <v>37564</v>
      </c>
      <c r="B29829" s="4" t="s">
        <v>37566</v>
      </c>
      <c r="C29829" s="5" t="str">
        <f>IFERROR(__xludf.DUMMYFUNCTION("GOOGLETRANSLATE(B29829,""en"",""zh-CN"")"),"一个男人已经排队了许多彩色球。")</f>
        <v>一个男人已经排队了许多彩色球。</v>
      </c>
    </row>
    <row r="29830">
      <c r="A29830" s="4" t="s">
        <v>37564</v>
      </c>
      <c r="B29830" s="4" t="s">
        <v>37567</v>
      </c>
      <c r="C29830" s="5" t="str">
        <f>IFERROR(__xludf.DUMMYFUNCTION("GOOGLETRANSLATE(B29830,""en"",""zh-CN"")"),"他向下移动，将每个球击中进球。")</f>
        <v>他向下移动，将每个球击中进球。</v>
      </c>
    </row>
    <row r="29831">
      <c r="A29831" s="4" t="s">
        <v>37568</v>
      </c>
      <c r="B29831" s="4" t="s">
        <v>37569</v>
      </c>
      <c r="C29831" s="5" t="str">
        <f>IFERROR(__xludf.DUMMYFUNCTION("GOOGLETRANSLATE(B29831,""en"",""zh-CN"")"),"该视频是一个教程，显示人们如何正确滑雪。")</f>
        <v>该视频是一个教程，显示人们如何正确滑雪。</v>
      </c>
    </row>
    <row r="29832">
      <c r="A29832" s="4" t="s">
        <v>37568</v>
      </c>
      <c r="B29832" s="4" t="s">
        <v>37570</v>
      </c>
      <c r="C29832" s="5" t="str">
        <f>IFERROR(__xludf.DUMMYFUNCTION("GOOGLETRANSLATE(B29832,""en"",""zh-CN"")"),"首先，它告诉您应该滑雪的环境。")</f>
        <v>首先，它告诉您应该滑雪的环境。</v>
      </c>
    </row>
    <row r="29833">
      <c r="A29833" s="4" t="s">
        <v>37568</v>
      </c>
      <c r="B29833" s="4" t="s">
        <v>37571</v>
      </c>
      <c r="C29833" s="5" t="str">
        <f>IFERROR(__xludf.DUMMYFUNCTION("GOOGLETRANSLATE(B29833,""en"",""zh-CN"")"),"它还显示某人在雪中滑雪以伴随着所给出的步骤。")</f>
        <v>它还显示某人在雪中滑雪以伴随着所给出的步骤。</v>
      </c>
    </row>
    <row r="29834">
      <c r="A29834" s="4" t="s">
        <v>37572</v>
      </c>
      <c r="B29834" s="4" t="s">
        <v>37573</v>
      </c>
      <c r="C29834" s="5" t="str">
        <f>IFERROR(__xludf.DUMMYFUNCTION("GOOGLETRANSLATE(B29834,""en"",""zh-CN"")"),"一个人正在椭圆机上锻炼。")</f>
        <v>一个人正在椭圆机上锻炼。</v>
      </c>
    </row>
    <row r="29835">
      <c r="A29835" s="4" t="s">
        <v>37572</v>
      </c>
      <c r="B29835" s="4" t="s">
        <v>37574</v>
      </c>
      <c r="C29835" s="5" t="str">
        <f>IFERROR(__xludf.DUMMYFUNCTION("GOOGLETRANSLATE(B29835,""en"",""zh-CN"")"),"它显示机器上的屏幕。")</f>
        <v>它显示机器上的屏幕。</v>
      </c>
    </row>
    <row r="29836">
      <c r="A29836" s="4" t="s">
        <v>37575</v>
      </c>
      <c r="B29836" s="4" t="s">
        <v>37576</v>
      </c>
      <c r="C29836" s="5" t="str">
        <f>IFERROR(__xludf.DUMMYFUNCTION("GOOGLETRANSLATE(B29836,""en"",""zh-CN"")"),"简介通向一条船，里面充满了水上飞行的人。")</f>
        <v>简介通向一条船，里面充满了水上飞行的人。</v>
      </c>
    </row>
    <row r="29837">
      <c r="A29837" s="4" t="s">
        <v>37575</v>
      </c>
      <c r="B29837" s="6" t="s">
        <v>37577</v>
      </c>
      <c r="C29837" s="5" t="str">
        <f>IFERROR(__xludf.DUMMYFUNCTION("GOOGLETRANSLATE(B29837,""en"",""zh-CN"")"),"相机显示船的各个角度，沿着水以及船上的人们的特写。")</f>
        <v>相机显示船的各个角度，沿着水以及船上的人们的特写。</v>
      </c>
    </row>
    <row r="29838">
      <c r="A29838" s="4" t="s">
        <v>37578</v>
      </c>
      <c r="B29838" s="4" t="s">
        <v>37579</v>
      </c>
      <c r="C29838" s="5" t="str">
        <f>IFERROR(__xludf.DUMMYFUNCTION("GOOGLETRANSLATE(B29838,""en"",""zh-CN"")"),"我们看到男人踢足球比赛，并反复在室内得分。")</f>
        <v>我们看到男人踢足球比赛，并反复在室内得分。</v>
      </c>
    </row>
    <row r="29839">
      <c r="A29839" s="4" t="s">
        <v>37578</v>
      </c>
      <c r="B29839" s="4" t="s">
        <v>37580</v>
      </c>
      <c r="C29839" s="5" t="str">
        <f>IFERROR(__xludf.DUMMYFUNCTION("GOOGLETRANSLATE(B29839,""en"",""zh-CN"")"),"我们看到守门员跳来跳去，一个男人射门和得分。")</f>
        <v>我们看到守门员跳来跳去，一个男人射门和得分。</v>
      </c>
    </row>
    <row r="29840">
      <c r="A29840" s="4" t="s">
        <v>37578</v>
      </c>
      <c r="B29840" s="4" t="s">
        <v>37581</v>
      </c>
      <c r="C29840" s="5" t="str">
        <f>IFERROR(__xludf.DUMMYFUNCTION("GOOGLETRANSLATE(B29840,""en"",""zh-CN"")"),"我们看到一个快乐的年轻人在扇他的衬衫。")</f>
        <v>我们看到一个快乐的年轻人在扇他的衬衫。</v>
      </c>
    </row>
    <row r="29841">
      <c r="A29841" s="4" t="s">
        <v>37582</v>
      </c>
      <c r="B29841" s="4" t="s">
        <v>37583</v>
      </c>
      <c r="C29841" s="5" t="str">
        <f>IFERROR(__xludf.DUMMYFUNCTION("GOOGLETRANSLATE(B29841,""en"",""zh-CN"")"),"将瓷砖沿相同的确切方向应用。")</f>
        <v>将瓷砖沿相同的确切方向应用。</v>
      </c>
    </row>
    <row r="29842">
      <c r="A29842" s="4" t="s">
        <v>37582</v>
      </c>
      <c r="B29842" s="4" t="s">
        <v>37584</v>
      </c>
      <c r="C29842" s="5" t="str">
        <f>IFERROR(__xludf.DUMMYFUNCTION("GOOGLETRANSLATE(B29842,""en"",""zh-CN"")"),"瓷砖必须安装在粘合剂上。")</f>
        <v>瓷砖必须安装在粘合剂上。</v>
      </c>
    </row>
    <row r="29843">
      <c r="A29843" s="4" t="s">
        <v>37582</v>
      </c>
      <c r="B29843" s="4" t="s">
        <v>37585</v>
      </c>
      <c r="C29843" s="5" t="str">
        <f>IFERROR(__xludf.DUMMYFUNCTION("GOOGLETRANSLATE(B29843,""en"",""zh-CN"")"),"然后立即用一百点滚筒滚动。")</f>
        <v>然后立即用一百点滚筒滚动。</v>
      </c>
    </row>
    <row r="29844">
      <c r="A29844" s="4" t="s">
        <v>37582</v>
      </c>
      <c r="B29844" s="4" t="s">
        <v>37586</v>
      </c>
      <c r="C29844" s="5" t="str">
        <f>IFERROR(__xludf.DUMMYFUNCTION("GOOGLETRANSLATE(B29844,""en"",""zh-CN"")"),"将瓷砖切开附近，以确保平滑安装。")</f>
        <v>将瓷砖切开附近，以确保平滑安装。</v>
      </c>
    </row>
    <row r="29845">
      <c r="A29845" s="4" t="s">
        <v>37587</v>
      </c>
      <c r="B29845" s="4" t="s">
        <v>37588</v>
      </c>
      <c r="C29845" s="5" t="str">
        <f>IFERROR(__xludf.DUMMYFUNCTION("GOOGLETRANSLATE(B29845,""en"",""zh-CN"")"),"一个人在盘子上展示培根，然后将蛋黄酱放在两块面包上。")</f>
        <v>一个人在盘子上展示培根，然后将蛋黄酱放在两块面包上。</v>
      </c>
    </row>
    <row r="29846">
      <c r="A29846" s="4" t="s">
        <v>37587</v>
      </c>
      <c r="B29846" s="6" t="s">
        <v>37589</v>
      </c>
      <c r="C29846" s="5" t="str">
        <f>IFERROR(__xludf.DUMMYFUNCTION("GOOGLETRANSLATE(B29846,""en"",""zh-CN"")"),"然后，该人将培根放在面包上，生菜和番茄在另一面包上，然后撒冰球并形成三明治。")</f>
        <v>然后，该人将培根放在面包上，生菜和番茄在另一面包上，然后撒冰球并形成三明治。</v>
      </c>
    </row>
    <row r="29847">
      <c r="A29847" s="4" t="s">
        <v>37587</v>
      </c>
      <c r="B29847" s="4" t="s">
        <v>37590</v>
      </c>
      <c r="C29847" s="5" t="str">
        <f>IFERROR(__xludf.DUMMYFUNCTION("GOOGLETRANSLATE(B29847,""en"",""zh-CN"")"),"接下来，该人将三明治切成两半，然后花一半咬一口。")</f>
        <v>接下来，该人将三明治切成两半，然后花一半咬一口。</v>
      </c>
    </row>
    <row r="29848">
      <c r="A29848" s="4" t="s">
        <v>37591</v>
      </c>
      <c r="B29848" s="4" t="s">
        <v>37592</v>
      </c>
      <c r="C29848" s="5" t="str">
        <f>IFERROR(__xludf.DUMMYFUNCTION("GOOGLETRANSLATE(B29848,""en"",""zh-CN"")"),"一个人使用工具甚至将灰泥抹在墙上。")</f>
        <v>一个人使用工具甚至将灰泥抹在墙上。</v>
      </c>
    </row>
    <row r="29849">
      <c r="A29849" s="4" t="s">
        <v>37591</v>
      </c>
      <c r="B29849" s="4" t="s">
        <v>37593</v>
      </c>
      <c r="C29849" s="5" t="str">
        <f>IFERROR(__xludf.DUMMYFUNCTION("GOOGLETRANSLATE(B29849,""en"",""zh-CN"")"),"该男子在相机可见框架下方的墙上工作。")</f>
        <v>该男子在相机可见框架下方的墙上工作。</v>
      </c>
    </row>
    <row r="29850">
      <c r="A29850" s="4" t="s">
        <v>37591</v>
      </c>
      <c r="B29850" s="4" t="s">
        <v>37594</v>
      </c>
      <c r="C29850" s="5" t="str">
        <f>IFERROR(__xludf.DUMMYFUNCTION("GOOGLETRANSLATE(B29850,""en"",""zh-CN"")"),"该男子在镜头前抬起头，走过它。")</f>
        <v>该男子在镜头前抬起头，走过它。</v>
      </c>
    </row>
    <row r="29851">
      <c r="A29851" s="4" t="s">
        <v>37595</v>
      </c>
      <c r="B29851" s="4" t="s">
        <v>37596</v>
      </c>
      <c r="C29851" s="5" t="str">
        <f>IFERROR(__xludf.DUMMYFUNCTION("GOOGLETRANSLATE(B29851,""en"",""zh-CN"")"),"人们正在水里的船上骑。")</f>
        <v>人们正在水里的船上骑。</v>
      </c>
    </row>
    <row r="29852">
      <c r="A29852" s="4" t="s">
        <v>37595</v>
      </c>
      <c r="B29852" s="4" t="s">
        <v>37597</v>
      </c>
      <c r="C29852" s="5" t="str">
        <f>IFERROR(__xludf.DUMMYFUNCTION("GOOGLETRANSLATE(B29852,""en"",""zh-CN"")"),"这艘船在后面拉着一个男人。")</f>
        <v>这艘船在后面拉着一个男人。</v>
      </c>
    </row>
    <row r="29853">
      <c r="A29853" s="4" t="s">
        <v>37595</v>
      </c>
      <c r="B29853" s="4" t="s">
        <v>37598</v>
      </c>
      <c r="C29853" s="5" t="str">
        <f>IFERROR(__xludf.DUMMYFUNCTION("GOOGLETRANSLATE(B29853,""en"",""zh-CN"")"),"该人从管子上飞走。")</f>
        <v>该人从管子上飞走。</v>
      </c>
    </row>
    <row r="29854">
      <c r="A29854" s="4" t="s">
        <v>37595</v>
      </c>
      <c r="B29854" s="4" t="s">
        <v>37599</v>
      </c>
      <c r="C29854" s="5" t="str">
        <f>IFERROR(__xludf.DUMMYFUNCTION("GOOGLETRANSLATE(B29854,""en"",""zh-CN"")"),"这艘船正在与几个年轻人一起拉一根管子。")</f>
        <v>这艘船正在与几个年轻人一起拉一根管子。</v>
      </c>
    </row>
    <row r="29855">
      <c r="A29855" s="4" t="s">
        <v>37595</v>
      </c>
      <c r="B29855" s="4" t="s">
        <v>37600</v>
      </c>
      <c r="C29855" s="5" t="str">
        <f>IFERROR(__xludf.DUMMYFUNCTION("GOOGLETRANSLATE(B29855,""en"",""zh-CN"")"),"一个人在船后滑水。")</f>
        <v>一个人在船后滑水。</v>
      </c>
    </row>
    <row r="29856">
      <c r="A29856" s="4" t="s">
        <v>37595</v>
      </c>
      <c r="B29856" s="4" t="s">
        <v>37601</v>
      </c>
      <c r="C29856" s="5" t="str">
        <f>IFERROR(__xludf.DUMMYFUNCTION("GOOGLETRANSLATE(B29856,""en"",""zh-CN"")"),"摩托艇在船上经过，然后我们看到乘客。")</f>
        <v>摩托艇在船上经过，然后我们看到乘客。</v>
      </c>
    </row>
    <row r="29857">
      <c r="A29857" s="4" t="s">
        <v>37602</v>
      </c>
      <c r="B29857" s="4" t="s">
        <v>37603</v>
      </c>
      <c r="C29857" s="5" t="str">
        <f>IFERROR(__xludf.DUMMYFUNCTION("GOOGLETRANSLATE(B29857,""en"",""zh-CN"")"),"一个拿着红色斗篷的男人站在公牛的前面。")</f>
        <v>一个拿着红色斗篷的男人站在公牛的前面。</v>
      </c>
    </row>
    <row r="29858">
      <c r="A29858" s="4" t="s">
        <v>37602</v>
      </c>
      <c r="B29858" s="4" t="s">
        <v>37604</v>
      </c>
      <c r="C29858" s="5" t="str">
        <f>IFERROR(__xludf.DUMMYFUNCTION("GOOGLETRANSLATE(B29858,""en"",""zh-CN"")"),"公牛撞到他，将他撞倒在地。")</f>
        <v>公牛撞到他，将他撞倒在地。</v>
      </c>
    </row>
    <row r="29859">
      <c r="A29859" s="4" t="s">
        <v>37602</v>
      </c>
      <c r="B29859" s="4" t="s">
        <v>37605</v>
      </c>
      <c r="C29859" s="5" t="str">
        <f>IFERROR(__xludf.DUMMYFUNCTION("GOOGLETRANSLATE(B29859,""en"",""zh-CN"")"),"人们将男人带离竞技场。")</f>
        <v>人们将男人带离竞技场。</v>
      </c>
    </row>
    <row r="29860">
      <c r="A29860" s="4" t="s">
        <v>37606</v>
      </c>
      <c r="B29860" s="4" t="s">
        <v>37607</v>
      </c>
      <c r="C29860" s="5" t="str">
        <f>IFERROR(__xludf.DUMMYFUNCTION("GOOGLETRANSLATE(B29860,""en"",""zh-CN"")"),"理发师在男人的秃头上摩擦剃须膏。")</f>
        <v>理发师在男人的秃头上摩擦剃须膏。</v>
      </c>
    </row>
    <row r="29861">
      <c r="A29861" s="4" t="s">
        <v>37606</v>
      </c>
      <c r="B29861" s="4" t="s">
        <v>37608</v>
      </c>
      <c r="C29861" s="5" t="str">
        <f>IFERROR(__xludf.DUMMYFUNCTION("GOOGLETRANSLATE(B29861,""en"",""zh-CN"")"),"理发师停下来用毛巾清洁他的手。")</f>
        <v>理发师停下来用毛巾清洁他的手。</v>
      </c>
    </row>
    <row r="29862">
      <c r="A29862" s="4" t="s">
        <v>37606</v>
      </c>
      <c r="B29862" s="4" t="s">
        <v>37609</v>
      </c>
      <c r="C29862" s="5" t="str">
        <f>IFERROR(__xludf.DUMMYFUNCTION("GOOGLETRANSLATE(B29862,""en"",""zh-CN"")"),"理发师抓住剃刀，慢慢剃光了男人的头。")</f>
        <v>理发师抓住剃刀，慢慢剃光了男人的头。</v>
      </c>
    </row>
    <row r="29863">
      <c r="A29863" s="4" t="s">
        <v>37610</v>
      </c>
      <c r="B29863" s="4" t="s">
        <v>37611</v>
      </c>
      <c r="C29863" s="5" t="str">
        <f>IFERROR(__xludf.DUMMYFUNCTION("GOOGLETRANSLATE(B29863,""en"",""zh-CN"")"),"一个年轻人弯腰向他的肩膀举重，然后将重物抬高到头顶上。")</f>
        <v>一个年轻人弯腰向他的肩膀举重，然后将重物抬高到头顶上。</v>
      </c>
    </row>
    <row r="29864">
      <c r="A29864" s="4" t="s">
        <v>37610</v>
      </c>
      <c r="B29864" s="4" t="s">
        <v>37612</v>
      </c>
      <c r="C29864" s="5" t="str">
        <f>IFERROR(__xludf.DUMMYFUNCTION("GOOGLETRANSLATE(B29864,""en"",""zh-CN"")"),"这个年轻人让体重落在地板上。")</f>
        <v>这个年轻人让体重落在地板上。</v>
      </c>
    </row>
    <row r="29865">
      <c r="A29865" s="4" t="s">
        <v>37610</v>
      </c>
      <c r="B29865" s="4" t="s">
        <v>37613</v>
      </c>
      <c r="C29865" s="5" t="str">
        <f>IFERROR(__xludf.DUMMYFUNCTION("GOOGLETRANSLATE(B29865,""en"",""zh-CN"")"),"之后，这个人翻转，然后一个男人来拥抱年轻人。")</f>
        <v>之后，这个人翻转，然后一个男人来拥抱年轻人。</v>
      </c>
    </row>
    <row r="29866">
      <c r="A29866" s="4" t="s">
        <v>37614</v>
      </c>
      <c r="B29866" s="4" t="s">
        <v>37615</v>
      </c>
      <c r="C29866" s="5" t="str">
        <f>IFERROR(__xludf.DUMMYFUNCTION("GOOGLETRANSLATE(B29866,""en"",""zh-CN"")"),"介绍进入屏幕，为打击乐公司提供信息。")</f>
        <v>介绍进入屏幕，为打击乐公司提供信息。</v>
      </c>
    </row>
    <row r="29867">
      <c r="A29867" s="4" t="s">
        <v>37614</v>
      </c>
      <c r="B29867" s="4" t="s">
        <v>37616</v>
      </c>
      <c r="C29867" s="5" t="str">
        <f>IFERROR(__xludf.DUMMYFUNCTION("GOOGLETRANSLATE(B29867,""en"",""zh-CN"")"),"一个人开始演奏一组鼓声，相机从几个不同的角度向他展示了他。")</f>
        <v>一个人开始演奏一组鼓声，相机从几个不同的角度向他展示了他。</v>
      </c>
    </row>
    <row r="29868">
      <c r="A29868" s="4" t="s">
        <v>37614</v>
      </c>
      <c r="B29868" s="4" t="s">
        <v>37617</v>
      </c>
      <c r="C29868" s="5" t="str">
        <f>IFERROR(__xludf.DUMMYFUNCTION("GOOGLETRANSLATE(B29868,""en"",""zh-CN"")"),"相机用踏板显示他的脚来演奏鼓。")</f>
        <v>相机用踏板显示他的脚来演奏鼓。</v>
      </c>
    </row>
    <row r="29869">
      <c r="A29869" s="4" t="s">
        <v>37614</v>
      </c>
      <c r="B29869" s="4" t="s">
        <v>37618</v>
      </c>
      <c r="C29869" s="5" t="str">
        <f>IFERROR(__xludf.DUMMYFUNCTION("GOOGLETRANSLATE(B29869,""en"",""zh-CN"")"),"当视频结束时，显示结局。")</f>
        <v>当视频结束时，显示结局。</v>
      </c>
    </row>
    <row r="29870">
      <c r="A29870" s="4" t="s">
        <v>37619</v>
      </c>
      <c r="B29870" s="4" t="s">
        <v>37620</v>
      </c>
      <c r="C29870" s="5" t="str">
        <f>IFERROR(__xludf.DUMMYFUNCTION("GOOGLETRANSLATE(B29870,""en"",""zh-CN"")"),"一个女人在洗衣房里熨烫衣服时说话和微笑。")</f>
        <v>一个女人在洗衣房里熨烫衣服时说话和微笑。</v>
      </c>
    </row>
    <row r="29871">
      <c r="A29871" s="4" t="s">
        <v>37619</v>
      </c>
      <c r="B29871" s="6" t="s">
        <v>37621</v>
      </c>
      <c r="C29871" s="5" t="str">
        <f>IFERROR(__xludf.DUMMYFUNCTION("GOOGLETRANSLATE(B29871,""en"",""zh-CN"")"),"一个穿着粉红色衬衫和围裙的女人站在洗衣机和烘干机前的洗衣房里，面对相机。")</f>
        <v>一个穿着粉红色衬衫和围裙的女人站在洗衣机和烘干机前的洗衣房里，面对相机。</v>
      </c>
    </row>
    <row r="29872">
      <c r="A29872" s="4" t="s">
        <v>37619</v>
      </c>
      <c r="B29872" s="4" t="s">
        <v>37622</v>
      </c>
      <c r="C29872" s="5" t="str">
        <f>IFERROR(__xludf.DUMMYFUNCTION("GOOGLETRANSLATE(B29872,""en"",""zh-CN"")"),"女人弯下腰拿起衣服，然后将其铺在熨烫桌上。")</f>
        <v>女人弯下腰拿起衣服，然后将其铺在熨烫桌上。</v>
      </c>
    </row>
    <row r="29873">
      <c r="A29873" s="4" t="s">
        <v>37619</v>
      </c>
      <c r="B29873" s="6" t="s">
        <v>37623</v>
      </c>
      <c r="C29873" s="5" t="str">
        <f>IFERROR(__xludf.DUMMYFUNCTION("GOOGLETRANSLATE(B29873,""en"",""zh-CN"")"),"该名女子继续熨烫衣服，瞬间停下来，用白色喷雾瓶中的液体喷涂服装，然后完成熨烫衣服，并将其握在她的脸上，脸颊和微笑。")</f>
        <v>该名女子继续熨烫衣服，瞬间停下来，用白色喷雾瓶中的液体喷涂服装，然后完成熨烫衣服，并将其握在她的脸上，脸颊和微笑。</v>
      </c>
    </row>
    <row r="29874">
      <c r="A29874" s="4" t="s">
        <v>37624</v>
      </c>
      <c r="B29874" s="4" t="s">
        <v>37625</v>
      </c>
      <c r="C29874" s="5" t="str">
        <f>IFERROR(__xludf.DUMMYFUNCTION("GOOGLETRANSLATE(B29874,""en"",""zh-CN"")"),"有一个穿着粉红色衬衫的男人，一位穿着白色背心的女士手里拿着风笛。")</f>
        <v>有一个穿着粉红色衬衫的男人，一位穿着白色背心的女士手里拿着风笛。</v>
      </c>
    </row>
    <row r="29875">
      <c r="A29875" s="4" t="s">
        <v>37624</v>
      </c>
      <c r="B29875" s="4" t="s">
        <v>37626</v>
      </c>
      <c r="C29875" s="5" t="str">
        <f>IFERROR(__xludf.DUMMYFUNCTION("GOOGLETRANSLATE(B29875,""en"",""zh-CN"")"),"他们站在一辆银色汽车附近的停车场里。")</f>
        <v>他们站在一辆银色汽车附近的停车场里。</v>
      </c>
    </row>
    <row r="29876">
      <c r="A29876" s="4" t="s">
        <v>37624</v>
      </c>
      <c r="B29876" s="4" t="s">
        <v>37627</v>
      </c>
      <c r="C29876" s="5" t="str">
        <f>IFERROR(__xludf.DUMMYFUNCTION("GOOGLETRANSLATE(B29876,""en"",""zh-CN"")"),"当男人看着她的戏剧时，这位女士开始演奏风笛。")</f>
        <v>当男人看着她的戏剧时，这位女士开始演奏风笛。</v>
      </c>
    </row>
    <row r="29877">
      <c r="A29877" s="4" t="s">
        <v>37624</v>
      </c>
      <c r="B29877" s="4" t="s">
        <v>37628</v>
      </c>
      <c r="C29877" s="5" t="str">
        <f>IFERROR(__xludf.DUMMYFUNCTION("GOOGLETRANSLATE(B29877,""en"",""zh-CN"")"),"她继续演奏，完成后，男人为她鼓掌，并给她一个拥抱。")</f>
        <v>她继续演奏，完成后，男人为她鼓掌，并给她一个拥抱。</v>
      </c>
    </row>
    <row r="29878">
      <c r="A29878" s="4" t="s">
        <v>37629</v>
      </c>
      <c r="B29878" s="4" t="s">
        <v>37630</v>
      </c>
      <c r="C29878" s="5" t="str">
        <f>IFERROR(__xludf.DUMMYFUNCTION("GOOGLETRANSLATE(B29878,""en"",""zh-CN"")"),"孩子站在球场上。")</f>
        <v>孩子站在球场上。</v>
      </c>
    </row>
    <row r="29879">
      <c r="A29879" s="4" t="s">
        <v>37629</v>
      </c>
      <c r="B29879" s="4" t="s">
        <v>37631</v>
      </c>
      <c r="C29879" s="5" t="str">
        <f>IFERROR(__xludf.DUMMYFUNCTION("GOOGLETRANSLATE(B29879,""en"",""zh-CN"")"),"小女孩坐在垫子的另一端。")</f>
        <v>小女孩坐在垫子的另一端。</v>
      </c>
    </row>
    <row r="29880">
      <c r="A29880" s="4" t="s">
        <v>37629</v>
      </c>
      <c r="B29880" s="4" t="s">
        <v>37632</v>
      </c>
      <c r="C29880" s="5" t="str">
        <f>IFERROR(__xludf.DUMMYFUNCTION("GOOGLETRANSLATE(B29880,""en"",""zh-CN"")"),"这个小男孩奔向垫子，跳过杆子。")</f>
        <v>这个小男孩奔向垫子，跳过杆子。</v>
      </c>
    </row>
    <row r="29881">
      <c r="A29881" s="4" t="s">
        <v>37633</v>
      </c>
      <c r="B29881" s="4" t="s">
        <v>37634</v>
      </c>
      <c r="C29881" s="5" t="str">
        <f>IFERROR(__xludf.DUMMYFUNCTION("GOOGLETRANSLATE(B29881,""en"",""zh-CN"")"),"一个女人的调酒师站在酒吧后面。")</f>
        <v>一个女人的调酒师站在酒吧后面。</v>
      </c>
    </row>
    <row r="29882">
      <c r="A29882" s="4" t="s">
        <v>37633</v>
      </c>
      <c r="B29882" s="4" t="s">
        <v>37635</v>
      </c>
      <c r="C29882" s="5" t="str">
        <f>IFERROR(__xludf.DUMMYFUNCTION("GOOGLETRANSLATE(B29882,""en"",""zh-CN"")"),"当她说话时，她面前有一个空杯子。")</f>
        <v>当她说话时，她面前有一个空杯子。</v>
      </c>
    </row>
    <row r="29883">
      <c r="A29883" s="4" t="s">
        <v>37633</v>
      </c>
      <c r="B29883" s="4" t="s">
        <v>37636</v>
      </c>
      <c r="C29883" s="5" t="str">
        <f>IFERROR(__xludf.DUMMYFUNCTION("GOOGLETRANSLATE(B29883,""en"",""zh-CN"")"),"她用勺子在玻璃杯中添加冰。")</f>
        <v>她用勺子在玻璃杯中添加冰。</v>
      </c>
    </row>
    <row r="29884">
      <c r="A29884" s="4" t="s">
        <v>37633</v>
      </c>
      <c r="B29884" s="4" t="s">
        <v>37637</v>
      </c>
      <c r="C29884" s="5" t="str">
        <f>IFERROR(__xludf.DUMMYFUNCTION("GOOGLETRANSLATE(B29884,""en"",""zh-CN"")"),"她从三个瓶子到玻璃杯增加了三种不同的液体。")</f>
        <v>她从三个瓶子到玻璃杯增加了三种不同的液体。</v>
      </c>
    </row>
    <row r="29885">
      <c r="A29885" s="4" t="s">
        <v>37633</v>
      </c>
      <c r="B29885" s="4" t="s">
        <v>37638</v>
      </c>
      <c r="C29885" s="5" t="str">
        <f>IFERROR(__xludf.DUMMYFUNCTION("GOOGLETRANSLATE(B29885,""en"",""zh-CN"")"),"她搅动并继续谈论这种饮料。")</f>
        <v>她搅动并继续谈论这种饮料。</v>
      </c>
    </row>
    <row r="29886">
      <c r="A29886" s="4" t="s">
        <v>37639</v>
      </c>
      <c r="B29886" s="4" t="s">
        <v>37640</v>
      </c>
      <c r="C29886" s="5" t="str">
        <f>IFERROR(__xludf.DUMMYFUNCTION("GOOGLETRANSLATE(B29886,""en"",""zh-CN"")"),"我们看到人们在船上，然后在潜水装备上看到人们在船上的快速射击。")</f>
        <v>我们看到人们在船上，然后在潜水装备上看到人们在船上的快速射击。</v>
      </c>
    </row>
    <row r="29887">
      <c r="A29887" s="4" t="s">
        <v>37639</v>
      </c>
      <c r="B29887" s="4" t="s">
        <v>37641</v>
      </c>
      <c r="C29887" s="5" t="str">
        <f>IFERROR(__xludf.DUMMYFUNCTION("GOOGLETRANSLATE(B29887,""en"",""zh-CN"")"),"我们看到人们在潜水中。")</f>
        <v>我们看到人们在潜水中。</v>
      </c>
    </row>
    <row r="29888">
      <c r="A29888" s="4" t="s">
        <v>37639</v>
      </c>
      <c r="B29888" s="4" t="s">
        <v>37642</v>
      </c>
      <c r="C29888" s="5" t="str">
        <f>IFERROR(__xludf.DUMMYFUNCTION("GOOGLETRANSLATE(B29888,""en"",""zh-CN"")"),"一个人拿着白色的东西，一遍又一遍地触摸它。")</f>
        <v>一个人拿着白色的东西，一遍又一遍地触摸它。</v>
      </c>
    </row>
    <row r="29889">
      <c r="A29889" s="4" t="s">
        <v>37639</v>
      </c>
      <c r="B29889" s="6" t="s">
        <v>37643</v>
      </c>
      <c r="C29889" s="5" t="str">
        <f>IFERROR(__xludf.DUMMYFUNCTION("GOOGLETRANSLATE(B29889,""en"",""zh-CN"")"),"在水上，人们在船上，一个人掉进了水中，我们看到人们在水下潜水并在晚上看着海洋生物。")</f>
        <v>在水上，人们在船上，一个人掉进了水中，我们看到人们在水下潜水并在晚上看着海洋生物。</v>
      </c>
    </row>
    <row r="29890">
      <c r="A29890" s="4" t="s">
        <v>37639</v>
      </c>
      <c r="B29890" s="4" t="s">
        <v>37644</v>
      </c>
      <c r="C29890" s="5" t="str">
        <f>IFERROR(__xludf.DUMMYFUNCTION("GOOGLETRANSLATE(B29890,""en"",""zh-CN"")"),"一个人回到水中，我们当天在沉船附近的水下。")</f>
        <v>一个人回到水中，我们当天在沉船附近的水下。</v>
      </c>
    </row>
    <row r="29891">
      <c r="A29891" s="4" t="s">
        <v>37639</v>
      </c>
      <c r="B29891" s="4" t="s">
        <v>37645</v>
      </c>
      <c r="C29891" s="5" t="str">
        <f>IFERROR(__xludf.DUMMYFUNCTION("GOOGLETRANSLATE(B29891,""en"",""zh-CN"")"),"这些人完成后上船。")</f>
        <v>这些人完成后上船。</v>
      </c>
    </row>
    <row r="29892">
      <c r="A29892" s="4" t="s">
        <v>37646</v>
      </c>
      <c r="B29892" s="4" t="s">
        <v>37647</v>
      </c>
      <c r="C29892" s="5" t="str">
        <f>IFERROR(__xludf.DUMMYFUNCTION("GOOGLETRANSLATE(B29892,""en"",""zh-CN"")"),"看到一个男人在拿起各种物体并锐化棍子的同时，在相机上说话。")</f>
        <v>看到一个男人在拿起各种物体并锐化棍子的同时，在相机上说话。</v>
      </c>
    </row>
    <row r="29893">
      <c r="A29893" s="4" t="s">
        <v>37646</v>
      </c>
      <c r="B29893" s="6" t="s">
        <v>37648</v>
      </c>
      <c r="C29893" s="5" t="str">
        <f>IFERROR(__xludf.DUMMYFUNCTION("GOOGLETRANSLATE(B29893,""en"",""zh-CN"")"),"然后，该男子戴上头盔，将棍棒固定在持有人上，导致男人产生火花并切割物体。")</f>
        <v>然后，该男子戴上头盔，将棍棒固定在持有人上，导致男人产生火花并切割物体。</v>
      </c>
    </row>
    <row r="29894">
      <c r="A29894" s="4" t="s">
        <v>37646</v>
      </c>
      <c r="B29894" s="4" t="s">
        <v>37649</v>
      </c>
      <c r="C29894" s="5" t="str">
        <f>IFERROR(__xludf.DUMMYFUNCTION("GOOGLETRANSLATE(B29894,""en"",""zh-CN"")"),"他停下来对相机说话更多，低头看着物体，看看结果如何。")</f>
        <v>他停下来对相机说话更多，低头看着物体，看看结果如何。</v>
      </c>
    </row>
    <row r="29895">
      <c r="A29895" s="4" t="s">
        <v>37650</v>
      </c>
      <c r="B29895" s="4" t="s">
        <v>37651</v>
      </c>
      <c r="C29895" s="5" t="str">
        <f>IFERROR(__xludf.DUMMYFUNCTION("GOOGLETRANSLATE(B29895,""en"",""zh-CN"")"),"一个男人正在割草，他的鸡舍里有鸡。")</f>
        <v>一个男人正在割草，他的鸡舍里有鸡。</v>
      </c>
    </row>
    <row r="29896">
      <c r="A29896" s="4" t="s">
        <v>37650</v>
      </c>
      <c r="B29896" s="4" t="s">
        <v>37652</v>
      </c>
      <c r="C29896" s="5" t="str">
        <f>IFERROR(__xludf.DUMMYFUNCTION("GOOGLETRANSLATE(B29896,""en"",""zh-CN"")"),"时间的速度如此之快，以至于看起来好像是在两倍的时间内。")</f>
        <v>时间的速度如此之快，以至于看起来好像是在两倍的时间内。</v>
      </c>
    </row>
    <row r="29897">
      <c r="A29897" s="4" t="s">
        <v>37650</v>
      </c>
      <c r="B29897" s="4" t="s">
        <v>37653</v>
      </c>
      <c r="C29897" s="5" t="str">
        <f>IFERROR(__xludf.DUMMYFUNCTION("GOOGLETRANSLATE(B29897,""en"",""zh-CN"")"),"他在院子里四处张望。")</f>
        <v>他在院子里四处张望。</v>
      </c>
    </row>
    <row r="29898">
      <c r="A29898" s="4" t="s">
        <v>37650</v>
      </c>
      <c r="B29898" s="4" t="s">
        <v>37654</v>
      </c>
      <c r="C29898" s="5" t="str">
        <f>IFERROR(__xludf.DUMMYFUNCTION("GOOGLETRANSLATE(B29898,""en"",""zh-CN"")"),"院子看起来非常绿色，保存得很好。")</f>
        <v>院子看起来非常绿色，保存得很好。</v>
      </c>
    </row>
    <row r="29899">
      <c r="A29899" s="4" t="s">
        <v>37655</v>
      </c>
      <c r="B29899" s="4" t="s">
        <v>37656</v>
      </c>
      <c r="C29899" s="5" t="str">
        <f>IFERROR(__xludf.DUMMYFUNCTION("GOOGLETRANSLATE(B29899,""en"",""zh-CN"")"),"一匹马的牛仔追随牛。")</f>
        <v>一匹马的牛仔追随牛。</v>
      </c>
    </row>
    <row r="29900">
      <c r="A29900" s="4" t="s">
        <v>37655</v>
      </c>
      <c r="B29900" s="4" t="s">
        <v>37657</v>
      </c>
      <c r="C29900" s="5" t="str">
        <f>IFERROR(__xludf.DUMMYFUNCTION("GOOGLETRANSLATE(B29900,""en"",""zh-CN"")"),"牛仔跳下马，追赶牛。")</f>
        <v>牛仔跳下马，追赶牛。</v>
      </c>
    </row>
    <row r="29901">
      <c r="A29901" s="4" t="s">
        <v>37655</v>
      </c>
      <c r="B29901" s="4" t="s">
        <v>37658</v>
      </c>
      <c r="C29901" s="5" t="str">
        <f>IFERROR(__xludf.DUMMYFUNCTION("GOOGLETRANSLATE(B29901,""en"",""zh-CN"")"),"牛仔把牛绑起来。")</f>
        <v>牛仔把牛绑起来。</v>
      </c>
    </row>
    <row r="29902">
      <c r="A29902" s="4" t="s">
        <v>37659</v>
      </c>
      <c r="B29902" s="4" t="s">
        <v>37660</v>
      </c>
      <c r="C29902" s="5" t="str">
        <f>IFERROR(__xludf.DUMMYFUNCTION("GOOGLETRANSLATE(B29902,""en"",""zh-CN"")"),"一个人坐在木筏上沿着溪流。")</f>
        <v>一个人坐在木筏上沿着溪流。</v>
      </c>
    </row>
    <row r="29903">
      <c r="A29903" s="4" t="s">
        <v>37659</v>
      </c>
      <c r="B29903" s="4" t="s">
        <v>37661</v>
      </c>
      <c r="C29903" s="5" t="str">
        <f>IFERROR(__xludf.DUMMYFUNCTION("GOOGLETRANSLATE(B29903,""en"",""zh-CN"")"),"河里有多个木筏上的人。")</f>
        <v>河里有多个木筏上的人。</v>
      </c>
    </row>
    <row r="29904">
      <c r="A29904" s="4" t="s">
        <v>37659</v>
      </c>
      <c r="B29904" s="4" t="s">
        <v>37662</v>
      </c>
      <c r="C29904" s="5" t="str">
        <f>IFERROR(__xludf.DUMMYFUNCTION("GOOGLETRANSLATE(B29904,""en"",""zh-CN"")"),"有人掉入水中并得到了帮助。")</f>
        <v>有人掉入水中并得到了帮助。</v>
      </c>
    </row>
    <row r="29905">
      <c r="A29905" s="4" t="s">
        <v>37663</v>
      </c>
      <c r="B29905" s="4" t="s">
        <v>2837</v>
      </c>
      <c r="C29905" s="5" t="str">
        <f>IFERROR(__xludf.DUMMYFUNCTION("GOOGLETRANSLATE(B29905,""en"",""zh-CN"")"),"人们在房间里锻炼。")</f>
        <v>人们在房间里锻炼。</v>
      </c>
    </row>
    <row r="29906">
      <c r="A29906" s="4" t="s">
        <v>37663</v>
      </c>
      <c r="B29906" s="4" t="s">
        <v>37664</v>
      </c>
      <c r="C29906" s="5" t="str">
        <f>IFERROR(__xludf.DUMMYFUNCTION("GOOGLETRANSLATE(B29906,""en"",""zh-CN"")"),"他们正在踩踏凳子。")</f>
        <v>他们正在踩踏凳子。</v>
      </c>
    </row>
    <row r="29907">
      <c r="A29907" s="4" t="s">
        <v>37663</v>
      </c>
      <c r="B29907" s="4" t="s">
        <v>37665</v>
      </c>
      <c r="C29907" s="5" t="str">
        <f>IFERROR(__xludf.DUMMYFUNCTION("GOOGLETRANSLATE(B29907,""en"",""zh-CN"")"),"他们在锻炼时一起跳舞。")</f>
        <v>他们在锻炼时一起跳舞。</v>
      </c>
    </row>
    <row r="29908">
      <c r="A29908" s="4" t="s">
        <v>37666</v>
      </c>
      <c r="B29908" s="4" t="s">
        <v>37667</v>
      </c>
      <c r="C29908" s="5" t="str">
        <f>IFERROR(__xludf.DUMMYFUNCTION("GOOGLETRANSLATE(B29908,""en"",""zh-CN"")"),"我们看到女士们的眼睛，诺斯近距离。")</f>
        <v>我们看到女士们的眼睛，诺斯近距离。</v>
      </c>
    </row>
    <row r="29909">
      <c r="A29909" s="4" t="s">
        <v>37666</v>
      </c>
      <c r="B29909" s="4" t="s">
        <v>37668</v>
      </c>
      <c r="C29909" s="5" t="str">
        <f>IFERROR(__xludf.DUMMYFUNCTION("GOOGLETRANSLATE(B29909,""en"",""zh-CN"")"),"我们看到沙漠中的那位女士旋转呼啦圈并表演窍门。")</f>
        <v>我们看到沙漠中的那位女士旋转呼啦圈并表演窍门。</v>
      </c>
    </row>
    <row r="29910">
      <c r="A29910" s="4" t="s">
        <v>37666</v>
      </c>
      <c r="B29910" s="4" t="s">
        <v>37669</v>
      </c>
      <c r="C29910" s="5" t="str">
        <f>IFERROR(__xludf.DUMMYFUNCTION("GOOGLETRANSLATE(B29910,""en"",""zh-CN"")"),"女士呼啦圈，带有10个左右的金呼啦圈。")</f>
        <v>女士呼啦圈，带有10个左右的金呼啦圈。</v>
      </c>
    </row>
    <row r="29911">
      <c r="A29911" s="4" t="s">
        <v>37666</v>
      </c>
      <c r="B29911" s="6" t="s">
        <v>37670</v>
      </c>
      <c r="C29911" s="5" t="str">
        <f>IFERROR(__xludf.DUMMYFUNCTION("GOOGLETRANSLATE(B29911,""en"",""zh-CN"")"),"那位女士将箍旋转在她的手上，然后将其转移到她的腿上，我们再次看到她在金箍上。")</f>
        <v>那位女士将箍旋转在她的手上，然后将其转移到她的腿上，我们再次看到她在金箍上。</v>
      </c>
    </row>
    <row r="29912">
      <c r="A29912" s="4" t="s">
        <v>37666</v>
      </c>
      <c r="B29912" s="6" t="s">
        <v>37671</v>
      </c>
      <c r="C29912" s="5" t="str">
        <f>IFERROR(__xludf.DUMMYFUNCTION("GOOGLETRANSLATE(B29912,""en"",""zh-CN"")"),"那位女士旋转着她的身体进出篮球，我们看到她倒下的脚踏圈。")</f>
        <v>那位女士旋转着她的身体进出篮球，我们看到她倒下的脚踏圈。</v>
      </c>
    </row>
    <row r="29913">
      <c r="A29913" s="4" t="s">
        <v>37666</v>
      </c>
      <c r="B29913" s="6" t="s">
        <v>37672</v>
      </c>
      <c r="C29913" s="5" t="str">
        <f>IFERROR(__xludf.DUMMYFUNCTION("GOOGLETRANSLATE(B29913,""en"",""zh-CN"")"),"当他们跌落到地面时，她处于金箍上，然后她从手上旋转了许多粉红色的箍，并用作裙子。")</f>
        <v>当他们跌落到地面时，她处于金箍上，然后她从手上旋转了许多粉红色的箍，并用作裙子。</v>
      </c>
    </row>
    <row r="29914">
      <c r="A29914" s="4" t="s">
        <v>37666</v>
      </c>
      <c r="B29914" s="4" t="s">
        <v>4513</v>
      </c>
      <c r="C29914" s="5" t="str">
        <f>IFERROR(__xludf.DUMMYFUNCTION("GOOGLETRANSLATE(B29914,""en"",""zh-CN"")"),"我们看到了结局。")</f>
        <v>我们看到了结局。</v>
      </c>
    </row>
    <row r="29915">
      <c r="A29915" s="4" t="s">
        <v>37673</v>
      </c>
      <c r="B29915" s="4" t="s">
        <v>37674</v>
      </c>
      <c r="C29915" s="5" t="str">
        <f>IFERROR(__xludf.DUMMYFUNCTION("GOOGLETRANSLATE(B29915,""en"",""zh-CN"")"),"一个穿着白衬衫的男人站在游泳池旁边。")</f>
        <v>一个穿着白衬衫的男人站在游泳池旁边。</v>
      </c>
    </row>
    <row r="29916">
      <c r="A29916" s="4" t="s">
        <v>37673</v>
      </c>
      <c r="B29916" s="4" t="s">
        <v>37675</v>
      </c>
      <c r="C29916" s="5" t="str">
        <f>IFERROR(__xludf.DUMMYFUNCTION("GOOGLETRANSLATE(B29916,""en"",""zh-CN"")"),"一个男人拿着照相机拍摄他上楼梯。")</f>
        <v>一个男人拿着照相机拍摄他上楼梯。</v>
      </c>
    </row>
    <row r="29917">
      <c r="A29917" s="4" t="s">
        <v>37673</v>
      </c>
      <c r="B29917" s="4" t="s">
        <v>37676</v>
      </c>
      <c r="C29917" s="5" t="str">
        <f>IFERROR(__xludf.DUMMYFUNCTION("GOOGLETRANSLATE(B29917,""en"",""zh-CN"")"),"他站在潜水板上，跳入他下面的游泳池。")</f>
        <v>他站在潜水板上，跳入他下面的游泳池。</v>
      </c>
    </row>
    <row r="29918">
      <c r="A29918" s="4" t="s">
        <v>37673</v>
      </c>
      <c r="B29918" s="4" t="s">
        <v>37677</v>
      </c>
      <c r="C29918" s="5" t="str">
        <f>IFERROR(__xludf.DUMMYFUNCTION("GOOGLETRANSLATE(B29918,""en"",""zh-CN"")"),"他从水中下车，走路给人们拥抱。")</f>
        <v>他从水中下车，走路给人们拥抱。</v>
      </c>
    </row>
    <row r="29919">
      <c r="A29919" s="4" t="s">
        <v>37678</v>
      </c>
      <c r="B29919" s="4" t="s">
        <v>37679</v>
      </c>
      <c r="C29919" s="5" t="str">
        <f>IFERROR(__xludf.DUMMYFUNCTION("GOOGLETRANSLATE(B29919,""en"",""zh-CN"")"),"看到一个女人坐在浴缸上，毛巾缠绕在她身上，剃了腿。")</f>
        <v>看到一个女人坐在浴缸上，毛巾缠绕在她身上，剃了腿。</v>
      </c>
    </row>
    <row r="29920">
      <c r="A29920" s="4" t="s">
        <v>37678</v>
      </c>
      <c r="B29920" s="4" t="s">
        <v>37680</v>
      </c>
      <c r="C29920" s="5" t="str">
        <f>IFERROR(__xludf.DUMMYFUNCTION("GOOGLETRANSLATE(B29920,""en"",""zh-CN"")"),"然后，她笑着镜头，与一个小男孩一起把她推到地板上。")</f>
        <v>然后，她笑着镜头，与一个小男孩一起把她推到地板上。</v>
      </c>
    </row>
    <row r="29921">
      <c r="A29921" s="4" t="s">
        <v>37681</v>
      </c>
      <c r="B29921" s="4" t="s">
        <v>37682</v>
      </c>
      <c r="C29921" s="5" t="str">
        <f>IFERROR(__xludf.DUMMYFUNCTION("GOOGLETRANSLATE(B29921,""en"",""zh-CN"")"),"两个人坐在野餐桌旁，准备摔跤。")</f>
        <v>两个人坐在野餐桌旁，准备摔跤。</v>
      </c>
    </row>
    <row r="29922">
      <c r="A29922" s="4" t="s">
        <v>37681</v>
      </c>
      <c r="B29922" s="4" t="s">
        <v>37683</v>
      </c>
      <c r="C29922" s="5" t="str">
        <f>IFERROR(__xludf.DUMMYFUNCTION("GOOGLETRANSLATE(B29922,""en"",""zh-CN"")"),"各个人都从侧面看着，男人开始摔跤。")</f>
        <v>各个人都从侧面看着，男人开始摔跤。</v>
      </c>
    </row>
    <row r="29923">
      <c r="A29923" s="4" t="s">
        <v>37681</v>
      </c>
      <c r="B29923" s="4" t="s">
        <v>37684</v>
      </c>
      <c r="C29923" s="5" t="str">
        <f>IFERROR(__xludf.DUMMYFUNCTION("GOOGLETRANSLATE(B29923,""en"",""zh-CN"")"),"一名男子接受了摄影师的采访，并将他的二头肌炫耀到相机上。")</f>
        <v>一名男子接受了摄影师的采访，并将他的二头肌炫耀到相机上。</v>
      </c>
    </row>
    <row r="29924">
      <c r="A29924" s="4" t="s">
        <v>37681</v>
      </c>
      <c r="B29924" s="4" t="s">
        <v>37685</v>
      </c>
      <c r="C29924" s="5" t="str">
        <f>IFERROR(__xludf.DUMMYFUNCTION("GOOGLETRANSLATE(B29924,""en"",""zh-CN"")"),"两个人继续与镜头说话，最终开始再次摔跤。")</f>
        <v>两个人继续与镜头说话，最终开始再次摔跤。</v>
      </c>
    </row>
    <row r="29925">
      <c r="A29925" s="4" t="s">
        <v>37681</v>
      </c>
      <c r="B29925" s="6" t="s">
        <v>37686</v>
      </c>
      <c r="C29925" s="5" t="str">
        <f>IFERROR(__xludf.DUMMYFUNCTION("GOOGLETRANSLATE(B29925,""en"",""zh-CN"")"),"他们参加了各种手臂摔跤比赛的比赛，并采访了一个也想摔跤的女性围观者。")</f>
        <v>他们参加了各种手臂摔跤比赛的比赛，并采访了一个也想摔跤的女性围观者。</v>
      </c>
    </row>
    <row r="29926">
      <c r="A29926" s="4" t="s">
        <v>37681</v>
      </c>
      <c r="B29926" s="4" t="s">
        <v>37687</v>
      </c>
      <c r="C29926" s="5" t="str">
        <f>IFERROR(__xludf.DUMMYFUNCTION("GOOGLETRANSLATE(B29926,""en"",""zh-CN"")"),"这个男人让她赢得了他们的手臂摔跤比赛，女孩似乎很头晕。")</f>
        <v>这个男人让她赢得了他们的手臂摔跤比赛，女孩似乎很头晕。</v>
      </c>
    </row>
    <row r="29927">
      <c r="A29927" s="4" t="s">
        <v>37688</v>
      </c>
      <c r="B29927" s="4" t="s">
        <v>37689</v>
      </c>
      <c r="C29927" s="5" t="str">
        <f>IFERROR(__xludf.DUMMYFUNCTION("GOOGLETRANSLATE(B29927,""en"",""zh-CN"")"),"一个男人正在纹身女士的上臂。")</f>
        <v>一个男人正在纹身女士的上臂。</v>
      </c>
    </row>
    <row r="29928">
      <c r="A29928" s="4" t="s">
        <v>37688</v>
      </c>
      <c r="B29928" s="4" t="s">
        <v>37690</v>
      </c>
      <c r="C29928" s="5" t="str">
        <f>IFERROR(__xludf.DUMMYFUNCTION("GOOGLETRANSLATE(B29928,""en"",""zh-CN"")"),"那位女士很痛苦。")</f>
        <v>那位女士很痛苦。</v>
      </c>
    </row>
    <row r="29929">
      <c r="A29929" s="4" t="s">
        <v>37688</v>
      </c>
      <c r="B29929" s="4" t="s">
        <v>37691</v>
      </c>
      <c r="C29929" s="5" t="str">
        <f>IFERROR(__xludf.DUMMYFUNCTION("GOOGLETRANSLATE(B29929,""en"",""zh-CN"")"),"那个家伙用白纸毛巾鞭打。")</f>
        <v>那个家伙用白纸毛巾鞭打。</v>
      </c>
    </row>
    <row r="29930">
      <c r="A29930" s="4" t="s">
        <v>37692</v>
      </c>
      <c r="B29930" s="4" t="s">
        <v>37693</v>
      </c>
      <c r="C29930" s="5" t="str">
        <f>IFERROR(__xludf.DUMMYFUNCTION("GOOGLETRANSLATE(B29930,""en"",""zh-CN"")"),"看到一名体操运动员俯身穿过一条长束，开始进行体操例行。")</f>
        <v>看到一名体操运动员俯身穿过一条长束，开始进行体操例行。</v>
      </c>
    </row>
    <row r="29931">
      <c r="A29931" s="4" t="s">
        <v>37692</v>
      </c>
      <c r="B29931" s="4" t="s">
        <v>37694</v>
      </c>
      <c r="C29931" s="5" t="str">
        <f>IFERROR(__xludf.DUMMYFUNCTION("GOOGLETRANSLATE(B29931,""en"",""zh-CN"")"),"女孩沿着光束翻转和窍门，而其他人则在侧面看。")</f>
        <v>女孩沿着光束翻转和窍门，而其他人则在侧面看。</v>
      </c>
    </row>
    <row r="29932">
      <c r="A29932" s="4" t="s">
        <v>37692</v>
      </c>
      <c r="B29932" s="6" t="s">
        <v>37695</v>
      </c>
      <c r="C29932" s="5" t="str">
        <f>IFERROR(__xludf.DUMMYFUNCTION("GOOGLETRANSLATE(B29932,""en"",""zh-CN"")"),"女人继续沿着光束移动，从侧面跳下并走出舞台。")</f>
        <v>女人继续沿着光束移动，从侧面跳下并走出舞台。</v>
      </c>
    </row>
    <row r="29933">
      <c r="A29933" s="4" t="s">
        <v>37696</v>
      </c>
      <c r="B29933" s="4" t="s">
        <v>37697</v>
      </c>
      <c r="C29933" s="5" t="str">
        <f>IFERROR(__xludf.DUMMYFUNCTION("GOOGLETRANSLATE(B29933,""en"",""zh-CN"")"),"然后，显示水龙头是一只手，将软管固定在软管上。")</f>
        <v>然后，显示水龙头是一只手，将软管固定在软管上。</v>
      </c>
    </row>
    <row r="29934">
      <c r="A29934" s="4" t="s">
        <v>37696</v>
      </c>
      <c r="B29934" s="4" t="s">
        <v>37698</v>
      </c>
      <c r="C29934" s="5" t="str">
        <f>IFERROR(__xludf.DUMMYFUNCTION("GOOGLETRANSLATE(B29934,""en"",""zh-CN"")"),"一根稻草固定在坦克上。")</f>
        <v>一根稻草固定在坦克上。</v>
      </c>
    </row>
    <row r="29935">
      <c r="A29935" s="4" t="s">
        <v>37696</v>
      </c>
      <c r="B29935" s="4" t="s">
        <v>37699</v>
      </c>
      <c r="C29935" s="5" t="str">
        <f>IFERROR(__xludf.DUMMYFUNCTION("GOOGLETRANSLATE(B29935,""en"",""zh-CN"")"),"女人正在用浴缸里用软管洗狗。")</f>
        <v>女人正在用浴缸里用软管洗狗。</v>
      </c>
    </row>
    <row r="29936">
      <c r="A29936" s="4" t="s">
        <v>37700</v>
      </c>
      <c r="B29936" s="4" t="s">
        <v>37701</v>
      </c>
      <c r="C29936" s="5" t="str">
        <f>IFERROR(__xludf.DUMMYFUNCTION("GOOGLETRANSLATE(B29936,""en"",""zh-CN"")"),"桌子上显示了一块芯片。")</f>
        <v>桌子上显示了一块芯片。</v>
      </c>
    </row>
    <row r="29937">
      <c r="A29937" s="4" t="s">
        <v>37700</v>
      </c>
      <c r="B29937" s="4" t="s">
        <v>37702</v>
      </c>
      <c r="C29937" s="5" t="str">
        <f>IFERROR(__xludf.DUMMYFUNCTION("GOOGLETRANSLATE(B29937,""en"",""zh-CN"")"),"一个人正在桌上交易卡。")</f>
        <v>一个人正在桌上交易卡。</v>
      </c>
    </row>
    <row r="29938">
      <c r="A29938" s="4" t="s">
        <v>37700</v>
      </c>
      <c r="B29938" s="4" t="s">
        <v>37703</v>
      </c>
      <c r="C29938" s="5" t="str">
        <f>IFERROR(__xludf.DUMMYFUNCTION("GOOGLETRANSLATE(B29938,""en"",""zh-CN"")"),"坐在桌子旁的人互相给彼此。")</f>
        <v>坐在桌子旁的人互相给彼此。</v>
      </c>
    </row>
    <row r="29939">
      <c r="A29939" s="4" t="s">
        <v>37704</v>
      </c>
      <c r="B29939" s="6" t="s">
        <v>37705</v>
      </c>
      <c r="C29939" s="5" t="str">
        <f>IFERROR(__xludf.DUMMYFUNCTION("GOOGLETRANSLATE(B29939,""en"",""zh-CN"")"),"显示了带有色彩圆圈的旋转光盘，播放了A胶卷和印度的单词。")</f>
        <v>显示了带有色彩圆圈的旋转光盘，播放了A胶卷和印度的单词。</v>
      </c>
    </row>
    <row r="29940">
      <c r="A29940" s="4" t="s">
        <v>37704</v>
      </c>
      <c r="B29940" s="4" t="s">
        <v>37706</v>
      </c>
      <c r="C29940" s="5" t="str">
        <f>IFERROR(__xludf.DUMMYFUNCTION("GOOGLETRANSLATE(B29940,""en"",""zh-CN"")"),"在人群面前参加网球比赛之前，一个男人在伸展运动。")</f>
        <v>在人群面前参加网球比赛之前，一个男人在伸展运动。</v>
      </c>
    </row>
    <row r="29941">
      <c r="A29941" s="4" t="s">
        <v>37704</v>
      </c>
      <c r="B29941" s="4" t="s">
        <v>37707</v>
      </c>
      <c r="C29941" s="5" t="str">
        <f>IFERROR(__xludf.DUMMYFUNCTION("GOOGLETRANSLATE(B29941,""en"",""zh-CN"")"),"然后，他通过麦克风在闪烁的摄像机中与人群交谈。")</f>
        <v>然后，他通过麦克风在闪烁的摄像机中与人群交谈。</v>
      </c>
    </row>
    <row r="29942">
      <c r="A29942" s="4" t="s">
        <v>37704</v>
      </c>
      <c r="B29942" s="4" t="s">
        <v>37708</v>
      </c>
      <c r="C29942" s="5" t="str">
        <f>IFERROR(__xludf.DUMMYFUNCTION("GOOGLETRANSLATE(B29942,""en"",""zh-CN"")"),"该男子偶尔会踢网球，然后回到与小组交谈。")</f>
        <v>该男子偶尔会踢网球，然后回到与小组交谈。</v>
      </c>
    </row>
    <row r="29943">
      <c r="A29943" s="4" t="s">
        <v>37709</v>
      </c>
      <c r="B29943" s="4" t="s">
        <v>37710</v>
      </c>
      <c r="C29943" s="5" t="str">
        <f>IFERROR(__xludf.DUMMYFUNCTION("GOOGLETRANSLATE(B29943,""en"",""zh-CN"")"),"一个人站在大墙的脚下。")</f>
        <v>一个人站在大墙的脚下。</v>
      </c>
    </row>
    <row r="29944">
      <c r="A29944" s="4" t="s">
        <v>37709</v>
      </c>
      <c r="B29944" s="4" t="s">
        <v>37711</v>
      </c>
      <c r="C29944" s="5" t="str">
        <f>IFERROR(__xludf.DUMMYFUNCTION("GOOGLETRANSLATE(B29944,""en"",""zh-CN"")"),"他正在伸展和盯着它，看起来他可能会爬。")</f>
        <v>他正在伸展和盯着它，看起来他可能会爬。</v>
      </c>
    </row>
    <row r="29945">
      <c r="A29945" s="4" t="s">
        <v>37709</v>
      </c>
      <c r="B29945" s="4" t="s">
        <v>37712</v>
      </c>
      <c r="C29945" s="5" t="str">
        <f>IFERROR(__xludf.DUMMYFUNCTION("GOOGLETRANSLATE(B29945,""en"",""zh-CN"")"),"他抬起头，然后将脚放在墙壁的底部。")</f>
        <v>他抬起头，然后将脚放在墙壁的底部。</v>
      </c>
    </row>
    <row r="29946">
      <c r="A29946" s="4" t="s">
        <v>37709</v>
      </c>
      <c r="B29946" s="4" t="s">
        <v>37713</v>
      </c>
      <c r="C29946" s="5" t="str">
        <f>IFERROR(__xludf.DUMMYFUNCTION("GOOGLETRANSLATE(B29946,""en"",""zh-CN"")"),"然后，他开始越来越高。")</f>
        <v>然后，他开始越来越高。</v>
      </c>
    </row>
    <row r="29947">
      <c r="A29947" s="4" t="s">
        <v>37709</v>
      </c>
      <c r="B29947" s="4" t="s">
        <v>37714</v>
      </c>
      <c r="C29947" s="5" t="str">
        <f>IFERROR(__xludf.DUMMYFUNCTION("GOOGLETRANSLATE(B29947,""en"",""zh-CN"")"),"他非常有条不紊地缩放墙。")</f>
        <v>他非常有条不紊地缩放墙。</v>
      </c>
    </row>
    <row r="29948">
      <c r="A29948" s="4" t="s">
        <v>37709</v>
      </c>
      <c r="B29948" s="4" t="s">
        <v>37715</v>
      </c>
      <c r="C29948" s="5" t="str">
        <f>IFERROR(__xludf.DUMMYFUNCTION("GOOGLETRANSLATE(B29948,""en"",""zh-CN"")"),"他最终相对轻松地达到了最高水平。")</f>
        <v>他最终相对轻松地达到了最高水平。</v>
      </c>
    </row>
    <row r="29949">
      <c r="A29949" s="4" t="s">
        <v>37716</v>
      </c>
      <c r="B29949" s="4" t="s">
        <v>37717</v>
      </c>
      <c r="C29949" s="5" t="str">
        <f>IFERROR(__xludf.DUMMYFUNCTION("GOOGLETRANSLATE(B29949,""en"",""zh-CN"")"),"一个十几岁的男孩站在厨房里，拿着一个投手并说话。")</f>
        <v>一个十几岁的男孩站在厨房里，拿着一个投手并说话。</v>
      </c>
    </row>
    <row r="29950">
      <c r="A29950" s="4" t="s">
        <v>37716</v>
      </c>
      <c r="B29950" s="4" t="s">
        <v>37718</v>
      </c>
      <c r="C29950" s="5" t="str">
        <f>IFERROR(__xludf.DUMMYFUNCTION("GOOGLETRANSLATE(B29950,""en"",""zh-CN"")"),"他在水槽里充满了水。")</f>
        <v>他在水槽里充满了水。</v>
      </c>
    </row>
    <row r="29951">
      <c r="A29951" s="4" t="s">
        <v>37716</v>
      </c>
      <c r="B29951" s="4" t="s">
        <v>37719</v>
      </c>
      <c r="C29951" s="5" t="str">
        <f>IFERROR(__xludf.DUMMYFUNCTION("GOOGLETRANSLATE(B29951,""en"",""zh-CN"")"),"然后，他将粉末混合到水中，形成饮料混合物。")</f>
        <v>然后，他将粉末混合到水中，形成饮料混合物。</v>
      </c>
    </row>
    <row r="29952">
      <c r="A29952" s="4" t="s">
        <v>37716</v>
      </c>
      <c r="B29952" s="4" t="s">
        <v>37720</v>
      </c>
      <c r="C29952" s="5" t="str">
        <f>IFERROR(__xludf.DUMMYFUNCTION("GOOGLETRANSLATE(B29952,""en"",""zh-CN"")"),"他吸引了酒精，然后从投手喝酒来测试风味。")</f>
        <v>他吸引了酒精，然后从投手喝酒来测试风味。</v>
      </c>
    </row>
    <row r="29953">
      <c r="A29953" s="4" t="s">
        <v>37721</v>
      </c>
      <c r="B29953" s="4" t="s">
        <v>37722</v>
      </c>
      <c r="C29953" s="5" t="str">
        <f>IFERROR(__xludf.DUMMYFUNCTION("GOOGLETRANSLATE(B29953,""en"",""zh-CN"")"),"一群人在建筑物内。")</f>
        <v>一群人在建筑物内。</v>
      </c>
    </row>
    <row r="29954">
      <c r="A29954" s="4" t="s">
        <v>37721</v>
      </c>
      <c r="B29954" s="4" t="s">
        <v>37723</v>
      </c>
      <c r="C29954" s="5" t="str">
        <f>IFERROR(__xludf.DUMMYFUNCTION("GOOGLETRANSLATE(B29954,""en"",""zh-CN"")"),"他们正在一起玩桌上足球比赛。")</f>
        <v>他们正在一起玩桌上足球比赛。</v>
      </c>
    </row>
    <row r="29955">
      <c r="A29955" s="4" t="s">
        <v>37721</v>
      </c>
      <c r="B29955" s="4" t="s">
        <v>37724</v>
      </c>
      <c r="C29955" s="5" t="str">
        <f>IFERROR(__xludf.DUMMYFUNCTION("GOOGLETRANSLATE(B29955,""en"",""zh-CN"")"),"他们来回踢球，试图赢得比赛。")</f>
        <v>他们来回踢球，试图赢得比赛。</v>
      </c>
    </row>
    <row r="29956">
      <c r="A29956" s="4" t="s">
        <v>37725</v>
      </c>
      <c r="B29956" s="4" t="s">
        <v>37726</v>
      </c>
      <c r="C29956" s="5" t="str">
        <f>IFERROR(__xludf.DUMMYFUNCTION("GOOGLETRANSLATE(B29956,""en"",""zh-CN"")"),"一个人练习冰球用棍子扔圆盘。")</f>
        <v>一个人练习冰球用棍子扔圆盘。</v>
      </c>
    </row>
    <row r="29957">
      <c r="A29957" s="4" t="s">
        <v>37725</v>
      </c>
      <c r="B29957" s="4" t="s">
        <v>37727</v>
      </c>
      <c r="C29957" s="5" t="str">
        <f>IFERROR(__xludf.DUMMYFUNCTION("GOOGLETRANSLATE(B29957,""en"",""zh-CN"")"),"然后，球员在一场比赛中得分，他得到了队友的祝贺。")</f>
        <v>然后，球员在一场比赛中得分，他得到了队友的祝贺。</v>
      </c>
    </row>
    <row r="29958">
      <c r="A29958" s="4" t="s">
        <v>37725</v>
      </c>
      <c r="B29958" s="4" t="s">
        <v>37728</v>
      </c>
      <c r="C29958" s="5" t="str">
        <f>IFERROR(__xludf.DUMMYFUNCTION("GOOGLETRANSLATE(B29958,""en"",""zh-CN"")"),"当男人打冰球时得分时，其他球员会讲话和谈话。")</f>
        <v>当男人打冰球时得分时，其他球员会讲话和谈话。</v>
      </c>
    </row>
    <row r="29959">
      <c r="A29959" s="4" t="s">
        <v>37725</v>
      </c>
      <c r="B29959" s="4" t="s">
        <v>37729</v>
      </c>
      <c r="C29959" s="5" t="str">
        <f>IFERROR(__xludf.DUMMYFUNCTION("GOOGLETRANSLATE(B29959,""en"",""zh-CN"")"),"球员的谈话和球队在冰场上比赛，球员得分。")</f>
        <v>球员的谈话和球队在冰场上比赛，球员得分。</v>
      </c>
    </row>
    <row r="29960">
      <c r="A29960" s="4" t="s">
        <v>37730</v>
      </c>
      <c r="B29960" s="4" t="s">
        <v>37731</v>
      </c>
      <c r="C29960" s="5" t="str">
        <f>IFERROR(__xludf.DUMMYFUNCTION("GOOGLETRANSLATE(B29960,""en"",""zh-CN"")"),"一名穿着T恤的男人靠在厨房柜台上，旁边是成分袋。")</f>
        <v>一名穿着T恤的男人靠在厨房柜台上，旁边是成分袋。</v>
      </c>
    </row>
    <row r="29961">
      <c r="A29961" s="4" t="s">
        <v>37730</v>
      </c>
      <c r="B29961" s="4" t="s">
        <v>37732</v>
      </c>
      <c r="C29961" s="5" t="str">
        <f>IFERROR(__xludf.DUMMYFUNCTION("GOOGLETRANSLATE(B29961,""en"",""zh-CN"")"),"该男子展示了每种单独的成分，并将其固定在显示每种成分上。")</f>
        <v>该男子展示了每种单独的成分，并将其固定在显示每种成分上。</v>
      </c>
    </row>
    <row r="29962">
      <c r="A29962" s="4" t="s">
        <v>37730</v>
      </c>
      <c r="B29962" s="4" t="s">
        <v>37733</v>
      </c>
      <c r="C29962" s="5" t="str">
        <f>IFERROR(__xludf.DUMMYFUNCTION("GOOGLETRANSLATE(B29962,""en"",""zh-CN"")"),"切成薄片的香肠和辣椒在炉子上煮熟。")</f>
        <v>切成薄片的香肠和辣椒在炉子上煮熟。</v>
      </c>
    </row>
    <row r="29963">
      <c r="A29963" s="4" t="s">
        <v>37730</v>
      </c>
      <c r="B29963" s="4" t="s">
        <v>37734</v>
      </c>
      <c r="C29963" s="5" t="str">
        <f>IFERROR(__xludf.DUMMYFUNCTION("GOOGLETRANSLATE(B29963,""en"",""zh-CN"")"),"一锅汤沸腾。")</f>
        <v>一锅汤沸腾。</v>
      </c>
    </row>
    <row r="29964">
      <c r="A29964" s="4" t="s">
        <v>37730</v>
      </c>
      <c r="B29964" s="4" t="s">
        <v>37735</v>
      </c>
      <c r="C29964" s="5" t="str">
        <f>IFERROR(__xludf.DUMMYFUNCTION("GOOGLETRANSLATE(B29964,""en"",""zh-CN"")"),"成分坐在炉子顶部，并用于准备食物。")</f>
        <v>成分坐在炉子顶部，并用于准备食物。</v>
      </c>
    </row>
    <row r="29965">
      <c r="A29965" s="4" t="s">
        <v>37730</v>
      </c>
      <c r="B29965" s="4" t="s">
        <v>37736</v>
      </c>
      <c r="C29965" s="5" t="str">
        <f>IFERROR(__xludf.DUMMYFUNCTION("GOOGLETRANSLATE(B29965,""en"",""zh-CN"")"),"一碗切成薄片的蔬菜添加了PANS成分。")</f>
        <v>一碗切成薄片的蔬菜添加了PANS成分。</v>
      </c>
    </row>
    <row r="29966">
      <c r="A29966" s="4" t="s">
        <v>37730</v>
      </c>
      <c r="B29966" s="4" t="s">
        <v>37737</v>
      </c>
      <c r="C29966" s="5" t="str">
        <f>IFERROR(__xludf.DUMMYFUNCTION("GOOGLETRANSLATE(B29966,""en"",""zh-CN"")"),"一碗意大利面条被添加到碗中并摇动。")</f>
        <v>一碗意大利面条被添加到碗中并摇动。</v>
      </c>
    </row>
    <row r="29967">
      <c r="A29967" s="4" t="s">
        <v>37730</v>
      </c>
      <c r="B29967" s="4" t="s">
        <v>37738</v>
      </c>
      <c r="C29967" s="5" t="str">
        <f>IFERROR(__xludf.DUMMYFUNCTION("GOOGLETRANSLATE(B29967,""en"",""zh-CN"")"),"一袋奶酪被举起。")</f>
        <v>一袋奶酪被举起。</v>
      </c>
    </row>
    <row r="29968">
      <c r="A29968" s="4" t="s">
        <v>37730</v>
      </c>
      <c r="B29968" s="4" t="s">
        <v>37739</v>
      </c>
      <c r="C29968" s="5" t="str">
        <f>IFERROR(__xludf.DUMMYFUNCTION("GOOGLETRANSLATE(B29968,""en"",""zh-CN"")"),"该男子靠近相机。")</f>
        <v>该男子靠近相机。</v>
      </c>
    </row>
    <row r="29969">
      <c r="A29969" s="4" t="s">
        <v>37740</v>
      </c>
      <c r="B29969" s="4" t="s">
        <v>37741</v>
      </c>
      <c r="C29969" s="5" t="str">
        <f>IFERROR(__xludf.DUMMYFUNCTION("GOOGLETRANSLATE(B29969,""en"",""zh-CN"")"),"一个女人在办公室里说话。")</f>
        <v>一个女人在办公室里说话。</v>
      </c>
    </row>
    <row r="29970">
      <c r="A29970" s="4" t="s">
        <v>37740</v>
      </c>
      <c r="B29970" s="4" t="s">
        <v>37742</v>
      </c>
      <c r="C29970" s="5" t="str">
        <f>IFERROR(__xludf.DUMMYFUNCTION("GOOGLETRANSLATE(B29970,""en"",""zh-CN"")"),"女人解释了她如何卷曲头发。")</f>
        <v>女人解释了她如何卷曲头发。</v>
      </c>
    </row>
    <row r="29971">
      <c r="A29971" s="4" t="s">
        <v>37743</v>
      </c>
      <c r="B29971" s="6" t="s">
        <v>37744</v>
      </c>
      <c r="C29971" s="5" t="str">
        <f>IFERROR(__xludf.DUMMYFUNCTION("GOOGLETRANSLATE(B29971,""en"",""zh-CN"")"),"一群人站在沙坑周围，一名跑步者跳来跳去。")</f>
        <v>一群人站在沙坑周围，一名跑步者跳来跳去。</v>
      </c>
    </row>
    <row r="29972">
      <c r="A29972" s="4" t="s">
        <v>37743</v>
      </c>
      <c r="B29972" s="6" t="s">
        <v>37745</v>
      </c>
      <c r="C29972" s="5" t="str">
        <f>IFERROR(__xludf.DUMMYFUNCTION("GOOGLETRANSLATE(B29972,""en"",""zh-CN"")"),"这名男子几次跳过，随后衡量他的跳跃和耙沙。")</f>
        <v>这名男子几次跳过，随后衡量他的跳跃和耙沙。</v>
      </c>
    </row>
    <row r="29973">
      <c r="A29973" s="4" t="s">
        <v>37746</v>
      </c>
      <c r="B29973" s="4" t="s">
        <v>37747</v>
      </c>
      <c r="C29973" s="5" t="str">
        <f>IFERROR(__xludf.DUMMYFUNCTION("GOOGLETRANSLATE(B29973,""en"",""zh-CN"")"),"两名啦啦队在说话时在健身房里运动。")</f>
        <v>两名啦啦队在说话时在健身房里运动。</v>
      </c>
    </row>
    <row r="29974">
      <c r="A29974" s="4" t="s">
        <v>37746</v>
      </c>
      <c r="B29974" s="4" t="s">
        <v>37748</v>
      </c>
      <c r="C29974" s="5" t="str">
        <f>IFERROR(__xludf.DUMMYFUNCTION("GOOGLETRANSLATE(B29974,""en"",""zh-CN"")"),"啦啦队在房间里，然后举重，而另一个则在他的手机上说话。")</f>
        <v>啦啦队在房间里，然后举重，而另一个则在他的手机上说话。</v>
      </c>
    </row>
    <row r="29975">
      <c r="A29975" s="4" t="s">
        <v>37746</v>
      </c>
      <c r="B29975" s="4" t="s">
        <v>37749</v>
      </c>
      <c r="C29975" s="5" t="str">
        <f>IFERROR(__xludf.DUMMYFUNCTION("GOOGLETRANSLATE(B29975,""en"",""zh-CN"")"),"之后，啦啦队谈话和锻炼。")</f>
        <v>之后，啦啦队谈话和锻炼。</v>
      </c>
    </row>
    <row r="29976">
      <c r="A29976" s="4" t="s">
        <v>37746</v>
      </c>
      <c r="B29976" s="4" t="s">
        <v>37750</v>
      </c>
      <c r="C29976" s="5" t="str">
        <f>IFERROR(__xludf.DUMMYFUNCTION("GOOGLETRANSLATE(B29976,""en"",""zh-CN"")"),"之后，啦啦队运动和交谈。")</f>
        <v>之后，啦啦队运动和交谈。</v>
      </c>
    </row>
    <row r="29977">
      <c r="A29977" s="4" t="s">
        <v>37751</v>
      </c>
      <c r="B29977" s="4" t="s">
        <v>37752</v>
      </c>
      <c r="C29977" s="5" t="str">
        <f>IFERROR(__xludf.DUMMYFUNCTION("GOOGLETRANSLATE(B29977,""en"",""zh-CN"")"),"一个女人在外面的混凝土法院上。")</f>
        <v>一个女人在外面的混凝土法院上。</v>
      </c>
    </row>
    <row r="29978">
      <c r="A29978" s="4" t="s">
        <v>37751</v>
      </c>
      <c r="B29978" s="4" t="s">
        <v>37753</v>
      </c>
      <c r="C29978" s="5" t="str">
        <f>IFERROR(__xludf.DUMMYFUNCTION("GOOGLETRANSLATE(B29978,""en"",""zh-CN"")"),"她正在跳过粉笔绘制的啤酒花游戏。")</f>
        <v>她正在跳过粉笔绘制的啤酒花游戏。</v>
      </c>
    </row>
    <row r="29979">
      <c r="A29979" s="4" t="s">
        <v>37751</v>
      </c>
      <c r="B29979" s="4" t="s">
        <v>37754</v>
      </c>
      <c r="C29979" s="5" t="str">
        <f>IFERROR(__xludf.DUMMYFUNCTION("GOOGLETRANSLATE(B29979,""en"",""zh-CN"")"),"她两次来回走动。")</f>
        <v>她两次来回走动。</v>
      </c>
    </row>
    <row r="29980">
      <c r="A29980" s="4" t="s">
        <v>37755</v>
      </c>
      <c r="B29980" s="4" t="s">
        <v>37756</v>
      </c>
      <c r="C29980" s="5" t="str">
        <f>IFERROR(__xludf.DUMMYFUNCTION("GOOGLETRANSLATE(B29980,""en"",""zh-CN"")"),"两只穿着衣服的狗一起跑到楼梯上。")</f>
        <v>两只穿着衣服的狗一起跑到楼梯上。</v>
      </c>
    </row>
    <row r="29981">
      <c r="A29981" s="4" t="s">
        <v>37755</v>
      </c>
      <c r="B29981" s="6" t="s">
        <v>37757</v>
      </c>
      <c r="C29981" s="5" t="str">
        <f>IFERROR(__xludf.DUMMYFUNCTION("GOOGLETRANSLATE(B29981,""en"",""zh-CN"")"),"在跟随男人的同时，两只狗在人群中的人群中一起奔跑。")</f>
        <v>在跟随男人的同时，两只狗在人群中的人群中一起奔跑。</v>
      </c>
    </row>
    <row r="29982">
      <c r="A29982" s="4" t="s">
        <v>37755</v>
      </c>
      <c r="B29982" s="4" t="s">
        <v>37758</v>
      </c>
      <c r="C29982" s="5" t="str">
        <f>IFERROR(__xludf.DUMMYFUNCTION("GOOGLETRANSLATE(B29982,""en"",""zh-CN"")"),"该男子教一只狗用皮带牵引另一只狗。")</f>
        <v>该男子教一只狗用皮带牵引另一只狗。</v>
      </c>
    </row>
    <row r="29983">
      <c r="A29983" s="4" t="s">
        <v>37759</v>
      </c>
      <c r="B29983" s="4" t="s">
        <v>37760</v>
      </c>
      <c r="C29983" s="5" t="str">
        <f>IFERROR(__xludf.DUMMYFUNCTION("GOOGLETRANSLATE(B29983,""en"",""zh-CN"")"),"一位穿着西装的女士在一个白房间里谈话。")</f>
        <v>一位穿着西装的女士在一个白房间里谈话。</v>
      </c>
    </row>
    <row r="29984">
      <c r="A29984" s="4" t="s">
        <v>37759</v>
      </c>
      <c r="B29984" s="4" t="s">
        <v>37761</v>
      </c>
      <c r="C29984" s="5" t="str">
        <f>IFERROR(__xludf.DUMMYFUNCTION("GOOGLETRANSLATE(B29984,""en"",""zh-CN"")"),"我们看到一个人用毛巾洗车。")</f>
        <v>我们看到一个人用毛巾洗车。</v>
      </c>
    </row>
    <row r="29985">
      <c r="A29985" s="4" t="s">
        <v>37759</v>
      </c>
      <c r="B29985" s="4" t="s">
        <v>37762</v>
      </c>
      <c r="C29985" s="5" t="str">
        <f>IFERROR(__xludf.DUMMYFUNCTION("GOOGLETRANSLATE(B29985,""en"",""zh-CN"")"),"我们看到汽车用高压清洗机冲洗，车轮被擦除。")</f>
        <v>我们看到汽车用高压清洗机冲洗，车轮被擦除。</v>
      </c>
    </row>
    <row r="29986">
      <c r="A29986" s="4" t="s">
        <v>37759</v>
      </c>
      <c r="B29986" s="4" t="s">
        <v>37763</v>
      </c>
      <c r="C29986" s="5" t="str">
        <f>IFERROR(__xludf.DUMMYFUNCTION("GOOGLETRANSLATE(B29986,""en"",""zh-CN"")"),"当泡沫滑下汽车时，标志出现在屏幕上。")</f>
        <v>当泡沫滑下汽车时，标志出现在屏幕上。</v>
      </c>
    </row>
    <row r="29987">
      <c r="A29987" s="4" t="s">
        <v>37764</v>
      </c>
      <c r="B29987" s="6" t="s">
        <v>37765</v>
      </c>
      <c r="C29987" s="5" t="str">
        <f>IFERROR(__xludf.DUMMYFUNCTION("GOOGLETRANSLATE(B29987,""en"",""zh-CN"")"),"一个男人站在一个房间里，有三堵墙，身后有一个玻璃墙，用球拍击中球。")</f>
        <v>一个男人站在一个房间里，有三堵墙，身后有一个玻璃墙，用球拍击中球。</v>
      </c>
    </row>
    <row r="29988">
      <c r="A29988" s="4" t="s">
        <v>37764</v>
      </c>
      <c r="B29988" s="4" t="s">
        <v>37766</v>
      </c>
      <c r="C29988" s="5" t="str">
        <f>IFERROR(__xludf.DUMMYFUNCTION("GOOGLETRANSLATE(B29988,""en"",""zh-CN"")"),"然后显示一系列单词以及YouTube视频。")</f>
        <v>然后显示一系列单词以及YouTube视频。</v>
      </c>
    </row>
    <row r="29989">
      <c r="A29989" s="4" t="s">
        <v>37764</v>
      </c>
      <c r="B29989" s="4" t="s">
        <v>37767</v>
      </c>
      <c r="C29989" s="5" t="str">
        <f>IFERROR(__xludf.DUMMYFUNCTION("GOOGLETRANSLATE(B29989,""en"",""zh-CN"")"),"下一个屏幕带有大型热气球和动画汽车。")</f>
        <v>下一个屏幕带有大型热气球和动画汽车。</v>
      </c>
    </row>
    <row r="29990">
      <c r="A29990" s="4" t="s">
        <v>37768</v>
      </c>
      <c r="B29990" s="4" t="s">
        <v>37769</v>
      </c>
      <c r="C29990" s="5" t="str">
        <f>IFERROR(__xludf.DUMMYFUNCTION("GOOGLETRANSLATE(B29990,""en"",""zh-CN"")"),"显示一个模糊的物体，并显示白色文字显示“有趣的鞋子”。")</f>
        <v>显示一个模糊的物体，并显示白色文字显示“有趣的鞋子”。</v>
      </c>
    </row>
    <row r="29991">
      <c r="A29991" s="4" t="s">
        <v>37768</v>
      </c>
      <c r="B29991" s="6" t="s">
        <v>37770</v>
      </c>
      <c r="C29991" s="5" t="str">
        <f>IFERROR(__xludf.DUMMYFUNCTION("GOOGLETRANSLATE(B29991,""en"",""zh-CN"")"),"随着图片的清晰，盖子上有一个带有螺钉的小银罐，罐子上的写作是“ Martens Aurwair博士”。")</f>
        <v>随着图片的清晰，盖子上有一个带有螺钉的小银罐，罐子上的写作是“ Martens Aurwair博士”。</v>
      </c>
    </row>
    <row r="29992">
      <c r="A29992" s="4" t="s">
        <v>37768</v>
      </c>
      <c r="B29992" s="6" t="s">
        <v>37771</v>
      </c>
      <c r="C29992" s="5" t="str">
        <f>IFERROR(__xludf.DUMMYFUNCTION("GOOGLETRANSLATE(B29992,""en"",""zh-CN"")"),"一双闪亮的黑色靴子站立，它们的黑色鞋带被绑起来，文字“后”出现在靴子的左侧区域。")</f>
        <v>一双闪亮的黑色靴子站立，它们的黑色鞋带被绑起来，文字“后”出现在靴子的左侧区域。</v>
      </c>
    </row>
    <row r="29993">
      <c r="A29993" s="4" t="s">
        <v>37768</v>
      </c>
      <c r="B29993" s="4" t="s">
        <v>37772</v>
      </c>
      <c r="C29993" s="5" t="str">
        <f>IFERROR(__xludf.DUMMYFUNCTION("GOOGLETRANSLATE(B29993,""en"",""zh-CN"")"),"显示了一些靴子的角度，并在它们的前面弹出各种单词。")</f>
        <v>显示了一些靴子的角度，并在它们的前面弹出各种单词。</v>
      </c>
    </row>
    <row r="29994">
      <c r="A29994" s="4" t="s">
        <v>37768</v>
      </c>
      <c r="B29994" s="4" t="s">
        <v>37773</v>
      </c>
      <c r="C29994" s="5" t="str">
        <f>IFERROR(__xludf.DUMMYFUNCTION("GOOGLETRANSLATE(B29994,""en"",""zh-CN"")"),"然后看到一个人用布擦拭靴子，并出现更多的文字。")</f>
        <v>然后看到一个人用布擦拭靴子，并出现更多的文字。</v>
      </c>
    </row>
    <row r="29995">
      <c r="A29995" s="4" t="s">
        <v>37768</v>
      </c>
      <c r="B29995" s="6" t="s">
        <v>37774</v>
      </c>
      <c r="C29995" s="5" t="str">
        <f>IFERROR(__xludf.DUMMYFUNCTION("GOOGLETRANSLATE(B29995,""en"",""zh-CN"")"),"一只手可以打开的银色的特写正在显示其中的内容以及如何使用靴子上的内容。")</f>
        <v>一只手可以打开的银色的特写正在显示其中的内容以及如何使用靴子上的内容。</v>
      </c>
    </row>
    <row r="29996">
      <c r="A29996" s="4" t="s">
        <v>37768</v>
      </c>
      <c r="B29996" s="4" t="s">
        <v>37775</v>
      </c>
      <c r="C29996" s="5" t="str">
        <f>IFERROR(__xludf.DUMMYFUNCTION("GOOGLETRANSLATE(B29996,""en"",""zh-CN"")"),"然后将罐子再次拧紧，文本“下次见”结束视频。")</f>
        <v>然后将罐子再次拧紧，文本“下次见”结束视频。</v>
      </c>
    </row>
    <row r="29997">
      <c r="A29997" s="4" t="s">
        <v>37768</v>
      </c>
      <c r="B29997" s="4" t="s">
        <v>37776</v>
      </c>
      <c r="C29997" s="5" t="str">
        <f>IFERROR(__xludf.DUMMYFUNCTION("GOOGLETRANSLATE(B29997,""en"",""zh-CN"")"),"弹出文本一直在整个过程中发生。")</f>
        <v>弹出文本一直在整个过程中发生。</v>
      </c>
    </row>
    <row r="29998">
      <c r="A29998" s="4" t="s">
        <v>37777</v>
      </c>
      <c r="B29998" s="4" t="s">
        <v>37778</v>
      </c>
      <c r="C29998" s="5" t="str">
        <f>IFERROR(__xludf.DUMMYFUNCTION("GOOGLETRANSLATE(B29998,""en"",""zh-CN"")"),"一个人骑自行车沿着泥泞的轨道骑自行车。")</f>
        <v>一个人骑自行车沿着泥泞的轨道骑自行车。</v>
      </c>
    </row>
    <row r="29999">
      <c r="A29999" s="4" t="s">
        <v>37777</v>
      </c>
      <c r="B29999" s="4" t="s">
        <v>37779</v>
      </c>
      <c r="C29999" s="5" t="str">
        <f>IFERROR(__xludf.DUMMYFUNCTION("GOOGLETRANSLATE(B29999,""en"",""zh-CN"")"),"一个穿着红色的小男孩正在赛道上骑一辆小型自行车。")</f>
        <v>一个穿着红色的小男孩正在赛道上骑一辆小型自行车。</v>
      </c>
    </row>
    <row r="30000">
      <c r="A30000" s="4" t="s">
        <v>37777</v>
      </c>
      <c r="B30000" s="4" t="s">
        <v>37780</v>
      </c>
      <c r="C30000" s="5" t="str">
        <f>IFERROR(__xludf.DUMMYFUNCTION("GOOGLETRANSLATE(B30000,""en"",""zh-CN"")"),"一个人倒下了。")</f>
        <v>一个人倒下了。</v>
      </c>
    </row>
    <row r="30001">
      <c r="A30001" s="4" t="s">
        <v>37781</v>
      </c>
      <c r="B30001" s="4" t="s">
        <v>37782</v>
      </c>
      <c r="C30001" s="5" t="str">
        <f>IFERROR(__xludf.DUMMYFUNCTION("GOOGLETRANSLATE(B30001,""en"",""zh-CN"")"),"食物在炉子上的黑色煎锅中用热油嘶嘶作响，煎锅中有一个长茎汤匙。")</f>
        <v>食物在炉子上的黑色煎锅中用热油嘶嘶作响，煎锅中有一个长茎汤匙。</v>
      </c>
    </row>
    <row r="30002">
      <c r="A30002" s="4" t="s">
        <v>37781</v>
      </c>
      <c r="B30002" s="4" t="s">
        <v>37783</v>
      </c>
      <c r="C30002" s="5" t="str">
        <f>IFERROR(__xludf.DUMMYFUNCTION("GOOGLETRANSLATE(B30002,""en"",""zh-CN"")"),"洋葱被添加到煎锅中。")</f>
        <v>洋葱被添加到煎锅中。</v>
      </c>
    </row>
    <row r="30003">
      <c r="A30003" s="4" t="s">
        <v>37781</v>
      </c>
      <c r="B30003" s="4" t="s">
        <v>37784</v>
      </c>
      <c r="C30003" s="5" t="str">
        <f>IFERROR(__xludf.DUMMYFUNCTION("GOOGLETRANSLATE(B30003,""en"",""zh-CN"")"),"煎锅被搅拌并去除汤匙。")</f>
        <v>煎锅被搅拌并去除汤匙。</v>
      </c>
    </row>
    <row r="30004">
      <c r="A30004" s="4" t="s">
        <v>37781</v>
      </c>
      <c r="B30004" s="4" t="s">
        <v>37785</v>
      </c>
      <c r="C30004" s="5" t="str">
        <f>IFERROR(__xludf.DUMMYFUNCTION("GOOGLETRANSLATE(B30004,""en"",""zh-CN"")"),"加入盐并搅拌。")</f>
        <v>加入盐并搅拌。</v>
      </c>
    </row>
    <row r="30005">
      <c r="A30005" s="4" t="s">
        <v>37781</v>
      </c>
      <c r="B30005" s="4" t="s">
        <v>37786</v>
      </c>
      <c r="C30005" s="5" t="str">
        <f>IFERROR(__xludf.DUMMYFUNCTION("GOOGLETRANSLATE(B30005,""en"",""zh-CN"")"),"当混合物烹饪时，煎锅轻轻嘶嘶作响。")</f>
        <v>当混合物烹饪时，煎锅轻轻嘶嘶作响。</v>
      </c>
    </row>
    <row r="30006">
      <c r="A30006" s="4" t="s">
        <v>37781</v>
      </c>
      <c r="B30006" s="4" t="s">
        <v>37787</v>
      </c>
      <c r="C30006" s="5" t="str">
        <f>IFERROR(__xludf.DUMMYFUNCTION("GOOGLETRANSLATE(B30006,""en"",""zh-CN"")"),"香料被添加到煎锅中。")</f>
        <v>香料被添加到煎锅中。</v>
      </c>
    </row>
    <row r="30007">
      <c r="A30007" s="4" t="s">
        <v>37781</v>
      </c>
      <c r="B30007" s="6" t="s">
        <v>37788</v>
      </c>
      <c r="C30007" s="5" t="str">
        <f>IFERROR(__xludf.DUMMYFUNCTION("GOOGLETRANSLATE(B30007,""en"",""zh-CN"")"),"由于煎锅更剧烈地嘶嘶作响，煎锅被搅动，食物呈褐色，因此可以看到火焰。")</f>
        <v>由于煎锅更剧烈地嘶嘶作响，煎锅被搅动，食物呈褐色，因此可以看到火焰。</v>
      </c>
    </row>
    <row r="30008">
      <c r="A30008" s="4" t="s">
        <v>37781</v>
      </c>
      <c r="B30008" s="4" t="s">
        <v>37789</v>
      </c>
      <c r="C30008" s="5" t="str">
        <f>IFERROR(__xludf.DUMMYFUNCTION("GOOGLETRANSLATE(B30008,""en"",""zh-CN"")"),"4个鸡蛋分解在煎锅中。")</f>
        <v>4个鸡蛋分解在煎锅中。</v>
      </c>
    </row>
    <row r="30009">
      <c r="A30009" s="4" t="s">
        <v>37781</v>
      </c>
      <c r="B30009" s="4" t="s">
        <v>37790</v>
      </c>
      <c r="C30009" s="5" t="str">
        <f>IFERROR(__xludf.DUMMYFUNCTION("GOOGLETRANSLATE(B30009,""en"",""zh-CN"")"),"混合物被搅拌，然后煮。")</f>
        <v>混合物被搅拌，然后煮。</v>
      </c>
    </row>
    <row r="30010">
      <c r="A30010" s="4" t="s">
        <v>37781</v>
      </c>
      <c r="B30010" s="4" t="s">
        <v>37791</v>
      </c>
      <c r="C30010" s="5" t="str">
        <f>IFERROR(__xludf.DUMMYFUNCTION("GOOGLETRANSLATE(B30010,""en"",""zh-CN"")"),"将面食倒入并从筛子中搅拌到混合物中。")</f>
        <v>将面食倒入并从筛子中搅拌到混合物中。</v>
      </c>
    </row>
    <row r="30011">
      <c r="A30011" s="4" t="s">
        <v>37781</v>
      </c>
      <c r="B30011" s="4" t="s">
        <v>37792</v>
      </c>
      <c r="C30011" s="5" t="str">
        <f>IFERROR(__xludf.DUMMYFUNCTION("GOOGLETRANSLATE(B30011,""en"",""zh-CN"")"),"它留下来煮更多。")</f>
        <v>它留下来煮更多。</v>
      </c>
    </row>
    <row r="30012">
      <c r="A30012" s="4" t="s">
        <v>37781</v>
      </c>
      <c r="B30012" s="4" t="s">
        <v>37793</v>
      </c>
      <c r="C30012" s="5" t="str">
        <f>IFERROR(__xludf.DUMMYFUNCTION("GOOGLETRANSLATE(B30012,""en"",""zh-CN"")"),"现在被镀上，新鲜的草药撒在上面。")</f>
        <v>现在被镀上，新鲜的草药撒在上面。</v>
      </c>
    </row>
    <row r="30013">
      <c r="A30013" s="4" t="s">
        <v>37794</v>
      </c>
      <c r="B30013" s="4" t="s">
        <v>37795</v>
      </c>
      <c r="C30013" s="5" t="str">
        <f>IFERROR(__xludf.DUMMYFUNCTION("GOOGLETRANSLATE(B30013,""en"",""zh-CN"")"),"看到一个男人在一个指向自己的区域中走来走去，并与镜头说话。")</f>
        <v>看到一个男人在一个指向自己的区域中走来走去，并与镜头说话。</v>
      </c>
    </row>
    <row r="30014">
      <c r="A30014" s="4" t="s">
        <v>37794</v>
      </c>
      <c r="B30014" s="4" t="s">
        <v>37796</v>
      </c>
      <c r="C30014" s="5" t="str">
        <f>IFERROR(__xludf.DUMMYFUNCTION("GOOGLETRANSLATE(B30014,""en"",""zh-CN"")"),"然后，该男子开始进行各种武术动作，然后朝相机踢。")</f>
        <v>然后，该男子开始进行各种武术动作，然后朝相机踢。</v>
      </c>
    </row>
    <row r="30015">
      <c r="A30015" s="4" t="s">
        <v>37794</v>
      </c>
      <c r="B30015" s="4" t="s">
        <v>37797</v>
      </c>
      <c r="C30015" s="5" t="str">
        <f>IFERROR(__xludf.DUMMYFUNCTION("GOOGLETRANSLATE(B30015,""en"",""zh-CN"")"),"当相机捕捉他的动作时，该男子继续四处走动。")</f>
        <v>当相机捕捉他的动作时，该男子继续四处走动。</v>
      </c>
    </row>
    <row r="30016">
      <c r="A30016" s="4" t="s">
        <v>37798</v>
      </c>
      <c r="B30016" s="4" t="s">
        <v>37799</v>
      </c>
      <c r="C30016" s="5" t="str">
        <f>IFERROR(__xludf.DUMMYFUNCTION("GOOGLETRANSLATE(B30016,""en"",""zh-CN"")"),"一名体操运动员在走到光束之前弯腰。")</f>
        <v>一名体操运动员在走到光束之前弯腰。</v>
      </c>
    </row>
    <row r="30017">
      <c r="A30017" s="4" t="s">
        <v>37798</v>
      </c>
      <c r="B30017" s="4" t="s">
        <v>37800</v>
      </c>
      <c r="C30017" s="5" t="str">
        <f>IFERROR(__xludf.DUMMYFUNCTION("GOOGLETRANSLATE(B30017,""en"",""zh-CN"")"),"他安装光束并开始表演。")</f>
        <v>他安装光束并开始表演。</v>
      </c>
    </row>
    <row r="30018">
      <c r="A30018" s="4" t="s">
        <v>37798</v>
      </c>
      <c r="B30018" s="4" t="s">
        <v>37801</v>
      </c>
      <c r="C30018" s="5" t="str">
        <f>IFERROR(__xludf.DUMMYFUNCTION("GOOGLETRANSLATE(B30018,""en"",""zh-CN"")"),"他多次在光束周围旋转。")</f>
        <v>他多次在光束周围旋转。</v>
      </c>
    </row>
    <row r="30019">
      <c r="A30019" s="4" t="s">
        <v>37798</v>
      </c>
      <c r="B30019" s="4" t="s">
        <v>37802</v>
      </c>
      <c r="C30019" s="5" t="str">
        <f>IFERROR(__xludf.DUMMYFUNCTION("GOOGLETRANSLATE(B30019,""en"",""zh-CN"")"),"他在结局中跳下光束。")</f>
        <v>他在结局中跳下光束。</v>
      </c>
    </row>
    <row r="30020">
      <c r="A30020" s="4" t="s">
        <v>37803</v>
      </c>
      <c r="B30020" s="4" t="s">
        <v>37804</v>
      </c>
      <c r="C30020" s="5" t="str">
        <f>IFERROR(__xludf.DUMMYFUNCTION("GOOGLETRANSLATE(B30020,""en"",""zh-CN"")"),"一群穿着红色衣服打扮的男人向舞台前进。")</f>
        <v>一群穿着红色衣服打扮的男人向舞台前进。</v>
      </c>
    </row>
    <row r="30021">
      <c r="A30021" s="4" t="s">
        <v>37803</v>
      </c>
      <c r="B30021" s="6" t="s">
        <v>37805</v>
      </c>
      <c r="C30021" s="5" t="str">
        <f>IFERROR(__xludf.DUMMYFUNCTION("GOOGLETRANSLATE(B30021,""en"",""zh-CN"")"),"然后，我们看到一名妇女在中心举着旗帜，许多女人在大量的狂热上跳跃。")</f>
        <v>然后，我们看到一名妇女在中心举着旗帜，许多女人在大量的狂热上跳跃。</v>
      </c>
    </row>
    <row r="30022">
      <c r="A30022" s="4" t="s">
        <v>37803</v>
      </c>
      <c r="B30022" s="6" t="s">
        <v>37806</v>
      </c>
      <c r="C30022" s="5" t="str">
        <f>IFERROR(__xludf.DUMMYFUNCTION("GOOGLETRANSLATE(B30022,""en"",""zh-CN"")"),"他们用绳索执行许多跳跃和翻转的技巧，每隔几分钟就会增加更多的绳索。")</f>
        <v>他们用绳索执行许多跳跃和翻转的技巧，每隔几分钟就会增加更多的绳索。</v>
      </c>
    </row>
    <row r="30023">
      <c r="A30023" s="4" t="s">
        <v>37803</v>
      </c>
      <c r="B30023" s="4" t="s">
        <v>37807</v>
      </c>
      <c r="C30023" s="5" t="str">
        <f>IFERROR(__xludf.DUMMYFUNCTION("GOOGLETRANSLATE(B30023,""en"",""zh-CN"")"),"当他们完成时，他们会以姿势冻结，屏幕变黑。")</f>
        <v>当他们完成时，他们会以姿势冻结，屏幕变黑。</v>
      </c>
    </row>
    <row r="30024">
      <c r="A30024" s="4" t="s">
        <v>37808</v>
      </c>
      <c r="B30024" s="4" t="s">
        <v>37809</v>
      </c>
      <c r="C30024" s="5" t="str">
        <f>IFERROR(__xludf.DUMMYFUNCTION("GOOGLETRANSLATE(B30024,""en"",""zh-CN"")"),"一个女人在刷牙。")</f>
        <v>一个女人在刷牙。</v>
      </c>
    </row>
    <row r="30025">
      <c r="A30025" s="4" t="s">
        <v>37808</v>
      </c>
      <c r="B30025" s="4" t="s">
        <v>37810</v>
      </c>
      <c r="C30025" s="5" t="str">
        <f>IFERROR(__xludf.DUMMYFUNCTION("GOOGLETRANSLATE(B30025,""en"",""zh-CN"")"),"一个女人在她身后走近。")</f>
        <v>一个女人在她身后走近。</v>
      </c>
    </row>
    <row r="30026">
      <c r="A30026" s="4" t="s">
        <v>37808</v>
      </c>
      <c r="B30026" s="4" t="s">
        <v>37811</v>
      </c>
      <c r="C30026" s="5" t="str">
        <f>IFERROR(__xludf.DUMMYFUNCTION("GOOGLETRANSLATE(B30026,""en"",""zh-CN"")"),"女人停止刷牙。")</f>
        <v>女人停止刷牙。</v>
      </c>
    </row>
    <row r="30027">
      <c r="A30027" s="4" t="s">
        <v>37808</v>
      </c>
      <c r="B30027" s="4" t="s">
        <v>37812</v>
      </c>
      <c r="C30027" s="5" t="str">
        <f>IFERROR(__xludf.DUMMYFUNCTION("GOOGLETRANSLATE(B30027,""en"",""zh-CN"")"),"一个女人微笑真的很大。")</f>
        <v>一个女人微笑真的很大。</v>
      </c>
    </row>
    <row r="30028">
      <c r="A30028" s="4" t="s">
        <v>37813</v>
      </c>
      <c r="B30028" s="4" t="s">
        <v>37814</v>
      </c>
      <c r="C30028" s="5" t="str">
        <f>IFERROR(__xludf.DUMMYFUNCTION("GOOGLETRANSLATE(B30028,""en"",""zh-CN"")"),"一个戴着棕色弓的小女孩站在水槽前，刷牙。")</f>
        <v>一个戴着棕色弓的小女孩站在水槽前，刷牙。</v>
      </c>
    </row>
    <row r="30029">
      <c r="A30029" s="4" t="s">
        <v>37813</v>
      </c>
      <c r="B30029" s="4" t="s">
        <v>37815</v>
      </c>
      <c r="C30029" s="5" t="str">
        <f>IFERROR(__xludf.DUMMYFUNCTION("GOOGLETRANSLATE(B30029,""en"",""zh-CN"")"),"小女孩，然后打开水，在水槽中吐了几次。")</f>
        <v>小女孩，然后打开水，在水槽中吐了几次。</v>
      </c>
    </row>
    <row r="30030">
      <c r="A30030" s="4" t="s">
        <v>37813</v>
      </c>
      <c r="B30030" s="4" t="s">
        <v>37816</v>
      </c>
      <c r="C30030" s="5" t="str">
        <f>IFERROR(__xludf.DUMMYFUNCTION("GOOGLETRANSLATE(B30030,""en"",""zh-CN"")"),"最后，她把刷子放下，冲洗嘴，用棕色的毛巾干燥。")</f>
        <v>最后，她把刷子放下，冲洗嘴，用棕色的毛巾干燥。</v>
      </c>
    </row>
    <row r="30031">
      <c r="A30031" s="4" t="s">
        <v>37817</v>
      </c>
      <c r="B30031" s="4" t="s">
        <v>37818</v>
      </c>
      <c r="C30031" s="5" t="str">
        <f>IFERROR(__xludf.DUMMYFUNCTION("GOOGLETRANSLATE(B30031,""en"",""zh-CN"")"),"看到一个小孩坐在滑梯的顶部，回头朝相机望去。")</f>
        <v>看到一个小孩坐在滑梯的顶部，回头朝相机望去。</v>
      </c>
    </row>
    <row r="30032">
      <c r="A30032" s="4" t="s">
        <v>37817</v>
      </c>
      <c r="B30032" s="6" t="s">
        <v>37819</v>
      </c>
      <c r="C30032" s="5" t="str">
        <f>IFERROR(__xludf.DUMMYFUNCTION("GOOGLETRANSLATE(B30032,""en"",""zh-CN"")"),"然后，男孩将自己向后推下滑梯，同时转身跳下来。")</f>
        <v>然后，男孩将自己向后推下滑梯，同时转身跳下来。</v>
      </c>
    </row>
    <row r="30033">
      <c r="A30033" s="4" t="s">
        <v>37820</v>
      </c>
      <c r="B30033" s="4" t="s">
        <v>37821</v>
      </c>
      <c r="C30033" s="5" t="str">
        <f>IFERROR(__xludf.DUMMYFUNCTION("GOOGLETRANSLATE(B30033,""en"",""zh-CN"")"),"看到一个年轻的女孩在镜头讲话，开始玩她的头发。")</f>
        <v>看到一个年轻的女孩在镜头讲话，开始玩她的头发。</v>
      </c>
    </row>
    <row r="30034">
      <c r="A30034" s="4" t="s">
        <v>37820</v>
      </c>
      <c r="B30034" s="4" t="s">
        <v>37822</v>
      </c>
      <c r="C30034" s="5" t="str">
        <f>IFERROR(__xludf.DUMMYFUNCTION("GOOGLETRANSLATE(B30034,""en"",""zh-CN"")"),"她钉住她，然后将头发放在头发上。")</f>
        <v>她钉住她，然后将头发放在头发上。</v>
      </c>
    </row>
    <row r="30035">
      <c r="A30035" s="4" t="s">
        <v>37820</v>
      </c>
      <c r="B30035" s="4" t="s">
        <v>37823</v>
      </c>
      <c r="C30035" s="5" t="str">
        <f>IFERROR(__xludf.DUMMYFUNCTION("GOOGLETRANSLATE(B30035,""en"",""zh-CN"")"),"然后，她放了更多的假发以及化妆。")</f>
        <v>然后，她放了更多的假发以及化妆。</v>
      </c>
    </row>
    <row r="30036">
      <c r="A30036" s="4" t="s">
        <v>37820</v>
      </c>
      <c r="B30036" s="4" t="s">
        <v>37824</v>
      </c>
      <c r="C30036" s="5" t="str">
        <f>IFERROR(__xludf.DUMMYFUNCTION("GOOGLETRANSLATE(B30036,""en"",""zh-CN"")"),"她最终指着相机，微笑。")</f>
        <v>她最终指着相机，微笑。</v>
      </c>
    </row>
    <row r="30037">
      <c r="A30037" s="4" t="s">
        <v>37825</v>
      </c>
      <c r="B30037" s="4" t="s">
        <v>37826</v>
      </c>
      <c r="C30037" s="5" t="str">
        <f>IFERROR(__xludf.DUMMYFUNCTION("GOOGLETRANSLATE(B30037,""en"",""zh-CN"")"),"一个女孩坐在一个被大批人包围的管子里，也坐在管子上。")</f>
        <v>一个女孩坐在一个被大批人包围的管子里，也坐在管子上。</v>
      </c>
    </row>
    <row r="30038">
      <c r="A30038" s="4" t="s">
        <v>37825</v>
      </c>
      <c r="B30038" s="4" t="s">
        <v>37827</v>
      </c>
      <c r="C30038" s="5" t="str">
        <f>IFERROR(__xludf.DUMMYFUNCTION("GOOGLETRANSLATE(B30038,""en"",""zh-CN"")"),"摄像机朝坐在管子里的各个人周围晃动。")</f>
        <v>摄像机朝坐在管子里的各个人周围晃动。</v>
      </c>
    </row>
    <row r="30039">
      <c r="A30039" s="4" t="s">
        <v>37825</v>
      </c>
      <c r="B30039" s="4" t="s">
        <v>37828</v>
      </c>
      <c r="C30039" s="5" t="str">
        <f>IFERROR(__xludf.DUMMYFUNCTION("GOOGLETRANSLATE(B30039,""en"",""zh-CN"")"),"女孩跳出试管，发现自己在水中游泳。")</f>
        <v>女孩跳出试管，发现自己在水中游泳。</v>
      </c>
    </row>
    <row r="30040">
      <c r="A30040" s="4" t="s">
        <v>37829</v>
      </c>
      <c r="B30040" s="4" t="s">
        <v>37830</v>
      </c>
      <c r="C30040" s="5" t="str">
        <f>IFERROR(__xludf.DUMMYFUNCTION("GOOGLETRANSLATE(B30040,""en"",""zh-CN"")"),"穿着红色锻炼衬衫的女人正在谈论椭圆形的十字教练的好处。")</f>
        <v>穿着红色锻炼衬衫的女人正在谈论椭圆形的十字教练的好处。</v>
      </c>
    </row>
    <row r="30041">
      <c r="A30041" s="4" t="s">
        <v>37829</v>
      </c>
      <c r="B30041" s="4" t="s">
        <v>37831</v>
      </c>
      <c r="C30041" s="5" t="str">
        <f>IFERROR(__xludf.DUMMYFUNCTION("GOOGLETRANSLATE(B30041,""en"",""zh-CN"")"),"另一个穿着粉红色背心的女人正在展示椭圆形的使用。")</f>
        <v>另一个穿着粉红色背心的女人正在展示椭圆形的使用。</v>
      </c>
    </row>
    <row r="30042">
      <c r="A30042" s="4" t="s">
        <v>37829</v>
      </c>
      <c r="B30042" s="4" t="s">
        <v>37832</v>
      </c>
      <c r="C30042" s="5" t="str">
        <f>IFERROR(__xludf.DUMMYFUNCTION("GOOGLETRANSLATE(B30042,""en"",""zh-CN"")"),"红色的女人继续解释椭圆形的使用。")</f>
        <v>红色的女人继续解释椭圆形的使用。</v>
      </c>
    </row>
    <row r="30043">
      <c r="A30043" s="4" t="s">
        <v>37829</v>
      </c>
      <c r="B30043" s="4" t="s">
        <v>37833</v>
      </c>
      <c r="C30043" s="5" t="str">
        <f>IFERROR(__xludf.DUMMYFUNCTION("GOOGLETRANSLATE(B30043,""en"",""zh-CN"")"),"然后，显示出腿部必须如何在椭圆形上移动的演示。")</f>
        <v>然后，显示出腿部必须如何在椭圆形上移动的演示。</v>
      </c>
    </row>
    <row r="30044">
      <c r="A30044" s="4" t="s">
        <v>37829</v>
      </c>
      <c r="B30044" s="4" t="s">
        <v>37834</v>
      </c>
      <c r="C30044" s="5" t="str">
        <f>IFERROR(__xludf.DUMMYFUNCTION("GOOGLETRANSLATE(B30044,""en"",""zh-CN"")"),"红色的女人进一步解释了椭圆形锻炼的好处。")</f>
        <v>红色的女人进一步解释了椭圆形锻炼的好处。</v>
      </c>
    </row>
    <row r="30045">
      <c r="A30045" s="4" t="s">
        <v>37829</v>
      </c>
      <c r="B30045" s="6" t="s">
        <v>37835</v>
      </c>
      <c r="C30045" s="5" t="str">
        <f>IFERROR(__xludf.DUMMYFUNCTION("GOOGLETRANSLATE(B30045,""en"",""zh-CN"")"),"机器上的女人继续向观众展示椭圆形锻炼的正确方法。")</f>
        <v>机器上的女人继续向观众展示椭圆形锻炼的正确方法。</v>
      </c>
    </row>
    <row r="30046">
      <c r="A30046" s="4" t="s">
        <v>37829</v>
      </c>
      <c r="B30046" s="4" t="s">
        <v>37836</v>
      </c>
      <c r="C30046" s="5" t="str">
        <f>IFERROR(__xludf.DUMMYFUNCTION("GOOGLETRANSLATE(B30046,""en"",""zh-CN"")"),"主持人随后结束了教程。")</f>
        <v>主持人随后结束了教程。</v>
      </c>
    </row>
    <row r="30047">
      <c r="A30047" s="4" t="s">
        <v>37837</v>
      </c>
      <c r="B30047" s="4" t="s">
        <v>37838</v>
      </c>
      <c r="C30047" s="5" t="str">
        <f>IFERROR(__xludf.DUMMYFUNCTION("GOOGLETRANSLATE(B30047,""en"",""zh-CN"")"),"显示了不同个体的几张图片，显示了白色漂流作为视频的简介。")</f>
        <v>显示了不同个体的几张图片，显示了白色漂流作为视频的简介。</v>
      </c>
    </row>
    <row r="30048">
      <c r="A30048" s="4" t="s">
        <v>37837</v>
      </c>
      <c r="B30048" s="4" t="s">
        <v>37839</v>
      </c>
      <c r="C30048" s="5" t="str">
        <f>IFERROR(__xludf.DUMMYFUNCTION("GOOGLETRANSLATE(B30048,""en"",""zh-CN"")"),"然后，男人到达田野，在显示更多照片之前将木筏取出。")</f>
        <v>然后，男人到达田野，在显示更多照片之前将木筏取出。</v>
      </c>
    </row>
    <row r="30049">
      <c r="A30049" s="4" t="s">
        <v>37837</v>
      </c>
      <c r="B30049" s="6" t="s">
        <v>37840</v>
      </c>
      <c r="C30049" s="5" t="str">
        <f>IFERROR(__xludf.DUMMYFUNCTION("GOOGLETRANSLATE(B30049,""en"",""zh-CN"")"),"然后，这些人带着桨在田野里站在田野里，实际上陷入了筏子，展示了正确的行列方式。")</f>
        <v>然后，这些人带着桨在田野里站在田野里，实际上陷入了筏子，展示了正确的行列方式。</v>
      </c>
    </row>
    <row r="30050">
      <c r="A30050" s="4" t="s">
        <v>37837</v>
      </c>
      <c r="B30050" s="4" t="s">
        <v>37841</v>
      </c>
      <c r="C30050" s="5" t="str">
        <f>IFERROR(__xludf.DUMMYFUNCTION("GOOGLETRANSLATE(B30050,""en"",""zh-CN"")"),"最后，它们在水中，所有人都开始在整个水中划桨。")</f>
        <v>最后，它们在水中，所有人都开始在整个水中划桨。</v>
      </c>
    </row>
    <row r="30051">
      <c r="A30051" s="4" t="s">
        <v>37837</v>
      </c>
      <c r="B30051" s="4" t="s">
        <v>37842</v>
      </c>
      <c r="C30051" s="5" t="str">
        <f>IFERROR(__xludf.DUMMYFUNCTION("GOOGLETRANSLATE(B30051,""en"",""zh-CN"")"),"越来越多的人加入了他们的行列，他们最终从水中走出来，回到陆地上。")</f>
        <v>越来越多的人加入了他们的行列，他们最终从水中走出来，回到陆地上。</v>
      </c>
    </row>
    <row r="30052">
      <c r="A30052" s="4" t="s">
        <v>37843</v>
      </c>
      <c r="B30052" s="4" t="s">
        <v>37844</v>
      </c>
      <c r="C30052" s="5" t="str">
        <f>IFERROR(__xludf.DUMMYFUNCTION("GOOGLETRANSLATE(B30052,""en"",""zh-CN"")"),"显示了一个家庭在露营地做菜的视频教程。")</f>
        <v>显示了一个家庭在露营地做菜的视频教程。</v>
      </c>
    </row>
    <row r="30053">
      <c r="A30053" s="4" t="s">
        <v>37843</v>
      </c>
      <c r="B30053" s="4" t="s">
        <v>37845</v>
      </c>
      <c r="C30053" s="5" t="str">
        <f>IFERROR(__xludf.DUMMYFUNCTION("GOOGLETRANSLATE(B30053,""en"",""zh-CN"")"),"一切都扔进了两个水桶。")</f>
        <v>一切都扔进了两个水桶。</v>
      </c>
    </row>
    <row r="30054">
      <c r="A30054" s="4" t="s">
        <v>37843</v>
      </c>
      <c r="B30054" s="4" t="s">
        <v>37846</v>
      </c>
      <c r="C30054" s="5" t="str">
        <f>IFERROR(__xludf.DUMMYFUNCTION("GOOGLETRANSLATE(B30054,""en"",""zh-CN"")"),"一个带有肥皂，另一个冲洗。")</f>
        <v>一个带有肥皂，另一个冲洗。</v>
      </c>
    </row>
    <row r="30055">
      <c r="A30055" s="4" t="s">
        <v>37847</v>
      </c>
      <c r="B30055" s="4" t="s">
        <v>37848</v>
      </c>
      <c r="C30055" s="5" t="str">
        <f>IFERROR(__xludf.DUMMYFUNCTION("GOOGLETRANSLATE(B30055,""en"",""zh-CN"")"),"女人向董事会扔刀。")</f>
        <v>女人向董事会扔刀。</v>
      </c>
    </row>
    <row r="30056">
      <c r="A30056" s="4" t="s">
        <v>37847</v>
      </c>
      <c r="B30056" s="4" t="s">
        <v>37849</v>
      </c>
      <c r="C30056" s="5" t="str">
        <f>IFERROR(__xludf.DUMMYFUNCTION("GOOGLETRANSLATE(B30056,""en"",""zh-CN"")"),"三个人扔刀。")</f>
        <v>三个人扔刀。</v>
      </c>
    </row>
    <row r="30057">
      <c r="A30057" s="4" t="s">
        <v>37847</v>
      </c>
      <c r="B30057" s="4" t="s">
        <v>37850</v>
      </c>
      <c r="C30057" s="5" t="str">
        <f>IFERROR(__xludf.DUMMYFUNCTION("GOOGLETRANSLATE(B30057,""en"",""zh-CN"")"),"刀击中了木板。")</f>
        <v>刀击中了木板。</v>
      </c>
    </row>
    <row r="30058">
      <c r="A30058" s="4" t="s">
        <v>37847</v>
      </c>
      <c r="B30058" s="4" t="s">
        <v>37851</v>
      </c>
      <c r="C30058" s="5" t="str">
        <f>IFERROR(__xludf.DUMMYFUNCTION("GOOGLETRANSLATE(B30058,""en"",""zh-CN"")"),"两个男人向后投掷刀。")</f>
        <v>两个男人向后投掷刀。</v>
      </c>
    </row>
    <row r="30059">
      <c r="A30059" s="4" t="s">
        <v>37847</v>
      </c>
      <c r="B30059" s="4" t="s">
        <v>37852</v>
      </c>
      <c r="C30059" s="5" t="str">
        <f>IFERROR(__xludf.DUMMYFUNCTION("GOOGLETRANSLATE(B30059,""en"",""zh-CN"")"),"人扔刀。")</f>
        <v>人扔刀。</v>
      </c>
    </row>
    <row r="30060">
      <c r="A30060" s="4" t="s">
        <v>37847</v>
      </c>
      <c r="B30060" s="4" t="s">
        <v>37853</v>
      </c>
      <c r="C30060" s="5" t="str">
        <f>IFERROR(__xludf.DUMMYFUNCTION("GOOGLETRANSLATE(B30060,""en"",""zh-CN"")"),"女人扔刀。")</f>
        <v>女人扔刀。</v>
      </c>
    </row>
    <row r="30061">
      <c r="A30061" s="4" t="s">
        <v>37847</v>
      </c>
      <c r="B30061" s="4" t="s">
        <v>37854</v>
      </c>
      <c r="C30061" s="5" t="str">
        <f>IFERROR(__xludf.DUMMYFUNCTION("GOOGLETRANSLATE(B30061,""en"",""zh-CN"")"),"一个男人和女人投掷刀。")</f>
        <v>一个男人和女人投掷刀。</v>
      </c>
    </row>
    <row r="30062">
      <c r="A30062" s="4" t="s">
        <v>37847</v>
      </c>
      <c r="B30062" s="4" t="s">
        <v>37855</v>
      </c>
      <c r="C30062" s="5" t="str">
        <f>IFERROR(__xludf.DUMMYFUNCTION("GOOGLETRANSLATE(B30062,""en"",""zh-CN"")"),"人躺下时扔刀。")</f>
        <v>人躺下时扔刀。</v>
      </c>
    </row>
    <row r="30063">
      <c r="A30063" s="4" t="s">
        <v>37847</v>
      </c>
      <c r="B30063" s="4" t="s">
        <v>37856</v>
      </c>
      <c r="C30063" s="5" t="str">
        <f>IFERROR(__xludf.DUMMYFUNCTION("GOOGLETRANSLATE(B30063,""en"",""zh-CN"")"),"人向学生展示技术。")</f>
        <v>人向学生展示技术。</v>
      </c>
    </row>
    <row r="30064">
      <c r="A30064" s="4" t="s">
        <v>37847</v>
      </c>
      <c r="B30064" s="4" t="s">
        <v>37857</v>
      </c>
      <c r="C30064" s="5" t="str">
        <f>IFERROR(__xludf.DUMMYFUNCTION("GOOGLETRANSLATE(B30064,""en"",""zh-CN"")"),"Dojo成员练习技术。")</f>
        <v>Dojo成员练习技术。</v>
      </c>
    </row>
    <row r="30065">
      <c r="A30065" s="4" t="s">
        <v>37847</v>
      </c>
      <c r="B30065" s="4" t="s">
        <v>37858</v>
      </c>
      <c r="C30065" s="5" t="str">
        <f>IFERROR(__xludf.DUMMYFUNCTION("GOOGLETRANSLATE(B30065,""en"",""zh-CN"")"),"道场成员向男人鞠躬。")</f>
        <v>道场成员向男人鞠躬。</v>
      </c>
    </row>
    <row r="30066">
      <c r="A30066" s="4" t="s">
        <v>37859</v>
      </c>
      <c r="B30066" s="4" t="s">
        <v>37860</v>
      </c>
      <c r="C30066" s="5" t="str">
        <f>IFERROR(__xludf.DUMMYFUNCTION("GOOGLETRANSLATE(B30066,""en"",""zh-CN"")"),"一个孩子通过跳闸模式走路。")</f>
        <v>一个孩子通过跳闸模式走路。</v>
      </c>
    </row>
    <row r="30067">
      <c r="A30067" s="4" t="s">
        <v>37859</v>
      </c>
      <c r="B30067" s="4" t="s">
        <v>37861</v>
      </c>
      <c r="C30067" s="5" t="str">
        <f>IFERROR(__xludf.DUMMYFUNCTION("GOOGLETRANSLATE(B30067,""en"",""zh-CN"")"),"孩子将她的手掌放在跳雪花上。")</f>
        <v>孩子将她的手掌放在跳雪花上。</v>
      </c>
    </row>
    <row r="30068">
      <c r="A30068" s="4" t="s">
        <v>37859</v>
      </c>
      <c r="B30068" s="4" t="s">
        <v>37862</v>
      </c>
      <c r="C30068" s="5" t="str">
        <f>IFERROR(__xludf.DUMMYFUNCTION("GOOGLETRANSLATE(B30068,""en"",""zh-CN"")"),"孩子在霍普奇图案上跳跃。")</f>
        <v>孩子在霍普奇图案上跳跃。</v>
      </c>
    </row>
    <row r="30069">
      <c r="A30069" s="4" t="s">
        <v>37863</v>
      </c>
      <c r="B30069" s="4" t="s">
        <v>37864</v>
      </c>
      <c r="C30069" s="5" t="str">
        <f>IFERROR(__xludf.DUMMYFUNCTION("GOOGLETRANSLATE(B30069,""en"",""zh-CN"")"),"一个年轻女子站在柜台后面，上面有黑煎锅。")</f>
        <v>一个年轻女子站在柜台后面，上面有黑煎锅。</v>
      </c>
    </row>
    <row r="30070">
      <c r="A30070" s="4" t="s">
        <v>37863</v>
      </c>
      <c r="B30070" s="6" t="s">
        <v>37865</v>
      </c>
      <c r="C30070" s="5" t="str">
        <f>IFERROR(__xludf.DUMMYFUNCTION("GOOGLETRANSLATE(B30070,""en"",""zh-CN"")"),"在她的手中，她拿着两只洋葱，然后录像带迅速向她展示了番茄，鲁塔巴加和一袋大教堂的成熟切达干酪。")</f>
        <v>在她的手中，她拿着两只洋葱，然后录像带迅速向她展示了番茄，鲁塔巴加和一袋大教堂的成熟切达干酪。</v>
      </c>
    </row>
    <row r="30071">
      <c r="A30071" s="4" t="s">
        <v>37863</v>
      </c>
      <c r="B30071" s="4" t="s">
        <v>37866</v>
      </c>
      <c r="C30071" s="5" t="str">
        <f>IFERROR(__xludf.DUMMYFUNCTION("GOOGLETRANSLATE(B30071,""en"",""zh-CN"")"),"接下来，她开始切割每种成分，并将黄油添加到煎锅中。")</f>
        <v>接下来，她开始切割每种成分，并将黄油添加到煎锅中。</v>
      </c>
    </row>
    <row r="30072">
      <c r="A30072" s="4" t="s">
        <v>37863</v>
      </c>
      <c r="B30072" s="4" t="s">
        <v>37867</v>
      </c>
      <c r="C30072" s="5" t="str">
        <f>IFERROR(__xludf.DUMMYFUNCTION("GOOGLETRANSLATE(B30072,""en"",""zh-CN"")"),"油炸五分钟后，蘑菇在锅中散开，三个鸡蛋破裂。")</f>
        <v>油炸五分钟后，蘑菇在锅中散开，三个鸡蛋破裂。</v>
      </c>
    </row>
    <row r="30073">
      <c r="A30073" s="4" t="s">
        <v>37863</v>
      </c>
      <c r="B30073" s="6" t="s">
        <v>37868</v>
      </c>
      <c r="C30073" s="5" t="str">
        <f>IFERROR(__xludf.DUMMYFUNCTION("GOOGLETRANSLATE(B30073,""en"",""zh-CN"")"),"其余内容物被添加到量杯中，然后最终将所有内容物倒入煎锅中。")</f>
        <v>其余内容物被添加到量杯中，然后最终将所有内容物倒入煎锅中。</v>
      </c>
    </row>
    <row r="30074">
      <c r="A30074" s="4" t="s">
        <v>37863</v>
      </c>
      <c r="B30074" s="4" t="s">
        <v>37869</v>
      </c>
      <c r="C30074" s="5" t="str">
        <f>IFERROR(__xludf.DUMMYFUNCTION("GOOGLETRANSLATE(B30074,""en"",""zh-CN"")"),"一段时间后，制成了一个煎蛋，并将其与两片吐司一起放在盘子上。")</f>
        <v>一段时间后，制成了一个煎蛋，并将其与两片吐司一起放在盘子上。</v>
      </c>
    </row>
    <row r="30075">
      <c r="A30075" s="4" t="s">
        <v>37870</v>
      </c>
      <c r="B30075" s="4" t="s">
        <v>37871</v>
      </c>
      <c r="C30075" s="5" t="str">
        <f>IFERROR(__xludf.DUMMYFUNCTION("GOOGLETRANSLATE(B30075,""en"",""zh-CN"")"),"摄像头从标牌上晃动，并导致人们在地板上推动材料。")</f>
        <v>摄像头从标牌上晃动，并导致人们在地板上推动材料。</v>
      </c>
    </row>
    <row r="30076">
      <c r="A30076" s="4" t="s">
        <v>37870</v>
      </c>
      <c r="B30076" s="4" t="s">
        <v>37872</v>
      </c>
      <c r="C30076" s="5" t="str">
        <f>IFERROR(__xludf.DUMMYFUNCTION("GOOGLETRANSLATE(B30076,""en"",""zh-CN"")"),"弯曲在地板周围弯曲，将材料推在房间周围。")</f>
        <v>弯曲在地板周围弯曲，将材料推在房间周围。</v>
      </c>
    </row>
    <row r="30077">
      <c r="A30077" s="4" t="s">
        <v>37870</v>
      </c>
      <c r="B30077" s="4" t="s">
        <v>37873</v>
      </c>
      <c r="C30077" s="5" t="str">
        <f>IFERROR(__xludf.DUMMYFUNCTION("GOOGLETRANSLATE(B30077,""en"",""zh-CN"")"),"最后，相机在成品地板周围。")</f>
        <v>最后，相机在成品地板周围。</v>
      </c>
    </row>
    <row r="30078">
      <c r="A30078" s="4" t="s">
        <v>37874</v>
      </c>
      <c r="B30078" s="4" t="s">
        <v>37875</v>
      </c>
      <c r="C30078" s="5" t="str">
        <f>IFERROR(__xludf.DUMMYFUNCTION("GOOGLETRANSLATE(B30078,""en"",""zh-CN"")"),"美国队妇女参加了奥运会。")</f>
        <v>美国队妇女参加了奥运会。</v>
      </c>
    </row>
    <row r="30079">
      <c r="A30079" s="4" t="s">
        <v>37874</v>
      </c>
      <c r="B30079" s="4" t="s">
        <v>37876</v>
      </c>
      <c r="C30079" s="5" t="str">
        <f>IFERROR(__xludf.DUMMYFUNCTION("GOOGLETRANSLATE(B30079,""en"",""zh-CN"")"),"Tracy，Natalie，Nicole，Allison和Debbie在多个场景中拍摄。")</f>
        <v>Tracy，Natalie，Nicole，Allison和Debbie在多个场景中拍摄。</v>
      </c>
    </row>
    <row r="30080">
      <c r="A30080" s="4" t="s">
        <v>37874</v>
      </c>
      <c r="B30080" s="4" t="s">
        <v>37877</v>
      </c>
      <c r="C30080" s="5" t="str">
        <f>IFERROR(__xludf.DUMMYFUNCTION("GOOGLETRANSLATE(B30080,""en"",""zh-CN"")"),"作为美国队的得分，队友拥抱。")</f>
        <v>作为美国队的得分，队友拥抱。</v>
      </c>
    </row>
    <row r="30081">
      <c r="A30081" s="4" t="s">
        <v>37878</v>
      </c>
      <c r="B30081" s="4" t="s">
        <v>37879</v>
      </c>
      <c r="C30081" s="5" t="str">
        <f>IFERROR(__xludf.DUMMYFUNCTION("GOOGLETRANSLATE(B30081,""en"",""zh-CN"")"),"人们在沙漠中骑骆驼。")</f>
        <v>人们在沙漠中骑骆驼。</v>
      </c>
    </row>
    <row r="30082">
      <c r="A30082" s="4" t="s">
        <v>37878</v>
      </c>
      <c r="B30082" s="4" t="s">
        <v>37880</v>
      </c>
      <c r="C30082" s="5" t="str">
        <f>IFERROR(__xludf.DUMMYFUNCTION("GOOGLETRANSLATE(B30082,""en"",""zh-CN"")"),"人们在骆驼旁边行走。")</f>
        <v>人们在骆驼旁边行走。</v>
      </c>
    </row>
    <row r="30083">
      <c r="A30083" s="4" t="s">
        <v>37878</v>
      </c>
      <c r="B30083" s="4" t="s">
        <v>37881</v>
      </c>
      <c r="C30083" s="5" t="str">
        <f>IFERROR(__xludf.DUMMYFUNCTION("GOOGLETRANSLATE(B30083,""en"",""zh-CN"")"),"一位女士低头看着她的骆驼一侧。")</f>
        <v>一位女士低头看着她的骆驼一侧。</v>
      </c>
    </row>
    <row r="30084">
      <c r="A30084" s="4" t="s">
        <v>37882</v>
      </c>
      <c r="B30084" s="4" t="s">
        <v>37883</v>
      </c>
      <c r="C30084" s="5" t="str">
        <f>IFERROR(__xludf.DUMMYFUNCTION("GOOGLETRANSLATE(B30084,""en"",""zh-CN"")"),"一大群人坐在剧院拍手和观看中。")</f>
        <v>一大群人坐在剧院拍手和观看中。</v>
      </c>
    </row>
    <row r="30085">
      <c r="A30085" s="4" t="s">
        <v>37882</v>
      </c>
      <c r="B30085" s="4" t="s">
        <v>37884</v>
      </c>
      <c r="C30085" s="5" t="str">
        <f>IFERROR(__xludf.DUMMYFUNCTION("GOOGLETRANSLATE(B30085,""en"",""zh-CN"")"),"在舞台舞蹈中看到了两个女人。")</f>
        <v>在舞台舞蹈中看到了两个女人。</v>
      </c>
    </row>
    <row r="30086">
      <c r="A30086" s="4" t="s">
        <v>37882</v>
      </c>
      <c r="B30086" s="4" t="s">
        <v>37885</v>
      </c>
      <c r="C30086" s="5" t="str">
        <f>IFERROR(__xludf.DUMMYFUNCTION("GOOGLETRANSLATE(B30086,""en"",""zh-CN"")"),"其中一位女性展示了她的才华在她身体的不同部位上平衡剑。")</f>
        <v>其中一位女性展示了她的才华在她身体的不同部位上平衡剑。</v>
      </c>
    </row>
    <row r="30087">
      <c r="A30087" s="4" t="s">
        <v>37886</v>
      </c>
      <c r="B30087" s="4" t="s">
        <v>37887</v>
      </c>
      <c r="C30087" s="5" t="str">
        <f>IFERROR(__xludf.DUMMYFUNCTION("GOOGLETRANSLATE(B30087,""en"",""zh-CN"")"),"向海滩展示了几枪，并在比基尼穿着射击比赛的比基尼射向女性。")</f>
        <v>向海滩展示了几枪，并在比基尼穿着射击比赛的比基尼射向女性。</v>
      </c>
    </row>
    <row r="30088">
      <c r="A30088" s="4" t="s">
        <v>37886</v>
      </c>
      <c r="B30088" s="4" t="s">
        <v>37888</v>
      </c>
      <c r="C30088" s="5" t="str">
        <f>IFERROR(__xludf.DUMMYFUNCTION("GOOGLETRANSLATE(B30088,""en"",""zh-CN"")"),"女孩们继续踢球，然后坐在侧面，触摸彼此的腿。")</f>
        <v>女孩们继续踢球，然后坐在侧面，触摸彼此的腿。</v>
      </c>
    </row>
    <row r="30089">
      <c r="A30089" s="4" t="s">
        <v>37886</v>
      </c>
      <c r="B30089" s="6" t="s">
        <v>37889</v>
      </c>
      <c r="C30089" s="5" t="str">
        <f>IFERROR(__xludf.DUMMYFUNCTION("GOOGLETRANSLATE(B30089,""en"",""zh-CN"")"),"然后，他们将乳液放在整个腿上，开始剃光双腿，最后将球笑起来。")</f>
        <v>然后，他们将乳液放在整个腿上，开始剃光双腿，最后将球笑起来。</v>
      </c>
    </row>
    <row r="30090">
      <c r="A30090" s="4" t="s">
        <v>37890</v>
      </c>
      <c r="B30090" s="4" t="s">
        <v>37891</v>
      </c>
      <c r="C30090" s="5" t="str">
        <f>IFERROR(__xludf.DUMMYFUNCTION("GOOGLETRANSLATE(B30090,""en"",""zh-CN"")"),"一个男人走进高跷进入公园。")</f>
        <v>一个男人走进高跷进入公园。</v>
      </c>
    </row>
    <row r="30091">
      <c r="A30091" s="4" t="s">
        <v>37890</v>
      </c>
      <c r="B30091" s="4" t="s">
        <v>37892</v>
      </c>
      <c r="C30091" s="5" t="str">
        <f>IFERROR(__xludf.DUMMYFUNCTION("GOOGLETRANSLATE(B30091,""en"",""zh-CN"")"),"转向他的右边，走路经过一排板凳。")</f>
        <v>转向他的右边，走路经过一排板凳。</v>
      </c>
    </row>
    <row r="30092">
      <c r="A30092" s="4" t="s">
        <v>37890</v>
      </c>
      <c r="B30092" s="4" t="s">
        <v>37893</v>
      </c>
      <c r="C30092" s="5" t="str">
        <f>IFERROR(__xludf.DUMMYFUNCTION("GOOGLETRANSLATE(B30092,""en"",""zh-CN"")"),"该男子加快了速度，然后返回他的最初速度。")</f>
        <v>该男子加快了速度，然后返回他的最初速度。</v>
      </c>
    </row>
    <row r="30093">
      <c r="A30093" s="4" t="s">
        <v>37890</v>
      </c>
      <c r="B30093" s="4" t="s">
        <v>37894</v>
      </c>
      <c r="C30093" s="5" t="str">
        <f>IFERROR(__xludf.DUMMYFUNCTION("GOOGLETRANSLATE(B30093,""en"",""zh-CN"")"),"该男子到达公园的标志，停下来。")</f>
        <v>该男子到达公园的标志，停下来。</v>
      </c>
    </row>
    <row r="30094">
      <c r="A30094" s="4" t="s">
        <v>37895</v>
      </c>
      <c r="B30094" s="6" t="s">
        <v>37896</v>
      </c>
      <c r="C30094" s="5" t="str">
        <f>IFERROR(__xludf.DUMMYFUNCTION("GOOGLETRANSLATE(B30094,""en"",""zh-CN"")"),"一个穿着浓密胡须的男人穿着冬季服装，坐在一个白色的水桶上，当他从蓝罐中喝啤酒并说话时，倒在冷冻的水上。")</f>
        <v>一个穿着浓密胡须的男人穿着冬季服装，坐在一个白色的水桶上，当他从蓝罐中喝啤酒并说话时，倒在冷冻的水上。</v>
      </c>
    </row>
    <row r="30095">
      <c r="A30095" s="4" t="s">
        <v>37895</v>
      </c>
      <c r="B30095" s="6" t="s">
        <v>37897</v>
      </c>
      <c r="C30095" s="5" t="str">
        <f>IFERROR(__xludf.DUMMYFUNCTION("GOOGLETRANSLATE(B30095,""en"",""zh-CN"")"),"然后，该名男子捡起钓鱼杆，拉着在他面前钓鱼孔中的钓鱼线，将电线抬起，然后在他仍在说话时将其放回洞中。")</f>
        <v>然后，该名男子捡起钓鱼杆，拉着在他面前钓鱼孔中的钓鱼线，将电线抬起，然后在他仍在说话时将其放回洞中。</v>
      </c>
    </row>
    <row r="30096">
      <c r="A30096" s="4" t="s">
        <v>37895</v>
      </c>
      <c r="B30096" s="6" t="s">
        <v>37898</v>
      </c>
      <c r="C30096" s="5" t="str">
        <f>IFERROR(__xludf.DUMMYFUNCTION("GOOGLETRANSLATE(B30096,""en"",""zh-CN"")"),"然后，该男子从桶中下车，而在他的两把膝盖上，他将手指放在钓鱼孔中并继续说话。")</f>
        <v>然后，该男子从桶中下车，而在他的两把膝盖上，他将手指放在钓鱼孔中并继续说话。</v>
      </c>
    </row>
    <row r="30097">
      <c r="A30097" s="4" t="s">
        <v>37899</v>
      </c>
      <c r="B30097" s="4" t="s">
        <v>37900</v>
      </c>
      <c r="C30097" s="5" t="str">
        <f>IFERROR(__xludf.DUMMYFUNCTION("GOOGLETRANSLATE(B30097,""en"",""zh-CN"")"),"看到一个男人坐在一个繁忙的城市广场上播放手风琴，而其他人则看着手风琴。")</f>
        <v>看到一个男人坐在一个繁忙的城市广场上播放手风琴，而其他人则看着手风琴。</v>
      </c>
    </row>
    <row r="30098">
      <c r="A30098" s="4" t="s">
        <v>37899</v>
      </c>
      <c r="B30098" s="4" t="s">
        <v>37901</v>
      </c>
      <c r="C30098" s="5" t="str">
        <f>IFERROR(__xludf.DUMMYFUNCTION("GOOGLETRANSLATE(B30098,""en"",""zh-CN"")"),"当人们走来走去并注意到时，该男子继续玩耍。")</f>
        <v>当人们走来走去并注意到时，该男子继续玩耍。</v>
      </c>
    </row>
    <row r="30099">
      <c r="A30099" s="4" t="s">
        <v>37902</v>
      </c>
      <c r="B30099" s="4" t="s">
        <v>37903</v>
      </c>
      <c r="C30099" s="5" t="str">
        <f>IFERROR(__xludf.DUMMYFUNCTION("GOOGLETRANSLATE(B30099,""en"",""zh-CN"")"),"一个男人在镜子前。")</f>
        <v>一个男人在镜子前。</v>
      </c>
    </row>
    <row r="30100">
      <c r="A30100" s="4" t="s">
        <v>37902</v>
      </c>
      <c r="B30100" s="4" t="s">
        <v>37904</v>
      </c>
      <c r="C30100" s="5" t="str">
        <f>IFERROR(__xludf.DUMMYFUNCTION("GOOGLETRANSLATE(B30100,""en"",""zh-CN"")"),"他用白色液体物质遮住脸。")</f>
        <v>他用白色液体物质遮住脸。</v>
      </c>
    </row>
    <row r="30101">
      <c r="A30101" s="4" t="s">
        <v>37902</v>
      </c>
      <c r="B30101" s="4" t="s">
        <v>37905</v>
      </c>
      <c r="C30101" s="5" t="str">
        <f>IFERROR(__xludf.DUMMYFUNCTION("GOOGLETRANSLATE(B30101,""en"",""zh-CN"")"),"然后，他消失了一段时间，并以湿但干净的脸回来。")</f>
        <v>然后，他消失了一段时间，并以湿但干净的脸回来。</v>
      </c>
    </row>
    <row r="30102">
      <c r="A30102" s="4" t="s">
        <v>37906</v>
      </c>
      <c r="B30102" s="4" t="s">
        <v>16436</v>
      </c>
      <c r="C30102" s="5" t="str">
        <f>IFERROR(__xludf.DUMMYFUNCTION("GOOGLETRANSLATE(B30102,""en"",""zh-CN"")"),"一个女人跪在蓝色垫子上。")</f>
        <v>一个女人跪在蓝色垫子上。</v>
      </c>
    </row>
    <row r="30103">
      <c r="A30103" s="4" t="s">
        <v>37906</v>
      </c>
      <c r="B30103" s="4" t="s">
        <v>37907</v>
      </c>
      <c r="C30103" s="5" t="str">
        <f>IFERROR(__xludf.DUMMYFUNCTION("GOOGLETRANSLATE(B30103,""en"",""zh-CN"")"),"她抓住了一段时间的酒吧，将其握在她旁边。")</f>
        <v>她抓住了一段时间的酒吧，将其握在她旁边。</v>
      </c>
    </row>
    <row r="30104">
      <c r="A30104" s="4" t="s">
        <v>37906</v>
      </c>
      <c r="B30104" s="4" t="s">
        <v>37908</v>
      </c>
      <c r="C30104" s="5" t="str">
        <f>IFERROR(__xludf.DUMMYFUNCTION("GOOGLETRANSLATE(B30104,""en"",""zh-CN"")"),"她放下酒吧，拿起水壶铃。")</f>
        <v>她放下酒吧，拿起水壶铃。</v>
      </c>
    </row>
    <row r="30105">
      <c r="A30105" s="4" t="s">
        <v>37906</v>
      </c>
      <c r="B30105" s="4" t="s">
        <v>37909</v>
      </c>
      <c r="C30105" s="5" t="str">
        <f>IFERROR(__xludf.DUMMYFUNCTION("GOOGLETRANSLATE(B30105,""en"",""zh-CN"")"),"她抬起水壶铃，将其放回原处。")</f>
        <v>她抬起水壶铃，将其放回原处。</v>
      </c>
    </row>
    <row r="30106">
      <c r="A30106" s="4" t="s">
        <v>37906</v>
      </c>
      <c r="B30106" s="4" t="s">
        <v>37910</v>
      </c>
      <c r="C30106" s="5" t="str">
        <f>IFERROR(__xludf.DUMMYFUNCTION("GOOGLETRANSLATE(B30106,""en"",""zh-CN"")"),"然后，她将其捡起来，并在她面前将其上下抬起几次。")</f>
        <v>然后，她将其捡起来，并在她面前将其上下抬起几次。</v>
      </c>
    </row>
    <row r="30107">
      <c r="A30107" s="4" t="s">
        <v>37911</v>
      </c>
      <c r="B30107" s="4" t="s">
        <v>37912</v>
      </c>
      <c r="C30107" s="5" t="str">
        <f>IFERROR(__xludf.DUMMYFUNCTION("GOOGLETRANSLATE(B30107,""en"",""zh-CN"")"),"一个女人向相机介绍自己，并开始谈论视频的主题。")</f>
        <v>一个女人向相机介绍自己，并开始谈论视频的主题。</v>
      </c>
    </row>
    <row r="30108">
      <c r="A30108" s="4" t="s">
        <v>37911</v>
      </c>
      <c r="B30108" s="4" t="s">
        <v>37913</v>
      </c>
      <c r="C30108" s="5" t="str">
        <f>IFERROR(__xludf.DUMMYFUNCTION("GOOGLETRANSLATE(B30108,""en"",""zh-CN"")"),"相机显示烹饪意大利面的成分。")</f>
        <v>相机显示烹饪意大利面的成分。</v>
      </c>
    </row>
    <row r="30109">
      <c r="A30109" s="4" t="s">
        <v>37911</v>
      </c>
      <c r="B30109" s="4" t="s">
        <v>37914</v>
      </c>
      <c r="C30109" s="5" t="str">
        <f>IFERROR(__xludf.DUMMYFUNCTION("GOOGLETRANSLATE(B30109,""en"",""zh-CN"")"),"女人将盐倒在一锅水中，然后打开燃烧器。")</f>
        <v>女人将盐倒在一锅水中，然后打开燃烧器。</v>
      </c>
    </row>
    <row r="30110">
      <c r="A30110" s="4" t="s">
        <v>37911</v>
      </c>
      <c r="B30110" s="4" t="s">
        <v>37915</v>
      </c>
      <c r="C30110" s="5" t="str">
        <f>IFERROR(__xludf.DUMMYFUNCTION("GOOGLETRANSLATE(B30110,""en"",""zh-CN"")"),"煮沸后，她在锅中添加了意大利面。")</f>
        <v>煮沸后，她在锅中添加了意大利面。</v>
      </c>
    </row>
    <row r="30111">
      <c r="A30111" s="4" t="s">
        <v>37911</v>
      </c>
      <c r="B30111" s="4" t="s">
        <v>37916</v>
      </c>
      <c r="C30111" s="5" t="str">
        <f>IFERROR(__xludf.DUMMYFUNCTION("GOOGLETRANSLATE(B30111,""en"",""zh-CN"")"),"她搅拌面食，然后在面食是Al Dente后将锅清空的锅。")</f>
        <v>她搅拌面食，然后在面食是Al Dente后将锅清空的锅。</v>
      </c>
    </row>
    <row r="30112">
      <c r="A30112" s="4" t="s">
        <v>37911</v>
      </c>
      <c r="B30112" s="4" t="s">
        <v>37917</v>
      </c>
      <c r="C30112" s="5" t="str">
        <f>IFERROR(__xludf.DUMMYFUNCTION("GOOGLETRANSLATE(B30112,""en"",""zh-CN"")"),"她将面食返回锅中，并添加橄榄油。")</f>
        <v>她将面食返回锅中，并添加橄榄油。</v>
      </c>
    </row>
    <row r="30113">
      <c r="A30113" s="4" t="s">
        <v>37918</v>
      </c>
      <c r="B30113" s="6" t="s">
        <v>37919</v>
      </c>
      <c r="C30113" s="5" t="str">
        <f>IFERROR(__xludf.DUMMYFUNCTION("GOOGLETRANSLATE(B30113,""en"",""zh-CN"")"),"在现场新闻广播中，一位女性和男性体育新闻记者在新闻广播桌子的后面报道了一个关于躲避球在学校中的危险的故事，以及当击中一个或一个人时，道奇球是否遭受了足球的伤害其他。")</f>
        <v>在现场新闻广播中，一位女性和男性体育新闻记者在新闻广播桌子的后面报道了一个关于躲避球在学校中的危险的故事，以及当击中一个或一个人时，道奇球是否遭受了足球的伤害其他。</v>
      </c>
    </row>
    <row r="30114">
      <c r="A30114" s="4" t="s">
        <v>37918</v>
      </c>
      <c r="B30114" s="4" t="s">
        <v>37920</v>
      </c>
      <c r="C30114" s="5" t="str">
        <f>IFERROR(__xludf.DUMMYFUNCTION("GOOGLETRANSLATE(B30114,""en"",""zh-CN"")"),"两名新闻记者从新闻广播桌后面互相交谈。")</f>
        <v>两名新闻记者从新闻广播桌后面互相交谈。</v>
      </c>
    </row>
    <row r="30115">
      <c r="A30115" s="4" t="s">
        <v>37918</v>
      </c>
      <c r="B30115" s="6" t="s">
        <v>37921</v>
      </c>
      <c r="C30115" s="5" t="str">
        <f>IFERROR(__xludf.DUMMYFUNCTION("GOOGLETRANSLATE(B30115,""en"",""zh-CN"")"),"剪辑切换以显示一系列不同儿童在体育馆玩躲避球并被躲避球击中的视频片段。")</f>
        <v>剪辑切换以显示一系列不同儿童在体育馆玩躲避球并被躲避球击中的视频片段。</v>
      </c>
    </row>
    <row r="30116">
      <c r="A30116" s="4" t="s">
        <v>37918</v>
      </c>
      <c r="B30116" s="6" t="s">
        <v>37922</v>
      </c>
      <c r="C30116" s="5" t="str">
        <f>IFERROR(__xludf.DUMMYFUNCTION("GOOGLETRANSLATE(B30116,""en"",""zh-CN"")"),"然后，女记者将一群男人带到一个封闭的，铺好的区域，户外，然后向他们扔躲避球和足球，这时几名男子表现出他们被两个球击中和伤害。")</f>
        <v>然后，女记者将一群男人带到一个封闭的，铺好的区域，户外，然后向他们扔躲避球和足球，这时几名男子表现出他们被两个球击中和伤害。</v>
      </c>
    </row>
    <row r="30117">
      <c r="A30117" s="4" t="s">
        <v>37923</v>
      </c>
      <c r="B30117" s="6" t="s">
        <v>37924</v>
      </c>
      <c r="C30117" s="5" t="str">
        <f>IFERROR(__xludf.DUMMYFUNCTION("GOOGLETRANSLATE(B30117,""en"",""zh-CN"")"),"看到一大批妇女站在舞台上打鼓，而另一组男人则在她们身后玩耍。")</f>
        <v>看到一大批妇女站在舞台上打鼓，而另一组男人则在她们身后玩耍。</v>
      </c>
    </row>
    <row r="30118">
      <c r="A30118" s="4" t="s">
        <v>37923</v>
      </c>
      <c r="B30118" s="6" t="s">
        <v>37925</v>
      </c>
      <c r="C30118" s="5" t="str">
        <f>IFERROR(__xludf.DUMMYFUNCTION("GOOGLETRANSLATE(B30118,""en"",""zh-CN"")"),"该小组不断在大批人群面前玩耍，并以屏幕滚动的积分滚动。")</f>
        <v>该小组不断在大批人群面前玩耍，并以屏幕滚动的积分滚动。</v>
      </c>
    </row>
    <row r="30119">
      <c r="A30119" s="4" t="s">
        <v>37926</v>
      </c>
      <c r="B30119" s="4" t="s">
        <v>37927</v>
      </c>
      <c r="C30119" s="5" t="str">
        <f>IFERROR(__xludf.DUMMYFUNCTION("GOOGLETRANSLATE(B30119,""en"",""zh-CN"")"),"在黑色椭圆机上显示一个年轻女子。")</f>
        <v>在黑色椭圆机上显示一个年轻女子。</v>
      </c>
    </row>
    <row r="30120">
      <c r="A30120" s="4" t="s">
        <v>37926</v>
      </c>
      <c r="B30120" s="4" t="s">
        <v>37928</v>
      </c>
      <c r="C30120" s="5" t="str">
        <f>IFERROR(__xludf.DUMMYFUNCTION("GOOGLETRANSLATE(B30120,""en"",""zh-CN"")"),"她继续锻炼，并显示了机器的特写。")</f>
        <v>她继续锻炼，并显示了机器的特写。</v>
      </c>
    </row>
    <row r="30121">
      <c r="A30121" s="4" t="s">
        <v>37926</v>
      </c>
      <c r="B30121" s="6" t="s">
        <v>37929</v>
      </c>
      <c r="C30121" s="5" t="str">
        <f>IFERROR(__xludf.DUMMYFUNCTION("GOOGLETRANSLATE(B30121,""en"",""zh-CN"")"),"最后，当她完成轻快的锻炼时，她喝了一口水，然后黄金体育馆出现在屏幕中间。")</f>
        <v>最后，当她完成轻快的锻炼时，她喝了一口水，然后黄金体育馆出现在屏幕中间。</v>
      </c>
    </row>
    <row r="30122">
      <c r="A30122" s="4" t="s">
        <v>37930</v>
      </c>
      <c r="B30122" s="4" t="s">
        <v>37931</v>
      </c>
      <c r="C30122" s="5" t="str">
        <f>IFERROR(__xludf.DUMMYFUNCTION("GOOGLETRANSLATE(B30122,""en"",""zh-CN"")"),"看到一个男人在相机上说话，并用剃须奶油通向他。")</f>
        <v>看到一个男人在相机上说话，并用剃须奶油通向他。</v>
      </c>
    </row>
    <row r="30123">
      <c r="A30123" s="4" t="s">
        <v>37930</v>
      </c>
      <c r="B30123" s="4" t="s">
        <v>37932</v>
      </c>
      <c r="C30123" s="5" t="str">
        <f>IFERROR(__xludf.DUMMYFUNCTION("GOOGLETRANSLATE(B30123,""en"",""zh-CN"")"),"然后，他举起剃须刀，开始剃光脸，同时显示了电影的旧镜头。")</f>
        <v>然后，他举起剃须刀，开始剃光脸，同时显示了电影的旧镜头。</v>
      </c>
    </row>
    <row r="30124">
      <c r="A30124" s="4" t="s">
        <v>37930</v>
      </c>
      <c r="B30124" s="4" t="s">
        <v>37933</v>
      </c>
      <c r="C30124" s="5" t="str">
        <f>IFERROR(__xludf.DUMMYFUNCTION("GOOGLETRANSLATE(B30124,""en"",""zh-CN"")"),"这些人继续剃须，最后以文字在屏幕上。")</f>
        <v>这些人继续剃须，最后以文字在屏幕上。</v>
      </c>
    </row>
    <row r="30125">
      <c r="A30125" s="4" t="s">
        <v>37934</v>
      </c>
      <c r="B30125" s="6" t="s">
        <v>37935</v>
      </c>
      <c r="C30125" s="5" t="str">
        <f>IFERROR(__xludf.DUMMYFUNCTION("GOOGLETRANSLATE(B30125,""en"",""zh-CN"")"),"一名坐在医院室里的医院椅子上的病人可以由穿着绿色上衣的美甲师完成指甲。")</f>
        <v>一名坐在医院室里的医院椅子上的病人可以由穿着绿色上衣的美甲师完成指甲。</v>
      </c>
    </row>
    <row r="30126">
      <c r="A30126" s="4" t="s">
        <v>37934</v>
      </c>
      <c r="B30126" s="4" t="s">
        <v>37936</v>
      </c>
      <c r="C30126" s="5" t="str">
        <f>IFERROR(__xludf.DUMMYFUNCTION("GOOGLETRANSLATE(B30126,""en"",""zh-CN"")"),"病人正在听音乐，因为她正在将脚移到某些音乐的节奏。")</f>
        <v>病人正在听音乐，因为她正在将脚移到某些音乐的节奏。</v>
      </c>
    </row>
    <row r="30127">
      <c r="A30127" s="4" t="s">
        <v>37937</v>
      </c>
      <c r="B30127" s="4" t="s">
        <v>37938</v>
      </c>
      <c r="C30127" s="5" t="str">
        <f>IFERROR(__xludf.DUMMYFUNCTION("GOOGLETRANSLATE(B30127,""en"",""zh-CN"")"),"我们看到了一场桌上足球比赛的游戏。")</f>
        <v>我们看到了一场桌上足球比赛的游戏。</v>
      </c>
    </row>
    <row r="30128">
      <c r="A30128" s="4" t="s">
        <v>37937</v>
      </c>
      <c r="B30128" s="4" t="s">
        <v>37939</v>
      </c>
      <c r="C30128" s="5" t="str">
        <f>IFERROR(__xludf.DUMMYFUNCTION("GOOGLETRANSLATE(B30128,""en"",""zh-CN"")"),"我们振作起来，看看球员。")</f>
        <v>我们振作起来，看看球员。</v>
      </c>
    </row>
    <row r="30129">
      <c r="A30129" s="4" t="s">
        <v>37937</v>
      </c>
      <c r="B30129" s="4" t="s">
        <v>37940</v>
      </c>
      <c r="C30129" s="5" t="str">
        <f>IFERROR(__xludf.DUMMYFUNCTION("GOOGLETRANSLATE(B30129,""en"",""zh-CN"")"),"我们看到左边的球员。")</f>
        <v>我们看到左边的球员。</v>
      </c>
    </row>
    <row r="30130">
      <c r="A30130" s="4" t="s">
        <v>37937</v>
      </c>
      <c r="B30130" s="4" t="s">
        <v>37941</v>
      </c>
      <c r="C30130" s="5" t="str">
        <f>IFERROR(__xludf.DUMMYFUNCTION("GOOGLETRANSLATE(B30130,""en"",""zh-CN"")"),"一个人从正确的酒吧旋转第二次。")</f>
        <v>一个人从正确的酒吧旋转第二次。</v>
      </c>
    </row>
    <row r="30131">
      <c r="A30131" s="4" t="s">
        <v>37942</v>
      </c>
      <c r="B30131" s="4" t="s">
        <v>37943</v>
      </c>
      <c r="C30131" s="5" t="str">
        <f>IFERROR(__xludf.DUMMYFUNCTION("GOOGLETRANSLATE(B30131,""en"",""zh-CN"")"),"快速动作视频显示，一个小男孩开始爬过一套猴子酒吧。")</f>
        <v>快速动作视频显示，一个小男孩开始爬过一套猴子酒吧。</v>
      </c>
    </row>
    <row r="30132">
      <c r="A30132" s="4" t="s">
        <v>37942</v>
      </c>
      <c r="B30132" s="4" t="s">
        <v>37944</v>
      </c>
      <c r="C30132" s="5" t="str">
        <f>IFERROR(__xludf.DUMMYFUNCTION("GOOGLETRANSLATE(B30132,""en"",""zh-CN"")"),"这个男孩穿过并跳下来，而另一个人则在他身后尝试。")</f>
        <v>这个男孩穿过并跳下来，而另一个人则在他身后尝试。</v>
      </c>
    </row>
    <row r="30133">
      <c r="A30133" s="4" t="s">
        <v>37945</v>
      </c>
      <c r="B30133" s="6" t="s">
        <v>37946</v>
      </c>
      <c r="C30133" s="5" t="str">
        <f>IFERROR(__xludf.DUMMYFUNCTION("GOOGLETRANSLATE(B30133,""en"",""zh-CN"")"),"一个中年男子在人行道上铲雪，而中等大小的棕色狗追逐铲子。")</f>
        <v>一个中年男子在人行道上铲雪，而中等大小的棕色狗追逐铲子。</v>
      </c>
    </row>
    <row r="30134">
      <c r="A30134" s="4" t="s">
        <v>37945</v>
      </c>
      <c r="B30134" s="6" t="s">
        <v>37947</v>
      </c>
      <c r="C30134" s="5" t="str">
        <f>IFERROR(__xludf.DUMMYFUNCTION("GOOGLETRANSLATE(B30134,""en"",""zh-CN"")"),"那个男人扔雪，另一个方式旋转着重复铲子，而狗则继续追逐铲子。")</f>
        <v>那个男人扔雪，另一个方式旋转着重复铲子，而狗则继续追逐铲子。</v>
      </c>
    </row>
    <row r="30135">
      <c r="A30135" s="4" t="s">
        <v>37945</v>
      </c>
      <c r="B30135" s="6" t="s">
        <v>37948</v>
      </c>
      <c r="C30135" s="5" t="str">
        <f>IFERROR(__xludf.DUMMYFUNCTION("GOOGLETRANSLATE(B30135,""en"",""zh-CN"")"),"在人行道的尽头，一条车道附近的一名年轻女子穿着黑色的雪裤躺在肚子上，看到狗追着铲子并笑了。")</f>
        <v>在人行道的尽头，一条车道附近的一名年轻女子穿着黑色的雪裤躺在肚子上，看到狗追着铲子并笑了。</v>
      </c>
    </row>
    <row r="30136">
      <c r="A30136" s="4" t="s">
        <v>37945</v>
      </c>
      <c r="B30136" s="6" t="s">
        <v>37949</v>
      </c>
      <c r="C30136" s="5" t="str">
        <f>IFERROR(__xludf.DUMMYFUNCTION("GOOGLETRANSLATE(B30136,""en"",""zh-CN"")"),"这个男人现在转过身，沿着人行道奔跑，再次铲雪，狗和他一起奔跑。")</f>
        <v>这个男人现在转过身，沿着人行道奔跑，再次铲雪，狗和他一起奔跑。</v>
      </c>
    </row>
    <row r="30137">
      <c r="A30137" s="4" t="s">
        <v>37945</v>
      </c>
      <c r="B30137" s="6" t="s">
        <v>37950</v>
      </c>
      <c r="C30137" s="5" t="str">
        <f>IFERROR(__xludf.DUMMYFUNCTION("GOOGLETRANSLATE(B30137,""en"",""zh-CN"")"),"这个人不会转过身来铲子，而是铲子，而是在铲子中降雪，然后远离狗。")</f>
        <v>这个人不会转过身来铲子，而是铲子，而是在铲子中降雪，然后远离狗。</v>
      </c>
    </row>
    <row r="30138">
      <c r="A30138" s="4" t="s">
        <v>37945</v>
      </c>
      <c r="B30138" s="4" t="s">
        <v>37951</v>
      </c>
      <c r="C30138" s="5" t="str">
        <f>IFERROR(__xludf.DUMMYFUNCTION("GOOGLETRANSLATE(B30138,""en"",""zh-CN"")"),"狗拖着后面，好像累了。")</f>
        <v>狗拖着后面，好像累了。</v>
      </c>
    </row>
    <row r="30139">
      <c r="A30139" s="4" t="s">
        <v>37952</v>
      </c>
      <c r="B30139" s="4" t="s">
        <v>37953</v>
      </c>
      <c r="C30139" s="5" t="str">
        <f>IFERROR(__xludf.DUMMYFUNCTION("GOOGLETRANSLATE(B30139,""en"",""zh-CN"")"),"人们站在舞台上。")</f>
        <v>人们站在舞台上。</v>
      </c>
    </row>
    <row r="30140">
      <c r="A30140" s="4" t="s">
        <v>37952</v>
      </c>
      <c r="B30140" s="4" t="s">
        <v>37954</v>
      </c>
      <c r="C30140" s="5" t="str">
        <f>IFERROR(__xludf.DUMMYFUNCTION("GOOGLETRANSLATE(B30140,""en"",""zh-CN"")"),"他们开始玩岩石剪刀的游戏。")</f>
        <v>他们开始玩岩石剪刀的游戏。</v>
      </c>
    </row>
    <row r="30141">
      <c r="A30141" s="4" t="s">
        <v>37952</v>
      </c>
      <c r="B30141" s="4" t="s">
        <v>37955</v>
      </c>
      <c r="C30141" s="5" t="str">
        <f>IFERROR(__xludf.DUMMYFUNCTION("GOOGLETRANSLATE(B30141,""en"",""zh-CN"")"),"站在裁判衬衫的男人站在他们身后。")</f>
        <v>站在裁判衬衫的男人站在他们身后。</v>
      </c>
    </row>
    <row r="30142">
      <c r="A30142" s="4" t="s">
        <v>37956</v>
      </c>
      <c r="B30142" s="6" t="s">
        <v>37957</v>
      </c>
      <c r="C30142" s="5" t="str">
        <f>IFERROR(__xludf.DUMMYFUNCTION("GOOGLETRANSLATE(B30142,""en"",""zh-CN"")"),"穿着红色衬衫的女人是霍尔金·鲍尔（Holdgina Ball），当有人把球扔给她时，她正试图将球扔给某人，现在她得到了两个人并把球扔给他们。")</f>
        <v>穿着红色衬衫的女人是霍尔金·鲍尔（Holdgina Ball），当有人把球扔给她时，她正试图将球扔给某人，现在她得到了两个人并把球扔给他们。</v>
      </c>
    </row>
    <row r="30143">
      <c r="A30143" s="4" t="s">
        <v>37956</v>
      </c>
      <c r="B30143" s="4" t="s">
        <v>37958</v>
      </c>
      <c r="C30143" s="5" t="str">
        <f>IFERROR(__xludf.DUMMYFUNCTION("GOOGLETRANSLATE(B30143,""en"",""zh-CN"")"),"人拿着一个红球，正在木制球场上行走，然后扔球。")</f>
        <v>人拿着一个红球，正在木制球场上行走，然后扔球。</v>
      </c>
    </row>
    <row r="30144">
      <c r="A30144" s="4" t="s">
        <v>37956</v>
      </c>
      <c r="B30144" s="4" t="s">
        <v>37959</v>
      </c>
      <c r="C30144" s="5" t="str">
        <f>IFERROR(__xludf.DUMMYFUNCTION("GOOGLETRANSLATE(B30144,""en"",""zh-CN"")"),"人们正在屋顶木健身房打躲避球。")</f>
        <v>人们正在屋顶木健身房打躲避球。</v>
      </c>
    </row>
    <row r="30145">
      <c r="A30145" s="4" t="s">
        <v>37960</v>
      </c>
      <c r="B30145" s="6" t="s">
        <v>37961</v>
      </c>
      <c r="C30145" s="5" t="str">
        <f>IFERROR(__xludf.DUMMYFUNCTION("GOOGLETRANSLATE(B30145,""en"",""zh-CN"")"),"一个女孩正站在路边的道路中间，用呼啦圈在她的臀部和手臂上移动。")</f>
        <v>一个女孩正站在路边的道路中间，用呼啦圈在她的臀部和手臂上移动。</v>
      </c>
    </row>
    <row r="30146">
      <c r="A30146" s="4" t="s">
        <v>37960</v>
      </c>
      <c r="B30146" s="4" t="s">
        <v>37962</v>
      </c>
      <c r="C30146" s="5" t="str">
        <f>IFERROR(__xludf.DUMMYFUNCTION("GOOGLETRANSLATE(B30146,""en"",""zh-CN"")"),"当她表演时，一个女人正坐在她身后，她的书包在地面上。")</f>
        <v>当她表演时，一个女人正坐在她身后，她的书包在地面上。</v>
      </c>
    </row>
    <row r="30147">
      <c r="A30147" s="4" t="s">
        <v>37960</v>
      </c>
      <c r="B30147" s="6" t="s">
        <v>37963</v>
      </c>
      <c r="C30147" s="5" t="str">
        <f>IFERROR(__xludf.DUMMYFUNCTION("GOOGLETRANSLATE(B30147,""en"",""zh-CN"")"),"当女孩完成表演后，她抓住了一个无檐小便帽，握住它，然后开始向观看她的人群索要钱。")</f>
        <v>当女孩完成表演后，她抓住了一个无檐小便帽，握住它，然后开始向观看她的人群索要钱。</v>
      </c>
    </row>
    <row r="30148">
      <c r="A30148" s="4" t="s">
        <v>37964</v>
      </c>
      <c r="B30148" s="4" t="s">
        <v>37965</v>
      </c>
      <c r="C30148" s="5" t="str">
        <f>IFERROR(__xludf.DUMMYFUNCTION("GOOGLETRANSLATE(B30148,""en"",""zh-CN"")"),"两名相扑摔跤手在戒指中显示为观众和裁判手表。")</f>
        <v>两名相扑摔跤手在戒指中显示为观众和裁判手表。</v>
      </c>
    </row>
    <row r="30149">
      <c r="A30149" s="4" t="s">
        <v>37964</v>
      </c>
      <c r="B30149" s="4" t="s">
        <v>37966</v>
      </c>
      <c r="C30149" s="5" t="str">
        <f>IFERROR(__xludf.DUMMYFUNCTION("GOOGLETRANSLATE(B30149,""en"",""zh-CN"")"),"摔跤手蹲下，彼此碰到。")</f>
        <v>摔跤手蹲下，彼此碰到。</v>
      </c>
    </row>
    <row r="30150">
      <c r="A30150" s="4" t="s">
        <v>37964</v>
      </c>
      <c r="B30150" s="4" t="s">
        <v>37967</v>
      </c>
      <c r="C30150" s="5" t="str">
        <f>IFERROR(__xludf.DUMMYFUNCTION("GOOGLETRANSLATE(B30150,""en"",""zh-CN"")"),"当一个人被扔掉时，他们短暂地摔跤。")</f>
        <v>当一个人被扔掉时，他们短暂地摔跤。</v>
      </c>
    </row>
    <row r="30151">
      <c r="A30151" s="4" t="s">
        <v>37964</v>
      </c>
      <c r="B30151" s="4" t="s">
        <v>37968</v>
      </c>
      <c r="C30151" s="5" t="str">
        <f>IFERROR(__xludf.DUMMYFUNCTION("GOOGLETRANSLATE(B30151,""en"",""zh-CN"")"),"获胜者与裁判一起执行手信号。")</f>
        <v>获胜者与裁判一起执行手信号。</v>
      </c>
    </row>
    <row r="30152">
      <c r="A30152" s="4" t="s">
        <v>37964</v>
      </c>
      <c r="B30152" s="4" t="s">
        <v>37969</v>
      </c>
      <c r="C30152" s="5" t="str">
        <f>IFERROR(__xludf.DUMMYFUNCTION("GOOGLETRANSLATE(B30152,""en"",""zh-CN"")"),"失败者在表现出胜利的重播时向后走。")</f>
        <v>失败者在表现出胜利的重播时向后走。</v>
      </c>
    </row>
    <row r="30153">
      <c r="A30153" s="4" t="s">
        <v>37964</v>
      </c>
      <c r="B30153" s="4" t="s">
        <v>37970</v>
      </c>
      <c r="C30153" s="5" t="str">
        <f>IFERROR(__xludf.DUMMYFUNCTION("GOOGLETRANSLATE(B30153,""en"",""zh-CN"")"),"视频以主持人采访失败者的身份结束，并显示了相扑戒指。")</f>
        <v>视频以主持人采访失败者的身份结束，并显示了相扑戒指。</v>
      </c>
    </row>
    <row r="30154">
      <c r="A30154" s="4" t="s">
        <v>37971</v>
      </c>
      <c r="B30154" s="4" t="s">
        <v>1251</v>
      </c>
      <c r="C30154" s="5" t="str">
        <f>IFERROR(__xludf.DUMMYFUNCTION("GOOGLETRANSLATE(B30154,""en"",""zh-CN"")"),"显示了剪辑的信用。")</f>
        <v>显示了剪辑的信用。</v>
      </c>
    </row>
    <row r="30155">
      <c r="A30155" s="4" t="s">
        <v>37971</v>
      </c>
      <c r="B30155" s="4" t="s">
        <v>37972</v>
      </c>
      <c r="C30155" s="5" t="str">
        <f>IFERROR(__xludf.DUMMYFUNCTION("GOOGLETRANSLATE(B30155,""en"",""zh-CN"")"),"男人在屋顶上工作。")</f>
        <v>男人在屋顶上工作。</v>
      </c>
    </row>
    <row r="30156">
      <c r="A30156" s="4" t="s">
        <v>37971</v>
      </c>
      <c r="B30156" s="6" t="s">
        <v>37973</v>
      </c>
      <c r="C30156" s="5" t="str">
        <f>IFERROR(__xludf.DUMMYFUNCTION("GOOGLETRANSLATE(B30156,""en"",""zh-CN"")"),"一个男人在屋顶上喷洒糊状物，一名男性将碎片移开，一个男人正在将碎片添加到屋顶上的粘贴区域中。")</f>
        <v>一个男人在屋顶上喷洒糊状物，一名男性将碎片移开，一个男人正在将碎片添加到屋顶上的粘贴区域中。</v>
      </c>
    </row>
    <row r="30157">
      <c r="A30157" s="4" t="s">
        <v>37971</v>
      </c>
      <c r="B30157" s="4" t="s">
        <v>37974</v>
      </c>
      <c r="C30157" s="5" t="str">
        <f>IFERROR(__xludf.DUMMYFUNCTION("GOOGLETRANSLATE(B30157,""en"",""zh-CN"")"),"一个人正在将糊剂喷在屋顶上。")</f>
        <v>一个人正在将糊剂喷在屋顶上。</v>
      </c>
    </row>
    <row r="30158">
      <c r="A30158" s="4" t="s">
        <v>37971</v>
      </c>
      <c r="B30158" s="4" t="s">
        <v>573</v>
      </c>
      <c r="C30158" s="5" t="str">
        <f>IFERROR(__xludf.DUMMYFUNCTION("GOOGLETRANSLATE(B30158,""en"",""zh-CN"")"),"显示了视频的积分。")</f>
        <v>显示了视频的积分。</v>
      </c>
    </row>
    <row r="30159">
      <c r="A30159" s="4" t="s">
        <v>37975</v>
      </c>
      <c r="B30159" s="4" t="s">
        <v>37976</v>
      </c>
      <c r="C30159" s="5" t="str">
        <f>IFERROR(__xludf.DUMMYFUNCTION("GOOGLETRANSLATE(B30159,""en"",""zh-CN"")"),"一个年轻的亚洲男孩站在一个客厅里，手里拿着拖把。")</f>
        <v>一个年轻的亚洲男孩站在一个客厅里，手里拿着拖把。</v>
      </c>
    </row>
    <row r="30160">
      <c r="A30160" s="4" t="s">
        <v>37975</v>
      </c>
      <c r="B30160" s="4" t="s">
        <v>37977</v>
      </c>
      <c r="C30160" s="5" t="str">
        <f>IFERROR(__xludf.DUMMYFUNCTION("GOOGLETRANSLATE(B30160,""en"",""zh-CN"")"),"男孩弯下腰，捡起一个喷雾瓶，然后将其喷在地板上。")</f>
        <v>男孩弯下腰，捡起一个喷雾瓶，然后将其喷在地板上。</v>
      </c>
    </row>
    <row r="30161">
      <c r="A30161" s="4" t="s">
        <v>37975</v>
      </c>
      <c r="B30161" s="4" t="s">
        <v>37978</v>
      </c>
      <c r="C30161" s="5" t="str">
        <f>IFERROR(__xludf.DUMMYFUNCTION("GOOGLETRANSLATE(B30161,""en"",""zh-CN"")"),"然后，他来回移动扫帚，清洁地板。")</f>
        <v>然后，他来回移动扫帚，清洁地板。</v>
      </c>
    </row>
    <row r="30162">
      <c r="A30162" s="4" t="s">
        <v>37979</v>
      </c>
      <c r="B30162" s="4" t="s">
        <v>37980</v>
      </c>
      <c r="C30162" s="5" t="str">
        <f>IFERROR(__xludf.DUMMYFUNCTION("GOOGLETRANSLATE(B30162,""en"",""zh-CN"")"),"一个女人坐在大批人群面前，同时拿着剃须奶油和剃刀。")</f>
        <v>一个女人坐在大批人群面前，同时拿着剃须奶油和剃刀。</v>
      </c>
    </row>
    <row r="30163">
      <c r="A30163" s="4" t="s">
        <v>37979</v>
      </c>
      <c r="B30163" s="4" t="s">
        <v>37981</v>
      </c>
      <c r="C30163" s="5" t="str">
        <f>IFERROR(__xludf.DUMMYFUNCTION("GOOGLETRANSLATE(B30163,""en"",""zh-CN"")"),"在舞台上看到另一个男人剃光他的脸，那个女人开始剃光她的腿。")</f>
        <v>在舞台上看到另一个男人剃光他的脸，那个女人开始剃光她的腿。</v>
      </c>
    </row>
    <row r="30164">
      <c r="A30164" s="4" t="s">
        <v>37979</v>
      </c>
      <c r="B30164" s="4" t="s">
        <v>37982</v>
      </c>
      <c r="C30164" s="5" t="str">
        <f>IFERROR(__xludf.DUMMYFUNCTION("GOOGLETRANSLATE(B30164,""en"",""zh-CN"")"),"人群为剃须比赛加油打气。")</f>
        <v>人群为剃须比赛加油打气。</v>
      </c>
    </row>
    <row r="30165">
      <c r="A30165" s="4" t="s">
        <v>37983</v>
      </c>
      <c r="B30165" s="6" t="s">
        <v>37984</v>
      </c>
      <c r="C30165" s="5" t="str">
        <f>IFERROR(__xludf.DUMMYFUNCTION("GOOGLETRANSLATE(B30165,""en"",""zh-CN"")"),"看到一小群人彼此并肩站在一起，一个又一个又一次地敲一个袋子。")</f>
        <v>看到一小群人彼此并肩站在一起，一个又一个又一次地敲一个袋子。</v>
      </c>
    </row>
    <row r="30166">
      <c r="A30166" s="4" t="s">
        <v>37983</v>
      </c>
      <c r="B30166" s="4" t="s">
        <v>37985</v>
      </c>
      <c r="C30166" s="5" t="str">
        <f>IFERROR(__xludf.DUMMYFUNCTION("GOOGLETRANSLATE(B30166,""en"",""zh-CN"")"),"然后，显示许多人互相踢袋子。")</f>
        <v>然后，显示许多人互相踢袋子。</v>
      </c>
    </row>
    <row r="30167">
      <c r="A30167" s="4" t="s">
        <v>37986</v>
      </c>
      <c r="B30167" s="4" t="s">
        <v>37987</v>
      </c>
      <c r="C30167" s="5" t="str">
        <f>IFERROR(__xludf.DUMMYFUNCTION("GOOGLETRANSLATE(B30167,""en"",""zh-CN"")"),"一个人站在背景中的露营者和燃烧的木棍上。")</f>
        <v>一个人站在背景中的露营者和燃烧的木棍上。</v>
      </c>
    </row>
    <row r="30168">
      <c r="A30168" s="4" t="s">
        <v>37986</v>
      </c>
      <c r="B30168" s="4" t="s">
        <v>37988</v>
      </c>
      <c r="C30168" s="5" t="str">
        <f>IFERROR(__xludf.DUMMYFUNCTION("GOOGLETRANSLATE(B30168,""en"",""zh-CN"")"),"他将圆锥体粘在火上，棍子的末端开始着火。")</f>
        <v>他将圆锥体粘在火上，棍子的末端开始着火。</v>
      </c>
    </row>
    <row r="30169">
      <c r="A30169" s="4" t="s">
        <v>37989</v>
      </c>
      <c r="B30169" s="4" t="s">
        <v>37990</v>
      </c>
      <c r="C30169" s="5" t="str">
        <f>IFERROR(__xludf.DUMMYFUNCTION("GOOGLETRANSLATE(B30169,""en"",""zh-CN"")"),"桌子上显示了一张小吃桌子的特写，以及在桌子上玩的人。")</f>
        <v>桌子上显示了一张小吃桌子的特写，以及在桌子上玩的人。</v>
      </c>
    </row>
    <row r="30170">
      <c r="A30170" s="4" t="s">
        <v>37989</v>
      </c>
      <c r="B30170" s="6" t="s">
        <v>37991</v>
      </c>
      <c r="C30170" s="5" t="str">
        <f>IFERROR(__xludf.DUMMYFUNCTION("GOOGLETRANSLATE(B30170,""en"",""zh-CN"")"),"随着人们使用球杆向后移动和第四，比赛继续进行比赛。")</f>
        <v>随着人们使用球杆向后移动和第四，比赛继续进行比赛。</v>
      </c>
    </row>
    <row r="30171">
      <c r="A30171" s="4" t="s">
        <v>37992</v>
      </c>
      <c r="B30171" s="4" t="s">
        <v>37993</v>
      </c>
      <c r="C30171" s="5" t="str">
        <f>IFERROR(__xludf.DUMMYFUNCTION("GOOGLETRANSLATE(B30171,""en"",""zh-CN"")"),"一群人在海水边缘穿着浮潜装备。")</f>
        <v>一群人在海水边缘穿着浮潜装备。</v>
      </c>
    </row>
    <row r="30172">
      <c r="A30172" s="4" t="s">
        <v>37992</v>
      </c>
      <c r="B30172" s="4" t="s">
        <v>37994</v>
      </c>
      <c r="C30172" s="5" t="str">
        <f>IFERROR(__xludf.DUMMYFUNCTION("GOOGLETRANSLATE(B30172,""en"",""zh-CN"")"),"然后在水下看到它们，探索并看着鱼。")</f>
        <v>然后在水下看到它们，探索并看着鱼。</v>
      </c>
    </row>
    <row r="30173">
      <c r="A30173" s="4" t="s">
        <v>37992</v>
      </c>
      <c r="B30173" s="4" t="s">
        <v>37995</v>
      </c>
      <c r="C30173" s="5" t="str">
        <f>IFERROR(__xludf.DUMMYFUNCTION("GOOGLETRANSLATE(B30173,""en"",""zh-CN"")"),"他们游泳时伸出手来触摸鱼。")</f>
        <v>他们游泳时伸出手来触摸鱼。</v>
      </c>
    </row>
    <row r="30174">
      <c r="A30174" s="4" t="s">
        <v>37996</v>
      </c>
      <c r="B30174" s="4" t="s">
        <v>37997</v>
      </c>
      <c r="C30174" s="5" t="str">
        <f>IFERROR(__xludf.DUMMYFUNCTION("GOOGLETRANSLATE(B30174,""en"",""zh-CN"")"),"一个女孩在操场上玩。")</f>
        <v>一个女孩在操场上玩。</v>
      </c>
    </row>
    <row r="30175">
      <c r="A30175" s="4" t="s">
        <v>37996</v>
      </c>
      <c r="B30175" s="4" t="s">
        <v>37998</v>
      </c>
      <c r="C30175" s="5" t="str">
        <f>IFERROR(__xludf.DUMMYFUNCTION("GOOGLETRANSLATE(B30175,""en"",""zh-CN"")"),"她倒在猴子酒吧上。")</f>
        <v>她倒在猴子酒吧上。</v>
      </c>
    </row>
    <row r="30176">
      <c r="A30176" s="4" t="s">
        <v>37996</v>
      </c>
      <c r="B30176" s="4" t="s">
        <v>37999</v>
      </c>
      <c r="C30176" s="5" t="str">
        <f>IFERROR(__xludf.DUMMYFUNCTION("GOOGLETRANSLATE(B30176,""en"",""zh-CN"")"),"她将手伸到镜头前，继续说话。")</f>
        <v>她将手伸到镜头前，继续说话。</v>
      </c>
    </row>
    <row r="30177">
      <c r="A30177" s="4" t="s">
        <v>38000</v>
      </c>
      <c r="B30177" s="4" t="s">
        <v>38001</v>
      </c>
      <c r="C30177" s="5" t="str">
        <f>IFERROR(__xludf.DUMMYFUNCTION("GOOGLETRANSLATE(B30177,""en"",""zh-CN"")"),"一个女人正在用黑白电影在钢琴上播放一首古典歌曲。")</f>
        <v>一个女人正在用黑白电影在钢琴上播放一首古典歌曲。</v>
      </c>
    </row>
    <row r="30178">
      <c r="A30178" s="4" t="s">
        <v>38000</v>
      </c>
      <c r="B30178" s="4" t="s">
        <v>38002</v>
      </c>
      <c r="C30178" s="5" t="str">
        <f>IFERROR(__xludf.DUMMYFUNCTION("GOOGLETRANSLATE(B30178,""en"",""zh-CN"")"),"她开始加快自己播放的音乐的速度。")</f>
        <v>她开始加快自己播放的音乐的速度。</v>
      </c>
    </row>
    <row r="30179">
      <c r="A30179" s="4" t="s">
        <v>38000</v>
      </c>
      <c r="B30179" s="4" t="s">
        <v>38003</v>
      </c>
      <c r="C30179" s="5" t="str">
        <f>IFERROR(__xludf.DUMMYFUNCTION("GOOGLETRANSLATE(B30179,""en"",""zh-CN"")"),"相机显示她从头顶弹钢琴。")</f>
        <v>相机显示她从头顶弹钢琴。</v>
      </c>
    </row>
    <row r="30180">
      <c r="A30180" s="4" t="s">
        <v>38000</v>
      </c>
      <c r="B30180" s="4" t="s">
        <v>38004</v>
      </c>
      <c r="C30180" s="5" t="str">
        <f>IFERROR(__xludf.DUMMYFUNCTION("GOOGLETRANSLATE(B30180,""en"",""zh-CN"")"),"观众为女人和视频结束而鼓掌。")</f>
        <v>观众为女人和视频结束而鼓掌。</v>
      </c>
    </row>
    <row r="30181">
      <c r="A30181" s="4" t="s">
        <v>38005</v>
      </c>
      <c r="B30181" s="4" t="s">
        <v>38006</v>
      </c>
      <c r="C30181" s="5" t="str">
        <f>IFERROR(__xludf.DUMMYFUNCTION("GOOGLETRANSLATE(B30181,""en"",""zh-CN"")"),"一个小组为相机带微笑。")</f>
        <v>一个小组为相机带微笑。</v>
      </c>
    </row>
    <row r="30182">
      <c r="A30182" s="4" t="s">
        <v>38005</v>
      </c>
      <c r="B30182" s="4" t="s">
        <v>38007</v>
      </c>
      <c r="C30182" s="5" t="str">
        <f>IFERROR(__xludf.DUMMYFUNCTION("GOOGLETRANSLATE(B30182,""en"",""zh-CN"")"),"小组向相机挥手，而背景中的更多人则穿过水。")</f>
        <v>小组向相机挥手，而背景中的更多人则穿过水。</v>
      </c>
    </row>
    <row r="30183">
      <c r="A30183" s="4" t="s">
        <v>38005</v>
      </c>
      <c r="B30183" s="4" t="s">
        <v>38008</v>
      </c>
      <c r="C30183" s="5" t="str">
        <f>IFERROR(__xludf.DUMMYFUNCTION("GOOGLETRANSLATE(B30183,""en"",""zh-CN"")"),"小组在水上漂流。")</f>
        <v>小组在水上漂流。</v>
      </c>
    </row>
    <row r="30184">
      <c r="A30184" s="4" t="s">
        <v>38005</v>
      </c>
      <c r="B30184" s="4" t="s">
        <v>38009</v>
      </c>
      <c r="C30184" s="5" t="str">
        <f>IFERROR(__xludf.DUMMYFUNCTION("GOOGLETRANSLATE(B30184,""en"",""zh-CN"")"),"他们再次向相机挥手。")</f>
        <v>他们再次向相机挥手。</v>
      </c>
    </row>
    <row r="30185">
      <c r="A30185" s="4" t="s">
        <v>38005</v>
      </c>
      <c r="B30185" s="4" t="s">
        <v>38010</v>
      </c>
      <c r="C30185" s="5" t="str">
        <f>IFERROR(__xludf.DUMMYFUNCTION("GOOGLETRANSLATE(B30185,""en"",""zh-CN"")"),"当他们沿着河航行时，该小组在他们的筏中显示。")</f>
        <v>当他们沿着河航行时，该小组在他们的筏中显示。</v>
      </c>
    </row>
    <row r="30186">
      <c r="A30186" s="4" t="s">
        <v>38005</v>
      </c>
      <c r="B30186" s="4" t="s">
        <v>38011</v>
      </c>
      <c r="C30186" s="5" t="str">
        <f>IFERROR(__xludf.DUMMYFUNCTION("GOOGLETRANSLATE(B30186,""en"",""zh-CN"")"),"他们被证明在河中休息了一段时间。")</f>
        <v>他们被证明在河中休息了一段时间。</v>
      </c>
    </row>
    <row r="30187">
      <c r="A30187" s="4" t="s">
        <v>38005</v>
      </c>
      <c r="B30187" s="4" t="s">
        <v>38012</v>
      </c>
      <c r="C30187" s="5" t="str">
        <f>IFERROR(__xludf.DUMMYFUNCTION("GOOGLETRANSLATE(B30187,""en"",""zh-CN"")"),"其中一个after子的POV镜头。")</f>
        <v>其中一个after子的POV镜头。</v>
      </c>
    </row>
    <row r="30188">
      <c r="A30188" s="4" t="s">
        <v>38005</v>
      </c>
      <c r="B30188" s="4" t="s">
        <v>38013</v>
      </c>
      <c r="C30188" s="5" t="str">
        <f>IFERROR(__xludf.DUMMYFUNCTION("GOOGLETRANSLATE(B30188,""en"",""zh-CN"")"),"该小组不在河里远足。")</f>
        <v>该小组不在河里远足。</v>
      </c>
    </row>
    <row r="30189">
      <c r="A30189" s="4" t="s">
        <v>38014</v>
      </c>
      <c r="B30189" s="4" t="s">
        <v>38015</v>
      </c>
      <c r="C30189" s="5" t="str">
        <f>IFERROR(__xludf.DUMMYFUNCTION("GOOGLETRANSLATE(B30189,""en"",""zh-CN"")"),"男人在房间里的镜子前。")</f>
        <v>男人在房间里的镜子前。</v>
      </c>
    </row>
    <row r="30190">
      <c r="A30190" s="4" t="s">
        <v>38014</v>
      </c>
      <c r="B30190" s="4" t="s">
        <v>38016</v>
      </c>
      <c r="C30190" s="5" t="str">
        <f>IFERROR(__xludf.DUMMYFUNCTION("GOOGLETRANSLATE(B30190,""en"",""zh-CN"")"),"男人一个人练习踢和拳。")</f>
        <v>男人一个人练习踢和拳。</v>
      </c>
    </row>
    <row r="30191">
      <c r="A30191" s="4" t="s">
        <v>38014</v>
      </c>
      <c r="B30191" s="4" t="s">
        <v>38017</v>
      </c>
      <c r="C30191" s="5" t="str">
        <f>IFERROR(__xludf.DUMMYFUNCTION("GOOGLETRANSLATE(B30191,""en"",""zh-CN"")"),"穿着白色衬衫的男人正在伸展双腿束缚另一个男人。")</f>
        <v>穿着白色衬衫的男人正在伸展双腿束缚另一个男人。</v>
      </c>
    </row>
    <row r="30192">
      <c r="A30192" s="4" t="s">
        <v>38018</v>
      </c>
      <c r="B30192" s="6" t="s">
        <v>38019</v>
      </c>
      <c r="C30192" s="5" t="str">
        <f>IFERROR(__xludf.DUMMYFUNCTION("GOOGLETRANSLATE(B30192,""en"",""zh-CN"")"),"看到一大批人在一个城市广场周围徘徊，中间有一个年幼的孩子在演奏乐器。")</f>
        <v>看到一大批人在一个城市广场周围徘徊，中间有一个年幼的孩子在演奏乐器。</v>
      </c>
    </row>
    <row r="30193">
      <c r="A30193" s="4" t="s">
        <v>38018</v>
      </c>
      <c r="B30193" s="4" t="s">
        <v>38020</v>
      </c>
      <c r="C30193" s="5" t="str">
        <f>IFERROR(__xludf.DUMMYFUNCTION("GOOGLETRANSLATE(B30193,""en"",""zh-CN"")"),"这个男孩扮演萨克斯管，而人们走过他并放下钱。")</f>
        <v>这个男孩扮演萨克斯管，而人们走过他并放下钱。</v>
      </c>
    </row>
    <row r="30194">
      <c r="A30194" s="4" t="s">
        <v>38018</v>
      </c>
      <c r="B30194" s="4" t="s">
        <v>38021</v>
      </c>
      <c r="C30194" s="5" t="str">
        <f>IFERROR(__xludf.DUMMYFUNCTION("GOOGLETRANSLATE(B30194,""en"",""zh-CN"")"),"当相机捕捉他的动作时，男孩继续演奏，其他人停止观看。")</f>
        <v>当相机捕捉他的动作时，男孩继续演奏，其他人停止观看。</v>
      </c>
    </row>
    <row r="30195">
      <c r="A30195" s="4" t="s">
        <v>38022</v>
      </c>
      <c r="B30195" s="4" t="s">
        <v>38023</v>
      </c>
      <c r="C30195" s="5" t="str">
        <f>IFERROR(__xludf.DUMMYFUNCTION("GOOGLETRANSLATE(B30195,""en"",""zh-CN"")"),"人们正在跳水板进入他们下面的游泳池。")</f>
        <v>人们正在跳水板进入他们下面的游泳池。</v>
      </c>
    </row>
    <row r="30196">
      <c r="A30196" s="4" t="s">
        <v>38022</v>
      </c>
      <c r="B30196" s="4" t="s">
        <v>38024</v>
      </c>
      <c r="C30196" s="5" t="str">
        <f>IFERROR(__xludf.DUMMYFUNCTION("GOOGLETRANSLATE(B30196,""en"",""zh-CN"")"),"他们正走上一套楼梯去跳水板。")</f>
        <v>他们正走上一套楼梯去跳水板。</v>
      </c>
    </row>
    <row r="30197">
      <c r="A30197" s="4" t="s">
        <v>38022</v>
      </c>
      <c r="B30197" s="4" t="s">
        <v>38025</v>
      </c>
      <c r="C30197" s="5" t="str">
        <f>IFERROR(__xludf.DUMMYFUNCTION("GOOGLETRANSLATE(B30197,""en"",""zh-CN"")"),"一个人向后翻转水。")</f>
        <v>一个人向后翻转水。</v>
      </c>
    </row>
    <row r="30198">
      <c r="A30198" s="4" t="s">
        <v>38026</v>
      </c>
      <c r="B30198" s="4" t="s">
        <v>38027</v>
      </c>
      <c r="C30198" s="5" t="str">
        <f>IFERROR(__xludf.DUMMYFUNCTION("GOOGLETRANSLATE(B30198,""en"",""zh-CN"")"),"小女孩滑下黄色滑梯，跌落在球池上。")</f>
        <v>小女孩滑下黄色滑梯，跌落在球池上。</v>
      </c>
    </row>
    <row r="30199">
      <c r="A30199" s="4" t="s">
        <v>38026</v>
      </c>
      <c r="B30199" s="4" t="s">
        <v>38028</v>
      </c>
      <c r="C30199" s="5" t="str">
        <f>IFERROR(__xludf.DUMMYFUNCTION("GOOGLETRANSLATE(B30199,""en"",""zh-CN"")"),"当女孩爬上滑梯的顶部时，她伸出手。")</f>
        <v>当女孩爬上滑梯的顶部时，她伸出手。</v>
      </c>
    </row>
    <row r="30200">
      <c r="A30200" s="4" t="s">
        <v>38026</v>
      </c>
      <c r="B30200" s="4" t="s">
        <v>38029</v>
      </c>
      <c r="C30200" s="5" t="str">
        <f>IFERROR(__xludf.DUMMYFUNCTION("GOOGLETRANSLATE(B30200,""en"",""zh-CN"")"),"女孩再次滑下来，跌落在球池上，但在她的肚子上。")</f>
        <v>女孩再次滑下来，跌落在球池上，但在她的肚子上。</v>
      </c>
    </row>
    <row r="30201">
      <c r="A30201" s="4" t="s">
        <v>38030</v>
      </c>
      <c r="B30201" s="4" t="s">
        <v>38031</v>
      </c>
      <c r="C30201" s="5" t="str">
        <f>IFERROR(__xludf.DUMMYFUNCTION("GOOGLETRANSLATE(B30201,""en"",""zh-CN"")"),"女孩们正在沿着一条小红色滑梯。")</f>
        <v>女孩们正在沿着一条小红色滑梯。</v>
      </c>
    </row>
    <row r="30202">
      <c r="A30202" s="4" t="s">
        <v>38030</v>
      </c>
      <c r="B30202" s="4" t="s">
        <v>38032</v>
      </c>
      <c r="C30202" s="5" t="str">
        <f>IFERROR(__xludf.DUMMYFUNCTION("GOOGLETRANSLATE(B30202,""en"",""zh-CN"")"),"一个穿着红色衬衫的男人站在他们身后。")</f>
        <v>一个穿着红色衬衫的男人站在他们身后。</v>
      </c>
    </row>
    <row r="30203">
      <c r="A30203" s="4" t="s">
        <v>38030</v>
      </c>
      <c r="B30203" s="4" t="s">
        <v>38033</v>
      </c>
      <c r="C30203" s="5" t="str">
        <f>IFERROR(__xludf.DUMMYFUNCTION("GOOGLETRANSLATE(B30203,""en"",""zh-CN"")"),"他走向房子。")</f>
        <v>他走向房子。</v>
      </c>
    </row>
    <row r="30204">
      <c r="A30204" s="4" t="s">
        <v>38034</v>
      </c>
      <c r="B30204" s="4" t="s">
        <v>38035</v>
      </c>
      <c r="C30204" s="5" t="str">
        <f>IFERROR(__xludf.DUMMYFUNCTION("GOOGLETRANSLATE(B30204,""en"",""zh-CN"")"),"一个年轻的女孩在外面沿着森林之间的道路奔跑，然后到达机场。")</f>
        <v>一个年轻的女孩在外面沿着森林之间的道路奔跑，然后到达机场。</v>
      </c>
    </row>
    <row r="30205">
      <c r="A30205" s="4" t="s">
        <v>38034</v>
      </c>
      <c r="B30205" s="4" t="s">
        <v>38036</v>
      </c>
      <c r="C30205" s="5" t="str">
        <f>IFERROR(__xludf.DUMMYFUNCTION("GOOGLETRANSLATE(B30205,""en"",""zh-CN"")"),"她正坐在iPad上玩耍，然后开始登上飞机。")</f>
        <v>她正坐在iPad上玩耍，然后开始登上飞机。</v>
      </c>
    </row>
    <row r="30206">
      <c r="A30206" s="4" t="s">
        <v>38034</v>
      </c>
      <c r="B30206" s="4" t="s">
        <v>38037</v>
      </c>
      <c r="C30206" s="5" t="str">
        <f>IFERROR(__xludf.DUMMYFUNCTION("GOOGLETRANSLATE(B30206,""en"",""zh-CN"")"),"飞机登陆，她在小屋中，开始在度假胜地滑雪。")</f>
        <v>飞机登陆，她在小屋中，开始在度假胜地滑雪。</v>
      </c>
    </row>
    <row r="30207">
      <c r="A30207" s="4" t="s">
        <v>38034</v>
      </c>
      <c r="B30207" s="6" t="s">
        <v>38038</v>
      </c>
      <c r="C30207" s="5" t="str">
        <f>IFERROR(__xludf.DUMMYFUNCTION("GOOGLETRANSLATE(B30207,""en"",""zh-CN"")"),"滑冰时，她改变了滑雪板，屏幕上覆盖着诸如电影之类的灰色静态，该人继续进行雪活动。")</f>
        <v>滑冰时，她改变了滑雪板，屏幕上覆盖着诸如电影之类的灰色静态，该人继续进行雪活动。</v>
      </c>
    </row>
    <row r="30208">
      <c r="A30208" s="4" t="s">
        <v>38039</v>
      </c>
      <c r="B30208" s="4" t="s">
        <v>38040</v>
      </c>
      <c r="C30208" s="5" t="str">
        <f>IFERROR(__xludf.DUMMYFUNCTION("GOOGLETRANSLATE(B30208,""en"",""zh-CN"")"),"一个人漂浮在海水说话。")</f>
        <v>一个人漂浮在海水说话。</v>
      </c>
    </row>
    <row r="30209">
      <c r="A30209" s="4" t="s">
        <v>38039</v>
      </c>
      <c r="B30209" s="4" t="s">
        <v>38041</v>
      </c>
      <c r="C30209" s="5" t="str">
        <f>IFERROR(__xludf.DUMMYFUNCTION("GOOGLETRANSLATE(B30209,""en"",""zh-CN"")"),"然后，他在喝能量饮料时与一群人交谈。")</f>
        <v>然后，他在喝能量饮料时与一群人交谈。</v>
      </c>
    </row>
    <row r="30210">
      <c r="A30210" s="4" t="s">
        <v>38039</v>
      </c>
      <c r="B30210" s="4" t="s">
        <v>38042</v>
      </c>
      <c r="C30210" s="5" t="str">
        <f>IFERROR(__xludf.DUMMYFUNCTION("GOOGLETRANSLATE(B30210,""en"",""zh-CN"")"),"他蹦极从桥的侧面跳下来。")</f>
        <v>他蹦极从桥的侧面跳下来。</v>
      </c>
    </row>
    <row r="30211">
      <c r="A30211" s="4" t="s">
        <v>38039</v>
      </c>
      <c r="B30211" s="4" t="s">
        <v>38043</v>
      </c>
      <c r="C30211" s="5" t="str">
        <f>IFERROR(__xludf.DUMMYFUNCTION("GOOGLETRANSLATE(B30211,""en"",""zh-CN"")"),"当他在水面上摆动时，他正在与相机交谈。")</f>
        <v>当他在水面上摆动时，他正在与相机交谈。</v>
      </c>
    </row>
    <row r="30212">
      <c r="A30212" s="4" t="s">
        <v>38044</v>
      </c>
      <c r="B30212" s="4" t="s">
        <v>38045</v>
      </c>
      <c r="C30212" s="5" t="str">
        <f>IFERROR(__xludf.DUMMYFUNCTION("GOOGLETRANSLATE(B30212,""en"",""zh-CN"")"),"我们看到一个更衣室和标题屏幕。")</f>
        <v>我们看到一个更衣室和标题屏幕。</v>
      </c>
    </row>
    <row r="30213">
      <c r="A30213" s="4" t="s">
        <v>38044</v>
      </c>
      <c r="B30213" s="4" t="s">
        <v>38046</v>
      </c>
      <c r="C30213" s="5" t="str">
        <f>IFERROR(__xludf.DUMMYFUNCTION("GOOGLETRANSLATE(B30213,""en"",""zh-CN"")"),"我们看到一个男人在第三次尝试时围着锤子扔在田径上。")</f>
        <v>我们看到一个男人在第三次尝试时围着锤子扔在田径上。</v>
      </c>
    </row>
    <row r="30214">
      <c r="A30214" s="4" t="s">
        <v>38044</v>
      </c>
      <c r="B30214" s="4" t="s">
        <v>38047</v>
      </c>
      <c r="C30214" s="5" t="str">
        <f>IFERROR(__xludf.DUMMYFUNCTION("GOOGLETRANSLATE(B30214,""en"",""zh-CN"")"),"投掷后，我们看到男人在测量距离。")</f>
        <v>投掷后，我们看到男人在测量距离。</v>
      </c>
    </row>
    <row r="30215">
      <c r="A30215" s="4" t="s">
        <v>38044</v>
      </c>
      <c r="B30215" s="4" t="s">
        <v>38048</v>
      </c>
      <c r="C30215" s="5" t="str">
        <f>IFERROR(__xludf.DUMMYFUNCTION("GOOGLETRANSLATE(B30215,""en"",""zh-CN"")"),"然后，我们看到他的第五次尝试和测量。")</f>
        <v>然后，我们看到他的第五次尝试和测量。</v>
      </c>
    </row>
    <row r="30216">
      <c r="A30216" s="4" t="s">
        <v>38044</v>
      </c>
      <c r="B30216" s="4" t="s">
        <v>38049</v>
      </c>
      <c r="C30216" s="5" t="str">
        <f>IFERROR(__xludf.DUMMYFUNCTION("GOOGLETRANSLATE(B30216,""en"",""zh-CN"")"),"然后，我们看到他的第六次尝试和测量。")</f>
        <v>然后，我们看到他的第六次尝试和测量。</v>
      </c>
    </row>
    <row r="30217">
      <c r="A30217" s="4" t="s">
        <v>38044</v>
      </c>
      <c r="B30217" s="4" t="s">
        <v>38050</v>
      </c>
      <c r="C30217" s="5" t="str">
        <f>IFERROR(__xludf.DUMMYFUNCTION("GOOGLETRANSLATE(B30217,""en"",""zh-CN"")"),"当男人握手时，相机放大了这个人。")</f>
        <v>当男人握手时，相机放大了这个人。</v>
      </c>
    </row>
    <row r="30218">
      <c r="A30218" s="4" t="s">
        <v>38044</v>
      </c>
      <c r="B30218" s="4" t="s">
        <v>38051</v>
      </c>
      <c r="C30218" s="5" t="str">
        <f>IFERROR(__xludf.DUMMYFUNCTION("GOOGLETRANSLATE(B30218,""en"",""zh-CN"")"),"然后，我们看到8个人站在持有牌匾的平台上。")</f>
        <v>然后，我们看到8个人站在持有牌匾的平台上。</v>
      </c>
    </row>
    <row r="30219">
      <c r="A30219" s="4" t="s">
        <v>38052</v>
      </c>
      <c r="B30219" s="4" t="s">
        <v>38053</v>
      </c>
      <c r="C30219" s="5" t="str">
        <f>IFERROR(__xludf.DUMMYFUNCTION("GOOGLETRANSLATE(B30219,""en"",""zh-CN"")"),"一个年轻的女孩扮演单簧管。")</f>
        <v>一个年轻的女孩扮演单簧管。</v>
      </c>
    </row>
    <row r="30220">
      <c r="A30220" s="4" t="s">
        <v>38052</v>
      </c>
      <c r="B30220" s="4" t="s">
        <v>38054</v>
      </c>
      <c r="C30220" s="5" t="str">
        <f>IFERROR(__xludf.DUMMYFUNCTION("GOOGLETRANSLATE(B30220,""en"",""zh-CN"")"),"这个女孩停下来一秒钟，将她的音乐表站在她面前。")</f>
        <v>这个女孩停下来一秒钟，将她的音乐表站在她面前。</v>
      </c>
    </row>
    <row r="30221">
      <c r="A30221" s="4" t="s">
        <v>38052</v>
      </c>
      <c r="B30221" s="4" t="s">
        <v>38055</v>
      </c>
      <c r="C30221" s="5" t="str">
        <f>IFERROR(__xludf.DUMMYFUNCTION("GOOGLETRANSLATE(B30221,""en"",""zh-CN"")"),"这个年轻的女孩恢复了她的单簧管。")</f>
        <v>这个年轻的女孩恢复了她的单簧管。</v>
      </c>
    </row>
    <row r="30222">
      <c r="A30222" s="4" t="s">
        <v>38052</v>
      </c>
      <c r="B30222" s="4" t="s">
        <v>38056</v>
      </c>
      <c r="C30222" s="5" t="str">
        <f>IFERROR(__xludf.DUMMYFUNCTION("GOOGLETRANSLATE(B30222,""en"",""zh-CN"")"),"女孩停下来，对自己的表现感到满意。")</f>
        <v>女孩停下来，对自己的表现感到满意。</v>
      </c>
    </row>
    <row r="30223">
      <c r="A30223" s="4" t="s">
        <v>38057</v>
      </c>
      <c r="B30223" s="4" t="s">
        <v>38058</v>
      </c>
      <c r="C30223" s="5" t="str">
        <f>IFERROR(__xludf.DUMMYFUNCTION("GOOGLETRANSLATE(B30223,""en"",""zh-CN"")"),"几个介绍导致了3名骑自行车的男子之间的自行车比赛。")</f>
        <v>几个介绍导致了3名骑自行车的男子之间的自行车比赛。</v>
      </c>
    </row>
    <row r="30224">
      <c r="A30224" s="4" t="s">
        <v>38057</v>
      </c>
      <c r="B30224" s="4" t="s">
        <v>38059</v>
      </c>
      <c r="C30224" s="5" t="str">
        <f>IFERROR(__xludf.DUMMYFUNCTION("GOOGLETRANSLATE(B30224,""en"",""zh-CN"")"),"一个人崩溃了，而其他人通过并继续比赛。")</f>
        <v>一个人崩溃了，而其他人通过并继续比赛。</v>
      </c>
    </row>
    <row r="30225">
      <c r="A30225" s="4" t="s">
        <v>38057</v>
      </c>
      <c r="B30225" s="4" t="s">
        <v>38060</v>
      </c>
      <c r="C30225" s="5" t="str">
        <f>IFERROR(__xludf.DUMMYFUNCTION("GOOGLETRANSLATE(B30225,""en"",""zh-CN"")"),"所有人都继续穿越赛道，直到一个人最终赢得胜利。")</f>
        <v>所有人都继续穿越赛道，直到一个人最终赢得胜利。</v>
      </c>
    </row>
    <row r="30226">
      <c r="A30226" s="4" t="s">
        <v>38061</v>
      </c>
      <c r="B30226" s="4" t="s">
        <v>38062</v>
      </c>
      <c r="C30226" s="5" t="str">
        <f>IFERROR(__xludf.DUMMYFUNCTION("GOOGLETRANSLATE(B30226,""en"",""zh-CN"")"),"一个年轻的女孩正在清洁水槽。")</f>
        <v>一个年轻的女孩正在清洁水槽。</v>
      </c>
    </row>
    <row r="30227">
      <c r="A30227" s="4" t="s">
        <v>38061</v>
      </c>
      <c r="B30227" s="4" t="s">
        <v>38063</v>
      </c>
      <c r="C30227" s="5" t="str">
        <f>IFERROR(__xludf.DUMMYFUNCTION("GOOGLETRANSLATE(B30227,""en"",""zh-CN"")"),"那个女孩把她的衬衫全都弄湿了。")</f>
        <v>那个女孩把她的衬衫全都弄湿了。</v>
      </c>
    </row>
    <row r="30228">
      <c r="A30228" s="4" t="s">
        <v>38061</v>
      </c>
      <c r="B30228" s="4" t="s">
        <v>38064</v>
      </c>
      <c r="C30228" s="5" t="str">
        <f>IFERROR(__xludf.DUMMYFUNCTION("GOOGLETRANSLATE(B30228,""en"",""zh-CN"")"),"女孩指着水槽的排水。")</f>
        <v>女孩指着水槽的排水。</v>
      </c>
    </row>
    <row r="30229">
      <c r="A30229" s="4" t="s">
        <v>38065</v>
      </c>
      <c r="B30229" s="4" t="s">
        <v>38066</v>
      </c>
      <c r="C30229" s="5" t="str">
        <f>IFERROR(__xludf.DUMMYFUNCTION("GOOGLETRANSLATE(B30229,""en"",""zh-CN"")"),"一个小孩在他的嘴唇上摩擦闪光，然后走到镜子上。")</f>
        <v>一个小孩在他的嘴唇上摩擦闪光，然后走到镜子上。</v>
      </c>
    </row>
    <row r="30230">
      <c r="A30230" s="4" t="s">
        <v>38065</v>
      </c>
      <c r="B30230" s="6" t="s">
        <v>38067</v>
      </c>
      <c r="C30230" s="5" t="str">
        <f>IFERROR(__xludf.DUMMYFUNCTION("GOOGLETRANSLATE(B30230,""en"",""zh-CN"")"),"他继续将光泽放在嘴唇上，打嘴唇，最后转向相机说话。")</f>
        <v>他继续将光泽放在嘴唇上，打嘴唇，最后转向相机说话。</v>
      </c>
    </row>
    <row r="30231">
      <c r="A30231" s="4" t="s">
        <v>38068</v>
      </c>
      <c r="B30231" s="4" t="s">
        <v>38069</v>
      </c>
      <c r="C30231" s="5" t="str">
        <f>IFERROR(__xludf.DUMMYFUNCTION("GOOGLETRANSLATE(B30231,""en"",""zh-CN"")"),"一个男人和一个女人在有氧运动机器上锻炼。")</f>
        <v>一个男人和一个女人在有氧运动机器上锻炼。</v>
      </c>
    </row>
    <row r="30232">
      <c r="A30232" s="4" t="s">
        <v>38068</v>
      </c>
      <c r="B30232" s="4" t="s">
        <v>38070</v>
      </c>
      <c r="C30232" s="5" t="str">
        <f>IFERROR(__xludf.DUMMYFUNCTION("GOOGLETRANSLATE(B30232,""en"",""zh-CN"")"),"踏板的步幅长度显示在屏幕上。")</f>
        <v>踏板的步幅长度显示在屏幕上。</v>
      </c>
    </row>
    <row r="30233">
      <c r="A30233" s="4" t="s">
        <v>38068</v>
      </c>
      <c r="B30233" s="4" t="s">
        <v>38071</v>
      </c>
      <c r="C30233" s="5" t="str">
        <f>IFERROR(__xludf.DUMMYFUNCTION("GOOGLETRANSLATE(B30233,""en"",""zh-CN"")"),"然后，男人来见那个运动的女人。")</f>
        <v>然后，男人来见那个运动的女人。</v>
      </c>
    </row>
    <row r="30234">
      <c r="A30234" s="4" t="s">
        <v>38068</v>
      </c>
      <c r="B30234" s="4" t="s">
        <v>38072</v>
      </c>
      <c r="C30234" s="5" t="str">
        <f>IFERROR(__xludf.DUMMYFUNCTION("GOOGLETRANSLATE(B30234,""en"",""zh-CN"")"),"然后显示男人运动和腹部的肌肉。")</f>
        <v>然后显示男人运动和腹部的肌肉。</v>
      </c>
    </row>
    <row r="30235">
      <c r="A30235" s="4" t="s">
        <v>38068</v>
      </c>
      <c r="B30235" s="4" t="s">
        <v>38073</v>
      </c>
      <c r="C30235" s="5" t="str">
        <f>IFERROR(__xludf.DUMMYFUNCTION("GOOGLETRANSLATE(B30235,""en"",""zh-CN"")"),"显示了机器和屏幕面板的步骤。")</f>
        <v>显示了机器和屏幕面板的步骤。</v>
      </c>
    </row>
    <row r="30236">
      <c r="A30236" s="4" t="s">
        <v>38074</v>
      </c>
      <c r="B30236" s="6" t="s">
        <v>38075</v>
      </c>
      <c r="C30236" s="5" t="str">
        <f>IFERROR(__xludf.DUMMYFUNCTION("GOOGLETRANSLATE(B30236,""en"",""zh-CN"")"),"一个女孩和一个男孩在地下室类型房间里玩乒乓球，带乒乓球桌和闪闪发光的灯光。")</f>
        <v>一个女孩和一个男孩在地下室类型房间里玩乒乓球，带乒乓球桌和闪闪发光的灯光。</v>
      </c>
    </row>
    <row r="30237">
      <c r="A30237" s="4" t="s">
        <v>38074</v>
      </c>
      <c r="B30237" s="4" t="s">
        <v>38076</v>
      </c>
      <c r="C30237" s="5" t="str">
        <f>IFERROR(__xludf.DUMMYFUNCTION("GOOGLETRANSLATE(B30237,""en"",""zh-CN"")"),"这个男孩走到相机上进行封闭。")</f>
        <v>这个男孩走到相机上进行封闭。</v>
      </c>
    </row>
    <row r="30238">
      <c r="A30238" s="4" t="s">
        <v>38074</v>
      </c>
      <c r="B30238" s="4" t="s">
        <v>38077</v>
      </c>
      <c r="C30238" s="5" t="str">
        <f>IFERROR(__xludf.DUMMYFUNCTION("GOOGLETRANSLATE(B30238,""en"",""zh-CN"")"),"男孩和女孩再次开始玩乒乓球。")</f>
        <v>男孩和女孩再次开始玩乒乓球。</v>
      </c>
    </row>
    <row r="30239">
      <c r="A30239" s="4" t="s">
        <v>38078</v>
      </c>
      <c r="B30239" s="6" t="s">
        <v>38079</v>
      </c>
      <c r="C30239" s="5" t="str">
        <f>IFERROR(__xludf.DUMMYFUNCTION("GOOGLETRANSLATE(B30239,""en"",""zh-CN"")"),"穿着灰色衬衫的年轻女孩正在刷丁字裤，而穿着蓝色T恤的女性正在洗锅，另一个女孩拿着海绵。")</f>
        <v>穿着灰色衬衫的年轻女孩正在刷丁字裤，而穿着蓝色T恤的女性正在洗锅，另一个女孩拿着海绵。</v>
      </c>
    </row>
    <row r="30240">
      <c r="A30240" s="4" t="s">
        <v>38078</v>
      </c>
      <c r="B30240" s="4" t="s">
        <v>38080</v>
      </c>
      <c r="C30240" s="5" t="str">
        <f>IFERROR(__xludf.DUMMYFUNCTION("GOOGLETRANSLATE(B30240,""en"",""zh-CN"")"),"蓝色的年长女孩正在洗刀，而另一个是擦碗。")</f>
        <v>蓝色的年长女孩正在洗刀，而另一个是擦碗。</v>
      </c>
    </row>
    <row r="30241">
      <c r="A30241" s="4" t="s">
        <v>38078</v>
      </c>
      <c r="B30241" s="4" t="s">
        <v>38081</v>
      </c>
      <c r="C30241" s="5" t="str">
        <f>IFERROR(__xludf.DUMMYFUNCTION("GOOGLETRANSLATE(B30241,""en"",""zh-CN"")"),"女孩们把干净的菜放在架子上干燥。")</f>
        <v>女孩们把干净的菜放在架子上干燥。</v>
      </c>
    </row>
    <row r="30242">
      <c r="A30242" s="4" t="s">
        <v>38082</v>
      </c>
      <c r="B30242" s="4" t="s">
        <v>38083</v>
      </c>
      <c r="C30242" s="5" t="str">
        <f>IFERROR(__xludf.DUMMYFUNCTION("GOOGLETRANSLATE(B30242,""en"",""zh-CN"")"),"一个女人对镜头微笑。")</f>
        <v>一个女人对镜头微笑。</v>
      </c>
    </row>
    <row r="30243">
      <c r="A30243" s="4" t="s">
        <v>38082</v>
      </c>
      <c r="B30243" s="4" t="s">
        <v>38084</v>
      </c>
      <c r="C30243" s="5" t="str">
        <f>IFERROR(__xludf.DUMMYFUNCTION("GOOGLETRANSLATE(B30243,""en"",""zh-CN"")"),"女人在水下冲洗牙刷。")</f>
        <v>女人在水下冲洗牙刷。</v>
      </c>
    </row>
    <row r="30244">
      <c r="A30244" s="4" t="s">
        <v>38082</v>
      </c>
      <c r="B30244" s="4" t="s">
        <v>38085</v>
      </c>
      <c r="C30244" s="5" t="str">
        <f>IFERROR(__xludf.DUMMYFUNCTION("GOOGLETRANSLATE(B30244,""en"",""zh-CN"")"),"女人将牙膏涂在牙刷上。")</f>
        <v>女人将牙膏涂在牙刷上。</v>
      </c>
    </row>
    <row r="30245">
      <c r="A30245" s="4" t="s">
        <v>38082</v>
      </c>
      <c r="B30245" s="4" t="s">
        <v>38086</v>
      </c>
      <c r="C30245" s="5" t="str">
        <f>IFERROR(__xludf.DUMMYFUNCTION("GOOGLETRANSLATE(B30245,""en"",""zh-CN"")"),"那个女人展示了刷牙。")</f>
        <v>那个女人展示了刷牙。</v>
      </c>
    </row>
    <row r="30246">
      <c r="A30246" s="4" t="s">
        <v>38082</v>
      </c>
      <c r="B30246" s="4" t="s">
        <v>38087</v>
      </c>
      <c r="C30246" s="5" t="str">
        <f>IFERROR(__xludf.DUMMYFUNCTION("GOOGLETRANSLATE(B30246,""en"",""zh-CN"")"),"女人再次在水下冲洗牙刷。")</f>
        <v>女人再次在水下冲洗牙刷。</v>
      </c>
    </row>
    <row r="30247">
      <c r="A30247" s="4" t="s">
        <v>38082</v>
      </c>
      <c r="B30247" s="4" t="s">
        <v>38088</v>
      </c>
      <c r="C30247" s="5" t="str">
        <f>IFERROR(__xludf.DUMMYFUNCTION("GOOGLETRANSLATE(B30247,""en"",""zh-CN"")"),"女人用一杯水冲洗嘴。")</f>
        <v>女人用一杯水冲洗嘴。</v>
      </c>
    </row>
    <row r="30248">
      <c r="A30248" s="4" t="s">
        <v>38082</v>
      </c>
      <c r="B30248" s="4" t="s">
        <v>38089</v>
      </c>
      <c r="C30248" s="5" t="str">
        <f>IFERROR(__xludf.DUMMYFUNCTION("GOOGLETRANSLATE(B30248,""en"",""zh-CN"")"),"女人毛巾毛巾露出牙齿。")</f>
        <v>女人毛巾毛巾露出牙齿。</v>
      </c>
    </row>
    <row r="30249">
      <c r="A30249" s="4" t="s">
        <v>38090</v>
      </c>
      <c r="B30249" s="4" t="s">
        <v>38091</v>
      </c>
      <c r="C30249" s="5" t="str">
        <f>IFERROR(__xludf.DUMMYFUNCTION("GOOGLETRANSLATE(B30249,""en"",""zh-CN"")"),"一群运动员站在一个土墩上，而一个运动员则将球扔给另一个球员。")</f>
        <v>一群运动员站在一个土墩上，而一个运动员则将球扔给另一个球员。</v>
      </c>
    </row>
    <row r="30250">
      <c r="A30250" s="4" t="s">
        <v>38090</v>
      </c>
      <c r="B30250" s="4" t="s">
        <v>38092</v>
      </c>
      <c r="C30250" s="5" t="str">
        <f>IFERROR(__xludf.DUMMYFUNCTION("GOOGLETRANSLATE(B30250,""en"",""zh-CN"")"),"击球手将球击中了看台，这一刻在3-D中被重新捕获。")</f>
        <v>击球手将球击中了看台，这一刻在3-D中被重新捕获。</v>
      </c>
    </row>
    <row r="30251">
      <c r="A30251" s="4" t="s">
        <v>38090</v>
      </c>
      <c r="B30251" s="4" t="s">
        <v>38093</v>
      </c>
      <c r="C30251" s="5" t="str">
        <f>IFERROR(__xludf.DUMMYFUNCTION("GOOGLETRANSLATE(B30251,""en"",""zh-CN"")"),"一位记者评论了这次热门歌曲的惊人，并从各个角度重播。")</f>
        <v>一位记者评论了这次热门歌曲的惊人，并从各个角度重播。</v>
      </c>
    </row>
    <row r="30252">
      <c r="A30252" s="4" t="s">
        <v>38090</v>
      </c>
      <c r="B30252" s="4" t="s">
        <v>38094</v>
      </c>
      <c r="C30252" s="5" t="str">
        <f>IFERROR(__xludf.DUMMYFUNCTION("GOOGLETRANSLATE(B30252,""en"",""zh-CN"")"),"球员接受了记者的采访，并再次在电视上展示了他的时刻。")</f>
        <v>球员接受了记者的采访，并再次在电视上展示了他的时刻。</v>
      </c>
    </row>
    <row r="30253">
      <c r="A30253" s="4" t="s">
        <v>38095</v>
      </c>
      <c r="B30253" s="4" t="s">
        <v>38096</v>
      </c>
      <c r="C30253" s="5" t="str">
        <f>IFERROR(__xludf.DUMMYFUNCTION("GOOGLETRANSLATE(B30253,""en"",""zh-CN"")"),"攀岩商店里面的人聚集在绳子上的跳跃。")</f>
        <v>攀岩商店里面的人聚集在绳子上的跳跃。</v>
      </c>
    </row>
    <row r="30254">
      <c r="A30254" s="4" t="s">
        <v>38095</v>
      </c>
      <c r="B30254" s="4" t="s">
        <v>38097</v>
      </c>
      <c r="C30254" s="5" t="str">
        <f>IFERROR(__xludf.DUMMYFUNCTION("GOOGLETRANSLATE(B30254,""en"",""zh-CN"")"),"绿色的男人做了一些技巧，然后一个穿着连帽衫的男人跳了起来。")</f>
        <v>绿色的男人做了一些技巧，然后一个穿着连帽衫的男人跳了起来。</v>
      </c>
    </row>
    <row r="30255">
      <c r="A30255" s="4" t="s">
        <v>38095</v>
      </c>
      <c r="B30255" s="4" t="s">
        <v>38098</v>
      </c>
      <c r="C30255" s="5" t="str">
        <f>IFERROR(__xludf.DUMMYFUNCTION("GOOGLETRANSLATE(B30255,""en"",""zh-CN"")"),"有人有相机，每个人都散布在做自己的事情上。")</f>
        <v>有人有相机，每个人都散布在做自己的事情上。</v>
      </c>
    </row>
    <row r="30256">
      <c r="A30256" s="4" t="s">
        <v>38095</v>
      </c>
      <c r="B30256" s="4" t="s">
        <v>38099</v>
      </c>
      <c r="C30256" s="5" t="str">
        <f>IFERROR(__xludf.DUMMYFUNCTION("GOOGLETRANSLATE(B30256,""en"",""zh-CN"")"),"绿色的男人继续跳上绳索，直到他把它倒下。")</f>
        <v>绿色的男人继续跳上绳索，直到他把它倒下。</v>
      </c>
    </row>
    <row r="30257">
      <c r="A30257" s="4" t="s">
        <v>38100</v>
      </c>
      <c r="B30257" s="6" t="s">
        <v>38101</v>
      </c>
      <c r="C30257" s="5" t="str">
        <f>IFERROR(__xludf.DUMMYFUNCTION("GOOGLETRANSLATE(B30257,""en"",""zh-CN"")"),"佛罗里达鳄鱼队穿着蓝色和橙色的田径长跳投准备进行奔跑，而其他参与者，教练和官员则在田径比赛中聚集在一起。")</f>
        <v>佛罗里达鳄鱼队穿着蓝色和橙色的田径长跳投准备进行奔跑，而其他参与者，教练和官员则在田径比赛中聚集在一起。</v>
      </c>
    </row>
    <row r="30258">
      <c r="A30258" s="4" t="s">
        <v>38100</v>
      </c>
      <c r="B30258" s="6" t="s">
        <v>38102</v>
      </c>
      <c r="C30258" s="5" t="str">
        <f>IFERROR(__xludf.DUMMYFUNCTION("GOOGLETRANSLATE(B30258,""en"",""zh-CN"")"),"佛罗里达鳄鱼长套头衫以渐进的前进步行开始他的奔跑，然后跳过并快速冲刺到沙坑跳跃标记。")</f>
        <v>佛罗里达鳄鱼长套头衫以渐进的前进步行开始他的奔跑，然后跳过并快速冲刺到沙坑跳跃标记。</v>
      </c>
    </row>
    <row r="30259">
      <c r="A30259" s="4" t="s">
        <v>38100</v>
      </c>
      <c r="B30259" s="4" t="s">
        <v>38103</v>
      </c>
      <c r="C30259" s="5" t="str">
        <f>IFERROR(__xludf.DUMMYFUNCTION("GOOGLETRANSLATE(B30259,""en"",""zh-CN"")"),"佛罗里达鳄鱼长跳线跳跃，飞过空气，降落在沙滩上。")</f>
        <v>佛罗里达鳄鱼长跳线跳跃，飞过空气，降落在沙滩上。</v>
      </c>
    </row>
    <row r="30260">
      <c r="A30260" s="4" t="s">
        <v>38100</v>
      </c>
      <c r="B30260" s="4" t="s">
        <v>38104</v>
      </c>
      <c r="C30260" s="5" t="str">
        <f>IFERROR(__xludf.DUMMYFUNCTION("GOOGLETRANSLATE(B30260,""en"",""zh-CN"")"),"摄像头锅到分数板上，显示跳跃球的结果。")</f>
        <v>摄像头锅到分数板上，显示跳跃球的结果。</v>
      </c>
    </row>
    <row r="30261">
      <c r="A30261" s="4" t="s">
        <v>38105</v>
      </c>
      <c r="B30261" s="4" t="s">
        <v>38106</v>
      </c>
      <c r="C30261" s="5" t="str">
        <f>IFERROR(__xludf.DUMMYFUNCTION("GOOGLETRANSLATE(B30261,""en"",""zh-CN"")"),"简介开始并导致一个女人站在桌子上的德国谢泼德旁边。")</f>
        <v>简介开始并导致一个女人站在桌子上的德国谢泼德旁边。</v>
      </c>
    </row>
    <row r="30262">
      <c r="A30262" s="4" t="s">
        <v>38105</v>
      </c>
      <c r="B30262" s="6" t="s">
        <v>38107</v>
      </c>
      <c r="C30262" s="5" t="str">
        <f>IFERROR(__xludf.DUMMYFUNCTION("GOOGLETRANSLATE(B30262,""en"",""zh-CN"")"),"商店周围的快速运动观看，然后显示了那个女人用几种乐器刷狗。")</f>
        <v>商店周围的快速运动观看，然后显示了那个女人用几种乐器刷狗。</v>
      </c>
    </row>
    <row r="30263">
      <c r="A30263" s="4" t="s">
        <v>38105</v>
      </c>
      <c r="B30263" s="4" t="s">
        <v>38108</v>
      </c>
      <c r="C30263" s="5" t="str">
        <f>IFERROR(__xludf.DUMMYFUNCTION("GOOGLETRANSLATE(B30263,""en"",""zh-CN"")"),"她继续刷他并与镜头交谈时，她有点宠物。")</f>
        <v>她继续刷他并与镜头交谈时，她有点宠物。</v>
      </c>
    </row>
    <row r="30264">
      <c r="A30264" s="4" t="s">
        <v>38109</v>
      </c>
      <c r="B30264" s="4" t="s">
        <v>38110</v>
      </c>
      <c r="C30264" s="5" t="str">
        <f>IFERROR(__xludf.DUMMYFUNCTION("GOOGLETRANSLATE(B30264,""en"",""zh-CN"")"),"小女孩表演握着棍子在旋转的​​棍子上移动。")</f>
        <v>小女孩表演握着棍子在旋转的​​棍子上移动。</v>
      </c>
    </row>
    <row r="30265">
      <c r="A30265" s="4" t="s">
        <v>38109</v>
      </c>
      <c r="B30265" s="4" t="s">
        <v>38111</v>
      </c>
      <c r="C30265" s="5" t="str">
        <f>IFERROR(__xludf.DUMMYFUNCTION("GOOGLETRANSLATE(B30265,""en"",""zh-CN"")"),"小女孩抬起棍子，跳了起来。")</f>
        <v>小女孩抬起棍子，跳了起来。</v>
      </c>
    </row>
    <row r="30266">
      <c r="A30266" s="4" t="s">
        <v>38109</v>
      </c>
      <c r="B30266" s="4" t="s">
        <v>38112</v>
      </c>
      <c r="C30266" s="5" t="str">
        <f>IFERROR(__xludf.DUMMYFUNCTION("GOOGLETRANSLATE(B30266,""en"",""zh-CN"")"),"两个女人走向门。")</f>
        <v>两个女人走向门。</v>
      </c>
    </row>
    <row r="30267">
      <c r="A30267" s="4" t="s">
        <v>38109</v>
      </c>
      <c r="B30267" s="4" t="s">
        <v>38113</v>
      </c>
      <c r="C30267" s="5" t="str">
        <f>IFERROR(__xludf.DUMMYFUNCTION("GOOGLETRANSLATE(B30267,""en"",""zh-CN"")"),"之后，小女孩在地板上旋转，然后继续跳跃并旋转。")</f>
        <v>之后，小女孩在地板上旋转，然后继续跳跃并旋转。</v>
      </c>
    </row>
    <row r="30268">
      <c r="A30268" s="4" t="s">
        <v>38109</v>
      </c>
      <c r="B30268" s="4" t="s">
        <v>38114</v>
      </c>
      <c r="C30268" s="5" t="str">
        <f>IFERROR(__xludf.DUMMYFUNCTION("GOOGLETRANSLATE(B30268,""en"",""zh-CN"")"),"接下来，女孩们聚在一起致敬。")</f>
        <v>接下来，女孩们聚在一起致敬。</v>
      </c>
    </row>
    <row r="30269">
      <c r="A30269" s="4" t="s">
        <v>38115</v>
      </c>
      <c r="B30269" s="4" t="s">
        <v>38116</v>
      </c>
      <c r="C30269" s="5" t="str">
        <f>IFERROR(__xludf.DUMMYFUNCTION("GOOGLETRANSLATE(B30269,""en"",""zh-CN"")"),"一个男人扮演谭谭，然后他用交叉的双手交谈。")</f>
        <v>一个男人扮演谭谭，然后他用交叉的双手交谈。</v>
      </c>
    </row>
    <row r="30270">
      <c r="A30270" s="4" t="s">
        <v>38115</v>
      </c>
      <c r="B30270" s="4" t="s">
        <v>38117</v>
      </c>
      <c r="C30270" s="5" t="str">
        <f>IFERROR(__xludf.DUMMYFUNCTION("GOOGLETRANSLATE(B30270,""en"",""zh-CN"")"),"然后，该男子用右手扮演Tam-Tam，用左手玩棍子。")</f>
        <v>然后，该男子用右手扮演Tam-Tam，用左手玩棍子。</v>
      </c>
    </row>
    <row r="30271">
      <c r="A30271" s="4" t="s">
        <v>38118</v>
      </c>
      <c r="B30271" s="4" t="s">
        <v>38119</v>
      </c>
      <c r="C30271" s="5" t="str">
        <f>IFERROR(__xludf.DUMMYFUNCTION("GOOGLETRANSLATE(B30271,""en"",""zh-CN"")"),"一个男人带着大型达尔马提亚人走到运动场上。")</f>
        <v>一个男人带着大型达尔马提亚人走到运动场上。</v>
      </c>
    </row>
    <row r="30272">
      <c r="A30272" s="4" t="s">
        <v>38118</v>
      </c>
      <c r="B30272" s="4" t="s">
        <v>38120</v>
      </c>
      <c r="C30272" s="5" t="str">
        <f>IFERROR(__xludf.DUMMYFUNCTION("GOOGLETRANSLATE(B30272,""en"",""zh-CN"")"),"该男子停下来扔飞盘并将其退还给男人。")</f>
        <v>该男子停下来扔飞盘并将其退还给男人。</v>
      </c>
    </row>
    <row r="30273">
      <c r="A30273" s="4" t="s">
        <v>38118</v>
      </c>
      <c r="B30273" s="4" t="s">
        <v>38121</v>
      </c>
      <c r="C30273" s="5" t="str">
        <f>IFERROR(__xludf.DUMMYFUNCTION("GOOGLETRANSLATE(B30273,""en"",""zh-CN"")"),"狗与飞盘在田野上盘旋。")</f>
        <v>狗与飞盘在田野上盘旋。</v>
      </c>
    </row>
    <row r="30274">
      <c r="A30274" s="4" t="s">
        <v>38122</v>
      </c>
      <c r="B30274" s="4" t="s">
        <v>38123</v>
      </c>
      <c r="C30274" s="5" t="str">
        <f>IFERROR(__xludf.DUMMYFUNCTION("GOOGLETRANSLATE(B30274,""en"",""zh-CN"")"),"一个人正在使用原木分离器切割山脉。")</f>
        <v>一个人正在使用原木分离器切割山脉。</v>
      </c>
    </row>
    <row r="30275">
      <c r="A30275" s="4" t="s">
        <v>38122</v>
      </c>
      <c r="B30275" s="4" t="s">
        <v>38124</v>
      </c>
      <c r="C30275" s="5" t="str">
        <f>IFERROR(__xludf.DUMMYFUNCTION("GOOGLETRANSLATE(B30275,""en"",""zh-CN"")"),"剩余的木材显示，树桩被切割。")</f>
        <v>剩余的木材显示，树桩被切割。</v>
      </c>
    </row>
    <row r="30276">
      <c r="A30276" s="4" t="s">
        <v>38125</v>
      </c>
      <c r="B30276" s="4" t="s">
        <v>38126</v>
      </c>
      <c r="C30276" s="5" t="str">
        <f>IFERROR(__xludf.DUMMYFUNCTION("GOOGLETRANSLATE(B30276,""en"",""zh-CN"")"),"一个摄像头在湖泊周围竖起，并显示一个人在独木舟上骑行。")</f>
        <v>一个摄像头在湖泊周围竖起，并显示一个人在独木舟上骑行。</v>
      </c>
    </row>
    <row r="30277">
      <c r="A30277" s="4" t="s">
        <v>38125</v>
      </c>
      <c r="B30277" s="4" t="s">
        <v>38127</v>
      </c>
      <c r="C30277" s="5" t="str">
        <f>IFERROR(__xludf.DUMMYFUNCTION("GOOGLETRANSLATE(B30277,""en"",""zh-CN"")"),"该人被困在一块岩石上，最后划船自己。")</f>
        <v>该人被困在一块岩石上，最后划船自己。</v>
      </c>
    </row>
    <row r="30278">
      <c r="A30278" s="4" t="s">
        <v>38125</v>
      </c>
      <c r="B30278" s="4" t="s">
        <v>38128</v>
      </c>
      <c r="C30278" s="5" t="str">
        <f>IFERROR(__xludf.DUMMYFUNCTION("GOOGLETRANSLATE(B30278,""en"",""zh-CN"")"),"该人继续被困在该地区，但成功地移动。")</f>
        <v>该人继续被困在该地区，但成功地移动。</v>
      </c>
    </row>
    <row r="30279">
      <c r="A30279" s="4" t="s">
        <v>38129</v>
      </c>
      <c r="B30279" s="4" t="s">
        <v>38130</v>
      </c>
      <c r="C30279" s="5" t="str">
        <f>IFERROR(__xludf.DUMMYFUNCTION("GOOGLETRANSLATE(B30279,""en"",""zh-CN"")"),"穿着西装的男人正在与相机交谈，因为人们在他身后。")</f>
        <v>穿着西装的男人正在与相机交谈，因为人们在他身后。</v>
      </c>
    </row>
    <row r="30280">
      <c r="A30280" s="4" t="s">
        <v>38129</v>
      </c>
      <c r="B30280" s="4" t="s">
        <v>38131</v>
      </c>
      <c r="C30280" s="5" t="str">
        <f>IFERROR(__xludf.DUMMYFUNCTION("GOOGLETRANSLATE(B30280,""en"",""zh-CN"")"),"那个老人将飞镖扔在飞镖板上，三个飞镖降落在一个地方。")</f>
        <v>那个老人将飞镖扔在飞镖板上，三个飞镖降落在一个地方。</v>
      </c>
    </row>
    <row r="30281">
      <c r="A30281" s="4" t="s">
        <v>38129</v>
      </c>
      <c r="B30281" s="6" t="s">
        <v>38132</v>
      </c>
      <c r="C30281" s="5" t="str">
        <f>IFERROR(__xludf.DUMMYFUNCTION("GOOGLETRANSLATE(B30281,""en"",""zh-CN"")"),"该男子将自己放置在董事会中，然后飞镖彼此远离。")</f>
        <v>该男子将自己放置在董事会中，然后飞镖彼此远离。</v>
      </c>
    </row>
    <row r="30282">
      <c r="A30282" s="4" t="s">
        <v>38129</v>
      </c>
      <c r="B30282" s="4" t="s">
        <v>38133</v>
      </c>
      <c r="C30282" s="5" t="str">
        <f>IFERROR(__xludf.DUMMYFUNCTION("GOOGLETRANSLATE(B30282,""en"",""zh-CN"")"),"该男子继续用飞镖击中董事会。")</f>
        <v>该男子继续用飞镖击中董事会。</v>
      </c>
    </row>
    <row r="30283">
      <c r="A30283" s="4" t="s">
        <v>38134</v>
      </c>
      <c r="B30283" s="6" t="s">
        <v>38135</v>
      </c>
      <c r="C30283" s="5" t="str">
        <f>IFERROR(__xludf.DUMMYFUNCTION("GOOGLETRANSLATE(B30283,""en"",""zh-CN"")"),"摄像机围绕着一群坐在椅子编织椅子上说话的妇女周围。")</f>
        <v>摄像机围绕着一群坐在椅子编织椅子上说话的妇女周围。</v>
      </c>
    </row>
    <row r="30284">
      <c r="A30284" s="4" t="s">
        <v>38134</v>
      </c>
      <c r="B30284" s="6" t="s">
        <v>38136</v>
      </c>
      <c r="C30284" s="5" t="str">
        <f>IFERROR(__xludf.DUMMYFUNCTION("GOOGLETRANSLATE(B30284,""en"",""zh-CN"")"),"显示了几张女性编织的照片，并带回人们互相编织的人，并显示了更多图片。")</f>
        <v>显示了几张女性编织的照片，并带回人们互相编织的人，并显示了更多图片。</v>
      </c>
    </row>
    <row r="30285">
      <c r="A30285" s="4" t="s">
        <v>38137</v>
      </c>
      <c r="B30285" s="4" t="s">
        <v>38138</v>
      </c>
      <c r="C30285" s="5" t="str">
        <f>IFERROR(__xludf.DUMMYFUNCTION("GOOGLETRANSLATE(B30285,""en"",""zh-CN"")"),"一群队友正在球场上骑马。")</f>
        <v>一群队友正在球场上骑马。</v>
      </c>
    </row>
    <row r="30286">
      <c r="A30286" s="4" t="s">
        <v>38137</v>
      </c>
      <c r="B30286" s="4" t="s">
        <v>38139</v>
      </c>
      <c r="C30286" s="5" t="str">
        <f>IFERROR(__xludf.DUMMYFUNCTION("GOOGLETRANSLATE(B30286,""en"",""zh-CN"")"),"他们正在玩马球比赛。")</f>
        <v>他们正在玩马球比赛。</v>
      </c>
    </row>
    <row r="30287">
      <c r="A30287" s="4" t="s">
        <v>38137</v>
      </c>
      <c r="B30287" s="4" t="s">
        <v>38140</v>
      </c>
      <c r="C30287" s="5" t="str">
        <f>IFERROR(__xludf.DUMMYFUNCTION("GOOGLETRANSLATE(B30287,""en"",""zh-CN"")"),"人们骑马奔跑，试图击球。")</f>
        <v>人们骑马奔跑，试图击球。</v>
      </c>
    </row>
    <row r="30288">
      <c r="A30288" s="4" t="s">
        <v>38141</v>
      </c>
      <c r="B30288" s="4" t="s">
        <v>38142</v>
      </c>
      <c r="C30288" s="5" t="str">
        <f>IFERROR(__xludf.DUMMYFUNCTION("GOOGLETRANSLATE(B30288,""en"",""zh-CN"")"),"一个男人在攀岩墙面前说话。")</f>
        <v>一个男人在攀岩墙面前说话。</v>
      </c>
    </row>
    <row r="30289">
      <c r="A30289" s="4" t="s">
        <v>38141</v>
      </c>
      <c r="B30289" s="4" t="s">
        <v>38143</v>
      </c>
      <c r="C30289" s="5" t="str">
        <f>IFERROR(__xludf.DUMMYFUNCTION("GOOGLETRANSLATE(B30289,""en"",""zh-CN"")"),"他开始爬上攀岩墙。")</f>
        <v>他开始爬上攀岩墙。</v>
      </c>
    </row>
    <row r="30290">
      <c r="A30290" s="4" t="s">
        <v>38141</v>
      </c>
      <c r="B30290" s="4" t="s">
        <v>38144</v>
      </c>
      <c r="C30290" s="5" t="str">
        <f>IFERROR(__xludf.DUMMYFUNCTION("GOOGLETRANSLATE(B30290,""en"",""zh-CN"")"),"一个戴着黄色帽子的男人在说话。")</f>
        <v>一个戴着黄色帽子的男人在说话。</v>
      </c>
    </row>
    <row r="30291">
      <c r="A30291" s="4" t="s">
        <v>38141</v>
      </c>
      <c r="B30291" s="4" t="s">
        <v>38145</v>
      </c>
      <c r="C30291" s="5" t="str">
        <f>IFERROR(__xludf.DUMMYFUNCTION("GOOGLETRANSLATE(B30291,""en"",""zh-CN"")"),"他爬上墙。")</f>
        <v>他爬上墙。</v>
      </c>
    </row>
    <row r="30292">
      <c r="A30292" s="4" t="s">
        <v>38141</v>
      </c>
      <c r="B30292" s="4" t="s">
        <v>38146</v>
      </c>
      <c r="C30292" s="5" t="str">
        <f>IFERROR(__xludf.DUMMYFUNCTION("GOOGLETRANSLATE(B30292,""en"",""zh-CN"")"),"几个人正在爬上攀岩墙。")</f>
        <v>几个人正在爬上攀岩墙。</v>
      </c>
    </row>
    <row r="30293">
      <c r="A30293" s="4" t="s">
        <v>38147</v>
      </c>
      <c r="B30293" s="4" t="s">
        <v>38148</v>
      </c>
      <c r="C30293" s="5" t="str">
        <f>IFERROR(__xludf.DUMMYFUNCTION("GOOGLETRANSLATE(B30293,""en"",""zh-CN"")"),"一个穿着黑色沐浴躯干的男人坐在内管上，因为它滑下了管子滑梯。")</f>
        <v>一个穿着黑色沐浴躯干的男人坐在内管上，因为它滑下了管子滑梯。</v>
      </c>
    </row>
    <row r="30294">
      <c r="A30294" s="4" t="s">
        <v>38147</v>
      </c>
      <c r="B30294" s="4" t="s">
        <v>38149</v>
      </c>
      <c r="C30294" s="5" t="str">
        <f>IFERROR(__xludf.DUMMYFUNCTION("GOOGLETRANSLATE(B30294,""en"",""zh-CN"")"),"一个穿着深色树干的男人站在水上公园的封闭的水滑梯上。")</f>
        <v>一个穿着深色树干的男人站在水上公园的封闭的水滑梯上。</v>
      </c>
    </row>
    <row r="30295">
      <c r="A30295" s="4" t="s">
        <v>38147</v>
      </c>
      <c r="B30295" s="4" t="s">
        <v>38150</v>
      </c>
      <c r="C30295" s="5" t="str">
        <f>IFERROR(__xludf.DUMMYFUNCTION("GOOGLETRANSLATE(B30295,""en"",""zh-CN"")"),"两个人在水上公园滑下蓝色的水滑梯，最终进入一个巨大的游泳池。")</f>
        <v>两个人在水上公园滑下蓝色的水滑梯，最终进入一个巨大的游泳池。</v>
      </c>
    </row>
    <row r="30296">
      <c r="A30296" s="4" t="s">
        <v>38147</v>
      </c>
      <c r="B30296" s="4" t="s">
        <v>38151</v>
      </c>
      <c r="C30296" s="5" t="str">
        <f>IFERROR(__xludf.DUMMYFUNCTION("GOOGLETRANSLATE(B30296,""en"",""zh-CN"")"),"一群人在水上乐园的不同地区游泳的不同场景。")</f>
        <v>一群人在水上乐园的不同地区游泳的不同场景。</v>
      </c>
    </row>
    <row r="30297">
      <c r="A30297" s="4" t="s">
        <v>38152</v>
      </c>
      <c r="B30297" s="4" t="s">
        <v>38153</v>
      </c>
      <c r="C30297" s="5" t="str">
        <f>IFERROR(__xludf.DUMMYFUNCTION("GOOGLETRANSLATE(B30297,""en"",""zh-CN"")"),"一个穿着白色冰壶装备的男子正在参加这项运动。")</f>
        <v>一个穿着白色冰壶装备的男子正在参加这项运动。</v>
      </c>
    </row>
    <row r="30298">
      <c r="A30298" s="4" t="s">
        <v>38152</v>
      </c>
      <c r="B30298" s="4" t="s">
        <v>38154</v>
      </c>
      <c r="C30298" s="5" t="str">
        <f>IFERROR(__xludf.DUMMYFUNCTION("GOOGLETRANSLATE(B30298,""en"",""zh-CN"")"),"他用棍子和岩石去冰壶溜冰场。")</f>
        <v>他用棍子和岩石去冰壶溜冰场。</v>
      </c>
    </row>
    <row r="30299">
      <c r="A30299" s="4" t="s">
        <v>38152</v>
      </c>
      <c r="B30299" s="4" t="s">
        <v>38155</v>
      </c>
      <c r="C30299" s="5" t="str">
        <f>IFERROR(__xludf.DUMMYFUNCTION("GOOGLETRANSLATE(B30299,""en"",""zh-CN"")"),"他正在参加这项运动，而在另一个位置，有两名音乐家表演。")</f>
        <v>他正在参加这项运动，而在另一个位置，有两名音乐家表演。</v>
      </c>
    </row>
    <row r="30300">
      <c r="A30300" s="4" t="s">
        <v>38152</v>
      </c>
      <c r="B30300" s="6" t="s">
        <v>38156</v>
      </c>
      <c r="C30300" s="5" t="str">
        <f>IFERROR(__xludf.DUMMYFUNCTION("GOOGLETRANSLATE(B30300,""en"",""zh-CN"")"),"他们俩都在唱歌，因为一位音乐家正在弹吉他，另一位音乐家正在鼓声。")</f>
        <v>他们俩都在唱歌，因为一位音乐家正在弹吉他，另一位音乐家正在鼓声。</v>
      </c>
    </row>
    <row r="30301">
      <c r="A30301" s="4" t="s">
        <v>38152</v>
      </c>
      <c r="B30301" s="4" t="s">
        <v>38157</v>
      </c>
      <c r="C30301" s="5" t="str">
        <f>IFERROR(__xludf.DUMMYFUNCTION("GOOGLETRANSLATE(B30301,""en"",""zh-CN"")"),"当他用卷发棍子推动岩石时，该男子继续在溜冰场上玩冰壶。")</f>
        <v>当他用卷发棍子推动岩石时，该男子继续在溜冰场上玩冰壶。</v>
      </c>
    </row>
    <row r="30302">
      <c r="A30302" s="4" t="s">
        <v>38152</v>
      </c>
      <c r="B30302" s="4" t="s">
        <v>38158</v>
      </c>
      <c r="C30302" s="5" t="str">
        <f>IFERROR(__xludf.DUMMYFUNCTION("GOOGLETRANSLATE(B30302,""en"",""zh-CN"")"),"他与另一个年轻人一起显示了他的照片。")</f>
        <v>他与另一个年轻人一起显示了他的照片。</v>
      </c>
    </row>
    <row r="30303">
      <c r="A30303" s="4" t="s">
        <v>38152</v>
      </c>
      <c r="B30303" s="4" t="s">
        <v>38159</v>
      </c>
      <c r="C30303" s="5" t="str">
        <f>IFERROR(__xludf.DUMMYFUNCTION("GOOGLETRANSLATE(B30303,""en"",""zh-CN"")"),"他在手里拿着扫帚的同时与不同的人合影。")</f>
        <v>他在手里拿着扫帚的同时与不同的人合影。</v>
      </c>
    </row>
    <row r="30304">
      <c r="A30304" s="4" t="s">
        <v>38152</v>
      </c>
      <c r="B30304" s="4" t="s">
        <v>38160</v>
      </c>
      <c r="C30304" s="5" t="str">
        <f>IFERROR(__xludf.DUMMYFUNCTION("GOOGLETRANSLATE(B30304,""en"",""zh-CN"")"),"他回到冰壶溜冰场上，唱歌并旋转着手中的冰壶棍子。")</f>
        <v>他回到冰壶溜冰场上，唱歌并旋转着手中的冰壶棍子。</v>
      </c>
    </row>
    <row r="30305">
      <c r="A30305" s="4" t="s">
        <v>38161</v>
      </c>
      <c r="B30305" s="4" t="s">
        <v>38162</v>
      </c>
      <c r="C30305" s="5" t="str">
        <f>IFERROR(__xludf.DUMMYFUNCTION("GOOGLETRANSLATE(B30305,""en"",""zh-CN"")"),"一个男人站在一张握着弓的桌子上说话。")</f>
        <v>一个男人站在一张握着弓的桌子上说话。</v>
      </c>
    </row>
    <row r="30306">
      <c r="A30306" s="4" t="s">
        <v>38161</v>
      </c>
      <c r="B30306" s="4" t="s">
        <v>38163</v>
      </c>
      <c r="C30306" s="5" t="str">
        <f>IFERROR(__xludf.DUMMYFUNCTION("GOOGLETRANSLATE(B30306,""en"",""zh-CN"")"),"然后，他走到外面，向目标射击。")</f>
        <v>然后，他走到外面，向目标射击。</v>
      </c>
    </row>
    <row r="30307">
      <c r="A30307" s="4" t="s">
        <v>38161</v>
      </c>
      <c r="B30307" s="4" t="s">
        <v>38164</v>
      </c>
      <c r="C30307" s="5" t="str">
        <f>IFERROR(__xludf.DUMMYFUNCTION("GOOGLETRANSLATE(B30307,""en"",""zh-CN"")"),"显示了弓的特写。")</f>
        <v>显示了弓的特写。</v>
      </c>
    </row>
    <row r="30308">
      <c r="A30308" s="4" t="s">
        <v>38165</v>
      </c>
      <c r="B30308" s="4" t="s">
        <v>7411</v>
      </c>
      <c r="C30308" s="5" t="str">
        <f>IFERROR(__xludf.DUMMYFUNCTION("GOOGLETRANSLATE(B30308,""en"",""zh-CN"")"),"我们看到一个蓝色的打开屏幕。")</f>
        <v>我们看到一个蓝色的打开屏幕。</v>
      </c>
    </row>
    <row r="30309">
      <c r="A30309" s="4" t="s">
        <v>38165</v>
      </c>
      <c r="B30309" s="4" t="s">
        <v>38166</v>
      </c>
      <c r="C30309" s="5" t="str">
        <f>IFERROR(__xludf.DUMMYFUNCTION("GOOGLETRANSLATE(B30309,""en"",""zh-CN"")"),"然后，我们看到人们在比赛中解决魔方。")</f>
        <v>然后，我们看到人们在比赛中解决魔方。</v>
      </c>
    </row>
    <row r="30310">
      <c r="A30310" s="4" t="s">
        <v>38165</v>
      </c>
      <c r="B30310" s="4" t="s">
        <v>38167</v>
      </c>
      <c r="C30310" s="5" t="str">
        <f>IFERROR(__xludf.DUMMYFUNCTION("GOOGLETRANSLATE(B30310,""en"",""zh-CN"")"),"一个男孩结束了，抬起手臂，在椅子上旋转。")</f>
        <v>一个男孩结束了，抬起手臂，在椅子上旋转。</v>
      </c>
    </row>
    <row r="30311">
      <c r="A30311" s="4" t="s">
        <v>38165</v>
      </c>
      <c r="B30311" s="4" t="s">
        <v>38168</v>
      </c>
      <c r="C30311" s="5" t="str">
        <f>IFERROR(__xludf.DUMMYFUNCTION("GOOGLETRANSLATE(B30311,""en"",""zh-CN"")"),"我们看到一个男孩扔了他的手臂和大喊。")</f>
        <v>我们看到一个男孩扔了他的手臂和大喊。</v>
      </c>
    </row>
    <row r="30312">
      <c r="A30312" s="4" t="s">
        <v>38169</v>
      </c>
      <c r="B30312" s="4" t="s">
        <v>38170</v>
      </c>
      <c r="C30312" s="5" t="str">
        <f>IFERROR(__xludf.DUMMYFUNCTION("GOOGLETRANSLATE(B30312,""en"",""zh-CN"")"),"一个团队准备玩一个名为Hurling的游戏。")</f>
        <v>一个团队准备玩一个名为Hurling的游戏。</v>
      </c>
    </row>
    <row r="30313">
      <c r="A30313" s="4" t="s">
        <v>38169</v>
      </c>
      <c r="B30313" s="4" t="s">
        <v>38171</v>
      </c>
      <c r="C30313" s="5" t="str">
        <f>IFERROR(__xludf.DUMMYFUNCTION("GOOGLETRANSLATE(B30313,""en"",""zh-CN"")"),"显示了游戏的亮点，并采访了玩家。")</f>
        <v>显示了游戏的亮点，并采访了玩家。</v>
      </c>
    </row>
    <row r="30314">
      <c r="A30314" s="4" t="s">
        <v>38169</v>
      </c>
      <c r="B30314" s="4" t="s">
        <v>38172</v>
      </c>
      <c r="C30314" s="5" t="str">
        <f>IFERROR(__xludf.DUMMYFUNCTION("GOOGLETRANSLATE(B30314,""en"",""zh-CN"")"),"队友从场边欢呼。")</f>
        <v>队友从场边欢呼。</v>
      </c>
    </row>
    <row r="30315">
      <c r="A30315" s="4" t="s">
        <v>38173</v>
      </c>
      <c r="B30315" s="4" t="s">
        <v>38174</v>
      </c>
      <c r="C30315" s="5" t="str">
        <f>IFERROR(__xludf.DUMMYFUNCTION("GOOGLETRANSLATE(B30315,""en"",""zh-CN"")"),"一个穿着蓝色外套的男人站在雪地里说话。")</f>
        <v>一个穿着蓝色外套的男人站在雪地里说话。</v>
      </c>
    </row>
    <row r="30316">
      <c r="A30316" s="4" t="s">
        <v>38173</v>
      </c>
      <c r="B30316" s="4" t="s">
        <v>38175</v>
      </c>
      <c r="C30316" s="5" t="str">
        <f>IFERROR(__xludf.DUMMYFUNCTION("GOOGLETRANSLATE(B30316,""en"",""zh-CN"")"),"他开始下雪山上滑雪。")</f>
        <v>他开始下雪山上滑雪。</v>
      </c>
    </row>
    <row r="30317">
      <c r="A30317" s="4" t="s">
        <v>38173</v>
      </c>
      <c r="B30317" s="4" t="s">
        <v>6460</v>
      </c>
      <c r="C30317" s="5" t="str">
        <f>IFERROR(__xludf.DUMMYFUNCTION("GOOGLETRANSLATE(B30317,""en"",""zh-CN"")"),"他继续与镜头说话。")</f>
        <v>他继续与镜头说话。</v>
      </c>
    </row>
    <row r="30318">
      <c r="A30318" s="4" t="s">
        <v>38176</v>
      </c>
      <c r="B30318" s="4" t="s">
        <v>38177</v>
      </c>
      <c r="C30318" s="5" t="str">
        <f>IFERROR(__xludf.DUMMYFUNCTION("GOOGLETRANSLATE(B30318,""en"",""zh-CN"")"),"看到一个男人走进一个圆圈，望向远处。")</f>
        <v>看到一个男人走进一个圆圈，望向远处。</v>
      </c>
    </row>
    <row r="30319">
      <c r="A30319" s="4" t="s">
        <v>38176</v>
      </c>
      <c r="B30319" s="4" t="s">
        <v>38178</v>
      </c>
      <c r="C30319" s="5" t="str">
        <f>IFERROR(__xludf.DUMMYFUNCTION("GOOGLETRANSLATE(B30319,""en"",""zh-CN"")"),"该男子伸展一点，开始旋转自己。")</f>
        <v>该男子伸展一点，开始旋转自己。</v>
      </c>
    </row>
    <row r="30320">
      <c r="A30320" s="4" t="s">
        <v>38176</v>
      </c>
      <c r="B30320" s="4" t="s">
        <v>38179</v>
      </c>
      <c r="C30320" s="5" t="str">
        <f>IFERROR(__xludf.DUMMYFUNCTION("GOOGLETRANSLATE(B30320,""en"",""zh-CN"")"),"他继续旋转和结束，走开了。")</f>
        <v>他继续旋转和结束，走开了。</v>
      </c>
    </row>
    <row r="30321">
      <c r="A30321" s="4" t="s">
        <v>38180</v>
      </c>
      <c r="B30321" s="4" t="s">
        <v>38181</v>
      </c>
      <c r="C30321" s="5" t="str">
        <f>IFERROR(__xludf.DUMMYFUNCTION("GOOGLETRANSLATE(B30321,""en"",""zh-CN"")"),"穿着蓝色衬衫的男人拿着一个白色喷雾瓶，上面挂着绿色和黑色盖子。")</f>
        <v>穿着蓝色衬衫的男人拿着一个白色喷雾瓶，上面挂着绿色和黑色盖子。</v>
      </c>
    </row>
    <row r="30322">
      <c r="A30322" s="4" t="s">
        <v>38180</v>
      </c>
      <c r="B30322" s="4" t="s">
        <v>38182</v>
      </c>
      <c r="C30322" s="5" t="str">
        <f>IFERROR(__xludf.DUMMYFUNCTION("GOOGLETRANSLATE(B30322,""en"",""zh-CN"")"),"他开始在白色汽车的引擎盖上喷洒瓶子的内容物。")</f>
        <v>他开始在白色汽车的引擎盖上喷洒瓶子的内容物。</v>
      </c>
    </row>
    <row r="30323">
      <c r="A30323" s="4" t="s">
        <v>38180</v>
      </c>
      <c r="B30323" s="4" t="s">
        <v>38183</v>
      </c>
      <c r="C30323" s="5" t="str">
        <f>IFERROR(__xludf.DUMMYFUNCTION("GOOGLETRANSLATE(B30323,""en"",""zh-CN"")"),"他用黄色布擦拭了引擎盖和白色汽车的后部。")</f>
        <v>他用黄色布擦拭了引擎盖和白色汽车的后部。</v>
      </c>
    </row>
    <row r="30324">
      <c r="A30324" s="4" t="s">
        <v>38180</v>
      </c>
      <c r="B30324" s="6" t="s">
        <v>38184</v>
      </c>
      <c r="C30324" s="5" t="str">
        <f>IFERROR(__xludf.DUMMYFUNCTION("GOOGLETRANSLATE(B30324,""en"",""zh-CN"")"),"他在驾驶员侧的汽车地板上吸尘，用黄色布擦去方向盘的污垢。")</f>
        <v>他在驾驶员侧的汽车地板上吸尘，用黄色布擦去方向盘的污垢。</v>
      </c>
    </row>
    <row r="30325">
      <c r="A30325" s="4" t="s">
        <v>38180</v>
      </c>
      <c r="B30325" s="4" t="s">
        <v>38185</v>
      </c>
      <c r="C30325" s="5" t="str">
        <f>IFERROR(__xludf.DUMMYFUNCTION("GOOGLETRANSLATE(B30325,""en"",""zh-CN"")"),"他擦拭了仪表，侧窗，玻璃和轮子。")</f>
        <v>他擦拭了仪表，侧窗，玻璃和轮子。</v>
      </c>
    </row>
    <row r="30326">
      <c r="A30326" s="4" t="s">
        <v>38180</v>
      </c>
      <c r="B30326" s="4" t="s">
        <v>38186</v>
      </c>
      <c r="C30326" s="5" t="str">
        <f>IFERROR(__xludf.DUMMYFUNCTION("GOOGLETRANSLATE(B30326,""en"",""zh-CN"")"),"当他拿着黄色布时，他正在展示一个带有黑色盖子的白色喷雾瓶。")</f>
        <v>当他拿着黄色布时，他正在展示一个带有黑色盖子的白色喷雾瓶。</v>
      </c>
    </row>
    <row r="30327">
      <c r="A30327" s="4" t="s">
        <v>38180</v>
      </c>
      <c r="B30327" s="4" t="s">
        <v>38187</v>
      </c>
      <c r="C30327" s="5" t="str">
        <f>IFERROR(__xludf.DUMMYFUNCTION("GOOGLETRANSLATE(B30327,""en"",""zh-CN"")"),"他正在擦拭汽车的边缘，然后显示白色喷雾瓶。")</f>
        <v>他正在擦拭汽车的边缘，然后显示白色喷雾瓶。</v>
      </c>
    </row>
    <row r="30328">
      <c r="A30328" s="4" t="s">
        <v>38180</v>
      </c>
      <c r="B30328" s="4" t="s">
        <v>38188</v>
      </c>
      <c r="C30328" s="5" t="str">
        <f>IFERROR(__xludf.DUMMYFUNCTION("GOOGLETRANSLATE(B30328,""en"",""zh-CN"")"),"一辆白色的汽车被证明是脏的，然后是清洁和闪亮的后期。")</f>
        <v>一辆白色的汽车被证明是脏的，然后是清洁和闪亮的后期。</v>
      </c>
    </row>
    <row r="30329">
      <c r="A30329" s="4" t="s">
        <v>38189</v>
      </c>
      <c r="B30329" s="4" t="s">
        <v>38190</v>
      </c>
      <c r="C30329" s="5" t="str">
        <f>IFERROR(__xludf.DUMMYFUNCTION("GOOGLETRANSLATE(B30329,""en"",""zh-CN"")"),"看到一把枪在几个角落移动，并在各个地方击中人们。")</f>
        <v>看到一把枪在几个角落移动，并在各个地方击中人们。</v>
      </c>
    </row>
    <row r="30330">
      <c r="A30330" s="4" t="s">
        <v>38189</v>
      </c>
      <c r="B30330" s="6" t="s">
        <v>38191</v>
      </c>
      <c r="C30330" s="5" t="str">
        <f>IFERROR(__xludf.DUMMYFUNCTION("GOOGLETRANSLATE(B30330,""en"",""zh-CN"")"),"如图所示，有更多的人在彩弹车场上奔跑，并指向他人，射击他人并躲在物体后面。")</f>
        <v>如图所示，有更多的人在彩弹车场上奔跑，并指向他人，射击他人并躲在物体后面。</v>
      </c>
    </row>
    <row r="30331">
      <c r="A30331" s="4" t="s">
        <v>38189</v>
      </c>
      <c r="B30331" s="4" t="s">
        <v>38192</v>
      </c>
      <c r="C30331" s="5" t="str">
        <f>IFERROR(__xludf.DUMMYFUNCTION("GOOGLETRANSLATE(B30331,""en"",""zh-CN"")"),"最终，男子团结在一起，竖起大拇指，并显示更多人射击的照片。")</f>
        <v>最终，男子团结在一起，竖起大拇指，并显示更多人射击的照片。</v>
      </c>
    </row>
    <row r="30332">
      <c r="A30332" s="4" t="s">
        <v>38193</v>
      </c>
      <c r="B30332" s="4" t="s">
        <v>38194</v>
      </c>
      <c r="C30332" s="5" t="str">
        <f>IFERROR(__xludf.DUMMYFUNCTION("GOOGLETRANSLATE(B30332,""en"",""zh-CN"")"),"一个男人讲如何用洗涤剂洗涤的漫画。")</f>
        <v>一个男人讲如何用洗涤剂洗涤的漫画。</v>
      </c>
    </row>
    <row r="30333">
      <c r="A30333" s="4" t="s">
        <v>38193</v>
      </c>
      <c r="B30333" s="4" t="s">
        <v>38195</v>
      </c>
      <c r="C30333" s="5" t="str">
        <f>IFERROR(__xludf.DUMMYFUNCTION("GOOGLETRANSLATE(B30333,""en"",""zh-CN"")"),"向房屋显示了如何洗屋顶的句子。")</f>
        <v>向房屋显示了如何洗屋顶的句子。</v>
      </c>
    </row>
    <row r="30334">
      <c r="A30334" s="4" t="s">
        <v>38193</v>
      </c>
      <c r="B30334" s="4" t="s">
        <v>38196</v>
      </c>
      <c r="C30334" s="5" t="str">
        <f>IFERROR(__xludf.DUMMYFUNCTION("GOOGLETRANSLATE(B30334,""en"",""zh-CN"")"),"数字和地址显示在广告中。")</f>
        <v>数字和地址显示在广告中。</v>
      </c>
    </row>
    <row r="30335">
      <c r="A30335" s="4" t="s">
        <v>38197</v>
      </c>
      <c r="B30335" s="4" t="s">
        <v>38198</v>
      </c>
      <c r="C30335" s="5" t="str">
        <f>IFERROR(__xludf.DUMMYFUNCTION("GOOGLETRANSLATE(B30335,""en"",""zh-CN"")"),"显示了几张标志和建筑物以及潜水员图片的照片。")</f>
        <v>显示了几张标志和建筑物以及潜水员图片的照片。</v>
      </c>
    </row>
    <row r="30336">
      <c r="A30336" s="4" t="s">
        <v>38197</v>
      </c>
      <c r="B30336" s="4" t="s">
        <v>38199</v>
      </c>
      <c r="C30336" s="5" t="str">
        <f>IFERROR(__xludf.DUMMYFUNCTION("GOOGLETRANSLATE(B30336,""en"",""zh-CN"")"),"看到许多人在摄像机上说话，同时轮流跳水。")</f>
        <v>看到许多人在摄像机上说话，同时轮流跳水。</v>
      </c>
    </row>
    <row r="30337">
      <c r="A30337" s="4" t="s">
        <v>38197</v>
      </c>
      <c r="B30337" s="6" t="s">
        <v>38200</v>
      </c>
      <c r="C30337" s="5" t="str">
        <f>IFERROR(__xludf.DUMMYFUNCTION("GOOGLETRANSLATE(B30337,""en"",""zh-CN"")"),"显示了更多人潜水和挥舞相机以及互相交谈并保持乐谱的剪辑。")</f>
        <v>显示了更多人潜水和挥舞相机以及互相交谈并保持乐谱的剪辑。</v>
      </c>
    </row>
    <row r="30338">
      <c r="A30338" s="4" t="s">
        <v>38201</v>
      </c>
      <c r="B30338" s="4" t="s">
        <v>38202</v>
      </c>
      <c r="C30338" s="5" t="str">
        <f>IFERROR(__xludf.DUMMYFUNCTION("GOOGLETRANSLATE(B30338,""en"",""zh-CN"")"),"一群人在健身房。")</f>
        <v>一群人在健身房。</v>
      </c>
    </row>
    <row r="30339">
      <c r="A30339" s="4" t="s">
        <v>38201</v>
      </c>
      <c r="B30339" s="4" t="s">
        <v>38203</v>
      </c>
      <c r="C30339" s="5" t="str">
        <f>IFERROR(__xludf.DUMMYFUNCTION("GOOGLETRANSLATE(B30339,""en"",""zh-CN"")"),"他们正在举重和跳舞。")</f>
        <v>他们正在举重和跳舞。</v>
      </c>
    </row>
    <row r="30340">
      <c r="A30340" s="4" t="s">
        <v>38201</v>
      </c>
      <c r="B30340" s="4" t="s">
        <v>38204</v>
      </c>
      <c r="C30340" s="5" t="str">
        <f>IFERROR(__xludf.DUMMYFUNCTION("GOOGLETRANSLATE(B30340,""en"",""zh-CN"")"),"其他人则使用卧式自行车并迅速踩踏板。")</f>
        <v>其他人则使用卧式自行车并迅速踩踏板。</v>
      </c>
    </row>
    <row r="30341">
      <c r="A30341" s="4" t="s">
        <v>38205</v>
      </c>
      <c r="B30341" s="4" t="s">
        <v>38206</v>
      </c>
      <c r="C30341" s="5" t="str">
        <f>IFERROR(__xludf.DUMMYFUNCTION("GOOGLETRANSLATE(B30341,""en"",""zh-CN"")"),"一个男人踢足球，然后他和其他年轻人在街上踢球，男子得分。")</f>
        <v>一个男人踢足球，然后他和其他年轻人在街上踢球，男子得分。</v>
      </c>
    </row>
    <row r="30342">
      <c r="A30342" s="4" t="s">
        <v>38205</v>
      </c>
      <c r="B30342" s="4" t="s">
        <v>38207</v>
      </c>
      <c r="C30342" s="5" t="str">
        <f>IFERROR(__xludf.DUMMYFUNCTION("GOOGLETRANSLATE(B30342,""en"",""zh-CN"")"),"然后，他们继续比赛，年轻人得分，男子得分。")</f>
        <v>然后，他们继续比赛，年轻人得分，男子得分。</v>
      </c>
    </row>
    <row r="30343">
      <c r="A30343" s="4" t="s">
        <v>38205</v>
      </c>
      <c r="B30343" s="6" t="s">
        <v>38208</v>
      </c>
      <c r="C30343" s="5" t="str">
        <f>IFERROR(__xludf.DUMMYFUNCTION("GOOGLETRANSLATE(B30343,""en"",""zh-CN"")"),"球队正在踢室内足球，那个穿着黄色T恤的男子与几支球队一起比赛。")</f>
        <v>球队正在踢室内足球，那个穿着黄色T恤的男子与几支球队一起比赛。</v>
      </c>
    </row>
    <row r="30344">
      <c r="A30344" s="4" t="s">
        <v>38205</v>
      </c>
      <c r="B30344" s="6" t="s">
        <v>38209</v>
      </c>
      <c r="C30344" s="5" t="str">
        <f>IFERROR(__xludf.DUMMYFUNCTION("GOOGLETRANSLATE(B30344,""en"",""zh-CN"")"),"该男子与其他球员对球提出质疑，并将其踢向玩伴，该男子继续为他的球队打分。")</f>
        <v>该男子与其他球员对球提出质疑，并将其踢向玩伴，该男子继续为他的球队打分。</v>
      </c>
    </row>
    <row r="30345">
      <c r="A30345" s="4" t="s">
        <v>38210</v>
      </c>
      <c r="B30345" s="4" t="s">
        <v>38211</v>
      </c>
      <c r="C30345" s="5" t="str">
        <f>IFERROR(__xludf.DUMMYFUNCTION("GOOGLETRANSLATE(B30345,""en"",""zh-CN"")"),"有一个穿着黑色衬衫的男人代表PEV的彩弹射击谈论休闲游戏。")</f>
        <v>有一个穿着黑色衬衫的男人代表PEV的彩弹射击谈论休闲游戏。</v>
      </c>
    </row>
    <row r="30346">
      <c r="A30346" s="4" t="s">
        <v>38210</v>
      </c>
      <c r="B30346" s="4" t="s">
        <v>38212</v>
      </c>
      <c r="C30346" s="5" t="str">
        <f>IFERROR(__xludf.DUMMYFUNCTION("GOOGLETRANSLATE(B30346,""en"",""zh-CN"")"),"当他谈论这项运动的演奏方式时，他手里拿着彩弹枪。")</f>
        <v>当他谈论这项运动的演奏方式时，他手里拿着彩弹枪。</v>
      </c>
    </row>
    <row r="30347">
      <c r="A30347" s="4" t="s">
        <v>38210</v>
      </c>
      <c r="B30347" s="4" t="s">
        <v>38213</v>
      </c>
      <c r="C30347" s="5" t="str">
        <f>IFERROR(__xludf.DUMMYFUNCTION("GOOGLETRANSLATE(B30347,""en"",""zh-CN"")"),"一个穿着伪装印花服装的男人正在隐藏并用彩弹枪奔跑。")</f>
        <v>一个穿着伪装印花服装的男人正在隐藏并用彩弹枪奔跑。</v>
      </c>
    </row>
    <row r="30348">
      <c r="A30348" s="4" t="s">
        <v>38210</v>
      </c>
      <c r="B30348" s="4" t="s">
        <v>38214</v>
      </c>
      <c r="C30348" s="5" t="str">
        <f>IFERROR(__xludf.DUMMYFUNCTION("GOOGLETRANSLATE(B30348,""en"",""zh-CN"")"),"PEV代表正在解释彩弹枪的功能以及如何有效使用。")</f>
        <v>PEV代表正在解释彩弹枪的功能以及如何有效使用。</v>
      </c>
    </row>
    <row r="30349">
      <c r="A30349" s="4" t="s">
        <v>38215</v>
      </c>
      <c r="B30349" s="4" t="s">
        <v>38216</v>
      </c>
      <c r="C30349" s="5" t="str">
        <f>IFERROR(__xludf.DUMMYFUNCTION("GOOGLETRANSLATE(B30349,""en"",""zh-CN"")"),"我们看到一个男人准备进行讨论。")</f>
        <v>我们看到一个男人准备进行讨论。</v>
      </c>
    </row>
    <row r="30350">
      <c r="A30350" s="4" t="s">
        <v>38215</v>
      </c>
      <c r="B30350" s="4" t="s">
        <v>38217</v>
      </c>
      <c r="C30350" s="5" t="str">
        <f>IFERROR(__xludf.DUMMYFUNCTION("GOOGLETRANSLATE(B30350,""en"",""zh-CN"")"),"他扔掉并走开，我们以慢动作看到了它。")</f>
        <v>他扔掉并走开，我们以慢动作看到了它。</v>
      </c>
    </row>
    <row r="30351">
      <c r="A30351" s="4" t="s">
        <v>38215</v>
      </c>
      <c r="B30351" s="4" t="s">
        <v>38218</v>
      </c>
      <c r="C30351" s="5" t="str">
        <f>IFERROR(__xludf.DUMMYFUNCTION("GOOGLETRANSLATE(B30351,""en"",""zh-CN"")"),"我们看到下一个男人走上去扔，我们再次看到它。")</f>
        <v>我们看到下一个男人走上去扔，我们再次看到它。</v>
      </c>
    </row>
    <row r="30352">
      <c r="A30352" s="4" t="s">
        <v>38215</v>
      </c>
      <c r="B30352" s="4" t="s">
        <v>38219</v>
      </c>
      <c r="C30352" s="5" t="str">
        <f>IFERROR(__xludf.DUMMYFUNCTION("GOOGLETRANSLATE(B30352,""en"",""zh-CN"")"),"一个穿着黄色短裤的家伙扔了，我们再次看到它。")</f>
        <v>一个穿着黄色短裤的家伙扔了，我们再次看到它。</v>
      </c>
    </row>
    <row r="30353">
      <c r="A30353" s="4" t="s">
        <v>38220</v>
      </c>
      <c r="B30353" s="4" t="s">
        <v>38221</v>
      </c>
      <c r="C30353" s="5" t="str">
        <f>IFERROR(__xludf.DUMMYFUNCTION("GOOGLETRANSLATE(B30353,""en"",""zh-CN"")"),"看到一名年轻女子在一个大垫子的中间表演几种武术动作。")</f>
        <v>看到一名年轻女子在一个大垫子的中间表演几种武术动作。</v>
      </c>
    </row>
    <row r="30354">
      <c r="A30354" s="4" t="s">
        <v>38220</v>
      </c>
      <c r="B30354" s="4" t="s">
        <v>38222</v>
      </c>
      <c r="C30354" s="5" t="str">
        <f>IFERROR(__xludf.DUMMYFUNCTION("GOOGLETRANSLATE(B30354,""en"",""zh-CN"")"),"女孩继续四处走动，然后进入她的战斗。")</f>
        <v>女孩继续四处走动，然后进入她的战斗。</v>
      </c>
    </row>
    <row r="30355">
      <c r="A30355" s="4" t="s">
        <v>38220</v>
      </c>
      <c r="B30355" s="4" t="s">
        <v>38223</v>
      </c>
      <c r="C30355" s="5" t="str">
        <f>IFERROR(__xludf.DUMMYFUNCTION("GOOGLETRANSLATE(B30355,""en"",""zh-CN"")"),"她的更多照片以及她的战斗都显示出来。")</f>
        <v>她的更多照片以及她的战斗都显示出来。</v>
      </c>
    </row>
    <row r="30356">
      <c r="A30356" s="4" t="s">
        <v>38224</v>
      </c>
      <c r="B30356" s="4" t="s">
        <v>38225</v>
      </c>
      <c r="C30356" s="5" t="str">
        <f>IFERROR(__xludf.DUMMYFUNCTION("GOOGLETRANSLATE(B30356,""en"",""zh-CN"")"),"一个人站在木筏上。")</f>
        <v>一个人站在木筏上。</v>
      </c>
    </row>
    <row r="30357">
      <c r="A30357" s="4" t="s">
        <v>38224</v>
      </c>
      <c r="B30357" s="4" t="s">
        <v>38226</v>
      </c>
      <c r="C30357" s="5" t="str">
        <f>IFERROR(__xludf.DUMMYFUNCTION("GOOGLETRANSLATE(B30357,""en"",""zh-CN"")"),"几只筏子在地面上，充满了人。")</f>
        <v>几只筏子在地面上，充满了人。</v>
      </c>
    </row>
    <row r="30358">
      <c r="A30358" s="4" t="s">
        <v>38224</v>
      </c>
      <c r="B30358" s="4" t="s">
        <v>38227</v>
      </c>
      <c r="C30358" s="5" t="str">
        <f>IFERROR(__xludf.DUMMYFUNCTION("GOOGLETRANSLATE(B30358,""en"",""zh-CN"")"),"他们听教师告诉他们需要做什么。")</f>
        <v>他们听教师告诉他们需要做什么。</v>
      </c>
    </row>
    <row r="30359">
      <c r="A30359" s="4" t="s">
        <v>38224</v>
      </c>
      <c r="B30359" s="4" t="s">
        <v>38228</v>
      </c>
      <c r="C30359" s="5" t="str">
        <f>IFERROR(__xludf.DUMMYFUNCTION("GOOGLETRANSLATE(B30359,""en"",""zh-CN"")"),"他们筏穿过一条流动的河流的急流。")</f>
        <v>他们筏穿过一条流动的河流的急流。</v>
      </c>
    </row>
    <row r="30360">
      <c r="A30360" s="4" t="s">
        <v>38224</v>
      </c>
      <c r="B30360" s="4" t="s">
        <v>38229</v>
      </c>
      <c r="C30360" s="5" t="str">
        <f>IFERROR(__xludf.DUMMYFUNCTION("GOOGLETRANSLATE(B30360,""en"",""zh-CN"")"),"其中一个木筏在末端倾斜。")</f>
        <v>其中一个木筏在末端倾斜。</v>
      </c>
    </row>
    <row r="30361">
      <c r="A30361" s="4" t="s">
        <v>38230</v>
      </c>
      <c r="B30361" s="4" t="s">
        <v>38231</v>
      </c>
      <c r="C30361" s="5" t="str">
        <f>IFERROR(__xludf.DUMMYFUNCTION("GOOGLETRANSLATE(B30361,""en"",""zh-CN"")"),"一个人漂浮在平静的水中，在等待船开车时握住绳子。")</f>
        <v>一个人漂浮在平静的水中，在等待船开车时握住绳子。</v>
      </c>
    </row>
    <row r="30362">
      <c r="A30362" s="4" t="s">
        <v>38230</v>
      </c>
      <c r="B30362" s="4" t="s">
        <v>38232</v>
      </c>
      <c r="C30362" s="5" t="str">
        <f>IFERROR(__xludf.DUMMYFUNCTION("GOOGLETRANSLATE(B30362,""en"",""zh-CN"")"),"该男子裸露的滑雪板在试图站起来的船侧面的绳索上。")</f>
        <v>该男子裸露的滑雪板在试图站起来的船侧面的绳索上。</v>
      </c>
    </row>
    <row r="30363">
      <c r="A30363" s="4" t="s">
        <v>38230</v>
      </c>
      <c r="B30363" s="4" t="s">
        <v>38233</v>
      </c>
      <c r="C30363" s="5" t="str">
        <f>IFERROR(__xludf.DUMMYFUNCTION("GOOGLETRANSLATE(B30363,""en"",""zh-CN"")"),"该男子站起来，立即高速掉入水中。")</f>
        <v>该男子站起来，立即高速掉入水中。</v>
      </c>
    </row>
    <row r="30364">
      <c r="A30364" s="4" t="s">
        <v>38234</v>
      </c>
      <c r="B30364" s="4" t="s">
        <v>38235</v>
      </c>
      <c r="C30364" s="5" t="str">
        <f>IFERROR(__xludf.DUMMYFUNCTION("GOOGLETRANSLATE(B30364,""en"",""zh-CN"")"),"人们在屋顶的健身房里玩五人制五寿。")</f>
        <v>人们在屋顶的健身房里玩五人制五寿。</v>
      </c>
    </row>
    <row r="30365">
      <c r="A30365" s="4" t="s">
        <v>38234</v>
      </c>
      <c r="B30365" s="4" t="s">
        <v>38236</v>
      </c>
      <c r="C30365" s="5" t="str">
        <f>IFERROR(__xludf.DUMMYFUNCTION("GOOGLETRANSLATE(B30365,""en"",""zh-CN"")"),"裁判正在看比赛并排运行。")</f>
        <v>裁判正在看比赛并排运行。</v>
      </c>
    </row>
    <row r="30366">
      <c r="A30366" s="4" t="s">
        <v>38237</v>
      </c>
      <c r="B30366" s="4" t="s">
        <v>38238</v>
      </c>
      <c r="C30366" s="5" t="str">
        <f>IFERROR(__xludf.DUMMYFUNCTION("GOOGLETRANSLATE(B30366,""en"",""zh-CN"")"),"两个人正在装饰一棵圣诞树。")</f>
        <v>两个人正在装饰一棵圣诞树。</v>
      </c>
    </row>
    <row r="30367">
      <c r="A30367" s="4" t="s">
        <v>38237</v>
      </c>
      <c r="B30367" s="4" t="s">
        <v>38239</v>
      </c>
      <c r="C30367" s="5" t="str">
        <f>IFERROR(__xludf.DUMMYFUNCTION("GOOGLETRANSLATE(B30367,""en"",""zh-CN"")"),"他们在树上放红带。")</f>
        <v>他们在树上放红带。</v>
      </c>
    </row>
    <row r="30368">
      <c r="A30368" s="4" t="s">
        <v>38237</v>
      </c>
      <c r="B30368" s="4" t="s">
        <v>38240</v>
      </c>
      <c r="C30368" s="5" t="str">
        <f>IFERROR(__xludf.DUMMYFUNCTION("GOOGLETRANSLATE(B30368,""en"",""zh-CN"")"),"最后显示了梳妆台。")</f>
        <v>最后显示了梳妆台。</v>
      </c>
    </row>
    <row r="30369">
      <c r="A30369" s="4" t="s">
        <v>38241</v>
      </c>
      <c r="B30369" s="4" t="s">
        <v>38242</v>
      </c>
      <c r="C30369" s="5" t="str">
        <f>IFERROR(__xludf.DUMMYFUNCTION("GOOGLETRANSLATE(B30369,""en"",""zh-CN"")"),"看到两个人坐在外面的秋千上。")</f>
        <v>看到两个人坐在外面的秋千上。</v>
      </c>
    </row>
    <row r="30370">
      <c r="A30370" s="4" t="s">
        <v>38241</v>
      </c>
      <c r="B30370" s="4" t="s">
        <v>38243</v>
      </c>
      <c r="C30370" s="5" t="str">
        <f>IFERROR(__xludf.DUMMYFUNCTION("GOOGLETRANSLATE(B30370,""en"",""zh-CN"")"),"然后，人们开始向后移动和第四。")</f>
        <v>然后，人们开始向后移动和第四。</v>
      </c>
    </row>
    <row r="30371">
      <c r="A30371" s="4" t="s">
        <v>38241</v>
      </c>
      <c r="B30371" s="4" t="s">
        <v>38244</v>
      </c>
      <c r="C30371" s="5" t="str">
        <f>IFERROR(__xludf.DUMMYFUNCTION("GOOGLETRANSLATE(B30371,""en"",""zh-CN"")"),"人们不断地向后摇摆第四。")</f>
        <v>人们不断地向后摇摆第四。</v>
      </c>
    </row>
    <row r="30372">
      <c r="A30372" s="4" t="s">
        <v>38245</v>
      </c>
      <c r="B30372" s="4" t="s">
        <v>38246</v>
      </c>
      <c r="C30372" s="5" t="str">
        <f>IFERROR(__xludf.DUMMYFUNCTION("GOOGLETRANSLATE(B30372,""en"",""zh-CN"")"),"在健身房里，有一个穿着蓝色衬衫的男人穿着蓝色衬衫。")</f>
        <v>在健身房里，有一个穿着蓝色衬衫的男人穿着蓝色衬衫。</v>
      </c>
    </row>
    <row r="30373">
      <c r="A30373" s="4" t="s">
        <v>38245</v>
      </c>
      <c r="B30373" s="4" t="s">
        <v>38247</v>
      </c>
      <c r="C30373" s="5" t="str">
        <f>IFERROR(__xludf.DUMMYFUNCTION("GOOGLETRANSLATE(B30373,""en"",""zh-CN"")"),"男人后面还有其他一些人在跑步机上奔跑。")</f>
        <v>男人后面还有其他一些人在跑步机上奔跑。</v>
      </c>
    </row>
    <row r="30374">
      <c r="A30374" s="4" t="s">
        <v>38245</v>
      </c>
      <c r="B30374" s="4" t="s">
        <v>38248</v>
      </c>
      <c r="C30374" s="5" t="str">
        <f>IFERROR(__xludf.DUMMYFUNCTION("GOOGLETRANSLATE(B30374,""en"",""zh-CN"")"),"他首先拉动机器的手柄，然后来回锻炼。")</f>
        <v>他首先拉动机器的手柄，然后来回锻炼。</v>
      </c>
    </row>
    <row r="30375">
      <c r="A30375" s="4" t="s">
        <v>38249</v>
      </c>
      <c r="B30375" s="4" t="s">
        <v>38250</v>
      </c>
      <c r="C30375" s="5" t="str">
        <f>IFERROR(__xludf.DUMMYFUNCTION("GOOGLETRANSLATE(B30375,""en"",""zh-CN"")"),"一个男孩被显示下滑梯。")</f>
        <v>一个男孩被显示下滑梯。</v>
      </c>
    </row>
    <row r="30376">
      <c r="A30376" s="4" t="s">
        <v>38249</v>
      </c>
      <c r="B30376" s="4" t="s">
        <v>38251</v>
      </c>
      <c r="C30376" s="5" t="str">
        <f>IFERROR(__xludf.DUMMYFUNCTION("GOOGLETRANSLATE(B30376,""en"",""zh-CN"")"),"一个女人在和公园里的镜头说话。")</f>
        <v>一个女人在和公园里的镜头说话。</v>
      </c>
    </row>
    <row r="30377">
      <c r="A30377" s="4" t="s">
        <v>38249</v>
      </c>
      <c r="B30377" s="4" t="s">
        <v>38252</v>
      </c>
      <c r="C30377" s="5" t="str">
        <f>IFERROR(__xludf.DUMMYFUNCTION("GOOGLETRANSLATE(B30377,""en"",""zh-CN"")"),"孩子们在各种设备上显示出来。")</f>
        <v>孩子们在各种设备上显示出来。</v>
      </c>
    </row>
    <row r="30378">
      <c r="A30378" s="4" t="s">
        <v>38253</v>
      </c>
      <c r="B30378" s="4" t="s">
        <v>38254</v>
      </c>
      <c r="C30378" s="5" t="str">
        <f>IFERROR(__xludf.DUMMYFUNCTION("GOOGLETRANSLATE(B30378,""en"",""zh-CN"")"),"该视频显示了三个人打笛子的慢动作。")</f>
        <v>该视频显示了三个人打笛子的慢动作。</v>
      </c>
    </row>
    <row r="30379">
      <c r="A30379" s="4" t="s">
        <v>38253</v>
      </c>
      <c r="B30379" s="4" t="s">
        <v>38255</v>
      </c>
      <c r="C30379" s="5" t="str">
        <f>IFERROR(__xludf.DUMMYFUNCTION("GOOGLETRANSLATE(B30379,""en"",""zh-CN"")"),"一侧有两个人，另一侧有一个单人。")</f>
        <v>一侧有两个人，另一侧有一个单人。</v>
      </c>
    </row>
    <row r="30380">
      <c r="A30380" s="4" t="s">
        <v>38253</v>
      </c>
      <c r="B30380" s="4" t="s">
        <v>38256</v>
      </c>
      <c r="C30380" s="5" t="str">
        <f>IFERROR(__xludf.DUMMYFUNCTION("GOOGLETRANSLATE(B30380,""en"",""zh-CN"")"),"他们继续互相打桌。")</f>
        <v>他们继续互相打桌。</v>
      </c>
    </row>
    <row r="30381">
      <c r="A30381" s="4" t="s">
        <v>38257</v>
      </c>
      <c r="B30381" s="6" t="s">
        <v>38258</v>
      </c>
      <c r="C30381" s="5" t="str">
        <f>IFERROR(__xludf.DUMMYFUNCTION("GOOGLETRANSLATE(B30381,""en"",""zh-CN"")"),"看到一小群穿着服装的女孩走到健身房的地板上，并在大型观众面前拿着姿势。")</f>
        <v>看到一小群穿着服装的女孩走到健身房的地板上，并在大型观众面前拿着姿势。</v>
      </c>
    </row>
    <row r="30382">
      <c r="A30382" s="4" t="s">
        <v>38257</v>
      </c>
      <c r="B30382" s="6" t="s">
        <v>38259</v>
      </c>
      <c r="C30382" s="5" t="str">
        <f>IFERROR(__xludf.DUMMYFUNCTION("GOOGLETRANSLATE(B30382,""en"",""zh-CN"")"),"女孩们手里拿着警棍表演舞蹈常规，结束了，排队走开。")</f>
        <v>女孩们手里拿着警棍表演舞蹈常规，结束了，排队走开。</v>
      </c>
    </row>
    <row r="30383">
      <c r="A30383" s="4" t="s">
        <v>38260</v>
      </c>
      <c r="B30383" s="4" t="s">
        <v>38261</v>
      </c>
      <c r="C30383" s="5" t="str">
        <f>IFERROR(__xludf.DUMMYFUNCTION("GOOGLETRANSLATE(B30383,""en"",""zh-CN"")"),"一个名叫Sapna的女人出现在照片中。")</f>
        <v>一个名叫Sapna的女人出现在照片中。</v>
      </c>
    </row>
    <row r="30384">
      <c r="A30384" s="4" t="s">
        <v>38260</v>
      </c>
      <c r="B30384" s="4" t="s">
        <v>38262</v>
      </c>
      <c r="C30384" s="5" t="str">
        <f>IFERROR(__xludf.DUMMYFUNCTION("GOOGLETRANSLATE(B30384,""en"",""zh-CN"")"),"然后看到她展示了各种跳绳。")</f>
        <v>然后看到她展示了各种跳绳。</v>
      </c>
    </row>
    <row r="30385">
      <c r="A30385" s="4" t="s">
        <v>38260</v>
      </c>
      <c r="B30385" s="4" t="s">
        <v>38263</v>
      </c>
      <c r="C30385" s="5" t="str">
        <f>IFERROR(__xludf.DUMMYFUNCTION("GOOGLETRANSLATE(B30385,""en"",""zh-CN"")"),"她向前和向后跳，一边向一边跳。")</f>
        <v>她向前和向后跳，一边向一边跳。</v>
      </c>
    </row>
    <row r="30386">
      <c r="A30386" s="4" t="s">
        <v>38264</v>
      </c>
      <c r="B30386" s="4" t="s">
        <v>38265</v>
      </c>
      <c r="C30386" s="5" t="str">
        <f>IFERROR(__xludf.DUMMYFUNCTION("GOOGLETRANSLATE(B30386,""en"",""zh-CN"")"),"一个戴着施工硬帽的男人使用手持平面边缘将石膏涂在墙上。")</f>
        <v>一个戴着施工硬帽的男人使用手持平面边缘将石膏涂在墙上。</v>
      </c>
    </row>
    <row r="30387">
      <c r="A30387" s="4" t="s">
        <v>38264</v>
      </c>
      <c r="B30387" s="4" t="s">
        <v>38266</v>
      </c>
      <c r="C30387" s="5" t="str">
        <f>IFERROR(__xludf.DUMMYFUNCTION("GOOGLETRANSLATE(B30387,""en"",""zh-CN"")"),"该男子停下来解释他的程序。")</f>
        <v>该男子停下来解释他的程序。</v>
      </c>
    </row>
    <row r="30388">
      <c r="A30388" s="4" t="s">
        <v>38264</v>
      </c>
      <c r="B30388" s="4" t="s">
        <v>38267</v>
      </c>
      <c r="C30388" s="5" t="str">
        <f>IFERROR(__xludf.DUMMYFUNCTION("GOOGLETRANSLATE(B30388,""en"",""zh-CN"")"),"在白色文字中可以看到公司名称和口号。")</f>
        <v>在白色文字中可以看到公司名称和口号。</v>
      </c>
    </row>
    <row r="30389">
      <c r="A30389" s="4" t="s">
        <v>38268</v>
      </c>
      <c r="B30389" s="4" t="s">
        <v>38269</v>
      </c>
      <c r="C30389" s="5" t="str">
        <f>IFERROR(__xludf.DUMMYFUNCTION("GOOGLETRANSLATE(B30389,""en"",""zh-CN"")"),"一支摇滚乐队正在黑色的白色环境中演奏摇滚歌曲。")</f>
        <v>一支摇滚乐队正在黑色的白色环境中演奏摇滚歌曲。</v>
      </c>
    </row>
    <row r="30390">
      <c r="A30390" s="4" t="s">
        <v>38268</v>
      </c>
      <c r="B30390" s="4" t="s">
        <v>38270</v>
      </c>
      <c r="C30390" s="5" t="str">
        <f>IFERROR(__xludf.DUMMYFUNCTION("GOOGLETRANSLATE(B30390,""en"",""zh-CN"")"),"乐队演奏时，几个卷发器正在准备卷发比赛。")</f>
        <v>乐队演奏时，几个卷发器正在准备卷发比赛。</v>
      </c>
    </row>
    <row r="30391">
      <c r="A30391" s="4" t="s">
        <v>38268</v>
      </c>
      <c r="B30391" s="4" t="s">
        <v>38271</v>
      </c>
      <c r="C30391" s="5" t="str">
        <f>IFERROR(__xludf.DUMMYFUNCTION("GOOGLETRANSLATE(B30391,""en"",""zh-CN"")"),"乐队和卷发器都在冰上相互作用。")</f>
        <v>乐队和卷发器都在冰上相互作用。</v>
      </c>
    </row>
    <row r="30392">
      <c r="A30392" s="4" t="s">
        <v>38268</v>
      </c>
      <c r="B30392" s="6" t="s">
        <v>38272</v>
      </c>
      <c r="C30392" s="5" t="str">
        <f>IFERROR(__xludf.DUMMYFUNCTION("GOOGLETRANSLATE(B30392,""en"",""zh-CN"")"),"该视频返回到黑白环境，冰壶和乐队成员都在唱歌。")</f>
        <v>该视频返回到黑白环境，冰壶和乐队成员都在唱歌。</v>
      </c>
    </row>
    <row r="30393">
      <c r="A30393" s="4" t="s">
        <v>38268</v>
      </c>
      <c r="B30393" s="4" t="s">
        <v>38273</v>
      </c>
      <c r="C30393" s="5" t="str">
        <f>IFERROR(__xludf.DUMMYFUNCTION("GOOGLETRANSLATE(B30393,""en"",""zh-CN"")"),"该视频的重点是一个女人准备卷曲的时候，而其他人则观看。")</f>
        <v>该视频的重点是一个女人准备卷曲的时候，而其他人则观看。</v>
      </c>
    </row>
    <row r="30394">
      <c r="A30394" s="4" t="s">
        <v>38268</v>
      </c>
      <c r="B30394" s="4" t="s">
        <v>4761</v>
      </c>
      <c r="C30394" s="5" t="str">
        <f>IFERROR(__xludf.DUMMYFUNCTION("GOOGLETRANSLATE(B30394,""en"",""zh-CN"")"),"视频以屏幕上显示的结尾学分结束。")</f>
        <v>视频以屏幕上显示的结尾学分结束。</v>
      </c>
    </row>
    <row r="30395">
      <c r="A30395" s="4" t="s">
        <v>38274</v>
      </c>
      <c r="B30395" s="4" t="s">
        <v>38275</v>
      </c>
      <c r="C30395" s="5" t="str">
        <f>IFERROR(__xludf.DUMMYFUNCTION("GOOGLETRANSLATE(B30395,""en"",""zh-CN"")"),"看到一个年轻女子刷牙，然后是牙刷的特写。")</f>
        <v>看到一个年轻女子刷牙，然后是牙刷的特写。</v>
      </c>
    </row>
    <row r="30396">
      <c r="A30396" s="4" t="s">
        <v>38274</v>
      </c>
      <c r="B30396" s="4" t="s">
        <v>38276</v>
      </c>
      <c r="C30396" s="5" t="str">
        <f>IFERROR(__xludf.DUMMYFUNCTION("GOOGLETRANSLATE(B30396,""en"",""zh-CN"")"),"她的牙齿闭合以及仍在刷牙的镜头。")</f>
        <v>她的牙齿闭合以及仍在刷牙的镜头。</v>
      </c>
    </row>
    <row r="30397">
      <c r="A30397" s="4" t="s">
        <v>38274</v>
      </c>
      <c r="B30397" s="4" t="s">
        <v>38277</v>
      </c>
      <c r="C30397" s="5" t="str">
        <f>IFERROR(__xludf.DUMMYFUNCTION("GOOGLETRANSLATE(B30397,""en"",""zh-CN"")"),"她继续沿着牙齿刷牙，展示它的完成方式。")</f>
        <v>她继续沿着牙齿刷牙，展示它的完成方式。</v>
      </c>
    </row>
    <row r="30398">
      <c r="A30398" s="4" t="s">
        <v>38278</v>
      </c>
      <c r="B30398" s="4" t="s">
        <v>38279</v>
      </c>
      <c r="C30398" s="5" t="str">
        <f>IFERROR(__xludf.DUMMYFUNCTION("GOOGLETRANSLATE(B30398,""en"",""zh-CN"")"),"屏幕上出现了GoPro广告。")</f>
        <v>屏幕上出现了GoPro广告。</v>
      </c>
    </row>
    <row r="30399">
      <c r="A30399" s="4" t="s">
        <v>38278</v>
      </c>
      <c r="B30399" s="4" t="s">
        <v>38280</v>
      </c>
      <c r="C30399" s="5" t="str">
        <f>IFERROR(__xludf.DUMMYFUNCTION("GOOGLETRANSLATE(B30399,""en"",""zh-CN"")"),"有人使用割草机割草时，有人穿上设备。")</f>
        <v>有人使用割草机割草时，有人穿上设备。</v>
      </c>
    </row>
    <row r="30400">
      <c r="A30400" s="4" t="s">
        <v>38278</v>
      </c>
      <c r="B30400" s="6" t="s">
        <v>38281</v>
      </c>
      <c r="C30400" s="5" t="str">
        <f>IFERROR(__xludf.DUMMYFUNCTION("GOOGLETRANSLATE(B30400,""en"",""zh-CN"")"),"当他完成割草，来回割草并越过相同的斑点直到完美时，它显示出各个角度，因为它显示出各个角度。")</f>
        <v>当他完成割草，来回割草并越过相同的斑点直到完美时，它显示出各个角度，因为它显示出各个角度。</v>
      </c>
    </row>
    <row r="30401">
      <c r="A30401" s="4" t="s">
        <v>38282</v>
      </c>
      <c r="B30401" s="6" t="s">
        <v>38283</v>
      </c>
      <c r="C30401" s="5" t="str">
        <f>IFERROR(__xludf.DUMMYFUNCTION("GOOGLETRANSLATE(B30401,""en"",""zh-CN"")"),"显示了一些人在地板中间进行翻转和技巧的几个剪辑，而灯光在中间闪闪发光。")</f>
        <v>显示了一些人在地板中间进行翻转和技巧的几个剪辑，而灯光在中间闪闪发光。</v>
      </c>
    </row>
    <row r="30402">
      <c r="A30402" s="4" t="s">
        <v>38282</v>
      </c>
      <c r="B30402" s="6" t="s">
        <v>38284</v>
      </c>
      <c r="C30402" s="5" t="str">
        <f>IFERROR(__xludf.DUMMYFUNCTION("GOOGLETRANSLATE(B30402,""en"",""zh-CN"")"),"孩子们继续互相旋转，结束并摔倒来结束。")</f>
        <v>孩子们继续互相旋转，结束并摔倒来结束。</v>
      </c>
    </row>
    <row r="30403">
      <c r="A30403" s="4" t="s">
        <v>38285</v>
      </c>
      <c r="B30403" s="4" t="s">
        <v>38286</v>
      </c>
      <c r="C30403" s="5" t="str">
        <f>IFERROR(__xludf.DUMMYFUNCTION("GOOGLETRANSLATE(B30403,""en"",""zh-CN"")"),"两个女人在一个房间里说话。")</f>
        <v>两个女人在一个房间里说话。</v>
      </c>
    </row>
    <row r="30404">
      <c r="A30404" s="4" t="s">
        <v>38285</v>
      </c>
      <c r="B30404" s="4" t="s">
        <v>38287</v>
      </c>
      <c r="C30404" s="5" t="str">
        <f>IFERROR(__xludf.DUMMYFUNCTION("GOOGLETRANSLATE(B30404,""en"",""zh-CN"")"),"一个女人开始对另一个女人化妆。")</f>
        <v>一个女人开始对另一个女人化妆。</v>
      </c>
    </row>
    <row r="30405">
      <c r="A30405" s="4" t="s">
        <v>38285</v>
      </c>
      <c r="B30405" s="4" t="s">
        <v>38288</v>
      </c>
      <c r="C30405" s="5" t="str">
        <f>IFERROR(__xludf.DUMMYFUNCTION("GOOGLETRANSLATE(B30405,""en"",""zh-CN"")"),"她用海绵擦了擦女人的脸。")</f>
        <v>她用海绵擦了擦女人的脸。</v>
      </c>
    </row>
    <row r="30406">
      <c r="A30406" s="4" t="s">
        <v>38289</v>
      </c>
      <c r="B30406" s="4" t="s">
        <v>38290</v>
      </c>
      <c r="C30406" s="5" t="str">
        <f>IFERROR(__xludf.DUMMYFUNCTION("GOOGLETRANSLATE(B30406,""en"",""zh-CN"")"),"一个戴着头发的女人用毛巾介绍了她的视频，展示了她如何洗脸。")</f>
        <v>一个戴着头发的女人用毛巾介绍了她的视频，展示了她如何洗脸。</v>
      </c>
    </row>
    <row r="30407">
      <c r="A30407" s="4" t="s">
        <v>38289</v>
      </c>
      <c r="B30407" s="4" t="s">
        <v>38291</v>
      </c>
      <c r="C30407" s="5" t="str">
        <f>IFERROR(__xludf.DUMMYFUNCTION("GOOGLETRANSLATE(B30407,""en"",""zh-CN"")"),"她在跳舞时在脸上涂抹保湿霜。")</f>
        <v>她在跳舞时在脸上涂抹保湿霜。</v>
      </c>
    </row>
    <row r="30408">
      <c r="A30408" s="4" t="s">
        <v>38289</v>
      </c>
      <c r="B30408" s="4" t="s">
        <v>38292</v>
      </c>
      <c r="C30408" s="5" t="str">
        <f>IFERROR(__xludf.DUMMYFUNCTION("GOOGLETRANSLATE(B30408,""en"",""zh-CN"")"),"然后，她用保湿剂在客厅里跳舞。")</f>
        <v>然后，她用保湿剂在客厅里跳舞。</v>
      </c>
    </row>
    <row r="30409">
      <c r="A30409" s="4" t="s">
        <v>38289</v>
      </c>
      <c r="B30409" s="4" t="s">
        <v>38293</v>
      </c>
      <c r="C30409" s="5" t="str">
        <f>IFERROR(__xludf.DUMMYFUNCTION("GOOGLETRANSLATE(B30409,""en"",""zh-CN"")"),"最后，她回到浴室，洗脸。")</f>
        <v>最后，她回到浴室，洗脸。</v>
      </c>
    </row>
    <row r="30410">
      <c r="A30410" s="4" t="s">
        <v>38294</v>
      </c>
      <c r="B30410" s="4" t="s">
        <v>38295</v>
      </c>
      <c r="C30410" s="5" t="str">
        <f>IFERROR(__xludf.DUMMYFUNCTION("GOOGLETRANSLATE(B30410,""en"",""zh-CN"")"),"人站在汽车旁边被困在交通中。")</f>
        <v>人站在汽车旁边被困在交通中。</v>
      </c>
    </row>
    <row r="30411">
      <c r="A30411" s="4" t="s">
        <v>38294</v>
      </c>
      <c r="B30411" s="4" t="s">
        <v>38296</v>
      </c>
      <c r="C30411" s="5" t="str">
        <f>IFERROR(__xludf.DUMMYFUNCTION("GOOGLETRANSLATE(B30411,""en"",""zh-CN"")"),"拿着风笛的人正在汽车之间的街道上行走。")</f>
        <v>拿着风笛的人正在汽车之间的街道上行走。</v>
      </c>
    </row>
    <row r="30412">
      <c r="A30412" s="4" t="s">
        <v>38297</v>
      </c>
      <c r="B30412" s="4" t="s">
        <v>38298</v>
      </c>
      <c r="C30412" s="5" t="str">
        <f>IFERROR(__xludf.DUMMYFUNCTION("GOOGLETRANSLATE(B30412,""en"",""zh-CN"")"),"电视记者正在谈论，同时展示一个人在冰上打曲棍球的屏幕。")</f>
        <v>电视记者正在谈论，同时展示一个人在冰上打曲棍球的屏幕。</v>
      </c>
    </row>
    <row r="30413">
      <c r="A30413" s="4" t="s">
        <v>38297</v>
      </c>
      <c r="B30413" s="4" t="s">
        <v>38299</v>
      </c>
      <c r="C30413" s="5" t="str">
        <f>IFERROR(__xludf.DUMMYFUNCTION("GOOGLETRANSLATE(B30413,""en"",""zh-CN"")"),"然后，记者互相交谈并评论，而其中一个人则在笔记本电脑前面。")</f>
        <v>然后，记者互相交谈并评论，而其中一个人则在笔记本电脑前面。</v>
      </c>
    </row>
    <row r="30414">
      <c r="A30414" s="4" t="s">
        <v>38300</v>
      </c>
      <c r="B30414" s="4" t="s">
        <v>38301</v>
      </c>
      <c r="C30414" s="5" t="str">
        <f>IFERROR(__xludf.DUMMYFUNCTION("GOOGLETRANSLATE(B30414,""en"",""zh-CN"")"),"看到一名体操运动员朝着一组不均匀的酒吧奔跑，并在酒吧上进行例行程序。")</f>
        <v>看到一名体操运动员朝着一组不均匀的酒吧奔跑，并在酒吧上进行例行程序。</v>
      </c>
    </row>
    <row r="30415">
      <c r="A30415" s="4" t="s">
        <v>38300</v>
      </c>
      <c r="B30415" s="4" t="s">
        <v>38302</v>
      </c>
      <c r="C30415" s="5" t="str">
        <f>IFERROR(__xludf.DUMMYFUNCTION("GOOGLETRANSLATE(B30415,""en"",""zh-CN"")"),"她四处摆动，跳上垫子以结束例行。")</f>
        <v>她四处摆动，跳上垫子以结束例行。</v>
      </c>
    </row>
    <row r="30416">
      <c r="A30416" s="4" t="s">
        <v>38303</v>
      </c>
      <c r="B30416" s="4" t="s">
        <v>38304</v>
      </c>
      <c r="C30416" s="5" t="str">
        <f>IFERROR(__xludf.DUMMYFUNCTION("GOOGLETRANSLATE(B30416,""en"",""zh-CN"")"),"人们在室内足球舞台上踢足球。")</f>
        <v>人们在室内足球舞台上踢足球。</v>
      </c>
    </row>
    <row r="30417">
      <c r="A30417" s="4" t="s">
        <v>38303</v>
      </c>
      <c r="B30417" s="4" t="s">
        <v>38305</v>
      </c>
      <c r="C30417" s="5" t="str">
        <f>IFERROR(__xludf.DUMMYFUNCTION("GOOGLETRANSLATE(B30417,""en"",""zh-CN"")"),"两个人在球场上拥抱。")</f>
        <v>两个人在球场上拥抱。</v>
      </c>
    </row>
    <row r="30418">
      <c r="A30418" s="4" t="s">
        <v>38303</v>
      </c>
      <c r="B30418" s="4" t="s">
        <v>38306</v>
      </c>
      <c r="C30418" s="5" t="str">
        <f>IFERROR(__xludf.DUMMYFUNCTION("GOOGLETRANSLATE(B30418,""en"",""zh-CN"")"),"一个人将球踢进球。")</f>
        <v>一个人将球踢进球。</v>
      </c>
    </row>
    <row r="30419">
      <c r="A30419" s="4" t="s">
        <v>38307</v>
      </c>
      <c r="B30419" s="4" t="s">
        <v>38308</v>
      </c>
      <c r="C30419" s="5" t="str">
        <f>IFERROR(__xludf.DUMMYFUNCTION("GOOGLETRANSLATE(B30419,""en"",""zh-CN"")"),"女人喷洒乳液并刷她的头发。")</f>
        <v>女人喷洒乳液并刷她的头发。</v>
      </c>
    </row>
    <row r="30420">
      <c r="A30420" s="4" t="s">
        <v>38307</v>
      </c>
      <c r="B30420" s="4" t="s">
        <v>38309</v>
      </c>
      <c r="C30420" s="5" t="str">
        <f>IFERROR(__xludf.DUMMYFUNCTION("GOOGLETRANSLATE(B30420,""en"",""zh-CN"")"),"然后，女人用前头发制作辫子，并用销钉将其固定。")</f>
        <v>然后，女人用前头发制作辫子，并用销钉将其固定。</v>
      </c>
    </row>
    <row r="30421">
      <c r="A30421" s="4" t="s">
        <v>38307</v>
      </c>
      <c r="B30421" s="4" t="s">
        <v>38310</v>
      </c>
      <c r="C30421" s="5" t="str">
        <f>IFERROR(__xludf.DUMMYFUNCTION("GOOGLETRANSLATE(B30421,""en"",""zh-CN"")"),"之后，女人在头发上制作小马尾巴和喷乳。")</f>
        <v>之后，女人在头发上制作小马尾巴和喷乳。</v>
      </c>
    </row>
    <row r="30422">
      <c r="A30422" s="4" t="s">
        <v>38311</v>
      </c>
      <c r="B30422" s="4" t="s">
        <v>38312</v>
      </c>
      <c r="C30422" s="5" t="str">
        <f>IFERROR(__xludf.DUMMYFUNCTION("GOOGLETRANSLATE(B30422,""en"",""zh-CN"")"),"显示了初始徽标和网页。")</f>
        <v>显示了初始徽标和网页。</v>
      </c>
    </row>
    <row r="30423">
      <c r="A30423" s="4" t="s">
        <v>38311</v>
      </c>
      <c r="B30423" s="4" t="s">
        <v>38313</v>
      </c>
      <c r="C30423" s="5" t="str">
        <f>IFERROR(__xludf.DUMMYFUNCTION("GOOGLETRANSLATE(B30423,""en"",""zh-CN"")"),"男人在白色溜冰鞋的滑板公园里。")</f>
        <v>男人在白色溜冰鞋的滑板公园里。</v>
      </c>
    </row>
    <row r="30424">
      <c r="A30424" s="4" t="s">
        <v>38311</v>
      </c>
      <c r="B30424" s="4" t="s">
        <v>38314</v>
      </c>
      <c r="C30424" s="5" t="str">
        <f>IFERROR(__xludf.DUMMYFUNCTION("GOOGLETRANSLATE(B30424,""en"",""zh-CN"")"),"人正坐在管子里，在滑板公园里做技巧，另一个男人坐在看着他。")</f>
        <v>人正坐在管子里，在滑板公园里做技巧，另一个男人坐在看着他。</v>
      </c>
    </row>
    <row r="30425">
      <c r="A30425" s="4" t="s">
        <v>38311</v>
      </c>
      <c r="B30425" s="4" t="s">
        <v>38315</v>
      </c>
      <c r="C30425" s="5" t="str">
        <f>IFERROR(__xludf.DUMMYFUNCTION("GOOGLETRANSLATE(B30425,""en"",""zh-CN"")"),"小孩子正在和某人聊天，看着那个溜冰者在滑板公园里做技巧的人。")</f>
        <v>小孩子正在和某人聊天，看着那个溜冰者在滑板公园里做技巧的人。</v>
      </c>
    </row>
    <row r="30426">
      <c r="A30426" s="4" t="s">
        <v>38316</v>
      </c>
      <c r="B30426" s="4" t="s">
        <v>38317</v>
      </c>
      <c r="C30426" s="5" t="str">
        <f>IFERROR(__xludf.DUMMYFUNCTION("GOOGLETRANSLATE(B30426,""en"",""zh-CN"")"),"一个年长的女人正在使用提示玩游泳池。")</f>
        <v>一个年长的女人正在使用提示玩游泳池。</v>
      </c>
    </row>
    <row r="30427">
      <c r="A30427" s="4" t="s">
        <v>38316</v>
      </c>
      <c r="B30427" s="4" t="s">
        <v>38318</v>
      </c>
      <c r="C30427" s="5" t="str">
        <f>IFERROR(__xludf.DUMMYFUNCTION("GOOGLETRANSLATE(B30427,""en"",""zh-CN"")"),"她射击球，走开。")</f>
        <v>她射击球，走开。</v>
      </c>
    </row>
    <row r="30428">
      <c r="A30428" s="4" t="s">
        <v>38316</v>
      </c>
      <c r="B30428" s="4" t="s">
        <v>38319</v>
      </c>
      <c r="C30428" s="5" t="str">
        <f>IFERROR(__xludf.DUMMYFUNCTION("GOOGLETRANSLATE(B30428,""en"",""zh-CN"")"),"然后她与另一个人碰到线索。")</f>
        <v>然后她与另一个人碰到线索。</v>
      </c>
    </row>
    <row r="30429">
      <c r="A30429" s="4" t="s">
        <v>38320</v>
      </c>
      <c r="B30429" s="4" t="s">
        <v>9420</v>
      </c>
      <c r="C30429" s="5" t="str">
        <f>IFERROR(__xludf.DUMMYFUNCTION("GOOGLETRANSLATE(B30429,""en"",""zh-CN"")"),"人们在舞台上跳舞。")</f>
        <v>人们在舞台上跳舞。</v>
      </c>
    </row>
    <row r="30430">
      <c r="A30430" s="4" t="s">
        <v>38320</v>
      </c>
      <c r="B30430" s="4" t="s">
        <v>38321</v>
      </c>
      <c r="C30430" s="5" t="str">
        <f>IFERROR(__xludf.DUMMYFUNCTION("GOOGLETRANSLATE(B30430,""en"",""zh-CN"")"),"两个人在与外面的相机交谈。")</f>
        <v>两个人在与外面的相机交谈。</v>
      </c>
    </row>
    <row r="30431">
      <c r="A30431" s="4" t="s">
        <v>38320</v>
      </c>
      <c r="B30431" s="4" t="s">
        <v>38322</v>
      </c>
      <c r="C30431" s="5" t="str">
        <f>IFERROR(__xludf.DUMMYFUNCTION("GOOGLETRANSLATE(B30431,""en"",""zh-CN"")"),"芭蕾舞演员在舞台上进行了几次旋转。")</f>
        <v>芭蕾舞演员在舞台上进行了几次旋转。</v>
      </c>
    </row>
    <row r="30432">
      <c r="A30432" s="4" t="s">
        <v>38323</v>
      </c>
      <c r="B30432" s="4" t="s">
        <v>38324</v>
      </c>
      <c r="C30432" s="5" t="str">
        <f>IFERROR(__xludf.DUMMYFUNCTION("GOOGLETRANSLATE(B30432,""en"",""zh-CN"")"),"男人正在一条黑暗的街道上抽烟。")</f>
        <v>男人正在一条黑暗的街道上抽烟。</v>
      </c>
    </row>
    <row r="30433">
      <c r="A30433" s="4" t="s">
        <v>38323</v>
      </c>
      <c r="B30433" s="4" t="s">
        <v>38325</v>
      </c>
      <c r="C30433" s="5" t="str">
        <f>IFERROR(__xludf.DUMMYFUNCTION("GOOGLETRANSLATE(B30433,""en"",""zh-CN"")"),"男子穿着白色T恤吸烟，看着相机。")</f>
        <v>男子穿着白色T恤吸烟，看着相机。</v>
      </c>
    </row>
    <row r="30434">
      <c r="A30434" s="4" t="s">
        <v>38323</v>
      </c>
      <c r="B30434" s="4" t="s">
        <v>38326</v>
      </c>
      <c r="C30434" s="5" t="str">
        <f>IFERROR(__xludf.DUMMYFUNCTION("GOOGLETRANSLATE(B30434,""en"",""zh-CN"")"),"男人在黑暗的田野里吸烟。")</f>
        <v>男人在黑暗的田野里吸烟。</v>
      </c>
    </row>
    <row r="30435">
      <c r="A30435" s="4" t="s">
        <v>38327</v>
      </c>
      <c r="B30435" s="4" t="s">
        <v>38328</v>
      </c>
      <c r="C30435" s="5" t="str">
        <f>IFERROR(__xludf.DUMMYFUNCTION("GOOGLETRANSLATE(B30435,""en"",""zh-CN"")"),"一个人在水体中登机。")</f>
        <v>一个人在水体中登机。</v>
      </c>
    </row>
    <row r="30436">
      <c r="A30436" s="4" t="s">
        <v>38327</v>
      </c>
      <c r="B30436" s="4" t="s">
        <v>38329</v>
      </c>
      <c r="C30436" s="5" t="str">
        <f>IFERROR(__xludf.DUMMYFUNCTION("GOOGLETRANSLATE(B30436,""en"",""zh-CN"")"),"那个家伙弄乱了他的头发。")</f>
        <v>那个家伙弄乱了他的头发。</v>
      </c>
    </row>
    <row r="30437">
      <c r="A30437" s="4" t="s">
        <v>38327</v>
      </c>
      <c r="B30437" s="4" t="s">
        <v>38330</v>
      </c>
      <c r="C30437" s="5" t="str">
        <f>IFERROR(__xludf.DUMMYFUNCTION("GOOGLETRANSLATE(B30437,""en"",""zh-CN"")"),"那家伙给了手势。")</f>
        <v>那家伙给了手势。</v>
      </c>
    </row>
    <row r="30438">
      <c r="A30438" s="4" t="s">
        <v>38331</v>
      </c>
      <c r="B30438" s="6" t="s">
        <v>38332</v>
      </c>
      <c r="C30438" s="5" t="str">
        <f>IFERROR(__xludf.DUMMYFUNCTION("GOOGLETRANSLATE(B30438,""en"",""zh-CN"")"),"看到一名运动女子在赛道上奔跑，一群人在场边看着她。")</f>
        <v>看到一名运动女子在赛道上奔跑，一群人在场边看着她。</v>
      </c>
    </row>
    <row r="30439">
      <c r="A30439" s="4" t="s">
        <v>38331</v>
      </c>
      <c r="B30439" s="6" t="s">
        <v>38333</v>
      </c>
      <c r="C30439" s="5" t="str">
        <f>IFERROR(__xludf.DUMMYFUNCTION("GOOGLETRANSLATE(B30439,""en"",""zh-CN"")"),"她继续跑步并结束比赛，同时最后在地面上倒下，哭泣时呼吸沉重。")</f>
        <v>她继续跑步并结束比赛，同时最后在地面上倒下，哭泣时呼吸沉重。</v>
      </c>
    </row>
    <row r="30440">
      <c r="A30440" s="4" t="s">
        <v>38331</v>
      </c>
      <c r="B30440" s="6" t="s">
        <v>38334</v>
      </c>
      <c r="C30440" s="5" t="str">
        <f>IFERROR(__xludf.DUMMYFUNCTION("GOOGLETRANSLATE(B30440,""en"",""zh-CN"")"),"她坐下来哭泣，另一个女人帮助她起床，最后一个女孩跑步的女孩剪辑。")</f>
        <v>她坐下来哭泣，另一个女人帮助她起床，最后一个女孩跑步的女孩剪辑。</v>
      </c>
    </row>
    <row r="30441">
      <c r="A30441" s="4" t="s">
        <v>38335</v>
      </c>
      <c r="B30441" s="4" t="s">
        <v>38336</v>
      </c>
      <c r="C30441" s="5" t="str">
        <f>IFERROR(__xludf.DUMMYFUNCTION("GOOGLETRANSLATE(B30441,""en"",""zh-CN"")"),"一个人在田径比赛中沿着赛道奔跑。")</f>
        <v>一个人在田径比赛中沿着赛道奔跑。</v>
      </c>
    </row>
    <row r="30442">
      <c r="A30442" s="4" t="s">
        <v>38335</v>
      </c>
      <c r="B30442" s="4" t="s">
        <v>38337</v>
      </c>
      <c r="C30442" s="5" t="str">
        <f>IFERROR(__xludf.DUMMYFUNCTION("GOOGLETRANSLATE(B30442,""en"",""zh-CN"")"),"他开始采取一些迅速的步骤来付出自己，因此利用了他试图做出的跳跃。")</f>
        <v>他开始采取一些迅速的步骤来付出自己，因此利用了他试图做出的跳跃。</v>
      </c>
    </row>
    <row r="30443">
      <c r="A30443" s="4" t="s">
        <v>38335</v>
      </c>
      <c r="B30443" s="4" t="s">
        <v>38338</v>
      </c>
      <c r="C30443" s="5" t="str">
        <f>IFERROR(__xludf.DUMMYFUNCTION("GOOGLETRANSLATE(B30443,""en"",""zh-CN"")"),"当他开始跳跃时，他驶向空中。")</f>
        <v>当他开始跳跃时，他驶向空中。</v>
      </c>
    </row>
    <row r="30444">
      <c r="A30444" s="4" t="s">
        <v>38335</v>
      </c>
      <c r="B30444" s="4" t="s">
        <v>38339</v>
      </c>
      <c r="C30444" s="5" t="str">
        <f>IFERROR(__xludf.DUMMYFUNCTION("GOOGLETRANSLATE(B30444,""en"",""zh-CN"")"),"当他完成跳跃时，他降落在地面上。")</f>
        <v>当他完成跳跃时，他降落在地面上。</v>
      </c>
    </row>
    <row r="30445">
      <c r="A30445" s="4" t="s">
        <v>38340</v>
      </c>
      <c r="B30445" s="6" t="s">
        <v>38341</v>
      </c>
      <c r="C30445" s="5" t="str">
        <f>IFERROR(__xludf.DUMMYFUNCTION("GOOGLETRANSLATE(B30445,""en"",""zh-CN"")"),"一个有长胡须的男人在摄影机聊天时刷胡须的侧面，然后在电视跑来跑去时继续说话在他旁边。")</f>
        <v>一个有长胡须的男人在摄影机聊天时刷胡须的侧面，然后在电视跑来跑去时继续说话在他旁边。</v>
      </c>
    </row>
    <row r="30446">
      <c r="A30446" s="4" t="s">
        <v>38340</v>
      </c>
      <c r="B30446" s="6" t="s">
        <v>38342</v>
      </c>
      <c r="C30446" s="5" t="str">
        <f>IFERROR(__xludf.DUMMYFUNCTION("GOOGLETRANSLATE(B30446,""en"",""zh-CN"")"),"绿色的男人剃光了该男子的胡须，然后刷了一下，然后继续刮胡子，留下了长胡子。")</f>
        <v>绿色的男人剃光了该男子的胡须，然后刷了一下，然后继续刮胡子，留下了长胡子。</v>
      </c>
    </row>
    <row r="30447">
      <c r="A30447" s="4" t="s">
        <v>38343</v>
      </c>
      <c r="B30447" s="4" t="s">
        <v>38344</v>
      </c>
      <c r="C30447" s="5" t="str">
        <f>IFERROR(__xludf.DUMMYFUNCTION("GOOGLETRANSLATE(B30447,""en"",""zh-CN"")"),"显示了台球桌的特写，后面是一个男人击球。")</f>
        <v>显示了台球桌的特写，后面是一个男人击球。</v>
      </c>
    </row>
    <row r="30448">
      <c r="A30448" s="4" t="s">
        <v>38343</v>
      </c>
      <c r="B30448" s="4" t="s">
        <v>38345</v>
      </c>
      <c r="C30448" s="5" t="str">
        <f>IFERROR(__xludf.DUMMYFUNCTION("GOOGLETRANSLATE(B30448,""en"",""zh-CN"")"),"那个男人庆祝并握住对手的手。")</f>
        <v>那个男人庆祝并握住对手的手。</v>
      </c>
    </row>
    <row r="30449">
      <c r="A30449" s="4" t="s">
        <v>38343</v>
      </c>
      <c r="B30449" s="4" t="s">
        <v>38346</v>
      </c>
      <c r="C30449" s="5" t="str">
        <f>IFERROR(__xludf.DUMMYFUNCTION("GOOGLETRANSLATE(B30449,""en"",""zh-CN"")"),"他在观众周围庆祝他们，然后回到书包。")</f>
        <v>他在观众周围庆祝他们，然后回到书包。</v>
      </c>
    </row>
    <row r="30450">
      <c r="A30450" s="4" t="s">
        <v>38347</v>
      </c>
      <c r="B30450" s="4" t="s">
        <v>38348</v>
      </c>
      <c r="C30450" s="5" t="str">
        <f>IFERROR(__xludf.DUMMYFUNCTION("GOOGLETRANSLATE(B30450,""en"",""zh-CN"")"),"当一个男人准备乘坐保险杠汽车时，他正在和相机交谈。")</f>
        <v>当一个男人准备乘坐保险杠汽车时，他正在和相机交谈。</v>
      </c>
    </row>
    <row r="30451">
      <c r="A30451" s="4" t="s">
        <v>38347</v>
      </c>
      <c r="B30451" s="6" t="s">
        <v>38349</v>
      </c>
      <c r="C30451" s="5" t="str">
        <f>IFERROR(__xludf.DUMMYFUNCTION("GOOGLETRANSLATE(B30451,""en"",""zh-CN"")"),"当相机观看时，该男子乘坐碰碰车撞上了其他人。")</f>
        <v>当相机观看时，该男子乘坐碰碰车撞上了其他人。</v>
      </c>
    </row>
    <row r="30452">
      <c r="A30452" s="4" t="s">
        <v>38347</v>
      </c>
      <c r="B30452" s="4" t="s">
        <v>38350</v>
      </c>
      <c r="C30452" s="5" t="str">
        <f>IFERROR(__xludf.DUMMYFUNCTION("GOOGLETRANSLATE(B30452,""en"",""zh-CN"")"),"相机放大了人们，以仔细观察。")</f>
        <v>相机放大了人们，以仔细观察。</v>
      </c>
    </row>
    <row r="30453">
      <c r="A30453" s="4" t="s">
        <v>38347</v>
      </c>
      <c r="B30453" s="4" t="s">
        <v>38351</v>
      </c>
      <c r="C30453" s="5" t="str">
        <f>IFERROR(__xludf.DUMMYFUNCTION("GOOGLETRANSLATE(B30453,""en"",""zh-CN"")"),"骑行结束了，人们从保险杠汽车中脱颖而出。")</f>
        <v>骑行结束了，人们从保险杠汽车中脱颖而出。</v>
      </c>
    </row>
    <row r="30454">
      <c r="A30454" s="4" t="s">
        <v>38352</v>
      </c>
      <c r="B30454" s="4" t="s">
        <v>38353</v>
      </c>
      <c r="C30454" s="5" t="str">
        <f>IFERROR(__xludf.DUMMYFUNCTION("GOOGLETRANSLATE(B30454,""en"",""zh-CN"")"),"一个人在奥运会上的田径事件中扔一个物体。")</f>
        <v>一个人在奥运会上的田径事件中扔一个物体。</v>
      </c>
    </row>
    <row r="30455">
      <c r="A30455" s="4" t="s">
        <v>38352</v>
      </c>
      <c r="B30455" s="4" t="s">
        <v>38354</v>
      </c>
      <c r="C30455" s="5" t="str">
        <f>IFERROR(__xludf.DUMMYFUNCTION("GOOGLETRANSLATE(B30455,""en"",""zh-CN"")"),"然后以慢动作显示，然后加速。")</f>
        <v>然后以慢动作显示，然后加速。</v>
      </c>
    </row>
    <row r="30456">
      <c r="A30456" s="4" t="s">
        <v>38352</v>
      </c>
      <c r="B30456" s="4" t="s">
        <v>38355</v>
      </c>
      <c r="C30456" s="5" t="str">
        <f>IFERROR(__xludf.DUMMYFUNCTION("GOOGLETRANSLATE(B30456,""en"",""zh-CN"")"),"教练的反应和欢呼。")</f>
        <v>教练的反应和欢呼。</v>
      </c>
    </row>
    <row r="30457">
      <c r="A30457" s="4" t="s">
        <v>38352</v>
      </c>
      <c r="B30457" s="4" t="s">
        <v>38356</v>
      </c>
      <c r="C30457" s="5" t="str">
        <f>IFERROR(__xludf.DUMMYFUNCTION("GOOGLETRANSLATE(B30457,""en"",""zh-CN"")"),"运动员获得奖牌并向人群挥手。")</f>
        <v>运动员获得奖牌并向人群挥手。</v>
      </c>
    </row>
    <row r="30458">
      <c r="A30458" s="4" t="s">
        <v>38357</v>
      </c>
      <c r="B30458" s="4" t="s">
        <v>38358</v>
      </c>
      <c r="C30458" s="5" t="str">
        <f>IFERROR(__xludf.DUMMYFUNCTION("GOOGLETRANSLATE(B30458,""en"",""zh-CN"")"),"一个人在户外，切断了一堆雪地板。")</f>
        <v>一个人在户外，切断了一堆雪地板。</v>
      </c>
    </row>
    <row r="30459">
      <c r="A30459" s="4" t="s">
        <v>38357</v>
      </c>
      <c r="B30459" s="4" t="s">
        <v>38359</v>
      </c>
      <c r="C30459" s="5" t="str">
        <f>IFERROR(__xludf.DUMMYFUNCTION("GOOGLETRANSLATE(B30459,""en"",""zh-CN"")"),"他移动床单，然后将地板弄乱，然后将其放下。")</f>
        <v>他移动床单，然后将地板弄乱，然后将其放下。</v>
      </c>
    </row>
    <row r="30460">
      <c r="A30460" s="4" t="s">
        <v>38357</v>
      </c>
      <c r="B30460" s="4" t="s">
        <v>38360</v>
      </c>
      <c r="C30460" s="5" t="str">
        <f>IFERROR(__xludf.DUMMYFUNCTION("GOOGLETRANSLATE(B30460,""en"",""zh-CN"")"),"该男子将大床单按在地面上。")</f>
        <v>该男子将大床单按在地面上。</v>
      </c>
    </row>
    <row r="30461">
      <c r="A30461" s="4" t="s">
        <v>38361</v>
      </c>
      <c r="B30461" s="6" t="s">
        <v>38362</v>
      </c>
      <c r="C30461" s="5" t="str">
        <f>IFERROR(__xludf.DUMMYFUNCTION("GOOGLETRANSLATE(B30461,""en"",""zh-CN"")"),"一个男人在狗旁边拿着飞盘，然后狗跳到男人后面，抓住飞盘。")</f>
        <v>一个男人在狗旁边拿着飞盘，然后狗跳到男人后面，抓住飞盘。</v>
      </c>
    </row>
    <row r="30462">
      <c r="A30462" s="4" t="s">
        <v>38361</v>
      </c>
      <c r="B30462" s="4" t="s">
        <v>38363</v>
      </c>
      <c r="C30462" s="5" t="str">
        <f>IFERROR(__xludf.DUMMYFUNCTION("GOOGLETRANSLATE(B30462,""en"",""zh-CN"")"),"在男人和狗捣蛋之后，该男子扔了一个飞盘，狗跑来跑去。")</f>
        <v>在男人和狗捣蛋之后，该男子扔了一个飞盘，狗跑来跑去。</v>
      </c>
    </row>
    <row r="30463">
      <c r="A30463" s="4" t="s">
        <v>38361</v>
      </c>
      <c r="B30463" s="4" t="s">
        <v>38364</v>
      </c>
      <c r="C30463" s="5" t="str">
        <f>IFERROR(__xludf.DUMMYFUNCTION("GOOGLETRANSLATE(B30463,""en"",""zh-CN"")"),"一个人的脚躺下，然后狗站在脚上，用飞盘玩。")</f>
        <v>一个人的脚躺下，然后狗站在脚上，用飞盘玩。</v>
      </c>
    </row>
    <row r="30464">
      <c r="A30464" s="4" t="s">
        <v>38361</v>
      </c>
      <c r="B30464" s="4" t="s">
        <v>38365</v>
      </c>
      <c r="C30464" s="5" t="str">
        <f>IFERROR(__xludf.DUMMYFUNCTION("GOOGLETRANSLATE(B30464,""en"",""zh-CN"")"),"该男子和狗飞盘一起玩，扔了窍门并扔了飞盘。")</f>
        <v>该男子和狗飞盘一起玩，扔了窍门并扔了飞盘。</v>
      </c>
    </row>
    <row r="30465">
      <c r="A30465" s="4" t="s">
        <v>38366</v>
      </c>
      <c r="B30465" s="4" t="s">
        <v>38367</v>
      </c>
      <c r="C30465" s="5" t="str">
        <f>IFERROR(__xludf.DUMMYFUNCTION("GOOGLETRANSLATE(B30465,""en"",""zh-CN"")"),"显示了装有枪的盒子的外部。")</f>
        <v>显示了装有枪的盒子的外部。</v>
      </c>
    </row>
    <row r="30466">
      <c r="A30466" s="4" t="s">
        <v>38366</v>
      </c>
      <c r="B30466" s="4" t="s">
        <v>38368</v>
      </c>
      <c r="C30466" s="5" t="str">
        <f>IFERROR(__xludf.DUMMYFUNCTION("GOOGLETRANSLATE(B30466,""en"",""zh-CN"")"),"一个男人在枪支展示前与另外两个人一起。")</f>
        <v>一个男人在枪支展示前与另外两个人一起。</v>
      </c>
    </row>
    <row r="30467">
      <c r="A30467" s="4" t="s">
        <v>38366</v>
      </c>
      <c r="B30467" s="6" t="s">
        <v>38369</v>
      </c>
      <c r="C30467" s="5" t="str">
        <f>IFERROR(__xludf.DUMMYFUNCTION("GOOGLETRANSLATE(B30467,""en"",""zh-CN"")"),"他们谈论枪支，然后加入户外彩弹射击游戏，彼此射击时躲在障碍物后面。")</f>
        <v>他们谈论枪支，然后加入户外彩弹射击游戏，彼此射击时躲在障碍物后面。</v>
      </c>
    </row>
    <row r="30468">
      <c r="A30468" s="4" t="s">
        <v>38370</v>
      </c>
      <c r="B30468" s="4" t="s">
        <v>38371</v>
      </c>
      <c r="C30468" s="5" t="str">
        <f>IFERROR(__xludf.DUMMYFUNCTION("GOOGLETRANSLATE(B30468,""en"",""zh-CN"")"),"一位站在幻灯片旁边的女士将一个小孩抱在幻灯片上。")</f>
        <v>一位站在幻灯片旁边的女士将一个小孩抱在幻灯片上。</v>
      </c>
    </row>
    <row r="30469">
      <c r="A30469" s="4" t="s">
        <v>38370</v>
      </c>
      <c r="B30469" s="4" t="s">
        <v>38372</v>
      </c>
      <c r="C30469" s="5" t="str">
        <f>IFERROR(__xludf.DUMMYFUNCTION("GOOGLETRANSLATE(B30469,""en"",""zh-CN"")"),"她看着隧道内，移动了一个小孩子向他展示并向那个人挥手。")</f>
        <v>她看着隧道内，移动了一个小孩子向他展示并向那个人挥手。</v>
      </c>
    </row>
    <row r="30470">
      <c r="A30470" s="4" t="s">
        <v>38370</v>
      </c>
      <c r="B30470" s="4" t="s">
        <v>38373</v>
      </c>
      <c r="C30470" s="5" t="str">
        <f>IFERROR(__xludf.DUMMYFUNCTION("GOOGLETRANSLATE(B30470,""en"",""zh-CN"")"),"那位女士将孩子推到幻灯片下面时抱着孩子。")</f>
        <v>那位女士将孩子推到幻灯片下面时抱着孩子。</v>
      </c>
    </row>
    <row r="30471">
      <c r="A30471" s="4" t="s">
        <v>38370</v>
      </c>
      <c r="B30471" s="4" t="s">
        <v>38374</v>
      </c>
      <c r="C30471" s="5" t="str">
        <f>IFERROR(__xludf.DUMMYFUNCTION("GOOGLETRANSLATE(B30471,""en"",""zh-CN"")"),"那位女士将孩子滑回顶部。")</f>
        <v>那位女士将孩子滑回顶部。</v>
      </c>
    </row>
    <row r="30472">
      <c r="A30472" s="4" t="s">
        <v>38370</v>
      </c>
      <c r="B30472" s="4" t="s">
        <v>38375</v>
      </c>
      <c r="C30472" s="5" t="str">
        <f>IFERROR(__xludf.DUMMYFUNCTION("GOOGLETRANSLATE(B30472,""en"",""zh-CN"")"),"那位女士抱着孩子，将他推下了幻灯片。")</f>
        <v>那位女士抱着孩子，将他推下了幻灯片。</v>
      </c>
    </row>
    <row r="30473">
      <c r="A30473" s="4" t="s">
        <v>38370</v>
      </c>
      <c r="B30473" s="4" t="s">
        <v>38376</v>
      </c>
      <c r="C30473" s="5" t="str">
        <f>IFERROR(__xludf.DUMMYFUNCTION("GOOGLETRANSLATE(B30473,""en"",""zh-CN"")"),"孩子看着时，孩子坐在滑梯的底部。")</f>
        <v>孩子看着时，孩子坐在滑梯的底部。</v>
      </c>
    </row>
    <row r="30474">
      <c r="A30474" s="4" t="s">
        <v>38377</v>
      </c>
      <c r="B30474" s="4" t="s">
        <v>38378</v>
      </c>
      <c r="C30474" s="5" t="str">
        <f>IFERROR(__xludf.DUMMYFUNCTION("GOOGLETRANSLATE(B30474,""en"",""zh-CN"")"),"有两个人在露台上跳下绳子。")</f>
        <v>有两个人在露台上跳下绳子。</v>
      </c>
    </row>
    <row r="30475">
      <c r="A30475" s="4" t="s">
        <v>38377</v>
      </c>
      <c r="B30475" s="4" t="s">
        <v>38379</v>
      </c>
      <c r="C30475" s="5" t="str">
        <f>IFERROR(__xludf.DUMMYFUNCTION("GOOGLETRANSLATE(B30475,""en"",""zh-CN"")"),"男孩离开了，女孩们开始独自跳动。")</f>
        <v>男孩离开了，女孩们开始独自跳动。</v>
      </c>
    </row>
    <row r="30476">
      <c r="A30476" s="4" t="s">
        <v>38377</v>
      </c>
      <c r="B30476" s="4" t="s">
        <v>38380</v>
      </c>
      <c r="C30476" s="5" t="str">
        <f>IFERROR(__xludf.DUMMYFUNCTION("GOOGLETRANSLATE(B30476,""en"",""zh-CN"")"),"这个女孩做一个手站立。")</f>
        <v>这个女孩做一个手站立。</v>
      </c>
    </row>
    <row r="30477">
      <c r="A30477" s="4" t="s">
        <v>38377</v>
      </c>
      <c r="B30477" s="4" t="s">
        <v>38381</v>
      </c>
      <c r="C30477" s="5" t="str">
        <f>IFERROR(__xludf.DUMMYFUNCTION("GOOGLETRANSLATE(B30477,""en"",""zh-CN"")"),"这个男孩开始自己跳绳。")</f>
        <v>这个男孩开始自己跳绳。</v>
      </c>
    </row>
    <row r="30478">
      <c r="A30478" s="4" t="s">
        <v>38377</v>
      </c>
      <c r="B30478" s="4" t="s">
        <v>38382</v>
      </c>
      <c r="C30478" s="5" t="str">
        <f>IFERROR(__xludf.DUMMYFUNCTION("GOOGLETRANSLATE(B30478,""en"",""zh-CN"")"),"女孩在空中翻转。")</f>
        <v>女孩在空中翻转。</v>
      </c>
    </row>
    <row r="30479">
      <c r="A30479" s="4" t="s">
        <v>38377</v>
      </c>
      <c r="B30479" s="4" t="s">
        <v>38383</v>
      </c>
      <c r="C30479" s="5" t="str">
        <f>IFERROR(__xludf.DUMMYFUNCTION("GOOGLETRANSLATE(B30479,""en"",""zh-CN"")"),"这个男孩在空中翻转。")</f>
        <v>这个男孩在空中翻转。</v>
      </c>
    </row>
    <row r="30480">
      <c r="A30480" s="4" t="s">
        <v>38384</v>
      </c>
      <c r="B30480" s="4" t="s">
        <v>38385</v>
      </c>
      <c r="C30480" s="5" t="str">
        <f>IFERROR(__xludf.DUMMYFUNCTION("GOOGLETRANSLATE(B30480,""en"",""zh-CN"")"),"在激光器的背面显示了几个人，被描绘成团队中的成员。")</f>
        <v>在激光器的背面显示了几个人，被描绘成团队中的成员。</v>
      </c>
    </row>
    <row r="30481">
      <c r="A30481" s="4" t="s">
        <v>38384</v>
      </c>
      <c r="B30481" s="6" t="s">
        <v>38386</v>
      </c>
      <c r="C30481" s="5" t="str">
        <f>IFERROR(__xludf.DUMMYFUNCTION("GOOGLETRANSLATE(B30481,""en"",""zh-CN"")"),"然后，一个团队中的一个人来了，并在社区环境中开始滑板。")</f>
        <v>然后，一个团队中的一个人来了，并在社区环境中开始滑板。</v>
      </c>
    </row>
    <row r="30482">
      <c r="A30482" s="4" t="s">
        <v>38384</v>
      </c>
      <c r="B30482" s="6" t="s">
        <v>38387</v>
      </c>
      <c r="C30482" s="5" t="str">
        <f>IFERROR(__xludf.DUMMYFUNCTION("GOOGLETRANSLATE(B30482,""en"",""zh-CN"")"),"当他继续滑冰时，他搬到了一个更乡村的地区，开阔的山脉和田野，点开始在屏幕的拐角处架起。")</f>
        <v>当他继续滑冰时，他搬到了一个更乡村的地区，开阔的山脉和田野，点开始在屏幕的拐角处架起。</v>
      </c>
    </row>
    <row r="30483">
      <c r="A30483" s="4" t="s">
        <v>38388</v>
      </c>
      <c r="B30483" s="4" t="s">
        <v>38389</v>
      </c>
      <c r="C30483" s="5" t="str">
        <f>IFERROR(__xludf.DUMMYFUNCTION("GOOGLETRANSLATE(B30483,""en"",""zh-CN"")"),"一个女人坐下来喝酒。")</f>
        <v>一个女人坐下来喝酒。</v>
      </c>
    </row>
    <row r="30484">
      <c r="A30484" s="4" t="s">
        <v>38388</v>
      </c>
      <c r="B30484" s="4" t="s">
        <v>38390</v>
      </c>
      <c r="C30484" s="5" t="str">
        <f>IFERROR(__xludf.DUMMYFUNCTION("GOOGLETRANSLATE(B30484,""en"",""zh-CN"")"),"她放下饮料并开始说话。")</f>
        <v>她放下饮料并开始说话。</v>
      </c>
    </row>
    <row r="30485">
      <c r="A30485" s="4" t="s">
        <v>38391</v>
      </c>
      <c r="B30485" s="4" t="s">
        <v>38392</v>
      </c>
      <c r="C30485" s="5" t="str">
        <f>IFERROR(__xludf.DUMMYFUNCTION("GOOGLETRANSLATE(B30485,""en"",""zh-CN"")"),"一个小蹒跚学步的蹒跚学步的人走在街上，抱着她的狗皮带。")</f>
        <v>一个小蹒跚学步的蹒跚学步的人走在街上，抱着她的狗皮带。</v>
      </c>
    </row>
    <row r="30486">
      <c r="A30486" s="4" t="s">
        <v>38391</v>
      </c>
      <c r="B30486" s="4" t="s">
        <v>38393</v>
      </c>
      <c r="C30486" s="5" t="str">
        <f>IFERROR(__xludf.DUMMYFUNCTION("GOOGLETRANSLATE(B30486,""en"",""zh-CN"")"),"那只狗走在她前面，不拉她，他很温柔。")</f>
        <v>那只狗走在她前面，不拉她，他很温柔。</v>
      </c>
    </row>
    <row r="30487">
      <c r="A30487" s="4" t="s">
        <v>38391</v>
      </c>
      <c r="B30487" s="4" t="s">
        <v>38394</v>
      </c>
      <c r="C30487" s="5" t="str">
        <f>IFERROR(__xludf.DUMMYFUNCTION("GOOGLETRANSLATE(B30487,""en"",""zh-CN"")"),"狗停下来嗅探，然后再次走路。")</f>
        <v>狗停下来嗅探，然后再次走路。</v>
      </c>
    </row>
    <row r="30488">
      <c r="A30488" s="4" t="s">
        <v>38391</v>
      </c>
      <c r="B30488" s="4" t="s">
        <v>38395</v>
      </c>
      <c r="C30488" s="5" t="str">
        <f>IFERROR(__xludf.DUMMYFUNCTION("GOOGLETRANSLATE(B30488,""en"",""zh-CN"")"),"那个小女孩试图紧紧跟随他。")</f>
        <v>那个小女孩试图紧紧跟随他。</v>
      </c>
    </row>
    <row r="30489">
      <c r="A30489" s="4" t="s">
        <v>38396</v>
      </c>
      <c r="B30489" s="4" t="s">
        <v>38397</v>
      </c>
      <c r="C30489" s="5" t="str">
        <f>IFERROR(__xludf.DUMMYFUNCTION("GOOGLETRANSLATE(B30489,""en"",""zh-CN"")"),"一个人在相机前伸展。")</f>
        <v>一个人在相机前伸展。</v>
      </c>
    </row>
    <row r="30490">
      <c r="A30490" s="4" t="s">
        <v>38396</v>
      </c>
      <c r="B30490" s="4" t="s">
        <v>38398</v>
      </c>
      <c r="C30490" s="5" t="str">
        <f>IFERROR(__xludf.DUMMYFUNCTION("GOOGLETRANSLATE(B30490,""en"",""zh-CN"")"),"摄像机在小船划船上切入了男人的场景。")</f>
        <v>摄像机在小船划船上切入了男人的场景。</v>
      </c>
    </row>
    <row r="30491">
      <c r="A30491" s="4" t="s">
        <v>38396</v>
      </c>
      <c r="B30491" s="6" t="s">
        <v>38399</v>
      </c>
      <c r="C30491" s="5" t="str">
        <f>IFERROR(__xludf.DUMMYFUNCTION("GOOGLETRANSLATE(B30491,""en"",""zh-CN"")"),"摄像机从各个角度和不同背景的各个角度划船船的场景。")</f>
        <v>摄像机从各个角度和不同背景的各个角度划船船的场景。</v>
      </c>
    </row>
    <row r="30492">
      <c r="A30492" s="4" t="s">
        <v>38396</v>
      </c>
      <c r="B30492" s="4" t="s">
        <v>38400</v>
      </c>
      <c r="C30492" s="5" t="str">
        <f>IFERROR(__xludf.DUMMYFUNCTION("GOOGLETRANSLATE(B30492,""en"",""zh-CN"")"),"相机显示男人将船只放下。")</f>
        <v>相机显示男人将船只放下。</v>
      </c>
    </row>
    <row r="30493">
      <c r="A30493" s="4" t="s">
        <v>38396</v>
      </c>
      <c r="B30493" s="4" t="s">
        <v>38401</v>
      </c>
      <c r="C30493" s="5" t="str">
        <f>IFERROR(__xludf.DUMMYFUNCTION("GOOGLETRANSLATE(B30493,""en"",""zh-CN"")"),"相机向几个男人展示了汽车。")</f>
        <v>相机向几个男人展示了汽车。</v>
      </c>
    </row>
    <row r="30494">
      <c r="A30494" s="4" t="s">
        <v>38396</v>
      </c>
      <c r="B30494" s="4" t="s">
        <v>38402</v>
      </c>
      <c r="C30494" s="5" t="str">
        <f>IFERROR(__xludf.DUMMYFUNCTION("GOOGLETRANSLATE(B30494,""en"",""zh-CN"")"),"相机显示了在健身房里锻炼的男人的快速剪辑。")</f>
        <v>相机显示了在健身房里锻炼的男人的快速剪辑。</v>
      </c>
    </row>
    <row r="30495">
      <c r="A30495" s="4" t="s">
        <v>38396</v>
      </c>
      <c r="B30495" s="4" t="s">
        <v>38403</v>
      </c>
      <c r="C30495" s="5" t="str">
        <f>IFERROR(__xludf.DUMMYFUNCTION("GOOGLETRANSLATE(B30495,""en"",""zh-CN"")"),"相机返回到男人划船的场景。")</f>
        <v>相机返回到男人划船的场景。</v>
      </c>
    </row>
    <row r="30496">
      <c r="A30496" s="4" t="s">
        <v>38396</v>
      </c>
      <c r="B30496" s="4" t="s">
        <v>38404</v>
      </c>
      <c r="C30496" s="5" t="str">
        <f>IFERROR(__xludf.DUMMYFUNCTION("GOOGLETRANSLATE(B30496,""en"",""zh-CN"")"),"相机切割以加速汽车驾驶的镜头。")</f>
        <v>相机切割以加速汽车驾驶的镜头。</v>
      </c>
    </row>
    <row r="30497">
      <c r="A30497" s="4" t="s">
        <v>38396</v>
      </c>
      <c r="B30497" s="4" t="s">
        <v>38405</v>
      </c>
      <c r="C30497" s="5" t="str">
        <f>IFERROR(__xludf.DUMMYFUNCTION("GOOGLETRANSLATE(B30497,""en"",""zh-CN"")"),"摄像机切入了男人放松和扔球的场景。")</f>
        <v>摄像机切入了男人放松和扔球的场景。</v>
      </c>
    </row>
    <row r="30498">
      <c r="A30498" s="4" t="s">
        <v>38396</v>
      </c>
      <c r="B30498" s="4" t="s">
        <v>38406</v>
      </c>
      <c r="C30498" s="5" t="str">
        <f>IFERROR(__xludf.DUMMYFUNCTION("GOOGLETRANSLATE(B30498,""en"",""zh-CN"")"),"相机切成一个男人坐着放松的场景。")</f>
        <v>相机切成一个男人坐着放松的场景。</v>
      </c>
    </row>
    <row r="30499">
      <c r="A30499" s="4" t="s">
        <v>38407</v>
      </c>
      <c r="B30499" s="4" t="s">
        <v>38408</v>
      </c>
      <c r="C30499" s="5" t="str">
        <f>IFERROR(__xludf.DUMMYFUNCTION("GOOGLETRANSLATE(B30499,""en"",""zh-CN"")"),"一个人正坐在桌子后面，盲目地折叠起来。")</f>
        <v>一个人正坐在桌子后面，盲目地折叠起来。</v>
      </c>
    </row>
    <row r="30500">
      <c r="A30500" s="4" t="s">
        <v>38407</v>
      </c>
      <c r="B30500" s="4" t="s">
        <v>38409</v>
      </c>
      <c r="C30500" s="5" t="str">
        <f>IFERROR(__xludf.DUMMYFUNCTION("GOOGLETRANSLATE(B30500,""en"",""zh-CN"")"),"计时器在他们面前的桌子上。")</f>
        <v>计时器在他们面前的桌子上。</v>
      </c>
    </row>
    <row r="30501">
      <c r="A30501" s="4" t="s">
        <v>38407</v>
      </c>
      <c r="B30501" s="4" t="s">
        <v>38410</v>
      </c>
      <c r="C30501" s="5" t="str">
        <f>IFERROR(__xludf.DUMMYFUNCTION("GOOGLETRANSLATE(B30501,""en"",""zh-CN"")"),"该人完成了魔方，并将其放在桌子上。")</f>
        <v>该人完成了魔方，并将其放在桌子上。</v>
      </c>
    </row>
    <row r="30502">
      <c r="A30502" s="4" t="s">
        <v>38411</v>
      </c>
      <c r="B30502" s="4" t="s">
        <v>38412</v>
      </c>
      <c r="C30502" s="5" t="str">
        <f>IFERROR(__xludf.DUMMYFUNCTION("GOOGLETRANSLATE(B30502,""en"",""zh-CN"")"),"我们看到一位女士坐在沙发上说话。")</f>
        <v>我们看到一位女士坐在沙发上说话。</v>
      </c>
    </row>
    <row r="30503">
      <c r="A30503" s="4" t="s">
        <v>38411</v>
      </c>
      <c r="B30503" s="4" t="s">
        <v>38413</v>
      </c>
      <c r="C30503" s="5" t="str">
        <f>IFERROR(__xludf.DUMMYFUNCTION("GOOGLETRANSLATE(B30503,""en"",""zh-CN"")"),"那位女士脸上拍了拍手。")</f>
        <v>那位女士脸上拍了拍手。</v>
      </c>
    </row>
    <row r="30504">
      <c r="A30504" s="4" t="s">
        <v>38411</v>
      </c>
      <c r="B30504" s="4" t="s">
        <v>38414</v>
      </c>
      <c r="C30504" s="5" t="str">
        <f>IFERROR(__xludf.DUMMYFUNCTION("GOOGLETRANSLATE(B30504,""en"",""zh-CN"")"),"我们看着那位女士拉滚子的辫子。")</f>
        <v>我们看着那位女士拉滚子的辫子。</v>
      </c>
    </row>
    <row r="30505">
      <c r="A30505" s="4" t="s">
        <v>38411</v>
      </c>
      <c r="B30505" s="4" t="s">
        <v>38415</v>
      </c>
      <c r="C30505" s="5" t="str">
        <f>IFERROR(__xludf.DUMMYFUNCTION("GOOGLETRANSLATE(B30505,""en"",""zh-CN"")"),"我们看到她的头发靠近。")</f>
        <v>我们看到她的头发靠近。</v>
      </c>
    </row>
    <row r="30506">
      <c r="A30506" s="4" t="s">
        <v>38411</v>
      </c>
      <c r="B30506" s="4" t="s">
        <v>38416</v>
      </c>
      <c r="C30506" s="5" t="str">
        <f>IFERROR(__xludf.DUMMYFUNCTION("GOOGLETRANSLATE(B30506,""en"",""zh-CN"")"),"这位女士用手指做了一个报价。")</f>
        <v>这位女士用手指做了一个报价。</v>
      </c>
    </row>
    <row r="30507">
      <c r="A30507" s="4" t="s">
        <v>38417</v>
      </c>
      <c r="B30507" s="4" t="s">
        <v>38418</v>
      </c>
      <c r="C30507" s="5" t="str">
        <f>IFERROR(__xludf.DUMMYFUNCTION("GOOGLETRANSLATE(B30507,""en"",""zh-CN"")"),"体操运动员聚集了他的注意力，并载着鞍马开始他的活动。")</f>
        <v>体操运动员聚集了他的注意力，并载着鞍马开始他的活动。</v>
      </c>
    </row>
    <row r="30508">
      <c r="A30508" s="4" t="s">
        <v>38417</v>
      </c>
      <c r="B30508" s="4" t="s">
        <v>38419</v>
      </c>
      <c r="C30508" s="5" t="str">
        <f>IFERROR(__xludf.DUMMYFUNCTION("GOOGLETRANSLATE(B30508,""en"",""zh-CN"")"),"播音员发表评论时，观众观看并欢呼。")</f>
        <v>播音员发表评论时，观众观看并欢呼。</v>
      </c>
    </row>
    <row r="30509">
      <c r="A30509" s="4" t="s">
        <v>38417</v>
      </c>
      <c r="B30509" s="4" t="s">
        <v>38420</v>
      </c>
      <c r="C30509" s="5" t="str">
        <f>IFERROR(__xludf.DUMMYFUNCTION("GOOGLETRANSLATE(B30509,""en"",""zh-CN"")"),"他上手架。")</f>
        <v>他上手架。</v>
      </c>
    </row>
    <row r="30510">
      <c r="A30510" s="4" t="s">
        <v>38417</v>
      </c>
      <c r="B30510" s="4" t="s">
        <v>38421</v>
      </c>
      <c r="C30510" s="5" t="str">
        <f>IFERROR(__xludf.DUMMYFUNCTION("GOOGLETRANSLATE(B30510,""en"",""zh-CN"")"),"一旦他从手持脚架回来后，他就会加快速度。")</f>
        <v>一旦他从手持脚架回来后，他就会加快速度。</v>
      </c>
    </row>
    <row r="30511">
      <c r="A30511" s="4" t="s">
        <v>38417</v>
      </c>
      <c r="B30511" s="4" t="s">
        <v>38422</v>
      </c>
      <c r="C30511" s="5" t="str">
        <f>IFERROR(__xludf.DUMMYFUNCTION("GOOGLETRANSLATE(B30511,""en"",""zh-CN"")"),"体操运动员有很好的下马。")</f>
        <v>体操运动员有很好的下马。</v>
      </c>
    </row>
    <row r="30512">
      <c r="A30512" s="4" t="s">
        <v>38417</v>
      </c>
      <c r="B30512" s="4" t="s">
        <v>38423</v>
      </c>
      <c r="C30512" s="5" t="str">
        <f>IFERROR(__xludf.DUMMYFUNCTION("GOOGLETRANSLATE(B30512,""en"",""zh-CN"")"),"我们再次以慢动作观看表演，然后看到他的笑容。")</f>
        <v>我们再次以慢动作观看表演，然后看到他的笑容。</v>
      </c>
    </row>
    <row r="30513">
      <c r="A30513" s="4" t="s">
        <v>38424</v>
      </c>
      <c r="B30513" s="4" t="s">
        <v>38425</v>
      </c>
      <c r="C30513" s="5" t="str">
        <f>IFERROR(__xludf.DUMMYFUNCTION("GOOGLETRANSLATE(B30513,""en"",""zh-CN"")"),"女人正在与镜头说话并拿着化妆刷。")</f>
        <v>女人正在与镜头说话并拿着化妆刷。</v>
      </c>
    </row>
    <row r="30514">
      <c r="A30514" s="4" t="s">
        <v>38424</v>
      </c>
      <c r="B30514" s="4" t="s">
        <v>38426</v>
      </c>
      <c r="C30514" s="5" t="str">
        <f>IFERROR(__xludf.DUMMYFUNCTION("GOOGLETRANSLATE(B30514,""en"",""zh-CN"")"),"女人在头发上扎着辫子，还有它的表演方式如何做辫子。")</f>
        <v>女人在头发上扎着辫子，还有它的表演方式如何做辫子。</v>
      </c>
    </row>
    <row r="30515">
      <c r="A30515" s="4" t="s">
        <v>38427</v>
      </c>
      <c r="B30515" s="4" t="s">
        <v>38428</v>
      </c>
      <c r="C30515" s="5" t="str">
        <f>IFERROR(__xludf.DUMMYFUNCTION("GOOGLETRANSLATE(B30515,""en"",""zh-CN"")"),"一个女孩在说话时在汽车上旅行。")</f>
        <v>一个女孩在说话时在汽车上旅行。</v>
      </c>
    </row>
    <row r="30516">
      <c r="A30516" s="4" t="s">
        <v>38427</v>
      </c>
      <c r="B30516" s="4" t="s">
        <v>38429</v>
      </c>
      <c r="C30516" s="5" t="str">
        <f>IFERROR(__xludf.DUMMYFUNCTION("GOOGLETRANSLATE(B30516,""en"",""zh-CN"")"),"这个女孩在一家穿孔商店里，然后一个男人用纸巾擦鼻子，并留下痕迹。")</f>
        <v>这个女孩在一家穿孔商店里，然后一个男人用纸巾擦鼻子，并留下痕迹。</v>
      </c>
    </row>
    <row r="30517">
      <c r="A30517" s="4" t="s">
        <v>38427</v>
      </c>
      <c r="B30517" s="4" t="s">
        <v>38430</v>
      </c>
      <c r="C30517" s="5" t="str">
        <f>IFERROR(__xludf.DUMMYFUNCTION("GOOGLETRANSLATE(B30517,""en"",""zh-CN"")"),"之后，那个男人刺穿了女孩的鼻子，然后放了一个小费。")</f>
        <v>之后，那个男人刺穿了女孩的鼻子，然后放了一个小费。</v>
      </c>
    </row>
    <row r="30518">
      <c r="A30518" s="4" t="s">
        <v>38427</v>
      </c>
      <c r="B30518" s="4" t="s">
        <v>38431</v>
      </c>
      <c r="C30518" s="5" t="str">
        <f>IFERROR(__xludf.DUMMYFUNCTION("GOOGLETRANSLATE(B30518,""en"",""zh-CN"")"),"之后，该男子清洁了该地区，女孩在脸上擦一些眼泪。")</f>
        <v>之后，该男子清洁了该地区，女孩在脸上擦一些眼泪。</v>
      </c>
    </row>
    <row r="30519">
      <c r="A30519" s="4" t="s">
        <v>38427</v>
      </c>
      <c r="B30519" s="4" t="s">
        <v>38432</v>
      </c>
      <c r="C30519" s="5" t="str">
        <f>IFERROR(__xludf.DUMMYFUNCTION("GOOGLETRANSLATE(B30519,""en"",""zh-CN"")"),"之后，女孩将相机握在她的脸上并说话，也表明了她的刺穿。")</f>
        <v>之后，女孩将相机握在她的脸上并说话，也表明了她的刺穿。</v>
      </c>
    </row>
    <row r="30520">
      <c r="A30520" s="4" t="s">
        <v>38433</v>
      </c>
      <c r="B30520" s="4" t="s">
        <v>38434</v>
      </c>
      <c r="C30520" s="5" t="str">
        <f>IFERROR(__xludf.DUMMYFUNCTION("GOOGLETRANSLATE(B30520,""en"",""zh-CN"")"),"当女人突然出现时，一块运动设备在面板上旋转。")</f>
        <v>当女人突然出现时，一块运动设备在面板上旋转。</v>
      </c>
    </row>
    <row r="30521">
      <c r="A30521" s="4" t="s">
        <v>38433</v>
      </c>
      <c r="B30521" s="4" t="s">
        <v>38435</v>
      </c>
      <c r="C30521" s="5" t="str">
        <f>IFERROR(__xludf.DUMMYFUNCTION("GOOGLETRANSLATE(B30521,""en"",""zh-CN"")"),"她爬上机器，开始锻炼，而相机在动作周围摇摆。")</f>
        <v>她爬上机器，开始锻炼，而相机在动作周围摇摆。</v>
      </c>
    </row>
    <row r="30522">
      <c r="A30522" s="4" t="s">
        <v>38433</v>
      </c>
      <c r="B30522" s="4" t="s">
        <v>38436</v>
      </c>
      <c r="C30522" s="5" t="str">
        <f>IFERROR(__xludf.DUMMYFUNCTION("GOOGLETRANSLATE(B30522,""en"",""zh-CN"")"),"她继续使用设备，并最终显示设备的图片。")</f>
        <v>她继续使用设备，并最终显示设备的图片。</v>
      </c>
    </row>
    <row r="30523">
      <c r="A30523" s="4" t="s">
        <v>38437</v>
      </c>
      <c r="B30523" s="4" t="s">
        <v>38438</v>
      </c>
      <c r="C30523" s="5" t="str">
        <f>IFERROR(__xludf.DUMMYFUNCTION("GOOGLETRANSLATE(B30523,""en"",""zh-CN"")"),"男孩正在戴头盔，正在修理滑板。")</f>
        <v>男孩正在戴头盔，正在修理滑板。</v>
      </c>
    </row>
    <row r="30524">
      <c r="A30524" s="4" t="s">
        <v>38437</v>
      </c>
      <c r="B30524" s="4" t="s">
        <v>38439</v>
      </c>
      <c r="C30524" s="5" t="str">
        <f>IFERROR(__xludf.DUMMYFUNCTION("GOOGLETRANSLATE(B30524,""en"",""zh-CN"")"),"男孩正沿着房屋驶过，直到黑暗。")</f>
        <v>男孩正沿着房屋驶过，直到黑暗。</v>
      </c>
    </row>
    <row r="30525">
      <c r="A30525" s="4" t="s">
        <v>38440</v>
      </c>
      <c r="B30525" s="4" t="s">
        <v>38441</v>
      </c>
      <c r="C30525" s="5" t="str">
        <f>IFERROR(__xludf.DUMMYFUNCTION("GOOGLETRANSLATE(B30525,""en"",""zh-CN"")"),"一个人在外面切碎木头。")</f>
        <v>一个人在外面切碎木头。</v>
      </c>
    </row>
    <row r="30526">
      <c r="A30526" s="4" t="s">
        <v>38440</v>
      </c>
      <c r="B30526" s="4" t="s">
        <v>38442</v>
      </c>
      <c r="C30526" s="5" t="str">
        <f>IFERROR(__xludf.DUMMYFUNCTION("GOOGLETRANSLATE(B30526,""en"",""zh-CN"")"),"斧头在他的第一次尝试中被困在木头上。")</f>
        <v>斧头在他的第一次尝试中被困在木头上。</v>
      </c>
    </row>
    <row r="30527">
      <c r="A30527" s="4" t="s">
        <v>38440</v>
      </c>
      <c r="B30527" s="4" t="s">
        <v>38443</v>
      </c>
      <c r="C30527" s="5" t="str">
        <f>IFERROR(__xludf.DUMMYFUNCTION("GOOGLETRANSLATE(B30527,""en"",""zh-CN"")"),"那个家伙把斧头拔出了。")</f>
        <v>那个家伙把斧头拔出了。</v>
      </c>
    </row>
    <row r="30528">
      <c r="A30528" s="4" t="s">
        <v>38440</v>
      </c>
      <c r="B30528" s="4" t="s">
        <v>38444</v>
      </c>
      <c r="C30528" s="5" t="str">
        <f>IFERROR(__xludf.DUMMYFUNCTION("GOOGLETRANSLATE(B30528,""en"",""zh-CN"")"),"这个家伙不断砍伐木材越来越小。")</f>
        <v>这个家伙不断砍伐木材越来越小。</v>
      </c>
    </row>
    <row r="30529">
      <c r="A30529" s="4" t="s">
        <v>38445</v>
      </c>
      <c r="B30529" s="4" t="s">
        <v>38446</v>
      </c>
      <c r="C30529" s="5" t="str">
        <f>IFERROR(__xludf.DUMMYFUNCTION("GOOGLETRANSLATE(B30529,""en"",""zh-CN"")"),"一个男人和女人正在稳定地说话。")</f>
        <v>一个男人和女人正在稳定地说话。</v>
      </c>
    </row>
    <row r="30530">
      <c r="A30530" s="4" t="s">
        <v>38445</v>
      </c>
      <c r="B30530" s="4" t="s">
        <v>38447</v>
      </c>
      <c r="C30530" s="5" t="str">
        <f>IFERROR(__xludf.DUMMYFUNCTION("GOOGLETRANSLATE(B30530,""en"",""zh-CN"")"),"男人帮助女人骑马，她将其带到舞台上。")</f>
        <v>男人帮助女人骑马，她将其带到舞台上。</v>
      </c>
    </row>
    <row r="30531">
      <c r="A30531" s="4" t="s">
        <v>38445</v>
      </c>
      <c r="B30531" s="4" t="s">
        <v>38448</v>
      </c>
      <c r="C30531" s="5" t="str">
        <f>IFERROR(__xludf.DUMMYFUNCTION("GOOGLETRANSLATE(B30531,""en"",""zh-CN"")"),"那个女人脱下马，与镜头交谈。")</f>
        <v>那个女人脱下马，与镜头交谈。</v>
      </c>
    </row>
    <row r="30532">
      <c r="A30532" s="4" t="s">
        <v>38449</v>
      </c>
      <c r="B30532" s="4" t="s">
        <v>38450</v>
      </c>
      <c r="C30532" s="5" t="str">
        <f>IFERROR(__xludf.DUMMYFUNCTION("GOOGLETRANSLATE(B30532,""en"",""zh-CN"")"),"看到两个男人坐在沙发上看电视，然后回话，彼此之间说话。")</f>
        <v>看到两个男人坐在沙发上看电视，然后回话，彼此之间说话。</v>
      </c>
    </row>
    <row r="30533">
      <c r="A30533" s="4" t="s">
        <v>38449</v>
      </c>
      <c r="B30533" s="6" t="s">
        <v>38451</v>
      </c>
      <c r="C30533" s="5" t="str">
        <f>IFERROR(__xludf.DUMMYFUNCTION("GOOGLETRANSLATE(B30533,""en"",""zh-CN"")"),"另一个人走进框架演讲并拿一杯饮料，两个人继续互相讲话。")</f>
        <v>另一个人走进框架演讲并拿一杯饮料，两个人继续互相讲话。</v>
      </c>
    </row>
    <row r="30534">
      <c r="A30534" s="4" t="s">
        <v>38452</v>
      </c>
      <c r="B30534" s="4" t="s">
        <v>38453</v>
      </c>
      <c r="C30534" s="5" t="str">
        <f>IFERROR(__xludf.DUMMYFUNCTION("GOOGLETRANSLATE(B30534,""en"",""zh-CN"")"),"一只手将潮湿的拖把注册到相机。")</f>
        <v>一只手将潮湿的拖把注册到相机。</v>
      </c>
    </row>
    <row r="30535">
      <c r="A30535" s="4" t="s">
        <v>38452</v>
      </c>
      <c r="B30535" s="4" t="s">
        <v>38454</v>
      </c>
      <c r="C30535" s="5" t="str">
        <f>IFERROR(__xludf.DUMMYFUNCTION("GOOGLETRANSLATE(B30535,""en"",""zh-CN"")"),"一个人将地板拖把，相机只捡起一部分人和拖把。")</f>
        <v>一个人将地板拖把，相机只捡起一部分人和拖把。</v>
      </c>
    </row>
    <row r="30536">
      <c r="A30536" s="4" t="s">
        <v>38452</v>
      </c>
      <c r="B30536" s="4" t="s">
        <v>38455</v>
      </c>
      <c r="C30536" s="5" t="str">
        <f>IFERROR(__xludf.DUMMYFUNCTION("GOOGLETRANSLATE(B30536,""en"",""zh-CN"")"),"相机显示拖把头的闭合。")</f>
        <v>相机显示拖把头的闭合。</v>
      </c>
    </row>
    <row r="30537">
      <c r="A30537" s="4" t="s">
        <v>38456</v>
      </c>
      <c r="B30537" s="4" t="s">
        <v>38457</v>
      </c>
      <c r="C30537" s="5" t="str">
        <f>IFERROR(__xludf.DUMMYFUNCTION("GOOGLETRANSLATE(B30537,""en"",""zh-CN"")"),"一个男人在圆圈中旋转，同时将射门投掷到远处。")</f>
        <v>一个男人在圆圈中旋转，同时将射门投掷到远处。</v>
      </c>
    </row>
    <row r="30538">
      <c r="A30538" s="4" t="s">
        <v>38456</v>
      </c>
      <c r="B30538" s="6" t="s">
        <v>38458</v>
      </c>
      <c r="C30538" s="5" t="str">
        <f>IFERROR(__xludf.DUMMYFUNCTION("GOOGLETRANSLATE(B30538,""en"",""zh-CN"")"),"然后，一遍又一遍地显示几名男子，将物体扔到各个位置的远处。")</f>
        <v>然后，一遍又一遍地显示几名男子，将物体扔到各个位置的远处。</v>
      </c>
    </row>
    <row r="30539">
      <c r="A30539" s="4" t="s">
        <v>38459</v>
      </c>
      <c r="B30539" s="4" t="s">
        <v>38460</v>
      </c>
      <c r="C30539" s="5" t="str">
        <f>IFERROR(__xludf.DUMMYFUNCTION("GOOGLETRANSLATE(B30539,""en"",""zh-CN"")"),"带有文本“如何更换轮胎”播放的介绍。")</f>
        <v>带有文本“如何更换轮胎”播放的介绍。</v>
      </c>
    </row>
    <row r="30540">
      <c r="A30540" s="4" t="s">
        <v>38459</v>
      </c>
      <c r="B30540" s="4" t="s">
        <v>38461</v>
      </c>
      <c r="C30540" s="5" t="str">
        <f>IFERROR(__xludf.DUMMYFUNCTION("GOOGLETRANSLATE(B30540,""en"",""zh-CN"")"),"女人有一个工具，可以让您将轮胎放在轮辋上，而男人则拿着该工具。")</f>
        <v>女人有一个工具，可以让您将轮胎放在轮辋上，而男人则拿着该工具。</v>
      </c>
    </row>
    <row r="30541">
      <c r="A30541" s="4" t="s">
        <v>38459</v>
      </c>
      <c r="B30541" s="4" t="s">
        <v>38462</v>
      </c>
      <c r="C30541" s="5" t="str">
        <f>IFERROR(__xludf.DUMMYFUNCTION("GOOGLETRANSLATE(B30541,""en"",""zh-CN"")"),"然后，该女士使用相同的工具从轮辋上卸下轮胎。")</f>
        <v>然后，该女士使用相同的工具从轮辋上卸下轮胎。</v>
      </c>
    </row>
    <row r="30542">
      <c r="A30542" s="4" t="s">
        <v>38459</v>
      </c>
      <c r="B30542" s="6" t="s">
        <v>38463</v>
      </c>
      <c r="C30542" s="5" t="str">
        <f>IFERROR(__xludf.DUMMYFUNCTION("GOOGLETRANSLATE(B30542,""en"",""zh-CN"")"),"拍摄的人在各个方面显示了iPhone的计时器，以显示一步需要多长时间。")</f>
        <v>拍摄的人在各个方面显示了iPhone的计时器，以显示一步需要多长时间。</v>
      </c>
    </row>
    <row r="30543">
      <c r="A30543" s="4" t="s">
        <v>38459</v>
      </c>
      <c r="B30543" s="4" t="s">
        <v>38464</v>
      </c>
      <c r="C30543" s="5" t="str">
        <f>IFERROR(__xludf.DUMMYFUNCTION("GOOGLETRANSLATE(B30543,""en"",""zh-CN"")"),"显示从轮辋上卸下层的工具以及如何工作。")</f>
        <v>显示从轮辋上卸下层的工具以及如何工作。</v>
      </c>
    </row>
    <row r="30544">
      <c r="A30544" s="4" t="s">
        <v>38459</v>
      </c>
      <c r="B30544" s="4" t="s">
        <v>38465</v>
      </c>
      <c r="C30544" s="5" t="str">
        <f>IFERROR(__xludf.DUMMYFUNCTION("GOOGLETRANSLATE(B30544,""en"",""zh-CN"")"),"一个人打开普利司通储物柜或机器以显示内部。")</f>
        <v>一个人打开普利司通储物柜或机器以显示内部。</v>
      </c>
    </row>
    <row r="30545">
      <c r="A30545" s="4" t="s">
        <v>38459</v>
      </c>
      <c r="B30545" s="4" t="s">
        <v>38466</v>
      </c>
      <c r="C30545" s="5" t="str">
        <f>IFERROR(__xludf.DUMMYFUNCTION("GOOGLETRANSLATE(B30545,""en"",""zh-CN"")"),"视频以太阳能车辆的图像结尾。")</f>
        <v>视频以太阳能车辆的图像结尾。</v>
      </c>
    </row>
    <row r="30546">
      <c r="A30546" s="4" t="s">
        <v>38467</v>
      </c>
      <c r="B30546" s="4" t="s">
        <v>38468</v>
      </c>
      <c r="C30546" s="5" t="str">
        <f>IFERROR(__xludf.DUMMYFUNCTION("GOOGLETRANSLATE(B30546,""en"",""zh-CN"")"),"人们在城市的道路上滑板。")</f>
        <v>人们在城市的道路上滑板。</v>
      </c>
    </row>
    <row r="30547">
      <c r="A30547" s="4" t="s">
        <v>38467</v>
      </c>
      <c r="B30547" s="4" t="s">
        <v>38469</v>
      </c>
      <c r="C30547" s="5" t="str">
        <f>IFERROR(__xludf.DUMMYFUNCTION("GOOGLETRANSLATE(B30547,""en"",""zh-CN"")"),"一群青少年在路上见面并观看青少年滑板。")</f>
        <v>一群青少年在路上见面并观看青少年滑板。</v>
      </c>
    </row>
    <row r="30548">
      <c r="A30548" s="4" t="s">
        <v>38467</v>
      </c>
      <c r="B30548" s="4" t="s">
        <v>38470</v>
      </c>
      <c r="C30548" s="5" t="str">
        <f>IFERROR(__xludf.DUMMYFUNCTION("GOOGLETRANSLATE(B30548,""en"",""zh-CN"")"),"一个青少年进入滑板坡道和滑板。")</f>
        <v>一个青少年进入滑板坡道和滑板。</v>
      </c>
    </row>
    <row r="30549">
      <c r="A30549" s="4" t="s">
        <v>38467</v>
      </c>
      <c r="B30549" s="4" t="s">
        <v>38471</v>
      </c>
      <c r="C30549" s="5" t="str">
        <f>IFERROR(__xludf.DUMMYFUNCTION("GOOGLETRANSLATE(B30549,""en"",""zh-CN"")"),"一个男孩滑板在道路上经过一个城市和田野。")</f>
        <v>一个男孩滑板在道路上经过一个城市和田野。</v>
      </c>
    </row>
    <row r="30550">
      <c r="A30550" s="4" t="s">
        <v>38467</v>
      </c>
      <c r="B30550" s="4" t="s">
        <v>38472</v>
      </c>
      <c r="C30550" s="5" t="str">
        <f>IFERROR(__xludf.DUMMYFUNCTION("GOOGLETRANSLATE(B30550,""en"",""zh-CN"")"),"道路上有两个青少年滑板。")</f>
        <v>道路上有两个青少年滑板。</v>
      </c>
    </row>
    <row r="30551">
      <c r="A30551" s="4" t="s">
        <v>38473</v>
      </c>
      <c r="B30551" s="4" t="s">
        <v>38474</v>
      </c>
      <c r="C30551" s="5" t="str">
        <f>IFERROR(__xludf.DUMMYFUNCTION("GOOGLETRANSLATE(B30551,""en"",""zh-CN"")"),"八个人站在工作室里，一名妇女走在小组的后面。")</f>
        <v>八个人站在工作室里，一名妇女走在小组的后面。</v>
      </c>
    </row>
    <row r="30552">
      <c r="A30552" s="4" t="s">
        <v>38473</v>
      </c>
      <c r="B30552" s="6" t="s">
        <v>38475</v>
      </c>
      <c r="C30552" s="5" t="str">
        <f>IFERROR(__xludf.DUMMYFUNCTION("GOOGLETRANSLATE(B30552,""en"",""zh-CN"")"),"小组开始跳舞，旋转，摇晃臀部，旋转，手臂和手在前方移动。")</f>
        <v>小组开始跳舞，旋转，摇晃臀部，旋转，手臂和手在前方移动。</v>
      </c>
    </row>
    <row r="30553">
      <c r="A30553" s="4" t="s">
        <v>38476</v>
      </c>
      <c r="B30553" s="4" t="s">
        <v>38477</v>
      </c>
      <c r="C30553" s="5" t="str">
        <f>IFERROR(__xludf.DUMMYFUNCTION("GOOGLETRANSLATE(B30553,""en"",""zh-CN"")"),"一个女人站在镜子前面微笑着，开始刷头发。")</f>
        <v>一个女人站在镜子前面微笑着，开始刷头发。</v>
      </c>
    </row>
    <row r="30554">
      <c r="A30554" s="4" t="s">
        <v>38476</v>
      </c>
      <c r="B30554" s="4" t="s">
        <v>38478</v>
      </c>
      <c r="C30554" s="5" t="str">
        <f>IFERROR(__xludf.DUMMYFUNCTION("GOOGLETRANSLATE(B30554,""en"",""zh-CN"")"),"她继续梳头，看着镜子。")</f>
        <v>她继续梳头，看着镜子。</v>
      </c>
    </row>
    <row r="30555">
      <c r="A30555" s="4" t="s">
        <v>38479</v>
      </c>
      <c r="B30555" s="4" t="s">
        <v>38480</v>
      </c>
      <c r="C30555" s="5" t="str">
        <f>IFERROR(__xludf.DUMMYFUNCTION("GOOGLETRANSLATE(B30555,""en"",""zh-CN"")"),"一个男人正站在人行道上，手里有一辆银色摄像头拍摄东西。")</f>
        <v>一个男人正站在人行道上，手里有一辆银色摄像头拍摄东西。</v>
      </c>
    </row>
    <row r="30556">
      <c r="A30556" s="4" t="s">
        <v>38479</v>
      </c>
      <c r="B30556" s="6" t="s">
        <v>38481</v>
      </c>
      <c r="C30556" s="5" t="str">
        <f>IFERROR(__xludf.DUMMYFUNCTION("GOOGLETRANSLATE(B30556,""en"",""zh-CN"")"),"随着相机的转动，该男子在玩一袋管子时正在拍摄某人的一座桨上。")</f>
        <v>随着相机的转动，该男子在玩一袋管子时正在拍摄某人的一座桨上。</v>
      </c>
    </row>
    <row r="30557">
      <c r="A30557" s="4" t="s">
        <v>38479</v>
      </c>
      <c r="B30557" s="6" t="s">
        <v>38482</v>
      </c>
      <c r="C30557" s="5" t="str">
        <f>IFERROR(__xludf.DUMMYFUNCTION("GOOGLETRANSLATE(B30557,""en"",""zh-CN"")"),"这个人继续前进，一群人拥挤在他周围，看着他，直到他掉下了方向盘。")</f>
        <v>这个人继续前进，一群人拥挤在他周围，看着他，直到他掉下了方向盘。</v>
      </c>
    </row>
    <row r="30558">
      <c r="A30558" s="4" t="s">
        <v>38483</v>
      </c>
      <c r="B30558" s="4" t="s">
        <v>38484</v>
      </c>
      <c r="C30558" s="5" t="str">
        <f>IFERROR(__xludf.DUMMYFUNCTION("GOOGLETRANSLATE(B30558,""en"",""zh-CN"")"),"人接近他面前的体重。")</f>
        <v>人接近他面前的体重。</v>
      </c>
    </row>
    <row r="30559">
      <c r="A30559" s="4" t="s">
        <v>38483</v>
      </c>
      <c r="B30559" s="4" t="s">
        <v>38485</v>
      </c>
      <c r="C30559" s="5" t="str">
        <f>IFERROR(__xludf.DUMMYFUNCTION("GOOGLETRANSLATE(B30559,""en"",""zh-CN"")"),"人举起重物，将其掉到地板上。")</f>
        <v>人举起重物，将其掉到地板上。</v>
      </c>
    </row>
    <row r="30560">
      <c r="A30560" s="4" t="s">
        <v>38483</v>
      </c>
      <c r="B30560" s="4" t="s">
        <v>38486</v>
      </c>
      <c r="C30560" s="5" t="str">
        <f>IFERROR(__xludf.DUMMYFUNCTION("GOOGLETRANSLATE(B30560,""en"",""zh-CN"")"),"男人举起重物并保持一会儿。")</f>
        <v>男人举起重物并保持一会儿。</v>
      </c>
    </row>
    <row r="30561">
      <c r="A30561" s="4" t="s">
        <v>38483</v>
      </c>
      <c r="B30561" s="4" t="s">
        <v>38487</v>
      </c>
      <c r="C30561" s="5" t="str">
        <f>IFERROR(__xludf.DUMMYFUNCTION("GOOGLETRANSLATE(B30561,""en"",""zh-CN"")"),"人握手以庆祝。")</f>
        <v>人握手以庆祝。</v>
      </c>
    </row>
    <row r="30562">
      <c r="A30562" s="4" t="s">
        <v>38483</v>
      </c>
      <c r="B30562" s="4" t="s">
        <v>38488</v>
      </c>
      <c r="C30562" s="5" t="str">
        <f>IFERROR(__xludf.DUMMYFUNCTION("GOOGLETRANSLATE(B30562,""en"",""zh-CN"")"),"男人在庆祝中尖叫。")</f>
        <v>男人在庆祝中尖叫。</v>
      </c>
    </row>
    <row r="30563">
      <c r="A30563" s="4" t="s">
        <v>38489</v>
      </c>
      <c r="B30563" s="4" t="s">
        <v>38490</v>
      </c>
      <c r="C30563" s="5" t="str">
        <f>IFERROR(__xludf.DUMMYFUNCTION("GOOGLETRANSLATE(B30563,""en"",""zh-CN"")"),"一艘船在海洋波涛汹涌的海水中航行。")</f>
        <v>一艘船在海洋波涛汹涌的海水中航行。</v>
      </c>
    </row>
    <row r="30564">
      <c r="A30564" s="4" t="s">
        <v>38489</v>
      </c>
      <c r="B30564" s="4" t="s">
        <v>38491</v>
      </c>
      <c r="C30564" s="5" t="str">
        <f>IFERROR(__xludf.DUMMYFUNCTION("GOOGLETRANSLATE(B30564,""en"",""zh-CN"")"),"大浪将船上和向下移动。")</f>
        <v>大浪将船上和向下移动。</v>
      </c>
    </row>
    <row r="30565">
      <c r="A30565" s="4" t="s">
        <v>38489</v>
      </c>
      <c r="B30565" s="4" t="s">
        <v>38492</v>
      </c>
      <c r="C30565" s="5" t="str">
        <f>IFERROR(__xludf.DUMMYFUNCTION("GOOGLETRANSLATE(B30565,""en"",""zh-CN"")"),"一个人穿着深色衣服站在船的前面。")</f>
        <v>一个人穿着深色衣服站在船的前面。</v>
      </c>
    </row>
    <row r="30566">
      <c r="A30566" s="4" t="s">
        <v>38493</v>
      </c>
      <c r="B30566" s="4" t="s">
        <v>38494</v>
      </c>
      <c r="C30566" s="5" t="str">
        <f>IFERROR(__xludf.DUMMYFUNCTION("GOOGLETRANSLATE(B30566,""en"",""zh-CN"")"),"当一个人抬起体重时，看到一大批人在竞技场周围徘徊。")</f>
        <v>当一个人抬起体重时，看到一大批人在竞技场周围徘徊。</v>
      </c>
    </row>
    <row r="30567">
      <c r="A30567" s="4" t="s">
        <v>38493</v>
      </c>
      <c r="B30567" s="4" t="s">
        <v>38495</v>
      </c>
      <c r="C30567" s="5" t="str">
        <f>IFERROR(__xludf.DUMMYFUNCTION("GOOGLETRANSLATE(B30567,""en"",""zh-CN"")"),"该男子将重量抬到头上，将其扔在地上。")</f>
        <v>该男子将重量抬到头上，将其扔在地上。</v>
      </c>
    </row>
    <row r="30568">
      <c r="A30568" s="4" t="s">
        <v>38493</v>
      </c>
      <c r="B30568" s="6" t="s">
        <v>38496</v>
      </c>
      <c r="C30568" s="5" t="str">
        <f>IFERROR(__xludf.DUMMYFUNCTION("GOOGLETRANSLATE(B30568,""en"",""zh-CN"")"),"看到更多的男人试图通过成功和欢呼的其他人来举重，而其他人则减轻体重。")</f>
        <v>看到更多的男人试图通过成功和欢呼的其他人来举重，而其他人则减轻体重。</v>
      </c>
    </row>
    <row r="30569">
      <c r="A30569" s="4" t="s">
        <v>38497</v>
      </c>
      <c r="B30569" s="4" t="s">
        <v>38498</v>
      </c>
      <c r="C30569" s="5" t="str">
        <f>IFERROR(__xludf.DUMMYFUNCTION("GOOGLETRANSLATE(B30569,""en"",""zh-CN"")"),"屏幕上出现了带有“ FCC礼物”的图形。")</f>
        <v>屏幕上出现了带有“ FCC礼物”的图形。</v>
      </c>
    </row>
    <row r="30570">
      <c r="A30570" s="4" t="s">
        <v>38497</v>
      </c>
      <c r="B30570" s="4" t="s">
        <v>38499</v>
      </c>
      <c r="C30570" s="5" t="str">
        <f>IFERROR(__xludf.DUMMYFUNCTION("GOOGLETRANSLATE(B30570,""en"",""zh-CN"")"),"Briggs用厨房对相机说话。")</f>
        <v>Briggs用厨房对相机说话。</v>
      </c>
    </row>
    <row r="30571">
      <c r="A30571" s="4" t="s">
        <v>38497</v>
      </c>
      <c r="B30571" s="4" t="s">
        <v>38500</v>
      </c>
      <c r="C30571" s="5" t="str">
        <f>IFERROR(__xludf.DUMMYFUNCTION("GOOGLETRANSLATE(B30571,""en"",""zh-CN"")"),"她开始准备一个土豆和汤塔托斯吃饭。")</f>
        <v>她开始准备一个土豆和汤塔托斯吃饭。</v>
      </c>
    </row>
    <row r="30572">
      <c r="A30572" s="4" t="s">
        <v>38501</v>
      </c>
      <c r="B30572" s="4" t="s">
        <v>38502</v>
      </c>
      <c r="C30572" s="5" t="str">
        <f>IFERROR(__xludf.DUMMYFUNCTION("GOOGLETRANSLATE(B30572,""en"",""zh-CN"")"),"看到一个女人坐在轮椅上，看着镜头，将自己的车轮转到一边。")</f>
        <v>看到一个女人坐在轮椅上，看着镜头，将自己的车轮转到一边。</v>
      </c>
    </row>
    <row r="30573">
      <c r="A30573" s="4" t="s">
        <v>38501</v>
      </c>
      <c r="B30573" s="4" t="s">
        <v>38503</v>
      </c>
      <c r="C30573" s="5" t="str">
        <f>IFERROR(__xludf.DUMMYFUNCTION("GOOGLETRANSLATE(B30573,""en"",""zh-CN"")"),"然后，她在仍然对镜头微笑时，在另一个男人的帮助下穿上鞋子。")</f>
        <v>然后，她在仍然对镜头微笑时，在另一个男人的帮助下穿上鞋子。</v>
      </c>
    </row>
    <row r="30574">
      <c r="A30574" s="4" t="s">
        <v>38501</v>
      </c>
      <c r="B30574" s="4" t="s">
        <v>38504</v>
      </c>
      <c r="C30574" s="5" t="str">
        <f>IFERROR(__xludf.DUMMYFUNCTION("GOOGLETRANSLATE(B30574,""en"",""zh-CN"")"),"她把自己摆脱困境，最后拍手。")</f>
        <v>她把自己摆脱困境，最后拍手。</v>
      </c>
    </row>
    <row r="30575">
      <c r="A30575" s="4" t="s">
        <v>38505</v>
      </c>
      <c r="B30575" s="4" t="s">
        <v>38506</v>
      </c>
      <c r="C30575" s="5" t="str">
        <f>IFERROR(__xludf.DUMMYFUNCTION("GOOGLETRANSLATE(B30575,""en"",""zh-CN"")"),"厨师首先要取下和切片。")</f>
        <v>厨师首先要取下和切片。</v>
      </c>
    </row>
    <row r="30576">
      <c r="A30576" s="4" t="s">
        <v>38505</v>
      </c>
      <c r="B30576" s="4" t="s">
        <v>38507</v>
      </c>
      <c r="C30576" s="5" t="str">
        <f>IFERROR(__xludf.DUMMYFUNCTION("GOOGLETRANSLATE(B30576,""en"",""zh-CN"")"),"然后，厨师将它们放在垃圾箱中，之后他切成薄片并剥落更多。")</f>
        <v>然后，厨师将它们放在垃圾箱中，之后他切成薄片并剥落更多。</v>
      </c>
    </row>
    <row r="30577">
      <c r="A30577" s="4" t="s">
        <v>38505</v>
      </c>
      <c r="B30577" s="4" t="s">
        <v>38508</v>
      </c>
      <c r="C30577" s="5" t="str">
        <f>IFERROR(__xludf.DUMMYFUNCTION("GOOGLETRANSLATE(B30577,""en"",""zh-CN"")"),"然后，厨师将长奶酪砍伐，将它们放在银垃圾箱中，并将其与romaine融合在一起。")</f>
        <v>然后，厨师将长奶酪砍伐，将它们放在银垃圾箱中，并将其与romaine融合在一起。</v>
      </c>
    </row>
    <row r="30578">
      <c r="A30578" s="4" t="s">
        <v>38505</v>
      </c>
      <c r="B30578" s="6" t="s">
        <v>38509</v>
      </c>
      <c r="C30578" s="5" t="str">
        <f>IFERROR(__xludf.DUMMYFUNCTION("GOOGLETRANSLATE(B30578,""en"",""zh-CN"")"),"最终，他从一个圆形的银碗上取出沙拉混合物，然后将沙拉放在白板上。")</f>
        <v>最终，他从一个圆形的银碗上取出沙拉混合物，然后将沙拉放在白板上。</v>
      </c>
    </row>
    <row r="30579">
      <c r="A30579" s="4" t="s">
        <v>38510</v>
      </c>
      <c r="B30579" s="4" t="s">
        <v>38511</v>
      </c>
      <c r="C30579" s="5" t="str">
        <f>IFERROR(__xludf.DUMMYFUNCTION("GOOGLETRANSLATE(B30579,""en"",""zh-CN"")"),"几个人在水中的大浪上冲浪。")</f>
        <v>几个人在水中的大浪上冲浪。</v>
      </c>
    </row>
    <row r="30580">
      <c r="A30580" s="4" t="s">
        <v>38510</v>
      </c>
      <c r="B30580" s="4" t="s">
        <v>38512</v>
      </c>
      <c r="C30580" s="5" t="str">
        <f>IFERROR(__xludf.DUMMYFUNCTION("GOOGLETRANSLATE(B30580,""en"",""zh-CN"")"),"一个男人和一个小女孩在水中游泳。")</f>
        <v>一个男人和一个小女孩在水中游泳。</v>
      </c>
    </row>
    <row r="30581">
      <c r="A30581" s="4" t="s">
        <v>38513</v>
      </c>
      <c r="B30581" s="4" t="s">
        <v>38514</v>
      </c>
      <c r="C30581" s="5" t="str">
        <f>IFERROR(__xludf.DUMMYFUNCTION("GOOGLETRANSLATE(B30581,""en"",""zh-CN"")"),"看到一个小孩在房间的中间踢。")</f>
        <v>看到一个小孩在房间的中间踢。</v>
      </c>
    </row>
    <row r="30582">
      <c r="A30582" s="4" t="s">
        <v>38513</v>
      </c>
      <c r="B30582" s="4" t="s">
        <v>38515</v>
      </c>
      <c r="C30582" s="5" t="str">
        <f>IFERROR(__xludf.DUMMYFUNCTION("GOOGLETRANSLATE(B30582,""en"",""zh-CN"")"),"当摄像机锅周围时，孩子踢了两腿。")</f>
        <v>当摄像机锅周围时，孩子踢了两腿。</v>
      </c>
    </row>
    <row r="30583">
      <c r="A30583" s="4" t="s">
        <v>38513</v>
      </c>
      <c r="B30583" s="4" t="s">
        <v>38516</v>
      </c>
      <c r="C30583" s="5" t="str">
        <f>IFERROR(__xludf.DUMMYFUNCTION("GOOGLETRANSLATE(B30583,""en"",""zh-CN"")"),"看到另一个孩子在狗走进和走出框架时踢在侧面。")</f>
        <v>看到另一个孩子在狗走进和走出框架时踢在侧面。</v>
      </c>
    </row>
    <row r="30584">
      <c r="A30584" s="4" t="s">
        <v>38517</v>
      </c>
      <c r="B30584" s="4" t="s">
        <v>38518</v>
      </c>
      <c r="C30584" s="5" t="str">
        <f>IFERROR(__xludf.DUMMYFUNCTION("GOOGLETRANSLATE(B30584,""en"",""zh-CN"")"),"看到一个戴着假发的小孩拿着小提琴并与镜头说话。")</f>
        <v>看到一个戴着假发的小孩拿着小提琴并与镜头说话。</v>
      </c>
    </row>
    <row r="30585">
      <c r="A30585" s="4" t="s">
        <v>38517</v>
      </c>
      <c r="B30585" s="6" t="s">
        <v>38519</v>
      </c>
      <c r="C30585" s="5" t="str">
        <f>IFERROR(__xludf.DUMMYFUNCTION("GOOGLETRANSLATE(B30585,""en"",""zh-CN"")"),"然后，她在小提琴上播放一首歌，将他的手臂，双手向后移动，并以远处的方式说话。")</f>
        <v>然后，她在小提琴上播放一首歌，将他的手臂，双手向后移动，并以远处的方式说话。</v>
      </c>
    </row>
    <row r="30586">
      <c r="A30586" s="4" t="s">
        <v>38520</v>
      </c>
      <c r="B30586" s="4" t="s">
        <v>38521</v>
      </c>
      <c r="C30586" s="5" t="str">
        <f>IFERROR(__xludf.DUMMYFUNCTION("GOOGLETRANSLATE(B30586,""en"",""zh-CN"")"),"看到一个男人在与镜头说话，并介绍了他的刀和磨刀器。")</f>
        <v>看到一个男人在与镜头说话，并介绍了他的刀和磨刀器。</v>
      </c>
    </row>
    <row r="30587">
      <c r="A30587" s="4" t="s">
        <v>38520</v>
      </c>
      <c r="B30587" s="6" t="s">
        <v>38522</v>
      </c>
      <c r="C30587" s="5" t="str">
        <f>IFERROR(__xludf.DUMMYFUNCTION("GOOGLETRANSLATE(B30587,""en"",""zh-CN"")"),"然后，他将刀滑到锐化器上，并展示其他刀子如何与不同的锐化器一起使用。")</f>
        <v>然后，他将刀滑到锐化器上，并展示其他刀子如何与不同的锐化器一起使用。</v>
      </c>
    </row>
    <row r="30588">
      <c r="A30588" s="4" t="s">
        <v>38520</v>
      </c>
      <c r="B30588" s="4" t="s">
        <v>38523</v>
      </c>
      <c r="C30588" s="5" t="str">
        <f>IFERROR(__xludf.DUMMYFUNCTION("GOOGLETRANSLATE(B30588,""en"",""zh-CN"")"),"他最后一次仍在与镜头说话时，他最后一次介绍了刀。")</f>
        <v>他最后一次仍在与镜头说话时，他最后一次介绍了刀。</v>
      </c>
    </row>
    <row r="30589">
      <c r="A30589" s="4" t="s">
        <v>38524</v>
      </c>
      <c r="B30589" s="4" t="s">
        <v>38525</v>
      </c>
      <c r="C30589" s="5" t="str">
        <f>IFERROR(__xludf.DUMMYFUNCTION("GOOGLETRANSLATE(B30589,""en"",""zh-CN"")"),"一个男人在擦地板。")</f>
        <v>一个男人在擦地板。</v>
      </c>
    </row>
    <row r="30590">
      <c r="A30590" s="4" t="s">
        <v>38524</v>
      </c>
      <c r="B30590" s="4" t="s">
        <v>38526</v>
      </c>
      <c r="C30590" s="5" t="str">
        <f>IFERROR(__xludf.DUMMYFUNCTION("GOOGLETRANSLATE(B30590,""en"",""zh-CN"")"),"一个女人在吃东西。")</f>
        <v>一个女人在吃东西。</v>
      </c>
    </row>
    <row r="30591">
      <c r="A30591" s="4" t="s">
        <v>38527</v>
      </c>
      <c r="B30591" s="4" t="s">
        <v>38528</v>
      </c>
      <c r="C30591" s="5" t="str">
        <f>IFERROR(__xludf.DUMMYFUNCTION("GOOGLETRANSLATE(B30591,""en"",""zh-CN"")"),"一个人在那里洗手并关闭水槽排水口。")</f>
        <v>一个人在那里洗手并关闭水槽排水口。</v>
      </c>
    </row>
    <row r="30592">
      <c r="A30592" s="4" t="s">
        <v>38527</v>
      </c>
      <c r="B30592" s="4" t="s">
        <v>38529</v>
      </c>
      <c r="C30592" s="5" t="str">
        <f>IFERROR(__xludf.DUMMYFUNCTION("GOOGLETRANSLATE(B30592,""en"",""zh-CN"")"),"该人从容器中取出接触，并放在手指的尖端上。")</f>
        <v>该人从容器中取出接触，并放在手指的尖端上。</v>
      </c>
    </row>
    <row r="30593">
      <c r="A30593" s="4" t="s">
        <v>38527</v>
      </c>
      <c r="B30593" s="4" t="s">
        <v>38530</v>
      </c>
      <c r="C30593" s="5" t="str">
        <f>IFERROR(__xludf.DUMMYFUNCTION("GOOGLETRANSLATE(B30593,""en"",""zh-CN"")"),"该人一次握住一只眼睑，并将接触插入他们的眼睛。")</f>
        <v>该人一次握住一只眼睑，并将接触插入他们的眼睛。</v>
      </c>
    </row>
    <row r="30594">
      <c r="A30594" s="4" t="s">
        <v>38527</v>
      </c>
      <c r="B30594" s="4" t="s">
        <v>38531</v>
      </c>
      <c r="C30594" s="5" t="str">
        <f>IFERROR(__xludf.DUMMYFUNCTION("GOOGLETRANSLATE(B30594,""en"",""zh-CN"")"),"将清洁液喷涂到容器中以清除。")</f>
        <v>将清洁液喷涂到容器中以清除。</v>
      </c>
    </row>
    <row r="30595">
      <c r="A30595" s="4" t="s">
        <v>38527</v>
      </c>
      <c r="B30595" s="4" t="s">
        <v>38532</v>
      </c>
      <c r="C30595" s="5" t="str">
        <f>IFERROR(__xludf.DUMMYFUNCTION("GOOGLETRANSLATE(B30595,""en"",""zh-CN"")"),"隐形眼镜从眼睛上移开。")</f>
        <v>隐形眼镜从眼睛上移开。</v>
      </c>
    </row>
    <row r="30596">
      <c r="A30596" s="4" t="s">
        <v>38527</v>
      </c>
      <c r="B30596" s="6" t="s">
        <v>38533</v>
      </c>
      <c r="C30596" s="5" t="str">
        <f>IFERROR(__xludf.DUMMYFUNCTION("GOOGLETRANSLATE(B30596,""en"",""zh-CN"")"),"在将溶液放回柜台之前，将溶液喷在手掌中的隐形眼镜上。")</f>
        <v>在将溶液放回柜台之前，将溶液喷在手掌中的隐形眼镜上。</v>
      </c>
    </row>
    <row r="30597">
      <c r="A30597" s="4" t="s">
        <v>38534</v>
      </c>
      <c r="B30597" s="4" t="s">
        <v>38535</v>
      </c>
      <c r="C30597" s="5" t="str">
        <f>IFERROR(__xludf.DUMMYFUNCTION("GOOGLETRANSLATE(B30597,""en"",""zh-CN"")"),"一系列面具显示在表格上。")</f>
        <v>一系列面具显示在表格上。</v>
      </c>
    </row>
    <row r="30598">
      <c r="A30598" s="4" t="s">
        <v>38534</v>
      </c>
      <c r="B30598" s="4" t="s">
        <v>38536</v>
      </c>
      <c r="C30598" s="5" t="str">
        <f>IFERROR(__xludf.DUMMYFUNCTION("GOOGLETRANSLATE(B30598,""en"",""zh-CN"")"),"约克狗从几个角度显示。")</f>
        <v>约克狗从几个角度显示。</v>
      </c>
    </row>
    <row r="30599">
      <c r="A30599" s="4" t="s">
        <v>38534</v>
      </c>
      <c r="B30599" s="4" t="s">
        <v>38537</v>
      </c>
      <c r="C30599" s="5" t="str">
        <f>IFERROR(__xludf.DUMMYFUNCTION("GOOGLETRANSLATE(B30599,""en"",""zh-CN"")"),"然后，我们看到狗赢得比赛并进行了修饰。")</f>
        <v>然后，我们看到狗赢得比赛并进行了修饰。</v>
      </c>
    </row>
    <row r="30600">
      <c r="A30600" s="4" t="s">
        <v>38538</v>
      </c>
      <c r="B30600" s="4" t="s">
        <v>1487</v>
      </c>
      <c r="C30600" s="5" t="str">
        <f>IFERROR(__xludf.DUMMYFUNCTION("GOOGLETRANSLATE(B30600,""en"",""zh-CN"")"),"我们看到一个开放标题屏幕。")</f>
        <v>我们看到一个开放标题屏幕。</v>
      </c>
    </row>
    <row r="30601">
      <c r="A30601" s="4" t="s">
        <v>38538</v>
      </c>
      <c r="B30601" s="4" t="s">
        <v>38539</v>
      </c>
      <c r="C30601" s="5" t="str">
        <f>IFERROR(__xludf.DUMMYFUNCTION("GOOGLETRANSLATE(B30601,""en"",""zh-CN"")"),"我们从各个角度看到一个电剃须刀。")</f>
        <v>我们从各个角度看到一个电剃须刀。</v>
      </c>
    </row>
    <row r="30602">
      <c r="A30602" s="4" t="s">
        <v>38538</v>
      </c>
      <c r="B30602" s="4" t="s">
        <v>38540</v>
      </c>
      <c r="C30602" s="5" t="str">
        <f>IFERROR(__xludf.DUMMYFUNCTION("GOOGLETRANSLATE(B30602,""en"",""zh-CN"")"),"该男子将产品拆开并将其从包中取出。")</f>
        <v>该男子将产品拆开并将其从包中取出。</v>
      </c>
    </row>
    <row r="30603">
      <c r="A30603" s="4" t="s">
        <v>38538</v>
      </c>
      <c r="B30603" s="4" t="s">
        <v>38541</v>
      </c>
      <c r="C30603" s="5" t="str">
        <f>IFERROR(__xludf.DUMMYFUNCTION("GOOGLETRANSLATE(B30603,""en"",""zh-CN"")"),"该产品被从包装中取出。")</f>
        <v>该产品被从包装中取出。</v>
      </c>
    </row>
    <row r="30604">
      <c r="A30604" s="4" t="s">
        <v>38538</v>
      </c>
      <c r="B30604" s="4" t="s">
        <v>38542</v>
      </c>
      <c r="C30604" s="5" t="str">
        <f>IFERROR(__xludf.DUMMYFUNCTION("GOOGLETRANSLATE(B30604,""en"",""zh-CN"")"),"该男子剃了手，然后增加了一个警卫，将胡须和发际线剃光。")</f>
        <v>该男子剃了手，然后增加了一个警卫，将胡须和发际线剃光。</v>
      </c>
    </row>
    <row r="30605">
      <c r="A30605" s="4" t="s">
        <v>38538</v>
      </c>
      <c r="B30605" s="4" t="s">
        <v>38543</v>
      </c>
      <c r="C30605" s="5" t="str">
        <f>IFERROR(__xludf.DUMMYFUNCTION("GOOGLETRANSLATE(B30605,""en"",""zh-CN"")"),"该男子冲洗剃须刀，在他的脖子上工作。")</f>
        <v>该男子冲洗剃须刀，在他的脖子上工作。</v>
      </c>
    </row>
    <row r="30606">
      <c r="A30606" s="4" t="s">
        <v>38538</v>
      </c>
      <c r="B30606" s="4" t="s">
        <v>4452</v>
      </c>
      <c r="C30606" s="5" t="str">
        <f>IFERROR(__xludf.DUMMYFUNCTION("GOOGLETRANSLATE(B30606,""en"",""zh-CN"")"),"然后，我们看到结尾屏幕。")</f>
        <v>然后，我们看到结尾屏幕。</v>
      </c>
    </row>
    <row r="30607">
      <c r="A30607" s="4" t="s">
        <v>38544</v>
      </c>
      <c r="B30607" s="6" t="s">
        <v>38545</v>
      </c>
      <c r="C30607" s="5" t="str">
        <f>IFERROR(__xludf.DUMMYFUNCTION("GOOGLETRANSLATE(B30607,""en"",""zh-CN"")"),"一个穿着雪衣服的男人和一个女人正在雪中行走，他们开始用手持红色的曲柄长钻头钻进冰块。")</f>
        <v>一个穿着雪衣服的男人和一个女人正在雪中行走，他们开始用手持红色的曲柄长钻头钻进冰块。</v>
      </c>
    </row>
    <row r="30608">
      <c r="A30608" s="4" t="s">
        <v>38544</v>
      </c>
      <c r="B30608" s="6" t="s">
        <v>38546</v>
      </c>
      <c r="C30608" s="5" t="str">
        <f>IFERROR(__xludf.DUMMYFUNCTION("GOOGLETRANSLATE(B30608,""en"",""zh-CN"")"),"当他们在冰上打一个洞时，他们将钓鱼线与诱饵固定在孔中，开始冰钓，直到女人钓到鱼为止。")</f>
        <v>当他们在冰上打一个洞时，他们将钓鱼线与诱饵固定在孔中，开始冰钓，直到女人钓到鱼为止。</v>
      </c>
    </row>
    <row r="30609">
      <c r="A30609" s="4" t="s">
        <v>38544</v>
      </c>
      <c r="B30609" s="4" t="s">
        <v>38547</v>
      </c>
      <c r="C30609" s="5" t="str">
        <f>IFERROR(__xludf.DUMMYFUNCTION("GOOGLETRANSLATE(B30609,""en"",""zh-CN"")"),"钓鱼后，他们现在在木火上，鱼在木头上烹饪。")</f>
        <v>钓鱼后，他们现在在木火上，鱼在木头上烹饪。</v>
      </c>
    </row>
    <row r="30610">
      <c r="A30610" s="4" t="s">
        <v>38548</v>
      </c>
      <c r="B30610" s="4" t="s">
        <v>38549</v>
      </c>
      <c r="C30610" s="5" t="str">
        <f>IFERROR(__xludf.DUMMYFUNCTION("GOOGLETRANSLATE(B30610,""en"",""zh-CN"")"),"一个女人锻炼在档案中抢走一根棍子。")</f>
        <v>一个女人锻炼在档案中抢走一根棍子。</v>
      </c>
    </row>
    <row r="30611">
      <c r="A30611" s="4" t="s">
        <v>38548</v>
      </c>
      <c r="B30611" s="4" t="s">
        <v>38550</v>
      </c>
      <c r="C30611" s="5" t="str">
        <f>IFERROR(__xludf.DUMMYFUNCTION("GOOGLETRANSLATE(B30611,""en"",""zh-CN"")"),"女人在前面锻炼海洋，将棍棒旋转在她的脖子上。")</f>
        <v>女人在前面锻炼海洋，将棍棒旋转在她的脖子上。</v>
      </c>
    </row>
    <row r="30612">
      <c r="A30612" s="4" t="s">
        <v>38548</v>
      </c>
      <c r="B30612" s="4" t="s">
        <v>38551</v>
      </c>
      <c r="C30612" s="5" t="str">
        <f>IFERROR(__xludf.DUMMYFUNCTION("GOOGLETRANSLATE(B30612,""en"",""zh-CN"")"),"然后，女人把棍子扔在空中。")</f>
        <v>然后，女人把棍子扔在空中。</v>
      </c>
    </row>
    <row r="30613">
      <c r="A30613" s="4" t="s">
        <v>38548</v>
      </c>
      <c r="B30613" s="4" t="s">
        <v>38552</v>
      </c>
      <c r="C30613" s="5" t="str">
        <f>IFERROR(__xludf.DUMMYFUNCTION("GOOGLETRANSLATE(B30613,""en"",""zh-CN"")"),"之后，那个女人用折叠的手臂将棍子从手上传递到另一只。")</f>
        <v>之后，那个女人用折叠的手臂将棍子从手上传递到另一只。</v>
      </c>
    </row>
    <row r="30614">
      <c r="A30614" s="4" t="s">
        <v>38553</v>
      </c>
      <c r="B30614" s="4" t="s">
        <v>38554</v>
      </c>
      <c r="C30614" s="5" t="str">
        <f>IFERROR(__xludf.DUMMYFUNCTION("GOOGLETRANSLATE(B30614,""en"",""zh-CN"")"),"两名穿着带衬垫的相扑服装的男人沿着滑雪坡上的拖绳拉动。")</f>
        <v>两名穿着带衬垫的相扑服装的男人沿着滑雪坡上的拖绳拉动。</v>
      </c>
    </row>
    <row r="30615">
      <c r="A30615" s="4" t="s">
        <v>38553</v>
      </c>
      <c r="B30615" s="4" t="s">
        <v>38555</v>
      </c>
      <c r="C30615" s="5" t="str">
        <f>IFERROR(__xludf.DUMMYFUNCTION("GOOGLETRANSLATE(B30615,""en"",""zh-CN"")"),"两名穿着黄色垫子的相扑服装的男人确实在下坡路上跳下了滑雪板。")</f>
        <v>两名穿着黄色垫子的相扑服装的男人确实在下坡路上跳下了滑雪板。</v>
      </c>
    </row>
    <row r="30616">
      <c r="A30616" s="4" t="s">
        <v>38553</v>
      </c>
      <c r="B30616" s="4" t="s">
        <v>38556</v>
      </c>
      <c r="C30616" s="5" t="str">
        <f>IFERROR(__xludf.DUMMYFUNCTION("GOOGLETRANSLATE(B30616,""en"",""zh-CN"")"),"摄影师放弃了相机。")</f>
        <v>摄影师放弃了相机。</v>
      </c>
    </row>
    <row r="30617">
      <c r="A30617" s="4" t="s">
        <v>38553</v>
      </c>
      <c r="B30617" s="4" t="s">
        <v>38557</v>
      </c>
      <c r="C30617" s="5" t="str">
        <f>IFERROR(__xludf.DUMMYFUNCTION("GOOGLETRANSLATE(B30617,""en"",""zh-CN"")"),"该男子在Sumo西装的平台上滑动时旋转。")</f>
        <v>该男子在Sumo西装的平台上滑动时旋转。</v>
      </c>
    </row>
    <row r="30618">
      <c r="A30618" s="4" t="s">
        <v>38553</v>
      </c>
      <c r="B30618" s="4" t="s">
        <v>38558</v>
      </c>
      <c r="C30618" s="5" t="str">
        <f>IFERROR(__xludf.DUMMYFUNCTION("GOOGLETRANSLATE(B30618,""en"",""zh-CN"")"),"这两个男人互相高五。")</f>
        <v>这两个男人互相高五。</v>
      </c>
    </row>
    <row r="30619">
      <c r="A30619" s="4" t="s">
        <v>38553</v>
      </c>
      <c r="B30619" s="4" t="s">
        <v>38559</v>
      </c>
      <c r="C30619" s="5" t="str">
        <f>IFERROR(__xludf.DUMMYFUNCTION("GOOGLETRANSLATE(B30619,""en"",""zh-CN"")"),"穿着Sumo西装的男人越过一个小的三角形障碍物。")</f>
        <v>穿着Sumo西装的男人越过一个小的三角形障碍物。</v>
      </c>
    </row>
    <row r="30620">
      <c r="A30620" s="4" t="s">
        <v>38553</v>
      </c>
      <c r="B30620" s="4" t="s">
        <v>38560</v>
      </c>
      <c r="C30620" s="5" t="str">
        <f>IFERROR(__xludf.DUMMYFUNCTION("GOOGLETRANSLATE(B30620,""en"",""zh-CN"")"),"一个小滑雪板上的男人试图跳跃时坠毁。")</f>
        <v>一个小滑雪板上的男人试图跳跃时坠毁。</v>
      </c>
    </row>
    <row r="30621">
      <c r="A30621" s="4" t="s">
        <v>38553</v>
      </c>
      <c r="B30621" s="4" t="s">
        <v>38561</v>
      </c>
      <c r="C30621" s="5" t="str">
        <f>IFERROR(__xludf.DUMMYFUNCTION("GOOGLETRANSLATE(B30621,""en"",""zh-CN"")"),"该男子穿着Sumo西装时跳上并滑过平台。")</f>
        <v>该男子穿着Sumo西装时跳上并滑过平台。</v>
      </c>
    </row>
    <row r="30622">
      <c r="A30622" s="4" t="s">
        <v>38553</v>
      </c>
      <c r="B30622" s="4" t="s">
        <v>38562</v>
      </c>
      <c r="C30622" s="5" t="str">
        <f>IFERROR(__xludf.DUMMYFUNCTION("GOOGLETRANSLATE(B30622,""en"",""zh-CN"")"),"该男子在低栏杆上弹跳。")</f>
        <v>该男子在低栏杆上弹跳。</v>
      </c>
    </row>
    <row r="30623">
      <c r="A30623" s="4" t="s">
        <v>38563</v>
      </c>
      <c r="B30623" s="4" t="s">
        <v>38564</v>
      </c>
      <c r="C30623" s="5" t="str">
        <f>IFERROR(__xludf.DUMMYFUNCTION("GOOGLETRANSLATE(B30623,""en"",""zh-CN"")"),"一个男孩坐在柜台后面的椅子上。")</f>
        <v>一个男孩坐在柜台后面的椅子上。</v>
      </c>
    </row>
    <row r="30624">
      <c r="A30624" s="4" t="s">
        <v>38563</v>
      </c>
      <c r="B30624" s="4" t="s">
        <v>38565</v>
      </c>
      <c r="C30624" s="5" t="str">
        <f>IFERROR(__xludf.DUMMYFUNCTION("GOOGLETRANSLATE(B30624,""en"",""zh-CN"")"),"一个女孩来到他旁边，试图喂他谷物。")</f>
        <v>一个女孩来到他旁边，试图喂他谷物。</v>
      </c>
    </row>
    <row r="30625">
      <c r="A30625" s="4" t="s">
        <v>38563</v>
      </c>
      <c r="B30625" s="4" t="s">
        <v>38566</v>
      </c>
      <c r="C30625" s="5" t="str">
        <f>IFERROR(__xludf.DUMMYFUNCTION("GOOGLETRANSLATE(B30625,""en"",""zh-CN"")"),"他开始在飞镖板上投掷飞镖。")</f>
        <v>他开始在飞镖板上投掷飞镖。</v>
      </c>
    </row>
    <row r="30626">
      <c r="A30626" s="4" t="s">
        <v>38567</v>
      </c>
      <c r="B30626" s="4" t="s">
        <v>38568</v>
      </c>
      <c r="C30626" s="5" t="str">
        <f>IFERROR(__xludf.DUMMYFUNCTION("GOOGLETRANSLATE(B30626,""en"",""zh-CN"")"),"特写镜头显示了一个非常肮脏的地板用大型真空清洁。")</f>
        <v>特写镜头显示了一个非常肮脏的地板用大型真空清洁。</v>
      </c>
    </row>
    <row r="30627">
      <c r="A30627" s="4" t="s">
        <v>38567</v>
      </c>
      <c r="B30627" s="4" t="s">
        <v>38569</v>
      </c>
      <c r="C30627" s="5" t="str">
        <f>IFERROR(__xludf.DUMMYFUNCTION("GOOGLETRANSLATE(B30627,""en"",""zh-CN"")"),"屏幕上的单词解释了人的真空力量。")</f>
        <v>屏幕上的单词解释了人的真空力量。</v>
      </c>
    </row>
    <row r="30628">
      <c r="A30628" s="4" t="s">
        <v>38567</v>
      </c>
      <c r="B30628" s="4" t="s">
        <v>38570</v>
      </c>
      <c r="C30628" s="5" t="str">
        <f>IFERROR(__xludf.DUMMYFUNCTION("GOOGLETRANSLATE(B30628,""en"",""zh-CN"")"),"地板以步行速度清洁。")</f>
        <v>地板以步行速度清洁。</v>
      </c>
    </row>
    <row r="30629">
      <c r="A30629" s="4" t="s">
        <v>38567</v>
      </c>
      <c r="B30629" s="4" t="s">
        <v>38571</v>
      </c>
      <c r="C30629" s="5" t="str">
        <f>IFERROR(__xludf.DUMMYFUNCTION("GOOGLETRANSLATE(B30629,""en"",""zh-CN"")"),"该男子继续证明使用情况，直到该公司的广告最终出现为止。")</f>
        <v>该男子继续证明使用情况，直到该公司的广告最终出现为止。</v>
      </c>
    </row>
    <row r="30630">
      <c r="A30630" s="4" t="s">
        <v>38572</v>
      </c>
      <c r="B30630" s="4" t="s">
        <v>38573</v>
      </c>
      <c r="C30630" s="5" t="str">
        <f>IFERROR(__xludf.DUMMYFUNCTION("GOOGLETRANSLATE(B30630,""en"",""zh-CN"")"),"可以看到机场外部，然后看到飞机的翼。")</f>
        <v>可以看到机场外部，然后看到飞机的翼。</v>
      </c>
    </row>
    <row r="30631">
      <c r="A30631" s="4" t="s">
        <v>38572</v>
      </c>
      <c r="B30631" s="4" t="s">
        <v>38574</v>
      </c>
      <c r="C30631" s="5" t="str">
        <f>IFERROR(__xludf.DUMMYFUNCTION("GOOGLETRANSLATE(B30631,""en"",""zh-CN"")"),"一个男人戴着口罩在飞机上。")</f>
        <v>一个男人戴着口罩在飞机上。</v>
      </c>
    </row>
    <row r="30632">
      <c r="A30632" s="4" t="s">
        <v>38572</v>
      </c>
      <c r="B30632" s="4" t="s">
        <v>38575</v>
      </c>
      <c r="C30632" s="5" t="str">
        <f>IFERROR(__xludf.DUMMYFUNCTION("GOOGLETRANSLATE(B30632,""en"",""zh-CN"")"),"几个人在黑暗的地方睡觉。")</f>
        <v>几个人在黑暗的地方睡觉。</v>
      </c>
    </row>
    <row r="30633">
      <c r="A30633" s="4" t="s">
        <v>38572</v>
      </c>
      <c r="B30633" s="4" t="s">
        <v>38576</v>
      </c>
      <c r="C30633" s="5" t="str">
        <f>IFERROR(__xludf.DUMMYFUNCTION("GOOGLETRANSLATE(B30633,""en"",""zh-CN"")"),"他们到达滑雪胜地，然后乘坐升降机，然后穿上滑雪板并滑下危险的山丘。")</f>
        <v>他们到达滑雪胜地，然后乘坐升降机，然后穿上滑雪板并滑下危险的山丘。</v>
      </c>
    </row>
    <row r="30634">
      <c r="A30634" s="4" t="s">
        <v>38577</v>
      </c>
      <c r="B30634" s="4" t="s">
        <v>38578</v>
      </c>
      <c r="C30634" s="5" t="str">
        <f>IFERROR(__xludf.DUMMYFUNCTION("GOOGLETRANSLATE(B30634,""en"",""zh-CN"")"),"一个人在真空展厅里握住罐子真空的手臂。")</f>
        <v>一个人在真空展厅里握住罐子真空的手臂。</v>
      </c>
    </row>
    <row r="30635">
      <c r="A30635" s="4" t="s">
        <v>38577</v>
      </c>
      <c r="B30635" s="4" t="s">
        <v>38579</v>
      </c>
      <c r="C30635" s="5" t="str">
        <f>IFERROR(__xludf.DUMMYFUNCTION("GOOGLETRANSLATE(B30635,""en"",""zh-CN"")"),"该男子抬起手臂并将其显示在相机上。")</f>
        <v>该男子抬起手臂并将其显示在相机上。</v>
      </c>
    </row>
    <row r="30636">
      <c r="A30636" s="4" t="s">
        <v>38577</v>
      </c>
      <c r="B30636" s="4" t="s">
        <v>38580</v>
      </c>
      <c r="C30636" s="5" t="str">
        <f>IFERROR(__xludf.DUMMYFUNCTION("GOOGLETRANSLATE(B30636,""en"",""zh-CN"")"),"然后，该男子假装，然后实际上用真空吸尘了油毡地板。")</f>
        <v>然后，该男子假装，然后实际上用真空吸尘了油毡地板。</v>
      </c>
    </row>
    <row r="30637">
      <c r="A30637" s="4" t="s">
        <v>38581</v>
      </c>
      <c r="B30637" s="4" t="s">
        <v>38582</v>
      </c>
      <c r="C30637" s="5" t="str">
        <f>IFERROR(__xludf.DUMMYFUNCTION("GOOGLETRANSLATE(B30637,""en"",""zh-CN"")"),"分数显示在泳池水前的屏幕上。")</f>
        <v>分数显示在泳池水前的屏幕上。</v>
      </c>
    </row>
    <row r="30638">
      <c r="A30638" s="4" t="s">
        <v>38581</v>
      </c>
      <c r="B30638" s="4" t="s">
        <v>38583</v>
      </c>
      <c r="C30638" s="5" t="str">
        <f>IFERROR(__xludf.DUMMYFUNCTION("GOOGLETRANSLATE(B30638,""en"",""zh-CN"")"),"一个男人在房间里毛巾毛巾。")</f>
        <v>一个男人在房间里毛巾毛巾。</v>
      </c>
    </row>
    <row r="30639">
      <c r="A30639" s="4" t="s">
        <v>38581</v>
      </c>
      <c r="B30639" s="4" t="s">
        <v>38584</v>
      </c>
      <c r="C30639" s="5" t="str">
        <f>IFERROR(__xludf.DUMMYFUNCTION("GOOGLETRANSLATE(B30639,""en"",""zh-CN"")"),"他参加比赛，在潜水后握手。")</f>
        <v>他参加比赛，在潜水后握手。</v>
      </c>
    </row>
    <row r="30640">
      <c r="A30640" s="4" t="s">
        <v>38581</v>
      </c>
      <c r="B30640" s="4" t="s">
        <v>38585</v>
      </c>
      <c r="C30640" s="5" t="str">
        <f>IFERROR(__xludf.DUMMYFUNCTION("GOOGLETRANSLATE(B30640,""en"",""zh-CN"")"),"在潜水之间，记分板再次显示。")</f>
        <v>在潜水之间，记分板再次显示。</v>
      </c>
    </row>
    <row r="30641">
      <c r="A30641" s="4" t="s">
        <v>38581</v>
      </c>
      <c r="B30641" s="4" t="s">
        <v>38586</v>
      </c>
      <c r="C30641" s="5" t="str">
        <f>IFERROR(__xludf.DUMMYFUNCTION("GOOGLETRANSLATE(B30641,""en"",""zh-CN"")"),"最后一个场景是该男子退出跳水板。")</f>
        <v>最后一个场景是该男子退出跳水板。</v>
      </c>
    </row>
    <row r="30642">
      <c r="A30642" s="4" t="s">
        <v>38587</v>
      </c>
      <c r="B30642" s="4" t="s">
        <v>38588</v>
      </c>
      <c r="C30642" s="5" t="str">
        <f>IFERROR(__xludf.DUMMYFUNCTION("GOOGLETRANSLATE(B30642,""en"",""zh-CN"")"),"看到一个女人对摄像机微笑着，拿着吹干机和各种附件。")</f>
        <v>看到一个女人对摄像机微笑着，拿着吹干机和各种附件。</v>
      </c>
    </row>
    <row r="30643">
      <c r="A30643" s="4" t="s">
        <v>38587</v>
      </c>
      <c r="B30643" s="6" t="s">
        <v>38589</v>
      </c>
      <c r="C30643" s="5" t="str">
        <f>IFERROR(__xludf.DUMMYFUNCTION("GOOGLETRANSLATE(B30643,""en"",""zh-CN"")"),"然后，她再次用湿的头发看到她，然后将液体喷入头发，然后吹更多的头发。")</f>
        <v>然后，她再次用湿的头发看到她，然后将液体喷入头发，然后吹更多的头发。</v>
      </c>
    </row>
    <row r="30644">
      <c r="A30644" s="4" t="s">
        <v>38587</v>
      </c>
      <c r="B30644" s="6" t="s">
        <v>38590</v>
      </c>
      <c r="C30644" s="5" t="str">
        <f>IFERROR(__xludf.DUMMYFUNCTION("GOOGLETRANSLATE(B30644,""en"",""zh-CN"")"),"然后，她将头发固定，固定并固定在吹风机上，然后将头发变干，最后旋转到相机上。")</f>
        <v>然后，她将头发固定，固定并固定在吹风机上，然后将头发变干，最后旋转到相机上。</v>
      </c>
    </row>
    <row r="30645">
      <c r="A30645" s="4" t="s">
        <v>38591</v>
      </c>
      <c r="B30645" s="4" t="s">
        <v>38592</v>
      </c>
      <c r="C30645" s="5" t="str">
        <f>IFERROR(__xludf.DUMMYFUNCTION("GOOGLETRANSLATE(B30645,""en"",""zh-CN"")"),"一个人使用大型塑料蓝色蝙蝠。")</f>
        <v>一个人使用大型塑料蓝色蝙蝠。</v>
      </c>
    </row>
    <row r="30646">
      <c r="A30646" s="4" t="s">
        <v>38591</v>
      </c>
      <c r="B30646" s="4" t="s">
        <v>38593</v>
      </c>
      <c r="C30646" s="5" t="str">
        <f>IFERROR(__xludf.DUMMYFUNCTION("GOOGLETRANSLATE(B30646,""en"",""zh-CN"")"),"他用像海绵宝宝平方p的形状的皮纳塔（Pinata）摇摆。")</f>
        <v>他用像海绵宝宝平方p的形状的皮纳塔（Pinata）摇摆。</v>
      </c>
    </row>
    <row r="30647">
      <c r="A30647" s="4" t="s">
        <v>38591</v>
      </c>
      <c r="B30647" s="4" t="s">
        <v>38594</v>
      </c>
      <c r="C30647" s="5" t="str">
        <f>IFERROR(__xludf.DUMMYFUNCTION("GOOGLETRANSLATE(B30647,""en"",""zh-CN"")"),"他错过了好几次，一直摇摆。")</f>
        <v>他错过了好几次，一直摇摆。</v>
      </c>
    </row>
    <row r="30648">
      <c r="A30648" s="4" t="s">
        <v>38595</v>
      </c>
      <c r="B30648" s="4" t="s">
        <v>38596</v>
      </c>
      <c r="C30648" s="5" t="str">
        <f>IFERROR(__xludf.DUMMYFUNCTION("GOOGLETRANSLATE(B30648,""en"",""zh-CN"")"),"我们看到镜头和肩膀上的手指。")</f>
        <v>我们看到镜头和肩膀上的手指。</v>
      </c>
    </row>
    <row r="30649">
      <c r="A30649" s="4" t="s">
        <v>38595</v>
      </c>
      <c r="B30649" s="4" t="s">
        <v>38597</v>
      </c>
      <c r="C30649" s="5" t="str">
        <f>IFERROR(__xludf.DUMMYFUNCTION("GOOGLETRANSLATE(B30649,""en"",""zh-CN"")"),"一个女人将割草机推到草地上。")</f>
        <v>一个女人将割草机推到草地上。</v>
      </c>
    </row>
    <row r="30650">
      <c r="A30650" s="4" t="s">
        <v>38595</v>
      </c>
      <c r="B30650" s="4" t="s">
        <v>38598</v>
      </c>
      <c r="C30650" s="5" t="str">
        <f>IFERROR(__xludf.DUMMYFUNCTION("GOOGLETRANSLATE(B30650,""en"",""zh-CN"")"),"那位女士抬起割草机并备份。")</f>
        <v>那位女士抬起割草机并备份。</v>
      </c>
    </row>
    <row r="30651">
      <c r="A30651" s="4" t="s">
        <v>38595</v>
      </c>
      <c r="B30651" s="4" t="s">
        <v>38599</v>
      </c>
      <c r="C30651" s="5" t="str">
        <f>IFERROR(__xludf.DUMMYFUNCTION("GOOGLETRANSLATE(B30651,""en"",""zh-CN"")"),"那位女士转过割草机。")</f>
        <v>那位女士转过割草机。</v>
      </c>
    </row>
    <row r="30652">
      <c r="A30652" s="4" t="s">
        <v>38600</v>
      </c>
      <c r="B30652" s="4" t="s">
        <v>38601</v>
      </c>
      <c r="C30652" s="5" t="str">
        <f>IFERROR(__xludf.DUMMYFUNCTION("GOOGLETRANSLATE(B30652,""en"",""zh-CN"")"),"女人站在柜台的字体上，正在和镜头说话。")</f>
        <v>女人站在柜台的字体上，正在和镜头说话。</v>
      </c>
    </row>
    <row r="30653">
      <c r="A30653" s="4" t="s">
        <v>38600</v>
      </c>
      <c r="B30653" s="6" t="s">
        <v>38602</v>
      </c>
      <c r="C30653" s="5" t="str">
        <f>IFERROR(__xludf.DUMMYFUNCTION("GOOGLETRANSLATE(B30653,""en"",""zh-CN"")"),"显示了一个干净的水槽，一个女人用布披上水和葡萄酒的表面，然后用海绵来表面。")</f>
        <v>显示了一个干净的水槽，一个女人用布披上水和葡萄酒的表面，然后用海绵来表面。</v>
      </c>
    </row>
    <row r="30654">
      <c r="A30654" s="4" t="s">
        <v>38600</v>
      </c>
      <c r="B30654" s="6" t="s">
        <v>38603</v>
      </c>
      <c r="C30654" s="5" t="str">
        <f>IFERROR(__xludf.DUMMYFUNCTION("GOOGLETRANSLATE(B30654,""en"",""zh-CN"")"),"女人在布上放一个清洁剂并清洁水槽，然后女人在说话，白色桌子覆盖了水槽。")</f>
        <v>女人在布上放一个清洁剂并清洁水槽，然后女人在说话，白色桌子覆盖了水槽。</v>
      </c>
    </row>
    <row r="30655">
      <c r="A30655" s="4" t="s">
        <v>38604</v>
      </c>
      <c r="B30655" s="6" t="s">
        <v>38605</v>
      </c>
      <c r="C30655" s="5" t="str">
        <f>IFERROR(__xludf.DUMMYFUNCTION("GOOGLETRANSLATE(B30655,""en"",""zh-CN"")"),"看到一大批人坐在礼堂周围，中间有一个男人在周围飞行风筝。")</f>
        <v>看到一大批人坐在礼堂周围，中间有一个男人在周围飞行风筝。</v>
      </c>
    </row>
    <row r="30656">
      <c r="A30656" s="4" t="s">
        <v>38604</v>
      </c>
      <c r="B30656" s="6" t="s">
        <v>38606</v>
      </c>
      <c r="C30656" s="5" t="str">
        <f>IFERROR(__xludf.DUMMYFUNCTION("GOOGLETRANSLATE(B30656,""en"",""zh-CN"")"),"该人继续用风筝走动，最后一个女人在人群中说话。")</f>
        <v>该人继续用风筝走动，最后一个女人在人群中说话。</v>
      </c>
    </row>
    <row r="30657">
      <c r="A30657" s="4" t="s">
        <v>38607</v>
      </c>
      <c r="B30657" s="4" t="s">
        <v>38608</v>
      </c>
      <c r="C30657" s="5" t="str">
        <f>IFERROR(__xludf.DUMMYFUNCTION("GOOGLETRANSLATE(B30657,""en"",""zh-CN"")"),"我们看到拿着旗帜的田野里的人。")</f>
        <v>我们看到拿着旗帜的田野里的人。</v>
      </c>
    </row>
    <row r="30658">
      <c r="A30658" s="4" t="s">
        <v>38607</v>
      </c>
      <c r="B30658" s="4" t="s">
        <v>38609</v>
      </c>
      <c r="C30658" s="5" t="str">
        <f>IFERROR(__xludf.DUMMYFUNCTION("GOOGLETRANSLATE(B30658,""en"",""zh-CN"")"),"我们看到人们在树林里打彩弹。")</f>
        <v>我们看到人们在树林里打彩弹。</v>
      </c>
    </row>
    <row r="30659">
      <c r="A30659" s="4" t="s">
        <v>38607</v>
      </c>
      <c r="B30659" s="4" t="s">
        <v>38610</v>
      </c>
      <c r="C30659" s="5" t="str">
        <f>IFERROR(__xludf.DUMMYFUNCTION("GOOGLETRANSLATE(B30659,""en"",""zh-CN"")"),"我们看到像士兵一样的人。")</f>
        <v>我们看到像士兵一样的人。</v>
      </c>
    </row>
    <row r="30660">
      <c r="A30660" s="4" t="s">
        <v>38607</v>
      </c>
      <c r="B30660" s="4" t="s">
        <v>38611</v>
      </c>
      <c r="C30660" s="5" t="str">
        <f>IFERROR(__xludf.DUMMYFUNCTION("GOOGLETRANSLATE(B30660,""en"",""zh-CN"")"),"我们看到树林里的人穿着油漆球装备。")</f>
        <v>我们看到树林里的人穿着油漆球装备。</v>
      </c>
    </row>
    <row r="30661">
      <c r="A30661" s="4" t="s">
        <v>38607</v>
      </c>
      <c r="B30661" s="4" t="s">
        <v>38612</v>
      </c>
      <c r="C30661" s="5" t="str">
        <f>IFERROR(__xludf.DUMMYFUNCTION("GOOGLETRANSLATE(B30661,""en"",""zh-CN"")"),"我们看到一个空的金属坦克。")</f>
        <v>我们看到一个空的金属坦克。</v>
      </c>
    </row>
    <row r="30662">
      <c r="A30662" s="4" t="s">
        <v>38607</v>
      </c>
      <c r="B30662" s="4" t="s">
        <v>38613</v>
      </c>
      <c r="C30662" s="5" t="str">
        <f>IFERROR(__xludf.DUMMYFUNCTION("GOOGLETRANSLATE(B30662,""en"",""zh-CN"")"),"我们再次看到树林里的人们。")</f>
        <v>我们再次看到树林里的人们。</v>
      </c>
    </row>
    <row r="30663">
      <c r="A30663" s="4" t="s">
        <v>38607</v>
      </c>
      <c r="B30663" s="4" t="s">
        <v>38614</v>
      </c>
      <c r="C30663" s="5" t="str">
        <f>IFERROR(__xludf.DUMMYFUNCTION("GOOGLETRANSLATE(B30663,""en"",""zh-CN"")"),"我们在坦克内看到。")</f>
        <v>我们在坦克内看到。</v>
      </c>
    </row>
    <row r="30664">
      <c r="A30664" s="4" t="s">
        <v>38607</v>
      </c>
      <c r="B30664" s="4" t="s">
        <v>38615</v>
      </c>
      <c r="C30664" s="5" t="str">
        <f>IFERROR(__xludf.DUMMYFUNCTION("GOOGLETRANSLATE(B30664,""en"",""zh-CN"")"),"我们看到人们在田野里行走。")</f>
        <v>我们看到人们在田野里行走。</v>
      </c>
    </row>
    <row r="30665">
      <c r="A30665" s="4" t="s">
        <v>38607</v>
      </c>
      <c r="B30665" s="4" t="s">
        <v>38616</v>
      </c>
      <c r="C30665" s="5" t="str">
        <f>IFERROR(__xludf.DUMMYFUNCTION("GOOGLETRANSLATE(B30665,""en"",""zh-CN"")"),"我们看到人们用烟奔跑。")</f>
        <v>我们看到人们用烟奔跑。</v>
      </c>
    </row>
    <row r="30666">
      <c r="A30666" s="4" t="s">
        <v>38607</v>
      </c>
      <c r="B30666" s="4" t="s">
        <v>38617</v>
      </c>
      <c r="C30666" s="5" t="str">
        <f>IFERROR(__xludf.DUMMYFUNCTION("GOOGLETRANSLATE(B30666,""en"",""zh-CN"")"),"我们看到一个结尾标题屏幕。")</f>
        <v>我们看到一个结尾标题屏幕。</v>
      </c>
    </row>
    <row r="30667">
      <c r="A30667" s="4" t="s">
        <v>38618</v>
      </c>
      <c r="B30667" s="4" t="s">
        <v>38619</v>
      </c>
      <c r="C30667" s="5" t="str">
        <f>IFERROR(__xludf.DUMMYFUNCTION("GOOGLETRANSLATE(B30667,""en"",""zh-CN"")"),"一个人跪在院子里的一棵树上。")</f>
        <v>一个人跪在院子里的一棵树上。</v>
      </c>
    </row>
    <row r="30668">
      <c r="A30668" s="4" t="s">
        <v>38618</v>
      </c>
      <c r="B30668" s="4" t="s">
        <v>38620</v>
      </c>
      <c r="C30668" s="5" t="str">
        <f>IFERROR(__xludf.DUMMYFUNCTION("GOOGLETRANSLATE(B30668,""en"",""zh-CN"")"),"他用手挖掘时说话。")</f>
        <v>他用手挖掘时说话。</v>
      </c>
    </row>
    <row r="30669">
      <c r="A30669" s="4" t="s">
        <v>38618</v>
      </c>
      <c r="B30669" s="4" t="s">
        <v>38621</v>
      </c>
      <c r="C30669" s="5" t="str">
        <f>IFERROR(__xludf.DUMMYFUNCTION("GOOGLETRANSLATE(B30669,""en"",""zh-CN"")"),"他展示和指示如何在树的底部涂抹和包装覆盖物。")</f>
        <v>他展示和指示如何在树的底部涂抹和包装覆盖物。</v>
      </c>
    </row>
    <row r="30670">
      <c r="A30670" s="4" t="s">
        <v>38622</v>
      </c>
      <c r="B30670" s="4" t="s">
        <v>38623</v>
      </c>
      <c r="C30670" s="5" t="str">
        <f>IFERROR(__xludf.DUMMYFUNCTION("GOOGLETRANSLATE(B30670,""en"",""zh-CN"")"),"一个人穿着弹跳的鞋子跑和跳跃，一个男人的脸就惊讶。")</f>
        <v>一个人穿着弹跳的鞋子跑和跳跃，一个男人的脸就惊讶。</v>
      </c>
    </row>
    <row r="30671">
      <c r="A30671" s="4" t="s">
        <v>38622</v>
      </c>
      <c r="B30671" s="6" t="s">
        <v>38624</v>
      </c>
      <c r="C30671" s="5" t="str">
        <f>IFERROR(__xludf.DUMMYFUNCTION("GOOGLETRANSLATE(B30671,""en"",""zh-CN"")"),"穿着弹跳鞋的人会弹跳并跳入健身房，演讲者谈论并尝试弹跳鞋。")</f>
        <v>穿着弹跳鞋的人会弹跳并跳入健身房，演讲者谈论并尝试弹跳鞋。</v>
      </c>
    </row>
    <row r="30672">
      <c r="A30672" s="4" t="s">
        <v>38622</v>
      </c>
      <c r="B30672" s="4" t="s">
        <v>38625</v>
      </c>
      <c r="C30672" s="5" t="str">
        <f>IFERROR(__xludf.DUMMYFUNCTION("GOOGLETRANSLATE(B30672,""en"",""zh-CN"")"),"一个人弹跳并在街上的海滩上跳高。")</f>
        <v>一个人弹跳并在街上的海滩上跳高。</v>
      </c>
    </row>
    <row r="30673">
      <c r="A30673" s="4" t="s">
        <v>38622</v>
      </c>
      <c r="B30673" s="6" t="s">
        <v>38626</v>
      </c>
      <c r="C30673" s="5" t="str">
        <f>IFERROR(__xludf.DUMMYFUNCTION("GOOGLETRANSLATE(B30673,""en"",""zh-CN"")"),"然后，在一个男人在健身房穿着弹跳鞋的篮球之后，男人翻身穿着弹跳鞋。")</f>
        <v>然后，在一个男人在健身房穿着弹跳鞋的篮球之后，男人翻身穿着弹跳鞋。</v>
      </c>
    </row>
    <row r="30674">
      <c r="A30674" s="4" t="s">
        <v>38622</v>
      </c>
      <c r="B30674" s="4" t="s">
        <v>38627</v>
      </c>
      <c r="C30674" s="5" t="str">
        <f>IFERROR(__xludf.DUMMYFUNCTION("GOOGLETRANSLATE(B30674,""en"",""zh-CN"")"),"一个人在健身房骑自行车。")</f>
        <v>一个人在健身房骑自行车。</v>
      </c>
    </row>
    <row r="30675">
      <c r="A30675" s="4" t="s">
        <v>38622</v>
      </c>
      <c r="B30675" s="4" t="s">
        <v>38628</v>
      </c>
      <c r="C30675" s="5" t="str">
        <f>IFERROR(__xludf.DUMMYFUNCTION("GOOGLETRANSLATE(B30675,""en"",""zh-CN"")"),"两名穿着弹跳鞋的男人在电视机的前面站在前面。")</f>
        <v>两名穿着弹跳鞋的男人在电视机的前面站在前面。</v>
      </c>
    </row>
    <row r="30676">
      <c r="A30676" s="4" t="s">
        <v>38629</v>
      </c>
      <c r="B30676" s="6" t="s">
        <v>38630</v>
      </c>
      <c r="C30676" s="5" t="str">
        <f>IFERROR(__xludf.DUMMYFUNCTION("GOOGLETRANSLATE(B30676,""en"",""zh-CN"")"),"看到一个女人在相机上说话，然后将冰倒入玻璃杯中，然后是各种液体。")</f>
        <v>看到一个女人在相机上说话，然后将冰倒入玻璃杯中，然后是各种液体。</v>
      </c>
    </row>
    <row r="30677">
      <c r="A30677" s="4" t="s">
        <v>38629</v>
      </c>
      <c r="B30677" s="6" t="s">
        <v>38631</v>
      </c>
      <c r="C30677" s="5" t="str">
        <f>IFERROR(__xludf.DUMMYFUNCTION("GOOGLETRANSLATE(B30677,""en"",""zh-CN"")"),"她将液体背部和第四次混合，并通过呈现饮料并放入柠檬中，然后用稻草将其混合。")</f>
        <v>她将液体背部和第四次混合，并通过呈现饮料并放入柠檬中，然后用稻草将其混合。</v>
      </c>
    </row>
    <row r="30678">
      <c r="A30678" s="4" t="s">
        <v>38632</v>
      </c>
      <c r="B30678" s="4" t="s">
        <v>38633</v>
      </c>
      <c r="C30678" s="5" t="str">
        <f>IFERROR(__xludf.DUMMYFUNCTION("GOOGLETRANSLATE(B30678,""en"",""zh-CN"")"),"一个女人走到草地上。")</f>
        <v>一个女人走到草地上。</v>
      </c>
    </row>
    <row r="30679">
      <c r="A30679" s="4" t="s">
        <v>38632</v>
      </c>
      <c r="B30679" s="4" t="s">
        <v>38634</v>
      </c>
      <c r="C30679" s="5" t="str">
        <f>IFERROR(__xludf.DUMMYFUNCTION("GOOGLETRANSLATE(B30679,""en"",""zh-CN"")"),"两只小狗在皮带上跟随她。")</f>
        <v>两只小狗在皮带上跟随她。</v>
      </c>
    </row>
    <row r="30680">
      <c r="A30680" s="4" t="s">
        <v>38632</v>
      </c>
      <c r="B30680" s="4" t="s">
        <v>38635</v>
      </c>
      <c r="C30680" s="5" t="str">
        <f>IFERROR(__xludf.DUMMYFUNCTION("GOOGLETRANSLATE(B30680,""en"",""zh-CN"")"),"她弯下腰，狗走向她。")</f>
        <v>她弯下腰，狗走向她。</v>
      </c>
    </row>
    <row r="30681">
      <c r="A30681" s="4" t="s">
        <v>38636</v>
      </c>
      <c r="B30681" s="4" t="s">
        <v>38637</v>
      </c>
      <c r="C30681" s="5" t="str">
        <f>IFERROR(__xludf.DUMMYFUNCTION("GOOGLETRANSLATE(B30681,""en"",""zh-CN"")"),"看到一个小孩在霍普苏格兰威士忌比赛之前就准备好了。")</f>
        <v>看到一个小孩在霍普苏格兰威士忌比赛之前就准备好了。</v>
      </c>
    </row>
    <row r="30682">
      <c r="A30682" s="4" t="s">
        <v>38636</v>
      </c>
      <c r="B30682" s="4" t="s">
        <v>38638</v>
      </c>
      <c r="C30682" s="5" t="str">
        <f>IFERROR(__xludf.DUMMYFUNCTION("GOOGLETRANSLATE(B30682,""en"",""zh-CN"")"),"然后，女孩开始跳上粉笔。")</f>
        <v>然后，女孩开始跳上粉笔。</v>
      </c>
    </row>
    <row r="30683">
      <c r="A30683" s="4" t="s">
        <v>38636</v>
      </c>
      <c r="B30683" s="4" t="s">
        <v>38639</v>
      </c>
      <c r="C30683" s="5" t="str">
        <f>IFERROR(__xludf.DUMMYFUNCTION("GOOGLETRANSLATE(B30683,""en"",""zh-CN"")"),"女孩一直跳到末端，然后回到屏幕上。")</f>
        <v>女孩一直跳到末端，然后回到屏幕上。</v>
      </c>
    </row>
    <row r="30684">
      <c r="A30684" s="4" t="s">
        <v>38640</v>
      </c>
      <c r="B30684" s="4" t="s">
        <v>38641</v>
      </c>
      <c r="C30684" s="5" t="str">
        <f>IFERROR(__xludf.DUMMYFUNCTION("GOOGLETRANSLATE(B30684,""en"",""zh-CN"")"),"一群男人在皮划艇上沿着河岸沿着河岸。")</f>
        <v>一群男人在皮划艇上沿着河岸沿着河岸。</v>
      </c>
    </row>
    <row r="30685">
      <c r="A30685" s="4" t="s">
        <v>38640</v>
      </c>
      <c r="B30685" s="4" t="s">
        <v>38642</v>
      </c>
      <c r="C30685" s="5" t="str">
        <f>IFERROR(__xludf.DUMMYFUNCTION("GOOGLETRANSLATE(B30685,""en"",""zh-CN"")"),"划桨，看着远处的树木享受着他们的一天。")</f>
        <v>划桨，看着远处的树木享受着他们的一天。</v>
      </c>
    </row>
    <row r="30686">
      <c r="A30686" s="4" t="s">
        <v>38640</v>
      </c>
      <c r="B30686" s="6" t="s">
        <v>38643</v>
      </c>
      <c r="C30686" s="5" t="str">
        <f>IFERROR(__xludf.DUMMYFUNCTION("GOOGLETRANSLATE(B30686,""en"",""zh-CN"")"),"其中一名男子下船在水中游泳，他们都进入并开始溅水，游泳并享受第二天，然后再回去。")</f>
        <v>其中一名男子下船在水中游泳，他们都进入并开始溅水，游泳并享受第二天，然后再回去。</v>
      </c>
    </row>
    <row r="30687">
      <c r="A30687" s="4" t="s">
        <v>38640</v>
      </c>
      <c r="B30687" s="4" t="s">
        <v>38644</v>
      </c>
      <c r="C30687" s="5" t="str">
        <f>IFERROR(__xludf.DUMMYFUNCTION("GOOGLETRANSLATE(B30687,""en"",""zh-CN"")"),"一旦他们开始回到陆地，准备上码头。")</f>
        <v>一旦他们开始回到陆地，准备上码头。</v>
      </c>
    </row>
    <row r="30688">
      <c r="A30688" s="4" t="s">
        <v>38645</v>
      </c>
      <c r="B30688" s="4" t="s">
        <v>38646</v>
      </c>
      <c r="C30688" s="5" t="str">
        <f>IFERROR(__xludf.DUMMYFUNCTION("GOOGLETRANSLATE(B30688,""en"",""zh-CN"")"),"人们在波涛汹涌的河流中漂流。")</f>
        <v>人们在波涛汹涌的河流中漂流。</v>
      </c>
    </row>
    <row r="30689">
      <c r="A30689" s="4" t="s">
        <v>38645</v>
      </c>
      <c r="B30689" s="4" t="s">
        <v>38647</v>
      </c>
      <c r="C30689" s="5" t="str">
        <f>IFERROR(__xludf.DUMMYFUNCTION("GOOGLETRANSLATE(B30689,""en"",""zh-CN"")"),"人们正在从一块岩石上跳入水中。")</f>
        <v>人们正在从一块岩石上跳入水中。</v>
      </c>
    </row>
    <row r="30690">
      <c r="A30690" s="4" t="s">
        <v>38645</v>
      </c>
      <c r="B30690" s="4" t="s">
        <v>38648</v>
      </c>
      <c r="C30690" s="5" t="str">
        <f>IFERROR(__xludf.DUMMYFUNCTION("GOOGLETRANSLATE(B30690,""en"",""zh-CN"")"),"人们在筏的前面进行翻转。")</f>
        <v>人们在筏的前面进行翻转。</v>
      </c>
    </row>
    <row r="30691">
      <c r="A30691" s="4" t="s">
        <v>38645</v>
      </c>
      <c r="B30691" s="4" t="s">
        <v>38649</v>
      </c>
      <c r="C30691" s="5" t="str">
        <f>IFERROR(__xludf.DUMMYFUNCTION("GOOGLETRANSLATE(B30691,""en"",""zh-CN"")"),"人们坐在船上拉木筏。")</f>
        <v>人们坐在船上拉木筏。</v>
      </c>
    </row>
    <row r="30692">
      <c r="A30692" s="4" t="s">
        <v>38650</v>
      </c>
      <c r="B30692" s="4" t="s">
        <v>38651</v>
      </c>
      <c r="C30692" s="5" t="str">
        <f>IFERROR(__xludf.DUMMYFUNCTION("GOOGLETRANSLATE(B30692,""en"",""zh-CN"")"),"一名运动员在人群面前散步，用粉末擦手，抓住重量。")</f>
        <v>一名运动员在人群面前散步，用粉末擦手，抓住重量。</v>
      </c>
    </row>
    <row r="30693">
      <c r="A30693" s="4" t="s">
        <v>38650</v>
      </c>
      <c r="B30693" s="6" t="s">
        <v>38652</v>
      </c>
      <c r="C30693" s="5" t="str">
        <f>IFERROR(__xludf.DUMMYFUNCTION("GOOGLETRANSLATE(B30693,""en"",""zh-CN"")"),"他将重物抬起头上，然后将其扔下，与教练举起双手。")</f>
        <v>他将重物抬起头上，然后将其扔下，与教练举起双手。</v>
      </c>
    </row>
    <row r="30694">
      <c r="A30694" s="4" t="s">
        <v>38653</v>
      </c>
      <c r="B30694" s="4" t="s">
        <v>38654</v>
      </c>
      <c r="C30694" s="5" t="str">
        <f>IFERROR(__xludf.DUMMYFUNCTION("GOOGLETRANSLATE(B30694,""en"",""zh-CN"")"),"一个独角兽皮纳塔从一条线上摇摆。")</f>
        <v>一个独角兽皮纳塔从一条线上摇摆。</v>
      </c>
    </row>
    <row r="30695">
      <c r="A30695" s="4" t="s">
        <v>38653</v>
      </c>
      <c r="B30695" s="4" t="s">
        <v>38655</v>
      </c>
      <c r="C30695" s="5" t="str">
        <f>IFERROR(__xludf.DUMMYFUNCTION("GOOGLETRANSLATE(B30695,""en"",""zh-CN"")"),"当她蒙住眼睛时，一个女人用蝙蝠疯狂地挥舞着它。")</f>
        <v>当她蒙住眼睛时，一个女人用蝙蝠疯狂地挥舞着它。</v>
      </c>
    </row>
    <row r="30696">
      <c r="A30696" s="4" t="s">
        <v>38656</v>
      </c>
      <c r="B30696" s="4" t="s">
        <v>38657</v>
      </c>
      <c r="C30696" s="5" t="str">
        <f>IFERROR(__xludf.DUMMYFUNCTION("GOOGLETRANSLATE(B30696,""en"",""zh-CN"")"),"看到一个男人主持新闻节并与镜头交谈。")</f>
        <v>看到一个男人主持新闻节并与镜头交谈。</v>
      </c>
    </row>
    <row r="30697">
      <c r="A30697" s="4" t="s">
        <v>38656</v>
      </c>
      <c r="B30697" s="4" t="s">
        <v>38658</v>
      </c>
      <c r="C30697" s="5" t="str">
        <f>IFERROR(__xludf.DUMMYFUNCTION("GOOGLETRANSLATE(B30697,""en"",""zh-CN"")"),"然后看到该男子帮助另一个石膏。")</f>
        <v>然后看到该男子帮助另一个石膏。</v>
      </c>
    </row>
    <row r="30698">
      <c r="A30698" s="4" t="s">
        <v>38656</v>
      </c>
      <c r="B30698" s="4" t="s">
        <v>38659</v>
      </c>
      <c r="C30698" s="5" t="str">
        <f>IFERROR(__xludf.DUMMYFUNCTION("GOOGLETRANSLATE(B30698,""en"",""zh-CN"")"),"主人继续帮助男人撕裂地板，并放下并与镜头说话。")</f>
        <v>主人继续帮助男人撕裂地板，并放下并与镜头说话。</v>
      </c>
    </row>
    <row r="30699">
      <c r="A30699" s="4" t="s">
        <v>38660</v>
      </c>
      <c r="B30699" s="4" t="s">
        <v>38661</v>
      </c>
      <c r="C30699" s="5" t="str">
        <f>IFERROR(__xludf.DUMMYFUNCTION("GOOGLETRANSLATE(B30699,""en"",""zh-CN"")"),"我们看到一个男孩在一条住宅街上使用Jumptists。")</f>
        <v>我们看到一个男孩在一条住宅街上使用Jumptists。</v>
      </c>
    </row>
    <row r="30700">
      <c r="A30700" s="4" t="s">
        <v>38660</v>
      </c>
      <c r="B30700" s="4" t="s">
        <v>38662</v>
      </c>
      <c r="C30700" s="5" t="str">
        <f>IFERROR(__xludf.DUMMYFUNCTION("GOOGLETRANSLATE(B30700,""en"",""zh-CN"")"),"该男子第一次停止跳跃。")</f>
        <v>该男子第一次停止跳跃。</v>
      </c>
    </row>
    <row r="30701">
      <c r="A30701" s="4" t="s">
        <v>38660</v>
      </c>
      <c r="B30701" s="4" t="s">
        <v>38663</v>
      </c>
      <c r="C30701" s="5" t="str">
        <f>IFERROR(__xludf.DUMMYFUNCTION("GOOGLETRANSLATE(B30701,""en"",""zh-CN"")"),"我们看到一个人走到外面，然后进去。")</f>
        <v>我们看到一个人走到外面，然后进去。</v>
      </c>
    </row>
    <row r="30702">
      <c r="A30702" s="4" t="s">
        <v>38660</v>
      </c>
      <c r="B30702" s="4" t="s">
        <v>38664</v>
      </c>
      <c r="C30702" s="5" t="str">
        <f>IFERROR(__xludf.DUMMYFUNCTION("GOOGLETRANSLATE(B30702,""en"",""zh-CN"")"),"跳跃的人朝着镜头走去。")</f>
        <v>跳跃的人朝着镜头走去。</v>
      </c>
    </row>
    <row r="30703">
      <c r="A30703" s="4" t="s">
        <v>38665</v>
      </c>
      <c r="B30703" s="4" t="s">
        <v>38666</v>
      </c>
      <c r="C30703" s="5" t="str">
        <f>IFERROR(__xludf.DUMMYFUNCTION("GOOGLETRANSLATE(B30703,""en"",""zh-CN"")"),"我们看到白色女士坐在椅子上的标题屏幕。")</f>
        <v>我们看到白色女士坐在椅子上的标题屏幕。</v>
      </c>
    </row>
    <row r="30704">
      <c r="A30704" s="4" t="s">
        <v>38665</v>
      </c>
      <c r="B30704" s="4" t="s">
        <v>38667</v>
      </c>
      <c r="C30704" s="5" t="str">
        <f>IFERROR(__xludf.DUMMYFUNCTION("GOOGLETRANSLATE(B30704,""en"",""zh-CN"")"),"那位女士开始在她的手上绘画。")</f>
        <v>那位女士开始在她的手上绘画。</v>
      </c>
    </row>
    <row r="30705">
      <c r="A30705" s="4" t="s">
        <v>38665</v>
      </c>
      <c r="B30705" s="4" t="s">
        <v>38668</v>
      </c>
      <c r="C30705" s="5" t="str">
        <f>IFERROR(__xludf.DUMMYFUNCTION("GOOGLETRANSLATE(B30705,""en"",""zh-CN"")"),"我们在白屏上看到了闭幕信用。")</f>
        <v>我们在白屏上看到了闭幕信用。</v>
      </c>
    </row>
    <row r="30706">
      <c r="A30706" s="4" t="s">
        <v>38669</v>
      </c>
      <c r="B30706" s="4" t="s">
        <v>38670</v>
      </c>
      <c r="C30706" s="5" t="str">
        <f>IFERROR(__xludf.DUMMYFUNCTION("GOOGLETRANSLATE(B30706,""en"",""zh-CN"")"),"看到一个年轻人将冰球从桌子上推到另一侧的另一个男人。")</f>
        <v>看到一个年轻人将冰球从桌子上推到另一侧的另一个男人。</v>
      </c>
    </row>
    <row r="30707">
      <c r="A30707" s="4" t="s">
        <v>38669</v>
      </c>
      <c r="B30707" s="4" t="s">
        <v>38671</v>
      </c>
      <c r="C30707" s="5" t="str">
        <f>IFERROR(__xludf.DUMMYFUNCTION("GOOGLETRANSLATE(B30707,""en"",""zh-CN"")"),"然后，另一个人推了冰球，男孩们继续反击比赛和第四名。")</f>
        <v>然后，另一个人推了冰球，男孩们继续反击比赛和第四名。</v>
      </c>
    </row>
    <row r="30708">
      <c r="A30708" s="4" t="s">
        <v>38669</v>
      </c>
      <c r="B30708" s="4" t="s">
        <v>38672</v>
      </c>
      <c r="C30708" s="5" t="str">
        <f>IFERROR(__xludf.DUMMYFUNCTION("GOOGLETRANSLATE(B30708,""en"",""zh-CN"")"),"摄像机和其他人站在房间周围。")</f>
        <v>摄像机和其他人站在房间周围。</v>
      </c>
    </row>
    <row r="30709">
      <c r="A30709" s="4" t="s">
        <v>38673</v>
      </c>
      <c r="B30709" s="4" t="s">
        <v>38674</v>
      </c>
      <c r="C30709" s="5" t="str">
        <f>IFERROR(__xludf.DUMMYFUNCTION("GOOGLETRANSLATE(B30709,""en"",""zh-CN"")"),"人们正在田野上玩曲棍球游戏。")</f>
        <v>人们正在田野上玩曲棍球游戏。</v>
      </c>
    </row>
    <row r="30710">
      <c r="A30710" s="4" t="s">
        <v>38673</v>
      </c>
      <c r="B30710" s="4" t="s">
        <v>38675</v>
      </c>
      <c r="C30710" s="5" t="str">
        <f>IFERROR(__xludf.DUMMYFUNCTION("GOOGLETRANSLATE(B30710,""en"",""zh-CN"")"),"团队排队并握手。")</f>
        <v>团队排队并握手。</v>
      </c>
    </row>
    <row r="30711">
      <c r="A30711" s="4" t="s">
        <v>38673</v>
      </c>
      <c r="B30711" s="4" t="s">
        <v>38676</v>
      </c>
      <c r="C30711" s="5" t="str">
        <f>IFERROR(__xludf.DUMMYFUNCTION("GOOGLETRANSLATE(B30711,""en"",""zh-CN"")"),"穿着蓝色外套的女人正在和镜头说话。")</f>
        <v>穿着蓝色外套的女人正在和镜头说话。</v>
      </c>
    </row>
    <row r="30712">
      <c r="A30712" s="4" t="s">
        <v>38673</v>
      </c>
      <c r="B30712" s="4" t="s">
        <v>38677</v>
      </c>
      <c r="C30712" s="5" t="str">
        <f>IFERROR(__xludf.DUMMYFUNCTION("GOOGLETRANSLATE(B30712,""en"",""zh-CN"")"),"穿着棕褐色西装的男人正在用麦克风说话。")</f>
        <v>穿着棕褐色西装的男人正在用麦克风说话。</v>
      </c>
    </row>
    <row r="30713">
      <c r="A30713" s="4" t="s">
        <v>38678</v>
      </c>
      <c r="B30713" s="4" t="s">
        <v>38679</v>
      </c>
      <c r="C30713" s="5" t="str">
        <f>IFERROR(__xludf.DUMMYFUNCTION("GOOGLETRANSLATE(B30713,""en"",""zh-CN"")"),"一支游行乐队在游行中演出，而人们在人行道上观看站立。")</f>
        <v>一支游行乐队在游行中演出，而人们在人行道上观看站立。</v>
      </c>
    </row>
    <row r="30714">
      <c r="A30714" s="4" t="s">
        <v>38678</v>
      </c>
      <c r="B30714" s="4" t="s">
        <v>38680</v>
      </c>
      <c r="C30714" s="5" t="str">
        <f>IFERROR(__xludf.DUMMYFUNCTION("GOOGLETRANSLATE(B30714,""en"",""zh-CN"")"),"游行乐队在前面狂欢和绿地。")</f>
        <v>游行乐队在前面狂欢和绿地。</v>
      </c>
    </row>
    <row r="30715">
      <c r="A30715" s="4" t="s">
        <v>38678</v>
      </c>
      <c r="B30715" s="4" t="s">
        <v>38681</v>
      </c>
      <c r="C30715" s="5" t="str">
        <f>IFERROR(__xludf.DUMMYFUNCTION("GOOGLETRANSLATE(B30715,""en"",""zh-CN"")"),"然后，游行乐队到达城市。")</f>
        <v>然后，游行乐队到达城市。</v>
      </c>
    </row>
    <row r="30716">
      <c r="A30716" s="4" t="s">
        <v>38678</v>
      </c>
      <c r="B30716" s="4" t="s">
        <v>38682</v>
      </c>
      <c r="C30716" s="5" t="str">
        <f>IFERROR(__xludf.DUMMYFUNCTION("GOOGLETRANSLATE(B30716,""en"",""zh-CN"")"),"一名老人在游行乐队的前面拿着奖杯。")</f>
        <v>一名老人在游行乐队的前面拿着奖杯。</v>
      </c>
    </row>
    <row r="30717">
      <c r="A30717" s="4" t="s">
        <v>38678</v>
      </c>
      <c r="B30717" s="4" t="s">
        <v>38683</v>
      </c>
      <c r="C30717" s="5" t="str">
        <f>IFERROR(__xludf.DUMMYFUNCTION("GOOGLETRANSLATE(B30717,""en"",""zh-CN"")"),"之后，游行乐队到达公交车站。")</f>
        <v>之后，游行乐队到达公交车站。</v>
      </c>
    </row>
    <row r="30718">
      <c r="A30718" s="4" t="s">
        <v>38678</v>
      </c>
      <c r="B30718" s="4" t="s">
        <v>38684</v>
      </c>
      <c r="C30718" s="5" t="str">
        <f>IFERROR(__xludf.DUMMYFUNCTION("GOOGLETRANSLATE(B30718,""en"",""zh-CN"")"),"邦德女士鼓掌，拥抱人和谈话。")</f>
        <v>邦德女士鼓掌，拥抱人和谈话。</v>
      </c>
    </row>
    <row r="30719">
      <c r="A30719" s="4" t="s">
        <v>38685</v>
      </c>
      <c r="B30719" s="4" t="s">
        <v>38686</v>
      </c>
      <c r="C30719" s="5" t="str">
        <f>IFERROR(__xludf.DUMMYFUNCTION("GOOGLETRANSLATE(B30719,""en"",""zh-CN"")"),"展示了一个介绍，将饮料倒入玻璃杯中，并标题有关饮料混合。")</f>
        <v>展示了一个介绍，将饮料倒入玻璃杯中，并标题有关饮料混合。</v>
      </c>
    </row>
    <row r="30720">
      <c r="A30720" s="4" t="s">
        <v>38685</v>
      </c>
      <c r="B30720" s="4" t="s">
        <v>38687</v>
      </c>
      <c r="C30720" s="5" t="str">
        <f>IFERROR(__xludf.DUMMYFUNCTION("GOOGLETRANSLATE(B30720,""en"",""zh-CN"")"),"一个女孩开始做一种叫做麦泰的饮料。")</f>
        <v>一个女孩开始做一种叫做麦泰的饮料。</v>
      </c>
    </row>
    <row r="30721">
      <c r="A30721" s="4" t="s">
        <v>38685</v>
      </c>
      <c r="B30721" s="4" t="s">
        <v>38688</v>
      </c>
      <c r="C30721" s="5" t="str">
        <f>IFERROR(__xludf.DUMMYFUNCTION("GOOGLETRANSLATE(B30721,""en"",""zh-CN"")"),"她拿出做饮料所需的所有东西。")</f>
        <v>她拿出做饮料所需的所有东西。</v>
      </c>
    </row>
    <row r="30722">
      <c r="A30722" s="4" t="s">
        <v>38685</v>
      </c>
      <c r="B30722" s="4" t="s">
        <v>38689</v>
      </c>
      <c r="C30722" s="5" t="str">
        <f>IFERROR(__xludf.DUMMYFUNCTION("GOOGLETRANSLATE(B30722,""en"",""zh-CN"")"),"她将冰放入玻璃杯中，进入振动筛。")</f>
        <v>她将冰放入玻璃杯中，进入振动筛。</v>
      </c>
    </row>
    <row r="30723">
      <c r="A30723" s="4" t="s">
        <v>38685</v>
      </c>
      <c r="B30723" s="4" t="s">
        <v>38690</v>
      </c>
      <c r="C30723" s="5" t="str">
        <f>IFERROR(__xludf.DUMMYFUNCTION("GOOGLETRANSLATE(B30723,""en"",""zh-CN"")"),"她补充了朗姆酒，三秒，糖浆，酸味，并将盖子放在振动板上。")</f>
        <v>她补充了朗姆酒，三秒，糖浆，酸味，并将盖子放在振动板上。</v>
      </c>
    </row>
    <row r="30724">
      <c r="A30724" s="4" t="s">
        <v>38685</v>
      </c>
      <c r="B30724" s="4" t="s">
        <v>38691</v>
      </c>
      <c r="C30724" s="5" t="str">
        <f>IFERROR(__xludf.DUMMYFUNCTION("GOOGLETRANSLATE(B30724,""en"",""zh-CN"")"),"她摇动振动筛，直到变冷，然后将饮料倒入冰上。")</f>
        <v>她摇动振动筛，直到变冷，然后将饮料倒入冰上。</v>
      </c>
    </row>
    <row r="30725">
      <c r="A30725" s="4" t="s">
        <v>38685</v>
      </c>
      <c r="B30725" s="4" t="s">
        <v>38692</v>
      </c>
      <c r="C30725" s="5" t="str">
        <f>IFERROR(__xludf.DUMMYFUNCTION("GOOGLETRANSLATE(B30725,""en"",""zh-CN"")"),"她以一些酸味和樱桃以及稻草为顶。")</f>
        <v>她以一些酸味和樱桃以及稻草为顶。</v>
      </c>
    </row>
    <row r="30726">
      <c r="A30726" s="4" t="s">
        <v>38685</v>
      </c>
      <c r="B30726" s="4" t="s">
        <v>38693</v>
      </c>
      <c r="C30726" s="5" t="str">
        <f>IFERROR(__xludf.DUMMYFUNCTION("GOOGLETRANSLATE(B30726,""en"",""zh-CN"")"),"视频以结束标题结尾。")</f>
        <v>视频以结束标题结尾。</v>
      </c>
    </row>
    <row r="30727">
      <c r="A30727" s="4" t="s">
        <v>38694</v>
      </c>
      <c r="B30727" s="4" t="s">
        <v>38695</v>
      </c>
      <c r="C30727" s="5" t="str">
        <f>IFERROR(__xludf.DUMMYFUNCTION("GOOGLETRANSLATE(B30727,""en"",""zh-CN"")"),"一大批人在一个地区走路，聊天和闲逛。")</f>
        <v>一大批人在一个地区走路，聊天和闲逛。</v>
      </c>
    </row>
    <row r="30728">
      <c r="A30728" s="4" t="s">
        <v>38694</v>
      </c>
      <c r="B30728" s="6" t="s">
        <v>38696</v>
      </c>
      <c r="C30728" s="5" t="str">
        <f>IFERROR(__xludf.DUMMYFUNCTION("GOOGLETRANSLATE(B30728,""en"",""zh-CN"")"),"两个有裁判中间的男人出现在一个舞台上，他们参加了一场激烈的手臂摔跤比赛。")</f>
        <v>两个有裁判中间的男人出现在一个舞台上，他们参加了一场激烈的手臂摔跤比赛。</v>
      </c>
    </row>
    <row r="30729">
      <c r="A30729" s="4" t="s">
        <v>38694</v>
      </c>
      <c r="B30729" s="4" t="s">
        <v>38697</v>
      </c>
      <c r="C30729" s="5" t="str">
        <f>IFERROR(__xludf.DUMMYFUNCTION("GOOGLETRANSLATE(B30729,""en"",""zh-CN"")"),"没有帽子的那个人赢得了比赛，并简要采访了他在微笑和说话的地方。")</f>
        <v>没有帽子的那个人赢得了比赛，并简要采访了他在微笑和说话的地方。</v>
      </c>
    </row>
    <row r="30730">
      <c r="A30730" s="4" t="s">
        <v>38694</v>
      </c>
      <c r="B30730" s="6" t="s">
        <v>38698</v>
      </c>
      <c r="C30730" s="5" t="str">
        <f>IFERROR(__xludf.DUMMYFUNCTION("GOOGLETRANSLATE(B30730,""en"",""zh-CN"")"),"两个男人之间的另一场比赛开始了，同一个人再次赢得了第一场比赛。")</f>
        <v>两个男人之间的另一场比赛开始了，同一个人再次赢得了第一场比赛。</v>
      </c>
    </row>
    <row r="30731">
      <c r="A30731" s="4" t="s">
        <v>38694</v>
      </c>
      <c r="B30731" s="6" t="s">
        <v>38699</v>
      </c>
      <c r="C30731" s="5" t="str">
        <f>IFERROR(__xludf.DUMMYFUNCTION("GOOGLETRANSLATE(B30731,""en"",""zh-CN"")"),"他握住右臂在微笑时弯曲它，他的名字艾伦·费舍尔（Allen Fisher）在屏幕上弹出，并带有25 Time World Champion单词的黑屏结束了视频。")</f>
        <v>他握住右臂在微笑时弯曲它，他的名字艾伦·费舍尔（Allen Fisher）在屏幕上弹出，并带有25 Time World Champion单词的黑屏结束了视频。</v>
      </c>
    </row>
    <row r="30732">
      <c r="A30732" s="4" t="s">
        <v>38700</v>
      </c>
      <c r="B30732" s="4" t="s">
        <v>38701</v>
      </c>
      <c r="C30732" s="5" t="str">
        <f>IFERROR(__xludf.DUMMYFUNCTION("GOOGLETRANSLATE(B30732,""en"",""zh-CN"")"),"男人站在一个大绿色的田野里，玩曲棍球。")</f>
        <v>男人站在一个大绿色的田野里，玩曲棍球。</v>
      </c>
    </row>
    <row r="30733">
      <c r="A30733" s="4" t="s">
        <v>38700</v>
      </c>
      <c r="B30733" s="4" t="s">
        <v>38702</v>
      </c>
      <c r="C30733" s="5" t="str">
        <f>IFERROR(__xludf.DUMMYFUNCTION("GOOGLETRANSLATE(B30733,""en"",""zh-CN"")"),"人们在野外观看比赛。")</f>
        <v>人们在野外观看比赛。</v>
      </c>
    </row>
    <row r="30734">
      <c r="A30734" s="4" t="s">
        <v>38700</v>
      </c>
      <c r="B30734" s="4" t="s">
        <v>38703</v>
      </c>
      <c r="C30734" s="5" t="str">
        <f>IFERROR(__xludf.DUMMYFUNCTION("GOOGLETRANSLATE(B30734,""en"",""zh-CN"")"),"男人在弹奏曲棍网兜球的一面奔跑，试图得分。")</f>
        <v>男人在弹奏曲棍网兜球的一面奔跑，试图得分。</v>
      </c>
    </row>
    <row r="30735">
      <c r="A30735" s="4" t="s">
        <v>38704</v>
      </c>
      <c r="B30735" s="4" t="s">
        <v>38705</v>
      </c>
      <c r="C30735" s="5" t="str">
        <f>IFERROR(__xludf.DUMMYFUNCTION("GOOGLETRANSLATE(B30735,""en"",""zh-CN"")"),"一只手将淋浴头靠近狗。")</f>
        <v>一只手将淋浴头靠近狗。</v>
      </c>
    </row>
    <row r="30736">
      <c r="A30736" s="4" t="s">
        <v>38704</v>
      </c>
      <c r="B30736" s="4" t="s">
        <v>38706</v>
      </c>
      <c r="C30736" s="5" t="str">
        <f>IFERROR(__xludf.DUMMYFUNCTION("GOOGLETRANSLATE(B30736,""en"",""zh-CN"")"),"当狗试图咬住水面的水时，狗在浴缸周围移动。")</f>
        <v>当狗试图咬住水面的水时，狗在浴缸周围移动。</v>
      </c>
    </row>
    <row r="30737">
      <c r="A30737" s="4" t="s">
        <v>38707</v>
      </c>
      <c r="B30737" s="4" t="s">
        <v>38708</v>
      </c>
      <c r="C30737" s="5" t="str">
        <f>IFERROR(__xludf.DUMMYFUNCTION("GOOGLETRANSLATE(B30737,""en"",""zh-CN"")"),"相机在一组楼梯上摇晃，并导致在课堂上锻炼的人。")</f>
        <v>相机在一组楼梯上摇晃，并导致在课堂上锻炼的人。</v>
      </c>
    </row>
    <row r="30738">
      <c r="A30738" s="4" t="s">
        <v>38707</v>
      </c>
      <c r="B30738" s="4" t="s">
        <v>38709</v>
      </c>
      <c r="C30738" s="5" t="str">
        <f>IFERROR(__xludf.DUMMYFUNCTION("GOOGLETRANSLATE(B30738,""en"",""zh-CN"")"),"当一个男人对镜头说话时，有几张人一起锻炼。")</f>
        <v>当一个男人对镜头说话时，有几张人一起锻炼。</v>
      </c>
    </row>
    <row r="30739">
      <c r="A30739" s="4" t="s">
        <v>38707</v>
      </c>
      <c r="B30739" s="4" t="s">
        <v>38710</v>
      </c>
      <c r="C30739" s="5" t="str">
        <f>IFERROR(__xludf.DUMMYFUNCTION("GOOGLETRANSLATE(B30739,""en"",""zh-CN"")"),"该男子继续讲话，而越来越多的人一起锻炼。")</f>
        <v>该男子继续讲话，而越来越多的人一起锻炼。</v>
      </c>
    </row>
    <row r="30740">
      <c r="A30740" s="4" t="s">
        <v>38711</v>
      </c>
      <c r="B30740" s="4" t="s">
        <v>38712</v>
      </c>
      <c r="C30740" s="5" t="str">
        <f>IFERROR(__xludf.DUMMYFUNCTION("GOOGLETRANSLATE(B30740,""en"",""zh-CN"")"),"一个女人试图用工具使墙纸平滑而没有气泡时，她正在举起墙纸。")</f>
        <v>一个女人试图用工具使墙纸平滑而没有气泡时，她正在举起墙纸。</v>
      </c>
    </row>
    <row r="30741">
      <c r="A30741" s="4" t="s">
        <v>38711</v>
      </c>
      <c r="B30741" s="4" t="s">
        <v>38713</v>
      </c>
      <c r="C30741" s="5" t="str">
        <f>IFERROR(__xludf.DUMMYFUNCTION("GOOGLETRANSLATE(B30741,""en"",""zh-CN"")"),"她平稳地应用了该工具，确保重新纠正并纠正任何错误。")</f>
        <v>她平稳地应用了该工具，确保重新纠正并纠正任何错误。</v>
      </c>
    </row>
    <row r="30742">
      <c r="A30742" s="4" t="s">
        <v>38714</v>
      </c>
      <c r="B30742" s="4" t="s">
        <v>38715</v>
      </c>
      <c r="C30742" s="5" t="str">
        <f>IFERROR(__xludf.DUMMYFUNCTION("GOOGLETRANSLATE(B30742,""en"",""zh-CN"")"),"看到一小群人站在一场踢球比赛的田野周围。")</f>
        <v>看到一小群人站在一场踢球比赛的田野周围。</v>
      </c>
    </row>
    <row r="30743">
      <c r="A30743" s="4" t="s">
        <v>38714</v>
      </c>
      <c r="B30743" s="4" t="s">
        <v>38716</v>
      </c>
      <c r="C30743" s="5" t="str">
        <f>IFERROR(__xludf.DUMMYFUNCTION("GOOGLETRANSLATE(B30743,""en"",""zh-CN"")"),"人们在球上得分时踢球并互相欢呼。")</f>
        <v>人们在球上得分时踢球并互相欢呼。</v>
      </c>
    </row>
    <row r="30744">
      <c r="A30744" s="4" t="s">
        <v>38714</v>
      </c>
      <c r="B30744" s="4" t="s">
        <v>38717</v>
      </c>
      <c r="C30744" s="5" t="str">
        <f>IFERROR(__xludf.DUMMYFUNCTION("GOOGLETRANSLATE(B30744,""en"",""zh-CN"")"),"另一个团队成员得分一个进球，他们的队友双臂挺身而出。")</f>
        <v>另一个团队成员得分一个进球，他们的队友双臂挺身而出。</v>
      </c>
    </row>
    <row r="30745">
      <c r="A30745" s="4" t="s">
        <v>38718</v>
      </c>
      <c r="B30745" s="6" t="s">
        <v>38719</v>
      </c>
      <c r="C30745" s="5" t="str">
        <f>IFERROR(__xludf.DUMMYFUNCTION("GOOGLETRANSLATE(B30745,""en"",""zh-CN"")"),"一个穿着履带式西装和171号围兜的运动员正在赛道上行走，并为自己变暖。")</f>
        <v>一个穿着履带式西装和171号围兜的运动员正在赛道上行走，并为自己变暖。</v>
      </c>
    </row>
    <row r="30746">
      <c r="A30746" s="4" t="s">
        <v>38718</v>
      </c>
      <c r="B30746" s="6" t="s">
        <v>38720</v>
      </c>
      <c r="C30746" s="5" t="str">
        <f>IFERROR(__xludf.DUMMYFUNCTION("GOOGLETRANSLATE(B30746,""en"",""zh-CN"")"),"然后，该名男子抓住项链，将其放在嘴里，开始在头顶上鼓掌，下面出现了一个名字，它说是欧文·萨拉迪诺（Irving Saladino）。")</f>
        <v>然后，该名男子抓住项链，将其放在嘴里，开始在头顶上鼓掌，下面出现了一个名字，它说是欧文·萨拉迪诺（Irving Saladino）。</v>
      </c>
    </row>
    <row r="30747">
      <c r="A30747" s="4" t="s">
        <v>38718</v>
      </c>
      <c r="B30747" s="6" t="s">
        <v>38721</v>
      </c>
      <c r="C30747" s="5" t="str">
        <f>IFERROR(__xludf.DUMMYFUNCTION("GOOGLETRANSLATE(B30747,""en"",""zh-CN"")"),"该男子从嘴里掉下项链，立即开始跑步，跳过跳跃并跳跃。")</f>
        <v>该男子从嘴里掉下项链，立即开始跑步，跳过跳跃并跳跃。</v>
      </c>
    </row>
    <row r="30748">
      <c r="A30748" s="4" t="s">
        <v>38718</v>
      </c>
      <c r="B30748" s="6" t="s">
        <v>38722</v>
      </c>
      <c r="C30748" s="5" t="str">
        <f>IFERROR(__xludf.DUMMYFUNCTION("GOOGLETRANSLATE(B30748,""en"",""zh-CN"")"),"该男子的奔跑和跳跃比赛的重播，该男子被庆祝自己，并与球场上的其他人一起庆祝自己。")</f>
        <v>该男子的奔跑和跳跃比赛的重播，该男子被庆祝自己，并与球场上的其他人一起庆祝自己。</v>
      </c>
    </row>
    <row r="30749">
      <c r="A30749" s="4" t="s">
        <v>38723</v>
      </c>
      <c r="B30749" s="4" t="s">
        <v>38724</v>
      </c>
      <c r="C30749" s="5" t="str">
        <f>IFERROR(__xludf.DUMMYFUNCTION("GOOGLETRANSLATE(B30749,""en"",""zh-CN"")"),"一个男人在拿着绳子的同时在船后滑水。")</f>
        <v>一个男人在拿着绳子的同时在船后滑水。</v>
      </c>
    </row>
    <row r="30750">
      <c r="A30750" s="4" t="s">
        <v>38723</v>
      </c>
      <c r="B30750" s="4" t="s">
        <v>38725</v>
      </c>
      <c r="C30750" s="5" t="str">
        <f>IFERROR(__xludf.DUMMYFUNCTION("GOOGLETRANSLATE(B30750,""en"",""zh-CN"")"),"他试图抓住他的侧面。")</f>
        <v>他试图抓住他的侧面。</v>
      </c>
    </row>
    <row r="30751">
      <c r="A30751" s="4" t="s">
        <v>38723</v>
      </c>
      <c r="B30751" s="4" t="s">
        <v>38726</v>
      </c>
      <c r="C30751" s="5" t="str">
        <f>IFERROR(__xludf.DUMMYFUNCTION("GOOGLETRANSLATE(B30751,""en"",""zh-CN"")"),"他滑倒，分裂并掉入水中。")</f>
        <v>他滑倒，分裂并掉入水中。</v>
      </c>
    </row>
    <row r="30752">
      <c r="A30752" s="4" t="s">
        <v>38727</v>
      </c>
      <c r="B30752" s="6" t="s">
        <v>38728</v>
      </c>
      <c r="C30752" s="5" t="str">
        <f>IFERROR(__xludf.DUMMYFUNCTION("GOOGLETRANSLATE(B30752,""en"",""zh-CN"")"),"看到一小群人站在舞台上，带领他们演奏乐器，两个人跪在前面。")</f>
        <v>看到一小群人站在舞台上，带领他们演奏乐器，两个人跪在前面。</v>
      </c>
    </row>
    <row r="30753">
      <c r="A30753" s="4" t="s">
        <v>38727</v>
      </c>
      <c r="B30753" s="6" t="s">
        <v>38729</v>
      </c>
      <c r="C30753" s="5" t="str">
        <f>IFERROR(__xludf.DUMMYFUNCTION("GOOGLETRANSLATE(B30753,""en"",""zh-CN"")"),"然后，当人们站在周围观看时，这些人相互互相表演各种武术。")</f>
        <v>然后，当人们站在周围观看时，这些人相互互相表演各种武术。</v>
      </c>
    </row>
    <row r="30754">
      <c r="A30754" s="4" t="s">
        <v>38730</v>
      </c>
      <c r="B30754" s="4" t="s">
        <v>38731</v>
      </c>
      <c r="C30754" s="5" t="str">
        <f>IFERROR(__xludf.DUMMYFUNCTION("GOOGLETRANSLATE(B30754,""en"",""zh-CN"")"),"一个男人正在健身房骑划船机。")</f>
        <v>一个男人正在健身房骑划船机。</v>
      </c>
    </row>
    <row r="30755">
      <c r="A30755" s="4" t="s">
        <v>38730</v>
      </c>
      <c r="B30755" s="4" t="s">
        <v>38732</v>
      </c>
      <c r="C30755" s="5" t="str">
        <f>IFERROR(__xludf.DUMMYFUNCTION("GOOGLETRANSLATE(B30755,""en"",""zh-CN"")"),"手指短暂覆盖了相机镜头的一部分。")</f>
        <v>手指短暂覆盖了相机镜头的一部分。</v>
      </c>
    </row>
    <row r="30756">
      <c r="A30756" s="4" t="s">
        <v>38730</v>
      </c>
      <c r="B30756" s="4" t="s">
        <v>38733</v>
      </c>
      <c r="C30756" s="5" t="str">
        <f>IFERROR(__xludf.DUMMYFUNCTION("GOOGLETRANSLATE(B30756,""en"",""zh-CN"")"),"当人们在健身房走去时，该男子继续划船。")</f>
        <v>当人们在健身房走去时，该男子继续划船。</v>
      </c>
    </row>
    <row r="30757">
      <c r="A30757" s="4" t="s">
        <v>38734</v>
      </c>
      <c r="B30757" s="4" t="s">
        <v>38735</v>
      </c>
      <c r="C30757" s="5" t="str">
        <f>IFERROR(__xludf.DUMMYFUNCTION("GOOGLETRANSLATE(B30757,""en"",""zh-CN"")"),"一个人向大门移动轮胎。")</f>
        <v>一个人向大门移动轮胎。</v>
      </c>
    </row>
    <row r="30758">
      <c r="A30758" s="4" t="s">
        <v>38734</v>
      </c>
      <c r="B30758" s="4" t="s">
        <v>38736</v>
      </c>
      <c r="C30758" s="5" t="str">
        <f>IFERROR(__xludf.DUMMYFUNCTION("GOOGLETRANSLATE(B30758,""en"",""zh-CN"")"),"大门在他们的车道上关闭。")</f>
        <v>大门在他们的车道上关闭。</v>
      </c>
    </row>
    <row r="30759">
      <c r="A30759" s="4" t="s">
        <v>38734</v>
      </c>
      <c r="B30759" s="4" t="s">
        <v>38737</v>
      </c>
      <c r="C30759" s="5" t="str">
        <f>IFERROR(__xludf.DUMMYFUNCTION("GOOGLETRANSLATE(B30759,""en"",""zh-CN"")"),"人们坐在大门后面的轮胎上。")</f>
        <v>人们坐在大门后面的轮胎上。</v>
      </c>
    </row>
    <row r="30760">
      <c r="A30760" s="4" t="s">
        <v>38734</v>
      </c>
      <c r="B30760" s="4" t="s">
        <v>38738</v>
      </c>
      <c r="C30760" s="5" t="str">
        <f>IFERROR(__xludf.DUMMYFUNCTION("GOOGLETRANSLATE(B30760,""en"",""zh-CN"")"),"一个人动脚。")</f>
        <v>一个人动脚。</v>
      </c>
    </row>
    <row r="30761">
      <c r="A30761" s="4" t="s">
        <v>38734</v>
      </c>
      <c r="B30761" s="4" t="s">
        <v>38739</v>
      </c>
      <c r="C30761" s="5" t="str">
        <f>IFERROR(__xludf.DUMMYFUNCTION("GOOGLETRANSLATE(B30761,""en"",""zh-CN"")"),"当大门释放时，人们在轮胎上滑下冰。")</f>
        <v>当大门释放时，人们在轮胎上滑下冰。</v>
      </c>
    </row>
    <row r="30762">
      <c r="A30762" s="4" t="s">
        <v>38734</v>
      </c>
      <c r="B30762" s="4" t="s">
        <v>38740</v>
      </c>
      <c r="C30762" s="5" t="str">
        <f>IFERROR(__xludf.DUMMYFUNCTION("GOOGLETRANSLATE(B30762,""en"",""zh-CN"")"),"一个人庆祝并举手。")</f>
        <v>一个人庆祝并举手。</v>
      </c>
    </row>
    <row r="30763">
      <c r="A30763" s="4" t="s">
        <v>38741</v>
      </c>
      <c r="B30763" s="4" t="s">
        <v>38742</v>
      </c>
      <c r="C30763" s="5" t="str">
        <f>IFERROR(__xludf.DUMMYFUNCTION("GOOGLETRANSLATE(B30763,""en"",""zh-CN"")"),"许多人聚集在马拉松比赛的终点线，等待跑步者进来。")</f>
        <v>许多人聚集在马拉松比赛的终点线，等待跑步者进来。</v>
      </c>
    </row>
    <row r="30764">
      <c r="A30764" s="4" t="s">
        <v>38741</v>
      </c>
      <c r="B30764" s="4" t="s">
        <v>38743</v>
      </c>
      <c r="C30764" s="5" t="str">
        <f>IFERROR(__xludf.DUMMYFUNCTION("GOOGLETRANSLATE(B30764,""en"",""zh-CN"")"),"一旦到达这一点，许多跑步者就开始滴入并放慢脚步。")</f>
        <v>一旦到达这一点，许多跑步者就开始滴入并放慢脚步。</v>
      </c>
    </row>
    <row r="30765">
      <c r="A30765" s="4" t="s">
        <v>38741</v>
      </c>
      <c r="B30765" s="6" t="s">
        <v>38744</v>
      </c>
      <c r="C30765" s="5" t="str">
        <f>IFERROR(__xludf.DUMMYFUNCTION("GOOGLETRANSLATE(B30765,""en"",""zh-CN"")"),"侧面有很多跑步者和一些人，但在那一侧的看台是完全空的。")</f>
        <v>侧面有很多跑步者和一些人，但在那一侧的看台是完全空的。</v>
      </c>
    </row>
    <row r="30766">
      <c r="A30766" s="4" t="s">
        <v>38741</v>
      </c>
      <c r="B30766" s="4" t="s">
        <v>38745</v>
      </c>
      <c r="C30766" s="5" t="str">
        <f>IFERROR(__xludf.DUMMYFUNCTION("GOOGLETRANSLATE(B30766,""en"",""zh-CN"")"),"越来越多的男人逐渐奔跑。")</f>
        <v>越来越多的男人逐渐奔跑。</v>
      </c>
    </row>
    <row r="30767">
      <c r="A30767" s="4" t="s">
        <v>38746</v>
      </c>
      <c r="B30767" s="4" t="s">
        <v>38747</v>
      </c>
      <c r="C30767" s="5" t="str">
        <f>IFERROR(__xludf.DUMMYFUNCTION("GOOGLETRANSLATE(B30767,""en"",""zh-CN"")"),"有些人在湖中的水滑雪板上看到。")</f>
        <v>有些人在湖中的水滑雪板上看到。</v>
      </c>
    </row>
    <row r="30768">
      <c r="A30768" s="4" t="s">
        <v>38746</v>
      </c>
      <c r="B30768" s="4" t="s">
        <v>38748</v>
      </c>
      <c r="C30768" s="5" t="str">
        <f>IFERROR(__xludf.DUMMYFUNCTION("GOOGLETRANSLATE(B30768,""en"",""zh-CN"")"),"一个男人与相机交谈，演示如何防水。")</f>
        <v>一个男人与相机交谈，演示如何防水。</v>
      </c>
    </row>
    <row r="30769">
      <c r="A30769" s="4" t="s">
        <v>38746</v>
      </c>
      <c r="B30769" s="4" t="s">
        <v>38749</v>
      </c>
      <c r="C30769" s="5" t="str">
        <f>IFERROR(__xludf.DUMMYFUNCTION("GOOGLETRANSLATE(B30769,""en"",""zh-CN"")"),"他说话时显示了几个动作和位置。")</f>
        <v>他说话时显示了几个动作和位置。</v>
      </c>
    </row>
    <row r="30770">
      <c r="A30770" s="4" t="s">
        <v>38750</v>
      </c>
      <c r="B30770" s="4" t="s">
        <v>38751</v>
      </c>
      <c r="C30770" s="5" t="str">
        <f>IFERROR(__xludf.DUMMYFUNCTION("GOOGLETRANSLATE(B30770,""en"",""zh-CN"")"),"一个女人正在喝一杯咖啡。")</f>
        <v>一个女人正在喝一杯咖啡。</v>
      </c>
    </row>
    <row r="30771">
      <c r="A30771" s="4" t="s">
        <v>38750</v>
      </c>
      <c r="B30771" s="4" t="s">
        <v>38752</v>
      </c>
      <c r="C30771" s="5" t="str">
        <f>IFERROR(__xludf.DUMMYFUNCTION("GOOGLETRANSLATE(B30771,""en"",""zh-CN"")"),"咖啡豆在杯子中显示。")</f>
        <v>咖啡豆在杯子中显示。</v>
      </c>
    </row>
    <row r="30772">
      <c r="A30772" s="4" t="s">
        <v>38750</v>
      </c>
      <c r="B30772" s="4" t="s">
        <v>38753</v>
      </c>
      <c r="C30772" s="5" t="str">
        <f>IFERROR(__xludf.DUMMYFUNCTION("GOOGLETRANSLATE(B30772,""en"",""zh-CN"")"),"正在显示网络文章。")</f>
        <v>正在显示网络文章。</v>
      </c>
    </row>
    <row r="30773">
      <c r="A30773" s="4" t="s">
        <v>38750</v>
      </c>
      <c r="B30773" s="4" t="s">
        <v>38754</v>
      </c>
      <c r="C30773" s="5" t="str">
        <f>IFERROR(__xludf.DUMMYFUNCTION("GOOGLETRANSLATE(B30773,""en"",""zh-CN"")"),"一个杯子杯充满咖啡。")</f>
        <v>一个杯子杯充满咖啡。</v>
      </c>
    </row>
    <row r="30774">
      <c r="A30774" s="4" t="s">
        <v>38750</v>
      </c>
      <c r="B30774" s="4" t="s">
        <v>38755</v>
      </c>
      <c r="C30774" s="5" t="str">
        <f>IFERROR(__xludf.DUMMYFUNCTION("GOOGLETRANSLATE(B30774,""en"",""zh-CN"")"),"人们在街上骑自行车。")</f>
        <v>人们在街上骑自行车。</v>
      </c>
    </row>
    <row r="30775">
      <c r="A30775" s="4" t="s">
        <v>38756</v>
      </c>
      <c r="B30775" s="4" t="s">
        <v>38757</v>
      </c>
      <c r="C30775" s="5" t="str">
        <f>IFERROR(__xludf.DUMMYFUNCTION("GOOGLETRANSLATE(B30775,""en"",""zh-CN"")"),"比赛期间，摩托车骑手在一条土赛道上比赛。")</f>
        <v>比赛期间，摩托车骑手在一条土赛道上比赛。</v>
      </c>
    </row>
    <row r="30776">
      <c r="A30776" s="4" t="s">
        <v>38756</v>
      </c>
      <c r="B30776" s="4" t="s">
        <v>38758</v>
      </c>
      <c r="C30776" s="5" t="str">
        <f>IFERROR(__xludf.DUMMYFUNCTION("GOOGLETRANSLATE(B30776,""en"",""zh-CN"")"),"一名骑手撞上了跳跃，从他的自行车上摔下来。")</f>
        <v>一名骑手撞上了跳跃，从他的自行车上摔下来。</v>
      </c>
    </row>
    <row r="30777">
      <c r="A30777" s="4" t="s">
        <v>38756</v>
      </c>
      <c r="B30777" s="4" t="s">
        <v>38759</v>
      </c>
      <c r="C30777" s="5" t="str">
        <f>IFERROR(__xludf.DUMMYFUNCTION("GOOGLETRANSLATE(B30777,""en"",""zh-CN"")"),"另一个骑手放慢了脚步并拉下了赛道。")</f>
        <v>另一个骑手放慢了脚步并拉下了赛道。</v>
      </c>
    </row>
    <row r="30778">
      <c r="A30778" s="4" t="s">
        <v>38756</v>
      </c>
      <c r="B30778" s="4" t="s">
        <v>38760</v>
      </c>
      <c r="C30778" s="5" t="str">
        <f>IFERROR(__xludf.DUMMYFUNCTION("GOOGLETRANSLATE(B30778,""en"",""zh-CN"")"),"坠毁的骑手在地面上爬行，并得到了另一个人的帮助。")</f>
        <v>坠毁的骑手在地面上爬行，并得到了另一个人的帮助。</v>
      </c>
    </row>
    <row r="30779">
      <c r="A30779" s="4" t="s">
        <v>38756</v>
      </c>
      <c r="B30779" s="4" t="s">
        <v>38761</v>
      </c>
      <c r="C30779" s="5" t="str">
        <f>IFERROR(__xludf.DUMMYFUNCTION("GOOGLETRANSLATE(B30779,""en"",""zh-CN"")"),"骑手挥舞着手臂向其他人发出信号，并将撞车的自行车从路线上脱下。")</f>
        <v>骑手挥舞着手臂向其他人发出信号，并将撞车的自行车从路线上脱下。</v>
      </c>
    </row>
    <row r="30780">
      <c r="A30780" s="4" t="s">
        <v>38756</v>
      </c>
      <c r="B30780" s="4" t="s">
        <v>38762</v>
      </c>
      <c r="C30780" s="5" t="str">
        <f>IFERROR(__xludf.DUMMYFUNCTION("GOOGLETRANSLATE(B30780,""en"",""zh-CN"")"),"看到骑手以慢动作坠毁。")</f>
        <v>看到骑手以慢动作坠毁。</v>
      </c>
    </row>
    <row r="30781">
      <c r="A30781" s="4" t="s">
        <v>38763</v>
      </c>
      <c r="B30781" s="4" t="s">
        <v>38764</v>
      </c>
      <c r="C30781" s="5" t="str">
        <f>IFERROR(__xludf.DUMMYFUNCTION("GOOGLETRANSLATE(B30781,""en"",""zh-CN"")"),"看到一群人站在一个房间周围，有些人拿着乐器。")</f>
        <v>看到一群人站在一个房间周围，有些人拿着乐器。</v>
      </c>
    </row>
    <row r="30782">
      <c r="A30782" s="4" t="s">
        <v>38763</v>
      </c>
      <c r="B30782" s="4" t="s">
        <v>38765</v>
      </c>
      <c r="C30782" s="5" t="str">
        <f>IFERROR(__xludf.DUMMYFUNCTION("GOOGLETRANSLATE(B30782,""en"",""zh-CN"")"),"人们坐在桌子旁玩杯子。")</f>
        <v>人们坐在桌子旁玩杯子。</v>
      </c>
    </row>
    <row r="30783">
      <c r="A30783" s="4" t="s">
        <v>38763</v>
      </c>
      <c r="B30783" s="4" t="s">
        <v>38766</v>
      </c>
      <c r="C30783" s="5" t="str">
        <f>IFERROR(__xludf.DUMMYFUNCTION("GOOGLETRANSLATE(B30783,""en"",""zh-CN"")"),"当人们继续玩杯子时，看到越来越多的人在侧面鼓。")</f>
        <v>当人们继续玩杯子时，看到越来越多的人在侧面鼓。</v>
      </c>
    </row>
    <row r="30784">
      <c r="A30784" s="4" t="s">
        <v>38763</v>
      </c>
      <c r="B30784" s="4" t="s">
        <v>38767</v>
      </c>
      <c r="C30784" s="5" t="str">
        <f>IFERROR(__xludf.DUMMYFUNCTION("GOOGLETRANSLATE(B30784,""en"",""zh-CN"")"),"最终，人们用吉他弹奏，然后走出舞台结束。")</f>
        <v>最终，人们用吉他弹奏，然后走出舞台结束。</v>
      </c>
    </row>
    <row r="30785">
      <c r="A30785" s="4" t="s">
        <v>38768</v>
      </c>
      <c r="B30785" s="4" t="s">
        <v>38769</v>
      </c>
      <c r="C30785" s="5" t="str">
        <f>IFERROR(__xludf.DUMMYFUNCTION("GOOGLETRANSLATE(B30785,""en"",""zh-CN"")"),"一个年轻人正坐在椅子上，头向下剃光腿。")</f>
        <v>一个年轻人正坐在椅子上，头向下剃光腿。</v>
      </c>
    </row>
    <row r="30786">
      <c r="A30786" s="4" t="s">
        <v>38768</v>
      </c>
      <c r="B30786" s="4" t="s">
        <v>38770</v>
      </c>
      <c r="C30786" s="5" t="str">
        <f>IFERROR(__xludf.DUMMYFUNCTION("GOOGLETRANSLATE(B30786,""en"",""zh-CN"")"),"该男子停下来清理剃须刀。")</f>
        <v>该男子停下来清理剃须刀。</v>
      </c>
    </row>
    <row r="30787">
      <c r="A30787" s="4" t="s">
        <v>38768</v>
      </c>
      <c r="B30787" s="6" t="s">
        <v>38771</v>
      </c>
      <c r="C30787" s="5" t="str">
        <f>IFERROR(__xludf.DUMMYFUNCTION("GOOGLETRANSLATE(B30787,""en"",""zh-CN"")"),"该男子停止工作直到再次开始并继续剃光腿时，就会摇动剃须刀。")</f>
        <v>该男子停止工作直到再次开始并继续剃光腿时，就会摇动剃须刀。</v>
      </c>
    </row>
    <row r="30788">
      <c r="A30788" s="4" t="s">
        <v>38772</v>
      </c>
      <c r="B30788" s="4" t="s">
        <v>38773</v>
      </c>
      <c r="C30788" s="5" t="str">
        <f>IFERROR(__xludf.DUMMYFUNCTION("GOOGLETRANSLATE(B30788,""en"",""zh-CN"")"),"一只狗在一个大田地外面，奔向一个拿着黄色飞盘的男人。")</f>
        <v>一只狗在一个大田地外面，奔向一个拿着黄色飞盘的男人。</v>
      </c>
    </row>
    <row r="30789">
      <c r="A30789" s="4" t="s">
        <v>38772</v>
      </c>
      <c r="B30789" s="4" t="s">
        <v>38774</v>
      </c>
      <c r="C30789" s="5" t="str">
        <f>IFERROR(__xludf.DUMMYFUNCTION("GOOGLETRANSLATE(B30789,""en"",""zh-CN"")"),"然后，该男子开始走路，然后将飞盘扔给狗捕捉。")</f>
        <v>然后，该男子开始走路，然后将飞盘扔给狗捕捉。</v>
      </c>
    </row>
    <row r="30790">
      <c r="A30790" s="4" t="s">
        <v>38772</v>
      </c>
      <c r="B30790" s="4" t="s">
        <v>38775</v>
      </c>
      <c r="C30790" s="5" t="str">
        <f>IFERROR(__xludf.DUMMYFUNCTION("GOOGLETRANSLATE(B30790,""en"",""zh-CN"")"),"他把它扔了几次，狗抓住了每一个。")</f>
        <v>他把它扔了几次，狗抓住了每一个。</v>
      </c>
    </row>
    <row r="30791">
      <c r="A30791" s="4" t="s">
        <v>38776</v>
      </c>
      <c r="B30791" s="4" t="s">
        <v>38777</v>
      </c>
      <c r="C30791" s="5" t="str">
        <f>IFERROR(__xludf.DUMMYFUNCTION("GOOGLETRANSLATE(B30791,""en"",""zh-CN"")"),"孩子们正在一个尘土飞扬的领域踢足球。")</f>
        <v>孩子们正在一个尘土飞扬的领域踢足球。</v>
      </c>
    </row>
    <row r="30792">
      <c r="A30792" s="4" t="s">
        <v>38776</v>
      </c>
      <c r="B30792" s="4" t="s">
        <v>38778</v>
      </c>
      <c r="C30792" s="5" t="str">
        <f>IFERROR(__xludf.DUMMYFUNCTION("GOOGLETRANSLATE(B30792,""en"",""zh-CN"")"),"人们正站在田野上。")</f>
        <v>人们正站在田野上。</v>
      </c>
    </row>
    <row r="30793">
      <c r="A30793" s="4" t="s">
        <v>38776</v>
      </c>
      <c r="B30793" s="4" t="s">
        <v>38779</v>
      </c>
      <c r="C30793" s="5" t="str">
        <f>IFERROR(__xludf.DUMMYFUNCTION("GOOGLETRANSLATE(B30793,""en"",""zh-CN"")"),"人实现目标，球队和看台的人们都在庆祝。")</f>
        <v>人实现目标，球队和看台的人们都在庆祝。</v>
      </c>
    </row>
    <row r="30794">
      <c r="A30794" s="4" t="s">
        <v>38776</v>
      </c>
      <c r="B30794" s="4" t="s">
        <v>38780</v>
      </c>
      <c r="C30794" s="5" t="str">
        <f>IFERROR(__xludf.DUMMYFUNCTION("GOOGLETRANSLATE(B30794,""en"",""zh-CN"")"),"人在弯道并打进进球，并向队友鲁恩庆祝。")</f>
        <v>人在弯道并打进进球，并向队友鲁恩庆祝。</v>
      </c>
    </row>
    <row r="30795">
      <c r="A30795" s="4" t="s">
        <v>38776</v>
      </c>
      <c r="B30795" s="6" t="s">
        <v>38781</v>
      </c>
      <c r="C30795" s="5" t="str">
        <f>IFERROR(__xludf.DUMMYFUNCTION("GOOGLETRANSLATE(B30795,""en"",""zh-CN"")"),"游戏开始游戏，男人继续跑步，进一步进球，并在重复时庆祝。")</f>
        <v>游戏开始游戏，男人继续跑步，进一步进球，并在重复时庆祝。</v>
      </c>
    </row>
    <row r="30796">
      <c r="A30796" s="4" t="s">
        <v>38782</v>
      </c>
      <c r="B30796" s="4" t="s">
        <v>38783</v>
      </c>
      <c r="C30796" s="5" t="str">
        <f>IFERROR(__xludf.DUMMYFUNCTION("GOOGLETRANSLATE(B30796,""en"",""zh-CN"")"),"一个十几岁的男孩骑着马在空中旋转着一头小牛的绳子。")</f>
        <v>一个十几岁的男孩骑着马在空中旋转着一头小牛的绳子。</v>
      </c>
    </row>
    <row r="30797">
      <c r="A30797" s="4" t="s">
        <v>38782</v>
      </c>
      <c r="B30797" s="4" t="s">
        <v>38784</v>
      </c>
      <c r="C30797" s="5" t="str">
        <f>IFERROR(__xludf.DUMMYFUNCTION("GOOGLETRANSLATE(B30797,""en"",""zh-CN"")"),"牛正在奔跑，男孩把绳子扔在脖子上。")</f>
        <v>牛正在奔跑，男孩把绳子扔在脖子上。</v>
      </c>
    </row>
    <row r="30798">
      <c r="A30798" s="4" t="s">
        <v>38782</v>
      </c>
      <c r="B30798" s="4" t="s">
        <v>38785</v>
      </c>
      <c r="C30798" s="5" t="str">
        <f>IFERROR(__xludf.DUMMYFUNCTION("GOOGLETRANSLATE(B30798,""en"",""zh-CN"")"),"它使牛被绳子拉回后掉下来。")</f>
        <v>它使牛被绳子拉回后掉下来。</v>
      </c>
    </row>
    <row r="30799">
      <c r="A30799" s="4" t="s">
        <v>38782</v>
      </c>
      <c r="B30799" s="4" t="s">
        <v>38786</v>
      </c>
      <c r="C30799" s="5" t="str">
        <f>IFERROR(__xludf.DUMMYFUNCTION("GOOGLETRANSLATE(B30799,""en"",""zh-CN"")"),"这个男孩在马匹之后逃跑，将小牛钉住。")</f>
        <v>这个男孩在马匹之后逃跑，将小牛钉住。</v>
      </c>
    </row>
    <row r="30800">
      <c r="A30800" s="4" t="s">
        <v>38787</v>
      </c>
      <c r="B30800" s="4" t="s">
        <v>38788</v>
      </c>
      <c r="C30800" s="5" t="str">
        <f>IFERROR(__xludf.DUMMYFUNCTION("GOOGLETRANSLATE(B30800,""en"",""zh-CN"")"),"我们在柜台上看到肉和奶酪。")</f>
        <v>我们在柜台上看到肉和奶酪。</v>
      </c>
    </row>
    <row r="30801">
      <c r="A30801" s="4" t="s">
        <v>38787</v>
      </c>
      <c r="B30801" s="4" t="s">
        <v>38789</v>
      </c>
      <c r="C30801" s="5" t="str">
        <f>IFERROR(__xludf.DUMMYFUNCTION("GOOGLETRANSLATE(B30801,""en"",""zh-CN"")"),"一个男人在厨房里与摄像机说话。")</f>
        <v>一个男人在厨房里与摄像机说话。</v>
      </c>
    </row>
    <row r="30802">
      <c r="A30802" s="4" t="s">
        <v>38787</v>
      </c>
      <c r="B30802" s="4" t="s">
        <v>38790</v>
      </c>
      <c r="C30802" s="5" t="str">
        <f>IFERROR(__xludf.DUMMYFUNCTION("GOOGLETRANSLATE(B30802,""en"",""zh-CN"")"),"该男子将芥末酱撒在面包上。")</f>
        <v>该男子将芥末酱撒在面包上。</v>
      </c>
    </row>
    <row r="30803">
      <c r="A30803" s="4" t="s">
        <v>38787</v>
      </c>
      <c r="B30803" s="4" t="s">
        <v>38791</v>
      </c>
      <c r="C30803" s="5" t="str">
        <f>IFERROR(__xludf.DUMMYFUNCTION("GOOGLETRANSLATE(B30803,""en"",""zh-CN"")"),"该男子组装三明治。")</f>
        <v>该男子组装三明治。</v>
      </c>
    </row>
    <row r="30804">
      <c r="A30804" s="4" t="s">
        <v>38787</v>
      </c>
      <c r="B30804" s="4" t="s">
        <v>38792</v>
      </c>
      <c r="C30804" s="5" t="str">
        <f>IFERROR(__xludf.DUMMYFUNCTION("GOOGLETRANSLATE(B30804,""en"",""zh-CN"")"),"三明治被压了。")</f>
        <v>三明治被压了。</v>
      </c>
    </row>
    <row r="30805">
      <c r="A30805" s="4" t="s">
        <v>38787</v>
      </c>
      <c r="B30805" s="4" t="s">
        <v>38793</v>
      </c>
      <c r="C30805" s="5" t="str">
        <f>IFERROR(__xludf.DUMMYFUNCTION("GOOGLETRANSLATE(B30805,""en"",""zh-CN"")"),"该男子切了三明治。")</f>
        <v>该男子切了三明治。</v>
      </c>
    </row>
    <row r="30806">
      <c r="A30806" s="4" t="s">
        <v>38787</v>
      </c>
      <c r="B30806" s="4" t="s">
        <v>38794</v>
      </c>
      <c r="C30806" s="5" t="str">
        <f>IFERROR(__xludf.DUMMYFUNCTION("GOOGLETRANSLATE(B30806,""en"",""zh-CN"")"),"该男子盘子所有食物。")</f>
        <v>该男子盘子所有食物。</v>
      </c>
    </row>
    <row r="30807">
      <c r="A30807" s="4" t="s">
        <v>38795</v>
      </c>
      <c r="B30807" s="4" t="s">
        <v>38796</v>
      </c>
      <c r="C30807" s="5" t="str">
        <f>IFERROR(__xludf.DUMMYFUNCTION("GOOGLETRANSLATE(B30807,""en"",""zh-CN"")"),"一位女士正在吹屋顶。")</f>
        <v>一位女士正在吹屋顶。</v>
      </c>
    </row>
    <row r="30808">
      <c r="A30808" s="4" t="s">
        <v>38795</v>
      </c>
      <c r="B30808" s="4" t="s">
        <v>38797</v>
      </c>
      <c r="C30808" s="5" t="str">
        <f>IFERROR(__xludf.DUMMYFUNCTION("GOOGLETRANSLATE(B30808,""en"",""zh-CN"")"),"那位女士向右走向顶部。")</f>
        <v>那位女士向右走向顶部。</v>
      </c>
    </row>
    <row r="30809">
      <c r="A30809" s="4" t="s">
        <v>38795</v>
      </c>
      <c r="B30809" s="4" t="s">
        <v>38798</v>
      </c>
      <c r="C30809" s="5" t="str">
        <f>IFERROR(__xludf.DUMMYFUNCTION("GOOGLETRANSLATE(B30809,""en"",""zh-CN"")"),"摄像机向下平移，我们看到下面的地面上一个小男孩。")</f>
        <v>摄像机向下平移，我们看到下面的地面上一个小男孩。</v>
      </c>
    </row>
    <row r="30810">
      <c r="A30810" s="4" t="s">
        <v>38799</v>
      </c>
      <c r="B30810" s="4" t="s">
        <v>38800</v>
      </c>
      <c r="C30810" s="5" t="str">
        <f>IFERROR(__xludf.DUMMYFUNCTION("GOOGLETRANSLATE(B30810,""en"",""zh-CN"")"),"一个人将球扔给一个跑步并踢球的青少年。")</f>
        <v>一个人将球扔给一个跑步并踢球的青少年。</v>
      </c>
    </row>
    <row r="30811">
      <c r="A30811" s="4" t="s">
        <v>38799</v>
      </c>
      <c r="B30811" s="4" t="s">
        <v>38801</v>
      </c>
      <c r="C30811" s="5" t="str">
        <f>IFERROR(__xludf.DUMMYFUNCTION("GOOGLETRANSLATE(B30811,""en"",""zh-CN"")"),"一个青少年抓住球，向另一个女孩扔给另一个女孩。")</f>
        <v>一个青少年抓住球，向另一个女孩扔给另一个女孩。</v>
      </c>
    </row>
    <row r="30812">
      <c r="A30812" s="4" t="s">
        <v>38799</v>
      </c>
      <c r="B30812" s="4" t="s">
        <v>38802</v>
      </c>
      <c r="C30812" s="5" t="str">
        <f>IFERROR(__xludf.DUMMYFUNCTION("GOOGLETRANSLATE(B30812,""en"",""zh-CN"")"),"女孩拿到的地面上的瀑布。")</f>
        <v>女孩拿到的地面上的瀑布。</v>
      </c>
    </row>
    <row r="30813">
      <c r="A30813" s="4" t="s">
        <v>38803</v>
      </c>
      <c r="B30813" s="4" t="s">
        <v>38804</v>
      </c>
      <c r="C30813" s="5" t="str">
        <f>IFERROR(__xludf.DUMMYFUNCTION("GOOGLETRANSLATE(B30813,""en"",""zh-CN"")"),"看到一个女人戴着滚筒刀片，并在相机上说话。")</f>
        <v>看到一个女人戴着滚筒刀片，并在相机上说话。</v>
      </c>
    </row>
    <row r="30814">
      <c r="A30814" s="4" t="s">
        <v>38803</v>
      </c>
      <c r="B30814" s="4" t="s">
        <v>38805</v>
      </c>
      <c r="C30814" s="5" t="str">
        <f>IFERROR(__xludf.DUMMYFUNCTION("GOOGLETRANSLATE(B30814,""en"",""zh-CN"")"),"然后，她望着相机并说话时，骑着刀片骑着刀片。")</f>
        <v>然后，她望着相机并说话时，骑着刀片骑着刀片。</v>
      </c>
    </row>
    <row r="30815">
      <c r="A30815" s="4" t="s">
        <v>38803</v>
      </c>
      <c r="B30815" s="4" t="s">
        <v>38806</v>
      </c>
      <c r="C30815" s="5" t="str">
        <f>IFERROR(__xludf.DUMMYFUNCTION("GOOGLETRANSLATE(B30815,""en"",""zh-CN"")"),"她继续演示如何正确使用刀片并四处走动。")</f>
        <v>她继续演示如何正确使用刀片并四处走动。</v>
      </c>
    </row>
    <row r="30816">
      <c r="A30816" s="4" t="s">
        <v>38807</v>
      </c>
      <c r="B30816" s="4" t="s">
        <v>38808</v>
      </c>
      <c r="C30816" s="5" t="str">
        <f>IFERROR(__xludf.DUMMYFUNCTION("GOOGLETRANSLATE(B30816,""en"",""zh-CN"")"),"我们看到一个男人跑步并跳高6'11，然后看到重播。")</f>
        <v>我们看到一个男人跑步并跳高6'11，然后看到重播。</v>
      </c>
    </row>
    <row r="30817">
      <c r="A30817" s="4" t="s">
        <v>38807</v>
      </c>
      <c r="B30817" s="4" t="s">
        <v>38809</v>
      </c>
      <c r="C30817" s="5" t="str">
        <f>IFERROR(__xludf.DUMMYFUNCTION("GOOGLETRANSLATE(B30817,""en"",""zh-CN"")"),"然后，我们看到男人跳下6'9，看到重播。")</f>
        <v>然后，我们看到男人跳下6'9，看到重播。</v>
      </c>
    </row>
    <row r="30818">
      <c r="A30818" s="4" t="s">
        <v>38807</v>
      </c>
      <c r="B30818" s="4" t="s">
        <v>38810</v>
      </c>
      <c r="C30818" s="5" t="str">
        <f>IFERROR(__xludf.DUMMYFUNCTION("GOOGLETRANSLATE(B30818,""en"",""zh-CN"")"),"该男子再次跳到6'11，我们看到了重播。")</f>
        <v>该男子再次跳到6'11，我们看到了重播。</v>
      </c>
    </row>
    <row r="30819">
      <c r="A30819" s="4" t="s">
        <v>38807</v>
      </c>
      <c r="B30819" s="4" t="s">
        <v>38811</v>
      </c>
      <c r="C30819" s="5" t="str">
        <f>IFERROR(__xludf.DUMMYFUNCTION("GOOGLETRANSLATE(B30819,""en"",""zh-CN"")"),"我们看到男人跳到7'2，我们看到了重播。")</f>
        <v>我们看到男人跳到7'2，我们看到了重播。</v>
      </c>
    </row>
    <row r="30820">
      <c r="A30820" s="4" t="s">
        <v>38807</v>
      </c>
      <c r="B30820" s="4" t="s">
        <v>38812</v>
      </c>
      <c r="C30820" s="5" t="str">
        <f>IFERROR(__xludf.DUMMYFUNCTION("GOOGLETRANSLATE(B30820,""en"",""zh-CN"")"),"我们看到那个男人使用跳板在8'3跳跃，我们看到了重播。")</f>
        <v>我们看到那个男人使用跳板在8'3跳跃，我们看到了重播。</v>
      </c>
    </row>
    <row r="30821">
      <c r="A30821" s="4" t="s">
        <v>38813</v>
      </c>
      <c r="B30821" s="4" t="s">
        <v>38814</v>
      </c>
      <c r="C30821" s="5" t="str">
        <f>IFERROR(__xludf.DUMMYFUNCTION("GOOGLETRANSLATE(B30821,""en"",""zh-CN"")"),"舞台上有一些举重运动员参加举重活动。")</f>
        <v>舞台上有一些举重运动员参加举重活动。</v>
      </c>
    </row>
    <row r="30822">
      <c r="A30822" s="4" t="s">
        <v>38813</v>
      </c>
      <c r="B30822" s="4" t="s">
        <v>38815</v>
      </c>
      <c r="C30822" s="5" t="str">
        <f>IFERROR(__xludf.DUMMYFUNCTION("GOOGLETRANSLATE(B30822,""en"",""zh-CN"")"),"有几个观众在观看活动。")</f>
        <v>有几个观众在观看活动。</v>
      </c>
    </row>
    <row r="30823">
      <c r="A30823" s="4" t="s">
        <v>38813</v>
      </c>
      <c r="B30823" s="4" t="s">
        <v>38816</v>
      </c>
      <c r="C30823" s="5" t="str">
        <f>IFERROR(__xludf.DUMMYFUNCTION("GOOGLETRANSLATE(B30823,""en"",""zh-CN"")"),"其中一位举重运动员成功地将重物杆高高提升，然后将其放下。")</f>
        <v>其中一位举重运动员成功地将重物杆高高提升，然后将其放下。</v>
      </c>
    </row>
    <row r="30824">
      <c r="A30824" s="4" t="s">
        <v>38813</v>
      </c>
      <c r="B30824" s="4" t="s">
        <v>38817</v>
      </c>
      <c r="C30824" s="5" t="str">
        <f>IFERROR(__xludf.DUMMYFUNCTION("GOOGLETRANSLATE(B30824,""en"",""zh-CN"")"),"他举起右手感到胜利。")</f>
        <v>他举起右手感到胜利。</v>
      </c>
    </row>
    <row r="30825">
      <c r="A30825" s="4" t="s">
        <v>38818</v>
      </c>
      <c r="B30825" s="4" t="s">
        <v>38819</v>
      </c>
      <c r="C30825" s="5" t="str">
        <f>IFERROR(__xludf.DUMMYFUNCTION("GOOGLETRANSLATE(B30825,""en"",""zh-CN"")"),"有几个出汗的男人和男孩的特写。")</f>
        <v>有几个出汗的男人和男孩的特写。</v>
      </c>
    </row>
    <row r="30826">
      <c r="A30826" s="4" t="s">
        <v>38818</v>
      </c>
      <c r="B30826" s="4" t="s">
        <v>38820</v>
      </c>
      <c r="C30826" s="5" t="str">
        <f>IFERROR(__xludf.DUMMYFUNCTION("GOOGLETRANSLATE(B30826,""en"",""zh-CN"")"),"他们玩岩石剪刀，失败者很生气。")</f>
        <v>他们玩岩石剪刀，失败者很生气。</v>
      </c>
    </row>
    <row r="30827">
      <c r="A30827" s="4" t="s">
        <v>38818</v>
      </c>
      <c r="B30827" s="4" t="s">
        <v>38821</v>
      </c>
      <c r="C30827" s="5" t="str">
        <f>IFERROR(__xludf.DUMMYFUNCTION("GOOGLETRANSLATE(B30827,""en"",""zh-CN"")"),"他穿过建筑物和户外，尖叫并撞到空中。")</f>
        <v>他穿过建筑物和户外，尖叫并撞到空中。</v>
      </c>
    </row>
    <row r="30828">
      <c r="A30828" s="4" t="s">
        <v>38818</v>
      </c>
      <c r="B30828" s="4" t="s">
        <v>38822</v>
      </c>
      <c r="C30828" s="5" t="str">
        <f>IFERROR(__xludf.DUMMYFUNCTION("GOOGLETRANSLATE(B30828,""en"",""zh-CN"")"),"该男子坐在椅子上说话。")</f>
        <v>该男子坐在椅子上说话。</v>
      </c>
    </row>
    <row r="30829">
      <c r="A30829" s="4" t="s">
        <v>38818</v>
      </c>
      <c r="B30829" s="4" t="s">
        <v>38823</v>
      </c>
      <c r="C30829" s="5" t="str">
        <f>IFERROR(__xludf.DUMMYFUNCTION("GOOGLETRANSLATE(B30829,""en"",""zh-CN"")"),"他摇了摇一瓶，然后在窒息之前喝一杯。")</f>
        <v>他摇了摇一瓶，然后在窒息之前喝一杯。</v>
      </c>
    </row>
    <row r="30830">
      <c r="A30830" s="4" t="s">
        <v>38818</v>
      </c>
      <c r="B30830" s="4" t="s">
        <v>38824</v>
      </c>
      <c r="C30830" s="5" t="str">
        <f>IFERROR(__xludf.DUMMYFUNCTION("GOOGLETRANSLATE(B30830,""en"",""zh-CN"")"),"他们重播比赛，最后他坐在椅子上时再次聊天。")</f>
        <v>他们重播比赛，最后他坐在椅子上时再次聊天。</v>
      </c>
    </row>
    <row r="30831">
      <c r="A30831" s="4" t="s">
        <v>38825</v>
      </c>
      <c r="B30831" s="4" t="s">
        <v>38826</v>
      </c>
      <c r="C30831" s="5" t="str">
        <f>IFERROR(__xludf.DUMMYFUNCTION("GOOGLETRANSLATE(B30831,""en"",""zh-CN"")"),"一个男人坐在水桶冰上钓鱼上。")</f>
        <v>一个男人坐在水桶冰上钓鱼上。</v>
      </c>
    </row>
    <row r="30832">
      <c r="A30832" s="4" t="s">
        <v>38825</v>
      </c>
      <c r="B30832" s="4" t="s">
        <v>38827</v>
      </c>
      <c r="C30832" s="5" t="str">
        <f>IFERROR(__xludf.DUMMYFUNCTION("GOOGLETRANSLATE(B30832,""en"",""zh-CN"")"),"他站起来，从洞里拉一条鱼。")</f>
        <v>他站起来，从洞里拉一条鱼。</v>
      </c>
    </row>
    <row r="30833">
      <c r="A30833" s="4" t="s">
        <v>38825</v>
      </c>
      <c r="B30833" s="4" t="s">
        <v>38828</v>
      </c>
      <c r="C30833" s="5" t="str">
        <f>IFERROR(__xludf.DUMMYFUNCTION("GOOGLETRANSLATE(B30833,""en"",""zh-CN"")"),"他将鱼钩从鱼上切下来，将鱼扔在冰上。")</f>
        <v>他将鱼钩从鱼上切下来，将鱼扔在冰上。</v>
      </c>
    </row>
    <row r="30834">
      <c r="A30834" s="4" t="s">
        <v>38825</v>
      </c>
      <c r="B30834" s="4" t="s">
        <v>38829</v>
      </c>
      <c r="C30834" s="5" t="str">
        <f>IFERROR(__xludf.DUMMYFUNCTION("GOOGLETRANSLATE(B30834,""en"",""zh-CN"")"),"他坐在水桶上。")</f>
        <v>他坐在水桶上。</v>
      </c>
    </row>
    <row r="30835">
      <c r="A30835" s="4" t="s">
        <v>38830</v>
      </c>
      <c r="B30835" s="4" t="s">
        <v>38831</v>
      </c>
      <c r="C30835" s="5" t="str">
        <f>IFERROR(__xludf.DUMMYFUNCTION("GOOGLETRANSLATE(B30835,""en"",""zh-CN"")"),"显示了一个在水滑雪板上的男人的镜头。")</f>
        <v>显示了一个在水滑雪板上的男人的镜头。</v>
      </c>
    </row>
    <row r="30836">
      <c r="A30836" s="4" t="s">
        <v>38830</v>
      </c>
      <c r="B30836" s="4" t="s">
        <v>38832</v>
      </c>
      <c r="C30836" s="5" t="str">
        <f>IFERROR(__xludf.DUMMYFUNCTION("GOOGLETRANSLATE(B30836,""en"",""zh-CN"")"),"然后，它非常专心地跳到同一个人滑水。")</f>
        <v>然后，它非常专心地跳到同一个人滑水。</v>
      </c>
    </row>
    <row r="30837">
      <c r="A30837" s="4" t="s">
        <v>38830</v>
      </c>
      <c r="B30837" s="4" t="s">
        <v>38833</v>
      </c>
      <c r="C30837" s="5" t="str">
        <f>IFERROR(__xludf.DUMMYFUNCTION("GOOGLETRANSLATE(B30837,""en"",""zh-CN"")"),"他跌倒了几次，尽力保持直立。")</f>
        <v>他跌倒了几次，尽力保持直立。</v>
      </c>
    </row>
    <row r="30838">
      <c r="A30838" s="4" t="s">
        <v>38830</v>
      </c>
      <c r="B30838" s="4" t="s">
        <v>38834</v>
      </c>
      <c r="C30838" s="5" t="str">
        <f>IFERROR(__xludf.DUMMYFUNCTION("GOOGLETRANSLATE(B30838,""en"",""zh-CN"")"),"然后，该视频显示了其他人尽力而为，但每次都会跌倒。")</f>
        <v>然后，该视频显示了其他人尽力而为，但每次都会跌倒。</v>
      </c>
    </row>
    <row r="30839">
      <c r="A30839" s="4" t="s">
        <v>38830</v>
      </c>
      <c r="B30839" s="4" t="s">
        <v>38835</v>
      </c>
      <c r="C30839" s="5" t="str">
        <f>IFERROR(__xludf.DUMMYFUNCTION("GOOGLETRANSLATE(B30839,""en"",""zh-CN"")"),"该视频继续显示人们一次又一次地跌倒。")</f>
        <v>该视频继续显示人们一次又一次地跌倒。</v>
      </c>
    </row>
    <row r="30840">
      <c r="A30840" s="4" t="s">
        <v>38830</v>
      </c>
      <c r="B30840" s="4" t="s">
        <v>38836</v>
      </c>
      <c r="C30840" s="5" t="str">
        <f>IFERROR(__xludf.DUMMYFUNCTION("GOOGLETRANSLATE(B30840,""en"",""zh-CN"")"),"最后，显示了谁在视频中拍摄和出演了谁。")</f>
        <v>最后，显示了谁在视频中拍摄和出演了谁。</v>
      </c>
    </row>
    <row r="30841">
      <c r="A30841" s="4" t="s">
        <v>38837</v>
      </c>
      <c r="B30841" s="4" t="s">
        <v>38838</v>
      </c>
      <c r="C30841" s="5" t="str">
        <f>IFERROR(__xludf.DUMMYFUNCTION("GOOGLETRANSLATE(B30841,""en"",""zh-CN"")"),"一个男人正在玩风笛。")</f>
        <v>一个男人正在玩风笛。</v>
      </c>
    </row>
    <row r="30842">
      <c r="A30842" s="4" t="s">
        <v>38837</v>
      </c>
      <c r="B30842" s="4" t="s">
        <v>38839</v>
      </c>
      <c r="C30842" s="5" t="str">
        <f>IFERROR(__xludf.DUMMYFUNCTION("GOOGLETRANSLATE(B30842,""en"",""zh-CN"")"),"人们在外面玩曲棍球游戏。")</f>
        <v>人们在外面玩曲棍球游戏。</v>
      </c>
    </row>
    <row r="30843">
      <c r="A30843" s="4" t="s">
        <v>38837</v>
      </c>
      <c r="B30843" s="4" t="s">
        <v>21371</v>
      </c>
      <c r="C30843" s="5" t="str">
        <f>IFERROR(__xludf.DUMMYFUNCTION("GOOGLETRANSLATE(B30843,""en"",""zh-CN"")"),"一个穿着蓝色衬衫的男人正在和镜头说话。")</f>
        <v>一个穿着蓝色衬衫的男人正在和镜头说话。</v>
      </c>
    </row>
    <row r="30844">
      <c r="A30844" s="4" t="s">
        <v>38840</v>
      </c>
      <c r="B30844" s="4" t="s">
        <v>38841</v>
      </c>
      <c r="C30844" s="5" t="str">
        <f>IFERROR(__xludf.DUMMYFUNCTION("GOOGLETRANSLATE(B30844,""en"",""zh-CN"")"),"一个男孩用割草机割草后院，后部有一个收集袋的割草机。")</f>
        <v>一个男孩用割草机割草后院，后部有一个收集袋的割草机。</v>
      </c>
    </row>
    <row r="30845">
      <c r="A30845" s="4" t="s">
        <v>38840</v>
      </c>
      <c r="B30845" s="4" t="s">
        <v>38842</v>
      </c>
      <c r="C30845" s="5" t="str">
        <f>IFERROR(__xludf.DUMMYFUNCTION("GOOGLETRANSLATE(B30845,""en"",""zh-CN"")"),"男孩经过人行道，转向院子继续割草。")</f>
        <v>男孩经过人行道，转向院子继续割草。</v>
      </c>
    </row>
    <row r="30846">
      <c r="A30846" s="4" t="s">
        <v>38843</v>
      </c>
      <c r="B30846" s="4" t="s">
        <v>38844</v>
      </c>
      <c r="C30846" s="5" t="str">
        <f>IFERROR(__xludf.DUMMYFUNCTION("GOOGLETRANSLATE(B30846,""en"",""zh-CN"")"),"人们在田野里骑马。")</f>
        <v>人们在田野里骑马。</v>
      </c>
    </row>
    <row r="30847">
      <c r="A30847" s="4" t="s">
        <v>38843</v>
      </c>
      <c r="B30847" s="4" t="s">
        <v>38845</v>
      </c>
      <c r="C30847" s="5" t="str">
        <f>IFERROR(__xludf.DUMMYFUNCTION("GOOGLETRANSLATE(B30847,""en"",""zh-CN"")"),"穿着红色衬衫的人站在马旁边。")</f>
        <v>穿着红色衬衫的人站在马旁边。</v>
      </c>
    </row>
    <row r="30848">
      <c r="A30848" s="4" t="s">
        <v>38843</v>
      </c>
      <c r="B30848" s="4" t="s">
        <v>38846</v>
      </c>
      <c r="C30848" s="5" t="str">
        <f>IFERROR(__xludf.DUMMYFUNCTION("GOOGLETRANSLATE(B30848,""en"",""zh-CN"")"),"一匹黑帽子的男人在马旁边。")</f>
        <v>一匹黑帽子的男人在马旁边。</v>
      </c>
    </row>
    <row r="30849">
      <c r="A30849" s="4" t="s">
        <v>38847</v>
      </c>
      <c r="B30849" s="6" t="s">
        <v>38848</v>
      </c>
      <c r="C30849" s="5" t="str">
        <f>IFERROR(__xludf.DUMMYFUNCTION("GOOGLETRANSLATE(B30849,""en"",""zh-CN"")"),"当相机显示许多狗坐在板条箱中时，看到一个女人剃了狗的皮毛。")</f>
        <v>当相机显示许多狗坐在板条箱中时，看到一个女人剃了狗的皮毛。</v>
      </c>
    </row>
    <row r="30850">
      <c r="A30850" s="4" t="s">
        <v>38847</v>
      </c>
      <c r="B30850" s="6" t="s">
        <v>38849</v>
      </c>
      <c r="C30850" s="5" t="str">
        <f>IFERROR(__xludf.DUMMYFUNCTION("GOOGLETRANSLATE(B30850,""en"",""zh-CN"")"),"看到一个女人在相机上说话，并炫耀几只长发和之后的狗。")</f>
        <v>看到一个女人在相机上说话，并炫耀几只长发和之后的狗。</v>
      </c>
    </row>
    <row r="30851">
      <c r="A30851" s="4" t="s">
        <v>38847</v>
      </c>
      <c r="B30851" s="6" t="s">
        <v>38850</v>
      </c>
      <c r="C30851" s="5" t="str">
        <f>IFERROR(__xludf.DUMMYFUNCTION("GOOGLETRANSLATE(B30851,""en"",""zh-CN"")"),"该名女子继续剃光狗的侧面，同时停下来与镜头说话并炫耀剃光的狗。")</f>
        <v>该名女子继续剃光狗的侧面，同时停下来与镜头说话并炫耀剃光的狗。</v>
      </c>
    </row>
    <row r="30852">
      <c r="A30852" s="4" t="s">
        <v>38851</v>
      </c>
      <c r="B30852" s="4" t="s">
        <v>38852</v>
      </c>
      <c r="C30852" s="5" t="str">
        <f>IFERROR(__xludf.DUMMYFUNCTION("GOOGLETRANSLATE(B30852,""en"",""zh-CN"")"),"穿着黑色外套的人正在从窗户上刮下冰。")</f>
        <v>穿着黑色外套的人正在从窗户上刮下冰。</v>
      </c>
    </row>
    <row r="30853">
      <c r="A30853" s="4" t="s">
        <v>38851</v>
      </c>
      <c r="B30853" s="4" t="s">
        <v>38853</v>
      </c>
      <c r="C30853" s="5" t="str">
        <f>IFERROR(__xludf.DUMMYFUNCTION("GOOGLETRANSLATE(B30853,""en"",""zh-CN"")"),"穿着黄色外套的孩子在相机上微笑。")</f>
        <v>穿着黄色外套的孩子在相机上微笑。</v>
      </c>
    </row>
    <row r="30854">
      <c r="A30854" s="4" t="s">
        <v>38851</v>
      </c>
      <c r="B30854" s="4" t="s">
        <v>38854</v>
      </c>
      <c r="C30854" s="5" t="str">
        <f>IFERROR(__xludf.DUMMYFUNCTION("GOOGLETRANSLATE(B30854,""en"",""zh-CN"")"),"一个穿着绿色外套的男孩正在将另一辆车的冰上刮掉。")</f>
        <v>一个穿着绿色外套的男孩正在将另一辆车的冰上刮掉。</v>
      </c>
    </row>
    <row r="30855">
      <c r="A30855" s="4" t="s">
        <v>38855</v>
      </c>
      <c r="B30855" s="6" t="s">
        <v>38856</v>
      </c>
      <c r="C30855" s="5" t="str">
        <f>IFERROR(__xludf.DUMMYFUNCTION("GOOGLETRANSLATE(B30855,""en"",""zh-CN"")"),"该消息显示了一个男人的名字艾伯尼奥·加西奥（Albertinho Gazio）的照片，同时，一名妇女穿着雪地器走出房子，朝她的停放的汽车走出。")</f>
        <v>该消息显示了一个男人的名字艾伯尼奥·加西奥（Albertinho Gazio）的照片，同时，一名妇女穿着雪地器走出房子，朝她的停放的汽车走出。</v>
      </c>
    </row>
    <row r="30856">
      <c r="A30856" s="4" t="s">
        <v>38855</v>
      </c>
      <c r="B30856" s="6" t="s">
        <v>38857</v>
      </c>
      <c r="C30856" s="5" t="str">
        <f>IFERROR(__xludf.DUMMYFUNCTION("GOOGLETRANSLATE(B30856,""en"",""zh-CN"")"),"镜头后面的那个人似乎是艾伯尼奥，他正在雪中走来走去，他和他的妻子从停车场的汽车上摘下雪。")</f>
        <v>镜头后面的那个人似乎是艾伯尼奥，他正在雪中走来走去，他和他的妻子从停车场的汽车上摘下雪。</v>
      </c>
    </row>
    <row r="30857">
      <c r="A30857" s="4" t="s">
        <v>38855</v>
      </c>
      <c r="B30857" s="4" t="s">
        <v>38858</v>
      </c>
      <c r="C30857" s="5" t="str">
        <f>IFERROR(__xludf.DUMMYFUNCTION("GOOGLETRANSLATE(B30857,""en"",""zh-CN"")"),"他的手在雪中非常红，但他的妻子戴着手套，因此她不受影响。")</f>
        <v>他的手在雪中非常红，但他的妻子戴着手套，因此她不受影响。</v>
      </c>
    </row>
    <row r="30858">
      <c r="A30858" s="4" t="s">
        <v>38855</v>
      </c>
      <c r="B30858" s="6" t="s">
        <v>38859</v>
      </c>
      <c r="C30858" s="5" t="str">
        <f>IFERROR(__xludf.DUMMYFUNCTION("GOOGLETRANSLATE(B30858,""en"",""zh-CN"")"),"他从口袋里拿出一张纸，读完它，而他的妻子在他们开始回到里面之前嘲笑他。")</f>
        <v>他从口袋里拿出一张纸，读完它，而他的妻子在他们开始回到里面之前嘲笑他。</v>
      </c>
    </row>
    <row r="30859">
      <c r="A30859" s="4" t="s">
        <v>38860</v>
      </c>
      <c r="B30859" s="4" t="s">
        <v>38861</v>
      </c>
      <c r="C30859" s="5" t="str">
        <f>IFERROR(__xludf.DUMMYFUNCTION("GOOGLETRANSLATE(B30859,""en"",""zh-CN"")"),"一个女孩把脚放在一条线上，然后拉起自己。")</f>
        <v>一个女孩把脚放在一条线上，然后拉起自己。</v>
      </c>
    </row>
    <row r="30860">
      <c r="A30860" s="4" t="s">
        <v>38860</v>
      </c>
      <c r="B30860" s="4" t="s">
        <v>38862</v>
      </c>
      <c r="C30860" s="5" t="str">
        <f>IFERROR(__xludf.DUMMYFUNCTION("GOOGLETRANSLATE(B30860,""en"",""zh-CN"")"),"她的脚很脏，但她正试图在绳索上取得平衡。")</f>
        <v>她的脚很脏，但她正试图在绳索上取得平衡。</v>
      </c>
    </row>
    <row r="30861">
      <c r="A30861" s="4" t="s">
        <v>38860</v>
      </c>
      <c r="B30861" s="6" t="s">
        <v>38863</v>
      </c>
      <c r="C30861" s="5" t="str">
        <f>IFERROR(__xludf.DUMMYFUNCTION("GOOGLETRANSLATE(B30861,""en"",""zh-CN"")"),"一个男人也站起来，试图平衡自己，他很难保持平衡，导致自己几乎跌倒了。")</f>
        <v>一个男人也站起来，试图平衡自己，他很难保持平衡，导致自己几乎跌倒了。</v>
      </c>
    </row>
    <row r="30862">
      <c r="A30862" s="4" t="s">
        <v>38860</v>
      </c>
      <c r="B30862" s="4" t="s">
        <v>38864</v>
      </c>
      <c r="C30862" s="5" t="str">
        <f>IFERROR(__xludf.DUMMYFUNCTION("GOOGLETRANSLATE(B30862,""en"",""zh-CN"")"),"他在水上尝试了这个，然后看着一个女人试图平衡自己。")</f>
        <v>他在水上尝试了这个，然后看着一个女人试图平衡自己。</v>
      </c>
    </row>
    <row r="30863">
      <c r="A30863" s="4" t="s">
        <v>38865</v>
      </c>
      <c r="B30863" s="6" t="s">
        <v>38866</v>
      </c>
      <c r="C30863" s="5" t="str">
        <f>IFERROR(__xludf.DUMMYFUNCTION("GOOGLETRANSLATE(B30863,""en"",""zh-CN"")"),"一个人握住一个小的大刷子和一个com，并指向一罐洗涤剂和喷雾瓶。")</f>
        <v>一个人握住一个小的大刷子和一个com，并指向一罐洗涤剂和喷雾瓶。</v>
      </c>
    </row>
    <row r="30864">
      <c r="A30864" s="4" t="s">
        <v>38865</v>
      </c>
      <c r="B30864" s="4" t="s">
        <v>38867</v>
      </c>
      <c r="C30864" s="5" t="str">
        <f>IFERROR(__xludf.DUMMYFUNCTION("GOOGLETRANSLATE(B30864,""en"",""zh-CN"")"),"该人拿起大刷子，将狗的后腿从上到下刷。")</f>
        <v>该人拿起大刷子，将狗的后腿从上到下刷。</v>
      </c>
    </row>
    <row r="30865">
      <c r="A30865" s="4" t="s">
        <v>38865</v>
      </c>
      <c r="B30865" s="6" t="s">
        <v>38868</v>
      </c>
      <c r="C30865" s="5" t="str">
        <f>IFERROR(__xludf.DUMMYFUNCTION("GOOGLETRANSLATE(B30865,""en"",""zh-CN"")"),"之后，该人使用大刷子刷狗的后腿，然后她的小刷子和梳子。")</f>
        <v>之后，该人使用大刷子刷狗的后腿，然后她的小刷子和梳子。</v>
      </c>
    </row>
    <row r="30866">
      <c r="A30866" s="4" t="s">
        <v>38865</v>
      </c>
      <c r="B30866" s="4" t="s">
        <v>38869</v>
      </c>
      <c r="C30866" s="5" t="str">
        <f>IFERROR(__xludf.DUMMYFUNCTION("GOOGLETRANSLATE(B30866,""en"",""zh-CN"")"),"接下来，这个人喷洒了狗和梳子的腿。")</f>
        <v>接下来，这个人喷洒了狗和梳子的腿。</v>
      </c>
    </row>
    <row r="30867">
      <c r="A30867" s="4" t="s">
        <v>38870</v>
      </c>
      <c r="B30867" s="4" t="s">
        <v>38871</v>
      </c>
      <c r="C30867" s="5" t="str">
        <f>IFERROR(__xludf.DUMMYFUNCTION("GOOGLETRANSLATE(B30867,""en"",""zh-CN"")"),"当人们经过时，一个人在街上玩风笛。")</f>
        <v>当人们经过时，一个人在街上玩风笛。</v>
      </c>
    </row>
    <row r="30868">
      <c r="A30868" s="4" t="s">
        <v>38870</v>
      </c>
      <c r="B30868" s="4" t="s">
        <v>38872</v>
      </c>
      <c r="C30868" s="5" t="str">
        <f>IFERROR(__xludf.DUMMYFUNCTION("GOOGLETRANSLATE(B30868,""en"",""zh-CN"")"),"展示了人群，有人和那个女人合影。")</f>
        <v>展示了人群，有人和那个女人合影。</v>
      </c>
    </row>
    <row r="30869">
      <c r="A30869" s="4" t="s">
        <v>38873</v>
      </c>
      <c r="B30869" s="6" t="s">
        <v>38874</v>
      </c>
      <c r="C30869" s="5" t="str">
        <f>IFERROR(__xludf.DUMMYFUNCTION("GOOGLETRANSLATE(B30869,""en"",""zh-CN"")"),"有一名体操运动员穿着红色紧身连衣裤，在一个大型体育场的马酒吧上表演体操，并带有审判者小组。")</f>
        <v>有一名体操运动员穿着红色紧身连衣裤，在一个大型体育场的马酒吧上表演体操，并带有审判者小组。</v>
      </c>
    </row>
    <row r="30870">
      <c r="A30870" s="4" t="s">
        <v>38873</v>
      </c>
      <c r="B30870" s="4" t="s">
        <v>38875</v>
      </c>
      <c r="C30870" s="5" t="str">
        <f>IFERROR(__xludf.DUMMYFUNCTION("GOOGLETRANSLATE(B30870,""en"",""zh-CN"")"),"她首先进入马杆，然后进行前翻和几个后翻转。")</f>
        <v>她首先进入马杆，然后进行前翻和几个后翻转。</v>
      </c>
    </row>
    <row r="30871">
      <c r="A30871" s="4" t="s">
        <v>38873</v>
      </c>
      <c r="B30871" s="4" t="s">
        <v>38876</v>
      </c>
      <c r="C30871" s="5" t="str">
        <f>IFERROR(__xludf.DUMMYFUNCTION("GOOGLETRANSLATE(B30871,""en"",""zh-CN"")"),"然后她继续扭曲腿，并通过扭动身体而进行另一个侧面翻转。")</f>
        <v>然后她继续扭曲腿，并通过扭动身体而进行另一个侧面翻转。</v>
      </c>
    </row>
    <row r="30872">
      <c r="A30872" s="4" t="s">
        <v>38873</v>
      </c>
      <c r="B30872" s="4" t="s">
        <v>38877</v>
      </c>
      <c r="C30872" s="5" t="str">
        <f>IFERROR(__xludf.DUMMYFUNCTION("GOOGLETRANSLATE(B30872,""en"",""zh-CN"")"),"然后，她优雅地进行了几次连续的反向翻转，然后跳下酒吧，走开。")</f>
        <v>然后，她优雅地进行了几次连续的反向翻转，然后跳下酒吧，走开。</v>
      </c>
    </row>
    <row r="30873">
      <c r="A30873" s="4" t="s">
        <v>38878</v>
      </c>
      <c r="B30873" s="4" t="s">
        <v>38879</v>
      </c>
      <c r="C30873" s="5" t="str">
        <f>IFERROR(__xludf.DUMMYFUNCTION("GOOGLETRANSLATE(B30873,""en"",""zh-CN"")"),"两个sumos在一个女人面前面对面。")</f>
        <v>两个sumos在一个女人面前面对面。</v>
      </c>
    </row>
    <row r="30874">
      <c r="A30874" s="4" t="s">
        <v>38878</v>
      </c>
      <c r="B30874" s="4" t="s">
        <v>38880</v>
      </c>
      <c r="C30874" s="5" t="str">
        <f>IFERROR(__xludf.DUMMYFUNCTION("GOOGLETRANSLATE(B30874,""en"",""zh-CN"")"),"然后，sumos互相推动，而女人看着他们。")</f>
        <v>然后，sumos互相推动，而女人看着他们。</v>
      </c>
    </row>
    <row r="30875">
      <c r="A30875" s="4" t="s">
        <v>38878</v>
      </c>
      <c r="B30875" s="4" t="s">
        <v>38881</v>
      </c>
      <c r="C30875" s="5" t="str">
        <f>IFERROR(__xludf.DUMMYFUNCTION("GOOGLETRANSLATE(B30875,""en"",""zh-CN"")"),"之后，一只相扑倒在地面上，然后他站起来。")</f>
        <v>之后，一只相扑倒在地面上，然后他站起来。</v>
      </c>
    </row>
    <row r="30876">
      <c r="A30876" s="4" t="s">
        <v>38878</v>
      </c>
      <c r="B30876" s="4" t="s">
        <v>38882</v>
      </c>
      <c r="C30876" s="5" t="str">
        <f>IFERROR(__xludf.DUMMYFUNCTION("GOOGLETRANSLATE(B30876,""en"",""zh-CN"")"),"一个穿着黄色衣服的男人接近戒指。")</f>
        <v>一个穿着黄色衣服的男人接近戒指。</v>
      </c>
    </row>
    <row r="30877">
      <c r="A30877" s="4" t="s">
        <v>38883</v>
      </c>
      <c r="B30877" s="4" t="s">
        <v>38884</v>
      </c>
      <c r="C30877" s="5" t="str">
        <f>IFERROR(__xludf.DUMMYFUNCTION("GOOGLETRANSLATE(B30877,""en"",""zh-CN"")"),"桌子上将五种产品对齐，说明剃须所需的产品。")</f>
        <v>桌子上将五种产品对齐，说明剃须所需的产品。</v>
      </c>
    </row>
    <row r="30878">
      <c r="A30878" s="4" t="s">
        <v>38883</v>
      </c>
      <c r="B30878" s="4" t="s">
        <v>38885</v>
      </c>
      <c r="C30878" s="5" t="str">
        <f>IFERROR(__xludf.DUMMYFUNCTION("GOOGLETRANSLATE(B30878,""en"",""zh-CN"")"),"一名年轻的白人男性走进浴室，打开水，开始擦胡须。")</f>
        <v>一名年轻的白人男性走进浴室，打开水，开始擦胡须。</v>
      </c>
    </row>
    <row r="30879">
      <c r="A30879" s="4" t="s">
        <v>38883</v>
      </c>
      <c r="B30879" s="6" t="s">
        <v>38886</v>
      </c>
      <c r="C30879" s="5" t="str">
        <f>IFERROR(__xludf.DUMMYFUNCTION("GOOGLETRANSLATE(B30879,""en"",""zh-CN"")"),"显示了一系列不同形式的产品，然后该男子用油准备皮肤，并将其放在胡须上。")</f>
        <v>显示了一系列不同形式的产品，然后该男子用油准备皮肤，并将其放在胡须上。</v>
      </c>
    </row>
    <row r="30880">
      <c r="A30880" s="4" t="s">
        <v>38883</v>
      </c>
      <c r="B30880" s="4" t="s">
        <v>38887</v>
      </c>
      <c r="C30880" s="5" t="str">
        <f>IFERROR(__xludf.DUMMYFUNCTION("GOOGLETRANSLATE(B30880,""en"",""zh-CN"")"),"接下来是刷子，他在上面添加了一些白色奶油，以使头发起泡。")</f>
        <v>接下来是刷子，他在上面添加了一些白色奶油，以使头发起泡。</v>
      </c>
    </row>
    <row r="30881">
      <c r="A30881" s="4" t="s">
        <v>38883</v>
      </c>
      <c r="B30881" s="4" t="s">
        <v>38888</v>
      </c>
      <c r="C30881" s="5" t="str">
        <f>IFERROR(__xludf.DUMMYFUNCTION("GOOGLETRANSLATE(B30881,""en"",""zh-CN"")"),"最后，是时候刮胡子了，胡须被完全放下了。")</f>
        <v>最后，是时候刮胡子了，胡须被完全放下了。</v>
      </c>
    </row>
    <row r="30882">
      <c r="A30882" s="4" t="s">
        <v>38883</v>
      </c>
      <c r="B30882" s="4" t="s">
        <v>38889</v>
      </c>
      <c r="C30882" s="5" t="str">
        <f>IFERROR(__xludf.DUMMYFUNCTION("GOOGLETRANSLATE(B30882,""en"",""zh-CN"")"),"为了完成修饰，添加了乳液，该男子现在穿着准备穿的西装。")</f>
        <v>为了完成修饰，添加了乳液，该男子现在穿着准备穿的西装。</v>
      </c>
    </row>
    <row r="30883">
      <c r="A30883" s="4" t="s">
        <v>38890</v>
      </c>
      <c r="B30883" s="4" t="s">
        <v>38891</v>
      </c>
      <c r="C30883" s="5" t="str">
        <f>IFERROR(__xludf.DUMMYFUNCTION("GOOGLETRANSLATE(B30883,""en"",""zh-CN"")"),"看到一个戴着帽子的男人在相机上说话并举起各种清洁产品。")</f>
        <v>看到一个戴着帽子的男人在相机上说话并举起各种清洁产品。</v>
      </c>
    </row>
    <row r="30884">
      <c r="A30884" s="4" t="s">
        <v>38890</v>
      </c>
      <c r="B30884" s="4" t="s">
        <v>38892</v>
      </c>
      <c r="C30884" s="5" t="str">
        <f>IFERROR(__xludf.DUMMYFUNCTION("GOOGLETRANSLATE(B30884,""en"",""zh-CN"")"),"然后，他举起瓶子和抹布，开始擦去一堂门。")</f>
        <v>然后，他举起瓶子和抹布，开始擦去一堂门。</v>
      </c>
    </row>
    <row r="30885">
      <c r="A30885" s="4" t="s">
        <v>38890</v>
      </c>
      <c r="B30885" s="4" t="s">
        <v>38893</v>
      </c>
      <c r="C30885" s="5" t="str">
        <f>IFERROR(__xludf.DUMMYFUNCTION("GOOGLETRANSLATE(B30885,""en"",""zh-CN"")"),"他继续擦去一扇门，对镜头说话。")</f>
        <v>他继续擦去一扇门，对镜头说话。</v>
      </c>
    </row>
    <row r="30886">
      <c r="A30886" s="4" t="s">
        <v>38894</v>
      </c>
      <c r="B30886" s="4" t="s">
        <v>38895</v>
      </c>
      <c r="C30886" s="5" t="str">
        <f>IFERROR(__xludf.DUMMYFUNCTION("GOOGLETRANSLATE(B30886,""en"",""zh-CN"")"),"男人在造型女人的头发时正在与镜头说话。")</f>
        <v>男人在造型女人的头发时正在与镜头说话。</v>
      </c>
    </row>
    <row r="30887">
      <c r="A30887" s="4" t="s">
        <v>38894</v>
      </c>
      <c r="B30887" s="4" t="s">
        <v>38896</v>
      </c>
      <c r="C30887" s="5" t="str">
        <f>IFERROR(__xludf.DUMMYFUNCTION("GOOGLETRANSLATE(B30887,""en"",""zh-CN"")"),"该男子正在展示各种护发产品。")</f>
        <v>该男子正在展示各种护发产品。</v>
      </c>
    </row>
    <row r="30888">
      <c r="A30888" s="4" t="s">
        <v>38894</v>
      </c>
      <c r="B30888" s="4" t="s">
        <v>38897</v>
      </c>
      <c r="C30888" s="5" t="str">
        <f>IFERROR(__xludf.DUMMYFUNCTION("GOOGLETRANSLATE(B30888,""en"",""zh-CN"")"),"男人用吹干机干燥女人的头发。")</f>
        <v>男人用吹干机干燥女人的头发。</v>
      </c>
    </row>
    <row r="30889">
      <c r="A30889" s="4" t="s">
        <v>38894</v>
      </c>
      <c r="B30889" s="4" t="s">
        <v>38898</v>
      </c>
      <c r="C30889" s="5" t="str">
        <f>IFERROR(__xludf.DUMMYFUNCTION("GOOGLETRANSLATE(B30889,""en"",""zh-CN"")"),"该男子展示了发刷。")</f>
        <v>该男子展示了发刷。</v>
      </c>
    </row>
    <row r="30890">
      <c r="A30890" s="4" t="s">
        <v>38894</v>
      </c>
      <c r="B30890" s="4" t="s">
        <v>38899</v>
      </c>
      <c r="C30890" s="5" t="str">
        <f>IFERROR(__xludf.DUMMYFUNCTION("GOOGLETRANSLATE(B30890,""en"",""zh-CN"")"),"男人递给女人刷子和吹干机。")</f>
        <v>男人递给女人刷子和吹干机。</v>
      </c>
    </row>
    <row r="30891">
      <c r="A30891" s="4" t="s">
        <v>38894</v>
      </c>
      <c r="B30891" s="4" t="s">
        <v>38900</v>
      </c>
      <c r="C30891" s="5" t="str">
        <f>IFERROR(__xludf.DUMMYFUNCTION("GOOGLETRANSLATE(B30891,""en"",""zh-CN"")"),"那个女人继续干自己的头发。")</f>
        <v>那个女人继续干自己的头发。</v>
      </c>
    </row>
    <row r="30892">
      <c r="A30892" s="4" t="s">
        <v>38894</v>
      </c>
      <c r="B30892" s="4" t="s">
        <v>38901</v>
      </c>
      <c r="C30892" s="5" t="str">
        <f>IFERROR(__xludf.DUMMYFUNCTION("GOOGLETRANSLATE(B30892,""en"",""zh-CN"")"),"男人恢复吹干女人的头发。")</f>
        <v>男人恢复吹干女人的头发。</v>
      </c>
    </row>
    <row r="30893">
      <c r="A30893" s="4" t="s">
        <v>38894</v>
      </c>
      <c r="B30893" s="4" t="s">
        <v>38902</v>
      </c>
      <c r="C30893" s="5" t="str">
        <f>IFERROR(__xludf.DUMMYFUNCTION("GOOGLETRANSLATE(B30893,""en"",""zh-CN"")"),"男人用发胶喷洒了女人的头发。")</f>
        <v>男人用发胶喷洒了女人的头发。</v>
      </c>
    </row>
    <row r="30894">
      <c r="A30894" s="4" t="s">
        <v>38894</v>
      </c>
      <c r="B30894" s="4" t="s">
        <v>38903</v>
      </c>
      <c r="C30894" s="5" t="str">
        <f>IFERROR(__xludf.DUMMYFUNCTION("GOOGLETRANSLATE(B30894,""en"",""zh-CN"")"),"显示了一排护发产品。")</f>
        <v>显示了一排护发产品。</v>
      </c>
    </row>
    <row r="30895">
      <c r="A30895" s="4" t="s">
        <v>38894</v>
      </c>
      <c r="B30895" s="4" t="s">
        <v>38904</v>
      </c>
      <c r="C30895" s="5" t="str">
        <f>IFERROR(__xludf.DUMMYFUNCTION("GOOGLETRANSLATE(B30895,""en"",""zh-CN"")"),"显示了护发产品的徽标。")</f>
        <v>显示了护发产品的徽标。</v>
      </c>
    </row>
    <row r="30896">
      <c r="A30896" s="4" t="s">
        <v>38905</v>
      </c>
      <c r="B30896" s="4" t="s">
        <v>38906</v>
      </c>
      <c r="C30896" s="5" t="str">
        <f>IFERROR(__xludf.DUMMYFUNCTION("GOOGLETRANSLATE(B30896,""en"",""zh-CN"")"),"一群人在房子的后院，玩炸之狼。")</f>
        <v>一群人在房子的后院，玩炸之狼。</v>
      </c>
    </row>
    <row r="30897">
      <c r="A30897" s="4" t="s">
        <v>38905</v>
      </c>
      <c r="B30897" s="4" t="s">
        <v>38907</v>
      </c>
      <c r="C30897" s="5" t="str">
        <f>IFERROR(__xludf.DUMMYFUNCTION("GOOGLETRANSLATE(B30897,""en"",""zh-CN"")"),"一个女人用槌拿到球，然后其他人加入。")</f>
        <v>一个女人用槌拿到球，然后其他人加入。</v>
      </c>
    </row>
    <row r="30898">
      <c r="A30898" s="4" t="s">
        <v>38905</v>
      </c>
      <c r="B30898" s="6" t="s">
        <v>38908</v>
      </c>
      <c r="C30898" s="5" t="str">
        <f>IFERROR(__xludf.DUMMYFUNCTION("GOOGLETRANSLATE(B30898,""en"",""zh-CN"")"),"一个拿着槌和球的男人谈论如何玩游戏，打球并击球的过程，他解释了这一点。")</f>
        <v>一个拿着槌和球的男人谈论如何玩游戏，打球并击球的过程，他解释了这一点。</v>
      </c>
    </row>
    <row r="30899">
      <c r="A30899" s="4" t="s">
        <v>38905</v>
      </c>
      <c r="B30899" s="4" t="s">
        <v>38909</v>
      </c>
      <c r="C30899" s="5" t="str">
        <f>IFERROR(__xludf.DUMMYFUNCTION("GOOGLETRANSLATE(B30899,""en"",""zh-CN"")"),"然后，他将手臂放在他的两侧。")</f>
        <v>然后，他将手臂放在他的两侧。</v>
      </c>
    </row>
    <row r="30900">
      <c r="A30900" s="4" t="s">
        <v>38910</v>
      </c>
      <c r="B30900" s="6" t="s">
        <v>38911</v>
      </c>
      <c r="C30900" s="5" t="str">
        <f>IFERROR(__xludf.DUMMYFUNCTION("GOOGLETRANSLATE(B30900,""en"",""zh-CN"")"),"一个圆圈由几个孩子聊天和撞击泡沫槌。")</f>
        <v>一个圆圈由几个孩子聊天和撞击泡沫槌。</v>
      </c>
    </row>
    <row r="30901">
      <c r="A30901" s="4" t="s">
        <v>38910</v>
      </c>
      <c r="B30901" s="4" t="s">
        <v>38912</v>
      </c>
      <c r="C30901" s="5" t="str">
        <f>IFERROR(__xludf.DUMMYFUNCTION("GOOGLETRANSLATE(B30901,""en"",""zh-CN"")"),"其他人在看着时笑。")</f>
        <v>其他人在看着时笑。</v>
      </c>
    </row>
    <row r="30902">
      <c r="A30902" s="4" t="s">
        <v>38913</v>
      </c>
      <c r="B30902" s="4" t="s">
        <v>38914</v>
      </c>
      <c r="C30902" s="5" t="str">
        <f>IFERROR(__xludf.DUMMYFUNCTION("GOOGLETRANSLATE(B30902,""en"",""zh-CN"")"),"我们看到一条曲目，人们站在周围。")</f>
        <v>我们看到一条曲目，人们站在周围。</v>
      </c>
    </row>
    <row r="30903">
      <c r="A30903" s="4" t="s">
        <v>38913</v>
      </c>
      <c r="B30903" s="4" t="s">
        <v>38915</v>
      </c>
      <c r="C30903" s="5" t="str">
        <f>IFERROR(__xludf.DUMMYFUNCTION("GOOGLETRANSLATE(B30903,""en"",""zh-CN"")"),"我们看到一个有标枪的男人。")</f>
        <v>我们看到一个有标枪的男人。</v>
      </c>
    </row>
    <row r="30904">
      <c r="A30904" s="4" t="s">
        <v>38913</v>
      </c>
      <c r="B30904" s="4" t="s">
        <v>38916</v>
      </c>
      <c r="C30904" s="5" t="str">
        <f>IFERROR(__xludf.DUMMYFUNCTION("GOOGLETRANSLATE(B30904,""en"",""zh-CN"")"),"该男子回来了，我们看到另一个标枪和他一起投掷。")</f>
        <v>该男子回来了，我们看到另一个标枪和他一起投掷。</v>
      </c>
    </row>
    <row r="30905">
      <c r="A30905" s="4" t="s">
        <v>38913</v>
      </c>
      <c r="B30905" s="4" t="s">
        <v>38917</v>
      </c>
      <c r="C30905" s="5" t="str">
        <f>IFERROR(__xludf.DUMMYFUNCTION("GOOGLETRANSLATE(B30905,""en"",""zh-CN"")"),"一个红色和白色的男人沿着轨道奔跑并进行跳高。")</f>
        <v>一个红色和白色的男人沿着轨道奔跑并进行跳高。</v>
      </c>
    </row>
    <row r="30906">
      <c r="A30906" s="4" t="s">
        <v>38913</v>
      </c>
      <c r="B30906" s="4" t="s">
        <v>38918</v>
      </c>
      <c r="C30906" s="5" t="str">
        <f>IFERROR(__xludf.DUMMYFUNCTION("GOOGLETRANSLATE(B30906,""en"",""zh-CN"")"),"相机被降低并用手覆盖。")</f>
        <v>相机被降低并用手覆盖。</v>
      </c>
    </row>
    <row r="30907">
      <c r="A30907" s="4" t="s">
        <v>38919</v>
      </c>
      <c r="B30907" s="4" t="s">
        <v>38920</v>
      </c>
      <c r="C30907" s="5" t="str">
        <f>IFERROR(__xludf.DUMMYFUNCTION("GOOGLETRANSLATE(B30907,""en"",""zh-CN"")"),"一个男人在轨道上慢速跳动几次。")</f>
        <v>一个男人在轨道上慢速跳动几次。</v>
      </c>
    </row>
    <row r="30908">
      <c r="A30908" s="4" t="s">
        <v>38919</v>
      </c>
      <c r="B30908" s="6" t="s">
        <v>38921</v>
      </c>
      <c r="C30908" s="5" t="str">
        <f>IFERROR(__xludf.DUMMYFUNCTION("GOOGLETRANSLATE(B30908,""en"",""zh-CN"")"),"相机显示运动员跳入一条线以及在沙坑中跳入的几个不同角度。")</f>
        <v>相机显示运动员跳入一条线以及在沙坑中跳入的几个不同角度。</v>
      </c>
    </row>
    <row r="30909">
      <c r="A30909" s="4" t="s">
        <v>38919</v>
      </c>
      <c r="B30909" s="4" t="s">
        <v>38922</v>
      </c>
      <c r="C30909" s="5" t="str">
        <f>IFERROR(__xludf.DUMMYFUNCTION("GOOGLETRANSLATE(B30909,""en"",""zh-CN"")"),"他背对背表演了几次跳远，并炫耀了他的距离。")</f>
        <v>他背对背表演了几次跳远，并炫耀了他的距离。</v>
      </c>
    </row>
    <row r="30910">
      <c r="A30910" s="4" t="s">
        <v>38923</v>
      </c>
      <c r="B30910" s="4" t="s">
        <v>38924</v>
      </c>
      <c r="C30910" s="5" t="str">
        <f>IFERROR(__xludf.DUMMYFUNCTION("GOOGLETRANSLATE(B30910,""en"",""zh-CN"")"),"一个女孩正在照亮香烟，吹烟。")</f>
        <v>一个女孩正在照亮香烟，吹烟。</v>
      </c>
    </row>
    <row r="30911">
      <c r="A30911" s="4" t="s">
        <v>38923</v>
      </c>
      <c r="B30911" s="4" t="s">
        <v>38925</v>
      </c>
      <c r="C30911" s="5" t="str">
        <f>IFERROR(__xludf.DUMMYFUNCTION("GOOGLETRANSLATE(B30911,""en"",""zh-CN"")"),"一只手臂看到了，女孩闻到了。")</f>
        <v>一只手臂看到了，女孩闻到了。</v>
      </c>
    </row>
    <row r="30912">
      <c r="A30912" s="4" t="s">
        <v>38923</v>
      </c>
      <c r="B30912" s="4" t="s">
        <v>38926</v>
      </c>
      <c r="C30912" s="5" t="str">
        <f>IFERROR(__xludf.DUMMYFUNCTION("GOOGLETRANSLATE(B30912,""en"",""zh-CN"")"),"当她用头发播放时，她抽了更多的吸烟，并吹起烟雾。")</f>
        <v>当她用头发播放时，她抽了更多的吸烟，并吹起烟雾。</v>
      </c>
    </row>
    <row r="30913">
      <c r="A30913" s="4" t="s">
        <v>38923</v>
      </c>
      <c r="B30913" s="4" t="s">
        <v>38927</v>
      </c>
      <c r="C30913" s="5" t="str">
        <f>IFERROR(__xludf.DUMMYFUNCTION("GOOGLETRANSLATE(B30913,""en"",""zh-CN"")"),"她在抽烟时对相机说些什么。")</f>
        <v>她在抽烟时对相机说些什么。</v>
      </c>
    </row>
    <row r="30914">
      <c r="A30914" s="4" t="s">
        <v>38923</v>
      </c>
      <c r="B30914" s="4" t="s">
        <v>38928</v>
      </c>
      <c r="C30914" s="5" t="str">
        <f>IFERROR(__xludf.DUMMYFUNCTION("GOOGLETRANSLATE(B30914,""en"",""zh-CN"")"),"她重击灰烬，继续吸烟。")</f>
        <v>她重击灰烬，继续吸烟。</v>
      </c>
    </row>
    <row r="30915">
      <c r="A30915" s="4" t="s">
        <v>38923</v>
      </c>
      <c r="B30915" s="4" t="s">
        <v>38929</v>
      </c>
      <c r="C30915" s="5" t="str">
        <f>IFERROR(__xludf.DUMMYFUNCTION("GOOGLETRANSLATE(B30915,""en"",""zh-CN"")"),"她转过身，然后回到吸烟。")</f>
        <v>她转过身，然后回到吸烟。</v>
      </c>
    </row>
    <row r="30916">
      <c r="A30916" s="4" t="s">
        <v>38923</v>
      </c>
      <c r="B30916" s="4" t="s">
        <v>38930</v>
      </c>
      <c r="C30916" s="5" t="str">
        <f>IFERROR(__xludf.DUMMYFUNCTION("GOOGLETRANSLATE(B30916,""en"",""zh-CN"")"),"她伸出舌头。")</f>
        <v>她伸出舌头。</v>
      </c>
    </row>
    <row r="30917">
      <c r="A30917" s="4" t="s">
        <v>38923</v>
      </c>
      <c r="B30917" s="4" t="s">
        <v>38931</v>
      </c>
      <c r="C30917" s="5" t="str">
        <f>IFERROR(__xludf.DUMMYFUNCTION("GOOGLETRANSLATE(B30917,""en"",""zh-CN"")"),"她把一张疯狂的女人的照片放在一边，试图模仿它。")</f>
        <v>她把一张疯狂的女人的照片放在一边，试图模仿它。</v>
      </c>
    </row>
    <row r="30918">
      <c r="A30918" s="4" t="s">
        <v>38923</v>
      </c>
      <c r="B30918" s="4" t="s">
        <v>38932</v>
      </c>
      <c r="C30918" s="5" t="str">
        <f>IFERROR(__xludf.DUMMYFUNCTION("GOOGLETRANSLATE(B30918,""en"",""zh-CN"")"),"她继续吸烟并与镜头交谈。")</f>
        <v>她继续吸烟并与镜头交谈。</v>
      </c>
    </row>
    <row r="30919">
      <c r="A30919" s="4" t="s">
        <v>38923</v>
      </c>
      <c r="B30919" s="4" t="s">
        <v>38933</v>
      </c>
      <c r="C30919" s="5" t="str">
        <f>IFERROR(__xludf.DUMMYFUNCTION("GOOGLETRANSLATE(B30919,""en"",""zh-CN"")"),"她在相机上做面孔。")</f>
        <v>她在相机上做面孔。</v>
      </c>
    </row>
    <row r="30920">
      <c r="A30920" s="4" t="s">
        <v>38923</v>
      </c>
      <c r="B30920" s="4" t="s">
        <v>38934</v>
      </c>
      <c r="C30920" s="5" t="str">
        <f>IFERROR(__xludf.DUMMYFUNCTION("GOOGLETRANSLATE(B30920,""en"",""zh-CN"")"),"当有人走在她身后时，她靠近相机。")</f>
        <v>当有人走在她身后时，她靠近相机。</v>
      </c>
    </row>
    <row r="30921">
      <c r="A30921" s="4" t="s">
        <v>38935</v>
      </c>
      <c r="B30921" s="6" t="s">
        <v>38936</v>
      </c>
      <c r="C30921" s="5" t="str">
        <f>IFERROR(__xludf.DUMMYFUNCTION("GOOGLETRANSLATE(B30921,""en"",""zh-CN"")"),"看到一个人的手在人的头上工作，并将头发放在头上。")</f>
        <v>看到一个人的手在人的头上工作，并将头发放在头上。</v>
      </c>
    </row>
    <row r="30922">
      <c r="A30922" s="4" t="s">
        <v>38935</v>
      </c>
      <c r="B30922" s="6" t="s">
        <v>38937</v>
      </c>
      <c r="C30922" s="5" t="str">
        <f>IFERROR(__xludf.DUMMYFUNCTION("GOOGLETRANSLATE(B30922,""en"",""zh-CN"")"),"该人将头发绑成几个辫子，然后过渡到updo中的头发图片。")</f>
        <v>该人将头发绑成几个辫子，然后过渡到updo中的头发图片。</v>
      </c>
    </row>
    <row r="30923">
      <c r="A30923" s="4" t="s">
        <v>38938</v>
      </c>
      <c r="B30923" s="4" t="s">
        <v>38939</v>
      </c>
      <c r="C30923" s="5" t="str">
        <f>IFERROR(__xludf.DUMMYFUNCTION("GOOGLETRANSLATE(B30923,""en"",""zh-CN"")"),"一个女人的呼啦圈在外面，然后在黑暗中交替。")</f>
        <v>一个女人的呼啦圈在外面，然后在黑暗中交替。</v>
      </c>
    </row>
    <row r="30924">
      <c r="A30924" s="4" t="s">
        <v>38938</v>
      </c>
      <c r="B30924" s="4" t="s">
        <v>38940</v>
      </c>
      <c r="C30924" s="5" t="str">
        <f>IFERROR(__xludf.DUMMYFUNCTION("GOOGLETRANSLATE(B30924,""en"",""zh-CN"")"),"一个男人拿起呼啦圈并描述了它，然后再削减那个女人。")</f>
        <v>一个男人拿起呼啦圈并描述了它，然后再削减那个女人。</v>
      </c>
    </row>
    <row r="30925">
      <c r="A30925" s="4" t="s">
        <v>38941</v>
      </c>
      <c r="B30925" s="4" t="s">
        <v>38942</v>
      </c>
      <c r="C30925" s="5" t="str">
        <f>IFERROR(__xludf.DUMMYFUNCTION("GOOGLETRANSLATE(B30925,""en"",""zh-CN"")"),"看到一个男人在一块木头上弯曲并用它打磨。")</f>
        <v>看到一个男人在一块木头上弯曲并用它打磨。</v>
      </c>
    </row>
    <row r="30926">
      <c r="A30926" s="4" t="s">
        <v>38941</v>
      </c>
      <c r="B30926" s="4" t="s">
        <v>38943</v>
      </c>
      <c r="C30926" s="5" t="str">
        <f>IFERROR(__xludf.DUMMYFUNCTION("GOOGLETRANSLATE(B30926,""en"",""zh-CN"")"),"他将更多的液体倒在一群人面前，并沿着木头块擦拭。")</f>
        <v>他将更多的液体倒在一群人面前，并沿着木头块擦拭。</v>
      </c>
    </row>
    <row r="30927">
      <c r="A30927" s="4" t="s">
        <v>38941</v>
      </c>
      <c r="B30927" s="4" t="s">
        <v>38944</v>
      </c>
      <c r="C30927" s="5" t="str">
        <f>IFERROR(__xludf.DUMMYFUNCTION("GOOGLETRANSLATE(B30927,""en"",""zh-CN"")"),"当人们在场外观看时，他继续摩擦它。")</f>
        <v>当人们在场外观看时，他继续摩擦它。</v>
      </c>
    </row>
    <row r="30928">
      <c r="A30928" s="4" t="s">
        <v>38945</v>
      </c>
      <c r="B30928" s="4" t="s">
        <v>38946</v>
      </c>
      <c r="C30928" s="5" t="str">
        <f>IFERROR(__xludf.DUMMYFUNCTION("GOOGLETRANSLATE(B30928,""en"",""zh-CN"")"),"展示了圣诞树的特写，后面是一个小孩挂在装饰品上。")</f>
        <v>展示了圣诞树的特写，后面是一个小孩挂在装饰品上。</v>
      </c>
    </row>
    <row r="30929">
      <c r="A30929" s="4" t="s">
        <v>38945</v>
      </c>
      <c r="B30929" s="4" t="s">
        <v>38947</v>
      </c>
      <c r="C30929" s="5" t="str">
        <f>IFERROR(__xludf.DUMMYFUNCTION("GOOGLETRANSLATE(B30929,""en"",""zh-CN"")"),"女孩向后走，第四个挂在一棵树上的装饰品。")</f>
        <v>女孩向后走，第四个挂在一棵树上的装饰品。</v>
      </c>
    </row>
    <row r="30930">
      <c r="A30930" s="4" t="s">
        <v>38945</v>
      </c>
      <c r="B30930" s="4" t="s">
        <v>38948</v>
      </c>
      <c r="C30930" s="5" t="str">
        <f>IFERROR(__xludf.DUMMYFUNCTION("GOOGLETRANSLATE(B30930,""en"",""zh-CN"")"),"当相机捕捉她的动作时，女孩继续挂上装饰品。")</f>
        <v>当相机捕捉她的动作时，女孩继续挂上装饰品。</v>
      </c>
    </row>
    <row r="30931">
      <c r="A30931" s="4" t="s">
        <v>38949</v>
      </c>
      <c r="B30931" s="4" t="s">
        <v>38950</v>
      </c>
      <c r="C30931" s="5" t="str">
        <f>IFERROR(__xludf.DUMMYFUNCTION("GOOGLETRANSLATE(B30931,""en"",""zh-CN"")"),"一个男人在蒙住眼睛时剥土豆，两个小女孩看着。")</f>
        <v>一个男人在蒙住眼睛时剥土豆，两个小女孩看着。</v>
      </c>
    </row>
    <row r="30932">
      <c r="A30932" s="4" t="s">
        <v>38949</v>
      </c>
      <c r="B30932" s="4" t="s">
        <v>38951</v>
      </c>
      <c r="C30932" s="5" t="str">
        <f>IFERROR(__xludf.DUMMYFUNCTION("GOOGLETRANSLATE(B30932,""en"",""zh-CN"")"),"该男子完成并将土豆固定在相机上。")</f>
        <v>该男子完成并将土豆固定在相机上。</v>
      </c>
    </row>
    <row r="30933">
      <c r="A30933" s="4" t="s">
        <v>38949</v>
      </c>
      <c r="B30933" s="4" t="s">
        <v>38952</v>
      </c>
      <c r="C30933" s="5" t="str">
        <f>IFERROR(__xludf.DUMMYFUNCTION("GOOGLETRANSLATE(B30933,""en"",""zh-CN"")"),"该男子从桌子上摘下剥皮。")</f>
        <v>该男子从桌子上摘下剥皮。</v>
      </c>
    </row>
    <row r="30934">
      <c r="A30934" s="4" t="s">
        <v>38949</v>
      </c>
      <c r="B30934" s="4" t="s">
        <v>38953</v>
      </c>
      <c r="C30934" s="5" t="str">
        <f>IFERROR(__xludf.DUMMYFUNCTION("GOOGLETRANSLATE(B30934,""en"",""zh-CN"")"),"该男子删除了他的眼罩。")</f>
        <v>该男子删除了他的眼罩。</v>
      </c>
    </row>
    <row r="30935">
      <c r="A30935" s="4" t="s">
        <v>38954</v>
      </c>
      <c r="B30935" s="4" t="s">
        <v>38955</v>
      </c>
      <c r="C30935" s="5" t="str">
        <f>IFERROR(__xludf.DUMMYFUNCTION("GOOGLETRANSLATE(B30935,""en"",""zh-CN"")"),"视频首先是几个人在沙芬板法庭上玩洗牌板。")</f>
        <v>视频首先是几个人在沙芬板法庭上玩洗牌板。</v>
      </c>
    </row>
    <row r="30936">
      <c r="A30936" s="4" t="s">
        <v>38954</v>
      </c>
      <c r="B30936" s="4" t="s">
        <v>38956</v>
      </c>
      <c r="C30936" s="5" t="str">
        <f>IFERROR(__xludf.DUMMYFUNCTION("GOOGLETRANSLATE(B30936,""en"",""zh-CN"")"),"一个人用黑色冰球开枪。")</f>
        <v>一个人用黑色冰球开枪。</v>
      </c>
    </row>
    <row r="30937">
      <c r="A30937" s="4" t="s">
        <v>38954</v>
      </c>
      <c r="B30937" s="4" t="s">
        <v>38957</v>
      </c>
      <c r="C30937" s="5" t="str">
        <f>IFERROR(__xludf.DUMMYFUNCTION("GOOGLETRANSLATE(B30937,""en"",""zh-CN"")"),"下一个人用黄色的冰球开枪。")</f>
        <v>下一个人用黄色的冰球开枪。</v>
      </c>
    </row>
    <row r="30938">
      <c r="A30938" s="4" t="s">
        <v>38954</v>
      </c>
      <c r="B30938" s="4" t="s">
        <v>38958</v>
      </c>
      <c r="C30938" s="5" t="str">
        <f>IFERROR(__xludf.DUMMYFUNCTION("GOOGLETRANSLATE(B30938,""en"",""zh-CN"")"),"人们继续在黄色和黑色冰球之间交替拍摄。")</f>
        <v>人们继续在黄色和黑色冰球之间交替拍摄。</v>
      </c>
    </row>
    <row r="30939">
      <c r="A30939" s="4" t="s">
        <v>38959</v>
      </c>
      <c r="B30939" s="4" t="s">
        <v>38960</v>
      </c>
      <c r="C30939" s="5" t="str">
        <f>IFERROR(__xludf.DUMMYFUNCTION("GOOGLETRANSLATE(B30939,""en"",""zh-CN"")"),"一名老人坐在客厅里。")</f>
        <v>一名老人坐在客厅里。</v>
      </c>
    </row>
    <row r="30940">
      <c r="A30940" s="4" t="s">
        <v>38959</v>
      </c>
      <c r="B30940" s="4" t="s">
        <v>38961</v>
      </c>
      <c r="C30940" s="5" t="str">
        <f>IFERROR(__xludf.DUMMYFUNCTION("GOOGLETRANSLATE(B30940,""en"",""zh-CN"")"),"他在扮演一名手风琴。")</f>
        <v>他在扮演一名手风琴。</v>
      </c>
    </row>
    <row r="30941">
      <c r="A30941" s="4" t="s">
        <v>38959</v>
      </c>
      <c r="B30941" s="4" t="s">
        <v>38962</v>
      </c>
      <c r="C30941" s="5" t="str">
        <f>IFERROR(__xludf.DUMMYFUNCTION("GOOGLETRANSLATE(B30941,""en"",""zh-CN"")"),"他继续为相机演奏手风琴。")</f>
        <v>他继续为相机演奏手风琴。</v>
      </c>
    </row>
    <row r="30942">
      <c r="A30942" s="4" t="s">
        <v>38963</v>
      </c>
      <c r="B30942" s="4" t="s">
        <v>38964</v>
      </c>
      <c r="C30942" s="5" t="str">
        <f>IFERROR(__xludf.DUMMYFUNCTION("GOOGLETRANSLATE(B30942,""en"",""zh-CN"")"),"一个女人正在弹声吉他。")</f>
        <v>一个女人正在弹声吉他。</v>
      </c>
    </row>
    <row r="30943">
      <c r="A30943" s="4" t="s">
        <v>38963</v>
      </c>
      <c r="B30943" s="4" t="s">
        <v>38965</v>
      </c>
      <c r="C30943" s="5" t="str">
        <f>IFERROR(__xludf.DUMMYFUNCTION("GOOGLETRANSLATE(B30943,""en"",""zh-CN"")"),"一个站在她旁边的女人是跳舞和旋转警棍。")</f>
        <v>一个站在她旁边的女人是跳舞和旋转警棍。</v>
      </c>
    </row>
    <row r="30944">
      <c r="A30944" s="4" t="s">
        <v>38963</v>
      </c>
      <c r="B30944" s="4" t="s">
        <v>14926</v>
      </c>
      <c r="C30944" s="5" t="str">
        <f>IFERROR(__xludf.DUMMYFUNCTION("GOOGLETRANSLATE(B30944,""en"",""zh-CN"")"),"然后在屏幕上显示单词。")</f>
        <v>然后在屏幕上显示单词。</v>
      </c>
    </row>
    <row r="30945">
      <c r="A30945" s="4" t="s">
        <v>38966</v>
      </c>
      <c r="B30945" s="4" t="s">
        <v>38967</v>
      </c>
      <c r="C30945" s="5" t="str">
        <f>IFERROR(__xludf.DUMMYFUNCTION("GOOGLETRANSLATE(B30945,""en"",""zh-CN"")"),"向一个人展示了一个城市，并开始用他的工具清洗窗户。")</f>
        <v>向一个人展示了一个城市，并开始用他的工具清洗窗户。</v>
      </c>
    </row>
    <row r="30946">
      <c r="A30946" s="4" t="s">
        <v>38966</v>
      </c>
      <c r="B30946" s="6" t="s">
        <v>38968</v>
      </c>
      <c r="C30946" s="5" t="str">
        <f>IFERROR(__xludf.DUMMYFUNCTION("GOOGLETRANSLATE(B30946,""en"",""zh-CN"")"),"他以快速的速度向上上下窗户，并继续通过玻璃拍摄自己。")</f>
        <v>他以快速的速度向上上下窗户，并继续通过玻璃拍摄自己。</v>
      </c>
    </row>
    <row r="30947">
      <c r="A30947" s="4" t="s">
        <v>38966</v>
      </c>
      <c r="B30947" s="4" t="s">
        <v>38969</v>
      </c>
      <c r="C30947" s="5" t="str">
        <f>IFERROR(__xludf.DUMMYFUNCTION("GOOGLETRANSLATE(B30947,""en"",""zh-CN"")"),"他在创纪录的时间里完成了玻璃杯，并关闭了相机。")</f>
        <v>他在创纪录的时间里完成了玻璃杯，并关闭了相机。</v>
      </c>
    </row>
    <row r="30948">
      <c r="A30948" s="4" t="s">
        <v>38970</v>
      </c>
      <c r="B30948" s="4" t="s">
        <v>38971</v>
      </c>
      <c r="C30948" s="5" t="str">
        <f>IFERROR(__xludf.DUMMYFUNCTION("GOOGLETRANSLATE(B30948,""en"",""zh-CN"")"),"一个人正在向另一个人解释如何使用划船机。")</f>
        <v>一个人正在向另一个人解释如何使用划船机。</v>
      </c>
    </row>
    <row r="30949">
      <c r="A30949" s="4" t="s">
        <v>38970</v>
      </c>
      <c r="B30949" s="4" t="s">
        <v>38972</v>
      </c>
      <c r="C30949" s="5" t="str">
        <f>IFERROR(__xludf.DUMMYFUNCTION("GOOGLETRANSLATE(B30949,""en"",""zh-CN"")"),"主要的一个开始在划船机上划船。")</f>
        <v>主要的一个开始在划船机上划船。</v>
      </c>
    </row>
    <row r="30950">
      <c r="A30950" s="4" t="s">
        <v>38970</v>
      </c>
      <c r="B30950" s="4" t="s">
        <v>38973</v>
      </c>
      <c r="C30950" s="5" t="str">
        <f>IFERROR(__xludf.DUMMYFUNCTION("GOOGLETRANSLATE(B30950,""en"",""zh-CN"")"),"接下来，另一个男人加入了第一个男人并开始划船。")</f>
        <v>接下来，另一个男人加入了第一个男人并开始划船。</v>
      </c>
    </row>
    <row r="30951">
      <c r="A30951" s="4" t="s">
        <v>38974</v>
      </c>
      <c r="B30951" s="4" t="s">
        <v>38975</v>
      </c>
      <c r="C30951" s="5" t="str">
        <f>IFERROR(__xludf.DUMMYFUNCTION("GOOGLETRANSLATE(B30951,""en"",""zh-CN"")"),"一个穿着短裤的男人在一些灌木丛的前面显示，并用手动修剪器修剪它们。")</f>
        <v>一个穿着短裤的男人在一些灌木丛的前面显示，并用手动修剪器修剪它们。</v>
      </c>
    </row>
    <row r="30952">
      <c r="A30952" s="4" t="s">
        <v>38974</v>
      </c>
      <c r="B30952" s="4" t="s">
        <v>38976</v>
      </c>
      <c r="C30952" s="5" t="str">
        <f>IFERROR(__xludf.DUMMYFUNCTION("GOOGLETRANSLATE(B30952,""en"",""zh-CN"")"),"他非常精确，做得非常详细。")</f>
        <v>他非常精确，做得非常详细。</v>
      </c>
    </row>
    <row r="30953">
      <c r="A30953" s="4" t="s">
        <v>38974</v>
      </c>
      <c r="B30953" s="4" t="s">
        <v>38977</v>
      </c>
      <c r="C30953" s="5" t="str">
        <f>IFERROR(__xludf.DUMMYFUNCTION("GOOGLETRANSLATE(B30953,""en"",""zh-CN"")"),"他在灌木丛的长度上上下上下，并注意它们的每个部分。")</f>
        <v>他在灌木丛的长度上上下上下，并注意它们的每个部分。</v>
      </c>
    </row>
    <row r="30954">
      <c r="A30954" s="4" t="s">
        <v>38974</v>
      </c>
      <c r="B30954" s="4" t="s">
        <v>38978</v>
      </c>
      <c r="C30954" s="5" t="str">
        <f>IFERROR(__xludf.DUMMYFUNCTION("GOOGLETRANSLATE(B30954,""en"",""zh-CN"")"),"然后，他移动越来越高，获得了灌木丛的顶部。")</f>
        <v>然后，他移动越来越高，获得了灌木丛的顶部。</v>
      </c>
    </row>
    <row r="30955">
      <c r="A30955" s="4" t="s">
        <v>38979</v>
      </c>
      <c r="B30955" s="4" t="s">
        <v>38980</v>
      </c>
      <c r="C30955" s="5" t="str">
        <f>IFERROR(__xludf.DUMMYFUNCTION("GOOGLETRANSLATE(B30955,""en"",""zh-CN"")"),"孩子们在平方par的公园里鲍勃·斯皮纳格·皮纳塔（Bob SpongePiñata）拉线。")</f>
        <v>孩子们在平方par的公园里鲍勃·斯皮纳格·皮纳塔（Bob SpongePiñata）拉线。</v>
      </c>
    </row>
    <row r="30956">
      <c r="A30956" s="4" t="s">
        <v>38979</v>
      </c>
      <c r="B30956" s="4" t="s">
        <v>38981</v>
      </c>
      <c r="C30956" s="5" t="str">
        <f>IFERROR(__xludf.DUMMYFUNCTION("GOOGLETRANSLATE(B30956,""en"",""zh-CN"")"),"女人在操场上拿着袋子看着孩子们。")</f>
        <v>女人在操场上拿着袋子看着孩子们。</v>
      </c>
    </row>
    <row r="30957">
      <c r="A30957" s="4" t="s">
        <v>38979</v>
      </c>
      <c r="B30957" s="4" t="s">
        <v>38982</v>
      </c>
      <c r="C30957" s="5" t="str">
        <f>IFERROR(__xludf.DUMMYFUNCTION("GOOGLETRANSLATE(B30957,""en"",""zh-CN"")"),"女人拿着piñata，而孩子们继续从皮纳塔（Piñata）拉。")</f>
        <v>女人拿着piñata，而孩子们继续从皮纳塔（Piñata）拉。</v>
      </c>
    </row>
    <row r="30958">
      <c r="A30958" s="4" t="s">
        <v>38979</v>
      </c>
      <c r="B30958" s="4" t="s">
        <v>38983</v>
      </c>
      <c r="C30958" s="5" t="str">
        <f>IFERROR(__xludf.DUMMYFUNCTION("GOOGLETRANSLATE(B30958,""en"",""zh-CN"")"),"孩子拉了线，然后在地板上跪下，跪在地板上捡起糖果。")</f>
        <v>孩子拉了线，然后在地板上跪下，跪在地板上捡起糖果。</v>
      </c>
    </row>
    <row r="30959">
      <c r="A30959" s="4" t="s">
        <v>38984</v>
      </c>
      <c r="B30959" s="6" t="s">
        <v>38985</v>
      </c>
      <c r="C30959" s="5" t="str">
        <f>IFERROR(__xludf.DUMMYFUNCTION("GOOGLETRANSLATE(B30959,""en"",""zh-CN"")"),"看到几个人在彼此之间和其他人看着，彼此之间跳来跳去。")</f>
        <v>看到几个人在彼此之间和其他人看着，彼此之间跳来跳去。</v>
      </c>
    </row>
    <row r="30960">
      <c r="A30960" s="4" t="s">
        <v>38984</v>
      </c>
      <c r="B30960" s="6" t="s">
        <v>38986</v>
      </c>
      <c r="C30960" s="5" t="str">
        <f>IFERROR(__xludf.DUMMYFUNCTION("GOOGLETRANSLATE(B30960,""en"",""zh-CN"")"),"人们用跳绳和慢动作显示的镜头进行了几次跳跃和旋转的人们。")</f>
        <v>人们用跳绳和慢动作显示的镜头进行了几次跳跃和旋转的人们。</v>
      </c>
    </row>
    <row r="30961">
      <c r="A30961" s="4" t="s">
        <v>38987</v>
      </c>
      <c r="B30961" s="6" t="s">
        <v>38988</v>
      </c>
      <c r="C30961" s="5" t="str">
        <f>IFERROR(__xludf.DUMMYFUNCTION("GOOGLETRANSLATE(B30961,""en"",""zh-CN"")"),"坐在自行车上的人坐在赛道上坐在赛道上开始，并带领他完成比赛。")</f>
        <v>坐在自行车上的人坐在赛道上坐在赛道上开始，并带领他完成比赛。</v>
      </c>
    </row>
    <row r="30962">
      <c r="A30962" s="4" t="s">
        <v>38987</v>
      </c>
      <c r="B30962" s="6" t="s">
        <v>38989</v>
      </c>
      <c r="C30962" s="5" t="str">
        <f>IFERROR(__xludf.DUMMYFUNCTION("GOOGLETRANSLATE(B30962,""en"",""zh-CN"")"),"还显示了一些人一起参加比赛的人，以及那个骑行的人和其他人记录了他。")</f>
        <v>还显示了一些人一起参加比赛的人，以及那个骑行的人和其他人记录了他。</v>
      </c>
    </row>
    <row r="30963">
      <c r="A30963" s="4" t="s">
        <v>38990</v>
      </c>
      <c r="B30963" s="4" t="s">
        <v>38991</v>
      </c>
      <c r="C30963" s="5" t="str">
        <f>IFERROR(__xludf.DUMMYFUNCTION("GOOGLETRANSLATE(B30963,""en"",""zh-CN"")"),"风冲浪者冲向大浪。")</f>
        <v>风冲浪者冲向大浪。</v>
      </c>
    </row>
    <row r="30964">
      <c r="A30964" s="4" t="s">
        <v>38990</v>
      </c>
      <c r="B30964" s="4" t="s">
        <v>38992</v>
      </c>
      <c r="C30964" s="5" t="str">
        <f>IFERROR(__xludf.DUMMYFUNCTION("GOOGLETRANSLATE(B30964,""en"",""zh-CN"")"),"冲浪者将木板飞向一波，高高地飞向空中。")</f>
        <v>冲浪者将木板飞向一波，高高地飞向空中。</v>
      </c>
    </row>
    <row r="30965">
      <c r="A30965" s="4" t="s">
        <v>38990</v>
      </c>
      <c r="B30965" s="4" t="s">
        <v>38993</v>
      </c>
      <c r="C30965" s="5" t="str">
        <f>IFERROR(__xludf.DUMMYFUNCTION("GOOGLETRANSLATE(B30965,""en"",""zh-CN"")"),"冲浪者降落在水面上，恢复他的冲浪。")</f>
        <v>冲浪者降落在水面上，恢复他的冲浪。</v>
      </c>
    </row>
    <row r="30966">
      <c r="A30966" s="4" t="s">
        <v>38994</v>
      </c>
      <c r="B30966" s="4" t="s">
        <v>38995</v>
      </c>
      <c r="C30966" s="5" t="str">
        <f>IFERROR(__xludf.DUMMYFUNCTION("GOOGLETRANSLATE(B30966,""en"",""zh-CN"")"),"一个女人在镜子墙前进行跆拳道。")</f>
        <v>一个女人在镜子墙前进行跆拳道。</v>
      </c>
    </row>
    <row r="30967">
      <c r="A30967" s="4" t="s">
        <v>38994</v>
      </c>
      <c r="B30967" s="4" t="s">
        <v>38996</v>
      </c>
      <c r="C30967" s="5" t="str">
        <f>IFERROR(__xludf.DUMMYFUNCTION("GOOGLETRANSLATE(B30967,""en"",""zh-CN"")"),"她将双腿高高地踢向空中。")</f>
        <v>她将双腿高高地踢向空中。</v>
      </c>
    </row>
    <row r="30968">
      <c r="A30968" s="4" t="s">
        <v>38994</v>
      </c>
      <c r="B30968" s="4" t="s">
        <v>38997</v>
      </c>
      <c r="C30968" s="5" t="str">
        <f>IFERROR(__xludf.DUMMYFUNCTION("GOOGLETRANSLATE(B30968,""en"",""zh-CN"")"),"她用拳交了踢。")</f>
        <v>她用拳交了踢。</v>
      </c>
    </row>
    <row r="30969">
      <c r="A30969" s="4" t="s">
        <v>38998</v>
      </c>
      <c r="B30969" s="4" t="s">
        <v>38999</v>
      </c>
      <c r="C30969" s="5" t="str">
        <f>IFERROR(__xludf.DUMMYFUNCTION("GOOGLETRANSLATE(B30969,""en"",""zh-CN"")"),"一个男人在外面有一个大金属盒。")</f>
        <v>一个男人在外面有一个大金属盒。</v>
      </c>
    </row>
    <row r="30970">
      <c r="A30970" s="4" t="s">
        <v>38998</v>
      </c>
      <c r="B30970" s="4" t="s">
        <v>39000</v>
      </c>
      <c r="C30970" s="5" t="str">
        <f>IFERROR(__xludf.DUMMYFUNCTION("GOOGLETRANSLATE(B30970,""en"",""zh-CN"")"),"另一个人正在建筑物内部打磨墙壁和天花板。")</f>
        <v>另一个人正在建筑物内部打磨墙壁和天花板。</v>
      </c>
    </row>
    <row r="30971">
      <c r="A30971" s="4" t="s">
        <v>38998</v>
      </c>
      <c r="B30971" s="4" t="s">
        <v>39001</v>
      </c>
      <c r="C30971" s="5" t="str">
        <f>IFERROR(__xludf.DUMMYFUNCTION("GOOGLETRANSLATE(B30971,""en"",""zh-CN"")"),"然后他们打磨地板。")</f>
        <v>然后他们打磨地板。</v>
      </c>
    </row>
    <row r="30972">
      <c r="A30972" s="4" t="s">
        <v>39002</v>
      </c>
      <c r="B30972" s="4" t="s">
        <v>39003</v>
      </c>
      <c r="C30972" s="5" t="str">
        <f>IFERROR(__xludf.DUMMYFUNCTION("GOOGLETRANSLATE(B30972,""en"",""zh-CN"")"),"板球运动员击中了一个球。")</f>
        <v>板球运动员击中了一个球。</v>
      </c>
    </row>
    <row r="30973">
      <c r="A30973" s="4" t="s">
        <v>39002</v>
      </c>
      <c r="B30973" s="4" t="s">
        <v>39004</v>
      </c>
      <c r="C30973" s="5" t="str">
        <f>IFERROR(__xludf.DUMMYFUNCTION("GOOGLETRANSLATE(B30973,""en"",""zh-CN"")"),"球员在外场进行潜水捕获。")</f>
        <v>球员在外场进行潜水捕获。</v>
      </c>
    </row>
    <row r="30974">
      <c r="A30974" s="4" t="s">
        <v>39002</v>
      </c>
      <c r="B30974" s="4" t="s">
        <v>39005</v>
      </c>
      <c r="C30974" s="5" t="str">
        <f>IFERROR(__xludf.DUMMYFUNCTION("GOOGLETRANSLATE(B30974,""en"",""zh-CN"")"),"玩家微笑，是一项很好的运动。")</f>
        <v>玩家微笑，是一项很好的运动。</v>
      </c>
    </row>
    <row r="30975">
      <c r="A30975" s="4" t="s">
        <v>39006</v>
      </c>
      <c r="B30975" s="6" t="s">
        <v>39007</v>
      </c>
      <c r="C30975" s="5" t="str">
        <f>IFERROR(__xludf.DUMMYFUNCTION("GOOGLETRANSLATE(B30975,""en"",""zh-CN"")"),"看到一名年轻人在小巷中间用水喷洒狗，而狗则从水中移开。")</f>
        <v>看到一名年轻人在小巷中间用水喷洒狗，而狗则从水中移开。</v>
      </c>
    </row>
    <row r="30976">
      <c r="A30976" s="4" t="s">
        <v>39006</v>
      </c>
      <c r="B30976" s="4" t="s">
        <v>39008</v>
      </c>
      <c r="C30976" s="5" t="str">
        <f>IFERROR(__xludf.DUMMYFUNCTION("GOOGLETRANSLATE(B30976,""en"",""zh-CN"")"),"该人继续用软管喷洒狗，站立等待狗。")</f>
        <v>该人继续用软管喷洒狗，站立等待狗。</v>
      </c>
    </row>
    <row r="30977">
      <c r="A30977" s="4" t="s">
        <v>39009</v>
      </c>
      <c r="B30977" s="4" t="s">
        <v>39010</v>
      </c>
      <c r="C30977" s="5" t="str">
        <f>IFERROR(__xludf.DUMMYFUNCTION("GOOGLETRANSLATE(B30977,""en"",""zh-CN"")"),"两人在比赛中摔跤。")</f>
        <v>两人在比赛中摔跤。</v>
      </c>
    </row>
    <row r="30978">
      <c r="A30978" s="4" t="s">
        <v>39009</v>
      </c>
      <c r="B30978" s="4" t="s">
        <v>39011</v>
      </c>
      <c r="C30978" s="5" t="str">
        <f>IFERROR(__xludf.DUMMYFUNCTION("GOOGLETRANSLATE(B30978,""en"",""zh-CN"")"),"失败者的手臂受伤。")</f>
        <v>失败者的手臂受伤。</v>
      </c>
    </row>
    <row r="30979">
      <c r="A30979" s="4" t="s">
        <v>39012</v>
      </c>
      <c r="B30979" s="4" t="s">
        <v>39013</v>
      </c>
      <c r="C30979" s="5" t="str">
        <f>IFERROR(__xludf.DUMMYFUNCTION("GOOGLETRANSLATE(B30979,""en"",""zh-CN"")"),"看到一群人在滑雪板和滑雪车上上下雪山。")</f>
        <v>看到一群人在滑雪板和滑雪车上上下雪山。</v>
      </c>
    </row>
    <row r="30980">
      <c r="A30980" s="4" t="s">
        <v>39012</v>
      </c>
      <c r="B30980" s="4" t="s">
        <v>39014</v>
      </c>
      <c r="C30980" s="5" t="str">
        <f>IFERROR(__xludf.DUMMYFUNCTION("GOOGLETRANSLATE(B30980,""en"",""zh-CN"")"),"然后可以看到雪山，前面有一座桥。")</f>
        <v>然后可以看到雪山，前面有一座桥。</v>
      </c>
    </row>
    <row r="30981">
      <c r="A30981" s="4" t="s">
        <v>39015</v>
      </c>
      <c r="B30981" s="4" t="s">
        <v>39016</v>
      </c>
      <c r="C30981" s="5" t="str">
        <f>IFERROR(__xludf.DUMMYFUNCTION("GOOGLETRANSLATE(B30981,""en"",""zh-CN"")"),"看到一个男人在与镜头说话时跪在汽车旁边。")</f>
        <v>看到一个男人在与镜头说话时跪在汽车旁边。</v>
      </c>
    </row>
    <row r="30982">
      <c r="A30982" s="4" t="s">
        <v>39015</v>
      </c>
      <c r="B30982" s="6" t="s">
        <v>39017</v>
      </c>
      <c r="C30982" s="5" t="str">
        <f>IFERROR(__xludf.DUMMYFUNCTION("GOOGLETRANSLATE(B30982,""en"",""zh-CN"")"),"当男人继续与镜头说话时，相机在汽车周围以及轮胎周围竖起。")</f>
        <v>当男人继续与镜头说话时，相机在汽车周围以及轮胎周围竖起。</v>
      </c>
    </row>
    <row r="30983">
      <c r="A30983" s="4" t="s">
        <v>39018</v>
      </c>
      <c r="B30983" s="6" t="s">
        <v>39019</v>
      </c>
      <c r="C30983" s="5" t="str">
        <f>IFERROR(__xludf.DUMMYFUNCTION("GOOGLETRANSLATE(B30983,""en"",""zh-CN"")"),"一个男人在海滩排球比赛中输给球，然后他在前面的球场上跑步，当人们在海滩上观看比赛时。")</f>
        <v>一个男人在海滩排球比赛中输给球，然后他在前面的球场上跑步，当人们在海滩上观看比赛时。</v>
      </c>
    </row>
    <row r="30984">
      <c r="A30984" s="4" t="s">
        <v>39018</v>
      </c>
      <c r="B30984" s="4" t="s">
        <v>39020</v>
      </c>
      <c r="C30984" s="5" t="str">
        <f>IFERROR(__xludf.DUMMYFUNCTION("GOOGLETRANSLATE(B30984,""en"",""zh-CN"")"),"在人们在海滩上观看比赛时，A送给球并打球。")</f>
        <v>在人们在海滩上观看比赛时，A送给球并打球。</v>
      </c>
    </row>
    <row r="30985">
      <c r="A30985" s="4" t="s">
        <v>39021</v>
      </c>
      <c r="B30985" s="4" t="s">
        <v>39022</v>
      </c>
      <c r="C30985" s="5" t="str">
        <f>IFERROR(__xludf.DUMMYFUNCTION("GOOGLETRANSLATE(B30985,""en"",""zh-CN"")"),"一对法式门在房子上显示。")</f>
        <v>一对法式门在房子上显示。</v>
      </c>
    </row>
    <row r="30986">
      <c r="A30986" s="4" t="s">
        <v>39021</v>
      </c>
      <c r="B30986" s="4" t="s">
        <v>39023</v>
      </c>
      <c r="C30986" s="5" t="str">
        <f>IFERROR(__xludf.DUMMYFUNCTION("GOOGLETRANSLATE(B30986,""en"",""zh-CN"")"),"一个人演示了如何清洁门窗上的玻璃。")</f>
        <v>一个人演示了如何清洁门窗上的玻璃。</v>
      </c>
    </row>
    <row r="30987">
      <c r="A30987" s="4" t="s">
        <v>39021</v>
      </c>
      <c r="B30987" s="4" t="s">
        <v>39024</v>
      </c>
      <c r="C30987" s="5" t="str">
        <f>IFERROR(__xludf.DUMMYFUNCTION("GOOGLETRANSLATE(B30987,""en"",""zh-CN"")"),"他用布擦洗它们，擦干它们。")</f>
        <v>他用布擦洗它们，擦干它们。</v>
      </c>
    </row>
    <row r="30988">
      <c r="A30988" s="4" t="s">
        <v>39021</v>
      </c>
      <c r="B30988" s="4" t="s">
        <v>39025</v>
      </c>
      <c r="C30988" s="5" t="str">
        <f>IFERROR(__xludf.DUMMYFUNCTION("GOOGLETRANSLATE(B30988,""en"",""zh-CN"")"),"他继续走一扇门，清洁每个窗户。")</f>
        <v>他继续走一扇门，清洁每个窗户。</v>
      </c>
    </row>
    <row r="30989">
      <c r="A30989" s="4" t="s">
        <v>39026</v>
      </c>
      <c r="B30989" s="4" t="s">
        <v>39027</v>
      </c>
      <c r="C30989" s="5" t="str">
        <f>IFERROR(__xludf.DUMMYFUNCTION("GOOGLETRANSLATE(B30989,""en"",""zh-CN"")"),"一个女人正在割草，来回推动割草机。")</f>
        <v>一个女人正在割草，来回推动割草机。</v>
      </c>
    </row>
    <row r="30990">
      <c r="A30990" s="4" t="s">
        <v>39026</v>
      </c>
      <c r="B30990" s="4" t="s">
        <v>39028</v>
      </c>
      <c r="C30990" s="5" t="str">
        <f>IFERROR(__xludf.DUMMYFUNCTION("GOOGLETRANSLATE(B30990,""en"",""zh-CN"")"),"在视频结束之前，她覆盖了一半的草坪和车道。")</f>
        <v>在视频结束之前，她覆盖了一半的草坪和车道。</v>
      </c>
    </row>
    <row r="30991">
      <c r="A30991" s="4" t="s">
        <v>39029</v>
      </c>
      <c r="B30991" s="4" t="s">
        <v>39030</v>
      </c>
      <c r="C30991" s="5" t="str">
        <f>IFERROR(__xludf.DUMMYFUNCTION("GOOGLETRANSLATE(B30991,""en"",""zh-CN"")"),"一群人在沙区踢足球。")</f>
        <v>一群人在沙区踢足球。</v>
      </c>
    </row>
    <row r="30992">
      <c r="A30992" s="4" t="s">
        <v>39029</v>
      </c>
      <c r="B30992" s="4" t="s">
        <v>39031</v>
      </c>
      <c r="C30992" s="5" t="str">
        <f>IFERROR(__xludf.DUMMYFUNCTION("GOOGLETRANSLATE(B30992,""en"",""zh-CN"")"),"一群人看着看台。")</f>
        <v>一群人看着看台。</v>
      </c>
    </row>
    <row r="30993">
      <c r="A30993" s="4" t="s">
        <v>39029</v>
      </c>
      <c r="B30993" s="4" t="s">
        <v>39032</v>
      </c>
      <c r="C30993" s="5" t="str">
        <f>IFERROR(__xludf.DUMMYFUNCTION("GOOGLETRANSLATE(B30993,""en"",""zh-CN"")"),"守门员试图阻挡球并进行拆分，但错过了球。")</f>
        <v>守门员试图阻挡球并进行拆分，但错过了球。</v>
      </c>
    </row>
    <row r="30994">
      <c r="A30994" s="4" t="s">
        <v>39033</v>
      </c>
      <c r="B30994" s="4" t="s">
        <v>39034</v>
      </c>
      <c r="C30994" s="5" t="str">
        <f>IFERROR(__xludf.DUMMYFUNCTION("GOOGLETRANSLATE(B30994,""en"",""zh-CN"")"),"两个人进入壁球室。")</f>
        <v>两个人进入壁球室。</v>
      </c>
    </row>
    <row r="30995">
      <c r="A30995" s="4" t="s">
        <v>39033</v>
      </c>
      <c r="B30995" s="4" t="s">
        <v>39035</v>
      </c>
      <c r="C30995" s="5" t="str">
        <f>IFERROR(__xludf.DUMMYFUNCTION("GOOGLETRANSLATE(B30995,""en"",""zh-CN"")"),"这两个男人开始打壁球，在房间里跑来跑去，试图击球。")</f>
        <v>这两个男人开始打壁球，在房间里跑来跑去，试图击球。</v>
      </c>
    </row>
    <row r="30996">
      <c r="A30996" s="4" t="s">
        <v>39033</v>
      </c>
      <c r="B30996" s="4" t="s">
        <v>39036</v>
      </c>
      <c r="C30996" s="5" t="str">
        <f>IFERROR(__xludf.DUMMYFUNCTION("GOOGLETRANSLATE(B30996,""en"",""zh-CN"")"),"一个人溜走了房间，看着相机。")</f>
        <v>一个人溜走了房间，看着相机。</v>
      </c>
    </row>
    <row r="30997">
      <c r="A30997" s="4" t="s">
        <v>39037</v>
      </c>
      <c r="B30997" s="4" t="s">
        <v>39038</v>
      </c>
      <c r="C30997" s="5" t="str">
        <f>IFERROR(__xludf.DUMMYFUNCTION("GOOGLETRANSLATE(B30997,""en"",""zh-CN"")"),"女人站在厨房里，正在吃一个装满奶油的蛋糕。")</f>
        <v>女人站在厨房里，正在吃一个装满奶油的蛋糕。</v>
      </c>
    </row>
    <row r="30998">
      <c r="A30998" s="4" t="s">
        <v>39037</v>
      </c>
      <c r="B30998" s="4" t="s">
        <v>39039</v>
      </c>
      <c r="C30998" s="5" t="str">
        <f>IFERROR(__xludf.DUMMYFUNCTION("GOOGLETRANSLATE(B30998,""en"",""zh-CN"")"),"蛋糕在柜台上的锅里，女人在厨房里的镜头说话。")</f>
        <v>蛋糕在柜台上的锅里，女人在厨房里的镜头说话。</v>
      </c>
    </row>
    <row r="30999">
      <c r="A30999" s="4" t="s">
        <v>39037</v>
      </c>
      <c r="B30999" s="4" t="s">
        <v>39040</v>
      </c>
      <c r="C30999" s="5" t="str">
        <f>IFERROR(__xludf.DUMMYFUNCTION("GOOGLETRANSLATE(B30999,""en"",""zh-CN"")"),"蛋糕混合物用混合器拍打，女人不断说话和混合蛋糕。")</f>
        <v>蛋糕混合物用混合器拍打，女人不断说话和混合蛋糕。</v>
      </c>
    </row>
    <row r="31000">
      <c r="A31000" s="4" t="s">
        <v>39037</v>
      </c>
      <c r="B31000" s="4" t="s">
        <v>39041</v>
      </c>
      <c r="C31000" s="5" t="str">
        <f>IFERROR(__xludf.DUMMYFUNCTION("GOOGLETRANSLATE(B31000,""en"",""zh-CN"")"),"油在锅中。")</f>
        <v>油在锅中。</v>
      </c>
    </row>
    <row r="31001">
      <c r="A31001" s="4" t="s">
        <v>39037</v>
      </c>
      <c r="B31001" s="4" t="s">
        <v>39042</v>
      </c>
      <c r="C31001" s="5" t="str">
        <f>IFERROR(__xludf.DUMMYFUNCTION("GOOGLETRANSLATE(B31001,""en"",""zh-CN"")"),"女人拿着一个装满沙子的绿锅，将其放在压力锅上。")</f>
        <v>女人拿着一个装满沙子的绿锅，将其放在压力锅上。</v>
      </c>
    </row>
    <row r="31002">
      <c r="A31002" s="4" t="s">
        <v>39037</v>
      </c>
      <c r="B31002" s="4" t="s">
        <v>39043</v>
      </c>
      <c r="C31002" s="5" t="str">
        <f>IFERROR(__xludf.DUMMYFUNCTION("GOOGLETRANSLATE(B31002,""en"",""zh-CN"")"),"将搅拌机放在油罐上。")</f>
        <v>将搅拌机放在油罐上。</v>
      </c>
    </row>
    <row r="31003">
      <c r="A31003" s="4" t="s">
        <v>39037</v>
      </c>
      <c r="B31003" s="6" t="s">
        <v>39044</v>
      </c>
      <c r="C31003" s="5" t="str">
        <f>IFERROR(__xludf.DUMMYFUNCTION("GOOGLETRANSLATE(B31003,""en"",""zh-CN"")"),"挤压混合物是打开的，然后在女人继续在厨房里说话的时候关闭，在IME打开锅后，蛋糕准备就绪。")</f>
        <v>挤压混合物是打开的，然后在女人继续在厨房里说话的时候关闭，在IME打开锅后，蛋糕准备就绪。</v>
      </c>
    </row>
    <row r="31004">
      <c r="A31004" s="4" t="s">
        <v>39037</v>
      </c>
      <c r="B31004" s="4" t="s">
        <v>39045</v>
      </c>
      <c r="C31004" s="5" t="str">
        <f>IFERROR(__xludf.DUMMYFUNCTION("GOOGLETRANSLATE(B31004,""en"",""zh-CN"")"),"显示了装饰的蛋糕，并沿压力锅蛋糕。")</f>
        <v>显示了装饰的蛋糕，并沿压力锅蛋糕。</v>
      </c>
    </row>
    <row r="31005">
      <c r="A31005" s="4" t="s">
        <v>39046</v>
      </c>
      <c r="B31005" s="4" t="s">
        <v>39047</v>
      </c>
      <c r="C31005" s="5" t="str">
        <f>IFERROR(__xludf.DUMMYFUNCTION("GOOGLETRANSLATE(B31005,""en"",""zh-CN"")"),"黑白视频显示了两个人在卧室里弹吉他。")</f>
        <v>黑白视频显示了两个人在卧室里弹吉他。</v>
      </c>
    </row>
    <row r="31006">
      <c r="A31006" s="4" t="s">
        <v>39046</v>
      </c>
      <c r="B31006" s="4" t="s">
        <v>39048</v>
      </c>
      <c r="C31006" s="5" t="str">
        <f>IFERROR(__xludf.DUMMYFUNCTION("GOOGLETRANSLATE(B31006,""en"",""zh-CN"")"),"他们在整个视频中继续进行，在演奏时摇晃。")</f>
        <v>他们在整个视频中继续进行，在演奏时摇晃。</v>
      </c>
    </row>
    <row r="31007">
      <c r="A31007" s="4" t="s">
        <v>39049</v>
      </c>
      <c r="B31007" s="4" t="s">
        <v>39050</v>
      </c>
      <c r="C31007" s="5" t="str">
        <f>IFERROR(__xludf.DUMMYFUNCTION("GOOGLETRANSLATE(B31007,""en"",""zh-CN"")"),"一群跑步者沿着一条土路走。")</f>
        <v>一群跑步者沿着一条土路走。</v>
      </c>
    </row>
    <row r="31008">
      <c r="A31008" s="4" t="s">
        <v>39049</v>
      </c>
      <c r="B31008" s="4" t="s">
        <v>39051</v>
      </c>
      <c r="C31008" s="5" t="str">
        <f>IFERROR(__xludf.DUMMYFUNCTION("GOOGLETRANSLATE(B31008,""en"",""zh-CN"")"),"他们开始跑步，随着汽车的使用。")</f>
        <v>他们开始跑步，随着汽车的使用。</v>
      </c>
    </row>
    <row r="31009">
      <c r="A31009" s="4" t="s">
        <v>39049</v>
      </c>
      <c r="B31009" s="4" t="s">
        <v>39052</v>
      </c>
      <c r="C31009" s="5" t="str">
        <f>IFERROR(__xludf.DUMMYFUNCTION("GOOGLETRANSLATE(B31009,""en"",""zh-CN"")"),"他们继续一起奔跑。")</f>
        <v>他们继续一起奔跑。</v>
      </c>
    </row>
    <row r="31010">
      <c r="A31010" s="4" t="s">
        <v>39053</v>
      </c>
      <c r="B31010" s="4" t="s">
        <v>39054</v>
      </c>
      <c r="C31010" s="5" t="str">
        <f>IFERROR(__xludf.DUMMYFUNCTION("GOOGLETRANSLATE(B31010,""en"",""zh-CN"")"),"显示球的特写镜头，后面是一个人在几个位置击中球。")</f>
        <v>显示球的特写镜头，后面是一个人在几个位置击中球。</v>
      </c>
    </row>
    <row r="31011">
      <c r="A31011" s="4" t="s">
        <v>39053</v>
      </c>
      <c r="B31011" s="6" t="s">
        <v>39055</v>
      </c>
      <c r="C31011" s="5" t="str">
        <f>IFERROR(__xludf.DUMMYFUNCTION("GOOGLETRANSLATE(B31011,""en"",""zh-CN"")"),"该男子继续演示如何以各种角度击球以及跪在地面上射击。")</f>
        <v>该男子继续演示如何以各种角度击球以及跪在地面上射击。</v>
      </c>
    </row>
    <row r="31012">
      <c r="A31012" s="4" t="s">
        <v>39056</v>
      </c>
      <c r="B31012" s="4" t="s">
        <v>39057</v>
      </c>
      <c r="C31012" s="5" t="str">
        <f>IFERROR(__xludf.DUMMYFUNCTION("GOOGLETRANSLATE(B31012,""en"",""zh-CN"")"),"有一个女孩在医院电梯中扮演口琴的棕色头发。")</f>
        <v>有一个女孩在医院电梯中扮演口琴的棕色头发。</v>
      </c>
    </row>
    <row r="31013">
      <c r="A31013" s="4" t="s">
        <v>39056</v>
      </c>
      <c r="B31013" s="4" t="s">
        <v>39058</v>
      </c>
      <c r="C31013" s="5" t="str">
        <f>IFERROR(__xludf.DUMMYFUNCTION("GOOGLETRANSLATE(B31013,""en"",""zh-CN"")"),"电梯门打开，几个人进入电梯。")</f>
        <v>电梯门打开，几个人进入电梯。</v>
      </c>
    </row>
    <row r="31014">
      <c r="A31014" s="4" t="s">
        <v>39056</v>
      </c>
      <c r="B31014" s="4" t="s">
        <v>39059</v>
      </c>
      <c r="C31014" s="5" t="str">
        <f>IFERROR(__xludf.DUMMYFUNCTION("GOOGLETRANSLATE(B31014,""en"",""zh-CN"")"),"她继续扮演口琴。")</f>
        <v>她继续扮演口琴。</v>
      </c>
    </row>
    <row r="31015">
      <c r="A31015" s="4" t="s">
        <v>39056</v>
      </c>
      <c r="B31015" s="4" t="s">
        <v>39060</v>
      </c>
      <c r="C31015" s="5" t="str">
        <f>IFERROR(__xludf.DUMMYFUNCTION("GOOGLETRANSLATE(B31015,""en"",""zh-CN"")"),"有一个小男孩和他的母亲在扮演时对那位女士微笑。")</f>
        <v>有一个小男孩和他的母亲在扮演时对那位女士微笑。</v>
      </c>
    </row>
    <row r="31016">
      <c r="A31016" s="4" t="s">
        <v>39056</v>
      </c>
      <c r="B31016" s="4" t="s">
        <v>39061</v>
      </c>
      <c r="C31016" s="5" t="str">
        <f>IFERROR(__xludf.DUMMYFUNCTION("GOOGLETRANSLATE(B31016,""en"",""zh-CN"")"),"然后，当他们达到水平时，他们下车。")</f>
        <v>然后，当他们达到水平时，他们下车。</v>
      </c>
    </row>
    <row r="31017">
      <c r="A31017" s="4" t="s">
        <v>39056</v>
      </c>
      <c r="B31017" s="6" t="s">
        <v>39062</v>
      </c>
      <c r="C31017" s="5" t="str">
        <f>IFERROR(__xludf.DUMMYFUNCTION("GOOGLETRANSLATE(B31017,""en"",""zh-CN"")"),"随着电梯的移动进一步移动并停在其他层面，女士继续演奏口琴，更多的人走进来。")</f>
        <v>随着电梯的移动进一步移动并停在其他层面，女士继续演奏口琴，更多的人走进来。</v>
      </c>
    </row>
    <row r="31018">
      <c r="A31018" s="4" t="s">
        <v>39056</v>
      </c>
      <c r="B31018" s="4" t="s">
        <v>39063</v>
      </c>
      <c r="C31018" s="5" t="str">
        <f>IFERROR(__xludf.DUMMYFUNCTION("GOOGLETRANSLATE(B31018,""en"",""zh-CN"")"),"人们继续上下电梯，但她继续扮演口琴。")</f>
        <v>人们继续上下电梯，但她继续扮演口琴。</v>
      </c>
    </row>
    <row r="31019">
      <c r="A31019" s="4" t="s">
        <v>39056</v>
      </c>
      <c r="B31019" s="4" t="s">
        <v>39064</v>
      </c>
      <c r="C31019" s="5" t="str">
        <f>IFERROR(__xludf.DUMMYFUNCTION("GOOGLETRANSLATE(B31019,""en"",""zh-CN"")"),"一个人和其他人一起在担架上和其他人一起进入电梯。")</f>
        <v>一个人和其他人一起在担架上和其他人一起进入电梯。</v>
      </c>
    </row>
    <row r="31020">
      <c r="A31020" s="4" t="s">
        <v>39056</v>
      </c>
      <c r="B31020" s="4" t="s">
        <v>39065</v>
      </c>
      <c r="C31020" s="5" t="str">
        <f>IFERROR(__xludf.DUMMYFUNCTION("GOOGLETRANSLATE(B31020,""en"",""zh-CN"")"),"他们对她微笑，称赞她。")</f>
        <v>他们对她微笑，称赞她。</v>
      </c>
    </row>
    <row r="31021">
      <c r="A31021" s="4" t="s">
        <v>39056</v>
      </c>
      <c r="B31021" s="4" t="s">
        <v>39066</v>
      </c>
      <c r="C31021" s="5" t="str">
        <f>IFERROR(__xludf.DUMMYFUNCTION("GOOGLETRANSLATE(B31021,""en"",""zh-CN"")"),"当他们在医院达到所需水平时，他们下车。")</f>
        <v>当他们在医院达到所需水平时，他们下车。</v>
      </c>
    </row>
    <row r="31022">
      <c r="A31022" s="4" t="s">
        <v>39067</v>
      </c>
      <c r="B31022" s="4" t="s">
        <v>39068</v>
      </c>
      <c r="C31022" s="5" t="str">
        <f>IFERROR(__xludf.DUMMYFUNCTION("GOOGLETRANSLATE(B31022,""en"",""zh-CN"")"),"一个蹒跚学步的人在水槽里洗手。")</f>
        <v>一个蹒跚学步的人在水槽里洗手。</v>
      </c>
    </row>
    <row r="31023">
      <c r="A31023" s="4" t="s">
        <v>39067</v>
      </c>
      <c r="B31023" s="4" t="s">
        <v>39069</v>
      </c>
      <c r="C31023" s="5" t="str">
        <f>IFERROR(__xludf.DUMMYFUNCTION("GOOGLETRANSLATE(B31023,""en"",""zh-CN"")"),"然后，小孩在他的脸上喷水并微笑。")</f>
        <v>然后，小孩在他的脸上喷水并微笑。</v>
      </c>
    </row>
    <row r="31024">
      <c r="A31024" s="4" t="s">
        <v>39067</v>
      </c>
      <c r="B31024" s="4" t="s">
        <v>39070</v>
      </c>
      <c r="C31024" s="5" t="str">
        <f>IFERROR(__xludf.DUMMYFUNCTION("GOOGLETRANSLATE(B31024,""en"",""zh-CN"")"),"幼儿把水放在他的脸上，然后移动他的头。")</f>
        <v>幼儿把水放在他的脸上，然后移动他的头。</v>
      </c>
    </row>
    <row r="31025">
      <c r="A31025" s="4" t="s">
        <v>39071</v>
      </c>
      <c r="B31025" s="4" t="s">
        <v>39072</v>
      </c>
      <c r="C31025" s="5" t="str">
        <f>IFERROR(__xludf.DUMMYFUNCTION("GOOGLETRANSLATE(B31025,""en"",""zh-CN"")"),"看到两个人互相摔跤，而一个人则握住他们的手。")</f>
        <v>看到两个人互相摔跤，而一个人则握住他们的手。</v>
      </c>
    </row>
    <row r="31026">
      <c r="A31026" s="4" t="s">
        <v>39071</v>
      </c>
      <c r="B31026" s="4" t="s">
        <v>39073</v>
      </c>
      <c r="C31026" s="5" t="str">
        <f>IFERROR(__xludf.DUMMYFUNCTION("GOOGLETRANSLATE(B31026,""en"",""zh-CN"")"),"然后，这些人继续用一个猛击另一只手。")</f>
        <v>然后，这些人继续用一个猛击另一只手。</v>
      </c>
    </row>
    <row r="31027">
      <c r="A31027" s="4" t="s">
        <v>39074</v>
      </c>
      <c r="B31027" s="6" t="s">
        <v>39075</v>
      </c>
      <c r="C31027" s="5" t="str">
        <f>IFERROR(__xludf.DUMMYFUNCTION("GOOGLETRANSLATE(B31027,""en"",""zh-CN"")"),"看到一群人挤在一起，并在一个人的帮助下陷入了一群人沿着河边骑行。")</f>
        <v>看到一群人挤在一起，并在一个人的帮助下陷入了一群人沿着河边骑行。</v>
      </c>
    </row>
    <row r="31028">
      <c r="A31028" s="4" t="s">
        <v>39074</v>
      </c>
      <c r="B31028" s="6" t="s">
        <v>39076</v>
      </c>
      <c r="C31028" s="5" t="str">
        <f>IFERROR(__xludf.DUMMYFUNCTION("GOOGLETRANSLATE(B31028,""en"",""zh-CN"")"),"骑行不断地沿着河流撞到岩石，并导致他们走出一侧。")</f>
        <v>骑行不断地沿着河流撞到岩石，并导致他们走出一侧。</v>
      </c>
    </row>
    <row r="31029">
      <c r="A31029" s="4" t="s">
        <v>39074</v>
      </c>
      <c r="B31029" s="4" t="s">
        <v>39077</v>
      </c>
      <c r="C31029" s="5" t="str">
        <f>IFERROR(__xludf.DUMMYFUNCTION("GOOGLETRANSLATE(B31029,""en"",""zh-CN"")"),"最后，在最后显示了它们的图片。")</f>
        <v>最后，在最后显示了它们的图片。</v>
      </c>
    </row>
    <row r="31030">
      <c r="A31030" s="4" t="s">
        <v>39078</v>
      </c>
      <c r="B31030" s="6" t="s">
        <v>39079</v>
      </c>
      <c r="C31030" s="5" t="str">
        <f>IFERROR(__xludf.DUMMYFUNCTION("GOOGLETRANSLATE(B31030,""en"",""zh-CN"")"),"看到一名老妇坐在椅子上，拿着两个针头，伸进她的编织篮，并向相机说话。")</f>
        <v>看到一名老妇坐在椅子上，拿着两个针头，伸进她的编织篮，并向相机说话。</v>
      </c>
    </row>
    <row r="31031">
      <c r="A31031" s="4" t="s">
        <v>39078</v>
      </c>
      <c r="B31031" s="4" t="s">
        <v>39080</v>
      </c>
      <c r="C31031" s="5" t="str">
        <f>IFERROR(__xludf.DUMMYFUNCTION("GOOGLETRANSLATE(B31031,""en"",""zh-CN"")"),"女人在拿着编织工具时继续讲话，结束时淡化为黑色。")</f>
        <v>女人在拿着编织工具时继续讲话，结束时淡化为黑色。</v>
      </c>
    </row>
    <row r="31032">
      <c r="A31032" s="4" t="s">
        <v>39081</v>
      </c>
      <c r="B31032" s="4" t="s">
        <v>39082</v>
      </c>
      <c r="C31032" s="5" t="str">
        <f>IFERROR(__xludf.DUMMYFUNCTION("GOOGLETRANSLATE(B31032,""en"",""zh-CN"")"),"一组由两个女人和两个男人一起摆姿势。")</f>
        <v>一组由两个女人和两个男人一起摆姿势。</v>
      </c>
    </row>
    <row r="31033">
      <c r="A31033" s="4" t="s">
        <v>39081</v>
      </c>
      <c r="B31033" s="4" t="s">
        <v>39083</v>
      </c>
      <c r="C31033" s="5" t="str">
        <f>IFERROR(__xludf.DUMMYFUNCTION("GOOGLETRANSLATE(B31033,""en"",""zh-CN"")"),"然后显示他们在建筑物内进行名为Zumba的艺术练习。")</f>
        <v>然后显示他们在建筑物内进行名为Zumba的艺术练习。</v>
      </c>
    </row>
    <row r="31034">
      <c r="A31034" s="4" t="s">
        <v>39081</v>
      </c>
      <c r="B31034" s="6" t="s">
        <v>39084</v>
      </c>
      <c r="C31034" s="5" t="str">
        <f>IFERROR(__xludf.DUMMYFUNCTION("GOOGLETRANSLATE(B31034,""en"",""zh-CN"")"),"他们一致地来回跳舞，然后在末端一起展示，随着音符漂浮在屏幕上时。")</f>
        <v>他们一致地来回跳舞，然后在末端一起展示，随着音符漂浮在屏幕上时。</v>
      </c>
    </row>
    <row r="31035">
      <c r="A31035" s="4" t="s">
        <v>39085</v>
      </c>
      <c r="B31035" s="4" t="s">
        <v>39086</v>
      </c>
      <c r="C31035" s="5" t="str">
        <f>IFERROR(__xludf.DUMMYFUNCTION("GOOGLETRANSLATE(B31035,""en"",""zh-CN"")"),"一个穿着棕色外套和帽子的男人正在从车道上铲雪。")</f>
        <v>一个穿着棕色外套和帽子的男人正在从车道上铲雪。</v>
      </c>
    </row>
    <row r="31036">
      <c r="A31036" s="4" t="s">
        <v>39085</v>
      </c>
      <c r="B31036" s="4" t="s">
        <v>39087</v>
      </c>
      <c r="C31036" s="5" t="str">
        <f>IFERROR(__xludf.DUMMYFUNCTION("GOOGLETRANSLATE(B31036,""en"",""zh-CN"")"),"该男子的照片正在显示。")</f>
        <v>该男子的照片正在显示。</v>
      </c>
    </row>
    <row r="31037">
      <c r="A31037" s="4" t="s">
        <v>39085</v>
      </c>
      <c r="B31037" s="4" t="s">
        <v>39088</v>
      </c>
      <c r="C31037" s="5" t="str">
        <f>IFERROR(__xludf.DUMMYFUNCTION("GOOGLETRANSLATE(B31037,""en"",""zh-CN"")"),"该男子下来吹雪机，开始雪吹车道。")</f>
        <v>该男子下来吹雪机，开始雪吹车道。</v>
      </c>
    </row>
    <row r="31038">
      <c r="A31038" s="4" t="s">
        <v>39085</v>
      </c>
      <c r="B31038" s="4" t="s">
        <v>39089</v>
      </c>
      <c r="C31038" s="5" t="str">
        <f>IFERROR(__xludf.DUMMYFUNCTION("GOOGLETRANSLATE(B31038,""en"",""zh-CN"")"),"一个穿着蓝色外套的女人在说话。")</f>
        <v>一个穿着蓝色外套的女人在说话。</v>
      </c>
    </row>
    <row r="31039">
      <c r="A31039" s="4" t="s">
        <v>39085</v>
      </c>
      <c r="B31039" s="4" t="s">
        <v>39090</v>
      </c>
      <c r="C31039" s="5" t="str">
        <f>IFERROR(__xludf.DUMMYFUNCTION("GOOGLETRANSLATE(B31039,""en"",""zh-CN"")"),"该男子在与相机交谈之前继续下雪。")</f>
        <v>该男子在与相机交谈之前继续下雪。</v>
      </c>
    </row>
    <row r="31040">
      <c r="A31040" s="4" t="s">
        <v>39091</v>
      </c>
      <c r="B31040" s="4" t="s">
        <v>39092</v>
      </c>
      <c r="C31040" s="5" t="str">
        <f>IFERROR(__xludf.DUMMYFUNCTION("GOOGLETRANSLATE(B31040,""en"",""zh-CN"")"),"一个人焊接一条戴着防护口罩的大金属管的接缝。")</f>
        <v>一个人焊接一条戴着防护口罩的大金属管的接缝。</v>
      </c>
    </row>
    <row r="31041">
      <c r="A31041" s="4" t="s">
        <v>39091</v>
      </c>
      <c r="B31041" s="4" t="s">
        <v>39093</v>
      </c>
      <c r="C31041" s="5" t="str">
        <f>IFERROR(__xludf.DUMMYFUNCTION("GOOGLETRANSLATE(B31041,""en"",""zh-CN"")"),"该人穿过一块金属的微小孔。")</f>
        <v>该人穿过一块金属的微小孔。</v>
      </c>
    </row>
    <row r="31042">
      <c r="A31042" s="4" t="s">
        <v>39091</v>
      </c>
      <c r="B31042" s="4" t="s">
        <v>39094</v>
      </c>
      <c r="C31042" s="5" t="str">
        <f>IFERROR(__xludf.DUMMYFUNCTION("GOOGLETRANSLATE(B31042,""en"",""zh-CN"")"),"该男子完成了焊缝，看到接缝发光了红色。")</f>
        <v>该男子完成了焊缝，看到接缝发光了红色。</v>
      </c>
    </row>
    <row r="31043">
      <c r="A31043" s="4" t="s">
        <v>39091</v>
      </c>
      <c r="B31043" s="4" t="s">
        <v>39095</v>
      </c>
      <c r="C31043" s="5" t="str">
        <f>IFERROR(__xludf.DUMMYFUNCTION("GOOGLETRANSLATE(B31043,""en"",""zh-CN"")"),"一个人用金属文件轻拍完成的井。")</f>
        <v>一个人用金属文件轻拍完成的井。</v>
      </c>
    </row>
    <row r="31044">
      <c r="A31044" s="4" t="s">
        <v>39096</v>
      </c>
      <c r="B31044" s="4" t="s">
        <v>39097</v>
      </c>
      <c r="C31044" s="5" t="str">
        <f>IFERROR(__xludf.DUMMYFUNCTION("GOOGLETRANSLATE(B31044,""en"",""zh-CN"")"),"该视频显示了一个人的手举起原声吉他。")</f>
        <v>该视频显示了一个人的手举起原声吉他。</v>
      </c>
    </row>
    <row r="31045">
      <c r="A31045" s="4" t="s">
        <v>39096</v>
      </c>
      <c r="B31045" s="4" t="s">
        <v>39098</v>
      </c>
      <c r="C31045" s="5" t="str">
        <f>IFERROR(__xludf.DUMMYFUNCTION("GOOGLETRANSLATE(B31045,""en"",""zh-CN"")"),"还显示了吉他的Yamaha案例。")</f>
        <v>还显示了吉他的Yamaha案例。</v>
      </c>
    </row>
    <row r="31046">
      <c r="A31046" s="4" t="s">
        <v>39096</v>
      </c>
      <c r="B31046" s="4" t="s">
        <v>39099</v>
      </c>
      <c r="C31046" s="5" t="str">
        <f>IFERROR(__xludf.DUMMYFUNCTION("GOOGLETRANSLATE(B31046,""en"",""zh-CN"")"),"看到一个年轻人弹他的原声吉他。")</f>
        <v>看到一个年轻人弹他的原声吉他。</v>
      </c>
    </row>
    <row r="31047">
      <c r="A31047" s="4" t="s">
        <v>39096</v>
      </c>
      <c r="B31047" s="4" t="s">
        <v>39100</v>
      </c>
      <c r="C31047" s="5" t="str">
        <f>IFERROR(__xludf.DUMMYFUNCTION("GOOGLETRANSLATE(B31047,""en"",""zh-CN"")"),"他正在弹吉他。")</f>
        <v>他正在弹吉他。</v>
      </c>
    </row>
    <row r="31048">
      <c r="A31048" s="4" t="s">
        <v>39101</v>
      </c>
      <c r="B31048" s="4" t="s">
        <v>39102</v>
      </c>
      <c r="C31048" s="5" t="str">
        <f>IFERROR(__xludf.DUMMYFUNCTION("GOOGLETRANSLATE(B31048,""en"",""zh-CN"")"),"在几个地点沿着一条绑在两棵树上的长绳行走。")</f>
        <v>在几个地点沿着一条绑在两棵树上的长绳行走。</v>
      </c>
    </row>
    <row r="31049">
      <c r="A31049" s="4" t="s">
        <v>39101</v>
      </c>
      <c r="B31049" s="6" t="s">
        <v>39103</v>
      </c>
      <c r="C31049" s="5" t="str">
        <f>IFERROR(__xludf.DUMMYFUNCTION("GOOGLETRANSLATE(B31049,""en"",""zh-CN"")"),"该男子继续对如何在绳索上行走以及上下行走并继续行走进行多种变体。")</f>
        <v>该男子继续对如何在绳索上行走以及上下行走并继续行走进行多种变体。</v>
      </c>
    </row>
    <row r="31050">
      <c r="A31050" s="4" t="s">
        <v>39104</v>
      </c>
      <c r="B31050" s="4" t="s">
        <v>39105</v>
      </c>
      <c r="C31050" s="5" t="str">
        <f>IFERROR(__xludf.DUMMYFUNCTION("GOOGLETRANSLATE(B31050,""en"",""zh-CN"")"),"显示了几只猫坐在附近，然后一个男人在相机上说话。")</f>
        <v>显示了几只猫坐在附近，然后一个男人在相机上说话。</v>
      </c>
    </row>
    <row r="31051">
      <c r="A31051" s="4" t="s">
        <v>39104</v>
      </c>
      <c r="B31051" s="4" t="s">
        <v>39106</v>
      </c>
      <c r="C31051" s="5" t="str">
        <f>IFERROR(__xludf.DUMMYFUNCTION("GOOGLETRANSLATE(B31051,""en"",""zh-CN"")"),"显示了更多的汽车镜头，并导致一个女人割伤猫的爪子。")</f>
        <v>显示了更多的汽车镜头，并导致一个女人割伤猫的爪子。</v>
      </c>
    </row>
    <row r="31052">
      <c r="A31052" s="4" t="s">
        <v>39104</v>
      </c>
      <c r="B31052" s="4" t="s">
        <v>39107</v>
      </c>
      <c r="C31052" s="5" t="str">
        <f>IFERROR(__xludf.DUMMYFUNCTION("GOOGLETRANSLATE(B31052,""en"",""zh-CN"")"),"展示了几种产品，以及几个人拿着猫并剪指甲的人。")</f>
        <v>展示了几种产品，以及几个人拿着猫并剪指甲的人。</v>
      </c>
    </row>
    <row r="31053">
      <c r="A31053" s="4" t="s">
        <v>39108</v>
      </c>
      <c r="B31053" s="4" t="s">
        <v>39109</v>
      </c>
      <c r="C31053" s="5" t="str">
        <f>IFERROR(__xludf.DUMMYFUNCTION("GOOGLETRANSLATE(B31053,""en"",""zh-CN"")"),"人们拿着一个水桶，站在房子的屋子里，它的工作。")</f>
        <v>人们拿着一个水桶，站在房子的屋子里，它的工作。</v>
      </c>
    </row>
    <row r="31054">
      <c r="A31054" s="4" t="s">
        <v>39108</v>
      </c>
      <c r="B31054" s="4" t="s">
        <v>39110</v>
      </c>
      <c r="C31054" s="5" t="str">
        <f>IFERROR(__xludf.DUMMYFUNCTION("GOOGLETRANSLATE(B31054,""en"",""zh-CN"")"),"男人在地板和屋顶上的一个水桶中混合在一起。")</f>
        <v>男人在地板和屋顶上的一个水桶中混合在一起。</v>
      </c>
    </row>
    <row r="31055">
      <c r="A31055" s="4" t="s">
        <v>39111</v>
      </c>
      <c r="B31055" s="4" t="s">
        <v>39112</v>
      </c>
      <c r="C31055" s="5" t="str">
        <f>IFERROR(__xludf.DUMMYFUNCTION("GOOGLETRANSLATE(B31055,""en"",""zh-CN"")"),"屏幕上显示了文字，分为两名妇女。")</f>
        <v>屏幕上显示了文字，分为两名妇女。</v>
      </c>
    </row>
    <row r="31056">
      <c r="A31056" s="4" t="s">
        <v>39111</v>
      </c>
      <c r="B31056" s="4" t="s">
        <v>39113</v>
      </c>
      <c r="C31056" s="5" t="str">
        <f>IFERROR(__xludf.DUMMYFUNCTION("GOOGLETRANSLATE(B31056,""en"",""zh-CN"")"),"一个人洗一口，然后将其吐到水槽中。")</f>
        <v>一个人洗一口，然后将其吐到水槽中。</v>
      </c>
    </row>
    <row r="31057">
      <c r="A31057" s="4" t="s">
        <v>39111</v>
      </c>
      <c r="B31057" s="4" t="s">
        <v>39114</v>
      </c>
      <c r="C31057" s="5" t="str">
        <f>IFERROR(__xludf.DUMMYFUNCTION("GOOGLETRANSLATE(B31057,""en"",""zh-CN"")"),"她把容器交给那个转向相机说话的女人。")</f>
        <v>她把容器交给那个转向相机说话的女人。</v>
      </c>
    </row>
    <row r="31058">
      <c r="A31058" s="4" t="s">
        <v>39115</v>
      </c>
      <c r="B31058" s="6" t="s">
        <v>39116</v>
      </c>
      <c r="C31058" s="5" t="str">
        <f>IFERROR(__xludf.DUMMYFUNCTION("GOOGLETRANSLATE(B31058,""en"",""zh-CN"")"),"三名运动员在观众面前的一场专业体育赛事中进行锤击，以看台和评分守护者。")</f>
        <v>三名运动员在观众面前的一场专业体育赛事中进行锤击，以看台和评分守护者。</v>
      </c>
    </row>
    <row r="31059">
      <c r="A31059" s="4" t="s">
        <v>39115</v>
      </c>
      <c r="B31059" s="6" t="s">
        <v>39117</v>
      </c>
      <c r="C31059" s="5" t="str">
        <f>IFERROR(__xludf.DUMMYFUNCTION("GOOGLETRANSLATE(B31059,""en"",""zh-CN"")"),"一个男人在一次职业体育赛事中再次旋转锤子的运动锤，然后让它飞入被看众环绕的田野。")</f>
        <v>一个男人在一次职业体育赛事中再次旋转锤子的运动锤，然后让它飞入被看众环绕的田野。</v>
      </c>
    </row>
    <row r="31060">
      <c r="A31060" s="4" t="s">
        <v>39115</v>
      </c>
      <c r="B31060" s="4" t="s">
        <v>39118</v>
      </c>
      <c r="C31060" s="5" t="str">
        <f>IFERROR(__xludf.DUMMYFUNCTION("GOOGLETRANSLATE(B31060,""en"",""zh-CN"")"),"运动员走开，看​​上去很失望，因为记分牌揭示了得分。")</f>
        <v>运动员走开，看​​上去很失望，因为记分牌揭示了得分。</v>
      </c>
    </row>
    <row r="31061">
      <c r="A31061" s="4" t="s">
        <v>39115</v>
      </c>
      <c r="B31061" s="4" t="s">
        <v>39119</v>
      </c>
      <c r="C31061" s="5" t="str">
        <f>IFERROR(__xludf.DUMMYFUNCTION("GOOGLETRANSLATE(B31061,""en"",""zh-CN"")"),"另外两名运动员以相同的方式表现同样的运动，这两者都让锤子飞向空中。")</f>
        <v>另外两名运动员以相同的方式表现同样的运动，这两者都让锤子飞向空中。</v>
      </c>
    </row>
    <row r="31062">
      <c r="A31062" s="4" t="s">
        <v>39115</v>
      </c>
      <c r="B31062" s="4" t="s">
        <v>39120</v>
      </c>
      <c r="C31062" s="5" t="str">
        <f>IFERROR(__xludf.DUMMYFUNCTION("GOOGLETRANSLATE(B31062,""en"",""zh-CN"")"),"最终的记分牌显示显示锤子投掷得分。")</f>
        <v>最终的记分牌显示显示锤子投掷得分。</v>
      </c>
    </row>
    <row r="31063">
      <c r="A31063" s="4" t="s">
        <v>39121</v>
      </c>
      <c r="B31063" s="4" t="s">
        <v>39122</v>
      </c>
      <c r="C31063" s="5" t="str">
        <f>IFERROR(__xludf.DUMMYFUNCTION("GOOGLETRANSLATE(B31063,""en"",""zh-CN"")"),"一个男人穿着黄色背心。")</f>
        <v>一个男人穿着黄色背心。</v>
      </c>
    </row>
    <row r="31064">
      <c r="A31064" s="4" t="s">
        <v>39121</v>
      </c>
      <c r="B31064" s="4" t="s">
        <v>39123</v>
      </c>
      <c r="C31064" s="5" t="str">
        <f>IFERROR(__xludf.DUMMYFUNCTION("GOOGLETRANSLATE(B31064,""en"",""zh-CN"")"),"他站在建筑物前，打扫窗户。")</f>
        <v>他站在建筑物前，打扫窗户。</v>
      </c>
    </row>
    <row r="31065">
      <c r="A31065" s="4" t="s">
        <v>39121</v>
      </c>
      <c r="B31065" s="4" t="s">
        <v>39124</v>
      </c>
      <c r="C31065" s="5" t="str">
        <f>IFERROR(__xludf.DUMMYFUNCTION("GOOGLETRANSLATE(B31065,""en"",""zh-CN"")"),"看到一个人看着其中一个窗户。")</f>
        <v>看到一个人看着其中一个窗户。</v>
      </c>
    </row>
    <row r="31066">
      <c r="A31066" s="4" t="s">
        <v>39125</v>
      </c>
      <c r="B31066" s="6" t="s">
        <v>39126</v>
      </c>
      <c r="C31066" s="5" t="str">
        <f>IFERROR(__xludf.DUMMYFUNCTION("GOOGLETRANSLATE(B31066,""en"",""zh-CN"")"),"看到一名厨师站在桌子前，上面放着各种物体，将一块食物从锅里拉出。")</f>
        <v>看到一名厨师站在桌子前，上面放着各种物体，将一块食物从锅里拉出。</v>
      </c>
    </row>
    <row r="31067">
      <c r="A31067" s="4" t="s">
        <v>39125</v>
      </c>
      <c r="B31067" s="4" t="s">
        <v>39127</v>
      </c>
      <c r="C31067" s="5" t="str">
        <f>IFERROR(__xludf.DUMMYFUNCTION("GOOGLETRANSLATE(B31067,""en"",""zh-CN"")"),"他展示了相机的对象，并开始将其剥落成碗中。")</f>
        <v>他展示了相机的对象，并开始将其剥落成碗中。</v>
      </c>
    </row>
    <row r="31068">
      <c r="A31068" s="4" t="s">
        <v>39125</v>
      </c>
      <c r="B31068" s="4" t="s">
        <v>39128</v>
      </c>
      <c r="C31068" s="5" t="str">
        <f>IFERROR(__xludf.DUMMYFUNCTION("GOOGLETRANSLATE(B31068,""en"",""zh-CN"")"),"然后，该人切断食物，并继续将更多的剥落到锅中。")</f>
        <v>然后，该人切断食物，并继续将更多的剥落到锅中。</v>
      </c>
    </row>
    <row r="31069">
      <c r="A31069" s="4" t="s">
        <v>39129</v>
      </c>
      <c r="B31069" s="4" t="s">
        <v>39130</v>
      </c>
      <c r="C31069" s="5" t="str">
        <f>IFERROR(__xludf.DUMMYFUNCTION("GOOGLETRANSLATE(B31069,""en"",""zh-CN"")"),"有一个女人在做如何在模型的头发上使用冰壶铁的教程。")</f>
        <v>有一个女人在做如何在模型的头发上使用冰壶铁的教程。</v>
      </c>
    </row>
    <row r="31070">
      <c r="A31070" s="4" t="s">
        <v>39129</v>
      </c>
      <c r="B31070" s="6" t="s">
        <v>39131</v>
      </c>
      <c r="C31070" s="5" t="str">
        <f>IFERROR(__xludf.DUMMYFUNCTION("GOOGLETRANSLATE(B31070,""en"",""zh-CN"")"),"她会在时间时将模型的一部分放在模型的头发上，然后将其放入卷发铁中，然后逐渐释放出来以拉出卷发。")</f>
        <v>她会在时间时将模型的一部分放在模型的头发上，然后将其放入卷发铁中，然后逐渐释放出来以拉出卷发。</v>
      </c>
    </row>
    <row r="31071">
      <c r="A31071" s="4" t="s">
        <v>39129</v>
      </c>
      <c r="B31071" s="4" t="s">
        <v>39132</v>
      </c>
      <c r="C31071" s="5" t="str">
        <f>IFERROR(__xludf.DUMMYFUNCTION("GOOGLETRANSLATE(B31071,""en"",""zh-CN"")"),"她继续过程，直到整个头发都用铁卷曲为止。")</f>
        <v>她继续过程，直到整个头发都用铁卷曲为止。</v>
      </c>
    </row>
    <row r="31072">
      <c r="A31072" s="4" t="s">
        <v>39129</v>
      </c>
      <c r="B31072" s="4" t="s">
        <v>39133</v>
      </c>
      <c r="C31072" s="5" t="str">
        <f>IFERROR(__xludf.DUMMYFUNCTION("GOOGLETRANSLATE(B31072,""en"",""zh-CN"")"),"然后，模型在照镜子时微笑着拍照。")</f>
        <v>然后，模型在照镜子时微笑着拍照。</v>
      </c>
    </row>
    <row r="31073">
      <c r="A31073" s="4" t="s">
        <v>39134</v>
      </c>
      <c r="B31073" s="4" t="s">
        <v>39135</v>
      </c>
      <c r="C31073" s="5" t="str">
        <f>IFERROR(__xludf.DUMMYFUNCTION("GOOGLETRANSLATE(B31073,""en"",""zh-CN"")"),"相机显示一个人的脚沿着雪山骑着圈，同时旋转着旋转。")</f>
        <v>相机显示一个人的脚沿着雪山骑着圈，同时旋转着旋转。</v>
      </c>
    </row>
    <row r="31074">
      <c r="A31074" s="4" t="s">
        <v>39134</v>
      </c>
      <c r="B31074" s="6" t="s">
        <v>39136</v>
      </c>
      <c r="C31074" s="5" t="str">
        <f>IFERROR(__xludf.DUMMYFUNCTION("GOOGLETRANSLATE(B31074,""en"",""zh-CN"")"),"该人继续沿着山上旋转，而一大群人看着侧面，一个小男孩跳到底部。")</f>
        <v>该人继续沿着山上旋转，而一大群人看着侧面，一个小男孩跳到底部。</v>
      </c>
    </row>
    <row r="31075">
      <c r="A31075" s="4" t="s">
        <v>39137</v>
      </c>
      <c r="B31075" s="4" t="s">
        <v>39138</v>
      </c>
      <c r="C31075" s="5" t="str">
        <f>IFERROR(__xludf.DUMMYFUNCTION("GOOGLETRANSLATE(B31075,""en"",""zh-CN"")"),"滑板上的一个人向上移动，坡道上并在角落里。")</f>
        <v>滑板上的一个人向上移动，坡道上并在角落里。</v>
      </c>
    </row>
    <row r="31076">
      <c r="A31076" s="4" t="s">
        <v>39137</v>
      </c>
      <c r="B31076" s="4" t="s">
        <v>39139</v>
      </c>
      <c r="C31076" s="5" t="str">
        <f>IFERROR(__xludf.DUMMYFUNCTION("GOOGLETRANSLATE(B31076,""en"",""zh-CN"")"),"相机显示他采取各种动作并采访相机。")</f>
        <v>相机显示他采取各种动作并采访相机。</v>
      </c>
    </row>
    <row r="31077">
      <c r="A31077" s="4" t="s">
        <v>39137</v>
      </c>
      <c r="B31077" s="4" t="s">
        <v>39140</v>
      </c>
      <c r="C31077" s="5" t="str">
        <f>IFERROR(__xludf.DUMMYFUNCTION("GOOGLETRANSLATE(B31077,""en"",""zh-CN"")"),"另一个男人骑着滑水板在做和捣蛋，最终掉下来。")</f>
        <v>另一个男人骑着滑水板在做和捣蛋，最终掉下来。</v>
      </c>
    </row>
    <row r="31078">
      <c r="A31078" s="4" t="s">
        <v>39137</v>
      </c>
      <c r="B31078" s="4" t="s">
        <v>39141</v>
      </c>
      <c r="C31078" s="5" t="str">
        <f>IFERROR(__xludf.DUMMYFUNCTION("GOOGLETRANSLATE(B31078,""en"",""zh-CN"")"),"在摄像机记录的同时，还显示了其他几个剪辑划线的人做几个特技表演。")</f>
        <v>在摄像机记录的同时，还显示了其他几个剪辑划线的人做几个特技表演。</v>
      </c>
    </row>
    <row r="31079">
      <c r="A31079" s="4" t="s">
        <v>39142</v>
      </c>
      <c r="B31079" s="4" t="s">
        <v>39143</v>
      </c>
      <c r="C31079" s="5" t="str">
        <f>IFERROR(__xludf.DUMMYFUNCTION("GOOGLETRANSLATE(B31079,""en"",""zh-CN"")"),"当相机捕捉到他的同时，一个男人在背对背上进行了几次不同的跳远。")</f>
        <v>当相机捕捉到他的同时，一个男人在背对背上进行了几次不同的跳远。</v>
      </c>
    </row>
    <row r="31080">
      <c r="A31080" s="4" t="s">
        <v>39142</v>
      </c>
      <c r="B31080" s="4" t="s">
        <v>39144</v>
      </c>
      <c r="C31080" s="5" t="str">
        <f>IFERROR(__xludf.DUMMYFUNCTION("GOOGLETRANSLATE(B31080,""en"",""zh-CN"")"),"他挥舞着手臂，展示了正确的举动，然后再跳了几次跳动。")</f>
        <v>他挥舞着手臂，展示了正确的举动，然后再跳了几次跳动。</v>
      </c>
    </row>
    <row r="31081">
      <c r="A31081" s="4" t="s">
        <v>39145</v>
      </c>
      <c r="B31081" s="4" t="s">
        <v>39146</v>
      </c>
      <c r="C31081" s="5" t="str">
        <f>IFERROR(__xludf.DUMMYFUNCTION("GOOGLETRANSLATE(B31081,""en"",""zh-CN"")"),"一个男人在瑜伽广告旁边是图片。")</f>
        <v>一个男人在瑜伽广告旁边是图片。</v>
      </c>
    </row>
    <row r="31082">
      <c r="A31082" s="4" t="s">
        <v>39145</v>
      </c>
      <c r="B31082" s="4" t="s">
        <v>39147</v>
      </c>
      <c r="C31082" s="5" t="str">
        <f>IFERROR(__xludf.DUMMYFUNCTION("GOOGLETRANSLATE(B31082,""en"",""zh-CN"")"),"他站在森林中，使瑜伽慢慢地移动。")</f>
        <v>他站在森林中，使瑜伽慢慢地移动。</v>
      </c>
    </row>
    <row r="31083">
      <c r="A31083" s="4" t="s">
        <v>39145</v>
      </c>
      <c r="B31083" s="4" t="s">
        <v>39148</v>
      </c>
      <c r="C31083" s="5" t="str">
        <f>IFERROR(__xludf.DUMMYFUNCTION("GOOGLETRANSLATE(B31083,""en"",""zh-CN"")"),"他站在平台上，继续优美的动作。")</f>
        <v>他站在平台上，继续优美的动作。</v>
      </c>
    </row>
    <row r="31084">
      <c r="A31084" s="4" t="s">
        <v>39145</v>
      </c>
      <c r="B31084" s="4" t="s">
        <v>39149</v>
      </c>
      <c r="C31084" s="5" t="str">
        <f>IFERROR(__xludf.DUMMYFUNCTION("GOOGLETRANSLATE(B31084,""en"",""zh-CN"")"),"然后，我们在树林里再次看到他，仍然静静地表演瑜伽。")</f>
        <v>然后，我们在树林里再次看到他，仍然静静地表演瑜伽。</v>
      </c>
    </row>
    <row r="31085">
      <c r="A31085" s="4" t="s">
        <v>39150</v>
      </c>
      <c r="B31085" s="4" t="s">
        <v>39151</v>
      </c>
      <c r="C31085" s="5" t="str">
        <f>IFERROR(__xludf.DUMMYFUNCTION("GOOGLETRANSLATE(B31085,""en"",""zh-CN"")"),"显示了这两个男人用肥皂喷洒黑色汽车的外部。")</f>
        <v>显示了这两个男人用肥皂喷洒黑色汽车的外部。</v>
      </c>
    </row>
    <row r="31086">
      <c r="A31086" s="4" t="s">
        <v>39150</v>
      </c>
      <c r="B31086" s="4" t="s">
        <v>39152</v>
      </c>
      <c r="C31086" s="5" t="str">
        <f>IFERROR(__xludf.DUMMYFUNCTION("GOOGLETRANSLATE(B31086,""en"",""zh-CN"")"),"然后，他们开始用手和毛巾手动洗车。")</f>
        <v>然后，他们开始用手和毛巾手动洗车。</v>
      </c>
    </row>
    <row r="31087">
      <c r="A31087" s="4" t="s">
        <v>39150</v>
      </c>
      <c r="B31087" s="4" t="s">
        <v>39153</v>
      </c>
      <c r="C31087" s="5" t="str">
        <f>IFERROR(__xludf.DUMMYFUNCTION("GOOGLETRANSLATE(B31087,""en"",""zh-CN"")"),"他们几乎到处擦洗，使黑色变成光泽。")</f>
        <v>他们几乎到处擦洗，使黑色变成光泽。</v>
      </c>
    </row>
    <row r="31088">
      <c r="A31088" s="4" t="s">
        <v>39154</v>
      </c>
      <c r="B31088" s="4" t="s">
        <v>39155</v>
      </c>
      <c r="C31088" s="5" t="str">
        <f>IFERROR(__xludf.DUMMYFUNCTION("GOOGLETRANSLATE(B31088,""en"",""zh-CN"")"),"一个人正在切土豆。")</f>
        <v>一个人正在切土豆。</v>
      </c>
    </row>
    <row r="31089">
      <c r="A31089" s="4" t="s">
        <v>39154</v>
      </c>
      <c r="B31089" s="4" t="s">
        <v>39156</v>
      </c>
      <c r="C31089" s="5" t="str">
        <f>IFERROR(__xludf.DUMMYFUNCTION("GOOGLETRANSLATE(B31089,""en"",""zh-CN"")"),"他们堆叠土豆片，然后开始将它们切成小块。")</f>
        <v>他们堆叠土豆片，然后开始将它们切成小块。</v>
      </c>
    </row>
    <row r="31090">
      <c r="A31090" s="4" t="s">
        <v>39154</v>
      </c>
      <c r="B31090" s="4" t="s">
        <v>39157</v>
      </c>
      <c r="C31090" s="5" t="str">
        <f>IFERROR(__xludf.DUMMYFUNCTION("GOOGLETRANSLATE(B31090,""en"",""zh-CN"")"),"他将碎片放在坐在水槽中的盘子上。")</f>
        <v>他将碎片放在坐在水槽中的盘子上。</v>
      </c>
    </row>
    <row r="31091">
      <c r="A31091" s="4" t="s">
        <v>39154</v>
      </c>
      <c r="B31091" s="4" t="s">
        <v>39158</v>
      </c>
      <c r="C31091" s="5" t="str">
        <f>IFERROR(__xludf.DUMMYFUNCTION("GOOGLETRANSLATE(B31091,""en"",""zh-CN"")"),"水槽里有食物盘。")</f>
        <v>水槽里有食物盘。</v>
      </c>
    </row>
    <row r="31092">
      <c r="A31092" s="4" t="s">
        <v>39154</v>
      </c>
      <c r="B31092" s="4" t="s">
        <v>39159</v>
      </c>
      <c r="C31092" s="5" t="str">
        <f>IFERROR(__xludf.DUMMYFUNCTION("GOOGLETRANSLATE(B31092,""en"",""zh-CN"")"),"他将盘子倒入锅中。")</f>
        <v>他将盘子倒入锅中。</v>
      </c>
    </row>
    <row r="31093">
      <c r="A31093" s="4" t="s">
        <v>39154</v>
      </c>
      <c r="B31093" s="4" t="s">
        <v>39160</v>
      </c>
      <c r="C31093" s="5" t="str">
        <f>IFERROR(__xludf.DUMMYFUNCTION("GOOGLETRANSLATE(B31093,""en"",""zh-CN"")"),"他一起搅动锅里的所有东西。")</f>
        <v>他一起搅动锅里的所有东西。</v>
      </c>
    </row>
    <row r="31094">
      <c r="A31094" s="4" t="s">
        <v>39154</v>
      </c>
      <c r="B31094" s="4" t="s">
        <v>39161</v>
      </c>
      <c r="C31094" s="5" t="str">
        <f>IFERROR(__xludf.DUMMYFUNCTION("GOOGLETRANSLATE(B31094,""en"",""zh-CN"")"),"然后，他拿起一勺，将其放在盘子上，上面放着蔬菜。")</f>
        <v>然后，他拿起一勺，将其放在盘子上，上面放着蔬菜。</v>
      </c>
    </row>
    <row r="31095">
      <c r="A31095" s="4" t="s">
        <v>39154</v>
      </c>
      <c r="B31095" s="4" t="s">
        <v>39162</v>
      </c>
      <c r="C31095" s="5" t="str">
        <f>IFERROR(__xludf.DUMMYFUNCTION("GOOGLETRANSLATE(B31095,""en"",""zh-CN"")"),"他在上装上了。")</f>
        <v>他在上装上了。</v>
      </c>
    </row>
    <row r="31096">
      <c r="A31096" s="4" t="s">
        <v>39163</v>
      </c>
      <c r="B31096" s="4" t="s">
        <v>39164</v>
      </c>
      <c r="C31096" s="5" t="str">
        <f>IFERROR(__xludf.DUMMYFUNCTION("GOOGLETRANSLATE(B31096,""en"",""zh-CN"")"),"男人正在和坐在椅子上的镜头说话。")</f>
        <v>男人正在和坐在椅子上的镜头说话。</v>
      </c>
    </row>
    <row r="31097">
      <c r="A31097" s="4" t="s">
        <v>39163</v>
      </c>
      <c r="B31097" s="6" t="s">
        <v>39165</v>
      </c>
      <c r="C31097" s="5" t="str">
        <f>IFERROR(__xludf.DUMMYFUNCTION("GOOGLETRANSLATE(B31097,""en"",""zh-CN"")"),"男人摘下眼镜，剃了一半的脸，而一个女人在化妆，眉毛并放了一些眼线笔和睫毛。")</f>
        <v>男人摘下眼镜，剃了一半的脸，而一个女人在化妆，眉毛并放了一些眼线笔和睫毛。</v>
      </c>
    </row>
    <row r="31098">
      <c r="A31098" s="4" t="s">
        <v>39163</v>
      </c>
      <c r="B31098" s="6" t="s">
        <v>39166</v>
      </c>
      <c r="C31098" s="5" t="str">
        <f>IFERROR(__xludf.DUMMYFUNCTION("GOOGLETRANSLATE(B31098,""en"",""zh-CN"")"),"男人用化妆和一半的脸上看着镜子看着它们，没有化妆，正在与镜头交谈。")</f>
        <v>男人用化妆和一半的脸上看着镜子看着它们，没有化妆，正在与镜头交谈。</v>
      </c>
    </row>
    <row r="31099">
      <c r="A31099" s="4" t="s">
        <v>39167</v>
      </c>
      <c r="B31099" s="4" t="s">
        <v>39168</v>
      </c>
      <c r="C31099" s="5" t="str">
        <f>IFERROR(__xludf.DUMMYFUNCTION("GOOGLETRANSLATE(B31099,""en"",""zh-CN"")"),"人们使用轮毂铲铲雪。")</f>
        <v>人们使用轮毂铲铲雪。</v>
      </c>
    </row>
    <row r="31100">
      <c r="A31100" s="4" t="s">
        <v>39167</v>
      </c>
      <c r="B31100" s="4" t="s">
        <v>39169</v>
      </c>
      <c r="C31100" s="5" t="str">
        <f>IFERROR(__xludf.DUMMYFUNCTION("GOOGLETRANSLATE(B31100,""en"",""zh-CN"")"),"然后，一个男人演示了如何铲雪，他使用袋子。")</f>
        <v>然后，一个男人演示了如何铲雪，他使用袋子。</v>
      </c>
    </row>
    <row r="31101">
      <c r="A31101" s="4" t="s">
        <v>39170</v>
      </c>
      <c r="B31101" s="4" t="s">
        <v>39171</v>
      </c>
      <c r="C31101" s="5" t="str">
        <f>IFERROR(__xludf.DUMMYFUNCTION("GOOGLETRANSLATE(B31101,""en"",""zh-CN"")"),"一群人正在骑马和玩马球。")</f>
        <v>一群人正在骑马和玩马球。</v>
      </c>
    </row>
    <row r="31102">
      <c r="A31102" s="4" t="s">
        <v>39170</v>
      </c>
      <c r="B31102" s="4" t="s">
        <v>39172</v>
      </c>
      <c r="C31102" s="5" t="str">
        <f>IFERROR(__xludf.DUMMYFUNCTION("GOOGLETRANSLATE(B31102,""en"",""zh-CN"")"),"他们在观看人群面前的球上战斗。")</f>
        <v>他们在观看人群面前的球上战斗。</v>
      </c>
    </row>
    <row r="31103">
      <c r="A31103" s="4" t="s">
        <v>39170</v>
      </c>
      <c r="B31103" s="4" t="s">
        <v>39173</v>
      </c>
      <c r="C31103" s="5" t="str">
        <f>IFERROR(__xludf.DUMMYFUNCTION("GOOGLETRANSLATE(B31103,""en"",""zh-CN"")"),"结束后，他们在牛仔竞技表演和体育场外拍照。")</f>
        <v>结束后，他们在牛仔竞技表演和体育场外拍照。</v>
      </c>
    </row>
    <row r="31104">
      <c r="A31104" s="4" t="s">
        <v>39174</v>
      </c>
      <c r="B31104" s="4" t="s">
        <v>39175</v>
      </c>
      <c r="C31104" s="5" t="str">
        <f>IFERROR(__xludf.DUMMYFUNCTION("GOOGLETRANSLATE(B31104,""en"",""zh-CN"")"),"一位穿着粉红色衬衫的女士站在洗衣房里，与镜头交谈。")</f>
        <v>一位穿着粉红色衬衫的女士站在洗衣房里，与镜头交谈。</v>
      </c>
    </row>
    <row r="31105">
      <c r="A31105" s="4" t="s">
        <v>39174</v>
      </c>
      <c r="B31105" s="4" t="s">
        <v>39176</v>
      </c>
      <c r="C31105" s="5" t="str">
        <f>IFERROR(__xludf.DUMMYFUNCTION("GOOGLETRANSLATE(B31105,""en"",""zh-CN"")"),"相机缩放向我们展示了整个房间。")</f>
        <v>相机缩放向我们展示了整个房间。</v>
      </c>
    </row>
    <row r="31106">
      <c r="A31106" s="4" t="s">
        <v>39174</v>
      </c>
      <c r="B31106" s="4" t="s">
        <v>39177</v>
      </c>
      <c r="C31106" s="5" t="str">
        <f>IFERROR(__xludf.DUMMYFUNCTION("GOOGLETRANSLATE(B31106,""en"",""zh-CN"")"),"那位女士向我们展示了一个喷雾瓶，然后摇动它。")</f>
        <v>那位女士向我们展示了一个喷雾瓶，然后摇动它。</v>
      </c>
    </row>
    <row r="31107">
      <c r="A31107" s="4" t="s">
        <v>39174</v>
      </c>
      <c r="B31107" s="4" t="s">
        <v>39178</v>
      </c>
      <c r="C31107" s="5" t="str">
        <f>IFERROR(__xludf.DUMMYFUNCTION("GOOGLETRANSLATE(B31107,""en"",""zh-CN"")"),"那位女士随后对镜头说话。")</f>
        <v>那位女士随后对镜头说话。</v>
      </c>
    </row>
    <row r="31108">
      <c r="A31108" s="4" t="s">
        <v>39179</v>
      </c>
      <c r="B31108" s="4" t="s">
        <v>39180</v>
      </c>
      <c r="C31108" s="5" t="str">
        <f>IFERROR(__xludf.DUMMYFUNCTION("GOOGLETRANSLATE(B31108,""en"",""zh-CN"")"),"墙壁的近距离显示，后面是几个男人打开窗户。")</f>
        <v>墙壁的近距离显示，后面是几个男人打开窗户。</v>
      </c>
    </row>
    <row r="31109">
      <c r="A31109" s="4" t="s">
        <v>39179</v>
      </c>
      <c r="B31109" s="4" t="s">
        <v>39181</v>
      </c>
      <c r="C31109" s="5" t="str">
        <f>IFERROR(__xludf.DUMMYFUNCTION("GOOGLETRANSLATE(B31109,""en"",""zh-CN"")"),"他们还看到在屋顶上工作，将瓷砖放在侧面。")</f>
        <v>他们还看到在屋顶上工作，将瓷砖放在侧面。</v>
      </c>
    </row>
    <row r="31110">
      <c r="A31110" s="4" t="s">
        <v>39179</v>
      </c>
      <c r="B31110" s="4" t="s">
        <v>39182</v>
      </c>
      <c r="C31110" s="5" t="str">
        <f>IFERROR(__xludf.DUMMYFUNCTION("GOOGLETRANSLATE(B31110,""en"",""zh-CN"")"),"他们将窗户放在窗户中，结束结束。")</f>
        <v>他们将窗户放在窗户中，结束结束。</v>
      </c>
    </row>
    <row r="31111">
      <c r="A31111" s="4" t="s">
        <v>39183</v>
      </c>
      <c r="B31111" s="4" t="s">
        <v>39184</v>
      </c>
      <c r="C31111" s="5" t="str">
        <f>IFERROR(__xludf.DUMMYFUNCTION("GOOGLETRANSLATE(B31111,""en"",""zh-CN"")"),"一个男人正在清理扫帚和铲子的人行道上。")</f>
        <v>一个男人正在清理扫帚和铲子的人行道上。</v>
      </c>
    </row>
    <row r="31112">
      <c r="A31112" s="4" t="s">
        <v>39183</v>
      </c>
      <c r="B31112" s="4" t="s">
        <v>39185</v>
      </c>
      <c r="C31112" s="5" t="str">
        <f>IFERROR(__xludf.DUMMYFUNCTION("GOOGLETRANSLATE(B31112,""en"",""zh-CN"")"),"该男子将叶子扫到圆圈中，将它们放在垃圾箱中。")</f>
        <v>该男子将叶子扫到圆圈中，将它们放在垃圾箱中。</v>
      </c>
    </row>
    <row r="31113">
      <c r="A31113" s="4" t="s">
        <v>39183</v>
      </c>
      <c r="B31113" s="4" t="s">
        <v>39186</v>
      </c>
      <c r="C31113" s="5" t="str">
        <f>IFERROR(__xludf.DUMMYFUNCTION("GOOGLETRANSLATE(B31113,""en"",""zh-CN"")"),"一辆黄色的巴士骑着那个男人。")</f>
        <v>一辆黄色的巴士骑着那个男人。</v>
      </c>
    </row>
    <row r="31114">
      <c r="A31114" s="4" t="s">
        <v>39183</v>
      </c>
      <c r="B31114" s="4" t="s">
        <v>39187</v>
      </c>
      <c r="C31114" s="5" t="str">
        <f>IFERROR(__xludf.DUMMYFUNCTION("GOOGLETRANSLATE(B31114,""en"",""zh-CN"")"),"该男子再次扫掠，将叶子放入垃圾箱中。")</f>
        <v>该男子再次扫掠，将叶子放入垃圾箱中。</v>
      </c>
    </row>
    <row r="31115">
      <c r="A31115" s="4" t="s">
        <v>39188</v>
      </c>
      <c r="B31115" s="4" t="s">
        <v>39189</v>
      </c>
      <c r="C31115" s="5" t="str">
        <f>IFERROR(__xludf.DUMMYFUNCTION("GOOGLETRANSLATE(B31115,""en"",""zh-CN"")"),"介绍了有关如何进行简单芭蕾舞动作的教程。")</f>
        <v>介绍了有关如何进行简单芭蕾舞动作的教程。</v>
      </c>
    </row>
    <row r="31116">
      <c r="A31116" s="4" t="s">
        <v>39188</v>
      </c>
      <c r="B31116" s="4" t="s">
        <v>39190</v>
      </c>
      <c r="C31116" s="5" t="str">
        <f>IFERROR(__xludf.DUMMYFUNCTION("GOOGLETRANSLATE(B31116,""en"",""zh-CN"")"),"显示材料后，老师触摸学生以展示完美的形式。")</f>
        <v>显示材料后，老师触摸学生以展示完美的形式。</v>
      </c>
    </row>
    <row r="31117">
      <c r="A31117" s="4" t="s">
        <v>39191</v>
      </c>
      <c r="B31117" s="4" t="s">
        <v>39192</v>
      </c>
      <c r="C31117" s="5" t="str">
        <f>IFERROR(__xludf.DUMMYFUNCTION("GOOGLETRANSLATE(B31117,""en"",""zh-CN"")"),"我们看到一个男人和一个婴儿在装饰一棵圣诞树。")</f>
        <v>我们看到一个男人和一个婴儿在装饰一棵圣诞树。</v>
      </c>
    </row>
    <row r="31118">
      <c r="A31118" s="4" t="s">
        <v>39191</v>
      </c>
      <c r="B31118" s="4" t="s">
        <v>39193</v>
      </c>
      <c r="C31118" s="5" t="str">
        <f>IFERROR(__xludf.DUMMYFUNCTION("GOOGLETRANSLATE(B31118,""en"",""zh-CN"")"),"婴儿从树上拿出一个蓝色的灯泡。")</f>
        <v>婴儿从树上拿出一个蓝色的灯泡。</v>
      </c>
    </row>
    <row r="31119">
      <c r="A31119" s="4" t="s">
        <v>39191</v>
      </c>
      <c r="B31119" s="4" t="s">
        <v>39194</v>
      </c>
      <c r="C31119" s="5" t="str">
        <f>IFERROR(__xludf.DUMMYFUNCTION("GOOGLETRANSLATE(B31119,""en"",""zh-CN"")"),"爸爸把它放回去，婴儿再次将其拿走。")</f>
        <v>爸爸把它放回去，婴儿再次将其拿走。</v>
      </c>
    </row>
    <row r="31120">
      <c r="A31120" s="4" t="s">
        <v>39191</v>
      </c>
      <c r="B31120" s="4" t="s">
        <v>39195</v>
      </c>
      <c r="C31120" s="5" t="str">
        <f>IFERROR(__xludf.DUMMYFUNCTION("GOOGLETRANSLATE(B31120,""en"",""zh-CN"")"),"孩子转向相机，爸爸走到柜台。")</f>
        <v>孩子转向相机，爸爸走到柜台。</v>
      </c>
    </row>
    <row r="31121">
      <c r="A31121" s="4" t="s">
        <v>39191</v>
      </c>
      <c r="B31121" s="4" t="s">
        <v>39196</v>
      </c>
      <c r="C31121" s="5" t="str">
        <f>IFERROR(__xludf.DUMMYFUNCTION("GOOGLETRANSLATE(B31121,""en"",""zh-CN"")"),"孩子放下蓝色灯泡，然后去另一个。")</f>
        <v>孩子放下蓝色灯泡，然后去另一个。</v>
      </c>
    </row>
    <row r="31122">
      <c r="A31122" s="4" t="s">
        <v>39191</v>
      </c>
      <c r="B31122" s="4" t="s">
        <v>39197</v>
      </c>
      <c r="C31122" s="5" t="str">
        <f>IFERROR(__xludf.DUMMYFUNCTION("GOOGLETRANSLATE(B31122,""en"",""zh-CN"")"),"孩子在树上添加了另一个蓝色灯泡。")</f>
        <v>孩子在树上添加了另一个蓝色灯泡。</v>
      </c>
    </row>
    <row r="31123">
      <c r="A31123" s="4" t="s">
        <v>39191</v>
      </c>
      <c r="B31123" s="4" t="s">
        <v>39198</v>
      </c>
      <c r="C31123" s="5" t="str">
        <f>IFERROR(__xludf.DUMMYFUNCTION("GOOGLETRANSLATE(B31123,""en"",""zh-CN"")"),"摄像头摇晃以展示树，然后显示长袜。")</f>
        <v>摄像头摇晃以展示树，然后显示长袜。</v>
      </c>
    </row>
    <row r="31124">
      <c r="A31124" s="4" t="s">
        <v>39199</v>
      </c>
      <c r="B31124" s="6" t="s">
        <v>39200</v>
      </c>
      <c r="C31124" s="5" t="str">
        <f>IFERROR(__xludf.DUMMYFUNCTION("GOOGLETRANSLATE(B31124,""en"",""zh-CN"")"),"看到一个男人在相机上说话，然后骑自行车，然后他拉着链条和旋转轮子。")</f>
        <v>看到一个男人在相机上说话，然后骑自行车，然后他拉着链条和旋转轮子。</v>
      </c>
    </row>
    <row r="31125">
      <c r="A31125" s="4" t="s">
        <v>39199</v>
      </c>
      <c r="B31125" s="6" t="s">
        <v>39201</v>
      </c>
      <c r="C31125" s="5" t="str">
        <f>IFERROR(__xludf.DUMMYFUNCTION("GOOGLETRANSLATE(B31125,""en"",""zh-CN"")"),"他兜售自行车，再次显示轮胎旋转，最后他拧紧轮胎并再次旋转。")</f>
        <v>他兜售自行车，再次显示轮胎旋转，最后他拧紧轮胎并再次旋转。</v>
      </c>
    </row>
    <row r="31126">
      <c r="A31126" s="4" t="s">
        <v>39202</v>
      </c>
      <c r="B31126" s="4" t="s">
        <v>39203</v>
      </c>
      <c r="C31126" s="5" t="str">
        <f>IFERROR(__xludf.DUMMYFUNCTION("GOOGLETRANSLATE(B31126,""en"",""zh-CN"")"),"塔尔萨焊接学校的焊接专家正在演示如何焊接。")</f>
        <v>塔尔萨焊接学校的焊接专家正在演示如何焊接。</v>
      </c>
    </row>
    <row r="31127">
      <c r="A31127" s="4" t="s">
        <v>39202</v>
      </c>
      <c r="B31127" s="6" t="s">
        <v>39204</v>
      </c>
      <c r="C31127" s="5" t="str">
        <f>IFERROR(__xludf.DUMMYFUNCTION("GOOGLETRANSLATE(B31127,""en"",""zh-CN"")"),"他使用吹动的火炬在焊工戴着防护装备和口罩的帮助下解释了焊接的技术。")</f>
        <v>他使用吹动的火炬在焊工戴着防护装备和口罩的帮助下解释了焊接的技术。</v>
      </c>
    </row>
    <row r="31128">
      <c r="A31128" s="4" t="s">
        <v>39205</v>
      </c>
      <c r="B31128" s="4" t="s">
        <v>39206</v>
      </c>
      <c r="C31128" s="5" t="str">
        <f>IFERROR(__xludf.DUMMYFUNCTION("GOOGLETRANSLATE(B31128,""en"",""zh-CN"")"),"一个人切胡椒，放入碗中。")</f>
        <v>一个人切胡椒，放入碗中。</v>
      </c>
    </row>
    <row r="31129">
      <c r="A31129" s="4" t="s">
        <v>39205</v>
      </c>
      <c r="B31129" s="4" t="s">
        <v>39207</v>
      </c>
      <c r="C31129" s="5" t="str">
        <f>IFERROR(__xludf.DUMMYFUNCTION("GOOGLETRANSLATE(B31129,""en"",""zh-CN"")"),"另外，该人在锅中煮面条。")</f>
        <v>另外，该人在锅中煮面条。</v>
      </c>
    </row>
    <row r="31130">
      <c r="A31130" s="4" t="s">
        <v>39205</v>
      </c>
      <c r="B31130" s="4" t="s">
        <v>39208</v>
      </c>
      <c r="C31130" s="5" t="str">
        <f>IFERROR(__xludf.DUMMYFUNCTION("GOOGLETRANSLATE(B31130,""en"",""zh-CN"")"),"然后，该人在锅中炸蘑菇，加入盐，大蒜，西红柿和根。")</f>
        <v>然后，该人在锅中炸蘑菇，加入盐，大蒜，西红柿和根。</v>
      </c>
    </row>
    <row r="31131">
      <c r="A31131" s="4" t="s">
        <v>39205</v>
      </c>
      <c r="B31131" s="4" t="s">
        <v>39209</v>
      </c>
      <c r="C31131" s="5" t="str">
        <f>IFERROR(__xludf.DUMMYFUNCTION("GOOGLETRANSLATE(B31131,""en"",""zh-CN"")"),"之后，添加胡椒粉和面条，混合并提供。")</f>
        <v>之后，添加胡椒粉和面条，混合并提供。</v>
      </c>
    </row>
    <row r="31132">
      <c r="A31132" s="4" t="s">
        <v>39210</v>
      </c>
      <c r="B31132" s="6" t="s">
        <v>39211</v>
      </c>
      <c r="C31132" s="5" t="str">
        <f>IFERROR(__xludf.DUMMYFUNCTION("GOOGLETRANSLATE(B31132,""en"",""zh-CN"")"),"看到一个女人在桌子上弯腰，纹身艺术家从后面摩擦她的背，抓住纹身针。")</f>
        <v>看到一个女人在桌子上弯腰，纹身艺术家从后面摩擦她的背，抓住纹身针。</v>
      </c>
    </row>
    <row r="31133">
      <c r="A31133" s="4" t="s">
        <v>39210</v>
      </c>
      <c r="B31133" s="6" t="s">
        <v>39212</v>
      </c>
      <c r="C31133" s="5" t="str">
        <f>IFERROR(__xludf.DUMMYFUNCTION("GOOGLETRANSLATE(B31133,""en"",""zh-CN"")"),"然后，该名女子开始纹身女人的后部，而相机从各个角度摇晃。")</f>
        <v>然后，该名女子开始纹身女人的后部，而相机从各个角度摇晃。</v>
      </c>
    </row>
    <row r="31134">
      <c r="A31134" s="4" t="s">
        <v>39213</v>
      </c>
      <c r="B31134" s="4" t="s">
        <v>39214</v>
      </c>
      <c r="C31134" s="5" t="str">
        <f>IFERROR(__xludf.DUMMYFUNCTION("GOOGLETRANSLATE(B31134,""en"",""zh-CN"")"),"叶吹制的景色在院子里的地面上放置。")</f>
        <v>叶吹制的景色在院子里的地面上放置。</v>
      </c>
    </row>
    <row r="31135">
      <c r="A31135" s="4" t="s">
        <v>39213</v>
      </c>
      <c r="B31135" s="4" t="s">
        <v>39215</v>
      </c>
      <c r="C31135" s="5" t="str">
        <f>IFERROR(__xludf.DUMMYFUNCTION("GOOGLETRANSLATE(B31135,""en"",""zh-CN"")"),"叶鼓风机用叶子鼓风机吹棕色干燥的叶子。")</f>
        <v>叶鼓风机用叶子鼓风机吹棕色干燥的叶子。</v>
      </c>
    </row>
    <row r="31136">
      <c r="A31136" s="4" t="s">
        <v>39213</v>
      </c>
      <c r="B31136" s="4" t="s">
        <v>39216</v>
      </c>
      <c r="C31136" s="5" t="str">
        <f>IFERROR(__xludf.DUMMYFUNCTION("GOOGLETRANSLATE(B31136,""en"",""zh-CN"")"),"叶子从一些草坪家具中吹走，朝院子里的中间吹来。")</f>
        <v>叶子从一些草坪家具中吹走，朝院子里的中间吹来。</v>
      </c>
    </row>
    <row r="31137">
      <c r="A31137" s="4" t="s">
        <v>39217</v>
      </c>
      <c r="B31137" s="4" t="s">
        <v>39218</v>
      </c>
      <c r="C31137" s="5" t="str">
        <f>IFERROR(__xludf.DUMMYFUNCTION("GOOGLETRANSLATE(B31137,""en"",""zh-CN"")"),"一块黑色的黑色物品在一长串白皮书上绘制。")</f>
        <v>一块黑色的黑色物品在一长串白皮书上绘制。</v>
      </c>
    </row>
    <row r="31138">
      <c r="A31138" s="4" t="s">
        <v>39217</v>
      </c>
      <c r="B31138" s="4" t="s">
        <v>39219</v>
      </c>
      <c r="C31138" s="5" t="str">
        <f>IFERROR(__xludf.DUMMYFUNCTION("GOOGLETRANSLATE(B31138,""en"",""zh-CN"")"),"一个人使用刷子继续绘画。")</f>
        <v>一个人使用刷子继续绘画。</v>
      </c>
    </row>
    <row r="31139">
      <c r="A31139" s="4" t="s">
        <v>39217</v>
      </c>
      <c r="B31139" s="4" t="s">
        <v>39220</v>
      </c>
      <c r="C31139" s="5" t="str">
        <f>IFERROR(__xludf.DUMMYFUNCTION("GOOGLETRANSLATE(B31139,""en"",""zh-CN"")"),"他们增加了叶子，形成了黑色植物。")</f>
        <v>他们增加了叶子，形成了黑色植物。</v>
      </c>
    </row>
    <row r="31140">
      <c r="A31140" s="4" t="s">
        <v>39221</v>
      </c>
      <c r="B31140" s="6" t="s">
        <v>39222</v>
      </c>
      <c r="C31140" s="5" t="str">
        <f>IFERROR(__xludf.DUMMYFUNCTION("GOOGLETRANSLATE(B31140,""en"",""zh-CN"")"),"看到一个年轻人在镜子前睁开眼睛，试图将隐形眼镜放进去。")</f>
        <v>看到一个年轻人在镜子前睁开眼睛，试图将隐形眼镜放进去。</v>
      </c>
    </row>
    <row r="31141">
      <c r="A31141" s="4" t="s">
        <v>39221</v>
      </c>
      <c r="B31141" s="4" t="s">
        <v>39223</v>
      </c>
      <c r="C31141" s="5" t="str">
        <f>IFERROR(__xludf.DUMMYFUNCTION("GOOGLETRANSLATE(B31141,""en"",""zh-CN"")"),"他将镜头放在水槽上，然后再次试图将接触的眼睛置于他的眼睛中。")</f>
        <v>他将镜头放在水槽上，然后再次试图将接触的眼睛置于他的眼睛中。</v>
      </c>
    </row>
    <row r="31142">
      <c r="A31142" s="4" t="s">
        <v>39221</v>
      </c>
      <c r="B31142" s="6" t="s">
        <v>39224</v>
      </c>
      <c r="C31142" s="5" t="str">
        <f>IFERROR(__xludf.DUMMYFUNCTION("GOOGLETRANSLATE(B31142,""en"",""zh-CN"")"),"他再次放下镜头，并继续试图将其放在眼睛中，并最终摄像机移动。")</f>
        <v>他再次放下镜头，并继续试图将其放在眼睛中，并最终摄像机移动。</v>
      </c>
    </row>
    <row r="31143">
      <c r="A31143" s="4" t="s">
        <v>39225</v>
      </c>
      <c r="B31143" s="4" t="s">
        <v>39226</v>
      </c>
      <c r="C31143" s="5" t="str">
        <f>IFERROR(__xludf.DUMMYFUNCTION("GOOGLETRANSLATE(B31143,""en"",""zh-CN"")"),"该视频是关于如何制作Alfredo酱面食的教程。")</f>
        <v>该视频是关于如何制作Alfredo酱面食的教程。</v>
      </c>
    </row>
    <row r="31144">
      <c r="A31144" s="4" t="s">
        <v>39225</v>
      </c>
      <c r="B31144" s="6" t="s">
        <v>39227</v>
      </c>
      <c r="C31144" s="5" t="str">
        <f>IFERROR(__xludf.DUMMYFUNCTION("GOOGLETRANSLATE(B31144,""en"",""zh-CN"")"),"一位戴着栗色背心的金发的女士正在演示如何开水以制作蝴蝶结面式意大利面。")</f>
        <v>一位戴着栗色背心的金发的女士正在演示如何开水以制作蝴蝶结面式意大利面。</v>
      </c>
    </row>
    <row r="31145">
      <c r="A31145" s="4" t="s">
        <v>39225</v>
      </c>
      <c r="B31145" s="4" t="s">
        <v>39228</v>
      </c>
      <c r="C31145" s="5" t="str">
        <f>IFERROR(__xludf.DUMMYFUNCTION("GOOGLETRANSLATE(B31145,""en"",""zh-CN"")"),"然后，她通过扔掉多余的水来将意大利面包在碗中。")</f>
        <v>然后，她通过扔掉多余的水来将意大利面包在碗中。</v>
      </c>
    </row>
    <row r="31146">
      <c r="A31146" s="4" t="s">
        <v>39225</v>
      </c>
      <c r="B31146" s="4" t="s">
        <v>39229</v>
      </c>
      <c r="C31146" s="5" t="str">
        <f>IFERROR(__xludf.DUMMYFUNCTION("GOOGLETRANSLATE(B31146,""en"",""zh-CN"")"),"然后，她拿起一根黄油并切成些黄油，然后添加到锅中。")</f>
        <v>然后，她拿起一根黄油并切成些黄油，然后添加到锅中。</v>
      </c>
    </row>
    <row r="31147">
      <c r="A31147" s="4" t="s">
        <v>39225</v>
      </c>
      <c r="B31147" s="4" t="s">
        <v>39230</v>
      </c>
      <c r="C31147" s="5" t="str">
        <f>IFERROR(__xludf.DUMMYFUNCTION("GOOGLETRANSLATE(B31147,""en"",""zh-CN"")"),"然后，她在其中加入了一些牛奶和奶酪，然后用煮熟的意大利面搅拌。")</f>
        <v>然后，她在其中加入了一些牛奶和奶酪，然后用煮熟的意大利面搅拌。</v>
      </c>
    </row>
    <row r="31148">
      <c r="A31148" s="4" t="s">
        <v>39225</v>
      </c>
      <c r="B31148" s="4" t="s">
        <v>39231</v>
      </c>
      <c r="C31148" s="5" t="str">
        <f>IFERROR(__xludf.DUMMYFUNCTION("GOOGLETRANSLATE(B31148,""en"",""zh-CN"")"),"她在面食中加入了更多牛奶和奶酪，以制成酱汁。")</f>
        <v>她在面食中加入了更多牛奶和奶酪，以制成酱汁。</v>
      </c>
    </row>
    <row r="31149">
      <c r="A31149" s="4" t="s">
        <v>39225</v>
      </c>
      <c r="B31149" s="4" t="s">
        <v>39232</v>
      </c>
      <c r="C31149" s="5" t="str">
        <f>IFERROR(__xludf.DUMMYFUNCTION("GOOGLETRANSLATE(B31149,""en"",""zh-CN"")"),"她继续在锅中搅动意大利面。")</f>
        <v>她继续在锅中搅动意大利面。</v>
      </c>
    </row>
    <row r="31150">
      <c r="A31150" s="4" t="s">
        <v>39225</v>
      </c>
      <c r="B31150" s="4" t="s">
        <v>39233</v>
      </c>
      <c r="C31150" s="5" t="str">
        <f>IFERROR(__xludf.DUMMYFUNCTION("GOOGLETRANSLATE(B31150,""en"",""zh-CN"")"),"她在方形棕色盘子中供应意大利面，并拿一勺面食品尝。")</f>
        <v>她在方形棕色盘子中供应意大利面，并拿一勺面食品尝。</v>
      </c>
    </row>
    <row r="31151">
      <c r="A31151" s="4" t="s">
        <v>39225</v>
      </c>
      <c r="B31151" s="4" t="s">
        <v>39234</v>
      </c>
      <c r="C31151" s="5" t="str">
        <f>IFERROR(__xludf.DUMMYFUNCTION("GOOGLETRANSLATE(B31151,""en"",""zh-CN"")"),"她对结果的方式感到满意。")</f>
        <v>她对结果的方式感到满意。</v>
      </c>
    </row>
    <row r="31152">
      <c r="A31152" s="4" t="s">
        <v>39235</v>
      </c>
      <c r="B31152" s="4" t="s">
        <v>39236</v>
      </c>
      <c r="C31152" s="5" t="str">
        <f>IFERROR(__xludf.DUMMYFUNCTION("GOOGLETRANSLATE(B31152,""en"",""zh-CN"")"),"一个穿着连衣裙的女人在舞台上跳舞。")</f>
        <v>一个穿着连衣裙的女人在舞台上跳舞。</v>
      </c>
    </row>
    <row r="31153">
      <c r="A31153" s="4" t="s">
        <v>39235</v>
      </c>
      <c r="B31153" s="4" t="s">
        <v>39237</v>
      </c>
      <c r="C31153" s="5" t="str">
        <f>IFERROR(__xludf.DUMMYFUNCTION("GOOGLETRANSLATE(B31153,""en"",""zh-CN"")"),"烟被抽到她后面的舞台上。")</f>
        <v>烟被抽到她后面的舞台上。</v>
      </c>
    </row>
    <row r="31154">
      <c r="A31154" s="4" t="s">
        <v>39235</v>
      </c>
      <c r="B31154" s="4" t="s">
        <v>39238</v>
      </c>
      <c r="C31154" s="5" t="str">
        <f>IFERROR(__xludf.DUMMYFUNCTION("GOOGLETRANSLATE(B31154,""en"",""zh-CN"")"),"她在最后鞠躬，然后退后一步。")</f>
        <v>她在最后鞠躬，然后退后一步。</v>
      </c>
    </row>
    <row r="31155">
      <c r="A31155" s="4" t="s">
        <v>39239</v>
      </c>
      <c r="B31155" s="4" t="s">
        <v>39240</v>
      </c>
      <c r="C31155" s="5" t="str">
        <f>IFERROR(__xludf.DUMMYFUNCTION("GOOGLETRANSLATE(B31155,""en"",""zh-CN"")"),"一个穿着黑色外套的男人用斧头切碎一块木头。")</f>
        <v>一个穿着黑色外套的男人用斧头切碎一块木头。</v>
      </c>
    </row>
    <row r="31156">
      <c r="A31156" s="4" t="s">
        <v>39239</v>
      </c>
      <c r="B31156" s="4" t="s">
        <v>39241</v>
      </c>
      <c r="C31156" s="5" t="str">
        <f>IFERROR(__xludf.DUMMYFUNCTION("GOOGLETRANSLATE(B31156,""en"",""zh-CN"")"),"他再次尝试并再次砍伐。")</f>
        <v>他再次尝试并再次砍伐。</v>
      </c>
    </row>
    <row r="31157">
      <c r="A31157" s="4" t="s">
        <v>39239</v>
      </c>
      <c r="B31157" s="4" t="s">
        <v>39242</v>
      </c>
      <c r="C31157" s="5" t="str">
        <f>IFERROR(__xludf.DUMMYFUNCTION("GOOGLETRANSLATE(B31157,""en"",""zh-CN"")"),"他移动树桩，并试图再次切碎。")</f>
        <v>他移动树桩，并试图再次切碎。</v>
      </c>
    </row>
    <row r="31158">
      <c r="A31158" s="4" t="s">
        <v>39239</v>
      </c>
      <c r="B31158" s="4" t="s">
        <v>39243</v>
      </c>
      <c r="C31158" s="5" t="str">
        <f>IFERROR(__xludf.DUMMYFUNCTION("GOOGLETRANSLATE(B31158,""en"",""zh-CN"")"),"他继续砍木头。")</f>
        <v>他继续砍木头。</v>
      </c>
    </row>
    <row r="31159">
      <c r="A31159" s="4" t="s">
        <v>39244</v>
      </c>
      <c r="B31159" s="4" t="s">
        <v>39245</v>
      </c>
      <c r="C31159" s="5" t="str">
        <f>IFERROR(__xludf.DUMMYFUNCTION("GOOGLETRANSLATE(B31159,""en"",""zh-CN"")"),"游泳者在游泳池的一侧游泳，然后短暂停下来。")</f>
        <v>游泳者在游泳池的一侧游泳，然后短暂停下来。</v>
      </c>
    </row>
    <row r="31160">
      <c r="A31160" s="4" t="s">
        <v>39244</v>
      </c>
      <c r="B31160" s="4" t="s">
        <v>39246</v>
      </c>
      <c r="C31160" s="5" t="str">
        <f>IFERROR(__xludf.DUMMYFUNCTION("GOOGLETRANSLATE(B31160,""en"",""zh-CN"")"),"侧线上的一些游泳者正在看着他们。")</f>
        <v>侧线上的一些游泳者正在看着他们。</v>
      </c>
    </row>
    <row r="31161">
      <c r="A31161" s="4" t="s">
        <v>39244</v>
      </c>
      <c r="B31161" s="4" t="s">
        <v>39247</v>
      </c>
      <c r="C31161" s="5" t="str">
        <f>IFERROR(__xludf.DUMMYFUNCTION("GOOGLETRANSLATE(B31161,""en"",""zh-CN"")"),"他们开始来回扔一个球。")</f>
        <v>他们开始来回扔一个球。</v>
      </c>
    </row>
    <row r="31162">
      <c r="A31162" s="4" t="s">
        <v>39244</v>
      </c>
      <c r="B31162" s="4" t="s">
        <v>39248</v>
      </c>
      <c r="C31162" s="5" t="str">
        <f>IFERROR(__xludf.DUMMYFUNCTION("GOOGLETRANSLATE(B31162,""en"",""zh-CN"")"),"游泳池拐角处的一个男人试图接球并错过球。")</f>
        <v>游泳池拐角处的一个男人试图接球并错过球。</v>
      </c>
    </row>
    <row r="31163">
      <c r="A31163" s="4" t="s">
        <v>39249</v>
      </c>
      <c r="B31163" s="6" t="s">
        <v>39250</v>
      </c>
      <c r="C31163" s="5" t="str">
        <f>IFERROR(__xludf.DUMMYFUNCTION("GOOGLETRANSLATE(B31163,""en"",""zh-CN"")"),"一个女人说话，拿着两个哑铃时面对相机，然后在健身房的一堂课前展示了一次旋转循环练习。")</f>
        <v>一个女人说话，拿着两个哑铃时面对相机，然后在健身房的一堂课前展示了一次旋转循环练习。</v>
      </c>
    </row>
    <row r="31164">
      <c r="A31164" s="4" t="s">
        <v>39249</v>
      </c>
      <c r="B31164" s="6" t="s">
        <v>39251</v>
      </c>
      <c r="C31164" s="5" t="str">
        <f>IFERROR(__xludf.DUMMYFUNCTION("GOOGLETRANSLATE(B31164,""en"",""zh-CN"")"),"一个女人站在镜头，在健身房中，一边有镜子的墙壁，她的身边和几个人站在各种健身器材的后面。")</f>
        <v>一个女人站在镜头，在健身房中，一边有镜子的墙壁，她的身边和几个人站在各种健身器材的后面。</v>
      </c>
    </row>
    <row r="31165">
      <c r="A31165" s="4" t="s">
        <v>39249</v>
      </c>
      <c r="B31165" s="6" t="s">
        <v>39252</v>
      </c>
      <c r="C31165" s="5" t="str">
        <f>IFERROR(__xludf.DUMMYFUNCTION("GOOGLETRANSLATE(B31165,""en"",""zh-CN"")"),"这位女士现在戴着一辆戴着麦克风的耳机，上面贴在烟嘴上，在镜子前的旋转自行车机上开始非常快速地骑自行车，而她身后的一类人也在旋转自行车机上。")</f>
        <v>这位女士现在戴着一辆戴着麦克风的耳机，上面贴在烟嘴上，在镜子前的旋转自行车机上开始非常快速地骑自行车，而她身后的一类人也在旋转自行车机上。</v>
      </c>
    </row>
    <row r="31166">
      <c r="A31166" s="4" t="s">
        <v>39249</v>
      </c>
      <c r="B31166" s="6" t="s">
        <v>39253</v>
      </c>
      <c r="C31166" s="5" t="str">
        <f>IFERROR(__xludf.DUMMYFUNCTION("GOOGLETRANSLATE(B31166,""en"",""zh-CN"")"),"然后，该名女子站着时用手臂举起哑铃，坐在地板上抬起哑铃，然后在现场逐渐消失之前返回旋转自行车机。")</f>
        <v>然后，该名女子站着时用手臂举起哑铃，坐在地板上抬起哑铃，然后在现场逐渐消失之前返回旋转自行车机。</v>
      </c>
    </row>
    <row r="31167">
      <c r="A31167" s="4" t="s">
        <v>39254</v>
      </c>
      <c r="B31167" s="4" t="s">
        <v>39255</v>
      </c>
      <c r="C31167" s="5" t="str">
        <f>IFERROR(__xludf.DUMMYFUNCTION("GOOGLETRANSLATE(B31167,""en"",""zh-CN"")"),"四名男子在一个田野里，互相扔棒球。")</f>
        <v>四名男子在一个田野里，互相扔棒球。</v>
      </c>
    </row>
    <row r="31168">
      <c r="A31168" s="4" t="s">
        <v>39254</v>
      </c>
      <c r="B31168" s="4" t="s">
        <v>39256</v>
      </c>
      <c r="C31168" s="5" t="str">
        <f>IFERROR(__xludf.DUMMYFUNCTION("GOOGLETRANSLATE(B31168,""en"",""zh-CN"")"),"然后，一个球滚进一个池塘，一个小男孩抓住它并扔掉它。")</f>
        <v>然后，一个球滚进一个池塘，一个小男孩抓住它并扔掉它。</v>
      </c>
    </row>
    <row r="31169">
      <c r="A31169" s="4" t="s">
        <v>39254</v>
      </c>
      <c r="B31169" s="4" t="s">
        <v>39257</v>
      </c>
      <c r="C31169" s="5" t="str">
        <f>IFERROR(__xludf.DUMMYFUNCTION("GOOGLETRANSLATE(B31169,""en"",""zh-CN"")"),"场景移至操场，男孩们开始沿着滑梯往下走。")</f>
        <v>场景移至操场，男孩们开始沿着滑梯往下走。</v>
      </c>
    </row>
    <row r="31170">
      <c r="A31170" s="4" t="s">
        <v>39254</v>
      </c>
      <c r="B31170" s="6" t="s">
        <v>39258</v>
      </c>
      <c r="C31170" s="5" t="str">
        <f>IFERROR(__xludf.DUMMYFUNCTION("GOOGLETRANSLATE(B31170,""en"",""zh-CN"")"),"展示了更多的孩子，他们正在做各种活动，例如锯，猴子酒吧和秋千。")</f>
        <v>展示了更多的孩子，他们正在做各种活动，例如锯，猴子酒吧和秋千。</v>
      </c>
    </row>
    <row r="31171">
      <c r="A31171" s="4" t="s">
        <v>39254</v>
      </c>
      <c r="B31171" s="4" t="s">
        <v>39259</v>
      </c>
      <c r="C31171" s="5" t="str">
        <f>IFERROR(__xludf.DUMMYFUNCTION("GOOGLETRANSLATE(B31171,""en"",""zh-CN"")"),"在侧面，一个男孩开始抽出轮胎，一个小婴儿在盆地沐浴。")</f>
        <v>在侧面，一个男孩开始抽出轮胎，一个小婴儿在盆地沐浴。</v>
      </c>
    </row>
    <row r="31172">
      <c r="A31172" s="4" t="s">
        <v>39260</v>
      </c>
      <c r="B31172" s="4" t="s">
        <v>39261</v>
      </c>
      <c r="C31172" s="5" t="str">
        <f>IFERROR(__xludf.DUMMYFUNCTION("GOOGLETRANSLATE(B31172,""en"",""zh-CN"")"),"运动讲师正在解释步骤。")</f>
        <v>运动讲师正在解释步骤。</v>
      </c>
    </row>
    <row r="31173">
      <c r="A31173" s="4" t="s">
        <v>39260</v>
      </c>
      <c r="B31173" s="4" t="s">
        <v>39262</v>
      </c>
      <c r="C31173" s="5" t="str">
        <f>IFERROR(__xludf.DUMMYFUNCTION("GOOGLETRANSLATE(B31173,""en"",""zh-CN"")"),"她加紧努力，开始展示练习。")</f>
        <v>她加紧努力，开始展示练习。</v>
      </c>
    </row>
    <row r="31174">
      <c r="A31174" s="4" t="s">
        <v>39260</v>
      </c>
      <c r="B31174" s="6" t="s">
        <v>39263</v>
      </c>
      <c r="C31174" s="5" t="str">
        <f>IFERROR(__xludf.DUMMYFUNCTION("GOOGLETRANSLATE(B31174,""en"",""zh-CN"")"),"她前进，展示了更多的练习，上下踩着脚步时举起手臂。")</f>
        <v>她前进，展示了更多的练习，上下踩着脚步时举起手臂。</v>
      </c>
    </row>
    <row r="31175">
      <c r="A31175" s="4" t="s">
        <v>39260</v>
      </c>
      <c r="B31175" s="4" t="s">
        <v>39264</v>
      </c>
      <c r="C31175" s="5" t="str">
        <f>IFERROR(__xludf.DUMMYFUNCTION("GOOGLETRANSLATE(B31175,""en"",""zh-CN"")"),"她停下来解释更多。")</f>
        <v>她停下来解释更多。</v>
      </c>
    </row>
    <row r="31176">
      <c r="A31176" s="4" t="s">
        <v>39260</v>
      </c>
      <c r="B31176" s="4" t="s">
        <v>39265</v>
      </c>
      <c r="C31176" s="5" t="str">
        <f>IFERROR(__xludf.DUMMYFUNCTION("GOOGLETRANSLATE(B31176,""en"",""zh-CN"")"),"她回到了步骤，开始了更多的进步步骤。")</f>
        <v>她回到了步骤，开始了更多的进步步骤。</v>
      </c>
    </row>
    <row r="31177">
      <c r="A31177" s="4" t="s">
        <v>39260</v>
      </c>
      <c r="B31177" s="4" t="s">
        <v>39266</v>
      </c>
      <c r="C31177" s="5" t="str">
        <f>IFERROR(__xludf.DUMMYFUNCTION("GOOGLETRANSLATE(B31177,""en"",""zh-CN"")"),"她停了一会儿，再次显示了快速的一步。")</f>
        <v>她停了一会儿，再次显示了快速的一步。</v>
      </c>
    </row>
    <row r="31178">
      <c r="A31178" s="4" t="s">
        <v>39267</v>
      </c>
      <c r="B31178" s="4" t="s">
        <v>39268</v>
      </c>
      <c r="C31178" s="5" t="str">
        <f>IFERROR(__xludf.DUMMYFUNCTION("GOOGLETRANSLATE(B31178,""en"",""zh-CN"")"),"两个男人在昏暗的房间里一起在吉他上播放一首歌。")</f>
        <v>两个男人在昏暗的房间里一起在吉他上播放一首歌。</v>
      </c>
    </row>
    <row r="31179">
      <c r="A31179" s="4" t="s">
        <v>39267</v>
      </c>
      <c r="B31179" s="4" t="s">
        <v>39269</v>
      </c>
      <c r="C31179" s="5" t="str">
        <f>IFERROR(__xludf.DUMMYFUNCTION("GOOGLETRANSLATE(B31179,""en"",""zh-CN"")"),"弹奏原声吉他。")</f>
        <v>弹奏原声吉他。</v>
      </c>
    </row>
    <row r="31180">
      <c r="A31180" s="4" t="s">
        <v>39270</v>
      </c>
      <c r="B31180" s="4" t="s">
        <v>39271</v>
      </c>
      <c r="C31180" s="5" t="str">
        <f>IFERROR(__xludf.DUMMYFUNCTION("GOOGLETRANSLATE(B31180,""en"",""zh-CN"")"),"在加速模式下，一个老人走到房子的前面，抓住蓝色的雪犁。")</f>
        <v>在加速模式下，一个老人走到房子的前面，抓住蓝色的雪犁。</v>
      </c>
    </row>
    <row r="31181">
      <c r="A31181" s="4" t="s">
        <v>39270</v>
      </c>
      <c r="B31181" s="4" t="s">
        <v>39272</v>
      </c>
      <c r="C31181" s="5" t="str">
        <f>IFERROR(__xludf.DUMMYFUNCTION("GOOGLETRANSLATE(B31181,""en"",""zh-CN"")"),"在加速模式下继续，该男子开始耕种雪以迈进一条路。")</f>
        <v>在加速模式下继续，该男子开始耕种雪以迈进一条路。</v>
      </c>
    </row>
    <row r="31182">
      <c r="A31182" s="4" t="s">
        <v>39270</v>
      </c>
      <c r="B31182" s="4" t="s">
        <v>39273</v>
      </c>
      <c r="C31182" s="5" t="str">
        <f>IFERROR(__xludf.DUMMYFUNCTION("GOOGLETRANSLATE(B31182,""en"",""zh-CN"")"),"然后，该男子移动相机视图，并在围起来的不同区域中耕种雪。")</f>
        <v>然后，该男子移动相机视图，并在围起来的不同区域中耕种雪。</v>
      </c>
    </row>
    <row r="31183">
      <c r="A31183" s="4" t="s">
        <v>39270</v>
      </c>
      <c r="B31183" s="4" t="s">
        <v>39274</v>
      </c>
      <c r="C31183" s="5" t="str">
        <f>IFERROR(__xludf.DUMMYFUNCTION("GOOGLETRANSLATE(B31183,""en"",""zh-CN"")"),"该名男子抓住相机，指向犁，然后锅前往院子的不同区域。")</f>
        <v>该名男子抓住相机，指向犁，然后锅前往院子的不同区域。</v>
      </c>
    </row>
    <row r="31184">
      <c r="A31184" s="4" t="s">
        <v>39270</v>
      </c>
      <c r="B31184" s="6" t="s">
        <v>39275</v>
      </c>
      <c r="C31184" s="5" t="str">
        <f>IFERROR(__xludf.DUMMYFUNCTION("GOOGLETRANSLATE(B31184,""en"",""zh-CN"")"),"然后，该男子去室内，展示一个充满工具和用品的混乱和混乱的车间。")</f>
        <v>然后，该男子去室内，展示一个充满工具和用品的混乱和混乱的车间。</v>
      </c>
    </row>
    <row r="31185">
      <c r="A31185" s="4" t="s">
        <v>39270</v>
      </c>
      <c r="B31185" s="6" t="s">
        <v>39276</v>
      </c>
      <c r="C31185" s="5" t="str">
        <f>IFERROR(__xludf.DUMMYFUNCTION("GOOGLETRANSLATE(B31185,""en"",""zh-CN"")"),"该男子回到外面，展示他的狗，在院子里走来走去，把狗放下，狗跑回车间，将门打开。")</f>
        <v>该男子回到外面，展示他的狗，在院子里走来走去，把狗放下，狗跑回车间，将门打开。</v>
      </c>
    </row>
    <row r="31186">
      <c r="A31186" s="4" t="s">
        <v>39277</v>
      </c>
      <c r="B31186" s="4" t="s">
        <v>573</v>
      </c>
      <c r="C31186" s="5" t="str">
        <f>IFERROR(__xludf.DUMMYFUNCTION("GOOGLETRANSLATE(B31186,""en"",""zh-CN"")"),"显示了视频的积分。")</f>
        <v>显示了视频的积分。</v>
      </c>
    </row>
    <row r="31187">
      <c r="A31187" s="4" t="s">
        <v>39277</v>
      </c>
      <c r="B31187" s="4" t="s">
        <v>39278</v>
      </c>
      <c r="C31187" s="5" t="str">
        <f>IFERROR(__xludf.DUMMYFUNCTION("GOOGLETRANSLATE(B31187,""en"",""zh-CN"")"),"一位女士坐下来，说话，喝咖啡。")</f>
        <v>一位女士坐下来，说话，喝咖啡。</v>
      </c>
    </row>
    <row r="31188">
      <c r="A31188" s="4" t="s">
        <v>39277</v>
      </c>
      <c r="B31188" s="4" t="s">
        <v>39279</v>
      </c>
      <c r="C31188" s="5" t="str">
        <f>IFERROR(__xludf.DUMMYFUNCTION("GOOGLETRANSLATE(B31188,""en"",""zh-CN"")"),"显示了剪辑的学分。")</f>
        <v>显示了剪辑的学分。</v>
      </c>
    </row>
    <row r="31189">
      <c r="A31189" s="4" t="s">
        <v>39280</v>
      </c>
      <c r="B31189" s="4" t="s">
        <v>39281</v>
      </c>
      <c r="C31189" s="5" t="str">
        <f>IFERROR(__xludf.DUMMYFUNCTION("GOOGLETRANSLATE(B31189,""en"",""zh-CN"")"),"一个老人将盐放在锅中的保龄球上，然后添加意大利面，煮一分钟。")</f>
        <v>一个老人将盐放在锅中的保龄球上，然后添加意大利面，煮一分钟。</v>
      </c>
    </row>
    <row r="31190">
      <c r="A31190" s="4" t="s">
        <v>39280</v>
      </c>
      <c r="B31190" s="4" t="s">
        <v>39282</v>
      </c>
      <c r="C31190" s="5" t="str">
        <f>IFERROR(__xludf.DUMMYFUNCTION("GOOGLETRANSLATE(B31190,""en"",""zh-CN"")"),"然后，该男子关掉炉子，在锅上放一块布和盖子，让它静置10分钟。")</f>
        <v>然后，该男子关掉炉子，在锅上放一块布和盖子，让它静置10分钟。</v>
      </c>
    </row>
    <row r="31191">
      <c r="A31191" s="4" t="s">
        <v>39280</v>
      </c>
      <c r="B31191" s="4" t="s">
        <v>39283</v>
      </c>
      <c r="C31191" s="5" t="str">
        <f>IFERROR(__xludf.DUMMYFUNCTION("GOOGLETRANSLATE(B31191,""en"",""zh-CN"")"),"之后，该男子将意大利面排在水槽中。")</f>
        <v>之后，该男子将意大利面排在水槽中。</v>
      </c>
    </row>
    <row r="31192">
      <c r="A31192" s="4" t="s">
        <v>39280</v>
      </c>
      <c r="B31192" s="4" t="s">
        <v>39284</v>
      </c>
      <c r="C31192" s="5" t="str">
        <f>IFERROR(__xludf.DUMMYFUNCTION("GOOGLETRANSLATE(B31192,""en"",""zh-CN"")"),"一个女人来品尝煮熟的意大利面，并重击。")</f>
        <v>一个女人来品尝煮熟的意大利面，并重击。</v>
      </c>
    </row>
    <row r="31193">
      <c r="A31193" s="4" t="s">
        <v>39285</v>
      </c>
      <c r="B31193" s="4" t="s">
        <v>39286</v>
      </c>
      <c r="C31193" s="5" t="str">
        <f>IFERROR(__xludf.DUMMYFUNCTION("GOOGLETRANSLATE(B31193,""en"",""zh-CN"")"),"看到一个男人坐在管子里说话，并导致人们围绕着载着管。")</f>
        <v>看到一个男人坐在管子里说话，并导致人们围绕着载着管。</v>
      </c>
    </row>
    <row r="31194">
      <c r="A31194" s="4" t="s">
        <v>39285</v>
      </c>
      <c r="B31194" s="4" t="s">
        <v>39287</v>
      </c>
      <c r="C31194" s="5" t="str">
        <f>IFERROR(__xludf.DUMMYFUNCTION("GOOGLETRANSLATE(B31194,""en"",""zh-CN"")"),"显示了水的镜头，后面是人们沿着管子上的一条河骑行。")</f>
        <v>显示了水的镜头，后面是人们沿着管子上的一条河骑行。</v>
      </c>
    </row>
    <row r="31195">
      <c r="A31195" s="4" t="s">
        <v>39285</v>
      </c>
      <c r="B31195" s="4" t="s">
        <v>39288</v>
      </c>
      <c r="C31195" s="5" t="str">
        <f>IFERROR(__xludf.DUMMYFUNCTION("GOOGLETRANSLATE(B31195,""en"",""zh-CN"")"),"人们在旁边看着时，人们继续又一个接一个地骑行。")</f>
        <v>人们在旁边看着时，人们继续又一个接一个地骑行。</v>
      </c>
    </row>
    <row r="31196">
      <c r="A31196" s="4" t="s">
        <v>39289</v>
      </c>
      <c r="B31196" s="4" t="s">
        <v>39290</v>
      </c>
      <c r="C31196" s="5" t="str">
        <f>IFERROR(__xludf.DUMMYFUNCTION("GOOGLETRANSLATE(B31196,""en"",""zh-CN"")"),"一个女孩用橙色，玩蝙蝠击中Pinata。")</f>
        <v>一个女孩用橙色，玩蝙蝠击中Pinata。</v>
      </c>
    </row>
    <row r="31197">
      <c r="A31197" s="4" t="s">
        <v>39289</v>
      </c>
      <c r="B31197" s="4" t="s">
        <v>39291</v>
      </c>
      <c r="C31197" s="5" t="str">
        <f>IFERROR(__xludf.DUMMYFUNCTION("GOOGLETRANSLATE(B31197,""en"",""zh-CN"")"),"蝙蝠掉下来，女孩捡起它。")</f>
        <v>蝙蝠掉下来，女孩捡起它。</v>
      </c>
    </row>
    <row r="31198">
      <c r="A31198" s="4" t="s">
        <v>39289</v>
      </c>
      <c r="B31198" s="4" t="s">
        <v>39292</v>
      </c>
      <c r="C31198" s="5" t="str">
        <f>IFERROR(__xludf.DUMMYFUNCTION("GOOGLETRANSLATE(B31198,""en"",""zh-CN"")"),"在她的身后，一个男孩展示了她应该如何击中并为她加油。")</f>
        <v>在她的身后，一个男孩展示了她应该如何击中并为她加油。</v>
      </c>
    </row>
    <row r="31199">
      <c r="A31199" s="4" t="s">
        <v>39293</v>
      </c>
      <c r="B31199" s="4" t="s">
        <v>39294</v>
      </c>
      <c r="C31199" s="5" t="str">
        <f>IFERROR(__xludf.DUMMYFUNCTION("GOOGLETRANSLATE(B31199,""en"",""zh-CN"")"),"在一个室内球场团队中，男子踢足球，而观众坐在体育场。")</f>
        <v>在一个室内球场团队中，男子踢足球，而观众坐在体育场。</v>
      </c>
    </row>
    <row r="31200">
      <c r="A31200" s="4" t="s">
        <v>39293</v>
      </c>
      <c r="B31200" s="6" t="s">
        <v>39295</v>
      </c>
      <c r="C31200" s="5" t="str">
        <f>IFERROR(__xludf.DUMMYFUNCTION("GOOGLETRANSLATE(B31200,""en"",""zh-CN"")"),"黑色的球队正试图阻止另一支球队的红色得分，守门员阻止了得分。")</f>
        <v>黑色的球队正试图阻止另一支球队的红色得分，守门员阻止了得分。</v>
      </c>
    </row>
    <row r="31201">
      <c r="A31201" s="4" t="s">
        <v>39293</v>
      </c>
      <c r="B31201" s="4" t="s">
        <v>39296</v>
      </c>
      <c r="C31201" s="5" t="str">
        <f>IFERROR(__xludf.DUMMYFUNCTION("GOOGLETRANSLATE(B31201,""en"",""zh-CN"")"),"他们在球场上上下跑，试图得分并阻止对方得分。")</f>
        <v>他们在球场上上下跑，试图得分并阻止对方得分。</v>
      </c>
    </row>
    <row r="31202">
      <c r="A31202" s="4" t="s">
        <v>39293</v>
      </c>
      <c r="B31202" s="4" t="s">
        <v>39297</v>
      </c>
      <c r="C31202" s="5" t="str">
        <f>IFERROR(__xludf.DUMMYFUNCTION("GOOGLETRANSLATE(B31202,""en"",""zh-CN"")"),"红队得分，是1-1，他们继续在比赛结束之前重新回到球场上。")</f>
        <v>红队得分，是1-1，他们继续在比赛结束之前重新回到球场上。</v>
      </c>
    </row>
    <row r="31203">
      <c r="A31203" s="4" t="s">
        <v>39298</v>
      </c>
      <c r="B31203" s="4" t="s">
        <v>39299</v>
      </c>
      <c r="C31203" s="5" t="str">
        <f>IFERROR(__xludf.DUMMYFUNCTION("GOOGLETRANSLATE(B31203,""en"",""zh-CN"")"),"乐队在舞台上演奏。")</f>
        <v>乐队在舞台上演奏。</v>
      </c>
    </row>
    <row r="31204">
      <c r="A31204" s="4" t="s">
        <v>39298</v>
      </c>
      <c r="B31204" s="4" t="s">
        <v>39300</v>
      </c>
      <c r="C31204" s="5" t="str">
        <f>IFERROR(__xludf.DUMMYFUNCTION("GOOGLETRANSLATE(B31204,""en"",""zh-CN"")"),"一个穿着西装的男人戴着太阳镜在前面扮演萨克斯管。")</f>
        <v>一个穿着西装的男人戴着太阳镜在前面扮演萨克斯管。</v>
      </c>
    </row>
    <row r="31205">
      <c r="A31205" s="4" t="s">
        <v>39301</v>
      </c>
      <c r="B31205" s="6" t="s">
        <v>39302</v>
      </c>
      <c r="C31205" s="5" t="str">
        <f>IFERROR(__xludf.DUMMYFUNCTION("GOOGLETRANSLATE(B31205,""en"",""zh-CN"")"),"各种剪辑显示了一个男人醒来的登机，然后翻转，然后他坐在船上并与镜头说话。")</f>
        <v>各种剪辑显示了一个男人醒来的登机，然后翻转，然后他坐在船上并与镜头说话。</v>
      </c>
    </row>
    <row r="31206">
      <c r="A31206" s="4" t="s">
        <v>39301</v>
      </c>
      <c r="B31206" s="6" t="s">
        <v>39303</v>
      </c>
      <c r="C31206" s="5" t="str">
        <f>IFERROR(__xludf.DUMMYFUNCTION("GOOGLETRANSLATE(B31206,""en"",""zh-CN"")"),"还显示了他的骑行和说话的几枪，还有一个金发女子唤醒登机。")</f>
        <v>还显示了他的骑行和说话的几枪，还有一个金发女子唤醒登机。</v>
      </c>
    </row>
    <row r="31207">
      <c r="A31207" s="4" t="s">
        <v>39301</v>
      </c>
      <c r="B31207" s="4" t="s">
        <v>39304</v>
      </c>
      <c r="C31207" s="5" t="str">
        <f>IFERROR(__xludf.DUMMYFUNCTION("GOOGLETRANSLATE(B31207,""en"",""zh-CN"")"),"两人一起沿着水骑行，而男人则继续与相机说话。")</f>
        <v>两人一起沿着水骑行，而男人则继续与相机说话。</v>
      </c>
    </row>
    <row r="31208">
      <c r="A31208" s="4" t="s">
        <v>39305</v>
      </c>
      <c r="B31208" s="4" t="s">
        <v>31981</v>
      </c>
      <c r="C31208" s="5" t="str">
        <f>IFERROR(__xludf.DUMMYFUNCTION("GOOGLETRANSLATE(B31208,""en"",""zh-CN"")"),"屏幕上出现一个标志。")</f>
        <v>屏幕上出现一个标志。</v>
      </c>
    </row>
    <row r="31209">
      <c r="A31209" s="4" t="s">
        <v>39305</v>
      </c>
      <c r="B31209" s="4" t="s">
        <v>39306</v>
      </c>
      <c r="C31209" s="5" t="str">
        <f>IFERROR(__xludf.DUMMYFUNCTION("GOOGLETRANSLATE(B31209,""en"",""zh-CN"")"),"一支乐队出现，在街上沿着田野行走时，他们为人群演奏。")</f>
        <v>一支乐队出现，在街上沿着田野行走时，他们为人群演奏。</v>
      </c>
    </row>
    <row r="31210">
      <c r="A31210" s="4" t="s">
        <v>39305</v>
      </c>
      <c r="B31210" s="4" t="s">
        <v>39307</v>
      </c>
      <c r="C31210" s="5" t="str">
        <f>IFERROR(__xludf.DUMMYFUNCTION("GOOGLETRANSLATE(B31210,""en"",""zh-CN"")"),"屏幕上出现单词，谈论3月4日游行庆祝。")</f>
        <v>屏幕上出现单词，谈论3月4日游行庆祝。</v>
      </c>
    </row>
    <row r="31211">
      <c r="A31211" s="4" t="s">
        <v>39308</v>
      </c>
      <c r="B31211" s="4" t="s">
        <v>39309</v>
      </c>
      <c r="C31211" s="5" t="str">
        <f>IFERROR(__xludf.DUMMYFUNCTION("GOOGLETRANSLATE(B31211,""en"",""zh-CN"")"),"介绍出现在屏幕上，以获取有关乐队巡回演出的视频。")</f>
        <v>介绍出现在屏幕上，以获取有关乐队巡回演出的视频。</v>
      </c>
    </row>
    <row r="31212">
      <c r="A31212" s="4" t="s">
        <v>39308</v>
      </c>
      <c r="B31212" s="4" t="s">
        <v>39310</v>
      </c>
      <c r="C31212" s="5" t="str">
        <f>IFERROR(__xludf.DUMMYFUNCTION("GOOGLETRANSLATE(B31212,""en"",""zh-CN"")"),"他们被证明在理发店中发理发表，并评论发型。")</f>
        <v>他们被证明在理发店中发理发表，并评论发型。</v>
      </c>
    </row>
    <row r="31213">
      <c r="A31213" s="4" t="s">
        <v>39308</v>
      </c>
      <c r="B31213" s="6" t="s">
        <v>39311</v>
      </c>
      <c r="C31213" s="5" t="str">
        <f>IFERROR(__xludf.DUMMYFUNCTION("GOOGLETRANSLATE(B31213,""en"",""zh-CN"")"),"他们还与几个人一起跳舞并度过美好时光的会议上也被表现出来。")</f>
        <v>他们还与几个人一起跳舞并度过美好时光的会议上也被表现出来。</v>
      </c>
    </row>
    <row r="31214">
      <c r="A31214" s="4" t="s">
        <v>39308</v>
      </c>
      <c r="B31214" s="4" t="s">
        <v>4761</v>
      </c>
      <c r="C31214" s="5" t="str">
        <f>IFERROR(__xludf.DUMMYFUNCTION("GOOGLETRANSLATE(B31214,""en"",""zh-CN"")"),"视频以屏幕上显示的结尾学分结束。")</f>
        <v>视频以屏幕上显示的结尾学分结束。</v>
      </c>
    </row>
    <row r="31215">
      <c r="A31215" s="4" t="s">
        <v>39312</v>
      </c>
      <c r="B31215" s="4" t="s">
        <v>14047</v>
      </c>
      <c r="C31215" s="5" t="str">
        <f>IFERROR(__xludf.DUMMYFUNCTION("GOOGLETRANSLATE(B31215,""en"",""zh-CN"")"),"显示了视频的积分。")</f>
        <v>显示了视频的积分。</v>
      </c>
    </row>
    <row r="31216">
      <c r="A31216" s="4" t="s">
        <v>39312</v>
      </c>
      <c r="B31216" s="4" t="s">
        <v>39313</v>
      </c>
      <c r="C31216" s="5" t="str">
        <f>IFERROR(__xludf.DUMMYFUNCTION("GOOGLETRANSLATE(B31216,""en"",""zh-CN"")"),"一个人耙棕色在草坪上离开。")</f>
        <v>一个人耙棕色在草坪上离开。</v>
      </c>
    </row>
    <row r="31217">
      <c r="A31217" s="4" t="s">
        <v>39312</v>
      </c>
      <c r="B31217" s="4" t="s">
        <v>39314</v>
      </c>
      <c r="C31217" s="5" t="str">
        <f>IFERROR(__xludf.DUMMYFUNCTION("GOOGLETRANSLATE(B31217,""en"",""zh-CN"")"),"该男子把叶子放在垃圾桶里。")</f>
        <v>该男子把叶子放在垃圾桶里。</v>
      </c>
    </row>
    <row r="31218">
      <c r="A31218" s="4" t="s">
        <v>39312</v>
      </c>
      <c r="B31218" s="4" t="s">
        <v>39315</v>
      </c>
      <c r="C31218" s="5" t="str">
        <f>IFERROR(__xludf.DUMMYFUNCTION("GOOGLETRANSLATE(B31218,""en"",""zh-CN"")"),"该男子停下来移动垃圾桶。")</f>
        <v>该男子停下来移动垃圾桶。</v>
      </c>
    </row>
    <row r="31219">
      <c r="A31219" s="4" t="s">
        <v>39312</v>
      </c>
      <c r="B31219" s="4" t="s">
        <v>39316</v>
      </c>
      <c r="C31219" s="5" t="str">
        <f>IFERROR(__xludf.DUMMYFUNCTION("GOOGLETRANSLATE(B31219,""en"",""zh-CN"")"),"该名男子从口袋里掏出一个黑色物体，并提出。")</f>
        <v>该名男子从口袋里掏出一个黑色物体，并提出。</v>
      </c>
    </row>
    <row r="31220">
      <c r="A31220" s="4" t="s">
        <v>39312</v>
      </c>
      <c r="B31220" s="4" t="s">
        <v>39317</v>
      </c>
      <c r="C31220" s="5" t="str">
        <f>IFERROR(__xludf.DUMMYFUNCTION("GOOGLETRANSLATE(B31220,""en"",""zh-CN"")"),"该人在耙手柄的末端拧紧黑色物体。")</f>
        <v>该人在耙手柄的末端拧紧黑色物体。</v>
      </c>
    </row>
    <row r="31221">
      <c r="A31221" s="4" t="s">
        <v>39312</v>
      </c>
      <c r="B31221" s="4" t="s">
        <v>39318</v>
      </c>
      <c r="C31221" s="5" t="str">
        <f>IFERROR(__xludf.DUMMYFUNCTION("GOOGLETRANSLATE(B31221,""en"",""zh-CN"")"),"该人移动垃圾桶和耙子。")</f>
        <v>该人移动垃圾桶和耙子。</v>
      </c>
    </row>
    <row r="31222">
      <c r="A31222" s="4" t="s">
        <v>39312</v>
      </c>
      <c r="B31222" s="4" t="s">
        <v>39319</v>
      </c>
      <c r="C31222" s="5" t="str">
        <f>IFERROR(__xludf.DUMMYFUNCTION("GOOGLETRANSLATE(B31222,""en"",""zh-CN"")"),"该男子停止耙开，走向一棵树，将耙子挂在树上。")</f>
        <v>该男子停止耙开，走向一棵树，将耙子挂在树上。</v>
      </c>
    </row>
    <row r="31223">
      <c r="A31223" s="4" t="s">
        <v>39312</v>
      </c>
      <c r="B31223" s="4" t="s">
        <v>39320</v>
      </c>
      <c r="C31223" s="5" t="str">
        <f>IFERROR(__xludf.DUMMYFUNCTION("GOOGLETRANSLATE(B31223,""en"",""zh-CN"")"),"该名男子将一对耙子拔出，并将其抬起头顶。")</f>
        <v>该名男子将一对耙子拔出，并将其抬起头顶。</v>
      </c>
    </row>
    <row r="31224">
      <c r="A31224" s="4" t="s">
        <v>39312</v>
      </c>
      <c r="B31224" s="4" t="s">
        <v>39321</v>
      </c>
      <c r="C31224" s="5" t="str">
        <f>IFERROR(__xludf.DUMMYFUNCTION("GOOGLETRANSLATE(B31224,""en"",""zh-CN"")"),"该男子用双耙子捡起叶子，将它们放入垃圾桶中。")</f>
        <v>该男子用双耙子捡起叶子，将它们放入垃圾桶中。</v>
      </c>
    </row>
    <row r="31225">
      <c r="A31225" s="4" t="s">
        <v>39312</v>
      </c>
      <c r="B31225" s="4" t="s">
        <v>39322</v>
      </c>
      <c r="C31225" s="5" t="str">
        <f>IFERROR(__xludf.DUMMYFUNCTION("GOOGLETRANSLATE(B31225,""en"",""zh-CN"")"),"该名男子将双重耙子抬到头顶上，然后将它们搭配在一起。")</f>
        <v>该名男子将双重耙子抬到头顶上，然后将它们搭配在一起。</v>
      </c>
    </row>
    <row r="31226">
      <c r="A31226" s="4" t="s">
        <v>39312</v>
      </c>
      <c r="B31226" s="4" t="s">
        <v>39323</v>
      </c>
      <c r="C31226" s="5" t="str">
        <f>IFERROR(__xludf.DUMMYFUNCTION("GOOGLETRANSLATE(B31226,""en"",""zh-CN"")"),"该男子将配对的耙子带回树上，将它们挂在树枝上。")</f>
        <v>该男子将配对的耙子带回树上，将它们挂在树枝上。</v>
      </c>
    </row>
    <row r="31227">
      <c r="A31227" s="4" t="s">
        <v>39312</v>
      </c>
      <c r="B31227" s="4" t="s">
        <v>25249</v>
      </c>
      <c r="C31227" s="5" t="str">
        <f>IFERROR(__xludf.DUMMYFUNCTION("GOOGLETRANSLATE(B31227,""en"",""zh-CN"")"),"显示了剪辑的信用。")</f>
        <v>显示了剪辑的信用。</v>
      </c>
    </row>
    <row r="31228">
      <c r="A31228" s="4" t="s">
        <v>39324</v>
      </c>
      <c r="B31228" s="4" t="s">
        <v>39325</v>
      </c>
      <c r="C31228" s="5" t="str">
        <f>IFERROR(__xludf.DUMMYFUNCTION("GOOGLETRANSLATE(B31228,""en"",""zh-CN"")"),"一个穿着白色围裙的女人正在将生菜切在木板上。")</f>
        <v>一个穿着白色围裙的女人正在将生菜切在木板上。</v>
      </c>
    </row>
    <row r="31229">
      <c r="A31229" s="4" t="s">
        <v>39324</v>
      </c>
      <c r="B31229" s="4" t="s">
        <v>39326</v>
      </c>
      <c r="C31229" s="5" t="str">
        <f>IFERROR(__xludf.DUMMYFUNCTION("GOOGLETRANSLATE(B31229,""en"",""zh-CN"")"),"她干燥并切一些黄瓜放入一碗沙拉中。")</f>
        <v>她干燥并切一些黄瓜放入一碗沙拉中。</v>
      </c>
    </row>
    <row r="31230">
      <c r="A31230" s="4" t="s">
        <v>39324</v>
      </c>
      <c r="B31230" s="4" t="s">
        <v>39327</v>
      </c>
      <c r="C31230" s="5" t="str">
        <f>IFERROR(__xludf.DUMMYFUNCTION("GOOGLETRANSLATE(B31230,""en"",""zh-CN"")"),"她用手扔沙拉。")</f>
        <v>她用手扔沙拉。</v>
      </c>
    </row>
    <row r="31231">
      <c r="A31231" s="4" t="s">
        <v>39324</v>
      </c>
      <c r="B31231" s="4" t="s">
        <v>39328</v>
      </c>
      <c r="C31231" s="5" t="str">
        <f>IFERROR(__xludf.DUMMYFUNCTION("GOOGLETRANSLATE(B31231,""en"",""zh-CN"")"),"她抓住一瓶醋，将其倒在沙拉的顶部。")</f>
        <v>她抓住一瓶醋，将其倒在沙拉的顶部。</v>
      </c>
    </row>
    <row r="31232">
      <c r="A31232" s="4" t="s">
        <v>39324</v>
      </c>
      <c r="B31232" s="4" t="s">
        <v>39329</v>
      </c>
      <c r="C31232" s="5" t="str">
        <f>IFERROR(__xludf.DUMMYFUNCTION("GOOGLETRANSLATE(B31232,""en"",""zh-CN"")"),"她用牙齿打开一个瓶子，也将其倒在沙拉上。")</f>
        <v>她用牙齿打开一个瓶子，也将其倒在沙拉上。</v>
      </c>
    </row>
    <row r="31233">
      <c r="A31233" s="4" t="s">
        <v>39324</v>
      </c>
      <c r="B31233" s="4" t="s">
        <v>39330</v>
      </c>
      <c r="C31233" s="5" t="str">
        <f>IFERROR(__xludf.DUMMYFUNCTION("GOOGLETRANSLATE(B31233,""en"",""zh-CN"")"),"她在沙拉上加了更多的调味料。")</f>
        <v>她在沙拉上加了更多的调味料。</v>
      </c>
    </row>
    <row r="31234">
      <c r="A31234" s="4" t="s">
        <v>39324</v>
      </c>
      <c r="B31234" s="4" t="s">
        <v>39331</v>
      </c>
      <c r="C31234" s="5" t="str">
        <f>IFERROR(__xludf.DUMMYFUNCTION("GOOGLETRANSLATE(B31234,""en"",""zh-CN"")"),"背景中的一位女士正在将萨兰包裹起来。")</f>
        <v>背景中的一位女士正在将萨兰包裹起来。</v>
      </c>
    </row>
    <row r="31235">
      <c r="A31235" s="4" t="s">
        <v>39324</v>
      </c>
      <c r="B31235" s="4" t="s">
        <v>39332</v>
      </c>
      <c r="C31235" s="5" t="str">
        <f>IFERROR(__xludf.DUMMYFUNCTION("GOOGLETRANSLATE(B31235,""en"",""zh-CN"")"),"她继续扔沙拉并将调味料混合在其中。")</f>
        <v>她继续扔沙拉并将调味料混合在其中。</v>
      </c>
    </row>
    <row r="31236">
      <c r="A31236" s="4" t="s">
        <v>39324</v>
      </c>
      <c r="B31236" s="4" t="s">
        <v>39333</v>
      </c>
      <c r="C31236" s="5" t="str">
        <f>IFERROR(__xludf.DUMMYFUNCTION("GOOGLETRANSLATE(B31236,""en"",""zh-CN"")"),"她背后的一个女人倒在沙拉上。")</f>
        <v>她背后的一个女人倒在沙拉上。</v>
      </c>
    </row>
    <row r="31237">
      <c r="A31237" s="4" t="s">
        <v>39324</v>
      </c>
      <c r="B31237" s="4" t="s">
        <v>39334</v>
      </c>
      <c r="C31237" s="5" t="str">
        <f>IFERROR(__xludf.DUMMYFUNCTION("GOOGLETRANSLATE(B31237,""en"",""zh-CN"")"),"一个女人握住碗，在微笑时展示沙拉。")</f>
        <v>一个女人握住碗，在微笑时展示沙拉。</v>
      </c>
    </row>
    <row r="31238">
      <c r="A31238" s="4" t="s">
        <v>39324</v>
      </c>
      <c r="B31238" s="4" t="s">
        <v>39335</v>
      </c>
      <c r="C31238" s="5" t="str">
        <f>IFERROR(__xludf.DUMMYFUNCTION("GOOGLETRANSLATE(B31238,""en"",""zh-CN"")"),"扔沙拉的女人正在用毛巾洗手。")</f>
        <v>扔沙拉的女人正在用毛巾洗手。</v>
      </c>
    </row>
    <row r="31239">
      <c r="A31239" s="4" t="s">
        <v>39336</v>
      </c>
      <c r="B31239" s="4" t="s">
        <v>39337</v>
      </c>
      <c r="C31239" s="5" t="str">
        <f>IFERROR(__xludf.DUMMYFUNCTION("GOOGLETRANSLATE(B31239,""en"",""zh-CN"")"),"图形播放显示了“特技表演”，并带有指向其Facebook页面的链接。")</f>
        <v>图形播放显示了“特技表演”，并带有指向其Facebook页面的链接。</v>
      </c>
    </row>
    <row r="31240">
      <c r="A31240" s="4" t="s">
        <v>39336</v>
      </c>
      <c r="B31240" s="4" t="s">
        <v>39338</v>
      </c>
      <c r="C31240" s="5" t="str">
        <f>IFERROR(__xludf.DUMMYFUNCTION("GOOGLETRANSLATE(B31240,""en"",""zh-CN"")"),"一个男人在他家里的泳池桌上展示了各种泳池技巧。")</f>
        <v>一个男人在他家里的泳池桌上展示了各种泳池技巧。</v>
      </c>
    </row>
    <row r="31241">
      <c r="A31241" s="4" t="s">
        <v>39336</v>
      </c>
      <c r="B31241" s="4" t="s">
        <v>39339</v>
      </c>
      <c r="C31241" s="5" t="str">
        <f>IFERROR(__xludf.DUMMYFUNCTION("GOOGLETRANSLATE(B31241,""en"",""zh-CN"")"),"图形播放显示“订阅”和视频结束。")</f>
        <v>图形播放显示“订阅”和视频结束。</v>
      </c>
    </row>
    <row r="31242">
      <c r="A31242" s="4" t="s">
        <v>39340</v>
      </c>
      <c r="B31242" s="4" t="s">
        <v>39341</v>
      </c>
      <c r="C31242" s="5" t="str">
        <f>IFERROR(__xludf.DUMMYFUNCTION("GOOGLETRANSLATE(B31242,""en"",""zh-CN"")"),"显示了一个带有没有绘画的桌子的房间，并在其顶部。")</f>
        <v>显示了一个带有没有绘画的桌子的房间，并在其顶部。</v>
      </c>
    </row>
    <row r="31243">
      <c r="A31243" s="4" t="s">
        <v>39340</v>
      </c>
      <c r="B31243" s="4" t="s">
        <v>39342</v>
      </c>
      <c r="C31243" s="5" t="str">
        <f>IFERROR(__xludf.DUMMYFUNCTION("GOOGLETRANSLATE(B31243,""en"",""zh-CN"")"),"人走进一个房间，在桌子顶部使用emery。")</f>
        <v>人走进一个房间，在桌子顶部使用emery。</v>
      </c>
    </row>
    <row r="31244">
      <c r="A31244" s="4" t="s">
        <v>39340</v>
      </c>
      <c r="B31244" s="4" t="s">
        <v>39343</v>
      </c>
      <c r="C31244" s="5" t="str">
        <f>IFERROR(__xludf.DUMMYFUNCTION("GOOGLETRANSLATE(B31244,""en"",""zh-CN"")"),"人拿出眼镜并清洁埃默里的光盘。")</f>
        <v>人拿出眼镜并清洁埃默里的光盘。</v>
      </c>
    </row>
    <row r="31245">
      <c r="A31245" s="4" t="s">
        <v>39344</v>
      </c>
      <c r="B31245" s="4" t="s">
        <v>39345</v>
      </c>
      <c r="C31245" s="5" t="str">
        <f>IFERROR(__xludf.DUMMYFUNCTION("GOOGLETRANSLATE(B31245,""en"",""zh-CN"")"),"我们看到一个人在镜头上。")</f>
        <v>我们看到一个人在镜头上。</v>
      </c>
    </row>
    <row r="31246">
      <c r="A31246" s="4" t="s">
        <v>39344</v>
      </c>
      <c r="B31246" s="4" t="s">
        <v>39346</v>
      </c>
      <c r="C31246" s="5" t="str">
        <f>IFERROR(__xludf.DUMMYFUNCTION("GOOGLETRANSLATE(B31246,""en"",""zh-CN"")"),"然后，一个女孩向我们展示了她的刷子。")</f>
        <v>然后，一个女孩向我们展示了她的刷子。</v>
      </c>
    </row>
    <row r="31247">
      <c r="A31247" s="4" t="s">
        <v>39344</v>
      </c>
      <c r="B31247" s="4" t="s">
        <v>39347</v>
      </c>
      <c r="C31247" s="5" t="str">
        <f>IFERROR(__xludf.DUMMYFUNCTION("GOOGLETRANSLATE(B31247,""en"",""zh-CN"")"),"女孩用刷子刷头发。")</f>
        <v>女孩用刷子刷头发。</v>
      </c>
    </row>
    <row r="31248">
      <c r="A31248" s="4" t="s">
        <v>39344</v>
      </c>
      <c r="B31248" s="4" t="s">
        <v>39348</v>
      </c>
      <c r="C31248" s="5" t="str">
        <f>IFERROR(__xludf.DUMMYFUNCTION("GOOGLETRANSLATE(B31248,""en"",""zh-CN"")"),"她再次向我们展示了她的刷子。")</f>
        <v>她再次向我们展示了她的刷子。</v>
      </c>
    </row>
    <row r="31249">
      <c r="A31249" s="4" t="s">
        <v>39344</v>
      </c>
      <c r="B31249" s="4" t="s">
        <v>39349</v>
      </c>
      <c r="C31249" s="5" t="str">
        <f>IFERROR(__xludf.DUMMYFUNCTION("GOOGLETRANSLATE(B31249,""en"",""zh-CN"")"),"然后她的手遮住了相机。")</f>
        <v>然后她的手遮住了相机。</v>
      </c>
    </row>
    <row r="31250">
      <c r="A31250" s="4" t="s">
        <v>39350</v>
      </c>
      <c r="B31250" s="4" t="s">
        <v>39351</v>
      </c>
      <c r="C31250" s="5" t="str">
        <f>IFERROR(__xludf.DUMMYFUNCTION("GOOGLETRANSLATE(B31250,""en"",""zh-CN"")"),"看到一名亚洲妇女跪在地板上。")</f>
        <v>看到一名亚洲妇女跪在地板上。</v>
      </c>
    </row>
    <row r="31251">
      <c r="A31251" s="4" t="s">
        <v>39350</v>
      </c>
      <c r="B31251" s="4" t="s">
        <v>39352</v>
      </c>
      <c r="C31251" s="5" t="str">
        <f>IFERROR(__xludf.DUMMYFUNCTION("GOOGLETRANSLATE(B31251,""en"",""zh-CN"")"),"她抬起了速度，首先是手臂。")</f>
        <v>她抬起了速度，首先是手臂。</v>
      </c>
    </row>
    <row r="31252">
      <c r="A31252" s="4" t="s">
        <v>39350</v>
      </c>
      <c r="B31252" s="4" t="s">
        <v>39353</v>
      </c>
      <c r="C31252" s="5" t="str">
        <f>IFERROR(__xludf.DUMMYFUNCTION("GOOGLETRANSLATE(B31252,""en"",""zh-CN"")"),"她为相机做了几次武术动作。")</f>
        <v>她为相机做了几次武术动作。</v>
      </c>
    </row>
    <row r="31253">
      <c r="A31253" s="4" t="s">
        <v>39354</v>
      </c>
      <c r="B31253" s="4" t="s">
        <v>39355</v>
      </c>
      <c r="C31253" s="5" t="str">
        <f>IFERROR(__xludf.DUMMYFUNCTION("GOOGLETRANSLATE(B31253,""en"",""zh-CN"")"),"看到一个男人走进浴室，看着肮脏的牙刷。")</f>
        <v>看到一个男人走进浴室，看着肮脏的牙刷。</v>
      </c>
    </row>
    <row r="31254">
      <c r="A31254" s="4" t="s">
        <v>39354</v>
      </c>
      <c r="B31254" s="4" t="s">
        <v>39356</v>
      </c>
      <c r="C31254" s="5" t="str">
        <f>IFERROR(__xludf.DUMMYFUNCTION("GOOGLETRANSLATE(B31254,""en"",""zh-CN"")"),"该人将牙膏倒在刷子上，并不断刷牙。")</f>
        <v>该人将牙膏倒在刷子上，并不断刷牙。</v>
      </c>
    </row>
    <row r="31255">
      <c r="A31255" s="4" t="s">
        <v>39354</v>
      </c>
      <c r="B31255" s="6" t="s">
        <v>39357</v>
      </c>
      <c r="C31255" s="5" t="str">
        <f>IFERROR(__xludf.DUMMYFUNCTION("GOOGLETRANSLATE(B31255,""en"",""zh-CN"")"),"然后，他用漱口水冲洗嘴并露出水槽来刷更多，然后结束。")</f>
        <v>然后，他用漱口水冲洗嘴并露出水槽来刷更多，然后结束。</v>
      </c>
    </row>
    <row r="31256">
      <c r="A31256" s="4" t="s">
        <v>39358</v>
      </c>
      <c r="B31256" s="4" t="s">
        <v>39359</v>
      </c>
      <c r="C31256" s="5" t="str">
        <f>IFERROR(__xludf.DUMMYFUNCTION("GOOGLETRANSLATE(B31256,""en"",""zh-CN"")"),"一个人拿着自拍棍记录自己的人，一边绳子走在绳子上。")</f>
        <v>一个人拿着自拍棍记录自己的人，一边绳子走在绳子上。</v>
      </c>
    </row>
    <row r="31257">
      <c r="A31257" s="4" t="s">
        <v>39358</v>
      </c>
      <c r="B31257" s="6" t="s">
        <v>39360</v>
      </c>
      <c r="C31257" s="5" t="str">
        <f>IFERROR(__xludf.DUMMYFUNCTION("GOOGLETRANSLATE(B31257,""en"",""zh-CN"")"),"那个家伙在人们看着时从码头到船只边缘的绳索上走过水。")</f>
        <v>那个家伙在人们看着时从码头到船只边缘的绳索上走过水。</v>
      </c>
    </row>
    <row r="31258">
      <c r="A31258" s="4" t="s">
        <v>39358</v>
      </c>
      <c r="B31258" s="4" t="s">
        <v>39361</v>
      </c>
      <c r="C31258" s="5" t="str">
        <f>IFERROR(__xludf.DUMMYFUNCTION("GOOGLETRANSLATE(B31258,""en"",""zh-CN"")"),"盖伊也弹跳并在粉红色式绳索上做技巧。")</f>
        <v>盖伊也弹跳并在粉红色式绳索上做技巧。</v>
      </c>
    </row>
    <row r="31259">
      <c r="A31259" s="4" t="s">
        <v>39358</v>
      </c>
      <c r="B31259" s="4" t="s">
        <v>39362</v>
      </c>
      <c r="C31259" s="5" t="str">
        <f>IFERROR(__xludf.DUMMYFUNCTION("GOOGLETRANSLATE(B31259,""en"",""zh-CN"")"),"盖伊（Guy）试图打字在水中，但掉进了水面，有些人则可以穿过。")</f>
        <v>盖伊（Guy）试图打字在水中，但掉进了水面，有些人则可以穿过。</v>
      </c>
    </row>
    <row r="31260">
      <c r="A31260" s="4" t="s">
        <v>39363</v>
      </c>
      <c r="B31260" s="4" t="s">
        <v>39364</v>
      </c>
      <c r="C31260" s="5" t="str">
        <f>IFERROR(__xludf.DUMMYFUNCTION("GOOGLETRANSLATE(B31260,""en"",""zh-CN"")"),"在不断与镜头交谈的同时，显示了两个女孩在院子里耙树叶。")</f>
        <v>在不断与镜头交谈的同时，显示了两个女孩在院子里耙树叶。</v>
      </c>
    </row>
    <row r="31261">
      <c r="A31261" s="4" t="s">
        <v>39363</v>
      </c>
      <c r="B31261" s="6" t="s">
        <v>39365</v>
      </c>
      <c r="C31261" s="5" t="str">
        <f>IFERROR(__xludf.DUMMYFUNCTION("GOOGLETRANSLATE(B31261,""en"",""zh-CN"")"),"年龄较大的女孩向年轻的女孩展示了如何耙开的时候，另一个女孩站在附近看着附近的幻灯片。")</f>
        <v>年龄较大的女孩向年轻的女孩展示了如何耙开的时候，另一个女孩站在附近看着附近的幻灯片。</v>
      </c>
    </row>
    <row r="31262">
      <c r="A31262" s="4" t="s">
        <v>39363</v>
      </c>
      <c r="B31262" s="4" t="s">
        <v>39366</v>
      </c>
      <c r="C31262" s="5" t="str">
        <f>IFERROR(__xludf.DUMMYFUNCTION("GOOGLETRANSLATE(B31262,""en"",""zh-CN"")"),"相机放大了年轻的女孩，看着她的耙子。")</f>
        <v>相机放大了年轻的女孩，看着她的耙子。</v>
      </c>
    </row>
    <row r="31263">
      <c r="A31263" s="4" t="s">
        <v>39367</v>
      </c>
      <c r="B31263" s="4" t="s">
        <v>39368</v>
      </c>
      <c r="C31263" s="5" t="str">
        <f>IFERROR(__xludf.DUMMYFUNCTION("GOOGLETRANSLATE(B31263,""en"",""zh-CN"")"),"两个男孩跪在草地上用一对剪刀割草。")</f>
        <v>两个男孩跪在草地上用一对剪刀割草。</v>
      </c>
    </row>
    <row r="31264">
      <c r="A31264" s="4" t="s">
        <v>39367</v>
      </c>
      <c r="B31264" s="4" t="s">
        <v>39369</v>
      </c>
      <c r="C31264" s="5" t="str">
        <f>IFERROR(__xludf.DUMMYFUNCTION("GOOGLETRANSLATE(B31264,""en"",""zh-CN"")"),"他们抓住一些碎片，并用剪刀将其切割。")</f>
        <v>他们抓住一些碎片，并用剪刀将其切割。</v>
      </c>
    </row>
    <row r="31265">
      <c r="A31265" s="4" t="s">
        <v>39367</v>
      </c>
      <c r="B31265" s="4" t="s">
        <v>39370</v>
      </c>
      <c r="C31265" s="5" t="str">
        <f>IFERROR(__xludf.DUMMYFUNCTION("GOOGLETRANSLATE(B31265,""en"",""zh-CN"")"),"然后将草扔回去。")</f>
        <v>然后将草扔回去。</v>
      </c>
    </row>
    <row r="31266">
      <c r="A31266" s="4" t="s">
        <v>39367</v>
      </c>
      <c r="B31266" s="4" t="s">
        <v>39371</v>
      </c>
      <c r="C31266" s="5" t="str">
        <f>IFERROR(__xludf.DUMMYFUNCTION("GOOGLETRANSLATE(B31266,""en"",""zh-CN"")"),"他们很快就这样做了，他们似乎很无聊的小孩，无所事事。")</f>
        <v>他们很快就这样做了，他们似乎很无聊的小孩，无所事事。</v>
      </c>
    </row>
    <row r="31267">
      <c r="A31267" s="4" t="s">
        <v>39372</v>
      </c>
      <c r="B31267" s="6" t="s">
        <v>39373</v>
      </c>
      <c r="C31267" s="5" t="str">
        <f>IFERROR(__xludf.DUMMYFUNCTION("GOOGLETRANSLATE(B31267,""en"",""zh-CN"")"),"在白色屏幕上为红色和蓝色的三重A徽标，然后屏幕闪烁到大雪卡车上。")</f>
        <v>在白色屏幕上为红色和蓝色的三重A徽标，然后屏幕闪烁到大雪卡车上。</v>
      </c>
    </row>
    <row r="31268">
      <c r="A31268" s="4" t="s">
        <v>39372</v>
      </c>
      <c r="B31268" s="6" t="s">
        <v>39374</v>
      </c>
      <c r="C31268" s="5" t="str">
        <f>IFERROR(__xludf.DUMMYFUNCTION("GOOGLETRANSLATE(B31268,""en"",""zh-CN"")"),"卡车消失后，会有各种各样的人在雪中耕种，以试图将其从道路上撤离并清理人行道。")</f>
        <v>卡车消失后，会有各种各样的人在雪中耕种，以试图将其从道路上撤离并清理人行道。</v>
      </c>
    </row>
    <row r="31269">
      <c r="A31269" s="4" t="s">
        <v>39372</v>
      </c>
      <c r="B31269" s="6" t="s">
        <v>39375</v>
      </c>
      <c r="C31269" s="5" t="str">
        <f>IFERROR(__xludf.DUMMYFUNCTION("GOOGLETRANSLATE(B31269,""en"",""zh-CN"")"),"之后，一个年轻的黑人男性开始说话并说明汽车上的雪，因为他代表了三重A的公共关系方面。")</f>
        <v>之后，一个年轻的黑人男性开始说话并说明汽车上的雪，因为他代表了三重A的公共关系方面。</v>
      </c>
    </row>
    <row r="31270">
      <c r="A31270" s="4" t="s">
        <v>39372</v>
      </c>
      <c r="B31270" s="6" t="s">
        <v>39376</v>
      </c>
      <c r="C31270" s="5" t="str">
        <f>IFERROR(__xludf.DUMMYFUNCTION("GOOGLETRANSLATE(B31270,""en"",""zh-CN"")"),"当该男子继续说话时，一个有水桶的人被显示出来，他的车上不再有水。")</f>
        <v>当该男子继续说话时，一个有水桶的人被显示出来，他的车上不再有水。</v>
      </c>
    </row>
    <row r="31271">
      <c r="A31271" s="4" t="s">
        <v>39372</v>
      </c>
      <c r="B31271" s="6" t="s">
        <v>39377</v>
      </c>
      <c r="C31271" s="5" t="str">
        <f>IFERROR(__xludf.DUMMYFUNCTION("GOOGLETRANSLATE(B31271,""en"",""zh-CN"")"),"一段时间后，另一个男人被描绘成从汽车上铲下的雪，然后进去调整收音机，突然，该男子回到外面，从汽车的各个方面刮去了雪，包括窗户，窗户，排气管，挡风玻璃，挡风玻璃和尾灯然后黑人男性回来并继续说话。")</f>
        <v>一段时间后，另一个男人被描绘成从汽车上铲下的雪，然后进去调整收音机，突然，该男子回到外面，从汽车的各个方面刮去了雪，包括窗户，窗户，排气管，挡风玻璃，挡风玻璃和尾灯然后黑人男性回来并继续说话。</v>
      </c>
    </row>
    <row r="31272">
      <c r="A31272" s="4" t="s">
        <v>39378</v>
      </c>
      <c r="B31272" s="4" t="s">
        <v>39379</v>
      </c>
      <c r="C31272" s="5" t="str">
        <f>IFERROR(__xludf.DUMMYFUNCTION("GOOGLETRANSLATE(B31272,""en"",""zh-CN"")"),"一个小女孩在街上跳跳。")</f>
        <v>一个小女孩在街上跳跳。</v>
      </c>
    </row>
    <row r="31273">
      <c r="A31273" s="4" t="s">
        <v>39378</v>
      </c>
      <c r="B31273" s="4" t="s">
        <v>39380</v>
      </c>
      <c r="C31273" s="5" t="str">
        <f>IFERROR(__xludf.DUMMYFUNCTION("GOOGLETRANSLATE(B31273,""en"",""zh-CN"")"),"小女孩转身跳跃。")</f>
        <v>小女孩转身跳跃。</v>
      </c>
    </row>
    <row r="31274">
      <c r="A31274" s="4" t="s">
        <v>39381</v>
      </c>
      <c r="B31274" s="4" t="s">
        <v>39382</v>
      </c>
      <c r="C31274" s="5" t="str">
        <f>IFERROR(__xludf.DUMMYFUNCTION("GOOGLETRANSLATE(B31274,""en"",""zh-CN"")"),"有几名乘客在地铁火车上旅行。")</f>
        <v>有几名乘客在地铁火车上旅行。</v>
      </c>
    </row>
    <row r="31275">
      <c r="A31275" s="4" t="s">
        <v>39381</v>
      </c>
      <c r="B31275" s="4" t="s">
        <v>39383</v>
      </c>
      <c r="C31275" s="5" t="str">
        <f>IFERROR(__xludf.DUMMYFUNCTION("GOOGLETRANSLATE(B31275,""en"",""zh-CN"")"),"其中两名乘客坐在折叠椅上，他们在Bongos上打鼓。")</f>
        <v>其中两名乘客坐在折叠椅上，他们在Bongos上打鼓。</v>
      </c>
    </row>
    <row r="31276">
      <c r="A31276" s="4" t="s">
        <v>39381</v>
      </c>
      <c r="B31276" s="4" t="s">
        <v>39384</v>
      </c>
      <c r="C31276" s="5" t="str">
        <f>IFERROR(__xludf.DUMMYFUNCTION("GOOGLETRANSLATE(B31276,""en"",""zh-CN"")"),"当其他乘客忙于做自己的事情时，他们继续扮演邦戈斯。")</f>
        <v>当其他乘客忙于做自己的事情时，他们继续扮演邦戈斯。</v>
      </c>
    </row>
    <row r="31277">
      <c r="A31277" s="4" t="s">
        <v>39381</v>
      </c>
      <c r="B31277" s="4" t="s">
        <v>39385</v>
      </c>
      <c r="C31277" s="5" t="str">
        <f>IFERROR(__xludf.DUMMYFUNCTION("GOOGLETRANSLATE(B31277,""en"",""zh-CN"")"),"一个坐在球员附近的小男孩正在看着他们的比赛。")</f>
        <v>一个坐在球员附近的小男孩正在看着他们的比赛。</v>
      </c>
    </row>
    <row r="31278">
      <c r="A31278" s="4" t="s">
        <v>39381</v>
      </c>
      <c r="B31278" s="4" t="s">
        <v>39386</v>
      </c>
      <c r="C31278" s="5" t="str">
        <f>IFERROR(__xludf.DUMMYFUNCTION("GOOGLETRANSLATE(B31278,""en"",""zh-CN"")"),"球员们继续打邦戈斯并在他们身上鼓手。")</f>
        <v>球员们继续打邦戈斯并在他们身上鼓手。</v>
      </c>
    </row>
    <row r="31279">
      <c r="A31279" s="4" t="s">
        <v>39381</v>
      </c>
      <c r="B31279" s="4" t="s">
        <v>39387</v>
      </c>
      <c r="C31279" s="5" t="str">
        <f>IFERROR(__xludf.DUMMYFUNCTION("GOOGLETRANSLATE(B31279,""en"",""zh-CN"")"),"他们停止演奏后，一个人鼓掌。")</f>
        <v>他们停止演奏后，一个人鼓掌。</v>
      </c>
    </row>
    <row r="31280">
      <c r="A31280" s="4" t="s">
        <v>39388</v>
      </c>
      <c r="B31280" s="4" t="s">
        <v>39389</v>
      </c>
      <c r="C31280" s="5" t="str">
        <f>IFERROR(__xludf.DUMMYFUNCTION("GOOGLETRANSLATE(B31280,""en"",""zh-CN"")"),"一个男人在大院子里耙树叶。")</f>
        <v>一个男人在大院子里耙树叶。</v>
      </c>
    </row>
    <row r="31281">
      <c r="A31281" s="4" t="s">
        <v>39388</v>
      </c>
      <c r="B31281" s="4" t="s">
        <v>39390</v>
      </c>
      <c r="C31281" s="5" t="str">
        <f>IFERROR(__xludf.DUMMYFUNCTION("GOOGLETRANSLATE(B31281,""en"",""zh-CN"")"),"他用耙子将叶子推入堆。")</f>
        <v>他用耙子将叶子推入堆。</v>
      </c>
    </row>
    <row r="31282">
      <c r="A31282" s="4" t="s">
        <v>39388</v>
      </c>
      <c r="B31282" s="4" t="s">
        <v>39391</v>
      </c>
      <c r="C31282" s="5" t="str">
        <f>IFERROR(__xludf.DUMMYFUNCTION("GOOGLETRANSLATE(B31282,""en"",""zh-CN"")"),"他继续耙开，清理了下面的污垢。")</f>
        <v>他继续耙开，清理了下面的污垢。</v>
      </c>
    </row>
    <row r="31283">
      <c r="A31283" s="4" t="s">
        <v>39392</v>
      </c>
      <c r="B31283" s="4" t="s">
        <v>39393</v>
      </c>
      <c r="C31283" s="5" t="str">
        <f>IFERROR(__xludf.DUMMYFUNCTION("GOOGLETRANSLATE(B31283,""en"",""zh-CN"")"),"一支球场上的球队四处奔跑。")</f>
        <v>一支球场上的球队四处奔跑。</v>
      </c>
    </row>
    <row r="31284">
      <c r="A31284" s="4" t="s">
        <v>39392</v>
      </c>
      <c r="B31284" s="4" t="s">
        <v>39394</v>
      </c>
      <c r="C31284" s="5" t="str">
        <f>IFERROR(__xludf.DUMMYFUNCTION("GOOGLETRANSLATE(B31284,""en"",""zh-CN"")"),"每个人都在追求目标。")</f>
        <v>每个人都在追求目标。</v>
      </c>
    </row>
    <row r="31285">
      <c r="A31285" s="4" t="s">
        <v>39392</v>
      </c>
      <c r="B31285" s="4" t="s">
        <v>39395</v>
      </c>
      <c r="C31285" s="5" t="str">
        <f>IFERROR(__xludf.DUMMYFUNCTION("GOOGLETRANSLATE(B31285,""en"",""zh-CN"")"),"每个人都在努力防止另一支球队得分。")</f>
        <v>每个人都在努力防止另一支球队得分。</v>
      </c>
    </row>
    <row r="31286">
      <c r="A31286" s="4" t="s">
        <v>39392</v>
      </c>
      <c r="B31286" s="4" t="s">
        <v>39396</v>
      </c>
      <c r="C31286" s="5" t="str">
        <f>IFERROR(__xludf.DUMMYFUNCTION("GOOGLETRANSLATE(B31286,""en"",""zh-CN"")"),"红色的女孩看起来像是在逃跑之前几乎做到了。")</f>
        <v>红色的女孩看起来像是在逃跑之前几乎做到了。</v>
      </c>
    </row>
    <row r="31287">
      <c r="A31287" s="4" t="s">
        <v>39397</v>
      </c>
      <c r="B31287" s="4" t="s">
        <v>39398</v>
      </c>
      <c r="C31287" s="5" t="str">
        <f>IFERROR(__xludf.DUMMYFUNCTION("GOOGLETRANSLATE(B31287,""en"",""zh-CN"")"),"大型摩天大楼，景色。")</f>
        <v>大型摩天大楼，景色。</v>
      </c>
    </row>
    <row r="31288">
      <c r="A31288" s="4" t="s">
        <v>39397</v>
      </c>
      <c r="B31288" s="4" t="s">
        <v>39399</v>
      </c>
      <c r="C31288" s="5" t="str">
        <f>IFERROR(__xludf.DUMMYFUNCTION("GOOGLETRANSLATE(B31288,""en"",""zh-CN"")"),"男人正在清洁外面的窗户，挂在脚手架上。")</f>
        <v>男人正在清洁外面的窗户，挂在脚手架上。</v>
      </c>
    </row>
    <row r="31289">
      <c r="A31289" s="4" t="s">
        <v>39400</v>
      </c>
      <c r="B31289" s="6" t="s">
        <v>39401</v>
      </c>
      <c r="C31289" s="5" t="str">
        <f>IFERROR(__xludf.DUMMYFUNCTION("GOOGLETRANSLATE(B31289,""en"",""zh-CN"")"),"看到一个运动员握住一块运动器材，并在与镜头说话时跪下。")</f>
        <v>看到一个运动员握住一块运动器材，并在与镜头说话时跪下。</v>
      </c>
    </row>
    <row r="31290">
      <c r="A31290" s="4" t="s">
        <v>39400</v>
      </c>
      <c r="B31290" s="4" t="s">
        <v>39402</v>
      </c>
      <c r="C31290" s="5" t="str">
        <f>IFERROR(__xludf.DUMMYFUNCTION("GOOGLETRANSLATE(B31290,""en"",""zh-CN"")"),"他继续讲话，并开始将手臂和身体移回第四。")</f>
        <v>他继续讲话，并开始将手臂和身体移回第四。</v>
      </c>
    </row>
    <row r="31291">
      <c r="A31291" s="4" t="s">
        <v>39403</v>
      </c>
      <c r="B31291" s="4" t="s">
        <v>39404</v>
      </c>
      <c r="C31291" s="5" t="str">
        <f>IFERROR(__xludf.DUMMYFUNCTION("GOOGLETRANSLATE(B31291,""en"",""zh-CN"")"),"该男子在海浪上冲浪，落入水中。")</f>
        <v>该男子在海浪上冲浪，落入水中。</v>
      </c>
    </row>
    <row r="31292">
      <c r="A31292" s="4" t="s">
        <v>39403</v>
      </c>
      <c r="B31292" s="4" t="s">
        <v>39405</v>
      </c>
      <c r="C31292" s="5" t="str">
        <f>IFERROR(__xludf.DUMMYFUNCTION("GOOGLETRANSLATE(B31292,""en"",""zh-CN"")"),"该男子正在冲浪，而其他冲浪者在他身后。")</f>
        <v>该男子正在冲浪，而其他冲浪者在他身后。</v>
      </c>
    </row>
    <row r="31293">
      <c r="A31293" s="4" t="s">
        <v>39403</v>
      </c>
      <c r="B31293" s="4" t="s">
        <v>39406</v>
      </c>
      <c r="C31293" s="5" t="str">
        <f>IFERROR(__xludf.DUMMYFUNCTION("GOOGLETRANSLATE(B31293,""en"",""zh-CN"")"),"冲浪者在水面冲浪，落在岩石附近。")</f>
        <v>冲浪者在水面冲浪，落在岩石附近。</v>
      </c>
    </row>
    <row r="31294">
      <c r="A31294" s="4" t="s">
        <v>39407</v>
      </c>
      <c r="B31294" s="6" t="s">
        <v>39408</v>
      </c>
      <c r="C31294" s="5" t="str">
        <f>IFERROR(__xludf.DUMMYFUNCTION("GOOGLETRANSLATE(B31294,""en"",""zh-CN"")"),"男人穿着足球装备，他们的衬衫上有百事可乐徽标，他们在草地上踢球。")</f>
        <v>男人穿着足球装备，他们的衬衫上有百事可乐徽标，他们在草地上踢球。</v>
      </c>
    </row>
    <row r="31295">
      <c r="A31295" s="4" t="s">
        <v>39407</v>
      </c>
      <c r="B31295" s="6" t="s">
        <v>39409</v>
      </c>
      <c r="C31295" s="5" t="str">
        <f>IFERROR(__xludf.DUMMYFUNCTION("GOOGLETRANSLATE(B31295,""en"",""zh-CN"")"),"非常大的Sumos用自己的足球开始在球场上行走，足球人接近他们，Sumo指向充满苏打水的百事可乐冷却器。")</f>
        <v>非常大的Sumos用自己的足球开始在球场上行走，足球人接近他们，Sumo指向充满苏打水的百事可乐冷却器。</v>
      </c>
    </row>
    <row r="31296">
      <c r="A31296" s="4" t="s">
        <v>39407</v>
      </c>
      <c r="B31296" s="6" t="s">
        <v>39410</v>
      </c>
      <c r="C31296" s="5" t="str">
        <f>IFERROR(__xludf.DUMMYFUNCTION("GOOGLETRANSLATE(B31296,""en"",""zh-CN"")"),"男子和苏姆斯开始了一场足球比赛，当一个人试图实现进球时，相扑会阻止整个进球，并在其他各种动作中取得了胜利，包括相扑倒下时进球，足球球飞入网。")</f>
        <v>男子和苏姆斯开始了一场足球比赛，当一个人试图实现进球时，相扑会阻止整个进球，并在其他各种动作中取得了胜利，包括相扑倒下时进球，足球球飞入网。</v>
      </c>
    </row>
    <row r="31297">
      <c r="A31297" s="4" t="s">
        <v>39407</v>
      </c>
      <c r="B31297" s="6" t="s">
        <v>39411</v>
      </c>
      <c r="C31297" s="5" t="str">
        <f>IFERROR(__xludf.DUMMYFUNCTION("GOOGLETRANSLATE(B31297,""en"",""zh-CN"")"),"一个男人抓住百事可乐罐，将其扔到相扑上，所有的sumos跑到冷却器上，喝百事可乐，然后显示出他们带着百事可乐冷却器走开。")</f>
        <v>一个男人抓住百事可乐罐，将其扔到相扑上，所有的sumos跑到冷却器上，喝百事可乐，然后显示出他们带着百事可乐冷却器走开。</v>
      </c>
    </row>
    <row r="31298">
      <c r="A31298" s="4" t="s">
        <v>39412</v>
      </c>
      <c r="B31298" s="4" t="s">
        <v>39413</v>
      </c>
      <c r="C31298" s="5" t="str">
        <f>IFERROR(__xludf.DUMMYFUNCTION("GOOGLETRANSLATE(B31298,""en"",""zh-CN"")"),"看到一个男人在播放几场乒乓球时在相机上说话。")</f>
        <v>看到一个男人在播放几场乒乓球时在相机上说话。</v>
      </c>
    </row>
    <row r="31299">
      <c r="A31299" s="4" t="s">
        <v>39412</v>
      </c>
      <c r="B31299" s="4" t="s">
        <v>39414</v>
      </c>
      <c r="C31299" s="5" t="str">
        <f>IFERROR(__xludf.DUMMYFUNCTION("GOOGLETRANSLATE(B31299,""en"",""zh-CN"")"),"该男子在与镜头说话并拿起乒乓工具时继续击球。")</f>
        <v>该男子在与镜头说话并拿起乒乓工具时继续击球。</v>
      </c>
    </row>
    <row r="31300">
      <c r="A31300" s="4" t="s">
        <v>39412</v>
      </c>
      <c r="B31300" s="6" t="s">
        <v>39415</v>
      </c>
      <c r="C31300" s="5" t="str">
        <f>IFERROR(__xludf.DUMMYFUNCTION("GOOGLETRANSLATE(B31300,""en"",""zh-CN"")"),"该男子演示了如何正确击球并将身体移动并仍然击球。")</f>
        <v>该男子演示了如何正确击球并将身体移动并仍然击球。</v>
      </c>
    </row>
    <row r="31301">
      <c r="A31301" s="4" t="s">
        <v>39416</v>
      </c>
      <c r="B31301" s="6" t="s">
        <v>39417</v>
      </c>
      <c r="C31301" s="5" t="str">
        <f>IFERROR(__xludf.DUMMYFUNCTION("GOOGLETRANSLATE(B31301,""en"",""zh-CN"")"),"一件蓝色衬衫的焊工戴着黄色的防护头盔，在车间中焊接一根大金属管。")</f>
        <v>一件蓝色衬衫的焊工戴着黄色的防护头盔，在车间中焊接一根大金属管。</v>
      </c>
    </row>
    <row r="31302">
      <c r="A31302" s="4" t="s">
        <v>39416</v>
      </c>
      <c r="B31302" s="6" t="s">
        <v>39418</v>
      </c>
      <c r="C31302" s="5" t="str">
        <f>IFERROR(__xludf.DUMMYFUNCTION("GOOGLETRANSLATE(B31302,""en"",""zh-CN"")"),"还有另一个焊工穿着蓝色的防护服和白色头盔在车间桌子上焊接一件金属件。")</f>
        <v>还有另一个焊工穿着蓝色的防护服和白色头盔在车间桌子上焊接一件金属件。</v>
      </c>
    </row>
    <row r="31303">
      <c r="A31303" s="4" t="s">
        <v>39416</v>
      </c>
      <c r="B31303" s="4" t="s">
        <v>39419</v>
      </c>
      <c r="C31303" s="5" t="str">
        <f>IFERROR(__xludf.DUMMYFUNCTION("GOOGLETRANSLATE(B31303,""en"",""zh-CN"")"),"他以水平方式将金属件焊接。")</f>
        <v>他以水平方式将金属件焊接。</v>
      </c>
    </row>
    <row r="31304">
      <c r="A31304" s="4" t="s">
        <v>39416</v>
      </c>
      <c r="B31304" s="4" t="s">
        <v>39420</v>
      </c>
      <c r="C31304" s="5" t="str">
        <f>IFERROR(__xludf.DUMMYFUNCTION("GOOGLETRANSLATE(B31304,""en"",""zh-CN"")"),"有一台焊接机，显示其在高温下如何在熔化金属上工作。")</f>
        <v>有一台焊接机，显示其在高温下如何在熔化金属上工作。</v>
      </c>
    </row>
    <row r="31305">
      <c r="A31305" s="4" t="s">
        <v>39421</v>
      </c>
      <c r="B31305" s="6" t="s">
        <v>39422</v>
      </c>
      <c r="C31305" s="5" t="str">
        <f>IFERROR(__xludf.DUMMYFUNCTION("GOOGLETRANSLATE(B31305,""en"",""zh-CN"")"),"看到一个年轻的女孩坐在床上在镜头上说话，并在蹦床上引导她表演的体操技巧。")</f>
        <v>看到一个年轻的女孩坐在床上在镜头上说话，并在蹦床上引导她表演的体操技巧。</v>
      </c>
    </row>
    <row r="31306">
      <c r="A31306" s="4" t="s">
        <v>39421</v>
      </c>
      <c r="B31306" s="6" t="s">
        <v>39423</v>
      </c>
      <c r="C31306" s="5" t="str">
        <f>IFERROR(__xludf.DUMMYFUNCTION("GOOGLETRANSLATE(B31306,""en"",""zh-CN"")"),"有更多的镜头显示了几个女孩在健身房的地板上表演各种翻转和技巧，并以一群女孩进行啦啦队的升降机结尾。")</f>
        <v>有更多的镜头显示了几个女孩在健身房的地板上表演各种翻转和技巧，并以一群女孩进行啦啦队的升降机结尾。</v>
      </c>
    </row>
    <row r="31307">
      <c r="A31307" s="4" t="s">
        <v>39424</v>
      </c>
      <c r="B31307" s="4" t="s">
        <v>39425</v>
      </c>
      <c r="C31307" s="5" t="str">
        <f>IFERROR(__xludf.DUMMYFUNCTION("GOOGLETRANSLATE(B31307,""en"",""zh-CN"")"),"一个女孩把牙刷拿到相机上。")</f>
        <v>一个女孩把牙刷拿到相机上。</v>
      </c>
    </row>
    <row r="31308">
      <c r="A31308" s="4" t="s">
        <v>39424</v>
      </c>
      <c r="B31308" s="4" t="s">
        <v>39426</v>
      </c>
      <c r="C31308" s="5" t="str">
        <f>IFERROR(__xludf.DUMMYFUNCTION("GOOGLETRANSLATE(B31308,""en"",""zh-CN"")"),"她用刷子刷牙。")</f>
        <v>她用刷子刷牙。</v>
      </c>
    </row>
    <row r="31309">
      <c r="A31309" s="4" t="s">
        <v>39424</v>
      </c>
      <c r="B31309" s="4" t="s">
        <v>39427</v>
      </c>
      <c r="C31309" s="5" t="str">
        <f>IFERROR(__xludf.DUMMYFUNCTION("GOOGLETRANSLATE(B31309,""en"",""zh-CN"")"),"她很长一段时间来擦拭牙齿。")</f>
        <v>她很长一段时间来擦拭牙齿。</v>
      </c>
    </row>
    <row r="31310">
      <c r="A31310" s="4" t="s">
        <v>39428</v>
      </c>
      <c r="B31310" s="4" t="s">
        <v>39429</v>
      </c>
      <c r="C31310" s="5" t="str">
        <f>IFERROR(__xludf.DUMMYFUNCTION("GOOGLETRANSLATE(B31310,""en"",""zh-CN"")"),"屏幕上的一个人正在显示一个包含相扑玩具的盒子。")</f>
        <v>屏幕上的一个人正在显示一个包含相扑玩具的盒子。</v>
      </c>
    </row>
    <row r="31311">
      <c r="A31311" s="4" t="s">
        <v>39428</v>
      </c>
      <c r="B31311" s="4" t="s">
        <v>39430</v>
      </c>
      <c r="C31311" s="5" t="str">
        <f>IFERROR(__xludf.DUMMYFUNCTION("GOOGLETRANSLATE(B31311,""en"",""zh-CN"")"),"该人就如何使用玩具进行了演示。")</f>
        <v>该人就如何使用玩具进行了演示。</v>
      </c>
    </row>
    <row r="31312">
      <c r="A31312" s="4" t="s">
        <v>39428</v>
      </c>
      <c r="B31312" s="6" t="s">
        <v>39431</v>
      </c>
      <c r="C31312" s="5" t="str">
        <f>IFERROR(__xludf.DUMMYFUNCTION("GOOGLETRANSLATE(B31312,""en"",""zh-CN"")"),"接下来，该人使用他们制作的玩具以及场景中的玩具进行了几次演示。")</f>
        <v>接下来，该人使用他们制作的玩具以及场景中的玩具进行了几次演示。</v>
      </c>
    </row>
    <row r="31313">
      <c r="A31313" s="4" t="s">
        <v>39428</v>
      </c>
      <c r="B31313" s="4" t="s">
        <v>15945</v>
      </c>
      <c r="C31313" s="5" t="str">
        <f>IFERROR(__xludf.DUMMYFUNCTION("GOOGLETRANSLATE(B31313,""en"",""zh-CN"")"),"在视频结束时，显示了结束信用。")</f>
        <v>在视频结束时，显示了结束信用。</v>
      </c>
    </row>
    <row r="31314">
      <c r="A31314" s="4" t="s">
        <v>39432</v>
      </c>
      <c r="B31314" s="4" t="s">
        <v>39433</v>
      </c>
      <c r="C31314" s="5" t="str">
        <f>IFERROR(__xludf.DUMMYFUNCTION("GOOGLETRANSLATE(B31314,""en"",""zh-CN"")"),"人们看着体操运动员表演她的日常活动。")</f>
        <v>人们看着体操运动员表演她的日常活动。</v>
      </c>
    </row>
    <row r="31315">
      <c r="A31315" s="4" t="s">
        <v>39432</v>
      </c>
      <c r="B31315" s="4" t="s">
        <v>39434</v>
      </c>
      <c r="C31315" s="5" t="str">
        <f>IFERROR(__xludf.DUMMYFUNCTION("GOOGLETRANSLATE(B31315,""en"",""zh-CN"")"),"体操运动员站在平衡梁的侧面。")</f>
        <v>体操运动员站在平衡梁的侧面。</v>
      </c>
    </row>
    <row r="31316">
      <c r="A31316" s="4" t="s">
        <v>39432</v>
      </c>
      <c r="B31316" s="4" t="s">
        <v>39435</v>
      </c>
      <c r="C31316" s="5" t="str">
        <f>IFERROR(__xludf.DUMMYFUNCTION("GOOGLETRANSLATE(B31316,""en"",""zh-CN"")"),"Gyjmnast安装了光束。")</f>
        <v>Gyjmnast安装了光束。</v>
      </c>
    </row>
    <row r="31317">
      <c r="A31317" s="4" t="s">
        <v>39432</v>
      </c>
      <c r="B31317" s="4" t="s">
        <v>39436</v>
      </c>
      <c r="C31317" s="5" t="str">
        <f>IFERROR(__xludf.DUMMYFUNCTION("GOOGLETRANSLATE(B31317,""en"",""zh-CN"")"),"体操运动员在光束上表演了她的日常活动。")</f>
        <v>体操运动员在光束上表演了她的日常活动。</v>
      </c>
    </row>
    <row r="31318">
      <c r="A31318" s="4" t="s">
        <v>39432</v>
      </c>
      <c r="B31318" s="4" t="s">
        <v>39437</v>
      </c>
      <c r="C31318" s="5" t="str">
        <f>IFERROR(__xludf.DUMMYFUNCTION("GOOGLETRANSLATE(B31318,""en"",""zh-CN"")"),"体操运动员几乎跌倒了，但抓住了自己。")</f>
        <v>体操运动员几乎跌倒了，但抓住了自己。</v>
      </c>
    </row>
    <row r="31319">
      <c r="A31319" s="4" t="s">
        <v>39432</v>
      </c>
      <c r="B31319" s="4" t="s">
        <v>39438</v>
      </c>
      <c r="C31319" s="5" t="str">
        <f>IFERROR(__xludf.DUMMYFUNCTION("GOOGLETRANSLATE(B31319,""en"",""zh-CN"")"),"体操运动员卸下并降落在蓝色垫子上。")</f>
        <v>体操运动员卸下并降落在蓝色垫子上。</v>
      </c>
    </row>
    <row r="31320">
      <c r="A31320" s="4" t="s">
        <v>39439</v>
      </c>
      <c r="B31320" s="4" t="s">
        <v>39440</v>
      </c>
      <c r="C31320" s="5" t="str">
        <f>IFERROR(__xludf.DUMMYFUNCTION("GOOGLETRANSLATE(B31320,""en"",""zh-CN"")"),"几个人在大型领域中互相打踢球的几个剪辑。")</f>
        <v>几个人在大型领域中互相打踢球的几个剪辑。</v>
      </c>
    </row>
    <row r="31321">
      <c r="A31321" s="4" t="s">
        <v>39439</v>
      </c>
      <c r="B31321" s="6" t="s">
        <v>39441</v>
      </c>
      <c r="C31321" s="5" t="str">
        <f>IFERROR(__xludf.DUMMYFUNCTION("GOOGLETRANSLATE(B31321,""en"",""zh-CN"")"),"有几个剪辑显示了人们四处奔波，捕捉和扔球以及在侧面聚会的片段。")</f>
        <v>有几个剪辑显示了人们四处奔波，捕捉和扔球以及在侧面聚会的片段。</v>
      </c>
    </row>
    <row r="31322">
      <c r="A31322" s="4" t="s">
        <v>39442</v>
      </c>
      <c r="B31322" s="4" t="s">
        <v>39443</v>
      </c>
      <c r="C31322" s="5" t="str">
        <f>IFERROR(__xludf.DUMMYFUNCTION("GOOGLETRANSLATE(B31322,""en"",""zh-CN"")"),"看到一个人将物体放在墙上，并沿着墙壁放置一个木板。")</f>
        <v>看到一个人将物体放在墙上，并沿着墙壁放置一个木板。</v>
      </c>
    </row>
    <row r="31323">
      <c r="A31323" s="4" t="s">
        <v>39442</v>
      </c>
      <c r="B31323" s="6" t="s">
        <v>39444</v>
      </c>
      <c r="C31323" s="5" t="str">
        <f>IFERROR(__xludf.DUMMYFUNCTION("GOOGLETRANSLATE(B31323,""en"",""zh-CN"")"),"他继续将物体移动到墙上，然后用指甲枪将其钉下来，并展示他制作的货架。")</f>
        <v>他继续将物体移动到墙上，然后用指甲枪将其钉下来，并展示他制作的货架。</v>
      </c>
    </row>
    <row r="31324">
      <c r="A31324" s="4" t="s">
        <v>39445</v>
      </c>
      <c r="B31324" s="4" t="s">
        <v>39446</v>
      </c>
      <c r="C31324" s="5" t="str">
        <f>IFERROR(__xludf.DUMMYFUNCTION("GOOGLETRANSLATE(B31324,""en"",""zh-CN"")"),"看到一个男人弹奏邦戈鼓迅速在乐器周围移动。")</f>
        <v>看到一个男人弹奏邦戈鼓迅速在乐器周围移动。</v>
      </c>
    </row>
    <row r="31325">
      <c r="A31325" s="4" t="s">
        <v>39445</v>
      </c>
      <c r="B31325" s="6" t="s">
        <v>39447</v>
      </c>
      <c r="C31325" s="5" t="str">
        <f>IFERROR(__xludf.DUMMYFUNCTION("GOOGLETRANSLATE(B31325,""en"",""zh-CN"")"),"他不断地打鼓，同时闭上眼睛，并通过更快地击打手来结束。")</f>
        <v>他不断地打鼓，同时闭上眼睛，并通过更快地击打手来结束。</v>
      </c>
    </row>
    <row r="31326">
      <c r="A31326" s="4" t="s">
        <v>39448</v>
      </c>
      <c r="B31326" s="4" t="s">
        <v>39449</v>
      </c>
      <c r="C31326" s="5" t="str">
        <f>IFERROR(__xludf.DUMMYFUNCTION("GOOGLETRANSLATE(B31326,""en"",""zh-CN"")"),"一双鞋子在桌子上展示，而男人和女人进行交谈。")</f>
        <v>一双鞋子在桌子上展示，而男人和女人进行交谈。</v>
      </c>
    </row>
    <row r="31327">
      <c r="A31327" s="4" t="s">
        <v>39448</v>
      </c>
      <c r="B31327" s="4" t="s">
        <v>39450</v>
      </c>
      <c r="C31327" s="5" t="str">
        <f>IFERROR(__xludf.DUMMYFUNCTION("GOOGLETRANSLATE(B31327,""en"",""zh-CN"")"),"一个女人挑战男人的手臂摔跤。")</f>
        <v>一个女人挑战男人的手臂摔跤。</v>
      </c>
    </row>
    <row r="31328">
      <c r="A31328" s="4" t="s">
        <v>39448</v>
      </c>
      <c r="B31328" s="4" t="s">
        <v>39451</v>
      </c>
      <c r="C31328" s="5" t="str">
        <f>IFERROR(__xludf.DUMMYFUNCTION("GOOGLETRANSLATE(B31328,""en"",""zh-CN"")"),"该男子从桌子上脱下鞋子。")</f>
        <v>该男子从桌子上脱下鞋子。</v>
      </c>
    </row>
    <row r="31329">
      <c r="A31329" s="4" t="s">
        <v>39448</v>
      </c>
      <c r="B31329" s="4" t="s">
        <v>39452</v>
      </c>
      <c r="C31329" s="5" t="str">
        <f>IFERROR(__xludf.DUMMYFUNCTION("GOOGLETRANSLATE(B31329,""en"",""zh-CN"")"),"女人和男人的手臂摔跤。")</f>
        <v>女人和男人的手臂摔跤。</v>
      </c>
    </row>
    <row r="31330">
      <c r="A31330" s="4" t="s">
        <v>39448</v>
      </c>
      <c r="B31330" s="4" t="s">
        <v>39453</v>
      </c>
      <c r="C31330" s="5" t="str">
        <f>IFERROR(__xludf.DUMMYFUNCTION("GOOGLETRANSLATE(B31330,""en"",""zh-CN"")"),"男人击败了女人。")</f>
        <v>男人击败了女人。</v>
      </c>
    </row>
    <row r="31331">
      <c r="A31331" s="4" t="s">
        <v>39448</v>
      </c>
      <c r="B31331" s="4" t="s">
        <v>39454</v>
      </c>
      <c r="C31331" s="5" t="str">
        <f>IFERROR(__xludf.DUMMYFUNCTION("GOOGLETRANSLATE(B31331,""en"",""zh-CN"")"),"他拿出鞋子，将它们放回桌子上。")</f>
        <v>他拿出鞋子，将它们放回桌子上。</v>
      </c>
    </row>
    <row r="31332">
      <c r="A31332" s="4" t="s">
        <v>39448</v>
      </c>
      <c r="B31332" s="4" t="s">
        <v>39455</v>
      </c>
      <c r="C31332" s="5" t="str">
        <f>IFERROR(__xludf.DUMMYFUNCTION("GOOGLETRANSLATE(B31332,""en"",""zh-CN"")"),"女人和男人进行谈话时笑了。")</f>
        <v>女人和男人进行谈话时笑了。</v>
      </c>
    </row>
    <row r="31333">
      <c r="A31333" s="4" t="s">
        <v>39456</v>
      </c>
      <c r="B31333" s="4" t="s">
        <v>39457</v>
      </c>
      <c r="C31333" s="5" t="str">
        <f>IFERROR(__xludf.DUMMYFUNCTION("GOOGLETRANSLATE(B31333,""en"",""zh-CN"")"),"一个女人在健身房里说话。")</f>
        <v>一个女人在健身房里说话。</v>
      </c>
    </row>
    <row r="31334">
      <c r="A31334" s="4" t="s">
        <v>39456</v>
      </c>
      <c r="B31334" s="4" t="s">
        <v>39458</v>
      </c>
      <c r="C31334" s="5" t="str">
        <f>IFERROR(__xludf.DUMMYFUNCTION("GOOGLETRANSLATE(B31334,""en"",""zh-CN"")"),"那个女人站在车道上，然后她跑来表演的跳远，落在沙滩上。")</f>
        <v>那个女人站在车道上，然后她跑来表演的跳远，落在沙滩上。</v>
      </c>
    </row>
    <row r="31335">
      <c r="A31335" s="4" t="s">
        <v>39456</v>
      </c>
      <c r="B31335" s="4" t="s">
        <v>39459</v>
      </c>
      <c r="C31335" s="5" t="str">
        <f>IFERROR(__xludf.DUMMYFUNCTION("GOOGLETRANSLATE(B31335,""en"",""zh-CN"")"),"女人的跳跃重复了几次。")</f>
        <v>女人的跳跃重复了几次。</v>
      </c>
    </row>
    <row r="31336">
      <c r="A31336" s="4" t="s">
        <v>39460</v>
      </c>
      <c r="B31336" s="4" t="s">
        <v>39461</v>
      </c>
      <c r="C31336" s="5" t="str">
        <f>IFERROR(__xludf.DUMMYFUNCTION("GOOGLETRANSLATE(B31336,""en"",""zh-CN"")"),"看到几个人沿着水面冲浪和一个表演技巧。")</f>
        <v>看到几个人沿着水面冲浪和一个表演技巧。</v>
      </c>
    </row>
    <row r="31337">
      <c r="A31337" s="4" t="s">
        <v>39460</v>
      </c>
      <c r="B31337" s="4" t="s">
        <v>39462</v>
      </c>
      <c r="C31337" s="5" t="str">
        <f>IFERROR(__xludf.DUMMYFUNCTION("GOOGLETRANSLATE(B31337,""en"",""zh-CN"")"),"越来越多的人表现出窍门，一个人掉下来了，立即爬回了。")</f>
        <v>越来越多的人表现出窍门，一个人掉下来了，立即爬回了。</v>
      </c>
    </row>
    <row r="31338">
      <c r="A31338" s="4" t="s">
        <v>39463</v>
      </c>
      <c r="B31338" s="4" t="s">
        <v>39464</v>
      </c>
      <c r="C31338" s="5" t="str">
        <f>IFERROR(__xludf.DUMMYFUNCTION("GOOGLETRANSLATE(B31338,""en"",""zh-CN"")"),"一个孩子用白色指甲油在前面的小孩上画脚趾甲。")</f>
        <v>一个孩子用白色指甲油在前面的小孩上画脚趾甲。</v>
      </c>
    </row>
    <row r="31339">
      <c r="A31339" s="4" t="s">
        <v>39463</v>
      </c>
      <c r="B31339" s="4" t="s">
        <v>39465</v>
      </c>
      <c r="C31339" s="5" t="str">
        <f>IFERROR(__xludf.DUMMYFUNCTION("GOOGLETRANSLATE(B31339,""en"",""zh-CN"")"),"一个人进入房间，在孩子们的前面行走。")</f>
        <v>一个人进入房间，在孩子们的前面行走。</v>
      </c>
    </row>
    <row r="31340">
      <c r="A31340" s="4" t="s">
        <v>39463</v>
      </c>
      <c r="B31340" s="4" t="s">
        <v>39466</v>
      </c>
      <c r="C31340" s="5" t="str">
        <f>IFERROR(__xludf.DUMMYFUNCTION("GOOGLETRANSLATE(B31340,""en"",""zh-CN"")"),"然后，孩子转身听某人一秒钟，并继续为她绘画脚趾甲。")</f>
        <v>然后，孩子转身听某人一秒钟，并继续为她绘画脚趾甲。</v>
      </c>
    </row>
    <row r="31341">
      <c r="A31341" s="4" t="s">
        <v>39463</v>
      </c>
      <c r="B31341" s="6" t="s">
        <v>39467</v>
      </c>
      <c r="C31341" s="5" t="str">
        <f>IFERROR(__xludf.DUMMYFUNCTION("GOOGLETRANSLATE(B31341,""en"",""zh-CN"")"),"之后，一只手碰到了两次转弯的孩子的后背，然后继续将她涂上脚趾甲。")</f>
        <v>之后，一只手碰到了两次转弯的孩子的后背，然后继续将她涂上脚趾甲。</v>
      </c>
    </row>
    <row r="31342">
      <c r="A31342" s="4" t="s">
        <v>39468</v>
      </c>
      <c r="B31342" s="4" t="s">
        <v>39469</v>
      </c>
      <c r="C31342" s="5" t="str">
        <f>IFERROR(__xludf.DUMMYFUNCTION("GOOGLETRANSLATE(B31342,""en"",""zh-CN"")"),"一个人将醋倒在毛巾上的水槽中。")</f>
        <v>一个人将醋倒在毛巾上的水槽中。</v>
      </c>
    </row>
    <row r="31343">
      <c r="A31343" s="4" t="s">
        <v>39468</v>
      </c>
      <c r="B31343" s="4" t="s">
        <v>39470</v>
      </c>
      <c r="C31343" s="5" t="str">
        <f>IFERROR(__xludf.DUMMYFUNCTION("GOOGLETRANSLATE(B31343,""en"",""zh-CN"")"),"然后，该人使用毛巾擦拭水槽的表面。")</f>
        <v>然后，该人使用毛巾擦拭水槽的表面。</v>
      </c>
    </row>
    <row r="31344">
      <c r="A31344" s="4" t="s">
        <v>39468</v>
      </c>
      <c r="B31344" s="4" t="s">
        <v>39471</v>
      </c>
      <c r="C31344" s="5" t="str">
        <f>IFERROR(__xludf.DUMMYFUNCTION("GOOGLETRANSLATE(B31344,""en"",""zh-CN"")"),"该人丢下毛巾并捡起它。")</f>
        <v>该人丢下毛巾并捡起它。</v>
      </c>
    </row>
    <row r="31345">
      <c r="A31345" s="4" t="s">
        <v>39472</v>
      </c>
      <c r="B31345" s="6" t="s">
        <v>39473</v>
      </c>
      <c r="C31345" s="5" t="str">
        <f>IFERROR(__xludf.DUMMYFUNCTION("GOOGLETRANSLATE(B31345,""en"",""zh-CN"")"),"看到一个女人在相机上说话，同时炫耀她的指甲并导致她握住隐形眼镜。")</f>
        <v>看到一个女人在相机上说话，同时炫耀她的指甲并导致她握住隐形眼镜。</v>
      </c>
    </row>
    <row r="31346">
      <c r="A31346" s="4" t="s">
        <v>39472</v>
      </c>
      <c r="B31346" s="6" t="s">
        <v>39474</v>
      </c>
      <c r="C31346" s="5" t="str">
        <f>IFERROR(__xludf.DUMMYFUNCTION("GOOGLETRANSLATE(B31346,""en"",""zh-CN"")"),"然后，女孩将液体倒入一个容器中，他们演示了如何正确放入和接触隐形眼镜。")</f>
        <v>然后，女孩将液体倒入一个容器中，他们演示了如何正确放入和接触隐形眼镜。</v>
      </c>
    </row>
    <row r="31347">
      <c r="A31347" s="4" t="s">
        <v>39475</v>
      </c>
      <c r="B31347" s="6" t="s">
        <v>39476</v>
      </c>
      <c r="C31347" s="5" t="str">
        <f>IFERROR(__xludf.DUMMYFUNCTION("GOOGLETRANSLATE(B31347,""en"",""zh-CN"")"),"女人正在和挂着一只大猫在腿上坐在猫垫子上及其抚摸他的头上的相机交谈。")</f>
        <v>女人正在和挂着一只大猫在腿上坐在猫垫子上及其抚摸他的头上的相机交谈。</v>
      </c>
    </row>
    <row r="31348">
      <c r="A31348" s="4" t="s">
        <v>39475</v>
      </c>
      <c r="B31348" s="4" t="s">
        <v>39477</v>
      </c>
      <c r="C31348" s="5" t="str">
        <f>IFERROR(__xludf.DUMMYFUNCTION("GOOGLETRANSLATE(B31348,""en"",""zh-CN"")"),"女人拿着指甲剪子，剪掉猫的指甲，以解释正确的方法。")</f>
        <v>女人拿着指甲剪子，剪掉猫的指甲，以解释正确的方法。</v>
      </c>
    </row>
    <row r="31349">
      <c r="A31349" s="4" t="s">
        <v>39478</v>
      </c>
      <c r="B31349" s="4" t="s">
        <v>39479</v>
      </c>
      <c r="C31349" s="5" t="str">
        <f>IFERROR(__xludf.DUMMYFUNCTION("GOOGLETRANSLATE(B31349,""en"",""zh-CN"")"),"一个人在水中滑水，将绳索固定在河上的船上。")</f>
        <v>一个人在水中滑水，将绳索固定在河上的船上。</v>
      </c>
    </row>
    <row r="31350">
      <c r="A31350" s="4" t="s">
        <v>39478</v>
      </c>
      <c r="B31350" s="4" t="s">
        <v>39480</v>
      </c>
      <c r="C31350" s="5" t="str">
        <f>IFERROR(__xludf.DUMMYFUNCTION("GOOGLETRANSLATE(B31350,""en"",""zh-CN"")"),"该人在滑水时在河里的一条船前经过。")</f>
        <v>该人在滑水时在河里的一条船前经过。</v>
      </c>
    </row>
    <row r="31351">
      <c r="A31351" s="4" t="s">
        <v>39478</v>
      </c>
      <c r="B31351" s="6" t="s">
        <v>39481</v>
      </c>
      <c r="C31351" s="5" t="str">
        <f>IFERROR(__xludf.DUMMYFUNCTION("GOOGLETRANSLATE(B31351,""en"",""zh-CN"")"),"然后，在该人继续进行水上运动之后，该人在表演Waterskii时给出了拇指。")</f>
        <v>然后，在该人继续进行水上运动之后，该人在表演Waterskii时给出了拇指。</v>
      </c>
    </row>
    <row r="31352">
      <c r="A31352" s="4" t="s">
        <v>39478</v>
      </c>
      <c r="B31352" s="4" t="s">
        <v>39482</v>
      </c>
      <c r="C31352" s="5" t="str">
        <f>IFERROR(__xludf.DUMMYFUNCTION("GOOGLETRANSLATE(B31352,""en"",""zh-CN"")"),"然后，冲浪板漂浮在前面的金属结构上。")</f>
        <v>然后，冲浪板漂浮在前面的金属结构上。</v>
      </c>
    </row>
    <row r="31353">
      <c r="A31353" s="4" t="s">
        <v>39483</v>
      </c>
      <c r="B31353" s="6" t="s">
        <v>39484</v>
      </c>
      <c r="C31353" s="5" t="str">
        <f>IFERROR(__xludf.DUMMYFUNCTION("GOOGLETRANSLATE(B31353,""en"",""zh-CN"")"),"一名穿着湿衣服的培训师可以在表演开始时兴奋地在镇上点头，从而给海象待遇。")</f>
        <v>一名穿着湿衣服的培训师可以在表演开始时兴奋地在镇上点头，从而给海象待遇。</v>
      </c>
    </row>
    <row r="31354">
      <c r="A31354" s="4" t="s">
        <v>39483</v>
      </c>
      <c r="B31354" s="4" t="s">
        <v>39485</v>
      </c>
      <c r="C31354" s="5" t="str">
        <f>IFERROR(__xludf.DUMMYFUNCTION("GOOGLETRANSLATE(B31354,""en"",""zh-CN"")"),"教练扮演一个小萨克斯管，海象点头，并得到了享受。")</f>
        <v>教练扮演一个小萨克斯管，海象点头，并得到了享受。</v>
      </c>
    </row>
    <row r="31355">
      <c r="A31355" s="4" t="s">
        <v>39483</v>
      </c>
      <c r="B31355" s="4" t="s">
        <v>39486</v>
      </c>
      <c r="C31355" s="5" t="str">
        <f>IFERROR(__xludf.DUMMYFUNCTION("GOOGLETRANSLATE(B31355,""en"",""zh-CN"")"),"海象是递给萨克斯管，并在与教练跳舞时播放它。")</f>
        <v>海象是递给萨克斯管，并在与教练跳舞时播放它。</v>
      </c>
    </row>
    <row r="31356">
      <c r="A31356" s="4" t="s">
        <v>39487</v>
      </c>
      <c r="B31356" s="4" t="s">
        <v>39488</v>
      </c>
      <c r="C31356" s="5" t="str">
        <f>IFERROR(__xludf.DUMMYFUNCTION("GOOGLETRANSLATE(B31356,""en"",""zh-CN"")"),"一个人的手展示了如何进行造型和梳理金发的洋娃娃。")</f>
        <v>一个人的手展示了如何进行造型和梳理金发的洋娃娃。</v>
      </c>
    </row>
    <row r="31357">
      <c r="A31357" s="4" t="s">
        <v>39487</v>
      </c>
      <c r="B31357" s="6" t="s">
        <v>39489</v>
      </c>
      <c r="C31357" s="5" t="str">
        <f>IFERROR(__xludf.DUMMYFUNCTION("GOOGLETRANSLATE(B31357,""en"",""zh-CN"")"),"该人的手开始用粉红色的毛刷刷娃娃的头发，然后拿起一瓶发型造型产品。")</f>
        <v>该人的手开始用粉红色的毛刷刷娃娃的头发，然后拿起一瓶发型造型产品。</v>
      </c>
    </row>
    <row r="31358">
      <c r="A31358" s="4" t="s">
        <v>39487</v>
      </c>
      <c r="B31358" s="6" t="s">
        <v>39490</v>
      </c>
      <c r="C31358" s="5" t="str">
        <f>IFERROR(__xludf.DUMMYFUNCTION("GOOGLETRANSLATE(B31358,""en"",""zh-CN"")"),"手在玩偶的头发上喷洒了一些发型产品，然后再次刷头发。")</f>
        <v>手在玩偶的头发上喷洒了一些发型产品，然后再次刷头发。</v>
      </c>
    </row>
    <row r="31359">
      <c r="A31359" s="4" t="s">
        <v>39487</v>
      </c>
      <c r="B31359" s="6" t="s">
        <v>39491</v>
      </c>
      <c r="C31359" s="5" t="str">
        <f>IFERROR(__xludf.DUMMYFUNCTION("GOOGLETRANSLATE(B31359,""en"",""zh-CN"")"),"然后，手转动娃娃以展示成品样式，手也向娃娃头发周围的区域手势。")</f>
        <v>然后，手转动娃娃以展示成品样式，手也向娃娃头发周围的区域手势。</v>
      </c>
    </row>
    <row r="31360">
      <c r="A31360" s="4" t="s">
        <v>39492</v>
      </c>
      <c r="B31360" s="4" t="s">
        <v>39493</v>
      </c>
      <c r="C31360" s="5" t="str">
        <f>IFERROR(__xludf.DUMMYFUNCTION("GOOGLETRANSLATE(B31360,""en"",""zh-CN"")"),"一艘带有深红色李子彩色帆的帆船骑在海洋上。")</f>
        <v>一艘带有深红色李子彩色帆的帆船骑在海洋上。</v>
      </c>
    </row>
    <row r="31361">
      <c r="A31361" s="4" t="s">
        <v>39492</v>
      </c>
      <c r="B31361" s="4" t="s">
        <v>39494</v>
      </c>
      <c r="C31361" s="5" t="str">
        <f>IFERROR(__xludf.DUMMYFUNCTION("GOOGLETRANSLATE(B31361,""en"",""zh-CN"")"),"船转弯，当我们移到左侧时，我们从后面看到它。")</f>
        <v>船转弯，当我们移到左侧时，我们从后面看到它。</v>
      </c>
    </row>
    <row r="31362">
      <c r="A31362" s="4" t="s">
        <v>39492</v>
      </c>
      <c r="B31362" s="4" t="s">
        <v>39495</v>
      </c>
      <c r="C31362" s="5" t="str">
        <f>IFERROR(__xludf.DUMMYFUNCTION("GOOGLETRANSLATE(B31362,""en"",""zh-CN"")"),"相机放大进出，然后闪烁到另一个角度。")</f>
        <v>相机放大进出，然后闪烁到另一个角度。</v>
      </c>
    </row>
    <row r="31363">
      <c r="A31363" s="4" t="s">
        <v>39492</v>
      </c>
      <c r="B31363" s="4" t="s">
        <v>39496</v>
      </c>
      <c r="C31363" s="5" t="str">
        <f>IFERROR(__xludf.DUMMYFUNCTION("GOOGLETRANSLATE(B31363,""en"",""zh-CN"")"),"我们看到视频上的积分运行。")</f>
        <v>我们看到视频上的积分运行。</v>
      </c>
    </row>
    <row r="31364">
      <c r="A31364" s="4" t="s">
        <v>39497</v>
      </c>
      <c r="B31364" s="4" t="s">
        <v>39498</v>
      </c>
      <c r="C31364" s="5" t="str">
        <f>IFERROR(__xludf.DUMMYFUNCTION("GOOGLETRANSLATE(B31364,""en"",""zh-CN"")"),"一个男人的胳膊在他的头上摆动。")</f>
        <v>一个男人的胳膊在他的头上摆动。</v>
      </c>
    </row>
    <row r="31365">
      <c r="A31365" s="4" t="s">
        <v>39497</v>
      </c>
      <c r="B31365" s="4" t="s">
        <v>39499</v>
      </c>
      <c r="C31365" s="5" t="str">
        <f>IFERROR(__xludf.DUMMYFUNCTION("GOOGLETRANSLATE(B31365,""en"",""zh-CN"")"),"他稀薄地旋转了整个身体。")</f>
        <v>他稀薄地旋转了整个身体。</v>
      </c>
    </row>
    <row r="31366">
      <c r="A31366" s="4" t="s">
        <v>39497</v>
      </c>
      <c r="B31366" s="4" t="s">
        <v>39500</v>
      </c>
      <c r="C31366" s="5" t="str">
        <f>IFERROR(__xludf.DUMMYFUNCTION("GOOGLETRANSLATE(B31366,""en"",""zh-CN"")"),"该男子释放锤子并降低手臂。")</f>
        <v>该男子释放锤子并降低手臂。</v>
      </c>
    </row>
    <row r="31367">
      <c r="A31367" s="4" t="s">
        <v>39501</v>
      </c>
      <c r="B31367" s="6" t="s">
        <v>39502</v>
      </c>
      <c r="C31367" s="5" t="str">
        <f>IFERROR(__xludf.DUMMYFUNCTION("GOOGLETRANSLATE(B31367,""en"",""zh-CN"")"),"一个男人和一个女人用加速视频中的房间里的装饰装饰一棵圣诞树。")</f>
        <v>一个男人和一个女人用加速视频中的房间里的装饰装饰一棵圣诞树。</v>
      </c>
    </row>
    <row r="31368">
      <c r="A31368" s="4" t="s">
        <v>39501</v>
      </c>
      <c r="B31368" s="4" t="s">
        <v>39503</v>
      </c>
      <c r="C31368" s="5" t="str">
        <f>IFERROR(__xludf.DUMMYFUNCTION("GOOGLETRANSLATE(B31368,""en"",""zh-CN"")"),"狗走过相机框架。")</f>
        <v>狗走过相机框架。</v>
      </c>
    </row>
    <row r="31369">
      <c r="A31369" s="4" t="s">
        <v>39501</v>
      </c>
      <c r="B31369" s="4" t="s">
        <v>39504</v>
      </c>
      <c r="C31369" s="5" t="str">
        <f>IFERROR(__xludf.DUMMYFUNCTION("GOOGLETRANSLATE(B31369,""en"",""zh-CN"")"),"该男子离开相机框架。")</f>
        <v>该男子离开相机框架。</v>
      </c>
    </row>
    <row r="31370">
      <c r="A31370" s="4" t="s">
        <v>39501</v>
      </c>
      <c r="B31370" s="4" t="s">
        <v>39505</v>
      </c>
      <c r="C31370" s="5" t="str">
        <f>IFERROR(__xludf.DUMMYFUNCTION("GOOGLETRANSLATE(B31370,""en"",""zh-CN"")"),"该男子戴着圣诞老人帽子回到装饰。")</f>
        <v>该男子戴着圣诞老人帽子回到装饰。</v>
      </c>
    </row>
    <row r="31371">
      <c r="A31371" s="4" t="s">
        <v>39501</v>
      </c>
      <c r="B31371" s="4" t="s">
        <v>39506</v>
      </c>
      <c r="C31371" s="5" t="str">
        <f>IFERROR(__xludf.DUMMYFUNCTION("GOOGLETRANSLATE(B31371,""en"",""zh-CN"")"),"该男子站在椅子上，在树顶上装饰。")</f>
        <v>该男子站在椅子上，在树顶上装饰。</v>
      </c>
    </row>
    <row r="31372">
      <c r="A31372" s="4" t="s">
        <v>39501</v>
      </c>
      <c r="B31372" s="4" t="s">
        <v>39507</v>
      </c>
      <c r="C31372" s="5" t="str">
        <f>IFERROR(__xludf.DUMMYFUNCTION("GOOGLETRANSLATE(B31372,""en"",""zh-CN"")"),"完整的树自行显示。")</f>
        <v>完整的树自行显示。</v>
      </c>
    </row>
    <row r="31373">
      <c r="A31373" s="4" t="s">
        <v>39508</v>
      </c>
      <c r="B31373" s="4" t="s">
        <v>39509</v>
      </c>
      <c r="C31373" s="5" t="str">
        <f>IFERROR(__xludf.DUMMYFUNCTION("GOOGLETRANSLATE(B31373,""en"",""zh-CN"")"),"有两个人站在水边，其中一个抓住了一些木板。")</f>
        <v>有两个人站在水边，其中一个抓住了一些木板。</v>
      </c>
    </row>
    <row r="31374">
      <c r="A31374" s="4" t="s">
        <v>39508</v>
      </c>
      <c r="B31374" s="4" t="s">
        <v>39510</v>
      </c>
      <c r="C31374" s="5" t="str">
        <f>IFERROR(__xludf.DUMMYFUNCTION("GOOGLETRANSLATE(B31374,""en"",""zh-CN"")"),"他把它放在水中并骑了它，它的变化很快。")</f>
        <v>他把它放在水中并骑了它，它的变化很快。</v>
      </c>
    </row>
    <row r="31375">
      <c r="A31375" s="4" t="s">
        <v>39508</v>
      </c>
      <c r="B31375" s="4" t="s">
        <v>39511</v>
      </c>
      <c r="C31375" s="5" t="str">
        <f>IFERROR(__xludf.DUMMYFUNCTION("GOOGLETRANSLATE(B31375,""en"",""zh-CN"")"),"他把它旋转了几次，并由别人在另一个人身上经过。")</f>
        <v>他把它旋转了几次，并由别人在另一个人身上经过。</v>
      </c>
    </row>
    <row r="31376">
      <c r="A31376" s="4" t="s">
        <v>39508</v>
      </c>
      <c r="B31376" s="4" t="s">
        <v>39512</v>
      </c>
      <c r="C31376" s="5" t="str">
        <f>IFERROR(__xludf.DUMMYFUNCTION("GOOGLETRANSLATE(B31376,""en"",""zh-CN"")"),"他下车，走到头顶上的田野。")</f>
        <v>他下车，走到头顶上的田野。</v>
      </c>
    </row>
    <row r="31377">
      <c r="A31377" s="4" t="s">
        <v>39513</v>
      </c>
      <c r="B31377" s="4" t="s">
        <v>39514</v>
      </c>
      <c r="C31377" s="5" t="str">
        <f>IFERROR(__xludf.DUMMYFUNCTION("GOOGLETRANSLATE(B31377,""en"",""zh-CN"")"),"一个戴着手套的男人在建筑物内。")</f>
        <v>一个戴着手套的男人在建筑物内。</v>
      </c>
    </row>
    <row r="31378">
      <c r="A31378" s="4" t="s">
        <v>39513</v>
      </c>
      <c r="B31378" s="4" t="s">
        <v>39515</v>
      </c>
      <c r="C31378" s="5" t="str">
        <f>IFERROR(__xludf.DUMMYFUNCTION("GOOGLETRANSLATE(B31378,""en"",""zh-CN"")"),"他卷起地毯并将其放在一边。")</f>
        <v>他卷起地毯并将其放在一边。</v>
      </c>
    </row>
    <row r="31379">
      <c r="A31379" s="4" t="s">
        <v>39513</v>
      </c>
      <c r="B31379" s="4" t="s">
        <v>39516</v>
      </c>
      <c r="C31379" s="5" t="str">
        <f>IFERROR(__xludf.DUMMYFUNCTION("GOOGLETRANSLATE(B31379,""en"",""zh-CN"")"),"然后，他扫过地板，直到它们干净为止。")</f>
        <v>然后，他扫过地板，直到它们干净为止。</v>
      </c>
    </row>
    <row r="31380">
      <c r="A31380" s="4" t="s">
        <v>39517</v>
      </c>
      <c r="B31380" s="4" t="s">
        <v>39518</v>
      </c>
      <c r="C31380" s="5" t="str">
        <f>IFERROR(__xludf.DUMMYFUNCTION("GOOGLETRANSLATE(B31380,""en"",""zh-CN"")"),"屏幕上短暂出现徽标。")</f>
        <v>屏幕上短暂出现徽标。</v>
      </c>
    </row>
    <row r="31381">
      <c r="A31381" s="4" t="s">
        <v>39517</v>
      </c>
      <c r="B31381" s="4" t="s">
        <v>39519</v>
      </c>
      <c r="C31381" s="5" t="str">
        <f>IFERROR(__xludf.DUMMYFUNCTION("GOOGLETRANSLATE(B31381,""en"",""zh-CN"")"),"一个男人站在木筏上时与一个小组交谈。")</f>
        <v>一个男人站在木筏上时与一个小组交谈。</v>
      </c>
    </row>
    <row r="31382">
      <c r="A31382" s="4" t="s">
        <v>39517</v>
      </c>
      <c r="B31382" s="4" t="s">
        <v>39520</v>
      </c>
      <c r="C31382" s="5" t="str">
        <f>IFERROR(__xludf.DUMMYFUNCTION("GOOGLETRANSLATE(B31382,""en"",""zh-CN"")"),"一群人正在与急流流下河流。")</f>
        <v>一群人正在与急流流下河流。</v>
      </c>
    </row>
    <row r="31383">
      <c r="A31383" s="4" t="s">
        <v>39517</v>
      </c>
      <c r="B31383" s="4" t="s">
        <v>39521</v>
      </c>
      <c r="C31383" s="5" t="str">
        <f>IFERROR(__xludf.DUMMYFUNCTION("GOOGLETRANSLATE(B31383,""en"",""zh-CN"")"),"他们通过举起桨来欢呼。")</f>
        <v>他们通过举起桨来欢呼。</v>
      </c>
    </row>
    <row r="31384">
      <c r="A31384" s="4" t="s">
        <v>39517</v>
      </c>
      <c r="B31384" s="4" t="s">
        <v>39522</v>
      </c>
      <c r="C31384" s="5" t="str">
        <f>IFERROR(__xludf.DUMMYFUNCTION("GOOGLETRANSLATE(B31384,""en"",""zh-CN"")"),"他们继续沿着河流筏。")</f>
        <v>他们继续沿着河流筏。</v>
      </c>
    </row>
    <row r="31385">
      <c r="A31385" s="4" t="s">
        <v>39517</v>
      </c>
      <c r="B31385" s="4" t="s">
        <v>39523</v>
      </c>
      <c r="C31385" s="5" t="str">
        <f>IFERROR(__xludf.DUMMYFUNCTION("GOOGLETRANSLATE(B31385,""en"",""zh-CN"")"),"它削减了露营地的银行中的人们。")</f>
        <v>它削减了露营地的银行中的人们。</v>
      </c>
    </row>
    <row r="31386">
      <c r="A31386" s="4" t="s">
        <v>39517</v>
      </c>
      <c r="B31386" s="4" t="s">
        <v>39524</v>
      </c>
      <c r="C31386" s="5" t="str">
        <f>IFERROR(__xludf.DUMMYFUNCTION("GOOGLETRANSLATE(B31386,""en"",""zh-CN"")"),"人们再次漂流到河中。")</f>
        <v>人们再次漂流到河中。</v>
      </c>
    </row>
    <row r="31387">
      <c r="A31387" s="4" t="s">
        <v>39517</v>
      </c>
      <c r="B31387" s="4" t="s">
        <v>39525</v>
      </c>
      <c r="C31387" s="5" t="str">
        <f>IFERROR(__xludf.DUMMYFUNCTION("GOOGLETRANSLATE(B31387,""en"",""zh-CN"")"),"一个人的皮划艇在河里。")</f>
        <v>一个人的皮划艇在河里。</v>
      </c>
    </row>
    <row r="31388">
      <c r="A31388" s="4" t="s">
        <v>39517</v>
      </c>
      <c r="B31388" s="4" t="s">
        <v>39526</v>
      </c>
      <c r="C31388" s="5" t="str">
        <f>IFERROR(__xludf.DUMMYFUNCTION("GOOGLETRANSLATE(B31388,""en"",""zh-CN"")"),"另一个人皮划艇在河上。")</f>
        <v>另一个人皮划艇在河上。</v>
      </c>
    </row>
    <row r="31389">
      <c r="A31389" s="4" t="s">
        <v>39517</v>
      </c>
      <c r="B31389" s="4" t="s">
        <v>39527</v>
      </c>
      <c r="C31389" s="5" t="str">
        <f>IFERROR(__xludf.DUMMYFUNCTION("GOOGLETRANSLATE(B31389,""en"",""zh-CN"")"),"另一个团体沿着河流筏。")</f>
        <v>另一个团体沿着河流筏。</v>
      </c>
    </row>
    <row r="31390">
      <c r="A31390" s="4" t="s">
        <v>39517</v>
      </c>
      <c r="B31390" s="4" t="s">
        <v>39528</v>
      </c>
      <c r="C31390" s="5" t="str">
        <f>IFERROR(__xludf.DUMMYFUNCTION("GOOGLETRANSLATE(B31390,""en"",""zh-CN"")"),"它显示了银行上的猴子。")</f>
        <v>它显示了银行上的猴子。</v>
      </c>
    </row>
    <row r="31391">
      <c r="A31391" s="4" t="s">
        <v>39517</v>
      </c>
      <c r="B31391" s="4" t="s">
        <v>39529</v>
      </c>
      <c r="C31391" s="5" t="str">
        <f>IFERROR(__xludf.DUMMYFUNCTION("GOOGLETRANSLATE(B31391,""en"",""zh-CN"")"),"人们被瀑布溅出了。")</f>
        <v>人们被瀑布溅出了。</v>
      </c>
    </row>
    <row r="31392">
      <c r="A31392" s="4" t="s">
        <v>39517</v>
      </c>
      <c r="B31392" s="4" t="s">
        <v>39530</v>
      </c>
      <c r="C31392" s="5" t="str">
        <f>IFERROR(__xludf.DUMMYFUNCTION("GOOGLETRANSLATE(B31392,""en"",""zh-CN"")"),"它切入徽标和信息。")</f>
        <v>它切入徽标和信息。</v>
      </c>
    </row>
    <row r="31393">
      <c r="A31393" s="4" t="s">
        <v>39531</v>
      </c>
      <c r="B31393" s="4" t="s">
        <v>39532</v>
      </c>
      <c r="C31393" s="5" t="str">
        <f>IFERROR(__xludf.DUMMYFUNCTION("GOOGLETRANSLATE(B31393,""en"",""zh-CN"")"),"看到两个女人站在圣诞树面前，也有幼儿在场。")</f>
        <v>看到两个女人站在圣诞树面前，也有幼儿在场。</v>
      </c>
    </row>
    <row r="31394">
      <c r="A31394" s="4" t="s">
        <v>39531</v>
      </c>
      <c r="B31394" s="4" t="s">
        <v>39533</v>
      </c>
      <c r="C31394" s="5" t="str">
        <f>IFERROR(__xludf.DUMMYFUNCTION("GOOGLETRANSLATE(B31394,""en"",""zh-CN"")"),"然后，人们互相移动，将装饰品放在树上。")</f>
        <v>然后，人们互相移动，将装饰品放在树上。</v>
      </c>
    </row>
    <row r="31395">
      <c r="A31395" s="4" t="s">
        <v>39531</v>
      </c>
      <c r="B31395" s="4" t="s">
        <v>39534</v>
      </c>
      <c r="C31395" s="5" t="str">
        <f>IFERROR(__xludf.DUMMYFUNCTION("GOOGLETRANSLATE(B31395,""en"",""zh-CN"")"),"女孩们继续将物品放在树上，然后对相机微笑。")</f>
        <v>女孩们继续将物品放在树上，然后对相机微笑。</v>
      </c>
    </row>
    <row r="31396">
      <c r="A31396" s="4" t="s">
        <v>39535</v>
      </c>
      <c r="B31396" s="4" t="s">
        <v>39536</v>
      </c>
      <c r="C31396" s="5" t="str">
        <f>IFERROR(__xludf.DUMMYFUNCTION("GOOGLETRANSLATE(B31396,""en"",""zh-CN"")"),"一个男人坐在脱口秀主持人旁边的椅子上。")</f>
        <v>一个男人坐在脱口秀主持人旁边的椅子上。</v>
      </c>
    </row>
    <row r="31397">
      <c r="A31397" s="4" t="s">
        <v>39535</v>
      </c>
      <c r="B31397" s="4" t="s">
        <v>39537</v>
      </c>
      <c r="C31397" s="5" t="str">
        <f>IFERROR(__xludf.DUMMYFUNCTION("GOOGLETRANSLATE(B31397,""en"",""zh-CN"")"),"一名妇女正在举办啤酒乒乓球比赛，两个男人上桌子。")</f>
        <v>一名妇女正在举办啤酒乒乓球比赛，两个男人上桌子。</v>
      </c>
    </row>
    <row r="31398">
      <c r="A31398" s="4" t="s">
        <v>39535</v>
      </c>
      <c r="B31398" s="4" t="s">
        <v>39538</v>
      </c>
      <c r="C31398" s="5" t="str">
        <f>IFERROR(__xludf.DUMMYFUNCTION("GOOGLETRANSLATE(B31398,""en"",""zh-CN"")"),"他们喝酒，试图将球扔进杯子。")</f>
        <v>他们喝酒，试图将球扔进杯子。</v>
      </c>
    </row>
    <row r="31399">
      <c r="A31399" s="4" t="s">
        <v>39535</v>
      </c>
      <c r="B31399" s="4" t="s">
        <v>39539</v>
      </c>
      <c r="C31399" s="5" t="str">
        <f>IFERROR(__xludf.DUMMYFUNCTION("GOOGLETRANSLATE(B31399,""en"",""zh-CN"")"),"乐队在男人演奏时在背景中演奏。")</f>
        <v>乐队在男人演奏时在背景中演奏。</v>
      </c>
    </row>
    <row r="31400">
      <c r="A31400" s="4" t="s">
        <v>39540</v>
      </c>
      <c r="B31400" s="4" t="s">
        <v>39541</v>
      </c>
      <c r="C31400" s="5" t="str">
        <f>IFERROR(__xludf.DUMMYFUNCTION("GOOGLETRANSLATE(B31400,""en"",""zh-CN"")"),"看到一大批人站在桌子旁，一个人在镜头上说话。")</f>
        <v>看到一大批人站在桌子旁，一个人在镜头上说话。</v>
      </c>
    </row>
    <row r="31401">
      <c r="A31401" s="4" t="s">
        <v>39540</v>
      </c>
      <c r="B31401" s="4" t="s">
        <v>39542</v>
      </c>
      <c r="C31401" s="5" t="str">
        <f>IFERROR(__xludf.DUMMYFUNCTION("GOOGLETRANSLATE(B31401,""en"",""zh-CN"")"),"然后，人们互相协助将食材放入平底锅中，然后将其翻转。")</f>
        <v>然后，人们互相协助将食材放入平底锅中，然后将其翻转。</v>
      </c>
    </row>
    <row r="31402">
      <c r="A31402" s="4" t="s">
        <v>39540</v>
      </c>
      <c r="B31402" s="4" t="s">
        <v>39543</v>
      </c>
      <c r="C31402" s="5" t="str">
        <f>IFERROR(__xludf.DUMMYFUNCTION("GOOGLETRANSLATE(B31402,""en"",""zh-CN"")"),"人们继续将食物混合在一起，并将其呈现在盘子上。")</f>
        <v>人们继续将食物混合在一起，并将其呈现在盘子上。</v>
      </c>
    </row>
    <row r="31403">
      <c r="A31403" s="4" t="s">
        <v>39544</v>
      </c>
      <c r="B31403" s="4" t="s">
        <v>39545</v>
      </c>
      <c r="C31403" s="5" t="str">
        <f>IFERROR(__xludf.DUMMYFUNCTION("GOOGLETRANSLATE(B31403,""en"",""zh-CN"")"),"一个女人坐在椅子上，而她身后的一个女人则拿着吹风机。")</f>
        <v>一个女人坐在椅子上，而她身后的一个女人则拿着吹风机。</v>
      </c>
    </row>
    <row r="31404">
      <c r="A31404" s="4" t="s">
        <v>39544</v>
      </c>
      <c r="B31404" s="4" t="s">
        <v>39546</v>
      </c>
      <c r="C31404" s="5" t="str">
        <f>IFERROR(__xludf.DUMMYFUNCTION("GOOGLETRANSLATE(B31404,""en"",""zh-CN"")"),"她开始干燥女人的头发。")</f>
        <v>她开始干燥女人的头发。</v>
      </c>
    </row>
    <row r="31405">
      <c r="A31405" s="4" t="s">
        <v>39544</v>
      </c>
      <c r="B31405" s="4" t="s">
        <v>39547</v>
      </c>
      <c r="C31405" s="5" t="str">
        <f>IFERROR(__xludf.DUMMYFUNCTION("GOOGLETRANSLATE(B31405,""en"",""zh-CN"")"),"女人正在和指向吹风机的相机交谈。")</f>
        <v>女人正在和指向吹风机的相机交谈。</v>
      </c>
    </row>
    <row r="31406">
      <c r="A31406" s="4" t="s">
        <v>39548</v>
      </c>
      <c r="B31406" s="4" t="s">
        <v>39549</v>
      </c>
      <c r="C31406" s="5" t="str">
        <f>IFERROR(__xludf.DUMMYFUNCTION("GOOGLETRANSLATE(B31406,""en"",""zh-CN"")"),"一个女人坐在木桌后面。")</f>
        <v>一个女人坐在木桌后面。</v>
      </c>
    </row>
    <row r="31407">
      <c r="A31407" s="4" t="s">
        <v>39548</v>
      </c>
      <c r="B31407" s="4" t="s">
        <v>39550</v>
      </c>
      <c r="C31407" s="5" t="str">
        <f>IFERROR(__xludf.DUMMYFUNCTION("GOOGLETRANSLATE(B31407,""en"",""zh-CN"")"),"她迅速在难题上移动着色块，试图解决它。")</f>
        <v>她迅速在难题上移动着色块，试图解决它。</v>
      </c>
    </row>
    <row r="31408">
      <c r="A31408" s="4" t="s">
        <v>39548</v>
      </c>
      <c r="B31408" s="4" t="s">
        <v>39551</v>
      </c>
      <c r="C31408" s="5" t="str">
        <f>IFERROR(__xludf.DUMMYFUNCTION("GOOGLETRANSLATE(B31408,""en"",""zh-CN"")"),"她解决了难题，并将其显示给相机。")</f>
        <v>她解决了难题，并将其显示给相机。</v>
      </c>
    </row>
    <row r="31409">
      <c r="A31409" s="4" t="s">
        <v>39552</v>
      </c>
      <c r="B31409" s="6" t="s">
        <v>39553</v>
      </c>
      <c r="C31409" s="5" t="str">
        <f>IFERROR(__xludf.DUMMYFUNCTION("GOOGLETRANSLATE(B31409,""en"",""zh-CN"")"),"看到一小群男人沿着一条土路走，随后几枪骑着管子里骑着管子，然后笑着。")</f>
        <v>看到一小群男人沿着一条土路走，随后几枪骑着管子里骑着管子，然后笑着。</v>
      </c>
    </row>
    <row r="31410">
      <c r="A31410" s="4" t="s">
        <v>39552</v>
      </c>
      <c r="B31410" s="4" t="s">
        <v>39554</v>
      </c>
      <c r="C31410" s="5" t="str">
        <f>IFERROR(__xludf.DUMMYFUNCTION("GOOGLETRANSLATE(B31410,""en"",""zh-CN"")"),"他们继续沿着树下的河骑行，并有更多的人拿着相机。")</f>
        <v>他们继续沿着树下的河骑行，并有更多的人拿着相机。</v>
      </c>
    </row>
    <row r="31411">
      <c r="A31411" s="4" t="s">
        <v>39555</v>
      </c>
      <c r="B31411" s="6" t="s">
        <v>39556</v>
      </c>
      <c r="C31411" s="5" t="str">
        <f>IFERROR(__xludf.DUMMYFUNCTION("GOOGLETRANSLATE(B31411,""en"",""zh-CN"")"),"一个家伙向您展示了如何制作饮料，那家伙将冰倒在高大的玻璃杯中，加入半杯一定的酒，然后用冰倒在杯子里。")</f>
        <v>一个家伙向您展示了如何制作饮料，那家伙将冰倒在高大的玻璃杯中，加入半杯一定的酒，然后用冰倒在杯子里。</v>
      </c>
    </row>
    <row r="31412">
      <c r="A31412" s="4" t="s">
        <v>39555</v>
      </c>
      <c r="B31412" s="6" t="s">
        <v>39557</v>
      </c>
      <c r="C31412" s="5" t="str">
        <f>IFERROR(__xludf.DUMMYFUNCTION("GOOGLETRANSLATE(B31412,""en"",""zh-CN"")"),"然后，他将苏打水添加到杯子中，该杯子将杯子装满了顶部，并开始使用金属工具搅拌。")</f>
        <v>然后，他将苏打水添加到杯子中，该杯子将杯子装满了顶部，并开始使用金属工具搅拌。</v>
      </c>
    </row>
    <row r="31413">
      <c r="A31413" s="4" t="s">
        <v>39555</v>
      </c>
      <c r="B31413" s="6" t="s">
        <v>39558</v>
      </c>
      <c r="C31413" s="5" t="str">
        <f>IFERROR(__xludf.DUMMYFUNCTION("GOOGLETRANSLATE(B31413,""en"",""zh-CN"")"),"然后，这个家伙将三个半石灰挤进杯子中，并用他用来搅拌饮料的金属工具将三个石灰推到杯子的底部。")</f>
        <v>然后，这个家伙将三个半石灰挤进杯子中，并用他用来搅拌饮料的金属工具将三个石灰推到杯子的底部。</v>
      </c>
    </row>
    <row r="31414">
      <c r="A31414" s="4" t="s">
        <v>39555</v>
      </c>
      <c r="B31414" s="6" t="s">
        <v>39559</v>
      </c>
      <c r="C31414" s="5" t="str">
        <f>IFERROR(__xludf.DUMMYFUNCTION("GOOGLETRANSLATE(B31414,""en"",""zh-CN"")"),"最后，他将饮料从高大的玻璃杯倒入较短的玻璃杯中，加入另一种类型的酒，并用吸管将其倒掉。")</f>
        <v>最后，他将饮料从高大的玻璃杯倒入较短的玻璃杯中，加入另一种类型的酒，并用吸管将其倒掉。</v>
      </c>
    </row>
    <row r="31415">
      <c r="A31415" s="4" t="s">
        <v>39560</v>
      </c>
      <c r="B31415" s="4" t="s">
        <v>6935</v>
      </c>
      <c r="C31415" s="5" t="str">
        <f>IFERROR(__xludf.DUMMYFUNCTION("GOOGLETRANSLATE(B31415,""en"",""zh-CN"")"),"短暂出现在屏幕上。")</f>
        <v>短暂出现在屏幕上。</v>
      </c>
    </row>
    <row r="31416">
      <c r="A31416" s="4" t="s">
        <v>39560</v>
      </c>
      <c r="B31416" s="4" t="s">
        <v>39561</v>
      </c>
      <c r="C31416" s="5" t="str">
        <f>IFERROR(__xludf.DUMMYFUNCTION("GOOGLETRANSLATE(B31416,""en"",""zh-CN"")"),"两个人站在蛋糕前，他们说话。")</f>
        <v>两个人站在蛋糕前，他们说话。</v>
      </c>
    </row>
    <row r="31417">
      <c r="A31417" s="4" t="s">
        <v>39560</v>
      </c>
      <c r="B31417" s="4" t="s">
        <v>39562</v>
      </c>
      <c r="C31417" s="5" t="str">
        <f>IFERROR(__xludf.DUMMYFUNCTION("GOOGLETRANSLATE(B31417,""en"",""zh-CN"")"),"文字在他们说话时出现在屏幕上。")</f>
        <v>文字在他们说话时出现在屏幕上。</v>
      </c>
    </row>
    <row r="31418">
      <c r="A31418" s="4" t="s">
        <v>39560</v>
      </c>
      <c r="B31418" s="4" t="s">
        <v>39563</v>
      </c>
      <c r="C31418" s="5" t="str">
        <f>IFERROR(__xludf.DUMMYFUNCTION("GOOGLETRANSLATE(B31418,""en"",""zh-CN"")"),"一个女人将食材混合到炉子上的锅中。")</f>
        <v>一个女人将食材混合到炉子上的锅中。</v>
      </c>
    </row>
    <row r="31419">
      <c r="A31419" s="4" t="s">
        <v>39560</v>
      </c>
      <c r="B31419" s="4" t="s">
        <v>39564</v>
      </c>
      <c r="C31419" s="5" t="str">
        <f>IFERROR(__xludf.DUMMYFUNCTION("GOOGLETRANSLATE(B31419,""en"",""zh-CN"")"),"一个人将朗姆酒倒入锅中并搅拌。")</f>
        <v>一个人将朗姆酒倒入锅中并搅拌。</v>
      </c>
    </row>
    <row r="31420">
      <c r="A31420" s="4" t="s">
        <v>39560</v>
      </c>
      <c r="B31420" s="4" t="s">
        <v>39565</v>
      </c>
      <c r="C31420" s="5" t="str">
        <f>IFERROR(__xludf.DUMMYFUNCTION("GOOGLETRANSLATE(B31420,""en"",""zh-CN"")"),"他们用刀子在蛋糕上戳孔，然后将混合物倒在上面。")</f>
        <v>他们用刀子在蛋糕上戳孔，然后将混合物倒在上面。</v>
      </c>
    </row>
    <row r="31421">
      <c r="A31421" s="4" t="s">
        <v>39560</v>
      </c>
      <c r="B31421" s="4" t="s">
        <v>39566</v>
      </c>
      <c r="C31421" s="5" t="str">
        <f>IFERROR(__xludf.DUMMYFUNCTION("GOOGLETRANSLATE(B31421,""en"",""zh-CN"")"),"他们再次站在蛋糕面前说话。")</f>
        <v>他们再次站在蛋糕面前说话。</v>
      </c>
    </row>
    <row r="31422">
      <c r="A31422" s="4" t="s">
        <v>39560</v>
      </c>
      <c r="B31422" s="4" t="s">
        <v>39567</v>
      </c>
      <c r="C31422" s="5" t="str">
        <f>IFERROR(__xludf.DUMMYFUNCTION("GOOGLETRANSLATE(B31422,""en"",""zh-CN"")"),"他们说话时吃蛋糕。")</f>
        <v>他们说话时吃蛋糕。</v>
      </c>
    </row>
    <row r="31423">
      <c r="A31423" s="4" t="s">
        <v>39568</v>
      </c>
      <c r="B31423" s="4" t="s">
        <v>39569</v>
      </c>
      <c r="C31423" s="5" t="str">
        <f>IFERROR(__xludf.DUMMYFUNCTION("GOOGLETRANSLATE(B31423,""en"",""zh-CN"")"),"一个男人用水装满水烟，然后将其放在桌子上。")</f>
        <v>一个男人用水装满水烟，然后将其放在桌子上。</v>
      </c>
    </row>
    <row r="31424">
      <c r="A31424" s="4" t="s">
        <v>39568</v>
      </c>
      <c r="B31424" s="4" t="s">
        <v>39570</v>
      </c>
      <c r="C31424" s="5" t="str">
        <f>IFERROR(__xludf.DUMMYFUNCTION("GOOGLETRANSLATE(B31424,""en"",""zh-CN"")"),"他将烟草放入设备中，并用锡纸覆盖。")</f>
        <v>他将烟草放入设备中，并用锡纸覆盖。</v>
      </c>
    </row>
    <row r="31425">
      <c r="A31425" s="4" t="s">
        <v>39568</v>
      </c>
      <c r="B31425" s="4" t="s">
        <v>39571</v>
      </c>
      <c r="C31425" s="5" t="str">
        <f>IFERROR(__xludf.DUMMYFUNCTION("GOOGLETRANSLATE(B31425,""en"",""zh-CN"")"),"他几次在锡纸的顶部戳了一个洞。")</f>
        <v>他几次在锡纸的顶部戳了一个洞。</v>
      </c>
    </row>
    <row r="31426">
      <c r="A31426" s="4" t="s">
        <v>39568</v>
      </c>
      <c r="B31426" s="4" t="s">
        <v>39572</v>
      </c>
      <c r="C31426" s="5" t="str">
        <f>IFERROR(__xludf.DUMMYFUNCTION("GOOGLETRANSLATE(B31426,""en"",""zh-CN"")"),"他把它放在水烟的顶部。")</f>
        <v>他把它放在水烟的顶部。</v>
      </c>
    </row>
    <row r="31427">
      <c r="A31427" s="4" t="s">
        <v>39568</v>
      </c>
      <c r="B31427" s="4" t="s">
        <v>39573</v>
      </c>
      <c r="C31427" s="5" t="str">
        <f>IFERROR(__xludf.DUMMYFUNCTION("GOOGLETRANSLATE(B31427,""en"",""zh-CN"")"),"他从水烟中抽烟，吹烟。")</f>
        <v>他从水烟中抽烟，吹烟。</v>
      </c>
    </row>
    <row r="31428">
      <c r="A31428" s="4" t="s">
        <v>39574</v>
      </c>
      <c r="B31428" s="4" t="s">
        <v>39575</v>
      </c>
      <c r="C31428" s="5" t="str">
        <f>IFERROR(__xludf.DUMMYFUNCTION("GOOGLETRANSLATE(B31428,""en"",""zh-CN"")"),"一群人乘船前往卡塔利娜岛。")</f>
        <v>一群人乘船前往卡塔利娜岛。</v>
      </c>
    </row>
    <row r="31429">
      <c r="A31429" s="4" t="s">
        <v>39574</v>
      </c>
      <c r="B31429" s="4" t="s">
        <v>39576</v>
      </c>
      <c r="C31429" s="5" t="str">
        <f>IFERROR(__xludf.DUMMYFUNCTION("GOOGLETRANSLATE(B31429,""en"",""zh-CN"")"),"一个穿着灰色T恤的男人在骑船时自己用自拍杆自己拍摄电影。")</f>
        <v>一个穿着灰色T恤的男人在骑船时自己用自拍杆自己拍摄电影。</v>
      </c>
    </row>
    <row r="31430">
      <c r="A31430" s="4" t="s">
        <v>39574</v>
      </c>
      <c r="B31430" s="4" t="s">
        <v>39577</v>
      </c>
      <c r="C31430" s="5" t="str">
        <f>IFERROR(__xludf.DUMMYFUNCTION("GOOGLETRANSLATE(B31430,""en"",""zh-CN"")"),"船上的一群人穿着水肺潜水装备。")</f>
        <v>船上的一群人穿着水肺潜水装备。</v>
      </c>
    </row>
    <row r="31431">
      <c r="A31431" s="4" t="s">
        <v>39574</v>
      </c>
      <c r="B31431" s="4" t="s">
        <v>39578</v>
      </c>
      <c r="C31431" s="5" t="str">
        <f>IFERROR(__xludf.DUMMYFUNCTION("GOOGLETRANSLATE(B31431,""en"",""zh-CN"")"),"一名水肺齿轮中的一个男人在拿着自拍照的同时拍摄自己的同时进入水中。")</f>
        <v>一名水肺齿轮中的一个男人在拿着自拍照的同时拍摄自己的同时进入水中。</v>
      </c>
    </row>
    <row r="31432">
      <c r="A31432" s="4" t="s">
        <v>39574</v>
      </c>
      <c r="B31432" s="4" t="s">
        <v>39579</v>
      </c>
      <c r="C31432" s="5" t="str">
        <f>IFERROR(__xludf.DUMMYFUNCTION("GOOGLETRANSLATE(B31432,""en"",""zh-CN"")"),"潜水员在水下潜水时自己拍摄。")</f>
        <v>潜水员在水下潜水时自己拍摄。</v>
      </c>
    </row>
    <row r="31433">
      <c r="A31433" s="4" t="s">
        <v>39574</v>
      </c>
      <c r="B31433" s="4" t="s">
        <v>39580</v>
      </c>
      <c r="C31433" s="5" t="str">
        <f>IFERROR(__xludf.DUMMYFUNCTION("GOOGLETRANSLATE(B31433,""en"",""zh-CN"")"),"Ddiver拍摄了一条鱼学校和鲜黄色的热带鱼。")</f>
        <v>Ddiver拍摄了一条鱼学校和鲜黄色的热带鱼。</v>
      </c>
    </row>
    <row r="31434">
      <c r="A31434" s="4" t="s">
        <v>39574</v>
      </c>
      <c r="B31434" s="4" t="s">
        <v>39581</v>
      </c>
      <c r="C31434" s="5" t="str">
        <f>IFERROR(__xludf.DUMMYFUNCTION("GOOGLETRANSLATE(B31434,""en"",""zh-CN"")"),"潜水员摄影师向后走到从水中出来的台阶上。")</f>
        <v>潜水员摄影师向后走到从水中出来的台阶上。</v>
      </c>
    </row>
    <row r="31435">
      <c r="A31435" s="4" t="s">
        <v>39574</v>
      </c>
      <c r="B31435" s="4" t="s">
        <v>39582</v>
      </c>
      <c r="C31435" s="5" t="str">
        <f>IFERROR(__xludf.DUMMYFUNCTION("GOOGLETRANSLATE(B31435,""en"",""zh-CN"")"),"一群穿着街头服装的潜水员穿着高尔夫球车。")</f>
        <v>一群穿着街头服装的潜水员穿着高尔夫球车。</v>
      </c>
    </row>
    <row r="31436">
      <c r="A31436" s="4" t="s">
        <v>39583</v>
      </c>
      <c r="B31436" s="4" t="s">
        <v>39584</v>
      </c>
      <c r="C31436" s="5" t="str">
        <f>IFERROR(__xludf.DUMMYFUNCTION("GOOGLETRANSLATE(B31436,""en"",""zh-CN"")"),"女人站在相机前的厨房里，在桌子顶部展示成分。")</f>
        <v>女人站在相机前的厨房里，在桌子顶部展示成分。</v>
      </c>
    </row>
    <row r="31437">
      <c r="A31437" s="4" t="s">
        <v>39583</v>
      </c>
      <c r="B31437" s="6" t="s">
        <v>39585</v>
      </c>
      <c r="C31437" s="5" t="str">
        <f>IFERROR(__xludf.DUMMYFUNCTION("GOOGLETRANSLATE(B31437,""en"",""zh-CN"")"),"女人正在将食材倒入厨房援助中，并将其混合并向相机解释如何做糊状。")</f>
        <v>女人正在将食材倒入厨房援助中，并将其混合并向相机解释如何做糊状。</v>
      </c>
    </row>
    <row r="31438">
      <c r="A31438" s="4" t="s">
        <v>39586</v>
      </c>
      <c r="B31438" s="4" t="s">
        <v>39587</v>
      </c>
      <c r="C31438" s="5" t="str">
        <f>IFERROR(__xludf.DUMMYFUNCTION("GOOGLETRANSLATE(B31438,""en"",""zh-CN"")"),"酒吧后面的一个女人说话，有一瓶电晕。")</f>
        <v>酒吧后面的一个女人说话，有一瓶电晕。</v>
      </c>
    </row>
    <row r="31439">
      <c r="A31439" s="4" t="s">
        <v>39586</v>
      </c>
      <c r="B31439" s="4" t="s">
        <v>39588</v>
      </c>
      <c r="C31439" s="5" t="str">
        <f>IFERROR(__xludf.DUMMYFUNCTION("GOOGLETRANSLATE(B31439,""en"",""zh-CN"")"),"她吮吸了几次瓶子。")</f>
        <v>她吮吸了几次瓶子。</v>
      </c>
    </row>
    <row r="31440">
      <c r="A31440" s="4" t="s">
        <v>39586</v>
      </c>
      <c r="B31440" s="4" t="s">
        <v>39589</v>
      </c>
      <c r="C31440" s="5" t="str">
        <f>IFERROR(__xludf.DUMMYFUNCTION("GOOGLETRANSLATE(B31440,""en"",""zh-CN"")"),"然后，她只用嘴抓住它，然后将其抓住啤酒。")</f>
        <v>然后，她只用嘴抓住它，然后将其抓住啤酒。</v>
      </c>
    </row>
    <row r="31441">
      <c r="A31441" s="4" t="s">
        <v>39586</v>
      </c>
      <c r="B31441" s="4" t="s">
        <v>39590</v>
      </c>
      <c r="C31441" s="5" t="str">
        <f>IFERROR(__xludf.DUMMYFUNCTION("GOOGLETRANSLATE(B31441,""en"",""zh-CN"")"),"她chug和chugs，直到它完全空了。")</f>
        <v>她chug和chugs，直到它完全空了。</v>
      </c>
    </row>
    <row r="31442">
      <c r="A31442" s="4" t="s">
        <v>39591</v>
      </c>
      <c r="B31442" s="4" t="s">
        <v>39592</v>
      </c>
      <c r="C31442" s="5" t="str">
        <f>IFERROR(__xludf.DUMMYFUNCTION("GOOGLETRANSLATE(B31442,""en"",""zh-CN"")"),"一名高加索男性在外面举着滑板。")</f>
        <v>一名高加索男性在外面举着滑板。</v>
      </c>
    </row>
    <row r="31443">
      <c r="A31443" s="4" t="s">
        <v>39591</v>
      </c>
      <c r="B31443" s="6" t="s">
        <v>39593</v>
      </c>
      <c r="C31443" s="5" t="str">
        <f>IFERROR(__xludf.DUMMYFUNCTION("GOOGLETRANSLATE(B31443,""en"",""zh-CN"")"),"然后，他走下一条蜿蜒的道路，下来滑板，这张照片仍然是直到他滑入捣蛋，然后再次暂停。")</f>
        <v>然后，他走下一条蜿蜒的道路，下来滑板，这张照片仍然是直到他滑入捣蛋，然后再次暂停。</v>
      </c>
    </row>
    <row r="31444">
      <c r="A31444" s="4" t="s">
        <v>39591</v>
      </c>
      <c r="B31444" s="4" t="s">
        <v>39594</v>
      </c>
      <c r="C31444" s="5" t="str">
        <f>IFERROR(__xludf.DUMMYFUNCTION("GOOGLETRANSLATE(B31444,""en"",""zh-CN"")"),"例行程序继续进行，然后球员站起来，因为继续走上路。")</f>
        <v>例行程序继续进行，然后球员站起来，因为继续走上路。</v>
      </c>
    </row>
    <row r="31445">
      <c r="A31445" s="4" t="s">
        <v>39591</v>
      </c>
      <c r="B31445" s="6" t="s">
        <v>39595</v>
      </c>
      <c r="C31445" s="5" t="str">
        <f>IFERROR(__xludf.DUMMYFUNCTION("GOOGLETRANSLATE(B31445,""en"",""zh-CN"")"),"一旦他完全完成，他就回到了他最初开始的地方，并在将滑板握在左手身上时继续与镜头交谈。")</f>
        <v>一旦他完全完成，他就回到了他最初开始的地方，并在将滑板握在左手身上时继续与镜头交谈。</v>
      </c>
    </row>
    <row r="31446">
      <c r="A31446" s="4" t="s">
        <v>39591</v>
      </c>
      <c r="B31446" s="6" t="s">
        <v>39596</v>
      </c>
      <c r="C31446" s="5" t="str">
        <f>IFERROR(__xludf.DUMMYFUNCTION("GOOGLETRANSLATE(B31446,""en"",""zh-CN"")"),"之后，该男子转过身，展示了他的棕色货物短裤是如何用胶带修补的。")</f>
        <v>之后，该男子转过身，展示了他的棕色货物短裤是如何用胶带修补的。</v>
      </c>
    </row>
    <row r="31447">
      <c r="A31447" s="4" t="s">
        <v>39597</v>
      </c>
      <c r="B31447" s="6" t="s">
        <v>39598</v>
      </c>
      <c r="C31447" s="5" t="str">
        <f>IFERROR(__xludf.DUMMYFUNCTION("GOOGLETRANSLATE(B31447,""en"",""zh-CN"")"),"显示一个人的特写镜头，后面显示了几名妇女举起大量体重。")</f>
        <v>显示一个人的特写镜头，后面显示了几名妇女举起大量体重。</v>
      </c>
    </row>
    <row r="31448">
      <c r="A31448" s="4" t="s">
        <v>39597</v>
      </c>
      <c r="B31448" s="6" t="s">
        <v>39599</v>
      </c>
      <c r="C31448" s="5" t="str">
        <f>IFERROR(__xludf.DUMMYFUNCTION("GOOGLETRANSLATE(B31448,""en"",""zh-CN"")"),"看到越来越多的人将重物抬起头顶，并在完成后将其扔下。")</f>
        <v>看到越来越多的人将重物抬起头顶，并在完成后将其扔下。</v>
      </c>
    </row>
    <row r="31449">
      <c r="A31449" s="4" t="s">
        <v>39600</v>
      </c>
      <c r="B31449" s="6" t="s">
        <v>39601</v>
      </c>
      <c r="C31449" s="5" t="str">
        <f>IFERROR(__xludf.DUMMYFUNCTION("GOOGLETRANSLATE(B31449,""en"",""zh-CN"")"),"看到几个人坐在野餐桌子旁，导致两个人在树上绑住一条绳子。")</f>
        <v>看到几个人坐在野餐桌子旁，导致两个人在树上绑住一条绳子。</v>
      </c>
    </row>
    <row r="31450">
      <c r="A31450" s="4" t="s">
        <v>39600</v>
      </c>
      <c r="B31450" s="4" t="s">
        <v>39602</v>
      </c>
      <c r="C31450" s="5" t="str">
        <f>IFERROR(__xludf.DUMMYFUNCTION("GOOGLETRANSLATE(B31450,""en"",""zh-CN"")"),"越来越多的人来帮助并导致一个男孩在男人的帮助下走在绳子上的男孩。")</f>
        <v>越来越多的人来帮助并导致一个男孩在男人的帮助下走在绳子上的男孩。</v>
      </c>
    </row>
    <row r="31451">
      <c r="A31451" s="4" t="s">
        <v>39600</v>
      </c>
      <c r="B31451" s="4" t="s">
        <v>39603</v>
      </c>
      <c r="C31451" s="5" t="str">
        <f>IFERROR(__xludf.DUMMYFUNCTION("GOOGLETRANSLATE(B31451,""en"",""zh-CN"")"),"越来越多的人试图在他人的帮助下和自己的帮助下行走。")</f>
        <v>越来越多的人试图在他人的帮助下和自己的帮助下行走。</v>
      </c>
    </row>
    <row r="31452">
      <c r="A31452" s="4" t="s">
        <v>39604</v>
      </c>
      <c r="B31452" s="4" t="s">
        <v>39605</v>
      </c>
      <c r="C31452" s="5" t="str">
        <f>IFERROR(__xludf.DUMMYFUNCTION("GOOGLETRANSLATE(B31452,""en"",""zh-CN"")"),"自由式游泳单词在屏幕上漂浮。")</f>
        <v>自由式游泳单词在屏幕上漂浮。</v>
      </c>
    </row>
    <row r="31453">
      <c r="A31453" s="4" t="s">
        <v>39604</v>
      </c>
      <c r="B31453" s="4" t="s">
        <v>39606</v>
      </c>
      <c r="C31453" s="5" t="str">
        <f>IFERROR(__xludf.DUMMYFUNCTION("GOOGLETRANSLATE(B31453,""en"",""zh-CN"")"),"一个男人跳入游泳池游泳自由泳。")</f>
        <v>一个男人跳入游泳池游泳自由泳。</v>
      </c>
    </row>
    <row r="31454">
      <c r="A31454" s="4" t="s">
        <v>39604</v>
      </c>
      <c r="B31454" s="4" t="s">
        <v>39607</v>
      </c>
      <c r="C31454" s="5" t="str">
        <f>IFERROR(__xludf.DUMMYFUNCTION("GOOGLETRANSLATE(B31454,""en"",""zh-CN"")"),"仰泳样式浮在屏幕上。")</f>
        <v>仰泳样式浮在屏幕上。</v>
      </c>
    </row>
    <row r="31455">
      <c r="A31455" s="4" t="s">
        <v>39604</v>
      </c>
      <c r="B31455" s="4" t="s">
        <v>39608</v>
      </c>
      <c r="C31455" s="5" t="str">
        <f>IFERROR(__xludf.DUMMYFUNCTION("GOOGLETRANSLATE(B31455,""en"",""zh-CN"")"),"同一个男人从他来的那条车道上仰泳。")</f>
        <v>同一个男人从他来的那条车道上仰泳。</v>
      </c>
    </row>
    <row r="31456">
      <c r="A31456" s="4" t="s">
        <v>39604</v>
      </c>
      <c r="B31456" s="4" t="s">
        <v>39609</v>
      </c>
      <c r="C31456" s="5" t="str">
        <f>IFERROR(__xludf.DUMMYFUNCTION("GOOGLETRANSLATE(B31456,""en"",""zh-CN"")"),"蛙泳一词在屏幕上显示。")</f>
        <v>蛙泳一词在屏幕上显示。</v>
      </c>
    </row>
    <row r="31457">
      <c r="A31457" s="4" t="s">
        <v>39604</v>
      </c>
      <c r="B31457" s="4" t="s">
        <v>39610</v>
      </c>
      <c r="C31457" s="5" t="str">
        <f>IFERROR(__xludf.DUMMYFUNCTION("GOOGLETRANSLATE(B31457,""en"",""zh-CN"")"),"该男子在游泳池穿过蛙泳。")</f>
        <v>该男子在游泳池穿过蛙泳。</v>
      </c>
    </row>
    <row r="31458">
      <c r="A31458" s="4" t="s">
        <v>39611</v>
      </c>
      <c r="B31458" s="4" t="s">
        <v>39612</v>
      </c>
      <c r="C31458" s="5" t="str">
        <f>IFERROR(__xludf.DUMMYFUNCTION("GOOGLETRANSLATE(B31458,""en"",""zh-CN"")"),"一位男人和女人的新闻记者在讲话时坐在电视屏幕前。")</f>
        <v>一位男人和女人的新闻记者在讲话时坐在电视屏幕前。</v>
      </c>
    </row>
    <row r="31459">
      <c r="A31459" s="4" t="s">
        <v>39611</v>
      </c>
      <c r="B31459" s="4" t="s">
        <v>39613</v>
      </c>
      <c r="C31459" s="5" t="str">
        <f>IFERROR(__xludf.DUMMYFUNCTION("GOOGLETRANSLATE(B31459,""en"",""zh-CN"")"),"然后，他们显示了户外排球比赛中的剪辑。")</f>
        <v>然后，他们显示了户外排球比赛中的剪辑。</v>
      </c>
    </row>
    <row r="31460">
      <c r="A31460" s="4" t="s">
        <v>39611</v>
      </c>
      <c r="B31460" s="4" t="s">
        <v>39614</v>
      </c>
      <c r="C31460" s="5" t="str">
        <f>IFERROR(__xludf.DUMMYFUNCTION("GOOGLETRANSLATE(B31460,""en"",""zh-CN"")"),"队友在网上来回击球。")</f>
        <v>队友在网上来回击球。</v>
      </c>
    </row>
    <row r="31461">
      <c r="A31461" s="4" t="s">
        <v>39611</v>
      </c>
      <c r="B31461" s="4" t="s">
        <v>39615</v>
      </c>
      <c r="C31461" s="5" t="str">
        <f>IFERROR(__xludf.DUMMYFUNCTION("GOOGLETRANSLATE(B31461,""en"",""zh-CN"")"),"之后，他们与对手握手。")</f>
        <v>之后，他们与对手握手。</v>
      </c>
    </row>
    <row r="31462">
      <c r="A31462" s="4" t="s">
        <v>39616</v>
      </c>
      <c r="B31462" s="6" t="s">
        <v>39617</v>
      </c>
      <c r="C31462" s="5" t="str">
        <f>IFERROR(__xludf.DUMMYFUNCTION("GOOGLETRANSLATE(B31462,""en"",""zh-CN"")"),"看到两个人在相机上说话，并导致一个统治者被展示出来，并拿着海绵的女人。")</f>
        <v>看到两个人在相机上说话，并导致一个统治者被展示出来，并拿着海绵的女人。</v>
      </c>
    </row>
    <row r="31463">
      <c r="A31463" s="4" t="s">
        <v>39616</v>
      </c>
      <c r="B31463" s="6" t="s">
        <v>39618</v>
      </c>
      <c r="C31463" s="5" t="str">
        <f>IFERROR(__xludf.DUMMYFUNCTION("GOOGLETRANSLATE(B31463,""en"",""zh-CN"")"),"当男人打磨下来时，她擦拭墙壁，然后看到墙壁的长度。")</f>
        <v>当男人打磨下来时，她擦拭墙壁，然后看到墙壁的长度。</v>
      </c>
    </row>
    <row r="31464">
      <c r="A31464" s="4" t="s">
        <v>39616</v>
      </c>
      <c r="B31464" s="4" t="s">
        <v>39619</v>
      </c>
      <c r="C31464" s="5" t="str">
        <f>IFERROR(__xludf.DUMMYFUNCTION("GOOGLETRANSLATE(B31464,""en"",""zh-CN"")"),"然后，他们将纸张放下，切成纸，然后将其对齐到墙上。")</f>
        <v>然后，他们将纸张放下，切成纸，然后将其对齐到墙上。</v>
      </c>
    </row>
    <row r="31465">
      <c r="A31465" s="4" t="s">
        <v>39616</v>
      </c>
      <c r="B31465" s="4" t="s">
        <v>39620</v>
      </c>
      <c r="C31465" s="5" t="str">
        <f>IFERROR(__xludf.DUMMYFUNCTION("GOOGLETRANSLATE(B31465,""en"",""zh-CN"")"),"他们在纸上摩擦，沿着墙壁按下，然后对相机微笑。")</f>
        <v>他们在纸上摩擦，沿着墙壁按下，然后对相机微笑。</v>
      </c>
    </row>
    <row r="31466">
      <c r="A31466" s="4" t="s">
        <v>39621</v>
      </c>
      <c r="B31466" s="4" t="s">
        <v>39622</v>
      </c>
      <c r="C31466" s="5" t="str">
        <f>IFERROR(__xludf.DUMMYFUNCTION("GOOGLETRANSLATE(B31466,""en"",""zh-CN"")"),"人们正在健身房参加一场拔河比赛。")</f>
        <v>人们正在健身房参加一场拔河比赛。</v>
      </c>
    </row>
    <row r="31467">
      <c r="A31467" s="4" t="s">
        <v>39621</v>
      </c>
      <c r="B31467" s="4" t="s">
        <v>39623</v>
      </c>
      <c r="C31467" s="5" t="str">
        <f>IFERROR(__xludf.DUMMYFUNCTION("GOOGLETRANSLATE(B31467,""en"",""zh-CN"")"),"左侧的黄色团队主要将绳索拉到左侧或获胜。")</f>
        <v>左侧的黄色团队主要将绳索拉到左侧或获胜。</v>
      </c>
    </row>
    <row r="31468">
      <c r="A31468" s="4" t="s">
        <v>39621</v>
      </c>
      <c r="B31468" s="4" t="s">
        <v>39624</v>
      </c>
      <c r="C31468" s="5" t="str">
        <f>IFERROR(__xludf.DUMMYFUNCTION("GOOGLETRANSLATE(B31468,""en"",""zh-CN"")"),"一个成年人抓住蓝色团队成员的手臂。")</f>
        <v>一个成年人抓住蓝色团队成员的手臂。</v>
      </c>
    </row>
    <row r="31469">
      <c r="A31469" s="4" t="s">
        <v>39625</v>
      </c>
      <c r="B31469" s="4" t="s">
        <v>39626</v>
      </c>
      <c r="C31469" s="5" t="str">
        <f>IFERROR(__xludf.DUMMYFUNCTION("GOOGLETRANSLATE(B31469,""en"",""zh-CN"")"),"屏幕上出现了“大师黄尚·沙扬”和“太极拳手”一词。")</f>
        <v>屏幕上出现了“大师黄尚·沙扬”和“太极拳手”一词。</v>
      </c>
    </row>
    <row r="31470">
      <c r="A31470" s="4" t="s">
        <v>39625</v>
      </c>
      <c r="B31470" s="6" t="s">
        <v>39627</v>
      </c>
      <c r="C31470" s="5" t="str">
        <f>IFERROR(__xludf.DUMMYFUNCTION("GOOGLETRANSLATE(B31470,""en"",""zh-CN"")"),"几名学生分别接近大师试图与他作战并迅速推倒。")</f>
        <v>几名学生分别接近大师试图与他作战并迅速推倒。</v>
      </c>
    </row>
    <row r="31471">
      <c r="A31471" s="4" t="s">
        <v>39625</v>
      </c>
      <c r="B31471" s="4" t="s">
        <v>39628</v>
      </c>
      <c r="C31471" s="5" t="str">
        <f>IFERROR(__xludf.DUMMYFUNCTION("GOOGLETRANSLATE(B31471,""en"",""zh-CN"")"),"大师敲打一个学生的头，他很快就落在了地上。")</f>
        <v>大师敲打一个学生的头，他很快就落在了地上。</v>
      </c>
    </row>
    <row r="31472">
      <c r="A31472" s="4" t="s">
        <v>39629</v>
      </c>
      <c r="B31472" s="4" t="s">
        <v>39630</v>
      </c>
      <c r="C31472" s="5" t="str">
        <f>IFERROR(__xludf.DUMMYFUNCTION("GOOGLETRANSLATE(B31472,""en"",""zh-CN"")"),"看到一个人穿越院子，通向一条长绳子。")</f>
        <v>看到一个人穿越院子，通向一条长绳子。</v>
      </c>
    </row>
    <row r="31473">
      <c r="A31473" s="4" t="s">
        <v>39629</v>
      </c>
      <c r="B31473" s="4" t="s">
        <v>39631</v>
      </c>
      <c r="C31473" s="5" t="str">
        <f>IFERROR(__xludf.DUMMYFUNCTION("GOOGLETRANSLATE(B31473,""en"",""zh-CN"")"),"该男子跳上绳子，试图穿过它。")</f>
        <v>该男子跳上绳子，试图穿过它。</v>
      </c>
    </row>
    <row r="31474">
      <c r="A31474" s="4" t="s">
        <v>39629</v>
      </c>
      <c r="B31474" s="4" t="s">
        <v>39632</v>
      </c>
      <c r="C31474" s="5" t="str">
        <f>IFERROR(__xludf.DUMMYFUNCTION("GOOGLETRANSLATE(B31474,""en"",""zh-CN"")"),"他继续走路并导致他跌倒。")</f>
        <v>他继续走路并导致他跌倒。</v>
      </c>
    </row>
    <row r="31475">
      <c r="A31475" s="4" t="s">
        <v>39633</v>
      </c>
      <c r="B31475" s="6" t="s">
        <v>39634</v>
      </c>
      <c r="C31475" s="5" t="str">
        <f>IFERROR(__xludf.DUMMYFUNCTION("GOOGLETRANSLATE(B31475,""en"",""zh-CN"")"),"猫在毛茸茸的桌子里睡觉，一个人抱着他，展示了指甲剪子，开始割猫的指甲坐在沙发上。")</f>
        <v>猫在毛茸茸的桌子里睡觉，一个人抱着他，展示了指甲剪子，开始割猫的指甲坐在沙发上。</v>
      </c>
    </row>
    <row r="31476">
      <c r="A31476" s="4" t="s">
        <v>39633</v>
      </c>
      <c r="B31476" s="4" t="s">
        <v>39635</v>
      </c>
      <c r="C31476" s="5" t="str">
        <f>IFERROR(__xludf.DUMMYFUNCTION("GOOGLETRANSLATE(B31476,""en"",""zh-CN"")"),"猫坐在红地毯上。")</f>
        <v>猫坐在红地毯上。</v>
      </c>
    </row>
    <row r="31477">
      <c r="A31477" s="4" t="s">
        <v>39636</v>
      </c>
      <c r="B31477" s="4" t="s">
        <v>39637</v>
      </c>
      <c r="C31477" s="5" t="str">
        <f>IFERROR(__xludf.DUMMYFUNCTION("GOOGLETRANSLATE(B31477,""en"",""zh-CN"")"),"显示了伏特加酒倒入马提尼玻璃的视频。")</f>
        <v>显示了伏特加酒倒入马提尼玻璃的视频。</v>
      </c>
    </row>
    <row r="31478">
      <c r="A31478" s="4" t="s">
        <v>39636</v>
      </c>
      <c r="B31478" s="4" t="s">
        <v>39638</v>
      </c>
      <c r="C31478" s="5" t="str">
        <f>IFERROR(__xludf.DUMMYFUNCTION("GOOGLETRANSLATE(B31478,""en"",""zh-CN"")"),"一个女人站在酒吧后面，里面有瓶子和成分。")</f>
        <v>一个女人站在酒吧后面，里面有瓶子和成分。</v>
      </c>
    </row>
    <row r="31479">
      <c r="A31479" s="4" t="s">
        <v>39636</v>
      </c>
      <c r="B31479" s="6" t="s">
        <v>39639</v>
      </c>
      <c r="C31479" s="5" t="str">
        <f>IFERROR(__xludf.DUMMYFUNCTION("GOOGLETRANSLATE(B31479,""en"",""zh-CN"")"),"她将酒精混合到玻璃杯中，然后在装饰和展示饮料之前将其摇动。")</f>
        <v>她将酒精混合到玻璃杯中，然后在装饰和展示饮料之前将其摇动。</v>
      </c>
    </row>
    <row r="31480">
      <c r="A31480" s="4" t="s">
        <v>39640</v>
      </c>
      <c r="B31480" s="6" t="s">
        <v>39641</v>
      </c>
      <c r="C31480" s="5" t="str">
        <f>IFERROR(__xludf.DUMMYFUNCTION("GOOGLETRANSLATE(B31480,""en"",""zh-CN"")"),"展示了一座大雪山，还有人开车和沿着山上的人们。")</f>
        <v>展示了一座大雪山，还有人开车和沿着山上的人们。</v>
      </c>
    </row>
    <row r="31481">
      <c r="A31481" s="4" t="s">
        <v>39640</v>
      </c>
      <c r="B31481" s="6" t="s">
        <v>39642</v>
      </c>
      <c r="C31481" s="5" t="str">
        <f>IFERROR(__xludf.DUMMYFUNCTION("GOOGLETRANSLATE(B31481,""en"",""zh-CN"")"),"在滑雪板，表演技巧和镜头上的手势上显示了几张照片。")</f>
        <v>在滑雪板，表演技巧和镜头上的手势上显示了几张照片。</v>
      </c>
    </row>
    <row r="31482">
      <c r="A31482" s="4" t="s">
        <v>39640</v>
      </c>
      <c r="B31482" s="6" t="s">
        <v>39643</v>
      </c>
      <c r="C31482" s="5" t="str">
        <f>IFERROR(__xludf.DUMMYFUNCTION("GOOGLETRANSLATE(B31482,""en"",""zh-CN"")"),"该视频继续以令人印象深刻的人的特技表演以及骑行的人的特写镜头。")</f>
        <v>该视频继续以令人印象深刻的人的特技表演以及骑行的人的特写镜头。</v>
      </c>
    </row>
    <row r="31483">
      <c r="A31483" s="4" t="s">
        <v>39644</v>
      </c>
      <c r="B31483" s="4" t="s">
        <v>39645</v>
      </c>
      <c r="C31483" s="5" t="str">
        <f>IFERROR(__xludf.DUMMYFUNCTION("GOOGLETRANSLATE(B31483,""en"",""zh-CN"")"),"一个女人戴上安全带。")</f>
        <v>一个女人戴上安全带。</v>
      </c>
    </row>
    <row r="31484">
      <c r="A31484" s="4" t="s">
        <v>39644</v>
      </c>
      <c r="B31484" s="4" t="s">
        <v>39646</v>
      </c>
      <c r="C31484" s="5" t="str">
        <f>IFERROR(__xludf.DUMMYFUNCTION("GOOGLETRANSLATE(B31484,""en"",""zh-CN"")"),"一个男人将绳子夹在女人安全带的前面。")</f>
        <v>一个男人将绳子夹在女人安全带的前面。</v>
      </c>
    </row>
    <row r="31485">
      <c r="A31485" s="4" t="s">
        <v>39644</v>
      </c>
      <c r="B31485" s="4" t="s">
        <v>39647</v>
      </c>
      <c r="C31485" s="5" t="str">
        <f>IFERROR(__xludf.DUMMYFUNCTION("GOOGLETRANSLATE(B31485,""en"",""zh-CN"")"),"他将绳子绑在一个结中。")</f>
        <v>他将绳子绑在一个结中。</v>
      </c>
    </row>
    <row r="31486">
      <c r="A31486" s="4" t="s">
        <v>39648</v>
      </c>
      <c r="B31486" s="4" t="s">
        <v>39649</v>
      </c>
      <c r="C31486" s="5" t="str">
        <f>IFERROR(__xludf.DUMMYFUNCTION("GOOGLETRANSLATE(B31486,""en"",""zh-CN"")"),"一个人站在河边。")</f>
        <v>一个人站在河边。</v>
      </c>
    </row>
    <row r="31487">
      <c r="A31487" s="4" t="s">
        <v>39648</v>
      </c>
      <c r="B31487" s="4" t="s">
        <v>39650</v>
      </c>
      <c r="C31487" s="5" t="str">
        <f>IFERROR(__xludf.DUMMYFUNCTION("GOOGLETRANSLATE(B31487,""en"",""zh-CN"")"),"一群戴着背心皮划艇在河上的人。")</f>
        <v>一群戴着背心皮划艇在河上的人。</v>
      </c>
    </row>
    <row r="31488">
      <c r="A31488" s="4" t="s">
        <v>39648</v>
      </c>
      <c r="B31488" s="4" t="s">
        <v>39651</v>
      </c>
      <c r="C31488" s="5" t="str">
        <f>IFERROR(__xludf.DUMMYFUNCTION("GOOGLETRANSLATE(B31488,""en"",""zh-CN"")"),"一个人将桨戴在头上。")</f>
        <v>一个人将桨戴在头上。</v>
      </c>
    </row>
    <row r="31489">
      <c r="A31489" s="4" t="s">
        <v>39648</v>
      </c>
      <c r="B31489" s="4" t="s">
        <v>39652</v>
      </c>
      <c r="C31489" s="5" t="str">
        <f>IFERROR(__xludf.DUMMYFUNCTION("GOOGLETRANSLATE(B31489,""en"",""zh-CN"")"),"几个人坐在草地上的河边。")</f>
        <v>几个人坐在草地上的河边。</v>
      </c>
    </row>
    <row r="31490">
      <c r="A31490" s="4" t="s">
        <v>39648</v>
      </c>
      <c r="B31490" s="4" t="s">
        <v>39653</v>
      </c>
      <c r="C31490" s="5" t="str">
        <f>IFERROR(__xludf.DUMMYFUNCTION("GOOGLETRANSLATE(B31490,""en"",""zh-CN"")"),"划皮艇接近桥梁。")</f>
        <v>划皮艇接近桥梁。</v>
      </c>
    </row>
    <row r="31491">
      <c r="A31491" s="4" t="s">
        <v>39648</v>
      </c>
      <c r="B31491" s="4" t="s">
        <v>39654</v>
      </c>
      <c r="C31491" s="5" t="str">
        <f>IFERROR(__xludf.DUMMYFUNCTION("GOOGLETRANSLATE(B31491,""en"",""zh-CN"")"),"几个人坐在河边的一些汽车附近。")</f>
        <v>几个人坐在河边的一些汽车附近。</v>
      </c>
    </row>
    <row r="31492">
      <c r="A31492" s="4" t="s">
        <v>39655</v>
      </c>
      <c r="B31492" s="4" t="s">
        <v>39656</v>
      </c>
      <c r="C31492" s="5" t="str">
        <f>IFERROR(__xludf.DUMMYFUNCTION("GOOGLETRANSLATE(B31492,""en"",""zh-CN"")"),"一个男人在水上划皮划艇，迅速向后移动手臂。")</f>
        <v>一个男人在水上划皮划艇，迅速向后移动手臂。</v>
      </c>
    </row>
    <row r="31493">
      <c r="A31493" s="4" t="s">
        <v>39655</v>
      </c>
      <c r="B31493" s="6" t="s">
        <v>39657</v>
      </c>
      <c r="C31493" s="5" t="str">
        <f>IFERROR(__xludf.DUMMYFUNCTION("GOOGLETRANSLATE(B31493,""en"",""zh-CN"")"),"相机跟随他在水中移动，并最终朝着桥梁前进。")</f>
        <v>相机跟随他在水中移动，并最终朝着桥梁前进。</v>
      </c>
    </row>
    <row r="31494">
      <c r="A31494" s="4" t="s">
        <v>39658</v>
      </c>
      <c r="B31494" s="4" t="s">
        <v>39659</v>
      </c>
      <c r="C31494" s="5" t="str">
        <f>IFERROR(__xludf.DUMMYFUNCTION("GOOGLETRANSLATE(B31494,""en"",""zh-CN"")"),"显示了夹子的信用额，并显示了一桶油漆。")</f>
        <v>显示了夹子的信用额，并显示了一桶油漆。</v>
      </c>
    </row>
    <row r="31495">
      <c r="A31495" s="4" t="s">
        <v>39658</v>
      </c>
      <c r="B31495" s="4" t="s">
        <v>39660</v>
      </c>
      <c r="C31495" s="5" t="str">
        <f>IFERROR(__xludf.DUMMYFUNCTION("GOOGLETRANSLATE(B31495,""en"",""zh-CN"")"),"一只手用画笔涂上衣柜白色。")</f>
        <v>一只手用画笔涂上衣柜白色。</v>
      </c>
    </row>
    <row r="31496">
      <c r="A31496" s="4" t="s">
        <v>39658</v>
      </c>
      <c r="B31496" s="4" t="s">
        <v>39661</v>
      </c>
      <c r="C31496" s="5" t="str">
        <f>IFERROR(__xludf.DUMMYFUNCTION("GOOGLETRANSLATE(B31496,""en"",""zh-CN"")"),"手拿起白色地毯。")</f>
        <v>手拿起白色地毯。</v>
      </c>
    </row>
    <row r="31497">
      <c r="A31497" s="4" t="s">
        <v>39658</v>
      </c>
      <c r="B31497" s="4" t="s">
        <v>39662</v>
      </c>
      <c r="C31497" s="5" t="str">
        <f>IFERROR(__xludf.DUMMYFUNCTION("GOOGLETRANSLATE(B31497,""en"",""zh-CN"")"),"手放在地毯内部的两个手指，然后鞭打涂有漆的衣柜。")</f>
        <v>手放在地毯内部的两个手指，然后鞭打涂有漆的衣柜。</v>
      </c>
    </row>
    <row r="31498">
      <c r="A31498" s="4" t="s">
        <v>39658</v>
      </c>
      <c r="B31498" s="4" t="s">
        <v>39663</v>
      </c>
      <c r="C31498" s="5" t="str">
        <f>IFERROR(__xludf.DUMMYFUNCTION("GOOGLETRANSLATE(B31498,""en"",""zh-CN"")"),"显示了彩绘衣柜的最终产品。")</f>
        <v>显示了彩绘衣柜的最终产品。</v>
      </c>
    </row>
    <row r="31499">
      <c r="A31499" s="4" t="s">
        <v>39658</v>
      </c>
      <c r="B31499" s="4" t="s">
        <v>573</v>
      </c>
      <c r="C31499" s="5" t="str">
        <f>IFERROR(__xludf.DUMMYFUNCTION("GOOGLETRANSLATE(B31499,""en"",""zh-CN"")"),"显示了视频的积分。")</f>
        <v>显示了视频的积分。</v>
      </c>
    </row>
    <row r="31500">
      <c r="A31500" s="4" t="s">
        <v>39664</v>
      </c>
      <c r="B31500" s="6" t="s">
        <v>39665</v>
      </c>
      <c r="C31500" s="5" t="str">
        <f>IFERROR(__xludf.DUMMYFUNCTION("GOOGLETRANSLATE(B31500,""en"",""zh-CN"")"),"看到一个人的胳膊在水中控制着皮划艇的一些坟墓中，从水中伸出来。")</f>
        <v>看到一个人的胳膊在水中控制着皮划艇的一些坟墓中，从水中伸出来。</v>
      </c>
    </row>
    <row r="31501">
      <c r="A31501" s="4" t="s">
        <v>39664</v>
      </c>
      <c r="B31501" s="4" t="s">
        <v>39666</v>
      </c>
      <c r="C31501" s="5" t="str">
        <f>IFERROR(__xludf.DUMMYFUNCTION("GOOGLETRANSLATE(B31501,""en"",""zh-CN"")"),"该男子继续沿着自己的路推，最后他将杆子粘在水中。")</f>
        <v>该男子继续沿着自己的路推，最后他将杆子粘在水中。</v>
      </c>
    </row>
    <row r="31502">
      <c r="A31502" s="4" t="s">
        <v>39667</v>
      </c>
      <c r="B31502" s="6" t="s">
        <v>39668</v>
      </c>
      <c r="C31502" s="5" t="str">
        <f>IFERROR(__xludf.DUMMYFUNCTION("GOOGLETRANSLATE(B31502,""en"",""zh-CN"")"),"显示了一家纹身店的各种镜头，后面是一个坐在椅子上的女人，一个男人准备好物品。")</f>
        <v>显示了一家纹身店的各种镜头，后面是一个坐在椅子上的女人，一个男人准备好物品。</v>
      </c>
    </row>
    <row r="31503">
      <c r="A31503" s="4" t="s">
        <v>39667</v>
      </c>
      <c r="B31503" s="4" t="s">
        <v>39669</v>
      </c>
      <c r="C31503" s="5" t="str">
        <f>IFERROR(__xludf.DUMMYFUNCTION("GOOGLETRANSLATE(B31503,""en"",""zh-CN"")"),"她喝了一口水，然后那个男人用针刺穿了嘴唇。")</f>
        <v>她喝了一口水，然后那个男人用针刺穿了嘴唇。</v>
      </c>
    </row>
    <row r="31504">
      <c r="A31504" s="4" t="s">
        <v>39667</v>
      </c>
      <c r="B31504" s="4" t="s">
        <v>39670</v>
      </c>
      <c r="C31504" s="5" t="str">
        <f>IFERROR(__xludf.DUMMYFUNCTION("GOOGLETRANSLATE(B31504,""en"",""zh-CN"")"),"她在她的新刺穿的照片中再次显示出她。")</f>
        <v>她在她的新刺穿的照片中再次显示出她。</v>
      </c>
    </row>
    <row r="31505">
      <c r="A31505" s="4" t="s">
        <v>39671</v>
      </c>
      <c r="B31505" s="4" t="s">
        <v>39672</v>
      </c>
      <c r="C31505" s="5" t="str">
        <f>IFERROR(__xludf.DUMMYFUNCTION("GOOGLETRANSLATE(B31505,""en"",""zh-CN"")"),"一个男人偶尔凝视着镜头时正在演奏手风琴。")</f>
        <v>一个男人偶尔凝视着镜头时正在演奏手风琴。</v>
      </c>
    </row>
    <row r="31506">
      <c r="A31506" s="4" t="s">
        <v>39671</v>
      </c>
      <c r="B31506" s="4" t="s">
        <v>39673</v>
      </c>
      <c r="C31506" s="5" t="str">
        <f>IFERROR(__xludf.DUMMYFUNCTION("GOOGLETRANSLATE(B31506,""en"",""zh-CN"")"),"该男子不断地改变手指尖端，并在演奏时望向距离。")</f>
        <v>该男子不断地改变手指尖端，并在演奏时望向距离。</v>
      </c>
    </row>
    <row r="31507">
      <c r="A31507" s="4" t="s">
        <v>39671</v>
      </c>
      <c r="B31507" s="4" t="s">
        <v>39674</v>
      </c>
      <c r="C31507" s="5" t="str">
        <f>IFERROR(__xludf.DUMMYFUNCTION("GOOGLETRANSLATE(B31507,""en"",""zh-CN"")"),"该男子继续他的歌曲，最终通过微笑着摄影机结束。")</f>
        <v>该男子继续他的歌曲，最终通过微笑着摄影机结束。</v>
      </c>
    </row>
    <row r="31508">
      <c r="A31508" s="4" t="s">
        <v>39675</v>
      </c>
      <c r="B31508" s="4" t="s">
        <v>39676</v>
      </c>
      <c r="C31508" s="5" t="str">
        <f>IFERROR(__xludf.DUMMYFUNCTION("GOOGLETRANSLATE(B31508,""en"",""zh-CN"")"),"前院的一个人展示了如何修剪草坪。")</f>
        <v>前院的一个人展示了如何修剪草坪。</v>
      </c>
    </row>
    <row r="31509">
      <c r="A31509" s="4" t="s">
        <v>39675</v>
      </c>
      <c r="B31509" s="6" t="s">
        <v>39677</v>
      </c>
      <c r="C31509" s="5" t="str">
        <f>IFERROR(__xludf.DUMMYFUNCTION("GOOGLETRANSLATE(B31509,""en"",""zh-CN"")"),"他首先将所有碎屑移开，以便在割草前没有被割草机抓住。")</f>
        <v>他首先将所有碎屑移开，以便在割草前没有被割草机抓住。</v>
      </c>
    </row>
    <row r="31510">
      <c r="A31510" s="4" t="s">
        <v>39675</v>
      </c>
      <c r="B31510" s="4" t="s">
        <v>39678</v>
      </c>
      <c r="C31510" s="5" t="str">
        <f>IFERROR(__xludf.DUMMYFUNCTION("GOOGLETRANSLATE(B31510,""en"",""zh-CN"")"),"然后，他用听诊器在将油进油时听取割草机。")</f>
        <v>然后，他用听诊器在将油进油时听取割草机。</v>
      </c>
    </row>
    <row r="31511">
      <c r="A31511" s="4" t="s">
        <v>39675</v>
      </c>
      <c r="B31511" s="6" t="s">
        <v>39679</v>
      </c>
      <c r="C31511" s="5" t="str">
        <f>IFERROR(__xludf.DUMMYFUNCTION("GOOGLETRANSLATE(B31511,""en"",""zh-CN"")"),"他建议您在日落时完成割草，如果您使用的是推割割草机，则应保持背部和手臂弯曲。")</f>
        <v>他建议您在日落时完成割草，如果您使用的是推割割草机，则应保持背部和手臂弯曲。</v>
      </c>
    </row>
    <row r="31512">
      <c r="A31512" s="4" t="s">
        <v>39680</v>
      </c>
      <c r="B31512" s="4" t="s">
        <v>39681</v>
      </c>
      <c r="C31512" s="5" t="str">
        <f>IFERROR(__xludf.DUMMYFUNCTION("GOOGLETRANSLATE(B31512,""en"",""zh-CN"")"),"一个小女孩站在碗和糖饼干混合物前的厨房里。")</f>
        <v>一个小女孩站在碗和糖饼干混合物前的厨房里。</v>
      </c>
    </row>
    <row r="31513">
      <c r="A31513" s="4" t="s">
        <v>39680</v>
      </c>
      <c r="B31513" s="6" t="s">
        <v>39682</v>
      </c>
      <c r="C31513" s="5" t="str">
        <f>IFERROR(__xludf.DUMMYFUNCTION("GOOGLETRANSLATE(B31513,""en"",""zh-CN"")"),"女孩开始向观众展示食材，然后将饼干混合倒入碗中。")</f>
        <v>女孩开始向观众展示食材，然后将饼干混合倒入碗中。</v>
      </c>
    </row>
    <row r="31514">
      <c r="A31514" s="4" t="s">
        <v>39680</v>
      </c>
      <c r="B31514" s="4" t="s">
        <v>39683</v>
      </c>
      <c r="C31514" s="5" t="str">
        <f>IFERROR(__xludf.DUMMYFUNCTION("GOOGLETRANSLATE(B31514,""en"",""zh-CN"")"),"然后，她添加黄油和蛋黄，然后使用手动搅拌机搅拌整个东西。")</f>
        <v>然后，她添加黄油和蛋黄，然后使用手动搅拌机搅拌整个东西。</v>
      </c>
    </row>
    <row r="31515">
      <c r="A31515" s="4" t="s">
        <v>39680</v>
      </c>
      <c r="B31515" s="6" t="s">
        <v>39684</v>
      </c>
      <c r="C31515" s="5" t="str">
        <f>IFERROR(__xludf.DUMMYFUNCTION("GOOGLETRANSLATE(B31515,""en"",""zh-CN"")"),"她将面团用保鲜膜卷起来，然后将其散布回去，并用饼干切割机切成形状。")</f>
        <v>她将面团用保鲜膜卷起来，然后将其散布回去，并用饼干切割机切成形状。</v>
      </c>
    </row>
    <row r="31516">
      <c r="A31516" s="4" t="s">
        <v>39680</v>
      </c>
      <c r="B31516" s="4" t="s">
        <v>39685</v>
      </c>
      <c r="C31516" s="5" t="str">
        <f>IFERROR(__xludf.DUMMYFUNCTION("GOOGLETRANSLATE(B31516,""en"",""zh-CN"")"),"饼干烘烤并准备好撒上霜冻和糖霜。")</f>
        <v>饼干烘烤并准备好撒上霜冻和糖霜。</v>
      </c>
    </row>
    <row r="31517">
      <c r="A31517" s="4" t="s">
        <v>39686</v>
      </c>
      <c r="B31517" s="4" t="s">
        <v>1251</v>
      </c>
      <c r="C31517" s="5" t="str">
        <f>IFERROR(__xludf.DUMMYFUNCTION("GOOGLETRANSLATE(B31517,""en"",""zh-CN"")"),"显示了剪辑的信用。")</f>
        <v>显示了剪辑的信用。</v>
      </c>
    </row>
    <row r="31518">
      <c r="A31518" s="4" t="s">
        <v>39686</v>
      </c>
      <c r="B31518" s="4" t="s">
        <v>39687</v>
      </c>
      <c r="C31518" s="5" t="str">
        <f>IFERROR(__xludf.DUMMYFUNCTION("GOOGLETRANSLATE(B31518,""en"",""zh-CN"")"),"抛光的手拿一块胶带。")</f>
        <v>抛光的手拿一块胶带。</v>
      </c>
    </row>
    <row r="31519">
      <c r="A31519" s="4" t="s">
        <v>39686</v>
      </c>
      <c r="B31519" s="4" t="s">
        <v>39688</v>
      </c>
      <c r="C31519" s="5" t="str">
        <f>IFERROR(__xludf.DUMMYFUNCTION("GOOGLETRANSLATE(B31519,""en"",""zh-CN"")"),"抛光的手将一块胶带放在棕色物体的边缘。")</f>
        <v>抛光的手将一块胶带放在棕色物体的边缘。</v>
      </c>
    </row>
    <row r="31520">
      <c r="A31520" s="4" t="s">
        <v>39686</v>
      </c>
      <c r="B31520" s="4" t="s">
        <v>39689</v>
      </c>
      <c r="C31520" s="5" t="str">
        <f>IFERROR(__xludf.DUMMYFUNCTION("GOOGLETRANSLATE(B31520,""en"",""zh-CN"")"),"手在胶带上涂上绿松石抛光剂。")</f>
        <v>手在胶带上涂上绿松石抛光剂。</v>
      </c>
    </row>
    <row r="31521">
      <c r="A31521" s="4" t="s">
        <v>39686</v>
      </c>
      <c r="B31521" s="4" t="s">
        <v>39690</v>
      </c>
      <c r="C31521" s="5" t="str">
        <f>IFERROR(__xludf.DUMMYFUNCTION("GOOGLETRANSLATE(B31521,""en"",""zh-CN"")"),"手将抛光胶带切成条。")</f>
        <v>手将抛光胶带切成条。</v>
      </c>
    </row>
    <row r="31522">
      <c r="A31522" s="4" t="s">
        <v>39686</v>
      </c>
      <c r="B31522" s="4" t="s">
        <v>39691</v>
      </c>
      <c r="C31522" s="5" t="str">
        <f>IFERROR(__xludf.DUMMYFUNCTION("GOOGLETRANSLATE(B31522,""en"",""zh-CN"")"),"手将条带放在抛光的指甲上。")</f>
        <v>手将条带放在抛光的指甲上。</v>
      </c>
    </row>
    <row r="31523">
      <c r="A31523" s="4" t="s">
        <v>39686</v>
      </c>
      <c r="B31523" s="4" t="s">
        <v>39692</v>
      </c>
      <c r="C31523" s="5" t="str">
        <f>IFERROR(__xludf.DUMMYFUNCTION("GOOGLETRANSLATE(B31523,""en"",""zh-CN"")"),"手用透明的指甲油涂上指甲。")</f>
        <v>手用透明的指甲油涂上指甲。</v>
      </c>
    </row>
    <row r="31524">
      <c r="A31524" s="4" t="s">
        <v>39686</v>
      </c>
      <c r="B31524" s="4" t="s">
        <v>39693</v>
      </c>
      <c r="C31524" s="5" t="str">
        <f>IFERROR(__xludf.DUMMYFUNCTION("GOOGLETRANSLATE(B31524,""en"",""zh-CN"")"),"手在指甲上摩擦浸泡过的棉球，使抛光剂被去除。")</f>
        <v>手在指甲上摩擦浸泡过的棉球，使抛光剂被去除。</v>
      </c>
    </row>
    <row r="31525">
      <c r="A31525" s="4" t="s">
        <v>39686</v>
      </c>
      <c r="B31525" s="4" t="s">
        <v>573</v>
      </c>
      <c r="C31525" s="5" t="str">
        <f>IFERROR(__xludf.DUMMYFUNCTION("GOOGLETRANSLATE(B31525,""en"",""zh-CN"")"),"显示了视频的积分。")</f>
        <v>显示了视频的积分。</v>
      </c>
    </row>
    <row r="31526">
      <c r="A31526" s="4" t="s">
        <v>39694</v>
      </c>
      <c r="B31526" s="6" t="s">
        <v>39695</v>
      </c>
      <c r="C31526" s="5" t="str">
        <f>IFERROR(__xludf.DUMMYFUNCTION("GOOGLETRANSLATE(B31526,""en"",""zh-CN"")"),"一个男人在车间区域的熨衣板上伸出衬衫，并使用扁铁将其按下。")</f>
        <v>一个男人在车间区域的熨衣板上伸出衬衫，并使用扁铁将其按下。</v>
      </c>
    </row>
    <row r="31527">
      <c r="A31527" s="4" t="s">
        <v>39694</v>
      </c>
      <c r="B31527" s="4" t="s">
        <v>39696</v>
      </c>
      <c r="C31527" s="5" t="str">
        <f>IFERROR(__xludf.DUMMYFUNCTION("GOOGLETRANSLATE(B31527,""en"",""zh-CN"")"),"该男子脱下熨衣衫，将其放在衣架上。")</f>
        <v>该男子脱下熨衣衫，将其放在衣架上。</v>
      </c>
    </row>
    <row r="31528">
      <c r="A31528" s="4" t="s">
        <v>39694</v>
      </c>
      <c r="B31528" s="4" t="s">
        <v>39697</v>
      </c>
      <c r="C31528" s="5" t="str">
        <f>IFERROR(__xludf.DUMMYFUNCTION("GOOGLETRANSLATE(B31528,""en"",""zh-CN"")"),"该男子将衬衫更快地熨烫，然后将衬衫悬挂在架子上。")</f>
        <v>该男子将衬衫更快地熨烫，然后将衬衫悬挂在架子上。</v>
      </c>
    </row>
    <row r="31529">
      <c r="A31529" s="4" t="s">
        <v>39698</v>
      </c>
      <c r="B31529" s="4" t="s">
        <v>39699</v>
      </c>
      <c r="C31529" s="5" t="str">
        <f>IFERROR(__xludf.DUMMYFUNCTION("GOOGLETRANSLATE(B31529,""en"",""zh-CN"")"),"一个男人几次跳下跳水板进入游泳池。")</f>
        <v>一个男人几次跳下跳水板进入游泳池。</v>
      </c>
    </row>
    <row r="31530">
      <c r="A31530" s="4" t="s">
        <v>39698</v>
      </c>
      <c r="B31530" s="4" t="s">
        <v>39700</v>
      </c>
      <c r="C31530" s="5" t="str">
        <f>IFERROR(__xludf.DUMMYFUNCTION("GOOGLETRANSLATE(B31530,""en"",""zh-CN"")"),"另一个人在游泳池里游泳。")</f>
        <v>另一个人在游泳池里游泳。</v>
      </c>
    </row>
    <row r="31531">
      <c r="A31531" s="4" t="s">
        <v>39698</v>
      </c>
      <c r="B31531" s="4" t="s">
        <v>39701</v>
      </c>
      <c r="C31531" s="5" t="str">
        <f>IFERROR(__xludf.DUMMYFUNCTION("GOOGLETRANSLATE(B31531,""en"",""zh-CN"")"),"他翻转并在水面前降落在水中。")</f>
        <v>他翻转并在水面前降落在水中。</v>
      </c>
    </row>
    <row r="31532">
      <c r="A31532" s="4" t="s">
        <v>39702</v>
      </c>
      <c r="B31532" s="4" t="s">
        <v>1487</v>
      </c>
      <c r="C31532" s="5" t="str">
        <f>IFERROR(__xludf.DUMMYFUNCTION("GOOGLETRANSLATE(B31532,""en"",""zh-CN"")"),"我们看到一个开放标题屏幕。")</f>
        <v>我们看到一个开放标题屏幕。</v>
      </c>
    </row>
    <row r="31533">
      <c r="A31533" s="4" t="s">
        <v>39702</v>
      </c>
      <c r="B31533" s="4" t="s">
        <v>39703</v>
      </c>
      <c r="C31533" s="5" t="str">
        <f>IFERROR(__xludf.DUMMYFUNCTION("GOOGLETRANSLATE(B31533,""en"",""zh-CN"")"),"我们看到一位女士坐在桌子旁，上面有鞋子，用品和相机交谈。")</f>
        <v>我们看到一位女士坐在桌子旁，上面有鞋子，用品和相机交谈。</v>
      </c>
    </row>
    <row r="31534">
      <c r="A31534" s="4" t="s">
        <v>39702</v>
      </c>
      <c r="B31534" s="4" t="s">
        <v>39704</v>
      </c>
      <c r="C31534" s="5" t="str">
        <f>IFERROR(__xludf.DUMMYFUNCTION("GOOGLETRANSLATE(B31534,""en"",""zh-CN"")"),"我们看到屏幕上戴着鞋子。")</f>
        <v>我们看到屏幕上戴着鞋子。</v>
      </c>
    </row>
    <row r="31535">
      <c r="A31535" s="4" t="s">
        <v>39702</v>
      </c>
      <c r="B31535" s="4" t="s">
        <v>39705</v>
      </c>
      <c r="C31535" s="5" t="str">
        <f>IFERROR(__xludf.DUMMYFUNCTION("GOOGLETRANSLATE(B31535,""en"",""zh-CN"")"),"女士向我们展示了各种鞋子。")</f>
        <v>女士向我们展示了各种鞋子。</v>
      </c>
    </row>
    <row r="31536">
      <c r="A31536" s="4" t="s">
        <v>39702</v>
      </c>
      <c r="B31536" s="4" t="s">
        <v>39706</v>
      </c>
      <c r="C31536" s="5" t="str">
        <f>IFERROR(__xludf.DUMMYFUNCTION("GOOGLETRANSLATE(B31536,""en"",""zh-CN"")"),"女士向我们展示了鞋子。")</f>
        <v>女士向我们展示了鞋子。</v>
      </c>
    </row>
    <row r="31537">
      <c r="A31537" s="4" t="s">
        <v>39702</v>
      </c>
      <c r="B31537" s="4" t="s">
        <v>39707</v>
      </c>
      <c r="C31537" s="5" t="str">
        <f>IFERROR(__xludf.DUMMYFUNCTION("GOOGLETRANSLATE(B31537,""en"",""zh-CN"")"),"女士在鞋子中添加了产品。")</f>
        <v>女士在鞋子中添加了产品。</v>
      </c>
    </row>
    <row r="31538">
      <c r="A31538" s="4" t="s">
        <v>39702</v>
      </c>
      <c r="B31538" s="4" t="s">
        <v>39708</v>
      </c>
      <c r="C31538" s="5" t="str">
        <f>IFERROR(__xludf.DUMMYFUNCTION("GOOGLETRANSLATE(B31538,""en"",""zh-CN"")"),"然后，女士用毛巾将产品擦掉。")</f>
        <v>然后，女士用毛巾将产品擦掉。</v>
      </c>
    </row>
    <row r="31539">
      <c r="A31539" s="4" t="s">
        <v>39702</v>
      </c>
      <c r="B31539" s="4" t="s">
        <v>39709</v>
      </c>
      <c r="C31539" s="5" t="str">
        <f>IFERROR(__xludf.DUMMYFUNCTION("GOOGLETRANSLATE(B31539,""en"",""zh-CN"")"),"然后，这位女士在鞋子上添加鞋子并将其擦掉。")</f>
        <v>然后，这位女士在鞋子上添加鞋子并将其擦掉。</v>
      </c>
    </row>
    <row r="31540">
      <c r="A31540" s="4" t="s">
        <v>39702</v>
      </c>
      <c r="B31540" s="4" t="s">
        <v>2892</v>
      </c>
      <c r="C31540" s="5" t="str">
        <f>IFERROR(__xludf.DUMMYFUNCTION("GOOGLETRANSLATE(B31540,""en"",""zh-CN"")"),"我们看到关闭标题屏幕。")</f>
        <v>我们看到关闭标题屏幕。</v>
      </c>
    </row>
    <row r="31541">
      <c r="A31541" s="4" t="s">
        <v>39710</v>
      </c>
      <c r="B31541" s="4" t="s">
        <v>39711</v>
      </c>
      <c r="C31541" s="5" t="str">
        <f>IFERROR(__xludf.DUMMYFUNCTION("GOOGLETRANSLATE(B31541,""en"",""zh-CN"")"),"一个男人从雪覆盖的停车场上的汽车上清除雪。")</f>
        <v>一个男人从雪覆盖的停车场上的汽车上清除雪。</v>
      </c>
    </row>
    <row r="31542">
      <c r="A31542" s="4" t="s">
        <v>39710</v>
      </c>
      <c r="B31542" s="6" t="s">
        <v>39712</v>
      </c>
      <c r="C31542" s="5" t="str">
        <f>IFERROR(__xludf.DUMMYFUNCTION("GOOGLETRANSLATE(B31542,""en"",""zh-CN"")"),"一个狭窄的走廊上的男人握住并指导走廊上的相机，按下走廊上的一个按钮，然后从走廊的门口出口，然后走到外面。")</f>
        <v>一个狭窄的走廊上的男人握住并指导走廊上的相机，按下走廊上的一个按钮，然后从走廊的门口出口，然后走到外面。</v>
      </c>
    </row>
    <row r="31543">
      <c r="A31543" s="4" t="s">
        <v>39710</v>
      </c>
      <c r="B31543" s="6" t="s">
        <v>39713</v>
      </c>
      <c r="C31543" s="5" t="str">
        <f>IFERROR(__xludf.DUMMYFUNCTION("GOOGLETRANSLATE(B31543,""en"",""zh-CN"")"),"一旦外出，镜头就可以拿起一个积雪的停车场，里面装满了积雪的汽车和一个穿着粉红色裤子的女孩。")</f>
        <v>一旦外出，镜头就可以拿起一个积雪的停车场，里面装满了积雪的汽车和一个穿着粉红色裤子的女孩。</v>
      </c>
    </row>
    <row r="31544">
      <c r="A31544" s="4" t="s">
        <v>39710</v>
      </c>
      <c r="B31544" s="6" t="s">
        <v>39714</v>
      </c>
      <c r="C31544" s="5" t="str">
        <f>IFERROR(__xludf.DUMMYFUNCTION("GOOGLETRANSLATE(B31544,""en"",""zh-CN"")"),"一个拿着长雪的男子靠近汽车，有时开始用手臂疯狂地擦拭汽车的雪。")</f>
        <v>一个拿着长雪的男子靠近汽车，有时开始用手臂疯狂地擦拭汽车的雪。</v>
      </c>
    </row>
    <row r="31545">
      <c r="A31545" s="4" t="s">
        <v>39710</v>
      </c>
      <c r="B31545" s="6" t="s">
        <v>39715</v>
      </c>
      <c r="C31545" s="5" t="str">
        <f>IFERROR(__xludf.DUMMYFUNCTION("GOOGLETRANSLATE(B31545,""en"",""zh-CN"")"),"该男子用雪清理整个汽车，用刷子和一把铲子在现场切入雪地上沿着街道上行驶的车辆之前。")</f>
        <v>该男子用雪清理整个汽车，用刷子和一把铲子在现场切入雪地上沿着街道上行驶的车辆之前。</v>
      </c>
    </row>
    <row r="31546">
      <c r="A31546" s="4" t="s">
        <v>39716</v>
      </c>
      <c r="B31546" s="4" t="s">
        <v>39717</v>
      </c>
      <c r="C31546" s="5" t="str">
        <f>IFERROR(__xludf.DUMMYFUNCTION("GOOGLETRANSLATE(B31546,""en"",""zh-CN"")"),"我们看到男人站在一个赌场里拿着啤酒的赌场。")</f>
        <v>我们看到男人站在一个赌场里拿着啤酒的赌场。</v>
      </c>
    </row>
    <row r="31547">
      <c r="A31547" s="4" t="s">
        <v>39716</v>
      </c>
      <c r="B31547" s="4" t="s">
        <v>39718</v>
      </c>
      <c r="C31547" s="5" t="str">
        <f>IFERROR(__xludf.DUMMYFUNCTION("GOOGLETRANSLATE(B31547,""en"",""zh-CN"")"),"我们看到一个男人，把钱放在桌子上。")</f>
        <v>我们看到一个男人，把钱放在桌子上。</v>
      </c>
    </row>
    <row r="31548">
      <c r="A31548" s="4" t="s">
        <v>39716</v>
      </c>
      <c r="B31548" s="4" t="s">
        <v>39719</v>
      </c>
      <c r="C31548" s="5" t="str">
        <f>IFERROR(__xludf.DUMMYFUNCTION("GOOGLETRANSLATE(B31548,""en"",""zh-CN"")"),"经销商数算了钱，并给了人筹码。")</f>
        <v>经销商数算了钱，并给了人筹码。</v>
      </c>
    </row>
    <row r="31549">
      <c r="A31549" s="4" t="s">
        <v>39716</v>
      </c>
      <c r="B31549" s="4" t="s">
        <v>39720</v>
      </c>
      <c r="C31549" s="5" t="str">
        <f>IFERROR(__xludf.DUMMYFUNCTION("GOOGLETRANSLATE(B31549,""en"",""zh-CN"")"),"经销商交易二十一点，我们看到这些人鼓掌，经销商笑了。")</f>
        <v>经销商交易二十一点，我们看到这些人鼓掌，经销商笑了。</v>
      </c>
    </row>
    <row r="31550">
      <c r="A31550" s="4" t="s">
        <v>39716</v>
      </c>
      <c r="B31550" s="6" t="s">
        <v>39721</v>
      </c>
      <c r="C31550" s="5" t="str">
        <f>IFERROR(__xludf.DUMMYFUNCTION("GOOGLETRANSLATE(B31550,""en"",""zh-CN"")"),"我们看到经销商给男人筹码，该男子站在他的小组中，向他的朋友们展示了他的筹码。")</f>
        <v>我们看到经销商给男人筹码，该男子站在他的小组中，向他的朋友们展示了他的筹码。</v>
      </c>
    </row>
    <row r="31551">
      <c r="A31551" s="4" t="s">
        <v>39716</v>
      </c>
      <c r="B31551" s="4" t="s">
        <v>39722</v>
      </c>
      <c r="C31551" s="5" t="str">
        <f>IFERROR(__xludf.DUMMYFUNCTION("GOOGLETRANSLATE(B31551,""en"",""zh-CN"")"),"两个男人在空中加油，把拳头扔在空中，我笑着欢呼和走路。")</f>
        <v>两个男人在空中加油，把拳头扔在空中，我笑着欢呼和走路。</v>
      </c>
    </row>
    <row r="31552">
      <c r="A31552" s="4" t="s">
        <v>39723</v>
      </c>
      <c r="B31552" s="4" t="s">
        <v>31448</v>
      </c>
      <c r="C31552" s="5" t="str">
        <f>IFERROR(__xludf.DUMMYFUNCTION("GOOGLETRANSLATE(B31552,""en"",""zh-CN"")"),"一个孩子滑下滑梯。")</f>
        <v>一个孩子滑下滑梯。</v>
      </c>
    </row>
    <row r="31553">
      <c r="A31553" s="4" t="s">
        <v>39723</v>
      </c>
      <c r="B31553" s="4" t="s">
        <v>39724</v>
      </c>
      <c r="C31553" s="5" t="str">
        <f>IFERROR(__xludf.DUMMYFUNCTION("GOOGLETRANSLATE(B31553,""en"",""zh-CN"")"),"当另一个滑倒时，他停下来。")</f>
        <v>当另一个滑倒时，他停下来。</v>
      </c>
    </row>
    <row r="31554">
      <c r="A31554" s="4" t="s">
        <v>39723</v>
      </c>
      <c r="B31554" s="4" t="s">
        <v>39725</v>
      </c>
      <c r="C31554" s="5" t="str">
        <f>IFERROR(__xludf.DUMMYFUNCTION("GOOGLETRANSLATE(B31554,""en"",""zh-CN"")"),"她停下来时滑下来。")</f>
        <v>她停下来时滑下来。</v>
      </c>
    </row>
    <row r="31555">
      <c r="A31555" s="4" t="s">
        <v>39723</v>
      </c>
      <c r="B31555" s="4" t="s">
        <v>39726</v>
      </c>
      <c r="C31555" s="5" t="str">
        <f>IFERROR(__xludf.DUMMYFUNCTION("GOOGLETRANSLATE(B31555,""en"",""zh-CN"")"),"他跑到她身上，她滑到最后。")</f>
        <v>他跑到她身上，她滑到最后。</v>
      </c>
    </row>
    <row r="31556">
      <c r="A31556" s="4" t="s">
        <v>39727</v>
      </c>
      <c r="B31556" s="4" t="s">
        <v>39728</v>
      </c>
      <c r="C31556" s="5" t="str">
        <f>IFERROR(__xludf.DUMMYFUNCTION("GOOGLETRANSLATE(B31556,""en"",""zh-CN"")"),"我们看到了景观的标题。")</f>
        <v>我们看到了景观的标题。</v>
      </c>
    </row>
    <row r="31557">
      <c r="A31557" s="4" t="s">
        <v>39727</v>
      </c>
      <c r="B31557" s="4" t="s">
        <v>39729</v>
      </c>
      <c r="C31557" s="5" t="str">
        <f>IFERROR(__xludf.DUMMYFUNCTION("GOOGLETRANSLATE(B31557,""en"",""zh-CN"")"),"人们在一个领域里演奏乐器。")</f>
        <v>人们在一个领域里演奏乐器。</v>
      </c>
    </row>
    <row r="31558">
      <c r="A31558" s="4" t="s">
        <v>39727</v>
      </c>
      <c r="B31558" s="4" t="s">
        <v>39730</v>
      </c>
      <c r="C31558" s="5" t="str">
        <f>IFERROR(__xludf.DUMMYFUNCTION("GOOGLETRANSLATE(B31558,""en"",""zh-CN"")"),"然后，我们看到男人从事武术。")</f>
        <v>然后，我们看到男人从事武术。</v>
      </c>
    </row>
    <row r="31559">
      <c r="A31559" s="4" t="s">
        <v>39727</v>
      </c>
      <c r="B31559" s="4" t="s">
        <v>39731</v>
      </c>
      <c r="C31559" s="5" t="str">
        <f>IFERROR(__xludf.DUMMYFUNCTION("GOOGLETRANSLATE(B31559,""en"",""zh-CN"")"),"一个男人把另一个男人踢到地上。")</f>
        <v>一个男人把另一个男人踢到地上。</v>
      </c>
    </row>
    <row r="31560">
      <c r="A31560" s="4" t="s">
        <v>39727</v>
      </c>
      <c r="B31560" s="4" t="s">
        <v>39732</v>
      </c>
      <c r="C31560" s="5" t="str">
        <f>IFERROR(__xludf.DUMMYFUNCTION("GOOGLETRANSLATE(B31560,""en"",""zh-CN"")"),"我们看到一个人把另一个男人扔在他的背上。")</f>
        <v>我们看到一个人把另一个男人扔在他的背上。</v>
      </c>
    </row>
    <row r="31561">
      <c r="A31561" s="4" t="s">
        <v>39727</v>
      </c>
      <c r="B31561" s="4" t="s">
        <v>39733</v>
      </c>
      <c r="C31561" s="5" t="str">
        <f>IFERROR(__xludf.DUMMYFUNCTION("GOOGLETRANSLATE(B31561,""en"",""zh-CN"")"),"一个人翻转，然后进行后退。")</f>
        <v>一个人翻转，然后进行后退。</v>
      </c>
    </row>
    <row r="31562">
      <c r="A31562" s="4" t="s">
        <v>39727</v>
      </c>
      <c r="B31562" s="4" t="s">
        <v>39734</v>
      </c>
      <c r="C31562" s="5" t="str">
        <f>IFERROR(__xludf.DUMMYFUNCTION("GOOGLETRANSLATE(B31562,""en"",""zh-CN"")"),"我们看到人们再次演奏乐器。")</f>
        <v>我们看到人们再次演奏乐器。</v>
      </c>
    </row>
    <row r="31563">
      <c r="A31563" s="4" t="s">
        <v>39727</v>
      </c>
      <c r="B31563" s="4" t="s">
        <v>39735</v>
      </c>
      <c r="C31563" s="5" t="str">
        <f>IFERROR(__xludf.DUMMYFUNCTION("GOOGLETRANSLATE(B31563,""en"",""zh-CN"")"),"130我们看到单词出现在屏幕上，并出现最终信用。")</f>
        <v>130我们看到单词出现在屏幕上，并出现最终信用。</v>
      </c>
    </row>
    <row r="31564">
      <c r="A31564" s="4" t="s">
        <v>39736</v>
      </c>
      <c r="B31564" s="4" t="s">
        <v>39737</v>
      </c>
      <c r="C31564" s="5" t="str">
        <f>IFERROR(__xludf.DUMMYFUNCTION("GOOGLETRANSLATE(B31564,""en"",""zh-CN"")"),"看到一个小孩玩玩具，把嘴唇放在她的嘴唇上。")</f>
        <v>看到一个小孩玩玩具，把嘴唇放在她的嘴唇上。</v>
      </c>
    </row>
    <row r="31565">
      <c r="A31565" s="4" t="s">
        <v>39736</v>
      </c>
      <c r="B31565" s="4" t="s">
        <v>39738</v>
      </c>
      <c r="C31565" s="5" t="str">
        <f>IFERROR(__xludf.DUMMYFUNCTION("GOOGLETRANSLATE(B31565,""en"",""zh-CN"")"),"然后看到相机在房间里移动，走下楼梯，跟随年轻女孩。")</f>
        <v>然后看到相机在房间里移动，走下楼梯，跟随年轻女孩。</v>
      </c>
    </row>
    <row r="31566">
      <c r="A31566" s="4" t="s">
        <v>39736</v>
      </c>
      <c r="B31566" s="4" t="s">
        <v>39739</v>
      </c>
      <c r="C31566" s="5" t="str">
        <f>IFERROR(__xludf.DUMMYFUNCTION("GOOGLETRANSLATE(B31566,""en"",""zh-CN"")"),"当相机跟随时，女孩回到她的房间玩玩具。")</f>
        <v>当相机跟随时，女孩回到她的房间玩玩具。</v>
      </c>
    </row>
    <row r="31567">
      <c r="A31567" s="4" t="s">
        <v>39740</v>
      </c>
      <c r="B31567" s="4" t="s">
        <v>39741</v>
      </c>
      <c r="C31567" s="5" t="str">
        <f>IFERROR(__xludf.DUMMYFUNCTION("GOOGLETRANSLATE(B31567,""en"",""zh-CN"")"),"两名男子在裁判面前玩岩石剪刀的游戏。")</f>
        <v>两名男子在裁判面前玩岩石剪刀的游戏。</v>
      </c>
    </row>
    <row r="31568">
      <c r="A31568" s="4" t="s">
        <v>39740</v>
      </c>
      <c r="B31568" s="4" t="s">
        <v>39742</v>
      </c>
      <c r="C31568" s="5" t="str">
        <f>IFERROR(__xludf.DUMMYFUNCTION("GOOGLETRANSLATE(B31568,""en"",""zh-CN"")"),"一个女人在后面敲打其中的一个。")</f>
        <v>一个女人在后面敲打其中的一个。</v>
      </c>
    </row>
    <row r="31569">
      <c r="A31569" s="4" t="s">
        <v>39740</v>
      </c>
      <c r="B31569" s="4" t="s">
        <v>39743</v>
      </c>
      <c r="C31569" s="5" t="str">
        <f>IFERROR(__xludf.DUMMYFUNCTION("GOOGLETRANSLATE(B31569,""en"",""zh-CN"")"),"他们打最后一场比赛，一个男人庆祝他的胜利。")</f>
        <v>他们打最后一场比赛，一个男人庆祝他的胜利。</v>
      </c>
    </row>
    <row r="31570">
      <c r="A31570" s="4" t="s">
        <v>39744</v>
      </c>
      <c r="B31570" s="4" t="s">
        <v>39745</v>
      </c>
      <c r="C31570" s="5" t="str">
        <f>IFERROR(__xludf.DUMMYFUNCTION("GOOGLETRANSLATE(B31570,""en"",""zh-CN"")"),"一个男人坐在桌子后面。")</f>
        <v>一个男人坐在桌子后面。</v>
      </c>
    </row>
    <row r="31571">
      <c r="A31571" s="4" t="s">
        <v>39744</v>
      </c>
      <c r="B31571" s="4" t="s">
        <v>39746</v>
      </c>
      <c r="C31571" s="5" t="str">
        <f>IFERROR(__xludf.DUMMYFUNCTION("GOOGLETRANSLATE(B31571,""en"",""zh-CN"")"),"他拿起魔方并完成了魔方。")</f>
        <v>他拿起魔方并完成了魔方。</v>
      </c>
    </row>
    <row r="31572">
      <c r="A31572" s="4" t="s">
        <v>39744</v>
      </c>
      <c r="B31572" s="4" t="s">
        <v>39747</v>
      </c>
      <c r="C31572" s="5" t="str">
        <f>IFERROR(__xludf.DUMMYFUNCTION("GOOGLETRANSLATE(B31572,""en"",""zh-CN"")"),"一个男人站在他旁边，在纸上写东西。")</f>
        <v>一个男人站在他旁边，在纸上写东西。</v>
      </c>
    </row>
    <row r="31573">
      <c r="A31573" s="4" t="s">
        <v>39748</v>
      </c>
      <c r="B31573" s="4" t="s">
        <v>39749</v>
      </c>
      <c r="C31573" s="5" t="str">
        <f>IFERROR(__xludf.DUMMYFUNCTION("GOOGLETRANSLATE(B31573,""en"",""zh-CN"")"),"看到一个男人在相机上说话，开始拿起刀。")</f>
        <v>看到一个男人在相机上说话，开始拿起刀。</v>
      </c>
    </row>
    <row r="31574">
      <c r="A31574" s="4" t="s">
        <v>39748</v>
      </c>
      <c r="B31574" s="4" t="s">
        <v>39750</v>
      </c>
      <c r="C31574" s="5" t="str">
        <f>IFERROR(__xludf.DUMMYFUNCTION("GOOGLETRANSLATE(B31574,""en"",""zh-CN"")"),"他在工具周围摇晃，并炫耀一个套件。")</f>
        <v>他在工具周围摇晃，并炫耀一个套件。</v>
      </c>
    </row>
    <row r="31575">
      <c r="A31575" s="4" t="s">
        <v>39748</v>
      </c>
      <c r="B31575" s="6" t="s">
        <v>39751</v>
      </c>
      <c r="C31575" s="5" t="str">
        <f>IFERROR(__xludf.DUMMYFUNCTION("GOOGLETRANSLATE(B31575,""en"",""zh-CN"")"),"然后，他在仍在与镜头说话的同时，用各种木板和棍子锐化刀。")</f>
        <v>然后，他在仍在与镜头说话的同时，用各种木板和棍子锐化刀。</v>
      </c>
    </row>
    <row r="31576">
      <c r="A31576" s="4" t="s">
        <v>39752</v>
      </c>
      <c r="B31576" s="4" t="s">
        <v>39753</v>
      </c>
      <c r="C31576" s="5" t="str">
        <f>IFERROR(__xludf.DUMMYFUNCTION("GOOGLETRANSLATE(B31576,""en"",""zh-CN"")"),"一群游泳者准备在平台上站立，弯腰。")</f>
        <v>一群游泳者准备在平台上站立，弯腰。</v>
      </c>
    </row>
    <row r="31577">
      <c r="A31577" s="4" t="s">
        <v>39752</v>
      </c>
      <c r="B31577" s="4" t="s">
        <v>39754</v>
      </c>
      <c r="C31577" s="5" t="str">
        <f>IFERROR(__xludf.DUMMYFUNCTION("GOOGLETRANSLATE(B31577,""en"",""zh-CN"")"),"当他们都同时跳进时，几个人站在他们身后。")</f>
        <v>当他们都同时跳进时，几个人站在他们身后。</v>
      </c>
    </row>
    <row r="31578">
      <c r="A31578" s="4" t="s">
        <v>39752</v>
      </c>
      <c r="B31578" s="6" t="s">
        <v>39755</v>
      </c>
      <c r="C31578" s="5" t="str">
        <f>IFERROR(__xludf.DUMMYFUNCTION("GOOGLETRANSLATE(B31578,""en"",""zh-CN"")"),"这些人向后赛，第四次向后进行蝴蝶运动，直到他们全部到达终点。")</f>
        <v>这些人向后赛，第四次向后进行蝴蝶运动，直到他们全部到达终点。</v>
      </c>
    </row>
    <row r="31579">
      <c r="A31579" s="4" t="s">
        <v>39756</v>
      </c>
      <c r="B31579" s="4" t="s">
        <v>39757</v>
      </c>
      <c r="C31579" s="5" t="str">
        <f>IFERROR(__xludf.DUMMYFUNCTION("GOOGLETRANSLATE(B31579,""en"",""zh-CN"")"),"一个十几岁的女孩刷她的头发。")</f>
        <v>一个十几岁的女孩刷她的头发。</v>
      </c>
    </row>
    <row r="31580">
      <c r="A31580" s="4" t="s">
        <v>39756</v>
      </c>
      <c r="B31580" s="4" t="s">
        <v>39758</v>
      </c>
      <c r="C31580" s="5" t="str">
        <f>IFERROR(__xludf.DUMMYFUNCTION("GOOGLETRANSLATE(B31580,""en"",""zh-CN"")"),"女孩看着她很困惑。")</f>
        <v>女孩看着她很困惑。</v>
      </c>
    </row>
    <row r="31581">
      <c r="A31581" s="4" t="s">
        <v>39756</v>
      </c>
      <c r="B31581" s="4" t="s">
        <v>32637</v>
      </c>
      <c r="C31581" s="5" t="str">
        <f>IFERROR(__xludf.DUMMYFUNCTION("GOOGLETRANSLATE(B31581,""en"",""zh-CN"")"),"女孩和镜头说话。")</f>
        <v>女孩和镜头说话。</v>
      </c>
    </row>
    <row r="31582">
      <c r="A31582" s="4" t="s">
        <v>39759</v>
      </c>
      <c r="B31582" s="6" t="s">
        <v>39760</v>
      </c>
      <c r="C31582" s="5" t="str">
        <f>IFERROR(__xludf.DUMMYFUNCTION("GOOGLETRANSLATE(B31582,""en"",""zh-CN"")"),"一开始，一个大型体育馆在一开始，一次在蹦床上表现出几条滑动和技巧。")</f>
        <v>一开始，一个大型体育馆在一开始，一次在蹦床上表现出几条滑动和技巧。</v>
      </c>
    </row>
    <row r="31583">
      <c r="A31583" s="4" t="s">
        <v>39759</v>
      </c>
      <c r="B31583" s="6" t="s">
        <v>39761</v>
      </c>
      <c r="C31583" s="5" t="str">
        <f>IFERROR(__xludf.DUMMYFUNCTION("GOOGLETRANSLATE(B31583,""en"",""zh-CN"")"),"人们继续在健身房跳来跳去，最后一个在一个大坑里结束。")</f>
        <v>人们继续在健身房跳来跳去，最后一个在一个大坑里结束。</v>
      </c>
    </row>
    <row r="31584">
      <c r="A31584" s="4" t="s">
        <v>39762</v>
      </c>
      <c r="B31584" s="4" t="s">
        <v>39763</v>
      </c>
      <c r="C31584" s="5" t="str">
        <f>IFERROR(__xludf.DUMMYFUNCTION("GOOGLETRANSLATE(B31584,""en"",""zh-CN"")"),"美容师喷洒了棕色狗。")</f>
        <v>美容师喷洒了棕色狗。</v>
      </c>
    </row>
    <row r="31585">
      <c r="A31585" s="4" t="s">
        <v>39762</v>
      </c>
      <c r="B31585" s="4" t="s">
        <v>39764</v>
      </c>
      <c r="C31585" s="5" t="str">
        <f>IFERROR(__xludf.DUMMYFUNCTION("GOOGLETRANSLATE(B31585,""en"",""zh-CN"")"),"狗在商店周围奔跑。")</f>
        <v>狗在商店周围奔跑。</v>
      </c>
    </row>
    <row r="31586">
      <c r="A31586" s="4" t="s">
        <v>39762</v>
      </c>
      <c r="B31586" s="4" t="s">
        <v>39765</v>
      </c>
      <c r="C31586" s="5" t="str">
        <f>IFERROR(__xludf.DUMMYFUNCTION("GOOGLETRANSLATE(B31586,""en"",""zh-CN"")"),"棕色狗的美容师灌木丛。")</f>
        <v>棕色狗的美容师灌木丛。</v>
      </c>
    </row>
    <row r="31587">
      <c r="A31587" s="4" t="s">
        <v>39766</v>
      </c>
      <c r="B31587" s="4" t="s">
        <v>39767</v>
      </c>
      <c r="C31587" s="5" t="str">
        <f>IFERROR(__xludf.DUMMYFUNCTION("GOOGLETRANSLATE(B31587,""en"",""zh-CN"")"),"看到一个人在笑和与他人交谈时举起各种食物。")</f>
        <v>看到一个人在笑和与他人交谈时举起各种食物。</v>
      </c>
    </row>
    <row r="31588">
      <c r="A31588" s="4" t="s">
        <v>39766</v>
      </c>
      <c r="B31588" s="6" t="s">
        <v>39768</v>
      </c>
      <c r="C31588" s="5" t="str">
        <f>IFERROR(__xludf.DUMMYFUNCTION("GOOGLETRANSLATE(B31588,""en"",""zh-CN"")"),"然后，男人通过混合各种成分并将其呈现在盘子上来开始烹饪。")</f>
        <v>然后，男人通过混合各种成分并将其呈现在盘子上来开始烹饪。</v>
      </c>
    </row>
    <row r="31589">
      <c r="A31589" s="4" t="s">
        <v>39766</v>
      </c>
      <c r="B31589" s="6" t="s">
        <v>39769</v>
      </c>
      <c r="C31589" s="5" t="str">
        <f>IFERROR(__xludf.DUMMYFUNCTION("GOOGLETRANSLATE(B31589,""en"",""zh-CN"")"),"然后显示食谱，以供食物烹饪，并导致烹饪食物的片段，并与男人一起吃饭。")</f>
        <v>然后显示食谱，以供食物烹饪，并导致烹饪食物的片段，并与男人一起吃饭。</v>
      </c>
    </row>
    <row r="31590">
      <c r="A31590" s="4" t="s">
        <v>39770</v>
      </c>
      <c r="B31590" s="6" t="s">
        <v>39771</v>
      </c>
      <c r="C31590" s="5" t="str">
        <f>IFERROR(__xludf.DUMMYFUNCTION("GOOGLETRANSLATE(B31590,""en"",""zh-CN"")"),"介绍会导致几次水蒸，一名年轻女子向后游泳，在水中四分之一。")</f>
        <v>介绍会导致几次水蒸，一名年轻女子向后游泳，在水中四分之一。</v>
      </c>
    </row>
    <row r="31591">
      <c r="A31591" s="4" t="s">
        <v>39770</v>
      </c>
      <c r="B31591" s="6" t="s">
        <v>39772</v>
      </c>
      <c r="C31591" s="5" t="str">
        <f>IFERROR(__xludf.DUMMYFUNCTION("GOOGLETRANSLATE(B31591,""en"",""zh-CN"")"),"她走到表面上，在相机上说话，同时还显示了几枪。")</f>
        <v>她走到表面上，在相机上说话，同时还显示了几枪。</v>
      </c>
    </row>
    <row r="31592">
      <c r="A31592" s="4" t="s">
        <v>39773</v>
      </c>
      <c r="B31592" s="4" t="s">
        <v>39774</v>
      </c>
      <c r="C31592" s="5" t="str">
        <f>IFERROR(__xludf.DUMMYFUNCTION("GOOGLETRANSLATE(B31592,""en"",""zh-CN"")"),"看到一个男人坐在骆驼上，然后下车，另一个男人爬。")</f>
        <v>看到一个男人坐在骆驼上，然后下车，另一个男人爬。</v>
      </c>
    </row>
    <row r="31593">
      <c r="A31593" s="4" t="s">
        <v>39773</v>
      </c>
      <c r="B31593" s="4" t="s">
        <v>39775</v>
      </c>
      <c r="C31593" s="5" t="str">
        <f>IFERROR(__xludf.DUMMYFUNCTION("GOOGLETRANSLATE(B31593,""en"",""zh-CN"")"),"然后，该男子将对方带到骆驼上。")</f>
        <v>然后，该男子将对方带到骆驼上。</v>
      </c>
    </row>
    <row r="31594">
      <c r="A31594" s="4" t="s">
        <v>39773</v>
      </c>
      <c r="B31594" s="4" t="s">
        <v>39776</v>
      </c>
      <c r="C31594" s="5" t="str">
        <f>IFERROR(__xludf.DUMMYFUNCTION("GOOGLETRANSLATE(B31594,""en"",""zh-CN"")"),"该男子停下骆驼，在爬回时让另一个人离开。")</f>
        <v>该男子停下骆驼，在爬回时让另一个人离开。</v>
      </c>
    </row>
    <row r="31595">
      <c r="A31595" s="4" t="s">
        <v>39777</v>
      </c>
      <c r="B31595" s="4" t="s">
        <v>39778</v>
      </c>
      <c r="C31595" s="5" t="str">
        <f>IFERROR(__xludf.DUMMYFUNCTION("GOOGLETRANSLATE(B31595,""en"",""zh-CN"")"),"几位表演者走出盒子，最终是一个男性和一名女性。")</f>
        <v>几位表演者走出盒子，最终是一个男性和一名女性。</v>
      </c>
    </row>
    <row r="31596">
      <c r="A31596" s="4" t="s">
        <v>39777</v>
      </c>
      <c r="B31596" s="4" t="s">
        <v>39779</v>
      </c>
      <c r="C31596" s="5" t="str">
        <f>IFERROR(__xludf.DUMMYFUNCTION("GOOGLETRANSLATE(B31596,""en"",""zh-CN"")"),"然后，这位女士开始以奇怪的方式移动，并继续以芭蕾舞演员形式讲述一个故事。")</f>
        <v>然后，这位女士开始以奇怪的方式移动，并继续以芭蕾舞演员形式讲述一个故事。</v>
      </c>
    </row>
    <row r="31597">
      <c r="A31597" s="4" t="s">
        <v>39777</v>
      </c>
      <c r="B31597" s="6" t="s">
        <v>39780</v>
      </c>
      <c r="C31597" s="5" t="str">
        <f>IFERROR(__xludf.DUMMYFUNCTION("GOOGLETRANSLATE(B31597,""en"",""zh-CN"")"),"几分钟后，雄性加入了他们，他们继续与坚强的腿和坚固的手臂一起跳舞。")</f>
        <v>几分钟后，雄性加入了他们，他们继续与坚强的腿和坚固的手臂一起跳舞。</v>
      </c>
    </row>
    <row r="31598">
      <c r="A31598" s="4" t="s">
        <v>39781</v>
      </c>
      <c r="B31598" s="4" t="s">
        <v>39782</v>
      </c>
      <c r="C31598" s="5" t="str">
        <f>IFERROR(__xludf.DUMMYFUNCTION("GOOGLETRANSLATE(B31598,""en"",""zh-CN"")"),"一个男人在盒子的顶部拿着黄铁。")</f>
        <v>一个男人在盒子的顶部拿着黄铁。</v>
      </c>
    </row>
    <row r="31599">
      <c r="A31599" s="4" t="s">
        <v>39781</v>
      </c>
      <c r="B31599" s="4" t="s">
        <v>39783</v>
      </c>
      <c r="C31599" s="5" t="str">
        <f>IFERROR(__xludf.DUMMYFUNCTION("GOOGLETRANSLATE(B31599,""en"",""zh-CN"")"),"他在热铁的底部融化了一条杆。")</f>
        <v>他在热铁的底部融化了一条杆。</v>
      </c>
    </row>
    <row r="31600">
      <c r="A31600" s="4" t="s">
        <v>39781</v>
      </c>
      <c r="B31600" s="4" t="s">
        <v>39784</v>
      </c>
      <c r="C31600" s="5" t="str">
        <f>IFERROR(__xludf.DUMMYFUNCTION("GOOGLETRANSLATE(B31600,""en"",""zh-CN"")"),"然后，他将滴落到滑雪板上的蜡上。")</f>
        <v>然后，他将滴落到滑雪板上的蜡上。</v>
      </c>
    </row>
    <row r="31601">
      <c r="A31601" s="4" t="s">
        <v>39781</v>
      </c>
      <c r="B31601" s="4" t="s">
        <v>39785</v>
      </c>
      <c r="C31601" s="5" t="str">
        <f>IFERROR(__xludf.DUMMYFUNCTION("GOOGLETRANSLATE(B31601,""en"",""zh-CN"")"),"他完成并将铁放下。")</f>
        <v>他完成并将铁放下。</v>
      </c>
    </row>
    <row r="31602">
      <c r="A31602" s="4" t="s">
        <v>39786</v>
      </c>
      <c r="B31602" s="4" t="s">
        <v>39787</v>
      </c>
      <c r="C31602" s="5" t="str">
        <f>IFERROR(__xludf.DUMMYFUNCTION("GOOGLETRANSLATE(B31602,""en"",""zh-CN"")"),"一家公司在黑屏上弹出的徽标。")</f>
        <v>一家公司在黑屏上弹出的徽标。</v>
      </c>
    </row>
    <row r="31603">
      <c r="A31603" s="4" t="s">
        <v>39786</v>
      </c>
      <c r="B31603" s="4" t="s">
        <v>39788</v>
      </c>
      <c r="C31603" s="5" t="str">
        <f>IFERROR(__xludf.DUMMYFUNCTION("GOOGLETRANSLATE(B31603,""en"",""zh-CN"")"),"一个穿着黄色外套和橙色头盔的男人显示了海洋皮划艇。")</f>
        <v>一个穿着黄色外套和橙色头盔的男人显示了海洋皮划艇。</v>
      </c>
    </row>
    <row r="31604">
      <c r="A31604" s="4" t="s">
        <v>39786</v>
      </c>
      <c r="B31604" s="4" t="s">
        <v>39789</v>
      </c>
      <c r="C31604" s="5" t="str">
        <f>IFERROR(__xludf.DUMMYFUNCTION("GOOGLETRANSLATE(B31604,""en"",""zh-CN"")"),"其他皮划艇运动员在海浪中战斗并骑着它们。")</f>
        <v>其他皮划艇运动员在海浪中战斗并骑着它们。</v>
      </c>
    </row>
    <row r="31605">
      <c r="A31605" s="4" t="s">
        <v>39786</v>
      </c>
      <c r="B31605" s="4" t="s">
        <v>39790</v>
      </c>
      <c r="C31605" s="5" t="str">
        <f>IFERROR(__xludf.DUMMYFUNCTION("GOOGLETRANSLATE(B31605,""en"",""zh-CN"")"),"一组照片显示，皮划艇运动员在海洋中航行并撞向海浪。")</f>
        <v>一组照片显示，皮划艇运动员在海洋中航行并撞向海浪。</v>
      </c>
    </row>
    <row r="31606">
      <c r="A31606" s="4" t="s">
        <v>39791</v>
      </c>
      <c r="B31606" s="4" t="s">
        <v>39792</v>
      </c>
      <c r="C31606" s="5" t="str">
        <f>IFERROR(__xludf.DUMMYFUNCTION("GOOGLETRANSLATE(B31606,""en"",""zh-CN"")"),"一个女人站在壁球场内。")</f>
        <v>一个女人站在壁球场内。</v>
      </c>
    </row>
    <row r="31607">
      <c r="A31607" s="4" t="s">
        <v>39791</v>
      </c>
      <c r="B31607" s="4" t="s">
        <v>39793</v>
      </c>
      <c r="C31607" s="5" t="str">
        <f>IFERROR(__xludf.DUMMYFUNCTION("GOOGLETRANSLATE(B31607,""en"",""zh-CN"")"),"她开始击球，追随球。")</f>
        <v>她开始击球，追随球。</v>
      </c>
    </row>
    <row r="31608">
      <c r="A31608" s="4" t="s">
        <v>39791</v>
      </c>
      <c r="B31608" s="4" t="s">
        <v>39794</v>
      </c>
      <c r="C31608" s="5" t="str">
        <f>IFERROR(__xludf.DUMMYFUNCTION("GOOGLETRANSLATE(B31608,""en"",""zh-CN"")"),"她绊倒了，摔倒了，当一个人救出球时，她撞到了地面。")</f>
        <v>她绊倒了，摔倒了，当一个人救出球时，她撞到了地面。</v>
      </c>
    </row>
    <row r="31609">
      <c r="A31609" s="4" t="s">
        <v>39795</v>
      </c>
      <c r="B31609" s="4" t="s">
        <v>39796</v>
      </c>
      <c r="C31609" s="5" t="str">
        <f>IFERROR(__xludf.DUMMYFUNCTION("GOOGLETRANSLATE(B31609,""en"",""zh-CN"")"),"一个人站在帐篷外面。")</f>
        <v>一个人站在帐篷外面。</v>
      </c>
    </row>
    <row r="31610">
      <c r="A31610" s="4" t="s">
        <v>39795</v>
      </c>
      <c r="B31610" s="4" t="s">
        <v>39797</v>
      </c>
      <c r="C31610" s="5" t="str">
        <f>IFERROR(__xludf.DUMMYFUNCTION("GOOGLETRANSLATE(B31610,""en"",""zh-CN"")"),"他看着帐篷里，看着一群孩子扑克牌和一个坐在外面的女人。")</f>
        <v>他看着帐篷里，看着一群孩子扑克牌和一个坐在外面的女人。</v>
      </c>
    </row>
    <row r="31611">
      <c r="A31611" s="4" t="s">
        <v>39795</v>
      </c>
      <c r="B31611" s="4" t="s">
        <v>39798</v>
      </c>
      <c r="C31611" s="5" t="str">
        <f>IFERROR(__xludf.DUMMYFUNCTION("GOOGLETRANSLATE(B31611,""en"",""zh-CN"")"),"一个男孩走过停放的汽车，微笑着。")</f>
        <v>一个男孩走过停放的汽车，微笑着。</v>
      </c>
    </row>
    <row r="31612">
      <c r="A31612" s="4" t="s">
        <v>39795</v>
      </c>
      <c r="B31612" s="4" t="s">
        <v>39799</v>
      </c>
      <c r="C31612" s="5" t="str">
        <f>IFERROR(__xludf.DUMMYFUNCTION("GOOGLETRANSLATE(B31612,""en"",""zh-CN"")"),"然后，他在湖中的皮划艇上显示。")</f>
        <v>然后，他在湖中的皮划艇上显示。</v>
      </c>
    </row>
    <row r="31613">
      <c r="A31613" s="4" t="s">
        <v>39795</v>
      </c>
      <c r="B31613" s="4" t="s">
        <v>39800</v>
      </c>
      <c r="C31613" s="5" t="str">
        <f>IFERROR(__xludf.DUMMYFUNCTION("GOOGLETRANSLATE(B31613,""en"",""zh-CN"")"),"全家人很快就加入了他的行列。")</f>
        <v>全家人很快就加入了他的行列。</v>
      </c>
    </row>
    <row r="31614">
      <c r="A31614" s="4" t="s">
        <v>39801</v>
      </c>
      <c r="B31614" s="4" t="s">
        <v>39802</v>
      </c>
      <c r="C31614" s="5" t="str">
        <f>IFERROR(__xludf.DUMMYFUNCTION("GOOGLETRANSLATE(B31614,""en"",""zh-CN"")"),"一个小男孩在一个聚会上拿着棍子并击中皮纳塔。")</f>
        <v>一个小男孩在一个聚会上拿着棍子并击中皮纳塔。</v>
      </c>
    </row>
    <row r="31615">
      <c r="A31615" s="4" t="s">
        <v>39801</v>
      </c>
      <c r="B31615" s="4" t="s">
        <v>39803</v>
      </c>
      <c r="C31615" s="5" t="str">
        <f>IFERROR(__xludf.DUMMYFUNCTION("GOOGLETRANSLATE(B31615,""en"",""zh-CN"")"),"当男孩撞上它后，成年人走向皮纳塔。")</f>
        <v>当男孩撞上它后，成年人走向皮纳塔。</v>
      </c>
    </row>
    <row r="31616">
      <c r="A31616" s="4" t="s">
        <v>39801</v>
      </c>
      <c r="B31616" s="4" t="s">
        <v>39804</v>
      </c>
      <c r="C31616" s="5" t="str">
        <f>IFERROR(__xludf.DUMMYFUNCTION("GOOGLETRANSLATE(B31616,""en"",""zh-CN"")"),"另一个与成年人站在一起的孩子也开始走向皮纳塔。")</f>
        <v>另一个与成年人站在一起的孩子也开始走向皮纳塔。</v>
      </c>
    </row>
    <row r="31617">
      <c r="A31617" s="4" t="s">
        <v>39805</v>
      </c>
      <c r="B31617" s="4" t="s">
        <v>39806</v>
      </c>
      <c r="C31617" s="5" t="str">
        <f>IFERROR(__xludf.DUMMYFUNCTION("GOOGLETRANSLATE(B31617,""en"",""zh-CN"")"),"一片粗糙的海洋有大的白色盖波浪和一艘帆船穿过它。")</f>
        <v>一片粗糙的海洋有大的白色盖波浪和一艘帆船穿过它。</v>
      </c>
    </row>
    <row r="31618">
      <c r="A31618" s="4" t="s">
        <v>39805</v>
      </c>
      <c r="B31618" s="4" t="s">
        <v>39807</v>
      </c>
      <c r="C31618" s="5" t="str">
        <f>IFERROR(__xludf.DUMMYFUNCTION("GOOGLETRANSLATE(B31618,""en"",""zh-CN"")"),"帆船越过大海浪和陆地的顶部散布着飞溅。")</f>
        <v>帆船越过大海浪和陆地的顶部散布着飞溅。</v>
      </c>
    </row>
    <row r="31619">
      <c r="A31619" s="4" t="s">
        <v>39805</v>
      </c>
      <c r="B31619" s="4" t="s">
        <v>39808</v>
      </c>
      <c r="C31619" s="5" t="str">
        <f>IFERROR(__xludf.DUMMYFUNCTION("GOOGLETRANSLATE(B31619,""en"",""zh-CN"")"),"船操纵，并在波浪上倾斜时倾斜。")</f>
        <v>船操纵，并在波浪上倾斜时倾斜。</v>
      </c>
    </row>
    <row r="31620">
      <c r="A31620" s="4" t="s">
        <v>39809</v>
      </c>
      <c r="B31620" s="4" t="s">
        <v>39810</v>
      </c>
      <c r="C31620" s="5" t="str">
        <f>IFERROR(__xludf.DUMMYFUNCTION("GOOGLETRANSLATE(B31620,""en"",""zh-CN"")"),"两支球队在前面的人群上打沙滩排球。")</f>
        <v>两支球队在前面的人群上打沙滩排球。</v>
      </c>
    </row>
    <row r="31621">
      <c r="A31621" s="4" t="s">
        <v>39809</v>
      </c>
      <c r="B31621" s="4" t="s">
        <v>39811</v>
      </c>
      <c r="C31621" s="5" t="str">
        <f>IFERROR(__xludf.DUMMYFUNCTION("GOOGLETRANSLATE(B31621,""en"",""zh-CN"")"),"女人拿着智能手机。")</f>
        <v>女人拿着智能手机。</v>
      </c>
    </row>
    <row r="31622">
      <c r="A31622" s="4" t="s">
        <v>39809</v>
      </c>
      <c r="B31622" s="4" t="s">
        <v>39812</v>
      </c>
      <c r="C31622" s="5" t="str">
        <f>IFERROR(__xludf.DUMMYFUNCTION("GOOGLETRANSLATE(B31622,""en"",""zh-CN"")"),"一个男人送球。")</f>
        <v>一个男人送球。</v>
      </c>
    </row>
    <row r="31623">
      <c r="A31623" s="4" t="s">
        <v>39809</v>
      </c>
      <c r="B31623" s="4" t="s">
        <v>39813</v>
      </c>
      <c r="C31623" s="5" t="str">
        <f>IFERROR(__xludf.DUMMYFUNCTION("GOOGLETRANSLATE(B31623,""en"",""zh-CN"")"),"一个穿着帽子和格子衬衫在球员面前的男人。")</f>
        <v>一个穿着帽子和格子衬衫在球员面前的男人。</v>
      </c>
    </row>
    <row r="31624">
      <c r="A31624" s="4" t="s">
        <v>39814</v>
      </c>
      <c r="B31624" s="4" t="s">
        <v>39815</v>
      </c>
      <c r="C31624" s="5" t="str">
        <f>IFERROR(__xludf.DUMMYFUNCTION("GOOGLETRANSLATE(B31624,""en"",""zh-CN"")"),"一个人站在山上，在人群面前庆祝。")</f>
        <v>一个人站在山上，在人群面前庆祝。</v>
      </c>
    </row>
    <row r="31625">
      <c r="A31625" s="4" t="s">
        <v>39814</v>
      </c>
      <c r="B31625" s="4" t="s">
        <v>39816</v>
      </c>
      <c r="C31625" s="5" t="str">
        <f>IFERROR(__xludf.DUMMYFUNCTION("GOOGLETRANSLATE(B31625,""en"",""zh-CN"")"),"他在BMX越野自行车上展示了他，表演了很多特技表演，轮子和旋转。")</f>
        <v>他在BMX越野自行车上展示了他，表演了很多特技表演，轮子和旋转。</v>
      </c>
    </row>
    <row r="31626">
      <c r="A31626" s="4" t="s">
        <v>39814</v>
      </c>
      <c r="B31626" s="4" t="s">
        <v>39817</v>
      </c>
      <c r="C31626" s="5" t="str">
        <f>IFERROR(__xludf.DUMMYFUNCTION("GOOGLETRANSLATE(B31626,""en"",""zh-CN"")"),"妇女被展示了，跳舞。")</f>
        <v>妇女被展示了，跳舞。</v>
      </c>
    </row>
    <row r="31627">
      <c r="A31627" s="4" t="s">
        <v>39818</v>
      </c>
      <c r="B31627" s="6" t="s">
        <v>39819</v>
      </c>
      <c r="C31627" s="5" t="str">
        <f>IFERROR(__xludf.DUMMYFUNCTION("GOOGLETRANSLATE(B31627,""en"",""zh-CN"")"),"两个男孩在健身房里玩乒乓球，其中一个男孩用nunchaku作为球拍玩耍并制作窍门。")</f>
        <v>两个男孩在健身房里玩乒乓球，其中一个男孩用nunchaku作为球拍玩耍并制作窍门。</v>
      </c>
    </row>
    <row r="31628">
      <c r="A31628" s="4" t="s">
        <v>39818</v>
      </c>
      <c r="B31628" s="4" t="s">
        <v>39820</v>
      </c>
      <c r="C31628" s="5" t="str">
        <f>IFERROR(__xludf.DUMMYFUNCTION("GOOGLETRANSLATE(B31628,""en"",""zh-CN"")"),"一个男人在乒乓球桌子的前面，站在桌子旁。")</f>
        <v>一个男人在乒乓球桌子的前面，站在桌子旁。</v>
      </c>
    </row>
    <row r="31629">
      <c r="A31629" s="4" t="s">
        <v>39818</v>
      </c>
      <c r="B31629" s="6" t="s">
        <v>39821</v>
      </c>
      <c r="C31629" s="5" t="str">
        <f>IFERROR(__xludf.DUMMYFUNCTION("GOOGLETRANSLATE(B31629,""en"",""zh-CN"")"),"然后，这位男子联合的一位球员，然后开始演奏布鲁斯·李（Bruce Lee）出现在一辆智能手机的屏幕上。")</f>
        <v>然后，这位男子联合的一位球员，然后开始演奏布鲁斯·李（Bruce Lee）出现在一辆智能手机的屏幕上。</v>
      </c>
    </row>
    <row r="31630">
      <c r="A31630" s="4" t="s">
        <v>39818</v>
      </c>
      <c r="B31630" s="6" t="s">
        <v>39822</v>
      </c>
      <c r="C31630" s="5" t="str">
        <f>IFERROR(__xludf.DUMMYFUNCTION("GOOGLETRANSLATE(B31630,""en"",""zh-CN"")"),"一个男孩会武术移动并吹嘘一个木板，然后他修理了本奇库，然后使用它在另一个男孩的口中点燃一场比赛。")</f>
        <v>一个男孩会武术移动并吹嘘一个木板，然后他修理了本奇库，然后使用它在另一个男孩的口中点燃一场比赛。</v>
      </c>
    </row>
    <row r="31631">
      <c r="A31631" s="4" t="s">
        <v>39823</v>
      </c>
      <c r="B31631" s="4" t="s">
        <v>39824</v>
      </c>
      <c r="C31631" s="5" t="str">
        <f>IFERROR(__xludf.DUMMYFUNCTION("GOOGLETRANSLATE(B31631,""en"",""zh-CN"")"),"一个女人在相机上拿着一瓶紫色指甲油。")</f>
        <v>一个女人在相机上拿着一瓶紫色指甲油。</v>
      </c>
    </row>
    <row r="31632">
      <c r="A31632" s="4" t="s">
        <v>39823</v>
      </c>
      <c r="B31632" s="4" t="s">
        <v>39825</v>
      </c>
      <c r="C31632" s="5" t="str">
        <f>IFERROR(__xludf.DUMMYFUNCTION("GOOGLETRANSLATE(B31632,""en"",""zh-CN"")"),"然后，她将其应用于指甲。")</f>
        <v>然后，她将其应用于指甲。</v>
      </c>
    </row>
    <row r="31633">
      <c r="A31633" s="4" t="s">
        <v>39823</v>
      </c>
      <c r="B31633" s="4" t="s">
        <v>39826</v>
      </c>
      <c r="C31633" s="5" t="str">
        <f>IFERROR(__xludf.DUMMYFUNCTION("GOOGLETRANSLATE(B31633,""en"",""zh-CN"")"),"完成后，她最后一次炫耀自己的指甲和抛光剂。")</f>
        <v>完成后，她最后一次炫耀自己的指甲和抛光剂。</v>
      </c>
    </row>
    <row r="31634">
      <c r="A31634" s="4" t="s">
        <v>39827</v>
      </c>
      <c r="B31634" s="4" t="s">
        <v>39828</v>
      </c>
      <c r="C31634" s="5" t="str">
        <f>IFERROR(__xludf.DUMMYFUNCTION("GOOGLETRANSLATE(B31634,""en"",""zh-CN"")"),"斗牛正在屏幕上做广告。")</f>
        <v>斗牛正在屏幕上做广告。</v>
      </c>
    </row>
    <row r="31635">
      <c r="A31635" s="4" t="s">
        <v>39827</v>
      </c>
      <c r="B31635" s="4" t="s">
        <v>39829</v>
      </c>
      <c r="C31635" s="5" t="str">
        <f>IFERROR(__xludf.DUMMYFUNCTION("GOOGLETRANSLATE(B31635,""en"",""zh-CN"")"),"有一些斗牛的片段，人正在谈论他的斗牛经历。")</f>
        <v>有一些斗牛的片段，人正在谈论他的斗牛经历。</v>
      </c>
    </row>
    <row r="31636">
      <c r="A31636" s="4" t="s">
        <v>39827</v>
      </c>
      <c r="B31636" s="4" t="s">
        <v>39830</v>
      </c>
      <c r="C31636" s="5" t="str">
        <f>IFERROR(__xludf.DUMMYFUNCTION("GOOGLETRANSLATE(B31636,""en"",""zh-CN"")"),"小丑在后面时，公牛滚动了枪管。")</f>
        <v>小丑在后面时，公牛滚动了枪管。</v>
      </c>
    </row>
    <row r="31637">
      <c r="A31637" s="4" t="s">
        <v>39827</v>
      </c>
      <c r="B31637" s="4" t="s">
        <v>39831</v>
      </c>
      <c r="C31637" s="5" t="str">
        <f>IFERROR(__xludf.DUMMYFUNCTION("GOOGLETRANSLATE(B31637,""en"",""zh-CN"")"),"将奖杯授予斗牛士。")</f>
        <v>将奖杯授予斗牛士。</v>
      </c>
    </row>
    <row r="31638">
      <c r="A31638" s="4" t="s">
        <v>39832</v>
      </c>
      <c r="B31638" s="6" t="s">
        <v>39833</v>
      </c>
      <c r="C31638" s="5" t="str">
        <f>IFERROR(__xludf.DUMMYFUNCTION("GOOGLETRANSLATE(B31638,""en"",""zh-CN"")"),"一个站在车辆旁边的女人在偶尔戴上车辆时与镜头交谈。")</f>
        <v>一个站在车辆旁边的女人在偶尔戴上车辆时与镜头交谈。</v>
      </c>
    </row>
    <row r="31639">
      <c r="A31639" s="4" t="s">
        <v>39832</v>
      </c>
      <c r="B31639" s="4" t="s">
        <v>39834</v>
      </c>
      <c r="C31639" s="5" t="str">
        <f>IFERROR(__xludf.DUMMYFUNCTION("GOOGLETRANSLATE(B31639,""en"",""zh-CN"")"),"女人举起一瓶喷雾。")</f>
        <v>女人举起一瓶喷雾。</v>
      </c>
    </row>
    <row r="31640">
      <c r="A31640" s="4" t="s">
        <v>39832</v>
      </c>
      <c r="B31640" s="4" t="s">
        <v>39835</v>
      </c>
      <c r="C31640" s="5" t="str">
        <f>IFERROR(__xludf.DUMMYFUNCTION("GOOGLETRANSLATE(B31640,""en"",""zh-CN"")"),"女人用瓶子喷洒了车辆的窗户。")</f>
        <v>女人用瓶子喷洒了车辆的窗户。</v>
      </c>
    </row>
    <row r="31641">
      <c r="A31641" s="4" t="s">
        <v>39832</v>
      </c>
      <c r="B31641" s="4" t="s">
        <v>39836</v>
      </c>
      <c r="C31641" s="5" t="str">
        <f>IFERROR(__xludf.DUMMYFUNCTION("GOOGLETRANSLATE(B31641,""en"",""zh-CN"")"),"女人用毛巾清洁窗户。")</f>
        <v>女人用毛巾清洁窗户。</v>
      </c>
    </row>
    <row r="31642">
      <c r="A31642" s="4" t="s">
        <v>39832</v>
      </c>
      <c r="B31642" s="4" t="s">
        <v>39837</v>
      </c>
      <c r="C31642" s="5" t="str">
        <f>IFERROR(__xludf.DUMMYFUNCTION("GOOGLETRANSLATE(B31642,""en"",""zh-CN"")"),"女人再次与镜头说话。")</f>
        <v>女人再次与镜头说话。</v>
      </c>
    </row>
    <row r="31643">
      <c r="A31643" s="4" t="s">
        <v>39832</v>
      </c>
      <c r="B31643" s="4" t="s">
        <v>39838</v>
      </c>
      <c r="C31643" s="5" t="str">
        <f>IFERROR(__xludf.DUMMYFUNCTION("GOOGLETRANSLATE(B31643,""en"",""zh-CN"")"),"女人回到清洁窗户。")</f>
        <v>女人回到清洁窗户。</v>
      </c>
    </row>
    <row r="31644">
      <c r="A31644" s="4" t="s">
        <v>39832</v>
      </c>
      <c r="B31644" s="4" t="s">
        <v>39839</v>
      </c>
      <c r="C31644" s="5" t="str">
        <f>IFERROR(__xludf.DUMMYFUNCTION("GOOGLETRANSLATE(B31644,""en"",""zh-CN"")"),"女人再次与镜头交谈。")</f>
        <v>女人再次与镜头交谈。</v>
      </c>
    </row>
    <row r="31645">
      <c r="A31645" s="4" t="s">
        <v>39840</v>
      </c>
      <c r="B31645" s="4" t="s">
        <v>39841</v>
      </c>
      <c r="C31645" s="5" t="str">
        <f>IFERROR(__xludf.DUMMYFUNCTION("GOOGLETRANSLATE(B31645,""en"",""zh-CN"")"),"房间中显示了一个沙芬板。")</f>
        <v>房间中显示了一个沙芬板。</v>
      </c>
    </row>
    <row r="31646">
      <c r="A31646" s="4" t="s">
        <v>39840</v>
      </c>
      <c r="B31646" s="4" t="s">
        <v>39842</v>
      </c>
      <c r="C31646" s="5" t="str">
        <f>IFERROR(__xludf.DUMMYFUNCTION("GOOGLETRANSLATE(B31646,""en"",""zh-CN"")"),"一名蓝色毛衣的男人将球扔到洗牌板上。")</f>
        <v>一名蓝色毛衣的男人将球扔到洗牌板上。</v>
      </c>
    </row>
    <row r="31647">
      <c r="A31647" s="4" t="s">
        <v>39840</v>
      </c>
      <c r="B31647" s="4" t="s">
        <v>29481</v>
      </c>
      <c r="C31647" s="5" t="str">
        <f>IFERROR(__xludf.DUMMYFUNCTION("GOOGLETRANSLATE(B31647,""en"",""zh-CN"")"),"显示了一杯啤酒。")</f>
        <v>显示了一杯啤酒。</v>
      </c>
    </row>
    <row r="31648">
      <c r="A31648" s="4" t="s">
        <v>39843</v>
      </c>
      <c r="B31648" s="6" t="s">
        <v>39844</v>
      </c>
      <c r="C31648" s="5" t="str">
        <f>IFERROR(__xludf.DUMMYFUNCTION("GOOGLETRANSLATE(B31648,""en"",""zh-CN"")"),"看到一大批人坐在地板上，随后人们射击弓箭，绕过一门课程。")</f>
        <v>看到一大批人坐在地板上，随后人们射击弓箭，绕过一门课程。</v>
      </c>
    </row>
    <row r="31649">
      <c r="A31649" s="4" t="s">
        <v>39843</v>
      </c>
      <c r="B31649" s="6" t="s">
        <v>39845</v>
      </c>
      <c r="C31649" s="5" t="str">
        <f>IFERROR(__xludf.DUMMYFUNCTION("GOOGLETRANSLATE(B31649,""en"",""zh-CN"")"),"孩子们继续互相奔跑，射击弓箭和箭头，一个女人握住她的手并展示照片。")</f>
        <v>孩子们继续互相奔跑，射击弓箭和箭头，一个女人握住她的手并展示照片。</v>
      </c>
    </row>
    <row r="31650">
      <c r="A31650" s="4" t="s">
        <v>39846</v>
      </c>
      <c r="B31650" s="6" t="s">
        <v>39847</v>
      </c>
      <c r="C31650" s="5" t="str">
        <f>IFERROR(__xludf.DUMMYFUNCTION("GOOGLETRANSLATE(B31650,""en"",""zh-CN"")"),"质量不佳的较旧视频开始播放，红色块上有白色单词，上面写着“ Leichtathletik Leicht Gemacht Diskus”。")</f>
        <v>质量不佳的较旧视频开始播放，红色块上有白色单词，上面写着“ Leichtathletik Leicht Gemacht Diskus”。</v>
      </c>
    </row>
    <row r="31651">
      <c r="A31651" s="4" t="s">
        <v>39846</v>
      </c>
      <c r="B31651" s="6" t="s">
        <v>39848</v>
      </c>
      <c r="C31651" s="5" t="str">
        <f>IFERROR(__xludf.DUMMYFUNCTION("GOOGLETRANSLATE(B31651,""en"",""zh-CN"")"),"一张光盘正飞过空中并降落在一个田野上，然后一张短暂地拿着圆盘的裸体男人的照片出现，直到另一个男人在一个大田里扔圆盘上的剪辑播放。")</f>
        <v>一张光盘正飞过空中并降落在一个田野上，然后一张短暂地拿着圆盘的裸体男人的照片出现，直到另一个男人在一个大田里扔圆盘上的剪辑播放。</v>
      </c>
    </row>
    <row r="31652">
      <c r="A31652" s="4" t="s">
        <v>39846</v>
      </c>
      <c r="B31652" s="6" t="s">
        <v>39849</v>
      </c>
      <c r="C31652" s="5" t="str">
        <f>IFERROR(__xludf.DUMMYFUNCTION("GOOGLETRANSLATE(B31652,""en"",""zh-CN"")"),"一个男人现在坐在田野上，屏幕上的单词说他是“拉斯·里德尔”，在它的下面是“奥林匹亚人”一词，这表明他在田野上的男人剪辑中来回切换时说话在田野上握住光盘，将其摆动然后扔掉。")</f>
        <v>一个男人现在坐在田野上，屏幕上的单词说他是“拉斯·里德尔”，在它的下面是“奥林匹亚人”一词，这表明他在田野上的男人剪辑中来回切换时说话在田野上握住光盘，将其摆动然后扔掉。</v>
      </c>
    </row>
    <row r="31653">
      <c r="A31653" s="4" t="s">
        <v>39846</v>
      </c>
      <c r="B31653" s="6" t="s">
        <v>39850</v>
      </c>
      <c r="C31653" s="5" t="str">
        <f>IFERROR(__xludf.DUMMYFUNCTION("GOOGLETRANSLATE(B31653,""en"",""zh-CN"")"),"持有鸡巴的裸体男人的静照片再次出现，然后返回到现在只是在球场上行走的那个男人的剪辑。")</f>
        <v>持有鸡巴的裸体男人的静照片再次出现，然后返回到现在只是在球场上行走的那个男人的剪辑。</v>
      </c>
    </row>
    <row r="31654">
      <c r="A31654" s="4" t="s">
        <v>39851</v>
      </c>
      <c r="B31654" s="4" t="s">
        <v>39852</v>
      </c>
      <c r="C31654" s="5" t="str">
        <f>IFERROR(__xludf.DUMMYFUNCTION("GOOGLETRANSLATE(B31654,""en"",""zh-CN"")"),"一群人开始在房间里走路，他们开始玩桌上足球比赛。")</f>
        <v>一群人开始在房间里走路，他们开始玩桌上足球比赛。</v>
      </c>
    </row>
    <row r="31655">
      <c r="A31655" s="4" t="s">
        <v>39851</v>
      </c>
      <c r="B31655" s="6" t="s">
        <v>39853</v>
      </c>
      <c r="C31655" s="5" t="str">
        <f>IFERROR(__xludf.DUMMYFUNCTION("GOOGLETRANSLATE(B31655,""en"",""zh-CN"")"),"游戏开始增强，当他们开始实现目标时，他们开始互相看待对方。")</f>
        <v>游戏开始增强，当他们开始实现目标时，他们开始互相看待对方。</v>
      </c>
    </row>
    <row r="31656">
      <c r="A31656" s="4" t="s">
        <v>39851</v>
      </c>
      <c r="B31656" s="6" t="s">
        <v>39854</v>
      </c>
      <c r="C31656" s="5" t="str">
        <f>IFERROR(__xludf.DUMMYFUNCTION("GOOGLETRANSLATE(B31656,""en"",""zh-CN"")"),"第一场比赛结束后，另一组男子开始竞争，并开始将球夹在人民上。")</f>
        <v>第一场比赛结束后，另一组男子开始竞争，并开始将球夹在人民上。</v>
      </c>
    </row>
    <row r="31657">
      <c r="A31657" s="4" t="s">
        <v>39851</v>
      </c>
      <c r="B31657" s="4" t="s">
        <v>39855</v>
      </c>
      <c r="C31657" s="5" t="str">
        <f>IFERROR(__xludf.DUMMYFUNCTION("GOOGLETRANSLATE(B31657,""en"",""zh-CN"")"),"接下来，女性加入并开始在桌子边缘滚动球。")</f>
        <v>接下来，女性加入并开始在桌子边缘滚动球。</v>
      </c>
    </row>
    <row r="31658">
      <c r="A31658" s="4" t="s">
        <v>39851</v>
      </c>
      <c r="B31658" s="6" t="s">
        <v>39856</v>
      </c>
      <c r="C31658" s="5" t="str">
        <f>IFERROR(__xludf.DUMMYFUNCTION("GOOGLETRANSLATE(B31658,""en"",""zh-CN"")"),"最后，一个男人带着诺基亚手机录制游戏，并显示了执行不同技巧的视频选项。")</f>
        <v>最后，一个男人带着诺基亚手机录制游戏，并显示了执行不同技巧的视频选项。</v>
      </c>
    </row>
    <row r="31659">
      <c r="A31659" s="4" t="s">
        <v>39857</v>
      </c>
      <c r="B31659" s="4" t="s">
        <v>39858</v>
      </c>
      <c r="C31659" s="5" t="str">
        <f>IFERROR(__xludf.DUMMYFUNCTION("GOOGLETRANSLATE(B31659,""en"",""zh-CN"")"),"有一个男人表现出重量超过90磅的重量。")</f>
        <v>有一个男人表现出重量超过90磅的重量。</v>
      </c>
    </row>
    <row r="31660">
      <c r="A31660" s="4" t="s">
        <v>39857</v>
      </c>
      <c r="B31660" s="4" t="s">
        <v>39859</v>
      </c>
      <c r="C31660" s="5" t="str">
        <f>IFERROR(__xludf.DUMMYFUNCTION("GOOGLETRANSLATE(B31660,""en"",""zh-CN"")"),"有一个女人在他身后的跑步机上奔跑。")</f>
        <v>有一个女人在他身后的跑步机上奔跑。</v>
      </c>
    </row>
    <row r="31661">
      <c r="A31661" s="4" t="s">
        <v>39860</v>
      </c>
      <c r="B31661" s="4" t="s">
        <v>39861</v>
      </c>
      <c r="C31661" s="5" t="str">
        <f>IFERROR(__xludf.DUMMYFUNCTION("GOOGLETRANSLATE(B31661,""en"",""zh-CN"")"),"滑雪者正在板上调整他的鞋子。")</f>
        <v>滑雪者正在板上调整他的鞋子。</v>
      </c>
    </row>
    <row r="31662">
      <c r="A31662" s="4" t="s">
        <v>39860</v>
      </c>
      <c r="B31662" s="4" t="s">
        <v>39862</v>
      </c>
      <c r="C31662" s="5" t="str">
        <f>IFERROR(__xludf.DUMMYFUNCTION("GOOGLETRANSLATE(B31662,""en"",""zh-CN"")"),"然后看到他在水板上的空中飞行。")</f>
        <v>然后看到他在水板上的空中飞行。</v>
      </c>
    </row>
    <row r="31663">
      <c r="A31663" s="4" t="s">
        <v>39860</v>
      </c>
      <c r="B31663" s="4" t="s">
        <v>39863</v>
      </c>
      <c r="C31663" s="5" t="str">
        <f>IFERROR(__xludf.DUMMYFUNCTION("GOOGLETRANSLATE(B31663,""en"",""zh-CN"")"),"他在靠在船的后部滑雪。")</f>
        <v>他在靠在船的后部滑雪。</v>
      </c>
    </row>
    <row r="31664">
      <c r="A31664" s="4" t="s">
        <v>39864</v>
      </c>
      <c r="B31664" s="6" t="s">
        <v>39865</v>
      </c>
      <c r="C31664" s="5" t="str">
        <f>IFERROR(__xludf.DUMMYFUNCTION("GOOGLETRANSLATE(B31664,""en"",""zh-CN"")"),"一名拿着篮球的球员将球传球，奔跑并跳动几次。")</f>
        <v>一名拿着篮球的球员将球传球，奔跑并跳动几次。</v>
      </c>
    </row>
    <row r="31665">
      <c r="A31665" s="4" t="s">
        <v>39864</v>
      </c>
      <c r="B31665" s="4" t="s">
        <v>39866</v>
      </c>
      <c r="C31665" s="5" t="str">
        <f>IFERROR(__xludf.DUMMYFUNCTION("GOOGLETRANSLATE(B31665,""en"",""zh-CN"")"),"一个男人在球场上扔篮球，然后离开。")</f>
        <v>一个男人在球场上扔篮球，然后离开。</v>
      </c>
    </row>
    <row r="31666">
      <c r="A31666" s="4" t="s">
        <v>39867</v>
      </c>
      <c r="B31666" s="4" t="s">
        <v>39868</v>
      </c>
      <c r="C31666" s="5" t="str">
        <f>IFERROR(__xludf.DUMMYFUNCTION("GOOGLETRANSLATE(B31666,""en"",""zh-CN"")"),"看到一个幼儿握住客厅里的棍子，同时将球推到了周围。")</f>
        <v>看到一个幼儿握住客厅里的棍子，同时将球推到了周围。</v>
      </c>
    </row>
    <row r="31667">
      <c r="A31667" s="4" t="s">
        <v>39867</v>
      </c>
      <c r="B31667" s="4" t="s">
        <v>39869</v>
      </c>
      <c r="C31667" s="5" t="str">
        <f>IFERROR(__xludf.DUMMYFUNCTION("GOOGLETRANSLATE(B31667,""en"",""zh-CN"")"),"当相机捕捉他的动作时，男孩继续将球推到四处。")</f>
        <v>当相机捕捉他的动作时，男孩继续将球推到四处。</v>
      </c>
    </row>
    <row r="31668">
      <c r="A31668" s="4" t="s">
        <v>39867</v>
      </c>
      <c r="B31668" s="4" t="s">
        <v>39870</v>
      </c>
      <c r="C31668" s="5" t="str">
        <f>IFERROR(__xludf.DUMMYFUNCTION("GOOGLETRANSLATE(B31668,""en"",""zh-CN"")"),"他停下来与镜头说话，继续击球。")</f>
        <v>他停下来与镜头说话，继续击球。</v>
      </c>
    </row>
    <row r="31669">
      <c r="A31669" s="4" t="s">
        <v>39871</v>
      </c>
      <c r="B31669" s="4" t="s">
        <v>39872</v>
      </c>
      <c r="C31669" s="5" t="str">
        <f>IFERROR(__xludf.DUMMYFUNCTION("GOOGLETRANSLATE(B31669,""en"",""zh-CN"")"),"一名男性体育馆准备安装横梁。")</f>
        <v>一名男性体育馆准备安装横梁。</v>
      </c>
    </row>
    <row r="31670">
      <c r="A31670" s="4" t="s">
        <v>39871</v>
      </c>
      <c r="B31670" s="4" t="s">
        <v>39873</v>
      </c>
      <c r="C31670" s="5" t="str">
        <f>IFERROR(__xludf.DUMMYFUNCTION("GOOGLETRANSLATE(B31670,""en"",""zh-CN"")"),"他跳了起来，在酒吧倒立。")</f>
        <v>他跳了起来，在酒吧倒立。</v>
      </c>
    </row>
    <row r="31671">
      <c r="A31671" s="4" t="s">
        <v>39871</v>
      </c>
      <c r="B31671" s="4" t="s">
        <v>39874</v>
      </c>
      <c r="C31671" s="5" t="str">
        <f>IFERROR(__xludf.DUMMYFUNCTION("GOOGLETRANSLATE(B31671,""en"",""zh-CN"")"),"然后，他旋转并翻转几次。")</f>
        <v>然后，他旋转并翻转几次。</v>
      </c>
    </row>
    <row r="31672">
      <c r="A31672" s="4" t="s">
        <v>39871</v>
      </c>
      <c r="B31672" s="4" t="s">
        <v>39875</v>
      </c>
      <c r="C31672" s="5" t="str">
        <f>IFERROR(__xludf.DUMMYFUNCTION("GOOGLETRANSLATE(B31672,""en"",""zh-CN"")"),"他下马，将手臂伸向空中。")</f>
        <v>他下马，将手臂伸向空中。</v>
      </c>
    </row>
    <row r="31673">
      <c r="A31673" s="4" t="s">
        <v>39876</v>
      </c>
      <c r="B31673" s="4" t="s">
        <v>39877</v>
      </c>
      <c r="C31673" s="5" t="str">
        <f>IFERROR(__xludf.DUMMYFUNCTION("GOOGLETRANSLATE(B31673,""en"",""zh-CN"")"),"一个小女孩拿着棍子，轻轻地击中了一个大的忍者主题。")</f>
        <v>一个小女孩拿着棍子，轻轻地击中了一个大的忍者主题。</v>
      </c>
    </row>
    <row r="31674">
      <c r="A31674" s="4" t="s">
        <v>39876</v>
      </c>
      <c r="B31674" s="4" t="s">
        <v>39878</v>
      </c>
      <c r="C31674" s="5" t="str">
        <f>IFERROR(__xludf.DUMMYFUNCTION("GOOGLETRANSLATE(B31674,""en"",""zh-CN"")"),"在背景中，一个白色椅子上的男孩正在轻轻地将一个球扔在他的腿上。")</f>
        <v>在背景中，一个白色椅子上的男孩正在轻轻地将一个球扔在他的腿上。</v>
      </c>
    </row>
    <row r="31675">
      <c r="A31675" s="4" t="s">
        <v>39876</v>
      </c>
      <c r="B31675" s="6" t="s">
        <v>39879</v>
      </c>
      <c r="C31675" s="5" t="str">
        <f>IFERROR(__xludf.DUMMYFUNCTION("GOOGLETRANSLATE(B31675,""en"",""zh-CN"")"),"一个高个子的男孩站在坐在椅子上的男孩附近走来走去，他的左手上有一个绿色的塑料袋，他用手腕扭动来回移动。")</f>
        <v>一个高个子的男孩站在坐在椅子上的男孩附近走来走去，他的左手上有一个绿色的塑料袋，他用手腕扭动来回移动。</v>
      </c>
    </row>
    <row r="31676">
      <c r="A31676" s="4" t="s">
        <v>39876</v>
      </c>
      <c r="B31676" s="4" t="s">
        <v>39880</v>
      </c>
      <c r="C31676" s="5" t="str">
        <f>IFERROR(__xludf.DUMMYFUNCTION("GOOGLETRANSLATE(B31676,""en"",""zh-CN"")"),"侧面的一个小女孩在等待轮到时开始跳跃。")</f>
        <v>侧面的一个小女孩在等待轮到时开始跳跃。</v>
      </c>
    </row>
    <row r="31677">
      <c r="A31677" s="4" t="s">
        <v>39881</v>
      </c>
      <c r="B31677" s="6" t="s">
        <v>39882</v>
      </c>
      <c r="C31677" s="5" t="str">
        <f>IFERROR(__xludf.DUMMYFUNCTION("GOOGLETRANSLATE(B31677,""en"",""zh-CN"")"),"一个拿着泳池棒的金发男孩正在击中球桌上的球，该台球桌从黄色的胶带上切开，而一大群人则聚集在黄色胶带外面。")</f>
        <v>一个拿着泳池棒的金发男孩正在击中球桌上的球，该台球桌从黄色的胶带上切开，而一大群人则聚集在黄色胶带外面。</v>
      </c>
    </row>
    <row r="31678">
      <c r="A31678" s="4" t="s">
        <v>39881</v>
      </c>
      <c r="B31678" s="6" t="s">
        <v>39883</v>
      </c>
      <c r="C31678" s="5" t="str">
        <f>IFERROR(__xludf.DUMMYFUNCTION("GOOGLETRANSLATE(B31678,""en"",""zh-CN"")"),"这个男孩从台球桌下抓住了另一根棍子，将其放在桌子上，粉笔，然后成功地将球撞到了洞中，尽管一个女人试图分散他的注意力。")</f>
        <v>这个男孩从台球桌下抓住了另一根棍子，将其放在桌子上，粉笔，然后成功地将球撞到了洞中，尽管一个女人试图分散他的注意力。</v>
      </c>
    </row>
    <row r="31679">
      <c r="A31679" s="4" t="s">
        <v>39881</v>
      </c>
      <c r="B31679" s="6" t="s">
        <v>39884</v>
      </c>
      <c r="C31679" s="5" t="str">
        <f>IFERROR(__xludf.DUMMYFUNCTION("GOOGLETRANSLATE(B31679,""en"",""zh-CN"")"),"这个男孩在桌子上走来走去，继续将剩下的球撞到孔中，人群为他加油打气，他四处走动，给每个人都击败了五个。")</f>
        <v>这个男孩在桌子上走来走去，继续将剩下的球撞到孔中，人群为他加油打气，他四处走动，给每个人都击败了五个。</v>
      </c>
    </row>
    <row r="31680">
      <c r="A31680" s="4" t="s">
        <v>39881</v>
      </c>
      <c r="B31680" s="6" t="s">
        <v>39885</v>
      </c>
      <c r="C31680" s="5" t="str">
        <f>IFERROR(__xludf.DUMMYFUNCTION("GOOGLETRANSLATE(B31680,""en"",""zh-CN"")"),"这个男孩拥抱那个试图整个时间都分散他的女人，他把棍子放下了，她再次拥抱了他。")</f>
        <v>这个男孩拥抱那个试图整个时间都分散他的女人，他把棍子放下了，她再次拥抱了他。</v>
      </c>
    </row>
    <row r="31681">
      <c r="A31681" s="4" t="s">
        <v>39881</v>
      </c>
      <c r="B31681" s="6" t="s">
        <v>39886</v>
      </c>
      <c r="C31681" s="5" t="str">
        <f>IFERROR(__xludf.DUMMYFUNCTION("GOOGLETRANSLATE(B31681,""en"",""zh-CN"")"),"出现了一个黑屏，屏幕上的白色单词说“黑寡妇Jeanette Lee Worlds最佳女泳池演奏者A Ron Hawks视频”。")</f>
        <v>出现了一个黑屏，屏幕上的白色单词说“黑寡妇Jeanette Lee Worlds最佳女泳池演奏者A Ron Hawks视频”。</v>
      </c>
    </row>
    <row r="31682">
      <c r="A31682" s="4" t="s">
        <v>39887</v>
      </c>
      <c r="B31682" s="4" t="s">
        <v>39888</v>
      </c>
      <c r="C31682" s="5" t="str">
        <f>IFERROR(__xludf.DUMMYFUNCTION("GOOGLETRANSLATE(B31682,""en"",""zh-CN"")"),"一个穿着所有白色的男人在户外与不同的男人作战，并非常用力打他们。")</f>
        <v>一个穿着所有白色的男人在户外与不同的男人作战，并非常用力打他们。</v>
      </c>
    </row>
    <row r="31683">
      <c r="A31683" s="4" t="s">
        <v>39887</v>
      </c>
      <c r="B31683" s="6" t="s">
        <v>39889</v>
      </c>
      <c r="C31683" s="5" t="str">
        <f>IFERROR(__xludf.DUMMYFUNCTION("GOOGLETRANSLATE(B31683,""en"",""zh-CN"")"),"太极拳与他的网站以及其他各种网站图标一起位于右下方。")</f>
        <v>太极拳与他的网站以及其他各种网站图标一起位于右下方。</v>
      </c>
    </row>
    <row r="31684">
      <c r="A31684" s="4" t="s">
        <v>39887</v>
      </c>
      <c r="B31684" s="6" t="s">
        <v>39890</v>
      </c>
      <c r="C31684" s="5" t="str">
        <f>IFERROR(__xludf.DUMMYFUNCTION("GOOGLETRANSLATE(B31684,""en"",""zh-CN"")"),"那个男人然后独自一人站在户外，他仍然穿着相同的白色衣服，并用手动运动和许多面部表情非常热情地说话。")</f>
        <v>那个男人然后独自一人站在户外，他仍然穿着相同的白色衣服，并用手动运动和许多面部表情非常热情地说话。</v>
      </c>
    </row>
    <row r="31685">
      <c r="A31685" s="4" t="s">
        <v>39887</v>
      </c>
      <c r="B31685" s="6" t="s">
        <v>39891</v>
      </c>
      <c r="C31685" s="5" t="str">
        <f>IFERROR(__xludf.DUMMYFUNCTION("GOOGLETRANSLATE(B31685,""en"",""zh-CN"")"),"这个人再次被证明是在户外与不同的男人作战，他似乎正在赢得每场战斗。")</f>
        <v>这个人再次被证明是在户外与不同的男人作战，他似乎正在赢得每场战斗。</v>
      </c>
    </row>
    <row r="31686">
      <c r="A31686" s="4" t="s">
        <v>39887</v>
      </c>
      <c r="B31686" s="6" t="s">
        <v>39892</v>
      </c>
      <c r="C31686" s="5" t="str">
        <f>IFERROR(__xludf.DUMMYFUNCTION("GOOGLETRANSLATE(B31686,""en"",""zh-CN"")"),"在这一轮战斗之后，这个人再次对许多手动和面部表情充满热情地交谈。")</f>
        <v>在这一轮战斗之后，这个人再次对许多手动和面部表情充满热情地交谈。</v>
      </c>
    </row>
    <row r="31687">
      <c r="A31687" s="4" t="s">
        <v>39887</v>
      </c>
      <c r="B31687" s="6" t="s">
        <v>39893</v>
      </c>
      <c r="C31687" s="5" t="str">
        <f>IFERROR(__xludf.DUMMYFUNCTION("GOOGLETRANSLATE(B31687,""en"",""zh-CN"")"),"然后，该男子回到与户外活动的不同男子的更多战斗，在那里他继续击打和偶尔踢球。")</f>
        <v>然后，该男子回到与户外活动的不同男子的更多战斗，在那里他继续击打和偶尔踢球。</v>
      </c>
    </row>
    <row r="31688">
      <c r="A31688" s="4" t="s">
        <v>39887</v>
      </c>
      <c r="B31688" s="6" t="s">
        <v>39894</v>
      </c>
      <c r="C31688" s="5" t="str">
        <f>IFERROR(__xludf.DUMMYFUNCTION("GOOGLETRANSLATE(B31688,""en"",""zh-CN"")"),"最后，这个男人再次表现出对手动动作和许多面部表情的热情说话，周围的人在屏幕上覆盖了他的YouTube频道，以及他的Tai Chi Combat网站。")</f>
        <v>最后，这个男人再次表现出对手动动作和许多面部表情的热情说话，周围的人在屏幕上覆盖了他的YouTube频道，以及他的Tai Chi Combat网站。</v>
      </c>
    </row>
    <row r="31689">
      <c r="A31689" s="4" t="s">
        <v>39895</v>
      </c>
      <c r="B31689" s="4" t="s">
        <v>39896</v>
      </c>
      <c r="C31689" s="5" t="str">
        <f>IFERROR(__xludf.DUMMYFUNCTION("GOOGLETRANSLATE(B31689,""en"",""zh-CN"")"),"一个穿着霓虹外套的男人正在驾驶窗外的棍子上的相机驾驶汽车。")</f>
        <v>一个穿着霓虹外套的男人正在驾驶窗外的棍子上的相机驾驶汽车。</v>
      </c>
    </row>
    <row r="31690">
      <c r="A31690" s="4" t="s">
        <v>39895</v>
      </c>
      <c r="B31690" s="4" t="s">
        <v>39897</v>
      </c>
      <c r="C31690" s="5" t="str">
        <f>IFERROR(__xludf.DUMMYFUNCTION("GOOGLETRANSLATE(B31690,""en"",""zh-CN"")"),"他迅速在雪地上开车，在记录自己时大笑。")</f>
        <v>他迅速在雪地上开车，在记录自己时大笑。</v>
      </c>
    </row>
    <row r="31691">
      <c r="A31691" s="4" t="s">
        <v>39895</v>
      </c>
      <c r="B31691" s="4" t="s">
        <v>39898</v>
      </c>
      <c r="C31691" s="5" t="str">
        <f>IFERROR(__xludf.DUMMYFUNCTION("GOOGLETRANSLATE(B31691,""en"",""zh-CN"")"),"他和他的乘客站在一个白雪皑皑的土墩上，记录下来时旋转。")</f>
        <v>他和他的乘客站在一个白雪皑皑的土墩上，记录下来时旋转。</v>
      </c>
    </row>
    <row r="31692">
      <c r="A31692" s="4" t="s">
        <v>39895</v>
      </c>
      <c r="B31692" s="4" t="s">
        <v>39899</v>
      </c>
      <c r="C31692" s="5" t="str">
        <f>IFERROR(__xludf.DUMMYFUNCTION("GOOGLETRANSLATE(B31692,""en"",""zh-CN"")"),"然后，他们使用锯子在雪中切道。")</f>
        <v>然后，他们使用锯子在雪中切道。</v>
      </c>
    </row>
    <row r="31693">
      <c r="A31693" s="4" t="s">
        <v>39895</v>
      </c>
      <c r="B31693" s="4" t="s">
        <v>39900</v>
      </c>
      <c r="C31693" s="5" t="str">
        <f>IFERROR(__xludf.DUMMYFUNCTION("GOOGLETRANSLATE(B31693,""en"",""zh-CN"")"),"他们在冷冻水路上滑水。")</f>
        <v>他们在冷冻水路上滑水。</v>
      </c>
    </row>
    <row r="31694">
      <c r="A31694" s="4" t="s">
        <v>39901</v>
      </c>
      <c r="B31694" s="4" t="s">
        <v>39902</v>
      </c>
      <c r="C31694" s="5" t="str">
        <f>IFERROR(__xludf.DUMMYFUNCTION("GOOGLETRANSLATE(B31694,""en"",""zh-CN"")"),"一个人用纸巾清洁一个极脏的水槽。")</f>
        <v>一个人用纸巾清洁一个极脏的水槽。</v>
      </c>
    </row>
    <row r="31695">
      <c r="A31695" s="4" t="s">
        <v>39901</v>
      </c>
      <c r="B31695" s="4" t="s">
        <v>39903</v>
      </c>
      <c r="C31695" s="5" t="str">
        <f>IFERROR(__xludf.DUMMYFUNCTION("GOOGLETRANSLATE(B31695,""en"",""zh-CN"")"),"标题是Tubotowels，出现在屏幕上。")</f>
        <v>标题是Tubotowels，出现在屏幕上。</v>
      </c>
    </row>
    <row r="31696">
      <c r="A31696" s="4" t="s">
        <v>39904</v>
      </c>
      <c r="B31696" s="4" t="s">
        <v>39905</v>
      </c>
      <c r="C31696" s="5" t="str">
        <f>IFERROR(__xludf.DUMMYFUNCTION("GOOGLETRANSLATE(B31696,""en"",""zh-CN"")"),"一个白人的年轻人在舞台跳舞。")</f>
        <v>一个白人的年轻人在舞台跳舞。</v>
      </c>
    </row>
    <row r="31697">
      <c r="A31697" s="4" t="s">
        <v>39904</v>
      </c>
      <c r="B31697" s="4" t="s">
        <v>39906</v>
      </c>
      <c r="C31697" s="5" t="str">
        <f>IFERROR(__xludf.DUMMYFUNCTION("GOOGLETRANSLATE(B31697,""en"",""zh-CN"")"),"其他男人在背景中跳舞。")</f>
        <v>其他男人在背景中跳舞。</v>
      </c>
    </row>
    <row r="31698">
      <c r="A31698" s="4" t="s">
        <v>39904</v>
      </c>
      <c r="B31698" s="4" t="s">
        <v>39907</v>
      </c>
      <c r="C31698" s="5" t="str">
        <f>IFERROR(__xludf.DUMMYFUNCTION("GOOGLETRANSLATE(B31698,""en"",""zh-CN"")"),"一个较小的男孩在舞台上奔跑，困惑。")</f>
        <v>一个较小的男孩在舞台上奔跑，困惑。</v>
      </c>
    </row>
    <row r="31699">
      <c r="A31699" s="4" t="s">
        <v>39904</v>
      </c>
      <c r="B31699" s="4" t="s">
        <v>39908</v>
      </c>
      <c r="C31699" s="5" t="str">
        <f>IFERROR(__xludf.DUMMYFUNCTION("GOOGLETRANSLATE(B31699,""en"",""zh-CN"")"),"一个带有麦克风的男人与小孩子说话。")</f>
        <v>一个带有麦克风的男人与小孩子说话。</v>
      </c>
    </row>
    <row r="31700">
      <c r="A31700" s="4" t="s">
        <v>39904</v>
      </c>
      <c r="B31700" s="4" t="s">
        <v>39909</v>
      </c>
      <c r="C31700" s="5" t="str">
        <f>IFERROR(__xludf.DUMMYFUNCTION("GOOGLETRANSLATE(B31700,""en"",""zh-CN"")"),"小男孩开始跳舞。")</f>
        <v>小男孩开始跳舞。</v>
      </c>
    </row>
    <row r="31701">
      <c r="A31701" s="4" t="s">
        <v>39904</v>
      </c>
      <c r="B31701" s="4" t="s">
        <v>39910</v>
      </c>
      <c r="C31701" s="5" t="str">
        <f>IFERROR(__xludf.DUMMYFUNCTION("GOOGLETRANSLATE(B31701,""en"",""zh-CN"")"),"舞台上的每个人都停止跳舞。")</f>
        <v>舞台上的每个人都停止跳舞。</v>
      </c>
    </row>
    <row r="31702">
      <c r="A31702" s="4" t="s">
        <v>39904</v>
      </c>
      <c r="B31702" s="4" t="s">
        <v>39911</v>
      </c>
      <c r="C31702" s="5" t="str">
        <f>IFERROR(__xludf.DUMMYFUNCTION("GOOGLETRANSLATE(B31702,""en"",""zh-CN"")"),"男人指向歌手。")</f>
        <v>男人指向歌手。</v>
      </c>
    </row>
    <row r="31703">
      <c r="A31703" s="4" t="s">
        <v>39904</v>
      </c>
      <c r="B31703" s="4" t="s">
        <v>39912</v>
      </c>
      <c r="C31703" s="5" t="str">
        <f>IFERROR(__xludf.DUMMYFUNCTION("GOOGLETRANSLATE(B31703,""en"",""zh-CN"")"),"红色的歌手开始跳舞。")</f>
        <v>红色的歌手开始跳舞。</v>
      </c>
    </row>
    <row r="31704">
      <c r="A31704" s="4" t="s">
        <v>39913</v>
      </c>
      <c r="B31704" s="6" t="s">
        <v>39914</v>
      </c>
      <c r="C31704" s="5" t="str">
        <f>IFERROR(__xludf.DUMMYFUNCTION("GOOGLETRANSLATE(B31704,""en"",""zh-CN"")"),"黄色布，黄色和绿色的海绵，以及一个带有银排水器的浅水槽的柜台上的CIF奶油清洁剂。")</f>
        <v>黄色布，黄色和绿色的海绵，以及一个带有银排水器的浅水槽的柜台上的CIF奶油清洁剂。</v>
      </c>
    </row>
    <row r="31705">
      <c r="A31705" s="4" t="s">
        <v>39913</v>
      </c>
      <c r="B31705" s="6" t="s">
        <v>39915</v>
      </c>
      <c r="C31705" s="5" t="str">
        <f>IFERROR(__xludf.DUMMYFUNCTION("GOOGLETRANSLATE(B31705,""en"",""zh-CN"")"),"一只手倒入一滴CIF奶油，用海绵的绿色侧擦拭，用圆形运动擦拭，然后用黄色布擦拭柜台。")</f>
        <v>一只手倒入一滴CIF奶油，用海绵的绿色侧擦拭，用圆形运动擦拭，然后用黄色布擦拭柜台。</v>
      </c>
    </row>
    <row r="31706">
      <c r="A31706" s="4" t="s">
        <v>39916</v>
      </c>
      <c r="B31706" s="4" t="s">
        <v>39917</v>
      </c>
      <c r="C31706" s="5" t="str">
        <f>IFERROR(__xludf.DUMMYFUNCTION("GOOGLETRANSLATE(B31706,""en"",""zh-CN"")"),"一个人在野餐桌旁准备补给品，然后放下一张。")</f>
        <v>一个人在野餐桌旁准备补给品，然后放下一张。</v>
      </c>
    </row>
    <row r="31707">
      <c r="A31707" s="4" t="s">
        <v>39916</v>
      </c>
      <c r="B31707" s="4" t="s">
        <v>39918</v>
      </c>
      <c r="C31707" s="5" t="str">
        <f>IFERROR(__xludf.DUMMYFUNCTION("GOOGLETRANSLATE(B31707,""en"",""zh-CN"")"),"该男子将较轻的液体倒入营地火环中。")</f>
        <v>该男子将较轻的液体倒入营地火环中。</v>
      </c>
    </row>
    <row r="31708">
      <c r="A31708" s="4" t="s">
        <v>39916</v>
      </c>
      <c r="B31708" s="4" t="s">
        <v>39919</v>
      </c>
      <c r="C31708" s="5" t="str">
        <f>IFERROR(__xludf.DUMMYFUNCTION("GOOGLETRANSLATE(B31708,""en"",""zh-CN"")"),"该男子取回的比赛落在火上，并在火焰中爆发。")</f>
        <v>该男子取回的比赛落在火上，并在火焰中爆发。</v>
      </c>
    </row>
    <row r="31709">
      <c r="A31709" s="4" t="s">
        <v>39920</v>
      </c>
      <c r="B31709" s="6" t="s">
        <v>39921</v>
      </c>
      <c r="C31709" s="5" t="str">
        <f>IFERROR(__xludf.DUMMYFUNCTION("GOOGLETRANSLATE(B31709,""en"",""zh-CN"")"),"一群穿着雪地齿轮的人在雪地覆盖的雪地上显示雪地登机，并在绿色外套上显示了特定的雪地板的视觉重点。")</f>
        <v>一群穿着雪地齿轮的人在雪地覆盖的雪地上显示雪地登机，并在绿色外套上显示了特定的雪地板的视觉重点。</v>
      </c>
    </row>
    <row r="31710">
      <c r="A31710" s="4" t="s">
        <v>39920</v>
      </c>
      <c r="B31710" s="6" t="s">
        <v>39922</v>
      </c>
      <c r="C31710" s="5" t="str">
        <f>IFERROR(__xludf.DUMMYFUNCTION("GOOGLETRANSLATE(B31710,""en"",""zh-CN"")"),"一个穿着绿色外套的男人雪雪橇在许多表面上，斜坡上下斜坡上，当他经过其他雪雪橇时，却被裸露的棕色叶子包围着，雪覆盖了屋顶和山丘。")</f>
        <v>一个穿着绿色外套的男人雪雪橇在许多表面上，斜坡上下斜坡上，当他经过其他雪雪橇时，却被裸露的棕色叶子包围着，雪覆盖了屋顶和山丘。</v>
      </c>
    </row>
    <row r="31711">
      <c r="A31711" s="4" t="s">
        <v>39920</v>
      </c>
      <c r="B31711" s="6" t="s">
        <v>39923</v>
      </c>
      <c r="C31711" s="5" t="str">
        <f>IFERROR(__xludf.DUMMYFUNCTION("GOOGLETRANSLATE(B31711,""en"",""zh-CN"")"),"当人滑雪板时，他经过的一个人跌倒并打破了他的雪橇，其他几个滑雪者在滑雪板时表现出戏法，包括从高架平台上登上雪，并在他们的雪板上跳动。")</f>
        <v>当人滑雪板时，他经过的一个人跌倒并打破了他的雪橇，其他几个滑雪者在滑雪板时表现出戏法，包括从高架平台上登上雪，并在他们的雪板上跳动。</v>
      </c>
    </row>
    <row r="31712">
      <c r="A31712" s="4" t="s">
        <v>39924</v>
      </c>
      <c r="B31712" s="4" t="s">
        <v>39925</v>
      </c>
      <c r="C31712" s="5" t="str">
        <f>IFERROR(__xludf.DUMMYFUNCTION("GOOGLETRANSLATE(B31712,""en"",""zh-CN"")"),"一个小男孩拖着木坡道，赤脚，户外，带有迷你拖把和水桶的水。")</f>
        <v>一个小男孩拖着木坡道，赤脚，户外，带有迷你拖把和水桶的水。</v>
      </c>
    </row>
    <row r="31713">
      <c r="A31713" s="4" t="s">
        <v>39924</v>
      </c>
      <c r="B31713" s="6" t="s">
        <v>39926</v>
      </c>
      <c r="C31713" s="5" t="str">
        <f>IFERROR(__xludf.DUMMYFUNCTION("GOOGLETRANSLATE(B31713,""en"",""zh-CN"")"),"一个小男孩站在外面，没有衬衫，赤脚和牛仔裤，拖将木制坡道和黄色迷你拖把。")</f>
        <v>一个小男孩站在外面，没有衬衫，赤脚和牛仔裤，拖将木制坡道和黄色迷你拖把。</v>
      </c>
    </row>
    <row r="31714">
      <c r="A31714" s="4" t="s">
        <v>39924</v>
      </c>
      <c r="B31714" s="4" t="s">
        <v>39927</v>
      </c>
      <c r="C31714" s="5" t="str">
        <f>IFERROR(__xludf.DUMMYFUNCTION("GOOGLETRANSLATE(B31714,""en"",""zh-CN"")"),"一段时间后，男孩将拖把浸在水中，并继续拖曳坡道。")</f>
        <v>一段时间后，男孩将拖把浸在水中，并继续拖曳坡道。</v>
      </c>
    </row>
    <row r="31715">
      <c r="A31715" s="4" t="s">
        <v>39928</v>
      </c>
      <c r="B31715" s="4" t="s">
        <v>39929</v>
      </c>
      <c r="C31715" s="5" t="str">
        <f>IFERROR(__xludf.DUMMYFUNCTION("GOOGLETRANSLATE(B31715,""en"",""zh-CN"")"),"一个新闻女子在新闻室里说话。")</f>
        <v>一个新闻女子在新闻室里说话。</v>
      </c>
    </row>
    <row r="31716">
      <c r="A31716" s="4" t="s">
        <v>39928</v>
      </c>
      <c r="B31716" s="6" t="s">
        <v>39930</v>
      </c>
      <c r="C31716" s="5" t="str">
        <f>IFERROR(__xludf.DUMMYFUNCTION("GOOGLETRANSLATE(B31716,""en"",""zh-CN"")"),"在舞台上显示了几个专业舞者在舞台上跳舞和表演芭蕾舞，而女性偶尔会向相机讲话。")</f>
        <v>在舞台上显示了几个专业舞者在舞台上跳舞和表演芭蕾舞，而女性偶尔会向相机讲话。</v>
      </c>
    </row>
    <row r="31717">
      <c r="A31717" s="4" t="s">
        <v>39928</v>
      </c>
      <c r="B31717" s="6" t="s">
        <v>39931</v>
      </c>
      <c r="C31717" s="5" t="str">
        <f>IFERROR(__xludf.DUMMYFUNCTION("GOOGLETRANSLATE(B31717,""en"",""zh-CN"")"),"在演出后，看到她走出去看一个充满人的房间并举行新闻发布会。")</f>
        <v>在演出后，看到她走出去看一个充满人的房间并举行新闻发布会。</v>
      </c>
    </row>
    <row r="31718">
      <c r="A31718" s="4" t="s">
        <v>39928</v>
      </c>
      <c r="B31718" s="4" t="s">
        <v>39932</v>
      </c>
      <c r="C31718" s="5" t="str">
        <f>IFERROR(__xludf.DUMMYFUNCTION("GOOGLETRANSLATE(B31718,""en"",""zh-CN"")"),"最后显示了三个女性的海报。")</f>
        <v>最后显示了三个女性的海报。</v>
      </c>
    </row>
    <row r="31719">
      <c r="A31719" s="4" t="s">
        <v>39933</v>
      </c>
      <c r="B31719" s="4" t="s">
        <v>39934</v>
      </c>
      <c r="C31719" s="5" t="str">
        <f>IFERROR(__xludf.DUMMYFUNCTION("GOOGLETRANSLATE(B31719,""en"",""zh-CN"")"),"一个男人在他面前的木板上划船板。")</f>
        <v>一个男人在他面前的木板上划船板。</v>
      </c>
    </row>
    <row r="31720">
      <c r="A31720" s="4" t="s">
        <v>39933</v>
      </c>
      <c r="B31720" s="4" t="s">
        <v>39935</v>
      </c>
      <c r="C31720" s="5" t="str">
        <f>IFERROR(__xludf.DUMMYFUNCTION("GOOGLETRANSLATE(B31720,""en"",""zh-CN"")"),"他暂时将婴儿提升到站立姿势。")</f>
        <v>他暂时将婴儿提升到站立姿势。</v>
      </c>
    </row>
    <row r="31721">
      <c r="A31721" s="4" t="s">
        <v>39933</v>
      </c>
      <c r="B31721" s="4" t="s">
        <v>39936</v>
      </c>
      <c r="C31721" s="5" t="str">
        <f>IFERROR(__xludf.DUMMYFUNCTION("GOOGLETRANSLATE(B31721,""en"",""zh-CN"")"),"一个女人向男人和婴儿移动。")</f>
        <v>一个女人向男人和婴儿移动。</v>
      </c>
    </row>
    <row r="31722">
      <c r="A31722" s="4" t="s">
        <v>39933</v>
      </c>
      <c r="B31722" s="4" t="s">
        <v>39937</v>
      </c>
      <c r="C31722" s="5" t="str">
        <f>IFERROR(__xludf.DUMMYFUNCTION("GOOGLETRANSLATE(B31722,""en"",""zh-CN"")"),"该男子暂时将婴儿抬到站立的位置。")</f>
        <v>该男子暂时将婴儿抬到站立的位置。</v>
      </c>
    </row>
    <row r="31723">
      <c r="A31723" s="4" t="s">
        <v>39933</v>
      </c>
      <c r="B31723" s="4" t="s">
        <v>39938</v>
      </c>
      <c r="C31723" s="5" t="str">
        <f>IFERROR(__xludf.DUMMYFUNCTION("GOOGLETRANSLATE(B31723,""en"",""zh-CN"")"),"该男子暂时将婴儿抬到站立的位置。")</f>
        <v>该男子暂时将婴儿抬到站立的位置。</v>
      </c>
    </row>
    <row r="31724">
      <c r="A31724" s="4" t="s">
        <v>39939</v>
      </c>
      <c r="B31724" s="4" t="s">
        <v>39940</v>
      </c>
      <c r="C31724" s="5" t="str">
        <f>IFERROR(__xludf.DUMMYFUNCTION("GOOGLETRANSLATE(B31724,""en"",""zh-CN"")"),"当他与镜头交谈时，穿着棕色衬衫的男人正站在一堆网球旁边。")</f>
        <v>当他与镜头交谈时，穿着棕色衬衫的男人正站在一堆网球旁边。</v>
      </c>
    </row>
    <row r="31725">
      <c r="A31725" s="4" t="s">
        <v>39939</v>
      </c>
      <c r="B31725" s="4" t="s">
        <v>39941</v>
      </c>
      <c r="C31725" s="5" t="str">
        <f>IFERROR(__xludf.DUMMYFUNCTION("GOOGLETRANSLATE(B31725,""en"",""zh-CN"")"),"他和另一个人打网球。")</f>
        <v>他和另一个人打网球。</v>
      </c>
    </row>
    <row r="31726">
      <c r="A31726" s="4" t="s">
        <v>39939</v>
      </c>
      <c r="B31726" s="4" t="s">
        <v>39942</v>
      </c>
      <c r="C31726" s="5" t="str">
        <f>IFERROR(__xludf.DUMMYFUNCTION("GOOGLETRANSLATE(B31726,""en"",""zh-CN"")"),"当黑人击中球的同时，穿着紫色衬衫的男子将球送给球。")</f>
        <v>当黑人击中球的同时，穿着紫色衬衫的男子将球送给球。</v>
      </c>
    </row>
    <row r="31727">
      <c r="A31727" s="4" t="s">
        <v>39943</v>
      </c>
      <c r="B31727" s="4" t="s">
        <v>39944</v>
      </c>
      <c r="C31727" s="5" t="str">
        <f>IFERROR(__xludf.DUMMYFUNCTION("GOOGLETRANSLATE(B31727,""en"",""zh-CN"")"),"女人给了一个头发教程。")</f>
        <v>女人给了一个头发教程。</v>
      </c>
    </row>
    <row r="31728">
      <c r="A31728" s="4" t="s">
        <v>39943</v>
      </c>
      <c r="B31728" s="4" t="s">
        <v>39945</v>
      </c>
      <c r="C31728" s="5" t="str">
        <f>IFERROR(__xludf.DUMMYFUNCTION("GOOGLETRANSLATE(B31728,""en"",""zh-CN"")"),"那个女人绑着头发并准备好看起来更好。")</f>
        <v>那个女人绑着头发并准备好看起来更好。</v>
      </c>
    </row>
    <row r="31729">
      <c r="A31729" s="4" t="s">
        <v>39946</v>
      </c>
      <c r="B31729" s="6" t="s">
        <v>39947</v>
      </c>
      <c r="C31729" s="5" t="str">
        <f>IFERROR(__xludf.DUMMYFUNCTION("GOOGLETRANSLATE(B31729,""en"",""zh-CN"")"),"屏幕上有MMXIV超亮石收集单词的水上板上的一个人的特殊效果介绍。")</f>
        <v>屏幕上有MMXIV超亮石收集单词的水上板上的一个人的特殊效果介绍。</v>
      </c>
    </row>
    <row r="31730">
      <c r="A31730" s="4" t="s">
        <v>39946</v>
      </c>
      <c r="B31730" s="6" t="s">
        <v>39948</v>
      </c>
      <c r="C31730" s="5" t="str">
        <f>IFERROR(__xludf.DUMMYFUNCTION("GOOGLETRANSLATE(B31730,""en"",""zh-CN"")"),"几个男人出现在湖边，然后一系列不同的夹子和水板上的男人接一个地玩耍，因为他们都迅速在水上供水，有些人在握住绳索的同时进行了翻转。")</f>
        <v>几个男人出现在湖边，然后一系列不同的夹子和水板上的男人接一个地玩耍，因为他们都迅速在水上供水，有些人在握住绳索的同时进行了翻转。</v>
      </c>
    </row>
    <row r="31731">
      <c r="A31731" s="4" t="s">
        <v>39946</v>
      </c>
      <c r="B31731" s="4" t="s">
        <v>39949</v>
      </c>
      <c r="C31731" s="5" t="str">
        <f>IFERROR(__xludf.DUMMYFUNCTION("GOOGLETRANSLATE(B31731,""en"",""zh-CN"")"),"一名穿着粉红色短裤的女人也出现了，她也被短暂地显示了水上登机。")</f>
        <v>一名穿着粉红色短裤的女人也出现了，她也被短暂地显示了水上登机。</v>
      </c>
    </row>
    <row r="31732">
      <c r="A31732" s="4" t="s">
        <v>39946</v>
      </c>
      <c r="B31732" s="6" t="s">
        <v>39950</v>
      </c>
      <c r="C31732" s="5" t="str">
        <f>IFERROR(__xludf.DUMMYFUNCTION("GOOGLETRANSLATE(B31732,""en"",""zh-CN"")"),"现在，一个男人坐在船上，而一架大型遥控飞机正向他飞行，一个站立的人迅速抓住它，然后它撞到了坐着的人的脸，坐着的人转向相机，使震惊而震惊看着他的脸。")</f>
        <v>现在，一个男人坐在船上，而一架大型遥控飞机正向他飞行，一个站立的人迅速抓住它，然后它撞到了坐着的人的脸，坐着的人转向相机，使震惊而震惊看着他的脸。</v>
      </c>
    </row>
    <row r="31733">
      <c r="A31733" s="4" t="s">
        <v>39946</v>
      </c>
      <c r="B31733" s="6" t="s">
        <v>39951</v>
      </c>
      <c r="C31733" s="5" t="str">
        <f>IFERROR(__xludf.DUMMYFUNCTION("GOOGLETRANSLATE(B31733,""en"",""zh-CN"")"),"各个人的剪辑再次出现，他们都站在木板上并进行跳跃，翻转和其他技巧时仍在握住绳索。")</f>
        <v>各个人的剪辑再次出现，他们都站在木板上并进行跳跃，翻转和其他技巧时仍在握住绳索。</v>
      </c>
    </row>
    <row r="31734">
      <c r="A31734" s="4" t="s">
        <v>39946</v>
      </c>
      <c r="B31734" s="4" t="s">
        <v>39952</v>
      </c>
      <c r="C31734" s="5" t="str">
        <f>IFERROR(__xludf.DUMMYFUNCTION("GOOGLETRANSLATE(B31734,""en"",""zh-CN"")"),"拆卸剪辑开始，类似于介绍。")</f>
        <v>拆卸剪辑开始，类似于介绍。</v>
      </c>
    </row>
    <row r="31735">
      <c r="A31735" s="4" t="s">
        <v>39953</v>
      </c>
      <c r="B31735" s="4" t="s">
        <v>39954</v>
      </c>
      <c r="C31735" s="5" t="str">
        <f>IFERROR(__xludf.DUMMYFUNCTION("GOOGLETRANSLATE(B31735,""en"",""zh-CN"")"),"一个人在展示布上解释了一种程序夹布和清洁材料。")</f>
        <v>一个人在展示布上解释了一种程序夹布和清洁材料。</v>
      </c>
    </row>
    <row r="31736">
      <c r="A31736" s="4" t="s">
        <v>39953</v>
      </c>
      <c r="B31736" s="6" t="s">
        <v>39955</v>
      </c>
      <c r="C31736" s="5" t="str">
        <f>IFERROR(__xludf.DUMMYFUNCTION("GOOGLETRANSLATE(B31736,""en"",""zh-CN"")"),"之后，该人接近窗户并开始清理瞬间，然后继续解释。")</f>
        <v>之后，该人接近窗户并开始清理瞬间，然后继续解释。</v>
      </c>
    </row>
    <row r="31737">
      <c r="A31737" s="4" t="s">
        <v>39956</v>
      </c>
      <c r="B31737" s="4" t="s">
        <v>1487</v>
      </c>
      <c r="C31737" s="5" t="str">
        <f>IFERROR(__xludf.DUMMYFUNCTION("GOOGLETRANSLATE(B31737,""en"",""zh-CN"")"),"我们看到一个开放标题屏幕。")</f>
        <v>我们看到一个开放标题屏幕。</v>
      </c>
    </row>
    <row r="31738">
      <c r="A31738" s="4" t="s">
        <v>39956</v>
      </c>
      <c r="B31738" s="4" t="s">
        <v>39957</v>
      </c>
      <c r="C31738" s="5" t="str">
        <f>IFERROR(__xludf.DUMMYFUNCTION("GOOGLETRANSLATE(B31738,""en"",""zh-CN"")"),"一位女士坐在桌子上，上面有鞋子，水，盐，刷子和毛巾。")</f>
        <v>一位女士坐在桌子上，上面有鞋子，水，盐，刷子和毛巾。</v>
      </c>
    </row>
    <row r="31739">
      <c r="A31739" s="4" t="s">
        <v>39956</v>
      </c>
      <c r="B31739" s="4" t="s">
        <v>39958</v>
      </c>
      <c r="C31739" s="5" t="str">
        <f>IFERROR(__xludf.DUMMYFUNCTION("GOOGLETRANSLATE(B31739,""en"",""zh-CN"")"),"女士将其盐分放入水，然后浸入刷子，然后刷鞋子。")</f>
        <v>女士将其盐分放入水，然后浸入刷子，然后刷鞋子。</v>
      </c>
    </row>
    <row r="31740">
      <c r="A31740" s="4" t="s">
        <v>39956</v>
      </c>
      <c r="B31740" s="4" t="s">
        <v>39959</v>
      </c>
      <c r="C31740" s="5" t="str">
        <f>IFERROR(__xludf.DUMMYFUNCTION("GOOGLETRANSLATE(B31740,""en"",""zh-CN"")"),"女士用毛巾擦拭鞋子，然后与镜头交谈。")</f>
        <v>女士用毛巾擦拭鞋子，然后与镜头交谈。</v>
      </c>
    </row>
    <row r="31741">
      <c r="A31741" s="4" t="s">
        <v>39956</v>
      </c>
      <c r="B31741" s="4" t="s">
        <v>39960</v>
      </c>
      <c r="C31741" s="5" t="str">
        <f>IFERROR(__xludf.DUMMYFUNCTION("GOOGLETRANSLATE(B31741,""en"",""zh-CN"")"),"我们看到一个结尾标题屏幕。")</f>
        <v>我们看到一个结尾标题屏幕。</v>
      </c>
    </row>
    <row r="31742">
      <c r="A31742" s="4" t="s">
        <v>39961</v>
      </c>
      <c r="B31742" s="4" t="s">
        <v>39962</v>
      </c>
      <c r="C31742" s="5" t="str">
        <f>IFERROR(__xludf.DUMMYFUNCTION("GOOGLETRANSLATE(B31742,""en"",""zh-CN"")"),"狗在外面洗澡。")</f>
        <v>狗在外面洗澡。</v>
      </c>
    </row>
    <row r="31743">
      <c r="A31743" s="4" t="s">
        <v>39961</v>
      </c>
      <c r="B31743" s="4" t="s">
        <v>39963</v>
      </c>
      <c r="C31743" s="5" t="str">
        <f>IFERROR(__xludf.DUMMYFUNCTION("GOOGLETRANSLATE(B31743,""en"",""zh-CN"")"),"肥皂是通过外套工作的，然后被洗净了。")</f>
        <v>肥皂是通过外套工作的，然后被洗净了。</v>
      </c>
    </row>
    <row r="31744">
      <c r="A31744" s="4" t="s">
        <v>39964</v>
      </c>
      <c r="B31744" s="4" t="s">
        <v>39965</v>
      </c>
      <c r="C31744" s="5" t="str">
        <f>IFERROR(__xludf.DUMMYFUNCTION("GOOGLETRANSLATE(B31744,""en"",""zh-CN"")"),"有一个光着膀子的男人在森林里穿着牛仔牛仔裤。")</f>
        <v>有一个光着膀子的男人在森林里穿着牛仔牛仔裤。</v>
      </c>
    </row>
    <row r="31745">
      <c r="A31745" s="4" t="s">
        <v>39964</v>
      </c>
      <c r="B31745" s="4" t="s">
        <v>39966</v>
      </c>
      <c r="C31745" s="5" t="str">
        <f>IFERROR(__xludf.DUMMYFUNCTION("GOOGLETRANSLATE(B31745,""en"",""zh-CN"")"),"他用锤子将木头从割树皮上切碎。")</f>
        <v>他用锤子将木头从割树皮上切碎。</v>
      </c>
    </row>
    <row r="31746">
      <c r="A31746" s="4" t="s">
        <v>39964</v>
      </c>
      <c r="B31746" s="4" t="s">
        <v>39967</v>
      </c>
      <c r="C31746" s="5" t="str">
        <f>IFERROR(__xludf.DUMMYFUNCTION("GOOGLETRANSLATE(B31746,""en"",""zh-CN"")"),"他用全部力量击中切碎的木头原木。")</f>
        <v>他用全部力量击中切碎的木头原木。</v>
      </c>
    </row>
    <row r="31747">
      <c r="A31747" s="4" t="s">
        <v>39968</v>
      </c>
      <c r="B31747" s="6" t="s">
        <v>39969</v>
      </c>
      <c r="C31747" s="5" t="str">
        <f>IFERROR(__xludf.DUMMYFUNCTION("GOOGLETRANSLATE(B31747,""en"",""zh-CN"")"),"看到一小群人站在一张桌子上，里面装满了独奏杯，一个人拿着杯子。")</f>
        <v>看到一小群人站在一张桌子上，里面装满了独奏杯，一个人拿着杯子。</v>
      </c>
    </row>
    <row r="31748">
      <c r="A31748" s="4" t="s">
        <v>39968</v>
      </c>
      <c r="B31748" s="4" t="s">
        <v>39970</v>
      </c>
      <c r="C31748" s="5" t="str">
        <f>IFERROR(__xludf.DUMMYFUNCTION("GOOGLETRANSLATE(B31748,""en"",""zh-CN"")"),"然后，该男子从杯子里喝酒，然后倒在桌子上。")</f>
        <v>然后，该男子从杯子里喝酒，然后倒在桌子上。</v>
      </c>
    </row>
    <row r="31749">
      <c r="A31749" s="4" t="s">
        <v>39971</v>
      </c>
      <c r="B31749" s="4" t="s">
        <v>39972</v>
      </c>
      <c r="C31749" s="5" t="str">
        <f>IFERROR(__xludf.DUMMYFUNCTION("GOOGLETRANSLATE(B31749,""en"",""zh-CN"")"),"一个男人在停车场里铺设旱冰。")</f>
        <v>一个男人在停车场里铺设旱冰。</v>
      </c>
    </row>
    <row r="31750">
      <c r="A31750" s="4" t="s">
        <v>39971</v>
      </c>
      <c r="B31750" s="4" t="s">
        <v>39973</v>
      </c>
      <c r="C31750" s="5" t="str">
        <f>IFERROR(__xludf.DUMMYFUNCTION("GOOGLETRANSLATE(B31750,""en"",""zh-CN"")"),"他在旱冰鞋上做了几个技巧。")</f>
        <v>他在旱冰鞋上做了几个技巧。</v>
      </c>
    </row>
    <row r="31751">
      <c r="A31751" s="4" t="s">
        <v>39971</v>
      </c>
      <c r="B31751" s="4" t="s">
        <v>39974</v>
      </c>
      <c r="C31751" s="5" t="str">
        <f>IFERROR(__xludf.DUMMYFUNCTION("GOOGLETRANSLATE(B31751,""en"",""zh-CN"")"),"他在地面上做车轮。")</f>
        <v>他在地面上做车轮。</v>
      </c>
    </row>
    <row r="31752">
      <c r="A31752" s="4" t="s">
        <v>39975</v>
      </c>
      <c r="B31752" s="4" t="s">
        <v>39976</v>
      </c>
      <c r="C31752" s="5" t="str">
        <f>IFERROR(__xludf.DUMMYFUNCTION("GOOGLETRANSLATE(B31752,""en"",""zh-CN"")"),"一个男人在墙上写作。")</f>
        <v>一个男人在墙上写作。</v>
      </c>
    </row>
    <row r="31753">
      <c r="A31753" s="4" t="s">
        <v>39975</v>
      </c>
      <c r="B31753" s="4" t="s">
        <v>39977</v>
      </c>
      <c r="C31753" s="5" t="str">
        <f>IFERROR(__xludf.DUMMYFUNCTION("GOOGLETRANSLATE(B31753,""en"",""zh-CN"")"),"切换到被特色的产品。")</f>
        <v>切换到被特色的产品。</v>
      </c>
    </row>
    <row r="31754">
      <c r="A31754" s="4" t="s">
        <v>39975</v>
      </c>
      <c r="B31754" s="4" t="s">
        <v>39978</v>
      </c>
      <c r="C31754" s="5" t="str">
        <f>IFERROR(__xludf.DUMMYFUNCTION("GOOGLETRANSLATE(B31754,""en"",""zh-CN"")"),"该男子再次在墙上写作。")</f>
        <v>该男子再次在墙上写作。</v>
      </c>
    </row>
    <row r="31755">
      <c r="A31755" s="4" t="s">
        <v>39975</v>
      </c>
      <c r="B31755" s="4" t="s">
        <v>39979</v>
      </c>
      <c r="C31755" s="5" t="str">
        <f>IFERROR(__xludf.DUMMYFUNCTION("GOOGLETRANSLATE(B31755,""en"",""zh-CN"")"),"他开始应用产品。")</f>
        <v>他开始应用产品。</v>
      </c>
    </row>
    <row r="31756">
      <c r="A31756" s="4" t="s">
        <v>39975</v>
      </c>
      <c r="B31756" s="4" t="s">
        <v>39980</v>
      </c>
      <c r="C31756" s="5" t="str">
        <f>IFERROR(__xludf.DUMMYFUNCTION("GOOGLETRANSLATE(B31756,""en"",""zh-CN"")"),"再次切换到产品。")</f>
        <v>再次切换到产品。</v>
      </c>
    </row>
    <row r="31757">
      <c r="A31757" s="4" t="s">
        <v>39975</v>
      </c>
      <c r="B31757" s="4" t="s">
        <v>39981</v>
      </c>
      <c r="C31757" s="5" t="str">
        <f>IFERROR(__xludf.DUMMYFUNCTION("GOOGLETRANSLATE(B31757,""en"",""zh-CN"")"),"他在墙上写道。")</f>
        <v>他在墙上写道。</v>
      </c>
    </row>
    <row r="31758">
      <c r="A31758" s="4" t="s">
        <v>39975</v>
      </c>
      <c r="B31758" s="4" t="s">
        <v>39982</v>
      </c>
      <c r="C31758" s="5" t="str">
        <f>IFERROR(__xludf.DUMMYFUNCTION("GOOGLETRANSLATE(B31758,""en"",""zh-CN"")"),"他开始布置工具。")</f>
        <v>他开始布置工具。</v>
      </c>
    </row>
    <row r="31759">
      <c r="A31759" s="4" t="s">
        <v>39975</v>
      </c>
      <c r="B31759" s="4" t="s">
        <v>39983</v>
      </c>
      <c r="C31759" s="5" t="str">
        <f>IFERROR(__xludf.DUMMYFUNCTION("GOOGLETRANSLATE(B31759,""en"",""zh-CN"")"),"接下来，他测量和平整墙壁。")</f>
        <v>接下来，他测量和平整墙壁。</v>
      </c>
    </row>
    <row r="31760">
      <c r="A31760" s="4" t="s">
        <v>39975</v>
      </c>
      <c r="B31760" s="4" t="s">
        <v>39984</v>
      </c>
      <c r="C31760" s="5" t="str">
        <f>IFERROR(__xludf.DUMMYFUNCTION("GOOGLETRANSLATE(B31760,""en"",""zh-CN"")"),"他拿出产品，开始在墙壁上的裂缝上涂上外套。")</f>
        <v>他拿出产品，开始在墙壁上的裂缝上涂上外套。</v>
      </c>
    </row>
    <row r="31761">
      <c r="A31761" s="4" t="s">
        <v>39975</v>
      </c>
      <c r="B31761" s="4" t="s">
        <v>39985</v>
      </c>
      <c r="C31761" s="5" t="str">
        <f>IFERROR(__xludf.DUMMYFUNCTION("GOOGLETRANSLATE(B31761,""en"",""zh-CN"")"),"然后，他拿起滚筒，沿着墙壁滚动。")</f>
        <v>然后，他拿起滚筒，沿着墙壁滚动。</v>
      </c>
    </row>
    <row r="31762">
      <c r="A31762" s="4" t="s">
        <v>39975</v>
      </c>
      <c r="B31762" s="4" t="s">
        <v>39986</v>
      </c>
      <c r="C31762" s="5" t="str">
        <f>IFERROR(__xludf.DUMMYFUNCTION("GOOGLETRANSLATE(B31762,""en"",""zh-CN"")"),"接下来，他悬挂并在墙壁上涂一张白色床单。")</f>
        <v>接下来，他悬挂并在墙壁上涂一张白色床单。</v>
      </c>
    </row>
    <row r="31763">
      <c r="A31763" s="4" t="s">
        <v>39975</v>
      </c>
      <c r="B31763" s="4" t="s">
        <v>39987</v>
      </c>
      <c r="C31763" s="5" t="str">
        <f>IFERROR(__xludf.DUMMYFUNCTION("GOOGLETRANSLATE(B31763,""en"",""zh-CN"")"),"他在需要它的墙壁的不同部分中重复了该过程。")</f>
        <v>他在需要它的墙壁的不同部分中重复了该过程。</v>
      </c>
    </row>
    <row r="31764">
      <c r="A31764" s="4" t="s">
        <v>39975</v>
      </c>
      <c r="B31764" s="4" t="s">
        <v>39988</v>
      </c>
      <c r="C31764" s="5" t="str">
        <f>IFERROR(__xludf.DUMMYFUNCTION("GOOGLETRANSLATE(B31764,""en"",""zh-CN"")"),"现在他再次在墙上写作。")</f>
        <v>现在他再次在墙上写作。</v>
      </c>
    </row>
    <row r="31765">
      <c r="A31765" s="4" t="s">
        <v>39975</v>
      </c>
      <c r="B31765" s="4" t="s">
        <v>39989</v>
      </c>
      <c r="C31765" s="5" t="str">
        <f>IFERROR(__xludf.DUMMYFUNCTION("GOOGLETRANSLATE(B31765,""en"",""zh-CN"")"),"接下来，一只狗跳到墙前。")</f>
        <v>接下来，一只狗跳到墙前。</v>
      </c>
    </row>
    <row r="31766">
      <c r="A31766" s="4" t="s">
        <v>39975</v>
      </c>
      <c r="B31766" s="4" t="s">
        <v>39990</v>
      </c>
      <c r="C31766" s="5" t="str">
        <f>IFERROR(__xludf.DUMMYFUNCTION("GOOGLETRANSLATE(B31766,""en"",""zh-CN"")"),"他再次写在墙上。")</f>
        <v>他再次写在墙上。</v>
      </c>
    </row>
    <row r="31767">
      <c r="A31767" s="4" t="s">
        <v>39975</v>
      </c>
      <c r="B31767" s="4" t="s">
        <v>39991</v>
      </c>
      <c r="C31767" s="5" t="str">
        <f>IFERROR(__xludf.DUMMYFUNCTION("GOOGLETRANSLATE(B31767,""en"",""zh-CN"")"),"字母出现在产品的屏幕上。")</f>
        <v>字母出现在产品的屏幕上。</v>
      </c>
    </row>
    <row r="31768">
      <c r="A31768" s="4" t="s">
        <v>39992</v>
      </c>
      <c r="B31768" s="4" t="s">
        <v>39993</v>
      </c>
      <c r="C31768" s="5" t="str">
        <f>IFERROR(__xludf.DUMMYFUNCTION("GOOGLETRANSLATE(B31768,""en"",""zh-CN"")"),"几个人沿着管道漂浮在一条河上。")</f>
        <v>几个人沿着管道漂浮在一条河上。</v>
      </c>
    </row>
    <row r="31769">
      <c r="A31769" s="4" t="s">
        <v>39992</v>
      </c>
      <c r="B31769" s="4" t="s">
        <v>39994</v>
      </c>
      <c r="C31769" s="5" t="str">
        <f>IFERROR(__xludf.DUMMYFUNCTION("GOOGLETRANSLATE(B31769,""en"",""zh-CN"")"),"他们穿过几块岩石。")</f>
        <v>他们穿过几块岩石。</v>
      </c>
    </row>
    <row r="31770">
      <c r="A31770" s="4" t="s">
        <v>39992</v>
      </c>
      <c r="B31770" s="4" t="s">
        <v>39995</v>
      </c>
      <c r="C31770" s="5" t="str">
        <f>IFERROR(__xludf.DUMMYFUNCTION("GOOGLETRANSLATE(B31770,""en"",""zh-CN"")"),"水随着一些岩石而变得粗糙。")</f>
        <v>水随着一些岩石而变得粗糙。</v>
      </c>
    </row>
    <row r="31771">
      <c r="A31771" s="4" t="s">
        <v>39992</v>
      </c>
      <c r="B31771" s="4" t="s">
        <v>39996</v>
      </c>
      <c r="C31771" s="5" t="str">
        <f>IFERROR(__xludf.DUMMYFUNCTION("GOOGLETRANSLATE(B31771,""en"",""zh-CN"")"),"几个人站在河里。")</f>
        <v>几个人站在河里。</v>
      </c>
    </row>
    <row r="31772">
      <c r="A31772" s="4" t="s">
        <v>39997</v>
      </c>
      <c r="B31772" s="4" t="s">
        <v>39998</v>
      </c>
      <c r="C31772" s="5" t="str">
        <f>IFERROR(__xludf.DUMMYFUNCTION("GOOGLETRANSLATE(B31772,""en"",""zh-CN"")"),"个人站在黑色平台后面等待指示。")</f>
        <v>个人站在黑色平台后面等待指示。</v>
      </c>
    </row>
    <row r="31773">
      <c r="A31773" s="4" t="s">
        <v>39997</v>
      </c>
      <c r="B31773" s="4" t="s">
        <v>39999</v>
      </c>
      <c r="C31773" s="5" t="str">
        <f>IFERROR(__xludf.DUMMYFUNCTION("GOOGLETRANSLATE(B31773,""en"",""zh-CN"")"),"个人正在使用舞蹈动作使用平台进行锻炼。")</f>
        <v>个人正在使用舞蹈动作使用平台进行锻炼。</v>
      </c>
    </row>
    <row r="31774">
      <c r="A31774" s="4" t="s">
        <v>39997</v>
      </c>
      <c r="B31774" s="4" t="s">
        <v>40000</v>
      </c>
      <c r="C31774" s="5" t="str">
        <f>IFERROR(__xludf.DUMMYFUNCTION("GOOGLETRANSLATE(B31774,""en"",""zh-CN"")"),"人们确实将千斤顶跳到平台的右边。")</f>
        <v>人们确实将千斤顶跳到平台的右边。</v>
      </c>
    </row>
    <row r="31775">
      <c r="A31775" s="4" t="s">
        <v>39997</v>
      </c>
      <c r="B31775" s="4" t="s">
        <v>40001</v>
      </c>
      <c r="C31775" s="5" t="str">
        <f>IFERROR(__xludf.DUMMYFUNCTION("GOOGLETRANSLATE(B31775,""en"",""zh-CN"")"),"个人确实在平台的左侧跳千斤顶。")</f>
        <v>个人确实在平台的左侧跳千斤顶。</v>
      </c>
    </row>
    <row r="31776">
      <c r="A31776" s="4" t="s">
        <v>39997</v>
      </c>
      <c r="B31776" s="4" t="s">
        <v>40002</v>
      </c>
      <c r="C31776" s="5" t="str">
        <f>IFERROR(__xludf.DUMMYFUNCTION("GOOGLETRANSLATE(B31776,""en"",""zh-CN"")"),"一直指导小组的那位女士不断拍手，开始离开。")</f>
        <v>一直指导小组的那位女士不断拍手，开始离开。</v>
      </c>
    </row>
    <row r="31777">
      <c r="A31777" s="4" t="s">
        <v>40003</v>
      </c>
      <c r="B31777" s="4" t="s">
        <v>40004</v>
      </c>
      <c r="C31777" s="5" t="str">
        <f>IFERROR(__xludf.DUMMYFUNCTION("GOOGLETRANSLATE(B31777,""en"",""zh-CN"")"),"一个女孩拿起一张白色的纸，上面有一幅用黑色墨水完成的图纸。")</f>
        <v>一个女孩拿起一张白色的纸，上面有一幅用黑色墨水完成的图纸。</v>
      </c>
    </row>
    <row r="31778">
      <c r="A31778" s="4" t="s">
        <v>40003</v>
      </c>
      <c r="B31778" s="6" t="s">
        <v>40005</v>
      </c>
      <c r="C31778" s="5" t="str">
        <f>IFERROR(__xludf.DUMMYFUNCTION("GOOGLETRANSLATE(B31778,""en"",""zh-CN"")"),"然后，女孩转过身，录像迅速显示，向她展示了她在厨房附近的南瓜上的绘画，而多人则在她周围移动。")</f>
        <v>然后，女孩转过身，录像迅速显示，向她展示了她在厨房附近的南瓜上的绘画，而多人则在她周围移动。</v>
      </c>
    </row>
    <row r="31779">
      <c r="A31779" s="4" t="s">
        <v>40003</v>
      </c>
      <c r="B31779" s="6" t="s">
        <v>40006</v>
      </c>
      <c r="C31779" s="5" t="str">
        <f>IFERROR(__xludf.DUMMYFUNCTION("GOOGLETRANSLATE(B31779,""en"",""zh-CN"")"),"女孩完成了绘画的完成，在视频仍处于加速模式时，她开始从南瓜中雕刻出设计。")</f>
        <v>女孩完成了绘画的完成，在视频仍处于加速模式时，她开始从南瓜中雕刻出设计。</v>
      </c>
    </row>
    <row r="31780">
      <c r="A31780" s="4" t="s">
        <v>40003</v>
      </c>
      <c r="B31780" s="6" t="s">
        <v>40007</v>
      </c>
      <c r="C31780" s="5" t="str">
        <f>IFERROR(__xludf.DUMMYFUNCTION("GOOGLETRANSLATE(B31780,""en"",""zh-CN"")"),"现在已经雕刻了南瓜，它出现在黑屏上，只有雕刻的区域以橙色照亮。")</f>
        <v>现在已经雕刻了南瓜，它出现在黑屏上，只有雕刻的区域以橙色照亮。</v>
      </c>
    </row>
    <row r="31781">
      <c r="A31781" s="4" t="s">
        <v>40003</v>
      </c>
      <c r="B31781" s="6" t="s">
        <v>40008</v>
      </c>
      <c r="C31781" s="5" t="str">
        <f>IFERROR(__xludf.DUMMYFUNCTION("GOOGLETRANSLATE(B31781,""en"",""zh-CN"")"),"这个女孩再次出现，抬起白皮书，耗尽房间，屏幕仅带有南瓜照明。")</f>
        <v>这个女孩再次出现，抬起白皮书，耗尽房间，屏幕仅带有南瓜照明。</v>
      </c>
    </row>
    <row r="31782">
      <c r="A31782" s="4" t="s">
        <v>40009</v>
      </c>
      <c r="B31782" s="4" t="s">
        <v>40010</v>
      </c>
      <c r="C31782" s="5" t="str">
        <f>IFERROR(__xludf.DUMMYFUNCTION("GOOGLETRANSLATE(B31782,""en"",""zh-CN"")"),"看到一个大个子站在一个大垫子上，向前走，向观众尖叫。")</f>
        <v>看到一个大个子站在一个大垫子上，向前走，向观众尖叫。</v>
      </c>
    </row>
    <row r="31783">
      <c r="A31783" s="4" t="s">
        <v>40009</v>
      </c>
      <c r="B31783" s="4" t="s">
        <v>40011</v>
      </c>
      <c r="C31783" s="5" t="str">
        <f>IFERROR(__xludf.DUMMYFUNCTION("GOOGLETRANSLATE(B31783,""en"",""zh-CN"")"),"然后，该男子将酒吧抬起，然后向下向下，大声尖叫。")</f>
        <v>然后，该男子将酒吧抬起，然后向下向下，大声尖叫。</v>
      </c>
    </row>
    <row r="31784">
      <c r="A31784" s="4" t="s">
        <v>40009</v>
      </c>
      <c r="B31784" s="4" t="s">
        <v>40012</v>
      </c>
      <c r="C31784" s="5" t="str">
        <f>IFERROR(__xludf.DUMMYFUNCTION("GOOGLETRANSLATE(B31784,""en"",""zh-CN"")"),"此后，同一剪辑再次显示。")</f>
        <v>此后，同一剪辑再次显示。</v>
      </c>
    </row>
    <row r="31785">
      <c r="A31785" s="4" t="s">
        <v>40013</v>
      </c>
      <c r="B31785" s="4" t="s">
        <v>40014</v>
      </c>
      <c r="C31785" s="5" t="str">
        <f>IFERROR(__xludf.DUMMYFUNCTION("GOOGLETRANSLATE(B31785,""en"",""zh-CN"")"),"看到一个男人在举起鞋子，抛光的同时向相机说话，并指向物体。")</f>
        <v>看到一个男人在举起鞋子，抛光的同时向相机说话，并指向物体。</v>
      </c>
    </row>
    <row r="31786">
      <c r="A31786" s="4" t="s">
        <v>40013</v>
      </c>
      <c r="B31786" s="6" t="s">
        <v>40015</v>
      </c>
      <c r="C31786" s="5" t="str">
        <f>IFERROR(__xludf.DUMMYFUNCTION("GOOGLETRANSLATE(B31786,""en"",""zh-CN"")"),"然后，该男子用抹布擦拭鞋子，而相机则放大了更多产品并与相机交谈。")</f>
        <v>然后，该男子用抹布擦拭鞋子，而相机则放大了更多产品并与相机交谈。</v>
      </c>
    </row>
    <row r="31787">
      <c r="A31787" s="4" t="s">
        <v>40016</v>
      </c>
      <c r="B31787" s="4" t="s">
        <v>40017</v>
      </c>
      <c r="C31787" s="5" t="str">
        <f>IFERROR(__xludf.DUMMYFUNCTION("GOOGLETRANSLATE(B31787,""en"",""zh-CN"")"),"男人正坐在一个白房间里玩邦戈斯。")</f>
        <v>男人正坐在一个白房间里玩邦戈斯。</v>
      </c>
    </row>
    <row r="31788">
      <c r="A31788" s="4" t="s">
        <v>40016</v>
      </c>
      <c r="B31788" s="4" t="s">
        <v>40018</v>
      </c>
      <c r="C31788" s="5" t="str">
        <f>IFERROR(__xludf.DUMMYFUNCTION("GOOGLETRANSLATE(B31788,""en"",""zh-CN"")"),"戴眼镜的胖子坐在白色房间的椅子上。")</f>
        <v>戴眼镜的胖子坐在白色房间的椅子上。</v>
      </c>
    </row>
    <row r="31789">
      <c r="A31789" s="4" t="s">
        <v>40016</v>
      </c>
      <c r="B31789" s="4" t="s">
        <v>40019</v>
      </c>
      <c r="C31789" s="5" t="str">
        <f>IFERROR(__xludf.DUMMYFUNCTION("GOOGLETRANSLATE(B31789,""en"",""zh-CN"")"),"男人正坐在一个与邦戈斯一起演奏莎莎音乐的房间里。")</f>
        <v>男人正坐在一个与邦戈斯一起演奏莎莎音乐的房间里。</v>
      </c>
    </row>
    <row r="31790">
      <c r="A31790" s="4" t="s">
        <v>40020</v>
      </c>
      <c r="B31790" s="4" t="s">
        <v>40021</v>
      </c>
      <c r="C31790" s="5" t="str">
        <f>IFERROR(__xludf.DUMMYFUNCTION("GOOGLETRANSLATE(B31790,""en"",""zh-CN"")"),"女人正在健身房里爬上岩石墙，一个男人正在拉绳子。")</f>
        <v>女人正在健身房里爬上岩石墙，一个男人正在拉绳子。</v>
      </c>
    </row>
    <row r="31791">
      <c r="A31791" s="4" t="s">
        <v>40020</v>
      </c>
      <c r="B31791" s="4" t="s">
        <v>40022</v>
      </c>
      <c r="C31791" s="5" t="str">
        <f>IFERROR(__xludf.DUMMYFUNCTION("GOOGLETRANSLATE(B31791,""en"",""zh-CN"")"),"女人开始从岩壁下降。")</f>
        <v>女人开始从岩壁下降。</v>
      </c>
    </row>
    <row r="31792">
      <c r="A31792" s="4" t="s">
        <v>40023</v>
      </c>
      <c r="B31792" s="4" t="s">
        <v>40024</v>
      </c>
      <c r="C31792" s="5" t="str">
        <f>IFERROR(__xludf.DUMMYFUNCTION("GOOGLETRANSLATE(B31792,""en"",""zh-CN"")"),"在唤醒板上的一个人骑着一些波浪并撞到水中的人显示了一个剪辑。")</f>
        <v>在唤醒板上的一个人骑着一些波浪并撞到水中的人显示了一个剪辑。</v>
      </c>
    </row>
    <row r="31793">
      <c r="A31793" s="4" t="s">
        <v>40023</v>
      </c>
      <c r="B31793" s="6" t="s">
        <v>40025</v>
      </c>
      <c r="C31793" s="5" t="str">
        <f>IFERROR(__xludf.DUMMYFUNCTION("GOOGLETRANSLATE(B31793,""en"",""zh-CN"")"),"还显示了几个剪辑，其中有人骑在海浪上滑行的唤醒板上。")</f>
        <v>还显示了几个剪辑，其中有人骑在海浪上滑行的唤醒板上。</v>
      </c>
    </row>
    <row r="31794">
      <c r="A31794" s="4" t="s">
        <v>40026</v>
      </c>
      <c r="B31794" s="6" t="s">
        <v>40027</v>
      </c>
      <c r="C31794" s="5" t="str">
        <f>IFERROR(__xludf.DUMMYFUNCTION("GOOGLETRANSLATE(B31794,""en"",""zh-CN"")"),"看到一个戴着围巾的女孩与镜头说话，并开始将各种成分混合到碗中。")</f>
        <v>看到一个戴着围巾的女孩与镜头说话，并开始将各种成分混合到碗中。</v>
      </c>
    </row>
    <row r="31795">
      <c r="A31795" s="4" t="s">
        <v>40026</v>
      </c>
      <c r="B31795" s="6" t="s">
        <v>40028</v>
      </c>
      <c r="C31795" s="5" t="str">
        <f>IFERROR(__xludf.DUMMYFUNCTION("GOOGLETRANSLATE(B31795,""en"",""zh-CN"")"),"她将面糊放在单独的锅上圆圈，并显示出完成后制作的饼干。")</f>
        <v>她将面糊放在单独的锅上圆圈，并显示出完成后制作的饼干。</v>
      </c>
    </row>
    <row r="31796">
      <c r="A31796" s="4" t="s">
        <v>40029</v>
      </c>
      <c r="B31796" s="4" t="s">
        <v>40030</v>
      </c>
      <c r="C31796" s="5" t="str">
        <f>IFERROR(__xludf.DUMMYFUNCTION("GOOGLETRANSLATE(B31796,""en"",""zh-CN"")"),"一个男人在人群中央走来走去。")</f>
        <v>一个男人在人群中央走来走去。</v>
      </c>
    </row>
    <row r="31797">
      <c r="A31797" s="4" t="s">
        <v>40029</v>
      </c>
      <c r="B31797" s="4" t="s">
        <v>40031</v>
      </c>
      <c r="C31797" s="5" t="str">
        <f>IFERROR(__xludf.DUMMYFUNCTION("GOOGLETRANSLATE(B31797,""en"",""zh-CN"")"),"他开始打断舞蹈。")</f>
        <v>他开始打断舞蹈。</v>
      </c>
    </row>
    <row r="31798">
      <c r="A31798" s="4" t="s">
        <v>40029</v>
      </c>
      <c r="B31798" s="6" t="s">
        <v>40032</v>
      </c>
      <c r="C31798" s="5" t="str">
        <f>IFERROR(__xludf.DUMMYFUNCTION("GOOGLETRANSLATE(B31798,""en"",""zh-CN"")"),"当他们翻转，旋转和表演人群时，显示了几个男人在不同场所打破跳舞的片段。")</f>
        <v>当他们翻转，旋转和表演人群时，显示了几个男人在不同场所打破跳舞的片段。</v>
      </c>
    </row>
    <row r="31799">
      <c r="A31799" s="4" t="s">
        <v>40033</v>
      </c>
      <c r="B31799" s="4" t="s">
        <v>40034</v>
      </c>
      <c r="C31799" s="5" t="str">
        <f>IFERROR(__xludf.DUMMYFUNCTION("GOOGLETRANSLATE(B31799,""en"",""zh-CN"")"),"有两个男人穿着苏格兰苏格兰短裙，并站在院子里。")</f>
        <v>有两个男人穿着苏格兰苏格兰短裙，并站在院子里。</v>
      </c>
    </row>
    <row r="31800">
      <c r="A31800" s="4" t="s">
        <v>40033</v>
      </c>
      <c r="B31800" s="4" t="s">
        <v>40035</v>
      </c>
      <c r="C31800" s="5" t="str">
        <f>IFERROR(__xludf.DUMMYFUNCTION("GOOGLETRANSLATE(B31800,""en"",""zh-CN"")"),"其中一名男子正在演奏风笛，另一个人在演奏鼓。")</f>
        <v>其中一名男子正在演奏风笛，另一个人在演奏鼓。</v>
      </c>
    </row>
    <row r="31801">
      <c r="A31801" s="4" t="s">
        <v>40033</v>
      </c>
      <c r="B31801" s="4" t="s">
        <v>40036</v>
      </c>
      <c r="C31801" s="5" t="str">
        <f>IFERROR(__xludf.DUMMYFUNCTION("GOOGLETRANSLATE(B31801,""en"",""zh-CN"")"),"一个女游客在继续演奏时走过他们。")</f>
        <v>一个女游客在继续演奏时走过他们。</v>
      </c>
    </row>
    <row r="31802">
      <c r="A31802" s="4" t="s">
        <v>40037</v>
      </c>
      <c r="B31802" s="4" t="s">
        <v>40038</v>
      </c>
      <c r="C31802" s="5" t="str">
        <f>IFERROR(__xludf.DUMMYFUNCTION("GOOGLETRANSLATE(B31802,""en"",""zh-CN"")"),"显示了一个空的扑克桌，后面是一名女士打交道并与镜头交谈。")</f>
        <v>显示了一个空的扑克桌，后面是一名女士打交道并与镜头交谈。</v>
      </c>
    </row>
    <row r="31803">
      <c r="A31803" s="4" t="s">
        <v>40037</v>
      </c>
      <c r="B31803" s="4" t="s">
        <v>40039</v>
      </c>
      <c r="C31803" s="5" t="str">
        <f>IFERROR(__xludf.DUMMYFUNCTION("GOOGLETRANSLATE(B31803,""en"",""zh-CN"")"),"她指导如何在与镜头说话并微笑的同时玩游戏。")</f>
        <v>她指导如何在与镜头说话并微笑的同时玩游戏。</v>
      </c>
    </row>
    <row r="31804">
      <c r="A31804" s="4" t="s">
        <v>40040</v>
      </c>
      <c r="B31804" s="4" t="s">
        <v>40041</v>
      </c>
      <c r="C31804" s="5" t="str">
        <f>IFERROR(__xludf.DUMMYFUNCTION("GOOGLETRANSLATE(B31804,""en"",""zh-CN"")"),"一个人站在一个房间里。")</f>
        <v>一个人站在一个房间里。</v>
      </c>
    </row>
    <row r="31805">
      <c r="A31805" s="4" t="s">
        <v>40040</v>
      </c>
      <c r="B31805" s="4" t="s">
        <v>40042</v>
      </c>
      <c r="C31805" s="5" t="str">
        <f>IFERROR(__xludf.DUMMYFUNCTION("GOOGLETRANSLATE(B31805,""en"",""zh-CN"")"),"他们在飞镖板上投掷飞镖。")</f>
        <v>他们在飞镖板上投掷飞镖。</v>
      </c>
    </row>
    <row r="31806">
      <c r="A31806" s="4" t="s">
        <v>40040</v>
      </c>
      <c r="B31806" s="4" t="s">
        <v>40043</v>
      </c>
      <c r="C31806" s="5" t="str">
        <f>IFERROR(__xludf.DUMMYFUNCTION("GOOGLETRANSLATE(B31806,""en"",""zh-CN"")"),"然后，一个女人来了，将飞镖投向了飞镖板。")</f>
        <v>然后，一个女人来了，将飞镖投向了飞镖板。</v>
      </c>
    </row>
    <row r="31807">
      <c r="A31807" s="4" t="s">
        <v>40044</v>
      </c>
      <c r="B31807" s="4" t="s">
        <v>40045</v>
      </c>
      <c r="C31807" s="5" t="str">
        <f>IFERROR(__xludf.DUMMYFUNCTION("GOOGLETRANSLATE(B31807,""en"",""zh-CN"")"),"人们在泥泞的河里筏，然后他们在岸上露营休息和玩耍。")</f>
        <v>人们在泥泞的河里筏，然后他们在岸上露营休息和玩耍。</v>
      </c>
    </row>
    <row r="31808">
      <c r="A31808" s="4" t="s">
        <v>40044</v>
      </c>
      <c r="B31808" s="6" t="s">
        <v>40046</v>
      </c>
      <c r="C31808" s="5" t="str">
        <f>IFERROR(__xludf.DUMMYFUNCTION("GOOGLETRANSLATE(B31808,""en"",""zh-CN"")"),"然后，该男子继续在河里漂流，一个人倒在水中，他的朋友们救了他，然后继续漂流。")</f>
        <v>然后，该男子继续在河里漂流，一个人倒在水中，他的朋友们救了他，然后继续漂流。</v>
      </c>
    </row>
    <row r="31809">
      <c r="A31809" s="4" t="s">
        <v>40044</v>
      </c>
      <c r="B31809" s="4" t="s">
        <v>40047</v>
      </c>
      <c r="C31809" s="5" t="str">
        <f>IFERROR(__xludf.DUMMYFUNCTION("GOOGLETRANSLATE(B31809,""en"",""zh-CN"")"),"一个女人和一个男人站在接下来的直升机上，然后直升机飞行。")</f>
        <v>一个女人和一个男人站在接下来的直升机上，然后直升机飞行。</v>
      </c>
    </row>
    <row r="31810">
      <c r="A31810" s="4" t="s">
        <v>40048</v>
      </c>
      <c r="B31810" s="4" t="s">
        <v>40049</v>
      </c>
      <c r="C31810" s="5" t="str">
        <f>IFERROR(__xludf.DUMMYFUNCTION("GOOGLETRANSLATE(B31810,""en"",""zh-CN"")"),"夜晚，营地大火燃烧着。")</f>
        <v>夜晚，营地大火燃烧着。</v>
      </c>
    </row>
    <row r="31811">
      <c r="A31811" s="4" t="s">
        <v>40048</v>
      </c>
      <c r="B31811" s="4" t="s">
        <v>40050</v>
      </c>
      <c r="C31811" s="5" t="str">
        <f>IFERROR(__xludf.DUMMYFUNCTION("GOOGLETRANSLATE(B31811,""en"",""zh-CN"")"),"大火的大小缓慢。")</f>
        <v>大火的大小缓慢。</v>
      </c>
    </row>
    <row r="31812">
      <c r="A31812" s="4" t="s">
        <v>40048</v>
      </c>
      <c r="B31812" s="4" t="s">
        <v>40051</v>
      </c>
      <c r="C31812" s="5" t="str">
        <f>IFERROR(__xludf.DUMMYFUNCTION("GOOGLETRANSLATE(B31812,""en"",""zh-CN"")"),"场景变得更加明亮，点亮。")</f>
        <v>场景变得更加明亮，点亮。</v>
      </c>
    </row>
    <row r="31813">
      <c r="A31813" s="4" t="s">
        <v>40048</v>
      </c>
      <c r="B31813" s="4" t="s">
        <v>40052</v>
      </c>
      <c r="C31813" s="5" t="str">
        <f>IFERROR(__xludf.DUMMYFUNCTION("GOOGLETRANSLATE(B31813,""en"",""zh-CN"")"),"背景中有树。")</f>
        <v>背景中有树。</v>
      </c>
    </row>
    <row r="31814">
      <c r="A31814" s="4" t="s">
        <v>40053</v>
      </c>
      <c r="B31814" s="4" t="s">
        <v>40054</v>
      </c>
      <c r="C31814" s="5" t="str">
        <f>IFERROR(__xludf.DUMMYFUNCTION("GOOGLETRANSLATE(B31814,""en"",""zh-CN"")"),"一个人的近距离会导致看着他们的手并用肥皂擦洗它的人。")</f>
        <v>一个人的近距离会导致看着他们的手并用肥皂擦洗它的人。</v>
      </c>
    </row>
    <row r="31815">
      <c r="A31815" s="4" t="s">
        <v>40053</v>
      </c>
      <c r="B31815" s="6" t="s">
        <v>40055</v>
      </c>
      <c r="C31815" s="5" t="str">
        <f>IFERROR(__xludf.DUMMYFUNCTION("GOOGLETRANSLATE(B31815,""en"",""zh-CN"")"),"一个男人被显示在水槽中擦洗双手，同时展示了正确的方法，可以洗手并将其浸入水中。")</f>
        <v>一个男人被显示在水槽中擦洗双手，同时展示了正确的方法，可以洗手并将其浸入水中。</v>
      </c>
    </row>
    <row r="31816">
      <c r="A31816" s="4" t="s">
        <v>40053</v>
      </c>
      <c r="B31816" s="4" t="s">
        <v>40056</v>
      </c>
      <c r="C31816" s="5" t="str">
        <f>IFERROR(__xludf.DUMMYFUNCTION("GOOGLETRANSLATE(B31816,""en"",""zh-CN"")"),"该男子最后用抹布将其干燥。")</f>
        <v>该男子最后用抹布将其干燥。</v>
      </c>
    </row>
    <row r="31817">
      <c r="A31817" s="4" t="s">
        <v>40057</v>
      </c>
      <c r="B31817" s="4" t="s">
        <v>40058</v>
      </c>
      <c r="C31817" s="5" t="str">
        <f>IFERROR(__xludf.DUMMYFUNCTION("GOOGLETRANSLATE(B31817,""en"",""zh-CN"")"),"一辆汽车驶入洗车舱。")</f>
        <v>一辆汽车驶入洗车舱。</v>
      </c>
    </row>
    <row r="31818">
      <c r="A31818" s="4" t="s">
        <v>40057</v>
      </c>
      <c r="B31818" s="4" t="s">
        <v>40059</v>
      </c>
      <c r="C31818" s="5" t="str">
        <f>IFERROR(__xludf.DUMMYFUNCTION("GOOGLETRANSLATE(B31818,""en"",""zh-CN"")"),"驾驶员下车，将钱插入机器中。")</f>
        <v>驾驶员下车，将钱插入机器中。</v>
      </c>
    </row>
    <row r="31819">
      <c r="A31819" s="4" t="s">
        <v>40057</v>
      </c>
      <c r="B31819" s="4" t="s">
        <v>40060</v>
      </c>
      <c r="C31819" s="5" t="str">
        <f>IFERROR(__xludf.DUMMYFUNCTION("GOOGLETRANSLATE(B31819,""en"",""zh-CN"")"),"然后，该人用高压清洗机洗车。")</f>
        <v>然后，该人用高压清洗机洗车。</v>
      </c>
    </row>
    <row r="31820">
      <c r="A31820" s="4" t="s">
        <v>40057</v>
      </c>
      <c r="B31820" s="4" t="s">
        <v>40061</v>
      </c>
      <c r="C31820" s="5" t="str">
        <f>IFERROR(__xludf.DUMMYFUNCTION("GOOGLETRANSLATE(B31820,""en"",""zh-CN"")"),"我们看到另一台机器和一台自动售货机。")</f>
        <v>我们看到另一台机器和一台自动售货机。</v>
      </c>
    </row>
    <row r="31821">
      <c r="A31821" s="4" t="s">
        <v>40062</v>
      </c>
      <c r="B31821" s="4" t="s">
        <v>40063</v>
      </c>
      <c r="C31821" s="5" t="str">
        <f>IFERROR(__xludf.DUMMYFUNCTION("GOOGLETRANSLATE(B31821,""en"",""zh-CN"")"),"看到一个男人站在围栏旁边，而相机在附近的湖边摇晃。")</f>
        <v>看到一个男人站在围栏旁边，而相机在附近的湖边摇晃。</v>
      </c>
    </row>
    <row r="31822">
      <c r="A31822" s="4" t="s">
        <v>40062</v>
      </c>
      <c r="B31822" s="6" t="s">
        <v>40064</v>
      </c>
      <c r="C31822" s="5" t="str">
        <f>IFERROR(__xludf.DUMMYFUNCTION("GOOGLETRANSLATE(B31822,""en"",""zh-CN"")"),"当相机专注于走下去的人时，该男子弯下腰，开始绘画篱笆。")</f>
        <v>当相机专注于走下去的人时，该男子弯下腰，开始绘画篱笆。</v>
      </c>
    </row>
    <row r="31823">
      <c r="A31823" s="4" t="s">
        <v>40062</v>
      </c>
      <c r="B31823" s="6" t="s">
        <v>40065</v>
      </c>
      <c r="C31823" s="5" t="str">
        <f>IFERROR(__xludf.DUMMYFUNCTION("GOOGLETRANSLATE(B31823,""en"",""zh-CN"")"),"另一个男人拿着水桶走上来，并在摄影师继续环顾四周时帮助该男子油漆。")</f>
        <v>另一个男人拿着水桶走上来，并在摄影师继续环顾四周时帮助该男子油漆。</v>
      </c>
    </row>
    <row r="31824">
      <c r="A31824" s="4" t="s">
        <v>40066</v>
      </c>
      <c r="B31824" s="4" t="s">
        <v>40067</v>
      </c>
      <c r="C31824" s="5" t="str">
        <f>IFERROR(__xludf.DUMMYFUNCTION("GOOGLETRANSLATE(B31824,""en"",""zh-CN"")"),"一辆汽车在到达小屋之前，正在穿过积雪和树木。")</f>
        <v>一辆汽车在到达小屋之前，正在穿过积雪和树木。</v>
      </c>
    </row>
    <row r="31825">
      <c r="A31825" s="4" t="s">
        <v>40066</v>
      </c>
      <c r="B31825" s="4" t="s">
        <v>40068</v>
      </c>
      <c r="C31825" s="5" t="str">
        <f>IFERROR(__xludf.DUMMYFUNCTION("GOOGLETRANSLATE(B31825,""en"",""zh-CN"")"),"人们穿上滑雪板，并被沿着山上滑雪而出现。")</f>
        <v>人们穿上滑雪板，并被沿着山上滑雪而出现。</v>
      </c>
    </row>
    <row r="31826">
      <c r="A31826" s="4" t="s">
        <v>40066</v>
      </c>
      <c r="B31826" s="6" t="s">
        <v>40069</v>
      </c>
      <c r="C31826" s="5" t="str">
        <f>IFERROR(__xludf.DUMMYFUNCTION("GOOGLETRANSLATE(B31826,""en"",""zh-CN"")"),"他们继续滑雪，挥舞着相机，并在视频结束时展现出最终的全景。")</f>
        <v>他们继续滑雪，挥舞着相机，并在视频结束时展现出最终的全景。</v>
      </c>
    </row>
    <row r="31827">
      <c r="A31827" s="4" t="s">
        <v>40070</v>
      </c>
      <c r="B31827" s="4" t="s">
        <v>40071</v>
      </c>
      <c r="C31827" s="5" t="str">
        <f>IFERROR(__xludf.DUMMYFUNCTION("GOOGLETRANSLATE(B31827,""en"",""zh-CN"")"),"各种标题卡在屏幕前面闪烁。")</f>
        <v>各种标题卡在屏幕前面闪烁。</v>
      </c>
    </row>
    <row r="31828">
      <c r="A31828" s="4" t="s">
        <v>40070</v>
      </c>
      <c r="B31828" s="4" t="s">
        <v>40072</v>
      </c>
      <c r="C31828" s="5" t="str">
        <f>IFERROR(__xludf.DUMMYFUNCTION("GOOGLETRANSLATE(B31828,""en"",""zh-CN"")"),"我们看到一只狗，还有一个带有滑雪板的自拍棒的男人。")</f>
        <v>我们看到一只狗，还有一个带有滑雪板的自拍棒的男人。</v>
      </c>
    </row>
    <row r="31829">
      <c r="A31829" s="4" t="s">
        <v>40070</v>
      </c>
      <c r="B31829" s="4" t="s">
        <v>40073</v>
      </c>
      <c r="C31829" s="5" t="str">
        <f>IFERROR(__xludf.DUMMYFUNCTION("GOOGLETRANSLATE(B31829,""en"",""zh-CN"")"),"这个男人在滑雪并握住自拍棒。")</f>
        <v>这个男人在滑雪并握住自拍棒。</v>
      </c>
    </row>
    <row r="31830">
      <c r="A31830" s="4" t="s">
        <v>40070</v>
      </c>
      <c r="B31830" s="4" t="s">
        <v>40074</v>
      </c>
      <c r="C31830" s="5" t="str">
        <f>IFERROR(__xludf.DUMMYFUNCTION("GOOGLETRANSLATE(B31830,""en"",""zh-CN"")"),"这个男人正在和狗一起玩，我们看到狗封闭了。")</f>
        <v>这个男人正在和狗一起玩，我们看到狗封闭了。</v>
      </c>
    </row>
    <row r="31831">
      <c r="A31831" s="4" t="s">
        <v>40070</v>
      </c>
      <c r="B31831" s="4" t="s">
        <v>40075</v>
      </c>
      <c r="C31831" s="5" t="str">
        <f>IFERROR(__xludf.DUMMYFUNCTION("GOOGLETRANSLATE(B31831,""en"",""zh-CN"")"),"这个男人正在下坡滑雪。")</f>
        <v>这个男人正在下坡滑雪。</v>
      </c>
    </row>
    <row r="31832">
      <c r="A31832" s="4" t="s">
        <v>40070</v>
      </c>
      <c r="B31832" s="4" t="s">
        <v>40076</v>
      </c>
      <c r="C31832" s="5" t="str">
        <f>IFERROR(__xludf.DUMMYFUNCTION("GOOGLETRANSLATE(B31832,""en"",""zh-CN"")"),"他停下来再次抚摸他的狗，然后再次滑雪。")</f>
        <v>他停下来再次抚摸他的狗，然后再次滑雪。</v>
      </c>
    </row>
    <row r="31833">
      <c r="A31833" s="4" t="s">
        <v>40070</v>
      </c>
      <c r="B31833" s="4" t="s">
        <v>40077</v>
      </c>
      <c r="C31833" s="5" t="str">
        <f>IFERROR(__xludf.DUMMYFUNCTION("GOOGLETRANSLATE(B31833,""en"",""zh-CN"")"),"那个男人和狗在一个小雪的地区行走。")</f>
        <v>那个男人和狗在一个小雪的地区行走。</v>
      </c>
    </row>
    <row r="31834">
      <c r="A31834" s="4" t="s">
        <v>40070</v>
      </c>
      <c r="B31834" s="4" t="s">
        <v>40078</v>
      </c>
      <c r="C31834" s="5" t="str">
        <f>IFERROR(__xludf.DUMMYFUNCTION("GOOGLETRANSLATE(B31834,""en"",""zh-CN"")"),"该名男子将木板和滑雪板放在卡车上之前。")</f>
        <v>该名男子将木板和滑雪板放在卡车上之前。</v>
      </c>
    </row>
    <row r="31835">
      <c r="A31835" s="4" t="s">
        <v>40070</v>
      </c>
      <c r="B31835" s="4" t="s">
        <v>40079</v>
      </c>
      <c r="C31835" s="5" t="str">
        <f>IFERROR(__xludf.DUMMYFUNCTION("GOOGLETRANSLATE(B31835,""en"",""zh-CN"")"),"我们看到GoPro屏幕。")</f>
        <v>我们看到GoPro屏幕。</v>
      </c>
    </row>
    <row r="31836">
      <c r="A31836" s="4" t="s">
        <v>40080</v>
      </c>
      <c r="B31836" s="4" t="s">
        <v>40081</v>
      </c>
      <c r="C31836" s="5" t="str">
        <f>IFERROR(__xludf.DUMMYFUNCTION("GOOGLETRANSLATE(B31836,""en"",""zh-CN"")"),"潜水员在蓝色的水下游泳。")</f>
        <v>潜水员在蓝色的水下游泳。</v>
      </c>
    </row>
    <row r="31837">
      <c r="A31837" s="4" t="s">
        <v>40080</v>
      </c>
      <c r="B31837" s="4" t="s">
        <v>40082</v>
      </c>
      <c r="C31837" s="5" t="str">
        <f>IFERROR(__xludf.DUMMYFUNCTION("GOOGLETRANSLATE(B31837,""en"",""zh-CN"")"),"两个戴着氧气的潜水员在水下，他们握住坚固的绳索。")</f>
        <v>两个戴着氧气的潜水员在水下，他们握住坚固的绳索。</v>
      </c>
    </row>
    <row r="31838">
      <c r="A31838" s="4" t="s">
        <v>40080</v>
      </c>
      <c r="B31838" s="4" t="s">
        <v>40083</v>
      </c>
      <c r="C31838" s="5" t="str">
        <f>IFERROR(__xludf.DUMMYFUNCTION("GOOGLETRANSLATE(B31838,""en"",""zh-CN"")"),"潜水员深入到水中，他们向水下的珊瑚床游泳。")</f>
        <v>潜水员深入到水中，他们向水下的珊瑚床游泳。</v>
      </c>
    </row>
    <row r="31839">
      <c r="A31839" s="4" t="s">
        <v>40080</v>
      </c>
      <c r="B31839" s="4" t="s">
        <v>40084</v>
      </c>
      <c r="C31839" s="5" t="str">
        <f>IFERROR(__xludf.DUMMYFUNCTION("GOOGLETRANSLATE(B31839,""en"",""zh-CN"")"),"人们正在骑白船朝着海洋骑。")</f>
        <v>人们正在骑白船朝着海洋骑。</v>
      </c>
    </row>
    <row r="31840">
      <c r="A31840" s="4" t="s">
        <v>40085</v>
      </c>
      <c r="B31840" s="4" t="s">
        <v>40086</v>
      </c>
      <c r="C31840" s="5" t="str">
        <f>IFERROR(__xludf.DUMMYFUNCTION("GOOGLETRANSLATE(B31840,""en"",""zh-CN"")"),"一名女体操运动员准备安装酒吧。")</f>
        <v>一名女体操运动员准备安装酒吧。</v>
      </c>
    </row>
    <row r="31841">
      <c r="A31841" s="4" t="s">
        <v>40085</v>
      </c>
      <c r="B31841" s="4" t="s">
        <v>40087</v>
      </c>
      <c r="C31841" s="5" t="str">
        <f>IFERROR(__xludf.DUMMYFUNCTION("GOOGLETRANSLATE(B31841,""en"",""zh-CN"")"),"她安装，然后进行几个手弹簧，向前翻转和背面翻转。")</f>
        <v>她安装，然后进行几个手弹簧，向前翻转和背面翻转。</v>
      </c>
    </row>
    <row r="31842">
      <c r="A31842" s="4" t="s">
        <v>40085</v>
      </c>
      <c r="B31842" s="4" t="s">
        <v>40088</v>
      </c>
      <c r="C31842" s="5" t="str">
        <f>IFERROR(__xludf.DUMMYFUNCTION("GOOGLETRANSLATE(B31842,""en"",""zh-CN"")"),"然后她卸下，将手臂伸向空中。")</f>
        <v>然后她卸下，将手臂伸向空中。</v>
      </c>
    </row>
    <row r="31843">
      <c r="A31843" s="4" t="s">
        <v>40089</v>
      </c>
      <c r="B31843" s="6" t="s">
        <v>40090</v>
      </c>
      <c r="C31843" s="5" t="str">
        <f>IFERROR(__xludf.DUMMYFUNCTION("GOOGLETRANSLATE(B31843,""en"",""zh-CN"")"),"一个蹒跚学步的孩子在一个充满人的游乐场的滑梯上，当蹒跚学步的人碰到地板时，她站着奔跑。")</f>
        <v>一个蹒跚学步的孩子在一个充满人的游乐场的滑梯上，当蹒跚学步的人碰到地板时，她站着奔跑。</v>
      </c>
    </row>
    <row r="31844">
      <c r="A31844" s="4" t="s">
        <v>40089</v>
      </c>
      <c r="B31844" s="4" t="s">
        <v>40091</v>
      </c>
      <c r="C31844" s="5" t="str">
        <f>IFERROR(__xludf.DUMMYFUNCTION("GOOGLETRANSLATE(B31844,""en"",""zh-CN"")"),"突然，一个男人跑到蹒跚学步的人身后。")</f>
        <v>突然，一个男人跑到蹒跚学步的人身后。</v>
      </c>
    </row>
    <row r="31845">
      <c r="A31845" s="4" t="s">
        <v>40092</v>
      </c>
      <c r="B31845" s="4" t="s">
        <v>40093</v>
      </c>
      <c r="C31845" s="5" t="str">
        <f>IFERROR(__xludf.DUMMYFUNCTION("GOOGLETRANSLATE(B31845,""en"",""zh-CN"")"),"穿着白衬衫的男人手里拿着工具。")</f>
        <v>穿着白衬衫的男人手里拿着工具。</v>
      </c>
    </row>
    <row r="31846">
      <c r="A31846" s="4" t="s">
        <v>40092</v>
      </c>
      <c r="B31846" s="4" t="s">
        <v>40094</v>
      </c>
      <c r="C31846" s="5" t="str">
        <f>IFERROR(__xludf.DUMMYFUNCTION("GOOGLETRANSLATE(B31846,""en"",""zh-CN"")"),"他开始在田野里切碎杂草。")</f>
        <v>他开始在田野里切碎杂草。</v>
      </c>
    </row>
    <row r="31847">
      <c r="A31847" s="4" t="s">
        <v>40092</v>
      </c>
      <c r="B31847" s="4" t="s">
        <v>40095</v>
      </c>
      <c r="C31847" s="5" t="str">
        <f>IFERROR(__xludf.DUMMYFUNCTION("GOOGLETRANSLATE(B31847,""en"",""zh-CN"")"),"他停下来，将工具靠在栅栏上。")</f>
        <v>他停下来，将工具靠在栅栏上。</v>
      </c>
    </row>
    <row r="31848">
      <c r="A31848" s="4" t="s">
        <v>40096</v>
      </c>
      <c r="B31848" s="4" t="s">
        <v>40097</v>
      </c>
      <c r="C31848" s="5" t="str">
        <f>IFERROR(__xludf.DUMMYFUNCTION("GOOGLETRANSLATE(B31848,""en"",""zh-CN"")"),"比赛开始了，其中一名赛车手在另一个赛车开始前进。")</f>
        <v>比赛开始了，其中一名赛车手在另一个赛车开始前进。</v>
      </c>
    </row>
    <row r="31849">
      <c r="A31849" s="4" t="s">
        <v>40096</v>
      </c>
      <c r="B31849" s="6" t="s">
        <v>40098</v>
      </c>
      <c r="C31849" s="5" t="str">
        <f>IFERROR(__xludf.DUMMYFUNCTION("GOOGLETRANSLATE(B31849,""en"",""zh-CN"")"),"他们再次开始跑步，但是这次，那个有局部开始的人花了他的时间，蓝色的男人跑得很快，跳入沙子。")</f>
        <v>他们再次开始跑步，但是这次，那个有局部开始的人花了他的时间，蓝色的男人跑得很快，跳入沙子。</v>
      </c>
    </row>
    <row r="31850">
      <c r="A31850" s="4" t="s">
        <v>40096</v>
      </c>
      <c r="B31850" s="4" t="s">
        <v>40099</v>
      </c>
      <c r="C31850" s="5" t="str">
        <f>IFERROR(__xludf.DUMMYFUNCTION("GOOGLETRANSLATE(B31850,""en"",""zh-CN"")"),"他跑来跑去，这次他们再次以慢动作显示。")</f>
        <v>他跑来跑去，这次他们再次以慢动作显示。</v>
      </c>
    </row>
    <row r="31851">
      <c r="A31851" s="4" t="s">
        <v>40096</v>
      </c>
      <c r="B31851" s="4" t="s">
        <v>40100</v>
      </c>
      <c r="C31851" s="5" t="str">
        <f>IFERROR(__xludf.DUMMYFUNCTION("GOOGLETRANSLATE(B31851,""en"",""zh-CN"")"),"他只是不断练习自己的奔跑，然后反复跳跃，试图使它变得完美。")</f>
        <v>他只是不断练习自己的奔跑，然后反复跳跃，试图使它变得完美。</v>
      </c>
    </row>
    <row r="31852">
      <c r="A31852" s="4" t="s">
        <v>40101</v>
      </c>
      <c r="B31852" s="4" t="s">
        <v>40102</v>
      </c>
      <c r="C31852" s="5" t="str">
        <f>IFERROR(__xludf.DUMMYFUNCTION("GOOGLETRANSLATE(B31852,""en"",""zh-CN"")"),"人们正在滚动楼梯。")</f>
        <v>人们正在滚动楼梯。</v>
      </c>
    </row>
    <row r="31853">
      <c r="A31853" s="4" t="s">
        <v>40101</v>
      </c>
      <c r="B31853" s="4" t="s">
        <v>40103</v>
      </c>
      <c r="C31853" s="5" t="str">
        <f>IFERROR(__xludf.DUMMYFUNCTION("GOOGLETRANSLATE(B31853,""en"",""zh-CN"")"),"一个人掉进了街上。")</f>
        <v>一个人掉进了街上。</v>
      </c>
    </row>
    <row r="31854">
      <c r="A31854" s="4" t="s">
        <v>40101</v>
      </c>
      <c r="B31854" s="4" t="s">
        <v>40104</v>
      </c>
      <c r="C31854" s="5" t="str">
        <f>IFERROR(__xludf.DUMMYFUNCTION("GOOGLETRANSLATE(B31854,""en"",""zh-CN"")"),"他们身后的街上一辆校车。")</f>
        <v>他们身后的街上一辆校车。</v>
      </c>
    </row>
    <row r="31855">
      <c r="A31855" s="4" t="s">
        <v>40105</v>
      </c>
      <c r="B31855" s="4" t="s">
        <v>40106</v>
      </c>
      <c r="C31855" s="5" t="str">
        <f>IFERROR(__xludf.DUMMYFUNCTION("GOOGLETRANSLATE(B31855,""en"",""zh-CN"")"),"一个女人站在圈子里的田野上。")</f>
        <v>一个女人站在圈子里的田野上。</v>
      </c>
    </row>
    <row r="31856">
      <c r="A31856" s="4" t="s">
        <v>40105</v>
      </c>
      <c r="B31856" s="4" t="s">
        <v>40107</v>
      </c>
      <c r="C31856" s="5" t="str">
        <f>IFERROR(__xludf.DUMMYFUNCTION("GOOGLETRANSLATE(B31856,""en"",""zh-CN"")"),"她拿着光盘时旋转。")</f>
        <v>她拿着光盘时旋转。</v>
      </c>
    </row>
    <row r="31857">
      <c r="A31857" s="4" t="s">
        <v>40105</v>
      </c>
      <c r="B31857" s="4" t="s">
        <v>40108</v>
      </c>
      <c r="C31857" s="5" t="str">
        <f>IFERROR(__xludf.DUMMYFUNCTION("GOOGLETRANSLATE(B31857,""en"",""zh-CN"")"),"她不小心放手，碟片在她身后散开。")</f>
        <v>她不小心放手，碟片在她身后散开。</v>
      </c>
    </row>
    <row r="31858">
      <c r="A31858" s="4" t="s">
        <v>40109</v>
      </c>
      <c r="B31858" s="6" t="s">
        <v>40110</v>
      </c>
      <c r="C31858" s="5" t="str">
        <f>IFERROR(__xludf.DUMMYFUNCTION("GOOGLETRANSLATE(B31858,""en"",""zh-CN"")"),"看到一个年轻的女孩在看着镜头并上下移动萨克斯管。")</f>
        <v>看到一个年轻的女孩在看着镜头并上下移动萨克斯管。</v>
      </c>
    </row>
    <row r="31859">
      <c r="A31859" s="4" t="s">
        <v>40109</v>
      </c>
      <c r="B31859" s="4" t="s">
        <v>40111</v>
      </c>
      <c r="C31859" s="5" t="str">
        <f>IFERROR(__xludf.DUMMYFUNCTION("GOOGLETRANSLATE(B31859,""en"",""zh-CN"")"),"女人继续演奏乐器，并通过关闭相机结束。")</f>
        <v>女人继续演奏乐器，并通过关闭相机结束。</v>
      </c>
    </row>
    <row r="31860">
      <c r="A31860" s="4" t="s">
        <v>40112</v>
      </c>
      <c r="B31860" s="4" t="s">
        <v>40113</v>
      </c>
      <c r="C31860" s="5" t="str">
        <f>IFERROR(__xludf.DUMMYFUNCTION("GOOGLETRANSLATE(B31860,""en"",""zh-CN"")"),"我们看到男人在广场上演奏乐器。")</f>
        <v>我们看到男人在广场上演奏乐器。</v>
      </c>
    </row>
    <row r="31861">
      <c r="A31861" s="4" t="s">
        <v>40112</v>
      </c>
      <c r="B31861" s="4" t="s">
        <v>40114</v>
      </c>
      <c r="C31861" s="5" t="str">
        <f>IFERROR(__xludf.DUMMYFUNCTION("GOOGLETRANSLATE(B31861,""en"",""zh-CN"")"),"前男子转过身来到他身后的男人。")</f>
        <v>前男子转过身来到他身后的男人。</v>
      </c>
    </row>
    <row r="31862">
      <c r="A31862" s="4" t="s">
        <v>40112</v>
      </c>
      <c r="B31862" s="4" t="s">
        <v>40115</v>
      </c>
      <c r="C31862" s="5" t="str">
        <f>IFERROR(__xludf.DUMMYFUNCTION("GOOGLETRANSLATE(B31862,""en"",""zh-CN"")"),"前面的人抓住了麦克风。")</f>
        <v>前面的人抓住了麦克风。</v>
      </c>
    </row>
    <row r="31863">
      <c r="A31863" s="4" t="s">
        <v>40112</v>
      </c>
      <c r="B31863" s="4" t="s">
        <v>40116</v>
      </c>
      <c r="C31863" s="5" t="str">
        <f>IFERROR(__xludf.DUMMYFUNCTION("GOOGLETRANSLATE(B31863,""en"",""zh-CN"")"),"乐队完成了乐器的演奏。")</f>
        <v>乐队完成了乐器的演奏。</v>
      </c>
    </row>
    <row r="31864">
      <c r="A31864" s="4" t="s">
        <v>40117</v>
      </c>
      <c r="B31864" s="4" t="s">
        <v>40118</v>
      </c>
      <c r="C31864" s="5" t="str">
        <f>IFERROR(__xludf.DUMMYFUNCTION("GOOGLETRANSLATE(B31864,""en"",""zh-CN"")"),"在一个大领域，有一个曲棍球队在玩游戏，他们都在战略上走动。")</f>
        <v>在一个大领域，有一个曲棍球队在玩游戏，他们都在战略上走动。</v>
      </c>
    </row>
    <row r="31865">
      <c r="A31865" s="4" t="s">
        <v>40117</v>
      </c>
      <c r="B31865" s="4" t="s">
        <v>40119</v>
      </c>
      <c r="C31865" s="5" t="str">
        <f>IFERROR(__xludf.DUMMYFUNCTION("GOOGLETRANSLATE(B31865,""en"",""zh-CN"")"),"他们将球扔掉试图实现进球，而另一队则试图阻止他们。")</f>
        <v>他们将球扔掉试图实现进球，而另一队则试图阻止他们。</v>
      </c>
    </row>
    <row r="31866">
      <c r="A31866" s="4" t="s">
        <v>40117</v>
      </c>
      <c r="B31866" s="4" t="s">
        <v>40120</v>
      </c>
      <c r="C31866" s="5" t="str">
        <f>IFERROR(__xludf.DUMMYFUNCTION("GOOGLETRANSLATE(B31866,""en"",""zh-CN"")"),"他们在周围跑来跑去，您可以看到箭头指向这里和那里发生的事情。")</f>
        <v>他们在周围跑来跑去，您可以看到箭头指向这里和那里发生的事情。</v>
      </c>
    </row>
    <row r="31867">
      <c r="A31867" s="4" t="s">
        <v>40117</v>
      </c>
      <c r="B31867" s="4" t="s">
        <v>40121</v>
      </c>
      <c r="C31867" s="5" t="str">
        <f>IFERROR(__xludf.DUMMYFUNCTION("GOOGLETRANSLATE(B31867,""en"",""zh-CN"")"),"这是一项非常身体上的运动，需要耐力和能量。")</f>
        <v>这是一项非常身体上的运动，需要耐力和能量。</v>
      </c>
    </row>
    <row r="31868">
      <c r="A31868" s="4" t="s">
        <v>40122</v>
      </c>
      <c r="B31868" s="4" t="s">
        <v>40123</v>
      </c>
      <c r="C31868" s="5" t="str">
        <f>IFERROR(__xludf.DUMMYFUNCTION("GOOGLETRANSLATE(B31868,""en"",""zh-CN"")"),"一个带有腿部伸展的家伙进入。")</f>
        <v>一个带有腿部伸展的家伙进入。</v>
      </c>
    </row>
    <row r="31869">
      <c r="A31869" s="4" t="s">
        <v>40122</v>
      </c>
      <c r="B31869" s="4" t="s">
        <v>40124</v>
      </c>
      <c r="C31869" s="5" t="str">
        <f>IFERROR(__xludf.DUMMYFUNCTION("GOOGLETRANSLATE(B31869,""en"",""zh-CN"")"),"那个家伙跃跃欲试，然后翻转蹦床。")</f>
        <v>那个家伙跃跃欲试，然后翻转蹦床。</v>
      </c>
    </row>
    <row r="31870">
      <c r="A31870" s="4" t="s">
        <v>40122</v>
      </c>
      <c r="B31870" s="4" t="s">
        <v>40125</v>
      </c>
      <c r="C31870" s="5" t="str">
        <f>IFERROR(__xludf.DUMMYFUNCTION("GOOGLETRANSLATE(B31870,""en"",""zh-CN"")"),"男人和女人从电缆上取下附件，然后附加另一个。")</f>
        <v>男人和女人从电缆上取下附件，然后附加另一个。</v>
      </c>
    </row>
    <row r="31871">
      <c r="A31871" s="4" t="s">
        <v>40122</v>
      </c>
      <c r="B31871" s="4" t="s">
        <v>40126</v>
      </c>
      <c r="C31871" s="5" t="str">
        <f>IFERROR(__xludf.DUMMYFUNCTION("GOOGLETRANSLATE(B31871,""en"",""zh-CN"")"),"电缆被抬起。")</f>
        <v>电缆被抬起。</v>
      </c>
    </row>
    <row r="31872">
      <c r="A31872" s="4" t="s">
        <v>40122</v>
      </c>
      <c r="B31872" s="4" t="s">
        <v>40127</v>
      </c>
      <c r="C31872" s="5" t="str">
        <f>IFERROR(__xludf.DUMMYFUNCTION("GOOGLETRANSLATE(B31872,""en"",""zh-CN"")"),"男人和女人从蹦床中删除了他们从蹦床上移走的东西，然后离开。")</f>
        <v>男人和女人从蹦床中删除了他们从蹦床上移走的东西，然后离开。</v>
      </c>
    </row>
    <row r="31873">
      <c r="A31873" s="4" t="s">
        <v>40122</v>
      </c>
      <c r="B31873" s="4" t="s">
        <v>40128</v>
      </c>
      <c r="C31873" s="5" t="str">
        <f>IFERROR(__xludf.DUMMYFUNCTION("GOOGLETRANSLATE(B31873,""en"",""zh-CN"")"),"腿部伸展的家伙离开了。")</f>
        <v>腿部伸展的家伙离开了。</v>
      </c>
    </row>
    <row r="31874">
      <c r="A31874" s="4" t="s">
        <v>40122</v>
      </c>
      <c r="B31874" s="4" t="s">
        <v>40129</v>
      </c>
      <c r="C31874" s="5" t="str">
        <f>IFERROR(__xludf.DUMMYFUNCTION("GOOGLETRANSLATE(B31874,""en"",""zh-CN"")"),"两个人带着椅子和水桶进入。")</f>
        <v>两个人带着椅子和水桶进入。</v>
      </c>
    </row>
    <row r="31875">
      <c r="A31875" s="4" t="s">
        <v>40130</v>
      </c>
      <c r="B31875" s="4" t="s">
        <v>40131</v>
      </c>
      <c r="C31875" s="5" t="str">
        <f>IFERROR(__xludf.DUMMYFUNCTION("GOOGLETRANSLATE(B31875,""en"",""zh-CN"")"),"水肺潜水员正在视频游戏中的水中游泳。")</f>
        <v>水肺潜水员正在视频游戏中的水中游泳。</v>
      </c>
    </row>
    <row r="31876">
      <c r="A31876" s="4" t="s">
        <v>40130</v>
      </c>
      <c r="B31876" s="4" t="s">
        <v>40132</v>
      </c>
      <c r="C31876" s="5" t="str">
        <f>IFERROR(__xludf.DUMMYFUNCTION("GOOGLETRANSLATE(B31876,""en"",""zh-CN"")"),"他们正在透过一艘旧船的瓦砾。")</f>
        <v>他们正在透过一艘旧船的瓦砾。</v>
      </c>
    </row>
    <row r="31877">
      <c r="A31877" s="4" t="s">
        <v>40130</v>
      </c>
      <c r="B31877" s="4" t="s">
        <v>40133</v>
      </c>
      <c r="C31877" s="5" t="str">
        <f>IFERROR(__xludf.DUMMYFUNCTION("GOOGLETRANSLATE(B31877,""en"",""zh-CN"")"),"他们上船开车。")</f>
        <v>他们上船开车。</v>
      </c>
    </row>
    <row r="31878">
      <c r="A31878" s="4" t="s">
        <v>40130</v>
      </c>
      <c r="B31878" s="4" t="s">
        <v>40134</v>
      </c>
      <c r="C31878" s="5" t="str">
        <f>IFERROR(__xludf.DUMMYFUNCTION("GOOGLETRANSLATE(B31878,""en"",""zh-CN"")"),"他们再次在水下跳下。")</f>
        <v>他们再次在水下跳下。</v>
      </c>
    </row>
    <row r="31879">
      <c r="A31879" s="4" t="s">
        <v>40135</v>
      </c>
      <c r="B31879" s="4" t="s">
        <v>40136</v>
      </c>
      <c r="C31879" s="5" t="str">
        <f>IFERROR(__xludf.DUMMYFUNCTION("GOOGLETRANSLATE(B31879,""en"",""zh-CN"")"),"一个人准备沿着室内轨道奔跑。")</f>
        <v>一个人准备沿着室内轨道奔跑。</v>
      </c>
    </row>
    <row r="31880">
      <c r="A31880" s="4" t="s">
        <v>40135</v>
      </c>
      <c r="B31880" s="4" t="s">
        <v>40137</v>
      </c>
      <c r="C31880" s="5" t="str">
        <f>IFERROR(__xludf.DUMMYFUNCTION("GOOGLETRANSLATE(B31880,""en"",""zh-CN"")"),"他跑步，大步向前。")</f>
        <v>他跑步，大步向前。</v>
      </c>
    </row>
    <row r="31881">
      <c r="A31881" s="4" t="s">
        <v>40135</v>
      </c>
      <c r="B31881" s="4" t="s">
        <v>40138</v>
      </c>
      <c r="C31881" s="5" t="str">
        <f>IFERROR(__xludf.DUMMYFUNCTION("GOOGLETRANSLATE(B31881,""en"",""zh-CN"")"),"他尴尬地跳入沙子，降落在脸上。")</f>
        <v>他尴尬地跳入沙子，降落在脸上。</v>
      </c>
    </row>
    <row r="31882">
      <c r="A31882" s="4" t="s">
        <v>40139</v>
      </c>
      <c r="B31882" s="6" t="s">
        <v>40140</v>
      </c>
      <c r="C31882" s="5" t="str">
        <f>IFERROR(__xludf.DUMMYFUNCTION("GOOGLETRANSLATE(B31882,""en"",""zh-CN"")"),"有一个年轻人穿着蓝色外套和一件白色衬衫，站在墙壁上，墙壁上有白色的浴室瓷砖。")</f>
        <v>有一个年轻人穿着蓝色外套和一件白色衬衫，站在墙壁上，墙壁上有白色的浴室瓷砖。</v>
      </c>
    </row>
    <row r="31883">
      <c r="A31883" s="4" t="s">
        <v>40139</v>
      </c>
      <c r="B31883" s="4" t="s">
        <v>40141</v>
      </c>
      <c r="C31883" s="5" t="str">
        <f>IFERROR(__xludf.DUMMYFUNCTION("GOOGLETRANSLATE(B31883,""en"",""zh-CN"")"),"他正在抽烟。")</f>
        <v>他正在抽烟。</v>
      </c>
    </row>
    <row r="31884">
      <c r="A31884" s="4" t="s">
        <v>40139</v>
      </c>
      <c r="B31884" s="6" t="s">
        <v>40142</v>
      </c>
      <c r="C31884" s="5" t="str">
        <f>IFERROR(__xludf.DUMMYFUNCTION("GOOGLETRANSLATE(B31884,""en"",""zh-CN"")"),"当他清空侧面烧烟的灰烬时，他继续抽了几烟。")</f>
        <v>当他清空侧面烧烟的灰烬时，他继续抽了几烟。</v>
      </c>
    </row>
    <row r="31885">
      <c r="A31885" s="4" t="s">
        <v>40139</v>
      </c>
      <c r="B31885" s="4" t="s">
        <v>40143</v>
      </c>
      <c r="C31885" s="5" t="str">
        <f>IFERROR(__xludf.DUMMYFUNCTION("GOOGLETRANSLATE(B31885,""en"",""zh-CN"")"),"当他继续抽烟时，他看起来有些困惑。")</f>
        <v>当他继续抽烟时，他看起来有些困惑。</v>
      </c>
    </row>
    <row r="31886">
      <c r="A31886" s="4" t="s">
        <v>40144</v>
      </c>
      <c r="B31886" s="4" t="s">
        <v>40145</v>
      </c>
      <c r="C31886" s="5" t="str">
        <f>IFERROR(__xludf.DUMMYFUNCTION("GOOGLETRANSLATE(B31886,""en"",""zh-CN"")"),"看到三个人站在一个沙质的田地上，并带领一个进球。")</f>
        <v>看到三个人站在一个沙质的田地上，并带领一个进球。</v>
      </c>
    </row>
    <row r="31887">
      <c r="A31887" s="4" t="s">
        <v>40144</v>
      </c>
      <c r="B31887" s="4" t="s">
        <v>40146</v>
      </c>
      <c r="C31887" s="5" t="str">
        <f>IFERROR(__xludf.DUMMYFUNCTION("GOOGLETRANSLATE(B31887,""en"",""zh-CN"")"),"这些人庆祝他的剪辑再次显示几次。")</f>
        <v>这些人庆祝他的剪辑再次显示几次。</v>
      </c>
    </row>
    <row r="31888">
      <c r="A31888" s="4" t="s">
        <v>40144</v>
      </c>
      <c r="B31888" s="4" t="s">
        <v>40147</v>
      </c>
      <c r="C31888" s="5" t="str">
        <f>IFERROR(__xludf.DUMMYFUNCTION("GOOGLETRANSLATE(B31888,""en"",""zh-CN"")"),"这些人继续庆祝并再次开始比赛。")</f>
        <v>这些人继续庆祝并再次开始比赛。</v>
      </c>
    </row>
    <row r="31889">
      <c r="A31889" s="4" t="s">
        <v>40148</v>
      </c>
      <c r="B31889" s="4" t="s">
        <v>40149</v>
      </c>
      <c r="C31889" s="5" t="str">
        <f>IFERROR(__xludf.DUMMYFUNCTION("GOOGLETRANSLATE(B31889,""en"",""zh-CN"")"),"一位女士从脸上擦去口红。")</f>
        <v>一位女士从脸上擦去口红。</v>
      </c>
    </row>
    <row r="31890">
      <c r="A31890" s="4" t="s">
        <v>40148</v>
      </c>
      <c r="B31890" s="4" t="s">
        <v>40150</v>
      </c>
      <c r="C31890" s="5" t="str">
        <f>IFERROR(__xludf.DUMMYFUNCTION("GOOGLETRANSLATE(B31890,""en"",""zh-CN"")"),"那位女士然后用铅笔排在嘴唇上。")</f>
        <v>那位女士然后用铅笔排在嘴唇上。</v>
      </c>
    </row>
    <row r="31891">
      <c r="A31891" s="4" t="s">
        <v>40148</v>
      </c>
      <c r="B31891" s="4" t="s">
        <v>40151</v>
      </c>
      <c r="C31891" s="5" t="str">
        <f>IFERROR(__xludf.DUMMYFUNCTION("GOOGLETRANSLATE(B31891,""en"",""zh-CN"")"),"女士停下来调整相机。")</f>
        <v>女士停下来调整相机。</v>
      </c>
    </row>
    <row r="31892">
      <c r="A31892" s="4" t="s">
        <v>40148</v>
      </c>
      <c r="B31892" s="4" t="s">
        <v>40152</v>
      </c>
      <c r="C31892" s="5" t="str">
        <f>IFERROR(__xludf.DUMMYFUNCTION("GOOGLETRANSLATE(B31892,""en"",""zh-CN"")"),"相机移动，我们看到一个女士旁边的男人。")</f>
        <v>相机移动，我们看到一个女士旁边的男人。</v>
      </c>
    </row>
    <row r="31893">
      <c r="A31893" s="4" t="s">
        <v>40148</v>
      </c>
      <c r="B31893" s="4" t="s">
        <v>40153</v>
      </c>
      <c r="C31893" s="5" t="str">
        <f>IFERROR(__xludf.DUMMYFUNCTION("GOOGLETRANSLATE(B31893,""en"",""zh-CN"")"),"那位女士将头发固定在相机中。")</f>
        <v>那位女士将头发固定在相机中。</v>
      </c>
    </row>
    <row r="31894">
      <c r="A31894" s="4" t="s">
        <v>40154</v>
      </c>
      <c r="B31894" s="4" t="s">
        <v>40155</v>
      </c>
      <c r="C31894" s="5" t="str">
        <f>IFERROR(__xludf.DUMMYFUNCTION("GOOGLETRANSLATE(B31894,""en"",""zh-CN"")"),"看到一个男人站在厨房的水槽前，手里洗碗。")</f>
        <v>看到一个男人站在厨房的水槽前，手里洗碗。</v>
      </c>
    </row>
    <row r="31895">
      <c r="A31895" s="4" t="s">
        <v>40154</v>
      </c>
      <c r="B31895" s="4" t="s">
        <v>40156</v>
      </c>
      <c r="C31895" s="5" t="str">
        <f>IFERROR(__xludf.DUMMYFUNCTION("GOOGLETRANSLATE(B31895,""en"",""zh-CN"")"),"然后，该男子清洗菜，把它们放开，然后看着不高兴的菜，看到更多的菜肴。")</f>
        <v>然后，该男子清洗菜，把它们放开，然后看着不高兴的菜，看到更多的菜肴。</v>
      </c>
    </row>
    <row r="31896">
      <c r="A31896" s="4" t="s">
        <v>40157</v>
      </c>
      <c r="B31896" s="4" t="s">
        <v>40158</v>
      </c>
      <c r="C31896" s="5" t="str">
        <f>IFERROR(__xludf.DUMMYFUNCTION("GOOGLETRANSLATE(B31896,""en"",""zh-CN"")"),"一个年轻的女人穿着斑马的连体衣，坐在床上抽烟。")</f>
        <v>一个年轻的女人穿着斑马的连体衣，坐在床上抽烟。</v>
      </c>
    </row>
    <row r="31897">
      <c r="A31897" s="4" t="s">
        <v>40157</v>
      </c>
      <c r="B31897" s="4" t="s">
        <v>40159</v>
      </c>
      <c r="C31897" s="5" t="str">
        <f>IFERROR(__xludf.DUMMYFUNCTION("GOOGLETRANSLATE(B31897,""en"",""zh-CN"")"),"她取了两个泡芙，呼气烟雾，火花从试管的末端飞来飞去。")</f>
        <v>她取了两个泡芙，呼气烟雾，火花从试管的末端飞来飞去。</v>
      </c>
    </row>
    <row r="31898">
      <c r="A31898" s="4" t="s">
        <v>40157</v>
      </c>
      <c r="B31898" s="6" t="s">
        <v>40160</v>
      </c>
      <c r="C31898" s="5" t="str">
        <f>IFERROR(__xludf.DUMMYFUNCTION("GOOGLETRANSLATE(B31898,""en"",""zh-CN"")"),"相机后面的男人切换，然后在女孩开始记录时开始抽烟。")</f>
        <v>相机后面的男人切换，然后在女孩开始记录时开始抽烟。</v>
      </c>
    </row>
    <row r="31899">
      <c r="A31899" s="4" t="s">
        <v>40157</v>
      </c>
      <c r="B31899" s="4" t="s">
        <v>40161</v>
      </c>
      <c r="C31899" s="5" t="str">
        <f>IFERROR(__xludf.DUMMYFUNCTION("GOOGLETRANSLATE(B31899,""en"",""zh-CN"")"),"一旦他完成，水烟就会给女孩，她开始吸烟。")</f>
        <v>一旦他完成，水烟就会给女孩，她开始吸烟。</v>
      </c>
    </row>
    <row r="31900">
      <c r="A31900" s="4" t="s">
        <v>40162</v>
      </c>
      <c r="B31900" s="4" t="s">
        <v>40163</v>
      </c>
      <c r="C31900" s="5" t="str">
        <f>IFERROR(__xludf.DUMMYFUNCTION("GOOGLETRANSLATE(B31900,""en"",""zh-CN"")"),"一个人打扮成达斯·维达（Darth Vader）在人行道上扮演小提琴。")</f>
        <v>一个人打扮成达斯·维达（Darth Vader）在人行道上扮演小提琴。</v>
      </c>
    </row>
    <row r="31901">
      <c r="A31901" s="4" t="s">
        <v>40162</v>
      </c>
      <c r="B31901" s="4" t="s">
        <v>40164</v>
      </c>
      <c r="C31901" s="5" t="str">
        <f>IFERROR(__xludf.DUMMYFUNCTION("GOOGLETRANSLATE(B31901,""en"",""zh-CN"")"),"人们走在他面前。")</f>
        <v>人们走在他面前。</v>
      </c>
    </row>
    <row r="31902">
      <c r="A31902" s="4" t="s">
        <v>40165</v>
      </c>
      <c r="B31902" s="4" t="s">
        <v>40166</v>
      </c>
      <c r="C31902" s="5" t="str">
        <f>IFERROR(__xludf.DUMMYFUNCTION("GOOGLETRANSLATE(B31902,""en"",""zh-CN"")"),"一个男人穿着黑皮带的白色长袍。")</f>
        <v>一个男人穿着黑皮带的白色长袍。</v>
      </c>
    </row>
    <row r="31903">
      <c r="A31903" s="4" t="s">
        <v>40165</v>
      </c>
      <c r="B31903" s="4" t="s">
        <v>40167</v>
      </c>
      <c r="C31903" s="5" t="str">
        <f>IFERROR(__xludf.DUMMYFUNCTION("GOOGLETRANSLATE(B31903,""en"",""zh-CN"")"),"他开始在房间里进行空手道动作。")</f>
        <v>他开始在房间里进行空手道动作。</v>
      </c>
    </row>
    <row r="31904">
      <c r="A31904" s="4" t="s">
        <v>40165</v>
      </c>
      <c r="B31904" s="4" t="s">
        <v>40168</v>
      </c>
      <c r="C31904" s="5" t="str">
        <f>IFERROR(__xludf.DUMMYFUNCTION("GOOGLETRANSLATE(B31904,""en"",""zh-CN"")"),"他站起来站起来。")</f>
        <v>他站起来站起来。</v>
      </c>
    </row>
    <row r="31905">
      <c r="A31905" s="4" t="s">
        <v>40169</v>
      </c>
      <c r="B31905" s="6" t="s">
        <v>40170</v>
      </c>
      <c r="C31905" s="5" t="str">
        <f>IFERROR(__xludf.DUMMYFUNCTION("GOOGLETRANSLATE(B31905,""en"",""zh-CN"")"),"看到一个兴奋的男人与镜头交谈，并过渡为男子赢得比赛，啤酒和主持人采访的几枪。")</f>
        <v>看到一个兴奋的男人与镜头交谈，并过渡为男子赢得比赛，啤酒和主持人采访的几枪。</v>
      </c>
    </row>
    <row r="31906">
      <c r="A31906" s="4" t="s">
        <v>40169</v>
      </c>
      <c r="B31906" s="6" t="s">
        <v>40171</v>
      </c>
      <c r="C31906" s="5" t="str">
        <f>IFERROR(__xludf.DUMMYFUNCTION("GOOGLETRANSLATE(B31906,""en"",""zh-CN"")"),"然后看到这些人在玩啤酒乒乓球比赛，周围有几个人，并露出剃光头。")</f>
        <v>然后看到这些人在玩啤酒乒乓球比赛，周围有几个人，并露出剃光头。</v>
      </c>
    </row>
    <row r="31907">
      <c r="A31907" s="4" t="s">
        <v>40169</v>
      </c>
      <c r="B31907" s="4" t="s">
        <v>40172</v>
      </c>
      <c r="C31907" s="5" t="str">
        <f>IFERROR(__xludf.DUMMYFUNCTION("GOOGLETRANSLATE(B31907,""en"",""zh-CN"")"),"看到一个男人在电话上聊天，并显示了更多玩啤酒乒乓球的人的镜头。")</f>
        <v>看到一个男人在电话上聊天，并显示了更多玩啤酒乒乓球的人的镜头。</v>
      </c>
    </row>
    <row r="31908">
      <c r="A31908" s="4" t="s">
        <v>40173</v>
      </c>
      <c r="B31908" s="4" t="s">
        <v>40174</v>
      </c>
      <c r="C31908" s="5" t="str">
        <f>IFERROR(__xludf.DUMMYFUNCTION("GOOGLETRANSLATE(B31908,""en"",""zh-CN"")"),"一个女人四处旋转，炫耀她的发型。")</f>
        <v>一个女人四处旋转，炫耀她的发型。</v>
      </c>
    </row>
    <row r="31909">
      <c r="A31909" s="4" t="s">
        <v>40173</v>
      </c>
      <c r="B31909" s="4" t="s">
        <v>40175</v>
      </c>
      <c r="C31909" s="5" t="str">
        <f>IFERROR(__xludf.DUMMYFUNCTION("GOOGLETRANSLATE(B31909,""en"",""zh-CN"")"),"我们在屏幕上看到黑发干燥。")</f>
        <v>我们在屏幕上看到黑发干燥。</v>
      </c>
    </row>
    <row r="31910">
      <c r="A31910" s="4" t="s">
        <v>40173</v>
      </c>
      <c r="B31910" s="6" t="s">
        <v>40176</v>
      </c>
      <c r="C31910" s="5" t="str">
        <f>IFERROR(__xludf.DUMMYFUNCTION("GOOGLETRANSLATE(B31910,""en"",""zh-CN"")"),"该名女子在背景中被另一个女人造型，而文字则用说明覆盖了屏幕。")</f>
        <v>该名女子在背景中被另一个女人造型，而文字则用说明覆盖了屏幕。</v>
      </c>
    </row>
    <row r="31911">
      <c r="A31911" s="4" t="s">
        <v>40173</v>
      </c>
      <c r="B31911" s="4" t="s">
        <v>40177</v>
      </c>
      <c r="C31911" s="5" t="str">
        <f>IFERROR(__xludf.DUMMYFUNCTION("GOOGLETRANSLATE(B31911,""en"",""zh-CN"")"),"女人刷并最终确定了风格，客户的笑容灿烂。")</f>
        <v>女人刷并最终确定了风格，客户的笑容灿烂。</v>
      </c>
    </row>
    <row r="31912">
      <c r="A31912" s="4" t="s">
        <v>40178</v>
      </c>
      <c r="B31912" s="4" t="s">
        <v>40179</v>
      </c>
      <c r="C31912" s="5" t="str">
        <f>IFERROR(__xludf.DUMMYFUNCTION("GOOGLETRANSLATE(B31912,""en"",""zh-CN"")"),"看到一个男人坐在公园长凳上，旁边有一个小男孩在弹吉他。")</f>
        <v>看到一个男人坐在公园长凳上，旁边有一个小男孩在弹吉他。</v>
      </c>
    </row>
    <row r="31913">
      <c r="A31913" s="4" t="s">
        <v>40178</v>
      </c>
      <c r="B31913" s="4" t="s">
        <v>40180</v>
      </c>
      <c r="C31913" s="5" t="str">
        <f>IFERROR(__xludf.DUMMYFUNCTION("GOOGLETRANSLATE(B31913,""en"",""zh-CN"")"),"然后，男孩开始弹吉他的男人旁边的鼓。")</f>
        <v>然后，男孩开始弹吉他的男人旁边的鼓。</v>
      </c>
    </row>
    <row r="31914">
      <c r="A31914" s="4" t="s">
        <v>40178</v>
      </c>
      <c r="B31914" s="6" t="s">
        <v>40181</v>
      </c>
      <c r="C31914" s="5" t="str">
        <f>IFERROR(__xludf.DUMMYFUNCTION("GOOGLETRANSLATE(B31914,""en"",""zh-CN"")"),"两人继续互相玩耍，停下来挥手向相机互相交谈。")</f>
        <v>两人继续互相玩耍，停下来挥手向相机互相交谈。</v>
      </c>
    </row>
    <row r="31915">
      <c r="A31915" s="4" t="s">
        <v>40182</v>
      </c>
      <c r="B31915" s="4" t="s">
        <v>40183</v>
      </c>
      <c r="C31915" s="5" t="str">
        <f>IFERROR(__xludf.DUMMYFUNCTION("GOOGLETRANSLATE(B31915,""en"",""zh-CN"")"),"一个人正在打开机器，看着软管旋转表盘时长大。")</f>
        <v>一个人正在打开机器，看着软管旋转表盘时长大。</v>
      </c>
    </row>
    <row r="31916">
      <c r="A31916" s="4" t="s">
        <v>40182</v>
      </c>
      <c r="B31916" s="4" t="s">
        <v>40184</v>
      </c>
      <c r="C31916" s="5" t="str">
        <f>IFERROR(__xludf.DUMMYFUNCTION("GOOGLETRANSLATE(B31916,""en"",""zh-CN"")"),"他继续按下按钮，开始修饰狗。")</f>
        <v>他继续按下按钮，开始修饰狗。</v>
      </c>
    </row>
    <row r="31917">
      <c r="A31917" s="4" t="s">
        <v>40182</v>
      </c>
      <c r="B31917" s="6" t="s">
        <v>40185</v>
      </c>
      <c r="C31917" s="5" t="str">
        <f>IFERROR(__xludf.DUMMYFUNCTION("GOOGLETRANSLATE(B31917,""en"",""zh-CN"")"),"这个人在狗上上下上下，最终使他看起来像新的环境一样好。")</f>
        <v>这个人在狗上上下上下，最终使他看起来像新的环境一样好。</v>
      </c>
    </row>
    <row r="31918">
      <c r="A31918" s="4" t="s">
        <v>40186</v>
      </c>
      <c r="B31918" s="4" t="s">
        <v>40187</v>
      </c>
      <c r="C31918" s="5" t="str">
        <f>IFERROR(__xludf.DUMMYFUNCTION("GOOGLETRANSLATE(B31918,""en"",""zh-CN"")"),"一个年轻的女孩坐在一个空的浴缸里，剃了一个被扔在浴缸上的男人的腿。")</f>
        <v>一个年轻的女孩坐在一个空的浴缸里，剃了一个被扔在浴缸上的男人的腿。</v>
      </c>
    </row>
    <row r="31919">
      <c r="A31919" s="4" t="s">
        <v>40186</v>
      </c>
      <c r="B31919" s="4" t="s">
        <v>40188</v>
      </c>
      <c r="C31919" s="5" t="str">
        <f>IFERROR(__xludf.DUMMYFUNCTION("GOOGLETRANSLATE(B31919,""en"",""zh-CN"")"),"当她继续前进时，那只狗来了，她在剃须刀上展示了相机上的头发。")</f>
        <v>当她继续前进时，那只狗来了，她在剃须刀上展示了相机上的头发。</v>
      </c>
    </row>
    <row r="31920">
      <c r="A31920" s="4" t="s">
        <v>40189</v>
      </c>
      <c r="B31920" s="4" t="s">
        <v>40190</v>
      </c>
      <c r="C31920" s="5" t="str">
        <f>IFERROR(__xludf.DUMMYFUNCTION("GOOGLETRANSLATE(B31920,""en"",""zh-CN"")"),"有两个学生，一个男孩和一个女孩在撑杆跳跑道上。")</f>
        <v>有两个学生，一个男孩和一个女孩在撑杆跳跑道上。</v>
      </c>
    </row>
    <row r="31921">
      <c r="A31921" s="4" t="s">
        <v>40189</v>
      </c>
      <c r="B31921" s="6" t="s">
        <v>40191</v>
      </c>
      <c r="C31921" s="5" t="str">
        <f>IFERROR(__xludf.DUMMYFUNCTION("GOOGLETRANSLATE(B31921,""en"",""zh-CN"")"),"其中一名学生，一个男孩在跑道上冲刺，一个人蓝色的人看着他表演。")</f>
        <v>其中一名学生，一个男孩在跑道上冲刺，一个人蓝色的人看着他表演。</v>
      </c>
    </row>
    <row r="31922">
      <c r="A31922" s="4" t="s">
        <v>40189</v>
      </c>
      <c r="B31922" s="4" t="s">
        <v>40192</v>
      </c>
      <c r="C31922" s="5" t="str">
        <f>IFERROR(__xludf.DUMMYFUNCTION("GOOGLETRANSLATE(B31922,""en"",""zh-CN"")"),"然后，他跳高，在着陆区降落几英尺。")</f>
        <v>然后，他跳高，在着陆区降落几英尺。</v>
      </c>
    </row>
    <row r="31923">
      <c r="A31923" s="4" t="s">
        <v>40189</v>
      </c>
      <c r="B31923" s="4" t="s">
        <v>40193</v>
      </c>
      <c r="C31923" s="5" t="str">
        <f>IFERROR(__xludf.DUMMYFUNCTION("GOOGLETRANSLATE(B31923,""en"",""zh-CN"")"),"他的举动以慢动作重播，以捕捉他的跳跃和着陆。")</f>
        <v>他的举动以慢动作重播，以捕捉他的跳跃和着陆。</v>
      </c>
    </row>
    <row r="31924">
      <c r="A31924" s="4" t="s">
        <v>40194</v>
      </c>
      <c r="B31924" s="4" t="s">
        <v>40195</v>
      </c>
      <c r="C31924" s="5" t="str">
        <f>IFERROR(__xludf.DUMMYFUNCTION("GOOGLETRANSLATE(B31924,""en"",""zh-CN"")"),"看到一小群女孩走到一个舞台上，随后有更多的人跟随。")</f>
        <v>看到一小群女孩走到一个舞台上，随后有更多的人跟随。</v>
      </c>
    </row>
    <row r="31925">
      <c r="A31925" s="4" t="s">
        <v>40194</v>
      </c>
      <c r="B31925" s="6" t="s">
        <v>40196</v>
      </c>
      <c r="C31925" s="5" t="str">
        <f>IFERROR(__xludf.DUMMYFUNCTION("GOOGLETRANSLATE(B31925,""en"",""zh-CN"")"),"越来越多的人继续走出舞台，有一些握着的标志，其他人则在旁边看着。")</f>
        <v>越来越多的人继续走出舞台，有一些握着的标志，其他人则在旁边看着。</v>
      </c>
    </row>
    <row r="31926">
      <c r="A31926" s="4" t="s">
        <v>40197</v>
      </c>
      <c r="B31926" s="4" t="s">
        <v>40198</v>
      </c>
      <c r="C31926" s="5" t="str">
        <f>IFERROR(__xludf.DUMMYFUNCTION("GOOGLETRANSLATE(B31926,""en"",""zh-CN"")"),"一个空手道班的男孩在表演前鞠躬。")</f>
        <v>一个空手道班的男孩在表演前鞠躬。</v>
      </c>
    </row>
    <row r="31927">
      <c r="A31927" s="4" t="s">
        <v>40197</v>
      </c>
      <c r="B31927" s="4" t="s">
        <v>40199</v>
      </c>
      <c r="C31927" s="5" t="str">
        <f>IFERROR(__xludf.DUMMYFUNCTION("GOOGLETRANSLATE(B31927,""en"",""zh-CN"")"),"这个男孩用手持镰刀表演空手道常规。")</f>
        <v>这个男孩用手持镰刀表演空手道常规。</v>
      </c>
    </row>
    <row r="31928">
      <c r="A31928" s="4" t="s">
        <v>40197</v>
      </c>
      <c r="B31928" s="4" t="s">
        <v>40200</v>
      </c>
      <c r="C31928" s="5" t="str">
        <f>IFERROR(__xludf.DUMMYFUNCTION("GOOGLETRANSLATE(B31928,""en"",""zh-CN"")"),"男孩结束了他的例行程序和鞠躬。")</f>
        <v>男孩结束了他的例行程序和鞠躬。</v>
      </c>
    </row>
    <row r="31929">
      <c r="A31929" s="4" t="s">
        <v>40201</v>
      </c>
      <c r="B31929" s="4" t="s">
        <v>40202</v>
      </c>
      <c r="C31929" s="5" t="str">
        <f>IFERROR(__xludf.DUMMYFUNCTION("GOOGLETRANSLATE(B31929,""en"",""zh-CN"")"),"我们看到一个男人步行到平行的酒吧，然后跳下去。")</f>
        <v>我们看到一个男人步行到平行的酒吧，然后跳下去。</v>
      </c>
    </row>
    <row r="31930">
      <c r="A31930" s="4" t="s">
        <v>40201</v>
      </c>
      <c r="B31930" s="4" t="s">
        <v>40203</v>
      </c>
      <c r="C31930" s="5" t="str">
        <f>IFERROR(__xludf.DUMMYFUNCTION("GOOGLETRANSLATE(B31930,""en"",""zh-CN"")"),"我们看到该男子在酒吧上表演例程。")</f>
        <v>我们看到该男子在酒吧上表演例程。</v>
      </c>
    </row>
    <row r="31931">
      <c r="A31931" s="4" t="s">
        <v>40201</v>
      </c>
      <c r="B31931" s="4" t="s">
        <v>40204</v>
      </c>
      <c r="C31931" s="5" t="str">
        <f>IFERROR(__xludf.DUMMYFUNCTION("GOOGLETRANSLATE(B31931,""en"",""zh-CN"")"),"该男子倒立。")</f>
        <v>该男子倒立。</v>
      </c>
    </row>
    <row r="31932">
      <c r="A31932" s="4" t="s">
        <v>40201</v>
      </c>
      <c r="B31932" s="4" t="s">
        <v>40205</v>
      </c>
      <c r="C31932" s="5" t="str">
        <f>IFERROR(__xludf.DUMMYFUNCTION("GOOGLETRANSLATE(B31932,""en"",""zh-CN"")"),"该男子从酒吧翻转和下马。")</f>
        <v>该男子从酒吧翻转和下马。</v>
      </c>
    </row>
    <row r="31933">
      <c r="A31933" s="4" t="s">
        <v>40201</v>
      </c>
      <c r="B31933" s="4" t="s">
        <v>40206</v>
      </c>
      <c r="C31933" s="5" t="str">
        <f>IFERROR(__xludf.DUMMYFUNCTION("GOOGLETRANSLATE(B31933,""en"",""zh-CN"")"),"该男子举起双臂。")</f>
        <v>该男子举起双臂。</v>
      </c>
    </row>
    <row r="31934">
      <c r="A31934" s="4" t="s">
        <v>40201</v>
      </c>
      <c r="B31934" s="4" t="s">
        <v>40207</v>
      </c>
      <c r="C31934" s="5" t="str">
        <f>IFERROR(__xludf.DUMMYFUNCTION("GOOGLETRANSLATE(B31934,""en"",""zh-CN"")"),"该男子走开，拥抱另一个男人。")</f>
        <v>该男子走开，拥抱另一个男人。</v>
      </c>
    </row>
    <row r="31935">
      <c r="A31935" s="4" t="s">
        <v>40208</v>
      </c>
      <c r="B31935" s="4" t="s">
        <v>40209</v>
      </c>
      <c r="C31935" s="5" t="str">
        <f>IFERROR(__xludf.DUMMYFUNCTION("GOOGLETRANSLATE(B31935,""en"",""zh-CN"")"),"一位女士站在客厅里讨论。")</f>
        <v>一位女士站在客厅里讨论。</v>
      </c>
    </row>
    <row r="31936">
      <c r="A31936" s="4" t="s">
        <v>40208</v>
      </c>
      <c r="B31936" s="4" t="s">
        <v>40210</v>
      </c>
      <c r="C31936" s="5" t="str">
        <f>IFERROR(__xludf.DUMMYFUNCTION("GOOGLETRANSLATE(B31936,""en"",""zh-CN"")"),"那位女士很容易拉出墙壁的墙纸。")</f>
        <v>那位女士很容易拉出墙壁的墙纸。</v>
      </c>
    </row>
    <row r="31937">
      <c r="A31937" s="4" t="s">
        <v>40208</v>
      </c>
      <c r="B31937" s="4" t="s">
        <v>40211</v>
      </c>
      <c r="C31937" s="5" t="str">
        <f>IFERROR(__xludf.DUMMYFUNCTION("GOOGLETRANSLATE(B31937,""en"",""zh-CN"")"),"女人用液体涂墙壁。")</f>
        <v>女人用液体涂墙壁。</v>
      </c>
    </row>
    <row r="31938">
      <c r="A31938" s="4" t="s">
        <v>40208</v>
      </c>
      <c r="B31938" s="4" t="s">
        <v>40212</v>
      </c>
      <c r="C31938" s="5" t="str">
        <f>IFERROR(__xludf.DUMMYFUNCTION("GOOGLETRANSLATE(B31938,""en"",""zh-CN"")"),"女人把墙纸放在该地区。")</f>
        <v>女人把墙纸放在该地区。</v>
      </c>
    </row>
    <row r="31939">
      <c r="A31939" s="4" t="s">
        <v>40208</v>
      </c>
      <c r="B31939" s="4" t="s">
        <v>40213</v>
      </c>
      <c r="C31939" s="5" t="str">
        <f>IFERROR(__xludf.DUMMYFUNCTION("GOOGLETRANSLATE(B31939,""en"",""zh-CN"")"),"女人用盒子切割墙纸。")</f>
        <v>女人用盒子切割墙纸。</v>
      </c>
    </row>
    <row r="31940">
      <c r="A31940" s="4" t="s">
        <v>40208</v>
      </c>
      <c r="B31940" s="4" t="s">
        <v>40214</v>
      </c>
      <c r="C31940" s="5" t="str">
        <f>IFERROR(__xludf.DUMMYFUNCTION("GOOGLETRANSLATE(B31940,""en"",""zh-CN"")"),"女人用油漆涂墙纸。")</f>
        <v>女人用油漆涂墙纸。</v>
      </c>
    </row>
    <row r="31941">
      <c r="A31941" s="4" t="s">
        <v>40215</v>
      </c>
      <c r="B31941" s="4" t="s">
        <v>40216</v>
      </c>
      <c r="C31941" s="5" t="str">
        <f>IFERROR(__xludf.DUMMYFUNCTION("GOOGLETRANSLATE(B31941,""en"",""zh-CN"")"),"看到一个运动员准备好站立，开始沿着轨道奔跑并跳入坑中。")</f>
        <v>看到一个运动员准备好站立，开始沿着轨道奔跑并跳入坑中。</v>
      </c>
    </row>
    <row r="31942">
      <c r="A31942" s="4" t="s">
        <v>40215</v>
      </c>
      <c r="B31942" s="4" t="s">
        <v>40217</v>
      </c>
      <c r="C31942" s="5" t="str">
        <f>IFERROR(__xludf.DUMMYFUNCTION("GOOGLETRANSLATE(B31942,""en"",""zh-CN"")"),"该男子在表现出他的分数时庆祝，并以慢动作再次显示他的跳跃。")</f>
        <v>该男子在表现出他的分数时庆祝，并以慢动作再次显示他的跳跃。</v>
      </c>
    </row>
    <row r="31943">
      <c r="A31943" s="4" t="s">
        <v>40218</v>
      </c>
      <c r="B31943" s="4" t="s">
        <v>40219</v>
      </c>
      <c r="C31943" s="5" t="str">
        <f>IFERROR(__xludf.DUMMYFUNCTION("GOOGLETRANSLATE(B31943,""en"",""zh-CN"")"),"一个男人教授在萨克斯管上获得喉舌的正确方法。")</f>
        <v>一个男人教授在萨克斯管上获得喉舌的正确方法。</v>
      </c>
    </row>
    <row r="31944">
      <c r="A31944" s="4" t="s">
        <v>40218</v>
      </c>
      <c r="B31944" s="4" t="s">
        <v>40220</v>
      </c>
      <c r="C31944" s="5" t="str">
        <f>IFERROR(__xludf.DUMMYFUNCTION("GOOGLETRANSLATE(B31944,""en"",""zh-CN"")"),"然后，他描述了如何正确弹角。")</f>
        <v>然后，他描述了如何正确弹角。</v>
      </c>
    </row>
    <row r="31945">
      <c r="A31945" s="4" t="s">
        <v>40221</v>
      </c>
      <c r="B31945" s="4" t="s">
        <v>1487</v>
      </c>
      <c r="C31945" s="5" t="str">
        <f>IFERROR(__xludf.DUMMYFUNCTION("GOOGLETRANSLATE(B31945,""en"",""zh-CN"")"),"我们看到一个开放标题屏幕。")</f>
        <v>我们看到一个开放标题屏幕。</v>
      </c>
    </row>
    <row r="31946">
      <c r="A31946" s="4" t="s">
        <v>40221</v>
      </c>
      <c r="B31946" s="4" t="s">
        <v>40222</v>
      </c>
      <c r="C31946" s="5" t="str">
        <f>IFERROR(__xludf.DUMMYFUNCTION("GOOGLETRANSLATE(B31946,""en"",""zh-CN"")"),"一个光着膀子的男人在健身房里说话。")</f>
        <v>一个光着膀子的男人在健身房里说话。</v>
      </c>
    </row>
    <row r="31947">
      <c r="A31947" s="4" t="s">
        <v>40221</v>
      </c>
      <c r="B31947" s="4" t="s">
        <v>40223</v>
      </c>
      <c r="C31947" s="5" t="str">
        <f>IFERROR(__xludf.DUMMYFUNCTION("GOOGLETRANSLATE(B31947,""en"",""zh-CN"")"),"一位女士跑过双向，然后跳起绳索。")</f>
        <v>一位女士跑过双向，然后跳起绳索。</v>
      </c>
    </row>
    <row r="31948">
      <c r="A31948" s="4" t="s">
        <v>40221</v>
      </c>
      <c r="B31948" s="4" t="s">
        <v>40224</v>
      </c>
      <c r="C31948" s="5" t="str">
        <f>IFERROR(__xludf.DUMMYFUNCTION("GOOGLETRANSLATE(B31948,""en"",""zh-CN"")"),"我们看到带有指令的标题屏幕。")</f>
        <v>我们看到带有指令的标题屏幕。</v>
      </c>
    </row>
    <row r="31949">
      <c r="A31949" s="4" t="s">
        <v>40221</v>
      </c>
      <c r="B31949" s="4" t="s">
        <v>40225</v>
      </c>
      <c r="C31949" s="5" t="str">
        <f>IFERROR(__xludf.DUMMYFUNCTION("GOOGLETRANSLATE(B31949,""en"",""zh-CN"")"),"我们看到一条女士跳绳十一种不同的方式。")</f>
        <v>我们看到一条女士跳绳十一种不同的方式。</v>
      </c>
    </row>
    <row r="31950">
      <c r="A31950" s="4" t="s">
        <v>40221</v>
      </c>
      <c r="B31950" s="4" t="s">
        <v>777</v>
      </c>
      <c r="C31950" s="5" t="str">
        <f>IFERROR(__xludf.DUMMYFUNCTION("GOOGLETRANSLATE(B31950,""en"",""zh-CN"")"),"我们看到结尾标题屏幕。")</f>
        <v>我们看到结尾标题屏幕。</v>
      </c>
    </row>
    <row r="31951">
      <c r="A31951" s="4" t="s">
        <v>40226</v>
      </c>
      <c r="B31951" s="4" t="s">
        <v>40227</v>
      </c>
      <c r="C31951" s="5" t="str">
        <f>IFERROR(__xludf.DUMMYFUNCTION("GOOGLETRANSLATE(B31951,""en"",""zh-CN"")"),"显示一条河，汽车是一条尘埃路。")</f>
        <v>显示一条河，汽车是一条尘埃路。</v>
      </c>
    </row>
    <row r="31952">
      <c r="A31952" s="4" t="s">
        <v>40226</v>
      </c>
      <c r="B31952" s="4" t="s">
        <v>40228</v>
      </c>
      <c r="C31952" s="5" t="str">
        <f>IFERROR(__xludf.DUMMYFUNCTION("GOOGLETRANSLATE(B31952,""en"",""zh-CN"")"),"男人在急流上的湖上漂流。")</f>
        <v>男人在急流上的湖上漂流。</v>
      </c>
    </row>
    <row r="31953">
      <c r="A31953" s="4" t="s">
        <v>40229</v>
      </c>
      <c r="B31953" s="4" t="s">
        <v>40230</v>
      </c>
      <c r="C31953" s="5" t="str">
        <f>IFERROR(__xludf.DUMMYFUNCTION("GOOGLETRANSLATE(B31953,""en"",""zh-CN"")"),"可以看到一个图形徽标，其颜色为黑色和白色，字母“ N”。")</f>
        <v>可以看到一个图形徽标，其颜色为黑色和白色，字母“ N”。</v>
      </c>
    </row>
    <row r="31954">
      <c r="A31954" s="4" t="s">
        <v>40229</v>
      </c>
      <c r="B31954" s="4" t="s">
        <v>40231</v>
      </c>
      <c r="C31954" s="5" t="str">
        <f>IFERROR(__xludf.DUMMYFUNCTION("GOOGLETRANSLATE(B31954,""en"",""zh-CN"")"),"电视主机站在伪装的背景前。")</f>
        <v>电视主机站在伪装的背景前。</v>
      </c>
    </row>
    <row r="31955">
      <c r="A31955" s="4" t="s">
        <v>40229</v>
      </c>
      <c r="B31955" s="4" t="s">
        <v>40232</v>
      </c>
      <c r="C31955" s="5" t="str">
        <f>IFERROR(__xludf.DUMMYFUNCTION("GOOGLETRANSLATE(B31955,""en"",""zh-CN"")"),"看到两个女孩穿着棒球制服的照片。")</f>
        <v>看到两个女孩穿着棒球制服的照片。</v>
      </c>
    </row>
    <row r="31956">
      <c r="A31956" s="4" t="s">
        <v>40229</v>
      </c>
      <c r="B31956" s="6" t="s">
        <v>40233</v>
      </c>
      <c r="C31956" s="5" t="str">
        <f>IFERROR(__xludf.DUMMYFUNCTION("GOOGLETRANSLATE(B31956,""en"",""zh-CN"")"),"一大批球迷在棒球场上人群，环绕着一位著名歌手表演。")</f>
        <v>一大批球迷在棒球场上人群，环绕着一位著名歌手表演。</v>
      </c>
    </row>
    <row r="31957">
      <c r="A31957" s="4" t="s">
        <v>40229</v>
      </c>
      <c r="B31957" s="4" t="s">
        <v>40234</v>
      </c>
      <c r="C31957" s="5" t="str">
        <f>IFERROR(__xludf.DUMMYFUNCTION("GOOGLETRANSLATE(B31957,""en"",""zh-CN"")"),"在一场踢球比赛中，红色的手球被踢到踢球手，他将比赛踢入外场进行奔跑。")</f>
        <v>在一场踢球比赛中，红色的手球被踢到踢球手，他将比赛踢入外场进行奔跑。</v>
      </c>
    </row>
    <row r="31958">
      <c r="A31958" s="4" t="s">
        <v>40229</v>
      </c>
      <c r="B31958" s="6" t="s">
        <v>40235</v>
      </c>
      <c r="C31958" s="5" t="str">
        <f>IFERROR(__xludf.DUMMYFUNCTION("GOOGLETRANSLATE(B31958,""en"",""zh-CN"")"),"另一个穿着T恤和黑色汗水的人踢球，并在基地周围奔跑，试图避免被球标记。")</f>
        <v>另一个穿着T恤和黑色汗水的人踢球，并在基地周围奔跑，试图避免被球标记。</v>
      </c>
    </row>
    <row r="31959">
      <c r="A31959" s="4" t="s">
        <v>40229</v>
      </c>
      <c r="B31959" s="4" t="s">
        <v>40236</v>
      </c>
      <c r="C31959" s="5" t="str">
        <f>IFERROR(__xludf.DUMMYFUNCTION("GOOGLETRANSLATE(B31959,""en"",""zh-CN"")"),"同一个人骑在城市的滑板上。")</f>
        <v>同一个人骑在城市的滑板上。</v>
      </c>
    </row>
    <row r="31960">
      <c r="A31960" s="4" t="s">
        <v>40229</v>
      </c>
      <c r="B31960" s="4" t="s">
        <v>40237</v>
      </c>
      <c r="C31960" s="5" t="str">
        <f>IFERROR(__xludf.DUMMYFUNCTION("GOOGLETRANSLATE(B31960,""en"",""zh-CN"")"),"在房间里的一个近距离视频中再次看到该男子。")</f>
        <v>在房间里的一个近距离视频中再次看到该男子。</v>
      </c>
    </row>
    <row r="31961">
      <c r="A31961" s="4" t="s">
        <v>40238</v>
      </c>
      <c r="B31961" s="4" t="s">
        <v>40239</v>
      </c>
      <c r="C31961" s="5" t="str">
        <f>IFERROR(__xludf.DUMMYFUNCTION("GOOGLETRANSLATE(B31961,""en"",""zh-CN"")"),"标题显示为男人骑马穿越竞技场。")</f>
        <v>标题显示为男人骑马穿越竞技场。</v>
      </c>
    </row>
    <row r="31962">
      <c r="A31962" s="4" t="s">
        <v>40238</v>
      </c>
      <c r="B31962" s="4" t="s">
        <v>40240</v>
      </c>
      <c r="C31962" s="5" t="str">
        <f>IFERROR(__xludf.DUMMYFUNCTION("GOOGLETRANSLATE(B31962,""en"",""zh-CN"")"),"然后，有一匹马跳过障碍物的展示。")</f>
        <v>然后，有一匹马跳过障碍物的展示。</v>
      </c>
    </row>
    <row r="31963">
      <c r="A31963" s="4" t="s">
        <v>40238</v>
      </c>
      <c r="B31963" s="4" t="s">
        <v>40241</v>
      </c>
      <c r="C31963" s="5" t="str">
        <f>IFERROR(__xludf.DUMMYFUNCTION("GOOGLETRANSLATE(B31963,""en"",""zh-CN"")"),"其中一张图片在一个圆圈中旋转，下一个视频本身就挤进去。")</f>
        <v>其中一张图片在一个圆圈中旋转，下一个视频本身就挤进去。</v>
      </c>
    </row>
    <row r="31964">
      <c r="A31964" s="4" t="s">
        <v>40238</v>
      </c>
      <c r="B31964" s="4" t="s">
        <v>40242</v>
      </c>
      <c r="C31964" s="5" t="str">
        <f>IFERROR(__xludf.DUMMYFUNCTION("GOOGLETRANSLATE(B31964,""en"",""zh-CN"")"),"它继续显示马在视频效果上跳过障碍。")</f>
        <v>它继续显示马在视频效果上跳过障碍。</v>
      </c>
    </row>
    <row r="31965">
      <c r="A31965" s="4" t="s">
        <v>40238</v>
      </c>
      <c r="B31965" s="4" t="s">
        <v>40243</v>
      </c>
      <c r="C31965" s="5" t="str">
        <f>IFERROR(__xludf.DUMMYFUNCTION("GOOGLETRANSLATE(B31965,""en"",""zh-CN"")"),"一个男人和伴侣一起走在我的一边。")</f>
        <v>一个男人和伴侣一起走在我的一边。</v>
      </c>
    </row>
    <row r="31966">
      <c r="A31966" s="4" t="s">
        <v>40238</v>
      </c>
      <c r="B31966" s="4" t="s">
        <v>40244</v>
      </c>
      <c r="C31966" s="5" t="str">
        <f>IFERROR(__xludf.DUMMYFUNCTION("GOOGLETRANSLATE(B31966,""en"",""zh-CN"")"),"学分角色受到赞扬。")</f>
        <v>学分角色受到赞扬。</v>
      </c>
    </row>
    <row r="31967">
      <c r="A31967" s="4" t="s">
        <v>40245</v>
      </c>
      <c r="B31967" s="4" t="s">
        <v>40246</v>
      </c>
      <c r="C31967" s="5" t="str">
        <f>IFERROR(__xludf.DUMMYFUNCTION("GOOGLETRANSLATE(B31967,""en"",""zh-CN"")"),"红色上衣的女人站着。")</f>
        <v>红色上衣的女人站着。</v>
      </c>
    </row>
    <row r="31968">
      <c r="A31968" s="4" t="s">
        <v>40245</v>
      </c>
      <c r="B31968" s="4" t="s">
        <v>40247</v>
      </c>
      <c r="C31968" s="5" t="str">
        <f>IFERROR(__xludf.DUMMYFUNCTION("GOOGLETRANSLATE(B31968,""en"",""zh-CN"")"),"那个女人首先将手臂伸展，然后再伸出一侧。")</f>
        <v>那个女人首先将手臂伸展，然后再伸出一侧。</v>
      </c>
    </row>
    <row r="31969">
      <c r="A31969" s="4" t="s">
        <v>40245</v>
      </c>
      <c r="B31969" s="4" t="s">
        <v>40248</v>
      </c>
      <c r="C31969" s="5" t="str">
        <f>IFERROR(__xludf.DUMMYFUNCTION("GOOGLETRANSLATE(B31969,""en"",""zh-CN"")"),"那个女人把胳膊放在她的面前，然后伸展并转身。")</f>
        <v>那个女人把胳膊放在她的面前，然后伸展并转身。</v>
      </c>
    </row>
    <row r="31970">
      <c r="A31970" s="4" t="s">
        <v>40249</v>
      </c>
      <c r="B31970" s="4" t="s">
        <v>40250</v>
      </c>
      <c r="C31970" s="5" t="str">
        <f>IFERROR(__xludf.DUMMYFUNCTION("GOOGLETRANSLATE(B31970,""en"",""zh-CN"")"),"一个男人在轨道上。")</f>
        <v>一个男人在轨道上。</v>
      </c>
    </row>
    <row r="31971">
      <c r="A31971" s="4" t="s">
        <v>40249</v>
      </c>
      <c r="B31971" s="4" t="s">
        <v>40251</v>
      </c>
      <c r="C31971" s="5" t="str">
        <f>IFERROR(__xludf.DUMMYFUNCTION("GOOGLETRANSLATE(B31971,""en"",""zh-CN"")"),"他手里拿着标枪。")</f>
        <v>他手里拿着标枪。</v>
      </c>
    </row>
    <row r="31972">
      <c r="A31972" s="4" t="s">
        <v>40249</v>
      </c>
      <c r="B31972" s="4" t="s">
        <v>40252</v>
      </c>
      <c r="C31972" s="5" t="str">
        <f>IFERROR(__xludf.DUMMYFUNCTION("GOOGLETRANSLATE(B31972,""en"",""zh-CN"")"),"他尽可能地扔掉它，在胜利中举起手臂。")</f>
        <v>他尽可能地扔掉它，在胜利中举起手臂。</v>
      </c>
    </row>
    <row r="31973">
      <c r="A31973" s="4" t="s">
        <v>40253</v>
      </c>
      <c r="B31973" s="4" t="s">
        <v>40254</v>
      </c>
      <c r="C31973" s="5" t="str">
        <f>IFERROR(__xludf.DUMMYFUNCTION("GOOGLETRANSLATE(B31973,""en"",""zh-CN"")"),"一个女孩和一个男人穿着蹦极跳动设备的高结构。")</f>
        <v>一个女孩和一个男人穿着蹦极跳动设备的高结构。</v>
      </c>
    </row>
    <row r="31974">
      <c r="A31974" s="4" t="s">
        <v>40253</v>
      </c>
      <c r="B31974" s="6" t="s">
        <v>40255</v>
      </c>
      <c r="C31974" s="5" t="str">
        <f>IFERROR(__xludf.DUMMYFUNCTION("GOOGLETRANSLATE(B31974,""en"",""zh-CN"")"),"女孩出去站在结构的边界上，然后男人把绳子放在女孩身后。")</f>
        <v>女孩出去站在结构的边界上，然后男人把绳子放在女孩身后。</v>
      </c>
    </row>
    <row r="31975">
      <c r="A31975" s="4" t="s">
        <v>40253</v>
      </c>
      <c r="B31975" s="4" t="s">
        <v>40256</v>
      </c>
      <c r="C31975" s="5" t="str">
        <f>IFERROR(__xludf.DUMMYFUNCTION("GOOGLETRANSLATE(B31975,""en"",""zh-CN"")"),"之后，女孩从结构上跳了一会儿，然后她站起来。")</f>
        <v>之后，女孩从结构上跳了一会儿，然后她站起来。</v>
      </c>
    </row>
    <row r="31976">
      <c r="A31976" s="4" t="s">
        <v>40257</v>
      </c>
      <c r="B31976" s="4" t="s">
        <v>40258</v>
      </c>
      <c r="C31976" s="5" t="str">
        <f>IFERROR(__xludf.DUMMYFUNCTION("GOOGLETRANSLATE(B31976,""en"",""zh-CN"")"),"一个戴着引擎盖的男人正在打开纸，然后他沿着楼梯走去走到一条小路。")</f>
        <v>一个戴着引擎盖的男人正在打开纸，然后他沿着楼梯走去走到一条小路。</v>
      </c>
    </row>
    <row r="31977">
      <c r="A31977" s="4" t="s">
        <v>40257</v>
      </c>
      <c r="B31977" s="4" t="s">
        <v>40259</v>
      </c>
      <c r="C31977" s="5" t="str">
        <f>IFERROR(__xludf.DUMMYFUNCTION("GOOGLETRANSLATE(B31977,""en"",""zh-CN"")"),"该名女子正在与镜头说话，并露出雪地的地面。")</f>
        <v>该名女子正在与镜头说话，并露出雪地的地面。</v>
      </c>
    </row>
    <row r="31978">
      <c r="A31978" s="4" t="s">
        <v>40257</v>
      </c>
      <c r="B31978" s="6" t="s">
        <v>40260</v>
      </c>
      <c r="C31978" s="5" t="str">
        <f>IFERROR(__xludf.DUMMYFUNCTION("GOOGLETRANSLATE(B31978,""en"",""zh-CN"")"),"该男子正站在面包车旁边，开始在汽车屋顶上的雪地上sc起雪，而另一个人则用扫帚从汽车上降雪。")</f>
        <v>该男子正站在面包车旁边，开始在汽车屋顶上的雪地上sc起雪，而另一个人则用扫帚从汽车上降雪。</v>
      </c>
    </row>
    <row r="31979">
      <c r="A31979" s="4" t="s">
        <v>40261</v>
      </c>
      <c r="B31979" s="4" t="s">
        <v>40262</v>
      </c>
      <c r="C31979" s="5" t="str">
        <f>IFERROR(__xludf.DUMMYFUNCTION("GOOGLETRANSLATE(B31979,""en"",""zh-CN"")"),"一名建筑工人在拿着喷雾器的同时站立并与相机交谈。")</f>
        <v>一名建筑工人在拿着喷雾器的同时站立并与相机交谈。</v>
      </c>
    </row>
    <row r="31980">
      <c r="A31980" s="4" t="s">
        <v>40261</v>
      </c>
      <c r="B31980" s="4" t="s">
        <v>40263</v>
      </c>
      <c r="C31980" s="5" t="str">
        <f>IFERROR(__xludf.DUMMYFUNCTION("GOOGLETRANSLATE(B31980,""en"",""zh-CN"")"),"当他回到打磨和喷涂时，他非常动画。")</f>
        <v>当他回到打磨和喷涂时，他非常动画。</v>
      </c>
    </row>
    <row r="31981">
      <c r="A31981" s="4" t="s">
        <v>40264</v>
      </c>
      <c r="B31981" s="6" t="s">
        <v>40265</v>
      </c>
      <c r="C31981" s="5" t="str">
        <f>IFERROR(__xludf.DUMMYFUNCTION("GOOGLETRANSLATE(B31981,""en"",""zh-CN"")"),"一个男人兴奋地向相机说话，并显示了该男子爬上岩石墙和各个位置的几张照片。")</f>
        <v>一个男人兴奋地向相机说话，并显示了该男子爬上岩石墙和各个位置的几张照片。</v>
      </c>
    </row>
    <row r="31982">
      <c r="A31982" s="4" t="s">
        <v>40264</v>
      </c>
      <c r="B31982" s="6" t="s">
        <v>40266</v>
      </c>
      <c r="C31982" s="5" t="str">
        <f>IFERROR(__xludf.DUMMYFUNCTION("GOOGLETRANSLATE(B31982,""en"",""zh-CN"")"),"然后，人然后继续与相机交谈，并演示如何在仍在讲话时正确爬墙。")</f>
        <v>然后，人然后继续与相机交谈，并演示如何在仍在讲话时正确爬墙。</v>
      </c>
    </row>
    <row r="31983">
      <c r="A31983" s="4" t="s">
        <v>40267</v>
      </c>
      <c r="B31983" s="6" t="s">
        <v>40268</v>
      </c>
      <c r="C31983" s="5" t="str">
        <f>IFERROR(__xludf.DUMMYFUNCTION("GOOGLETRANSLATE(B31983,""en"",""zh-CN"")"),"男人正站在工作室里的白布前，在椭圆机上进行锻炼，显示自行车的特征。")</f>
        <v>男人正站在工作室里的白布前，在椭圆机上进行锻炼，显示自行车的特征。</v>
      </c>
    </row>
    <row r="31984">
      <c r="A31984" s="4" t="s">
        <v>40267</v>
      </c>
      <c r="B31984" s="4" t="s">
        <v>40269</v>
      </c>
      <c r="C31984" s="5" t="str">
        <f>IFERROR(__xludf.DUMMYFUNCTION("GOOGLETRANSLATE(B31984,""en"",""zh-CN"")"),"女人也这样做，男人看着椭圆形和运动。")</f>
        <v>女人也这样做，男人看着椭圆形和运动。</v>
      </c>
    </row>
    <row r="31985">
      <c r="A31985" s="4" t="s">
        <v>40270</v>
      </c>
      <c r="B31985" s="4" t="s">
        <v>40271</v>
      </c>
      <c r="C31985" s="5" t="str">
        <f>IFERROR(__xludf.DUMMYFUNCTION("GOOGLETRANSLATE(B31985,""en"",""zh-CN"")"),"一个坐在汽车驾驶员座椅上的女孩正在用扬声器在电话上说话。")</f>
        <v>一个坐在汽车驾驶员座椅上的女孩正在用扬声器在电话上说话。</v>
      </c>
    </row>
    <row r="31986">
      <c r="A31986" s="4" t="s">
        <v>40270</v>
      </c>
      <c r="B31986" s="6" t="s">
        <v>40272</v>
      </c>
      <c r="C31986" s="5" t="str">
        <f>IFERROR(__xludf.DUMMYFUNCTION("GOOGLETRANSLATE(B31986,""en"",""zh-CN"")"),"她挂断电话，开始大声说话，然后她和她的朋友走过停车场。")</f>
        <v>她挂断电话，开始大声说话，然后她和她的朋友走过停车场。</v>
      </c>
    </row>
    <row r="31987">
      <c r="A31987" s="4" t="s">
        <v>40270</v>
      </c>
      <c r="B31987" s="4" t="s">
        <v>40273</v>
      </c>
      <c r="C31987" s="5" t="str">
        <f>IFERROR(__xludf.DUMMYFUNCTION("GOOGLETRANSLATE(B31987,""en"",""zh-CN"")"),"女孩们在购物中心走路和聊天，然后他们去克莱尔（Claires）刺耳。")</f>
        <v>女孩们在购物中心走路和聊天，然后他们去克莱尔（Claires）刺耳。</v>
      </c>
    </row>
    <row r="31988">
      <c r="A31988" s="4" t="s">
        <v>40270</v>
      </c>
      <c r="B31988" s="4" t="s">
        <v>40274</v>
      </c>
      <c r="C31988" s="5" t="str">
        <f>IFERROR(__xludf.DUMMYFUNCTION("GOOGLETRANSLATE(B31988,""en"",""zh-CN"")"),"他们继续在购物中心走一会儿。")</f>
        <v>他们继续在购物中心走一会儿。</v>
      </c>
    </row>
    <row r="31989">
      <c r="A31989" s="4" t="s">
        <v>40275</v>
      </c>
      <c r="B31989" s="4" t="s">
        <v>1251</v>
      </c>
      <c r="C31989" s="5" t="str">
        <f>IFERROR(__xludf.DUMMYFUNCTION("GOOGLETRANSLATE(B31989,""en"",""zh-CN"")"),"显示了剪辑的信用。")</f>
        <v>显示了剪辑的信用。</v>
      </c>
    </row>
    <row r="31990">
      <c r="A31990" s="4" t="s">
        <v>40275</v>
      </c>
      <c r="B31990" s="4" t="s">
        <v>40276</v>
      </c>
      <c r="C31990" s="5" t="str">
        <f>IFERROR(__xludf.DUMMYFUNCTION("GOOGLETRANSLATE(B31990,""en"",""zh-CN"")"),"一个人站在拿着刀的楼梯栏杆上。")</f>
        <v>一个人站在拿着刀的楼梯栏杆上。</v>
      </c>
    </row>
    <row r="31991">
      <c r="A31991" s="4" t="s">
        <v>40275</v>
      </c>
      <c r="B31991" s="4" t="s">
        <v>40277</v>
      </c>
      <c r="C31991" s="5" t="str">
        <f>IFERROR(__xludf.DUMMYFUNCTION("GOOGLETRANSLATE(B31991,""en"",""zh-CN"")"),"一个人准备打鼓。")</f>
        <v>一个人准备打鼓。</v>
      </c>
    </row>
    <row r="31992">
      <c r="A31992" s="4" t="s">
        <v>40275</v>
      </c>
      <c r="B31992" s="4" t="s">
        <v>40278</v>
      </c>
      <c r="C31992" s="5" t="str">
        <f>IFERROR(__xludf.DUMMYFUNCTION("GOOGLETRANSLATE(B31992,""en"",""zh-CN"")"),"那个家伙弹鼓。")</f>
        <v>那个家伙弹鼓。</v>
      </c>
    </row>
    <row r="31993">
      <c r="A31993" s="4" t="s">
        <v>40279</v>
      </c>
      <c r="B31993" s="4" t="s">
        <v>40280</v>
      </c>
      <c r="C31993" s="5" t="str">
        <f>IFERROR(__xludf.DUMMYFUNCTION("GOOGLETRANSLATE(B31993,""en"",""zh-CN"")"),"有几张男人在热身以及表演武术技巧的情况下显示了几张照片。")</f>
        <v>有几张男人在热身以及表演武术技巧的情况下显示了几张照片。</v>
      </c>
    </row>
    <row r="31994">
      <c r="A31994" s="4" t="s">
        <v>40279</v>
      </c>
      <c r="B31994" s="6" t="s">
        <v>40281</v>
      </c>
      <c r="C31994" s="5" t="str">
        <f>IFERROR(__xludf.DUMMYFUNCTION("GOOGLETRANSLATE(B31994,""en"",""zh-CN"")"),"一个男人在相机上说话，而几个剪辑则显示人们在各个地方翻转和做技巧。")</f>
        <v>一个男人在相机上说话，而几个剪辑则显示人们在各个地方翻转和做技巧。</v>
      </c>
    </row>
    <row r="31995">
      <c r="A31995" s="4" t="s">
        <v>40279</v>
      </c>
      <c r="B31995" s="4" t="s">
        <v>40282</v>
      </c>
      <c r="C31995" s="5" t="str">
        <f>IFERROR(__xludf.DUMMYFUNCTION("GOOGLETRANSLATE(B31995,""en"",""zh-CN"")"),"人们互相跳跃，继续表演跑酷。")</f>
        <v>人们互相跳跃，继续表演跑酷。</v>
      </c>
    </row>
    <row r="31996">
      <c r="A31996" s="4" t="s">
        <v>40283</v>
      </c>
      <c r="B31996" s="6" t="s">
        <v>40284</v>
      </c>
      <c r="C31996" s="5" t="str">
        <f>IFERROR(__xludf.DUMMYFUNCTION("GOOGLETRANSLATE(B31996,""en"",""zh-CN"")"),"显示了一大批人游行在一条街上行进，有数百人在旁边看着。")</f>
        <v>显示了一大批人游行在一条街上行进，有数百人在旁边看着。</v>
      </c>
    </row>
    <row r="31997">
      <c r="A31997" s="4" t="s">
        <v>40283</v>
      </c>
      <c r="B31997" s="6" t="s">
        <v>40285</v>
      </c>
      <c r="C31997" s="5" t="str">
        <f>IFERROR(__xludf.DUMMYFUNCTION("GOOGLETRANSLATE(B31997,""en"",""zh-CN"")"),"人们继续演奏乐器，因为摄像机在大批人周围和游行之后。")</f>
        <v>人们继续演奏乐器，因为摄像机在大批人周围和游行之后。</v>
      </c>
    </row>
    <row r="31998">
      <c r="A31998" s="4" t="s">
        <v>40286</v>
      </c>
      <c r="B31998" s="4" t="s">
        <v>40287</v>
      </c>
      <c r="C31998" s="5" t="str">
        <f>IFERROR(__xludf.DUMMYFUNCTION("GOOGLETRANSLATE(B31998,""en"",""zh-CN"")"),"一个男人在游戏中正在喝啤酒，而其他人则看着并微笑。")</f>
        <v>一个男人在游戏中正在喝啤酒，而其他人则看着并微笑。</v>
      </c>
    </row>
    <row r="31999">
      <c r="A31999" s="4" t="s">
        <v>40286</v>
      </c>
      <c r="B31999" s="6" t="s">
        <v>40288</v>
      </c>
      <c r="C31999" s="5" t="str">
        <f>IFERROR(__xludf.DUMMYFUNCTION("GOOGLETRANSLATE(B31999,""en"",""zh-CN"")"),"几个人正在看比赛，那个喝啤酒的人看着相机看着笑容。")</f>
        <v>几个人正在看比赛，那个喝啤酒的人看着相机看着笑容。</v>
      </c>
    </row>
    <row r="32000">
      <c r="A32000" s="4" t="s">
        <v>40289</v>
      </c>
      <c r="B32000" s="4" t="s">
        <v>40290</v>
      </c>
      <c r="C32000" s="5" t="str">
        <f>IFERROR(__xludf.DUMMYFUNCTION("GOOGLETRANSLATE(B32000,""en"",""zh-CN"")"),"一群人在大型健身房里骑着固定的自行车。")</f>
        <v>一群人在大型健身房里骑着固定的自行车。</v>
      </c>
    </row>
    <row r="32001">
      <c r="A32001" s="4" t="s">
        <v>40289</v>
      </c>
      <c r="B32001" s="4" t="s">
        <v>40291</v>
      </c>
      <c r="C32001" s="5" t="str">
        <f>IFERROR(__xludf.DUMMYFUNCTION("GOOGLETRANSLATE(B32001,""en"",""zh-CN"")"),"一个人移动一辆固定的自行车。")</f>
        <v>一个人移动一辆固定的自行车。</v>
      </c>
    </row>
    <row r="32002">
      <c r="A32002" s="4" t="s">
        <v>40289</v>
      </c>
      <c r="B32002" s="4" t="s">
        <v>40292</v>
      </c>
      <c r="C32002" s="5" t="str">
        <f>IFERROR(__xludf.DUMMYFUNCTION("GOOGLETRANSLATE(B32002,""en"",""zh-CN"")"),"一个女人调整她穿着的头顶帽子。")</f>
        <v>一个女人调整她穿着的头顶帽子。</v>
      </c>
    </row>
    <row r="32003">
      <c r="A32003" s="4" t="s">
        <v>40293</v>
      </c>
      <c r="B32003" s="4" t="s">
        <v>40294</v>
      </c>
      <c r="C32003" s="5" t="str">
        <f>IFERROR(__xludf.DUMMYFUNCTION("GOOGLETRANSLATE(B32003,""en"",""zh-CN"")"),"看到一个男人在相机上说话，并开始在树旁边布置篷布。")</f>
        <v>看到一个男人在相机上说话，并开始在树旁边布置篷布。</v>
      </c>
    </row>
    <row r="32004">
      <c r="A32004" s="4" t="s">
        <v>40293</v>
      </c>
      <c r="B32004" s="4" t="s">
        <v>40295</v>
      </c>
      <c r="C32004" s="5" t="str">
        <f>IFERROR(__xludf.DUMMYFUNCTION("GOOGLETRANSLATE(B32004,""en"",""zh-CN"")"),"该男子割下了篷布，开始在树上覆盖覆盖物。")</f>
        <v>该男子割下了篷布，开始在树上覆盖覆盖物。</v>
      </c>
    </row>
    <row r="32005">
      <c r="A32005" s="4" t="s">
        <v>40296</v>
      </c>
      <c r="B32005" s="4" t="s">
        <v>40297</v>
      </c>
      <c r="C32005" s="5" t="str">
        <f>IFERROR(__xludf.DUMMYFUNCTION("GOOGLETRANSLATE(B32005,""en"",""zh-CN"")"),"两个人坐在桌子上，开始一场手臂摔跤比赛。")</f>
        <v>两个人坐在桌子上，开始一场手臂摔跤比赛。</v>
      </c>
    </row>
    <row r="32006">
      <c r="A32006" s="4" t="s">
        <v>40296</v>
      </c>
      <c r="B32006" s="4" t="s">
        <v>40298</v>
      </c>
      <c r="C32006" s="5" t="str">
        <f>IFERROR(__xludf.DUMMYFUNCTION("GOOGLETRANSLATE(B32006,""en"",""zh-CN"")"),"他们俩都挣扎着一点点，直到左边的那个人最终获胜。")</f>
        <v>他们俩都挣扎着一点点，直到左边的那个人最终获胜。</v>
      </c>
    </row>
    <row r="32007">
      <c r="A32007" s="4" t="s">
        <v>40299</v>
      </c>
      <c r="B32007" s="6" t="s">
        <v>40300</v>
      </c>
      <c r="C32007" s="5" t="str">
        <f>IFERROR(__xludf.DUMMYFUNCTION("GOOGLETRANSLATE(B32007,""en"",""zh-CN"")"),"看到一小群孩子握住一条绳子，一个男人站在他们面前与他们说话。")</f>
        <v>看到一小群孩子握住一条绳子，一个男人站在他们面前与他们说话。</v>
      </c>
    </row>
    <row r="32008">
      <c r="A32008" s="4" t="s">
        <v>40299</v>
      </c>
      <c r="B32008" s="4" t="s">
        <v>40301</v>
      </c>
      <c r="C32008" s="5" t="str">
        <f>IFERROR(__xludf.DUMMYFUNCTION("GOOGLETRANSLATE(B32008,""en"",""zh-CN"")"),"孩子们继续在成人的帮助下拉动，然后最终加油。")</f>
        <v>孩子们继续在成人的帮助下拉动，然后最终加油。</v>
      </c>
    </row>
    <row r="32009">
      <c r="A32009" s="4" t="s">
        <v>40302</v>
      </c>
      <c r="B32009" s="4" t="s">
        <v>40303</v>
      </c>
      <c r="C32009" s="5" t="str">
        <f>IFERROR(__xludf.DUMMYFUNCTION("GOOGLETRANSLATE(B32009,""en"",""zh-CN"")"),"一个骑手坐在一匹马上，一个人站在前面的牛挤压斜槽上。")</f>
        <v>一个骑手坐在一匹马上，一个人站在前面的牛挤压斜槽上。</v>
      </c>
    </row>
    <row r="32010">
      <c r="A32010" s="4" t="s">
        <v>40302</v>
      </c>
      <c r="B32010" s="6" t="s">
        <v>40304</v>
      </c>
      <c r="C32010" s="5" t="str">
        <f>IFERROR(__xludf.DUMMYFUNCTION("GOOGLETRANSLATE(B32010,""en"",""zh-CN"")"),"突然，骑兵和小腿奔向竞技场，而骑手在小腿后面奔跑在空中旋转一条绳子。")</f>
        <v>突然，骑兵和小腿奔向竞技场，而骑手在小腿后面奔跑在空中旋转一条绳子。</v>
      </c>
    </row>
    <row r="32011">
      <c r="A32011" s="4" t="s">
        <v>40302</v>
      </c>
      <c r="B32011" s="6" t="s">
        <v>40305</v>
      </c>
      <c r="C32011" s="5" t="str">
        <f>IFERROR(__xludf.DUMMYFUNCTION("GOOGLETRANSLATE(B32011,""en"",""zh-CN"")"),"之后，骑手扔箍并抓住小腿，然后迅速将小牛躺在地板上，绑着腿。")</f>
        <v>之后，骑手扔箍并抓住小腿，然后迅速将小牛躺在地板上，绑着腿。</v>
      </c>
    </row>
    <row r="32012">
      <c r="A32012" s="4" t="s">
        <v>40306</v>
      </c>
      <c r="B32012" s="4" t="s">
        <v>40307</v>
      </c>
      <c r="C32012" s="5" t="str">
        <f>IFERROR(__xludf.DUMMYFUNCTION("GOOGLETRANSLATE(B32012,""en"",""zh-CN"")"),"看到一个小孩爬上滑梯，越过边缘越来越近。")</f>
        <v>看到一个小孩爬上滑梯，越过边缘越来越近。</v>
      </c>
    </row>
    <row r="32013">
      <c r="A32013" s="4" t="s">
        <v>40306</v>
      </c>
      <c r="B32013" s="4" t="s">
        <v>40308</v>
      </c>
      <c r="C32013" s="5" t="str">
        <f>IFERROR(__xludf.DUMMYFUNCTION("GOOGLETRANSLATE(B32013,""en"",""zh-CN"")"),"然后，女孩沿着滑梯往下走，走开了。")</f>
        <v>然后，女孩沿着滑梯往下走，走开了。</v>
      </c>
    </row>
    <row r="32014">
      <c r="A32014" s="4" t="s">
        <v>40309</v>
      </c>
      <c r="B32014" s="4" t="s">
        <v>40310</v>
      </c>
      <c r="C32014" s="5" t="str">
        <f>IFERROR(__xludf.DUMMYFUNCTION("GOOGLETRANSLATE(B32014,""en"",""zh-CN"")"),"一个透明的瓶子将饮料倒入鸡尾酒杯中。")</f>
        <v>一个透明的瓶子将饮料倒入鸡尾酒杯中。</v>
      </c>
    </row>
    <row r="32015">
      <c r="A32015" s="4" t="s">
        <v>40309</v>
      </c>
      <c r="B32015" s="4" t="s">
        <v>40311</v>
      </c>
      <c r="C32015" s="5" t="str">
        <f>IFERROR(__xludf.DUMMYFUNCTION("GOOGLETRANSLATE(B32015,""en"",""zh-CN"")"),"酒保拿起一个不锈钢杯，然后将其勺入其中。")</f>
        <v>酒保拿起一个不锈钢杯，然后将其勺入其中。</v>
      </c>
    </row>
    <row r="32016">
      <c r="A32016" s="4" t="s">
        <v>40309</v>
      </c>
      <c r="B32016" s="4" t="s">
        <v>40312</v>
      </c>
      <c r="C32016" s="5" t="str">
        <f>IFERROR(__xludf.DUMMYFUNCTION("GOOGLETRANSLATE(B32016,""en"",""zh-CN"")"),"酒保将酒倒入射击玻璃杯中，然后将其倒入杯子中。")</f>
        <v>酒保将酒倒入射击玻璃杯中，然后将其倒入杯子中。</v>
      </c>
    </row>
    <row r="32017">
      <c r="A32017" s="4" t="s">
        <v>40309</v>
      </c>
      <c r="B32017" s="4" t="s">
        <v>40313</v>
      </c>
      <c r="C32017" s="5" t="str">
        <f>IFERROR(__xludf.DUMMYFUNCTION("GOOGLETRANSLATE(B32017,""en"",""zh-CN"")"),"酒保帽盖上杯子，大力摇动。")</f>
        <v>酒保帽盖上杯子，大力摇动。</v>
      </c>
    </row>
    <row r="32018">
      <c r="A32018" s="4" t="s">
        <v>40309</v>
      </c>
      <c r="B32018" s="4" t="s">
        <v>40314</v>
      </c>
      <c r="C32018" s="5" t="str">
        <f>IFERROR(__xludf.DUMMYFUNCTION("GOOGLETRANSLATE(B32018,""en"",""zh-CN"")"),"混合杯的内容物倒入马提尼酒杯中。")</f>
        <v>混合杯的内容物倒入马提尼酒杯中。</v>
      </c>
    </row>
    <row r="32019">
      <c r="A32019" s="4" t="s">
        <v>40315</v>
      </c>
      <c r="B32019" s="4" t="s">
        <v>40316</v>
      </c>
      <c r="C32019" s="5" t="str">
        <f>IFERROR(__xludf.DUMMYFUNCTION("GOOGLETRANSLATE(B32019,""en"",""zh-CN"")"),"一个男人触摸他的脸和波浪。")</f>
        <v>一个男人触摸他的脸和波浪。</v>
      </c>
    </row>
    <row r="32020">
      <c r="A32020" s="4" t="s">
        <v>40315</v>
      </c>
      <c r="B32020" s="4" t="s">
        <v>40317</v>
      </c>
      <c r="C32020" s="5" t="str">
        <f>IFERROR(__xludf.DUMMYFUNCTION("GOOGLETRANSLATE(B32020,""en"",""zh-CN"")"),"该名男子走过一个非常高的长草。")</f>
        <v>该名男子走过一个非常高的长草。</v>
      </c>
    </row>
    <row r="32021">
      <c r="A32021" s="4" t="s">
        <v>40318</v>
      </c>
      <c r="B32021" s="6" t="s">
        <v>40319</v>
      </c>
      <c r="C32021" s="5" t="str">
        <f>IFERROR(__xludf.DUMMYFUNCTION("GOOGLETRANSLATE(B32021,""en"",""zh-CN"")"),"一名中年妇女站在桌子后面的房间里，充满了疼痛，各种尺寸的刷子以及画架上的树木图像。")</f>
        <v>一名中年妇女站在桌子后面的房间里，充满了疼痛，各种尺寸的刷子以及画架上的树木图像。</v>
      </c>
    </row>
    <row r="32022">
      <c r="A32022" s="4" t="s">
        <v>40318</v>
      </c>
      <c r="B32022" s="6" t="s">
        <v>40320</v>
      </c>
      <c r="C32022" s="5" t="str">
        <f>IFERROR(__xludf.DUMMYFUNCTION("GOOGLETRANSLATE(B32022,""en"",""zh-CN"")"),"在她的左手中，她有一个油漆轮，并开始在图像上制作stokes以完成图片。")</f>
        <v>在她的左手中，她有一个油漆轮，并开始在图像上制作stokes以完成图片。</v>
      </c>
    </row>
    <row r="32023">
      <c r="A32023" s="4" t="s">
        <v>40318</v>
      </c>
      <c r="B32023" s="6" t="s">
        <v>40321</v>
      </c>
      <c r="C32023" s="5" t="str">
        <f>IFERROR(__xludf.DUMMYFUNCTION("GOOGLETRANSLATE(B32023,""en"",""zh-CN"")"),"她从油漆到木板来回走动，展示了如何制作树，然后清洁刷子。")</f>
        <v>她从油漆到木板来回走动，展示了如何制作树，然后清洁刷子。</v>
      </c>
    </row>
    <row r="32024">
      <c r="A32024" s="4" t="s">
        <v>40322</v>
      </c>
      <c r="B32024" s="4" t="s">
        <v>40323</v>
      </c>
      <c r="C32024" s="5" t="str">
        <f>IFERROR(__xludf.DUMMYFUNCTION("GOOGLETRANSLATE(B32024,""en"",""zh-CN"")"),"一个人正在雕刻南瓜。")</f>
        <v>一个人正在雕刻南瓜。</v>
      </c>
    </row>
    <row r="32025">
      <c r="A32025" s="4" t="s">
        <v>40322</v>
      </c>
      <c r="B32025" s="4" t="s">
        <v>40324</v>
      </c>
      <c r="C32025" s="5" t="str">
        <f>IFERROR(__xludf.DUMMYFUNCTION("GOOGLETRANSLATE(B32025,""en"",""zh-CN"")"),"我们看到两个人并排雕刻南瓜。")</f>
        <v>我们看到两个人并排雕刻南瓜。</v>
      </c>
    </row>
    <row r="32026">
      <c r="A32026" s="4" t="s">
        <v>40322</v>
      </c>
      <c r="B32026" s="4" t="s">
        <v>40325</v>
      </c>
      <c r="C32026" s="5" t="str">
        <f>IFERROR(__xludf.DUMMYFUNCTION("GOOGLETRANSLATE(B32026,""en"",""zh-CN"")"),"我们从南瓜雕刻时从内部看到。")</f>
        <v>我们从南瓜雕刻时从内部看到。</v>
      </c>
    </row>
    <row r="32027">
      <c r="A32027" s="4" t="s">
        <v>40322</v>
      </c>
      <c r="B32027" s="4" t="s">
        <v>40326</v>
      </c>
      <c r="C32027" s="5" t="str">
        <f>IFERROR(__xludf.DUMMYFUNCTION("GOOGLETRANSLATE(B32027,""en"",""zh-CN"")"),"我们在沙发上看到五个南瓜，在黑暗中从内部点燃。")</f>
        <v>我们在沙发上看到五个南瓜，在黑暗中从内部点燃。</v>
      </c>
    </row>
    <row r="32028">
      <c r="A32028" s="4" t="s">
        <v>40322</v>
      </c>
      <c r="B32028" s="4" t="s">
        <v>27504</v>
      </c>
      <c r="C32028" s="5" t="str">
        <f>IFERROR(__xludf.DUMMYFUNCTION("GOOGLETRANSLATE(B32028,""en"",""zh-CN"")"),"我们看到了关闭标题屏幕。")</f>
        <v>我们看到了关闭标题屏幕。</v>
      </c>
    </row>
    <row r="32029">
      <c r="A32029" s="4" t="s">
        <v>40327</v>
      </c>
      <c r="B32029" s="4" t="s">
        <v>40328</v>
      </c>
      <c r="C32029" s="5" t="str">
        <f>IFERROR(__xludf.DUMMYFUNCTION("GOOGLETRANSLATE(B32029,""en"",""zh-CN"")"),"一个女人坐在沙发上，将脚放在蟒蛇印花高跟鞋上。")</f>
        <v>一个女人坐在沙发上，将脚放在蟒蛇印花高跟鞋上。</v>
      </c>
    </row>
    <row r="32030">
      <c r="A32030" s="4" t="s">
        <v>40327</v>
      </c>
      <c r="B32030" s="6" t="s">
        <v>40329</v>
      </c>
      <c r="C32030" s="5" t="str">
        <f>IFERROR(__xludf.DUMMYFUNCTION("GOOGLETRANSLATE(B32030,""en"",""zh-CN"")"),"一旦他们在上面，她就站起来，随着相机放大她的红色彩色脚趾指甲的走动。")</f>
        <v>一旦他们在上面，她就站起来，随着相机放大她的红色彩色脚趾指甲的走动。</v>
      </c>
    </row>
    <row r="32031">
      <c r="A32031" s="4" t="s">
        <v>40330</v>
      </c>
      <c r="B32031" s="4" t="s">
        <v>40331</v>
      </c>
      <c r="C32031" s="5" t="str">
        <f>IFERROR(__xludf.DUMMYFUNCTION("GOOGLETRANSLATE(B32031,""en"",""zh-CN"")"),"一个穿着蓝色服装的男人给观众带来了一些东西。")</f>
        <v>一个穿着蓝色服装的男人给观众带来了一些东西。</v>
      </c>
    </row>
    <row r="32032">
      <c r="A32032" s="4" t="s">
        <v>40330</v>
      </c>
      <c r="B32032" s="4" t="s">
        <v>40332</v>
      </c>
      <c r="C32032" s="5" t="str">
        <f>IFERROR(__xludf.DUMMYFUNCTION("GOOGLETRANSLATE(B32032,""en"",""zh-CN"")"),"他捡起绿色罐并喝一杯。")</f>
        <v>他捡起绿色罐并喝一杯。</v>
      </c>
    </row>
    <row r="32033">
      <c r="A32033" s="4" t="s">
        <v>40330</v>
      </c>
      <c r="B32033" s="4" t="s">
        <v>40333</v>
      </c>
      <c r="C32033" s="5" t="str">
        <f>IFERROR(__xludf.DUMMYFUNCTION("GOOGLETRANSLATE(B32033,""en"",""zh-CN"")"),"然后，他与他对面的另一个男人一起玩岩石剪刀。")</f>
        <v>然后，他与他对面的另一个男人一起玩岩石剪刀。</v>
      </c>
    </row>
    <row r="32034">
      <c r="A32034" s="4" t="s">
        <v>40334</v>
      </c>
      <c r="B32034" s="4" t="s">
        <v>40335</v>
      </c>
      <c r="C32034" s="5" t="str">
        <f>IFERROR(__xludf.DUMMYFUNCTION("GOOGLETRANSLATE(B32034,""en"",""zh-CN"")"),"一个人从车道上铲雪。")</f>
        <v>一个人从车道上铲雪。</v>
      </c>
    </row>
    <row r="32035">
      <c r="A32035" s="4" t="s">
        <v>40334</v>
      </c>
      <c r="B32035" s="6" t="s">
        <v>40336</v>
      </c>
      <c r="C32035" s="5" t="str">
        <f>IFERROR(__xludf.DUMMYFUNCTION("GOOGLETRANSLATE(B32035,""en"",""zh-CN"")"),"摄像机平移向另一个男人展示了用电动铲机清除车道上展示的人。")</f>
        <v>摄像机平移向另一个男人展示了用电动铲机清除车道上展示的人。</v>
      </c>
    </row>
    <row r="32036">
      <c r="A32036" s="4" t="s">
        <v>40334</v>
      </c>
      <c r="B32036" s="4" t="s">
        <v>40337</v>
      </c>
      <c r="C32036" s="5" t="str">
        <f>IFERROR(__xludf.DUMMYFUNCTION("GOOGLETRANSLATE(B32036,""en"",""zh-CN"")"),"该男子结束了雪，转向相机。")</f>
        <v>该男子结束了雪，转向相机。</v>
      </c>
    </row>
    <row r="32037">
      <c r="A32037" s="4" t="s">
        <v>40338</v>
      </c>
      <c r="B32037" s="4" t="s">
        <v>27300</v>
      </c>
      <c r="C32037" s="5" t="str">
        <f>IFERROR(__xludf.DUMMYFUNCTION("GOOGLETRANSLATE(B32037,""en"",""zh-CN"")"),"我们看到一个动画的打开屏幕。")</f>
        <v>我们看到一个动画的打开屏幕。</v>
      </c>
    </row>
    <row r="32038">
      <c r="A32038" s="4" t="s">
        <v>40338</v>
      </c>
      <c r="B32038" s="4" t="s">
        <v>40339</v>
      </c>
      <c r="C32038" s="5" t="str">
        <f>IFERROR(__xludf.DUMMYFUNCTION("GOOGLETRANSLATE(B32038,""en"",""zh-CN"")"),"我们看到了整个海滩的鸟瞰图。")</f>
        <v>我们看到了整个海滩的鸟瞰图。</v>
      </c>
    </row>
    <row r="32039">
      <c r="A32039" s="4" t="s">
        <v>40338</v>
      </c>
      <c r="B32039" s="4" t="s">
        <v>40340</v>
      </c>
      <c r="C32039" s="5" t="str">
        <f>IFERROR(__xludf.DUMMYFUNCTION("GOOGLETRANSLATE(B32039,""en"",""zh-CN"")"),"我们看到人们在建造沙堡。")</f>
        <v>我们看到人们在建造沙堡。</v>
      </c>
    </row>
    <row r="32040">
      <c r="A32040" s="4" t="s">
        <v>40338</v>
      </c>
      <c r="B32040" s="4" t="s">
        <v>40341</v>
      </c>
      <c r="C32040" s="5" t="str">
        <f>IFERROR(__xludf.DUMMYFUNCTION("GOOGLETRANSLATE(B32040,""en"",""zh-CN"")"),"我们采访了一位法官，然后他在人民中走。")</f>
        <v>我们采访了一位法官，然后他在人民中走。</v>
      </c>
    </row>
    <row r="32041">
      <c r="A32041" s="4" t="s">
        <v>40338</v>
      </c>
      <c r="B32041" s="4" t="s">
        <v>40342</v>
      </c>
      <c r="C32041" s="5" t="str">
        <f>IFERROR(__xludf.DUMMYFUNCTION("GOOGLETRANSLATE(B32041,""en"",""zh-CN"")"),"我们看到两个人接受了采访。")</f>
        <v>我们看到两个人接受了采访。</v>
      </c>
    </row>
    <row r="32042">
      <c r="A32042" s="4" t="s">
        <v>40338</v>
      </c>
      <c r="B32042" s="4" t="s">
        <v>40343</v>
      </c>
      <c r="C32042" s="5" t="str">
        <f>IFERROR(__xludf.DUMMYFUNCTION("GOOGLETRANSLATE(B32042,""en"",""zh-CN"")"),"我们在海滩和檐篷上看到一个遮阳篷。")</f>
        <v>我们在海滩和檐篷上看到一个遮阳篷。</v>
      </c>
    </row>
    <row r="32043">
      <c r="A32043" s="4" t="s">
        <v>40344</v>
      </c>
      <c r="B32043" s="6" t="s">
        <v>40345</v>
      </c>
      <c r="C32043" s="5" t="str">
        <f>IFERROR(__xludf.DUMMYFUNCTION("GOOGLETRANSLATE(B32043,""en"",""zh-CN"")"),"有一个穿着红色毛衣，白衬衫的女人，坐在她的客厅里，坐在棕色皮革沙发上。")</f>
        <v>有一个穿着红色毛衣，白衬衫的女人，坐在她的客厅里，坐在棕色皮革沙发上。</v>
      </c>
    </row>
    <row r="32044">
      <c r="A32044" s="4" t="s">
        <v>40344</v>
      </c>
      <c r="B32044" s="4" t="s">
        <v>40346</v>
      </c>
      <c r="C32044" s="5" t="str">
        <f>IFERROR(__xludf.DUMMYFUNCTION("GOOGLETRANSLATE(B32044,""en"",""zh-CN"")"),"她手里拿着一罐家具抛光剂。")</f>
        <v>她手里拿着一罐家具抛光剂。</v>
      </c>
    </row>
    <row r="32045">
      <c r="A32045" s="4" t="s">
        <v>40344</v>
      </c>
      <c r="B32045" s="4" t="s">
        <v>40347</v>
      </c>
      <c r="C32045" s="5" t="str">
        <f>IFERROR(__xludf.DUMMYFUNCTION("GOOGLETRANSLATE(B32045,""en"",""zh-CN"")"),"她的另一只手中还有一块纸巾，用来擦拭桌子。")</f>
        <v>她的另一只手中还有一块纸巾，用来擦拭桌子。</v>
      </c>
    </row>
    <row r="32046">
      <c r="A32046" s="4" t="s">
        <v>40344</v>
      </c>
      <c r="B32046" s="4" t="s">
        <v>40348</v>
      </c>
      <c r="C32046" s="5" t="str">
        <f>IFERROR(__xludf.DUMMYFUNCTION("GOOGLETRANSLATE(B32046,""en"",""zh-CN"")"),"她用喷雾剂喷洒木桌表面，然后用白纸毛巾擦拭。")</f>
        <v>她用喷雾剂喷洒木桌表面，然后用白纸毛巾擦拭。</v>
      </c>
    </row>
    <row r="32047">
      <c r="A32047" s="4" t="s">
        <v>40344</v>
      </c>
      <c r="B32047" s="4" t="s">
        <v>40349</v>
      </c>
      <c r="C32047" s="5" t="str">
        <f>IFERROR(__xludf.DUMMYFUNCTION("GOOGLETRANSLATE(B32047,""en"",""zh-CN"")"),"她解释了如何使用喷雾并擦拭家具。")</f>
        <v>她解释了如何使用喷雾并擦拭家具。</v>
      </c>
    </row>
    <row r="32048">
      <c r="A32048" s="4" t="s">
        <v>40350</v>
      </c>
      <c r="B32048" s="4" t="s">
        <v>40351</v>
      </c>
      <c r="C32048" s="5" t="str">
        <f>IFERROR(__xludf.DUMMYFUNCTION("GOOGLETRANSLATE(B32048,""en"",""zh-CN"")"),"我们看到一个男人站在一个房间里。")</f>
        <v>我们看到一个男人站在一个房间里。</v>
      </c>
    </row>
    <row r="32049">
      <c r="A32049" s="4" t="s">
        <v>40350</v>
      </c>
      <c r="B32049" s="4" t="s">
        <v>40352</v>
      </c>
      <c r="C32049" s="5" t="str">
        <f>IFERROR(__xludf.DUMMYFUNCTION("GOOGLETRANSLATE(B32049,""en"",""zh-CN"")"),"该男子开始表演太极拳。")</f>
        <v>该男子开始表演太极拳。</v>
      </c>
    </row>
    <row r="32050">
      <c r="A32050" s="4" t="s">
        <v>40350</v>
      </c>
      <c r="B32050" s="4" t="s">
        <v>40353</v>
      </c>
      <c r="C32050" s="5" t="str">
        <f>IFERROR(__xludf.DUMMYFUNCTION("GOOGLETRANSLATE(B32050,""en"",""zh-CN"")"),"那个男人转身离开。")</f>
        <v>那个男人转身离开。</v>
      </c>
    </row>
    <row r="32051">
      <c r="A32051" s="4" t="s">
        <v>40350</v>
      </c>
      <c r="B32051" s="4" t="s">
        <v>40354</v>
      </c>
      <c r="C32051" s="5" t="str">
        <f>IFERROR(__xludf.DUMMYFUNCTION("GOOGLETRANSLATE(B32051,""en"",""zh-CN"")"),"这个人转向右面。")</f>
        <v>这个人转向右面。</v>
      </c>
    </row>
    <row r="32052">
      <c r="A32052" s="4" t="s">
        <v>40350</v>
      </c>
      <c r="B32052" s="4" t="s">
        <v>40355</v>
      </c>
      <c r="C32052" s="5" t="str">
        <f>IFERROR(__xludf.DUMMYFUNCTION("GOOGLETRANSLATE(B32052,""en"",""zh-CN"")"),"这个男人慢慢走到房间的右侧。")</f>
        <v>这个男人慢慢走到房间的右侧。</v>
      </c>
    </row>
    <row r="32053">
      <c r="A32053" s="4" t="s">
        <v>40350</v>
      </c>
      <c r="B32053" s="4" t="s">
        <v>40356</v>
      </c>
      <c r="C32053" s="5" t="str">
        <f>IFERROR(__xludf.DUMMYFUNCTION("GOOGLETRANSLATE(B32053,""en"",""zh-CN"")"),"屏幕然后淡入黑色。")</f>
        <v>屏幕然后淡入黑色。</v>
      </c>
    </row>
    <row r="32054">
      <c r="A32054" s="4" t="s">
        <v>40357</v>
      </c>
      <c r="B32054" s="4" t="s">
        <v>40358</v>
      </c>
      <c r="C32054" s="5" t="str">
        <f>IFERROR(__xludf.DUMMYFUNCTION("GOOGLETRANSLATE(B32054,""en"",""zh-CN"")"),"一个年轻人在人行道上扮演小提琴，为在市中心经过的人们穿过。")</f>
        <v>一个年轻人在人行道上扮演小提琴，为在市中心经过的人们穿过。</v>
      </c>
    </row>
    <row r="32055">
      <c r="A32055" s="4" t="s">
        <v>40357</v>
      </c>
      <c r="B32055" s="4" t="s">
        <v>40359</v>
      </c>
      <c r="C32055" s="5" t="str">
        <f>IFERROR(__xludf.DUMMYFUNCTION("GOOGLETRANSLATE(B32055,""en"",""zh-CN"")"),"两名学生在音乐家演奏时走过。")</f>
        <v>两名学生在音乐家演奏时走过。</v>
      </c>
    </row>
    <row r="32056">
      <c r="A32056" s="4" t="s">
        <v>40357</v>
      </c>
      <c r="B32056" s="4" t="s">
        <v>40360</v>
      </c>
      <c r="C32056" s="5" t="str">
        <f>IFERROR(__xludf.DUMMYFUNCTION("GOOGLETRANSLATE(B32056,""en"",""zh-CN"")"),"替补席上的女人转身看着面对男人播放这首歌。")</f>
        <v>替补席上的女人转身看着面对男人播放这首歌。</v>
      </c>
    </row>
    <row r="32057">
      <c r="A32057" s="4" t="s">
        <v>40357</v>
      </c>
      <c r="B32057" s="4" t="s">
        <v>40361</v>
      </c>
      <c r="C32057" s="5" t="str">
        <f>IFERROR(__xludf.DUMMYFUNCTION("GOOGLETRANSLATE(B32057,""en"",""zh-CN"")"),"一名男子演奏后，音乐家杯中的变化。")</f>
        <v>一名男子演奏后，音乐家杯中的变化。</v>
      </c>
    </row>
    <row r="32058">
      <c r="A32058" s="4" t="s">
        <v>40362</v>
      </c>
      <c r="B32058" s="6" t="s">
        <v>40363</v>
      </c>
      <c r="C32058" s="5" t="str">
        <f>IFERROR(__xludf.DUMMYFUNCTION("GOOGLETRANSLATE(B32058,""en"",""zh-CN"")"),"一个男人在牛仔竞技表演中骑马，抓住一头公牛，而在看台上，人们在看着他们，而其他人在HSE的人则在球场上。")</f>
        <v>一个男人在牛仔竞技表演中骑马，抓住一头公牛，而在看台上，人们在看着他们，而其他人在HSE的人则在球场上。</v>
      </c>
    </row>
    <row r="32059">
      <c r="A32059" s="4" t="s">
        <v>40362</v>
      </c>
      <c r="B32059" s="4" t="s">
        <v>40364</v>
      </c>
      <c r="C32059" s="5" t="str">
        <f>IFERROR(__xludf.DUMMYFUNCTION("GOOGLETRANSLATE(B32059,""en"",""zh-CN"")"),"男人正在骑谷仓里骑马，扔绳子捕捉公牛。")</f>
        <v>男人正在骑谷仓里骑马，扔绳子捕捉公牛。</v>
      </c>
    </row>
    <row r="32060">
      <c r="A32060" s="4" t="s">
        <v>40365</v>
      </c>
      <c r="B32060" s="4" t="s">
        <v>40366</v>
      </c>
      <c r="C32060" s="5" t="str">
        <f>IFERROR(__xludf.DUMMYFUNCTION("GOOGLETRANSLATE(B32060,""en"",""zh-CN"")"),"一个男人脱下衬衫。")</f>
        <v>一个男人脱下衬衫。</v>
      </c>
    </row>
    <row r="32061">
      <c r="A32061" s="4" t="s">
        <v>40365</v>
      </c>
      <c r="B32061" s="4" t="s">
        <v>40367</v>
      </c>
      <c r="C32061" s="5" t="str">
        <f>IFERROR(__xludf.DUMMYFUNCTION("GOOGLETRANSLATE(B32061,""en"",""zh-CN"")"),"他开始在蓝色垫子上进行空手道移动。")</f>
        <v>他开始在蓝色垫子上进行空手道移动。</v>
      </c>
    </row>
    <row r="32062">
      <c r="A32062" s="4" t="s">
        <v>40365</v>
      </c>
      <c r="B32062" s="4" t="s">
        <v>40368</v>
      </c>
      <c r="C32062" s="5" t="str">
        <f>IFERROR(__xludf.DUMMYFUNCTION("GOOGLETRANSLATE(B32062,""en"",""zh-CN"")"),"他在空中进行了几次翻转。")</f>
        <v>他在空中进行了几次翻转。</v>
      </c>
    </row>
    <row r="32063">
      <c r="A32063" s="4" t="s">
        <v>40369</v>
      </c>
      <c r="B32063" s="4" t="s">
        <v>40370</v>
      </c>
      <c r="C32063" s="5" t="str">
        <f>IFERROR(__xludf.DUMMYFUNCTION("GOOGLETRANSLATE(B32063,""en"",""zh-CN"")"),"首先，年轻女子正在床上睡觉，但后来她醒来说些什么。")</f>
        <v>首先，年轻女子正在床上睡觉，但后来她醒来说些什么。</v>
      </c>
    </row>
    <row r="32064">
      <c r="A32064" s="4" t="s">
        <v>40369</v>
      </c>
      <c r="B32064" s="6" t="s">
        <v>40371</v>
      </c>
      <c r="C32064" s="5" t="str">
        <f>IFERROR(__xludf.DUMMYFUNCTION("GOOGLETRANSLATE(B32064,""en"",""zh-CN"")"),"接下来，她坐在餐厅里吃薯条，然后她再次在房间里展示，凝视着床上的衣服，穿上鞋子。")</f>
        <v>接下来，她坐在餐厅里吃薯条，然后她再次在房间里展示，凝视着床上的衣服，穿上鞋子。</v>
      </c>
    </row>
    <row r="32065">
      <c r="A32065" s="4" t="s">
        <v>40369</v>
      </c>
      <c r="B32065" s="4" t="s">
        <v>40372</v>
      </c>
      <c r="C32065" s="5" t="str">
        <f>IFERROR(__xludf.DUMMYFUNCTION("GOOGLETRANSLATE(B32065,""en"",""zh-CN"")"),"她还在视频中表现出有趣的事情，而其他女孩也是如此。")</f>
        <v>她还在视频中表现出有趣的事情，而其他女孩也是如此。</v>
      </c>
    </row>
    <row r="32066">
      <c r="A32066" s="4" t="s">
        <v>40373</v>
      </c>
      <c r="B32066" s="6" t="s">
        <v>40374</v>
      </c>
      <c r="C32066" s="5" t="str">
        <f>IFERROR(__xludf.DUMMYFUNCTION("GOOGLETRANSLATE(B32066,""en"",""zh-CN"")"),"一个年轻人将洗涤剂放入蓝色水桶中，然后显示并解释了如何使用挤压器清洁屏幕窗户。")</f>
        <v>一个年轻人将洗涤剂放入蓝色水桶中，然后显示并解释了如何使用挤压器清洁屏幕窗户。</v>
      </c>
    </row>
    <row r="32067">
      <c r="A32067" s="4" t="s">
        <v>40373</v>
      </c>
      <c r="B32067" s="4" t="s">
        <v>40375</v>
      </c>
      <c r="C32067" s="5" t="str">
        <f>IFERROR(__xludf.DUMMYFUNCTION("GOOGLETRANSLATE(B32067,""en"",""zh-CN"")"),"之后，年轻人用布清洁湿屏。")</f>
        <v>之后，年轻人用布清洁湿屏。</v>
      </c>
    </row>
    <row r="32068">
      <c r="A32068" s="4" t="s">
        <v>40373</v>
      </c>
      <c r="B32068" s="4" t="s">
        <v>40376</v>
      </c>
      <c r="C32068" s="5" t="str">
        <f>IFERROR(__xludf.DUMMYFUNCTION("GOOGLETRANSLATE(B32068,""en"",""zh-CN"")"),"这位年轻人将一个污垢屏幕与干净的屏幕进行了比较，并进行了重击。")</f>
        <v>这位年轻人将一个污垢屏幕与干净的屏幕进行了比较，并进行了重击。</v>
      </c>
    </row>
    <row r="32069">
      <c r="A32069" s="4" t="s">
        <v>40377</v>
      </c>
      <c r="B32069" s="6" t="s">
        <v>40378</v>
      </c>
      <c r="C32069" s="5" t="str">
        <f>IFERROR(__xludf.DUMMYFUNCTION("GOOGLETRANSLATE(B32069,""en"",""zh-CN"")"),"一个摄像头在围绕着围栏的围栏上晃动，并导致一个男人，他的狗用飞盘表演技巧。")</f>
        <v>一个摄像头在围绕着围栏的围栏上晃动，并导致一个男人，他的狗用飞盘表演技巧。</v>
      </c>
    </row>
    <row r="32070">
      <c r="A32070" s="4" t="s">
        <v>40377</v>
      </c>
      <c r="B32070" s="6" t="s">
        <v>40379</v>
      </c>
      <c r="C32070" s="5" t="str">
        <f>IFERROR(__xludf.DUMMYFUNCTION("GOOGLETRANSLATE(B32070,""en"",""zh-CN"")"),"A继续使用玩具和其他狗在侧面观看的狗与狗一起表演技巧。")</f>
        <v>A继续使用玩具和其他狗在侧面观看的狗与狗一起表演技巧。</v>
      </c>
    </row>
    <row r="32071">
      <c r="A32071" s="4" t="s">
        <v>40380</v>
      </c>
      <c r="B32071" s="4" t="s">
        <v>40381</v>
      </c>
      <c r="C32071" s="5" t="str">
        <f>IFERROR(__xludf.DUMMYFUNCTION("GOOGLETRANSLATE(B32071,""en"",""zh-CN"")"),"构成更大的徽标的黑白图纸和徽标的拼贴画。")</f>
        <v>构成更大的徽标的黑白图纸和徽标的拼贴画。</v>
      </c>
    </row>
    <row r="32072">
      <c r="A32072" s="4" t="s">
        <v>40380</v>
      </c>
      <c r="B32072" s="4" t="s">
        <v>40382</v>
      </c>
      <c r="C32072" s="5" t="str">
        <f>IFERROR(__xludf.DUMMYFUNCTION("GOOGLETRANSLATE(B32072,""en"",""zh-CN"")"),"从远处看到海滩，在一个小海滩小镇的山坡上看到房屋。")</f>
        <v>从远处看到海滩，在一个小海滩小镇的山坡上看到房屋。</v>
      </c>
    </row>
    <row r="32073">
      <c r="A32073" s="4" t="s">
        <v>40380</v>
      </c>
      <c r="B32073" s="4" t="s">
        <v>40383</v>
      </c>
      <c r="C32073" s="5" t="str">
        <f>IFERROR(__xludf.DUMMYFUNCTION("GOOGLETRANSLATE(B32073,""en"",""zh-CN"")"),"冲浪者走向海滩。")</f>
        <v>冲浪者走向海滩。</v>
      </c>
    </row>
    <row r="32074">
      <c r="A32074" s="4" t="s">
        <v>40380</v>
      </c>
      <c r="B32074" s="4" t="s">
        <v>32466</v>
      </c>
      <c r="C32074" s="5" t="str">
        <f>IFERROR(__xludf.DUMMYFUNCTION("GOOGLETRANSLATE(B32074,""en"",""zh-CN"")"),"冲浪者在海洋中骑大海浪。")</f>
        <v>冲浪者在海洋中骑大海浪。</v>
      </c>
    </row>
    <row r="32075">
      <c r="A32075" s="4" t="s">
        <v>40384</v>
      </c>
      <c r="B32075" s="4" t="s">
        <v>40385</v>
      </c>
      <c r="C32075" s="5" t="str">
        <f>IFERROR(__xludf.DUMMYFUNCTION("GOOGLETRANSLATE(B32075,""en"",""zh-CN"")"),"看到一个女人在远处看着口琴。")</f>
        <v>看到一个女人在远处看着口琴。</v>
      </c>
    </row>
    <row r="32076">
      <c r="A32076" s="4" t="s">
        <v>40384</v>
      </c>
      <c r="B32076" s="4" t="s">
        <v>40386</v>
      </c>
      <c r="C32076" s="5" t="str">
        <f>IFERROR(__xludf.DUMMYFUNCTION("GOOGLETRANSLATE(B32076,""en"",""zh-CN"")"),"她在远离镜头时开始玩口琴。")</f>
        <v>她在远离镜头时开始玩口琴。</v>
      </c>
    </row>
    <row r="32077">
      <c r="A32077" s="4" t="s">
        <v>40384</v>
      </c>
      <c r="B32077" s="4" t="s">
        <v>40387</v>
      </c>
      <c r="C32077" s="5" t="str">
        <f>IFERROR(__xludf.DUMMYFUNCTION("GOOGLETRANSLATE(B32077,""en"",""zh-CN"")"),"继续播放口琴，停下来看着相机。")</f>
        <v>继续播放口琴，停下来看着相机。</v>
      </c>
    </row>
    <row r="32078">
      <c r="A32078" s="4" t="s">
        <v>40388</v>
      </c>
      <c r="B32078" s="4" t="s">
        <v>40389</v>
      </c>
      <c r="C32078" s="5" t="str">
        <f>IFERROR(__xludf.DUMMYFUNCTION("GOOGLETRANSLATE(B32078,""en"",""zh-CN"")"),"使用链锯的人将四肢从树上砍下。")</f>
        <v>使用链锯的人将四肢从树上砍下。</v>
      </c>
    </row>
    <row r="32079">
      <c r="A32079" s="4" t="s">
        <v>40388</v>
      </c>
      <c r="B32079" s="4" t="s">
        <v>40390</v>
      </c>
      <c r="C32079" s="5" t="str">
        <f>IFERROR(__xludf.DUMMYFUNCTION("GOOGLETRANSLATE(B32079,""en"",""zh-CN"")"),"该男子使用延伸部分将肢体从树的顶部切开。")</f>
        <v>该男子使用延伸部分将肢体从树的顶部切开。</v>
      </c>
    </row>
    <row r="32080">
      <c r="A32080" s="4" t="s">
        <v>40391</v>
      </c>
      <c r="B32080" s="4" t="s">
        <v>40392</v>
      </c>
      <c r="C32080" s="5" t="str">
        <f>IFERROR(__xludf.DUMMYFUNCTION("GOOGLETRANSLATE(B32080,""en"",""zh-CN"")"),"一个男人从滑雪板上的蒸汽坡上降下。")</f>
        <v>一个男人从滑雪板上的蒸汽坡上降下。</v>
      </c>
    </row>
    <row r="32081">
      <c r="A32081" s="4" t="s">
        <v>40391</v>
      </c>
      <c r="B32081" s="4" t="s">
        <v>40393</v>
      </c>
      <c r="C32081" s="5" t="str">
        <f>IFERROR(__xludf.DUMMYFUNCTION("GOOGLETRANSLATE(B32081,""en"",""zh-CN"")"),"另一个人飞过一座白雪皑皑的山丘时，空气抓住了空气。")</f>
        <v>另一个人飞过一座白雪皑皑的山丘时，空气抓住了空气。</v>
      </c>
    </row>
    <row r="32082">
      <c r="A32082" s="4" t="s">
        <v>40391</v>
      </c>
      <c r="B32082" s="4" t="s">
        <v>40394</v>
      </c>
      <c r="C32082" s="5" t="str">
        <f>IFERROR(__xludf.DUMMYFUNCTION("GOOGLETRANSLATE(B32082,""en"",""zh-CN"")"),"另一个滑雪者猛烈地从陡峭的山丘滑到基地。")</f>
        <v>另一个滑雪者猛烈地从陡峭的山丘滑到基地。</v>
      </c>
    </row>
    <row r="32083">
      <c r="A32083" s="4" t="s">
        <v>40391</v>
      </c>
      <c r="B32083" s="4" t="s">
        <v>40395</v>
      </c>
      <c r="C32083" s="5" t="str">
        <f>IFERROR(__xludf.DUMMYFUNCTION("GOOGLETRANSLATE(B32083,""en"",""zh-CN"")"),"显示一个灰色的男人在空中表现出一些技巧。")</f>
        <v>显示一个灰色的男人在空中表现出一些技巧。</v>
      </c>
    </row>
    <row r="32084">
      <c r="A32084" s="4" t="s">
        <v>40391</v>
      </c>
      <c r="B32084" s="4" t="s">
        <v>40396</v>
      </c>
      <c r="C32084" s="5" t="str">
        <f>IFERROR(__xludf.DUMMYFUNCTION("GOOGLETRANSLATE(B32084,""en"",""zh-CN"")"),"显示了滑雪板沿着山坡的第一人称视角。")</f>
        <v>显示了滑雪板沿着山坡的第一人称视角。</v>
      </c>
    </row>
    <row r="32085">
      <c r="A32085" s="4" t="s">
        <v>40391</v>
      </c>
      <c r="B32085" s="4" t="s">
        <v>40397</v>
      </c>
      <c r="C32085" s="5" t="str">
        <f>IFERROR(__xludf.DUMMYFUNCTION("GOOGLETRANSLATE(B32085,""en"",""zh-CN"")"),"另一个滑雪板沿着山坡飞行，左右砍伐。")</f>
        <v>另一个滑雪板沿着山坡飞行，左右砍伐。</v>
      </c>
    </row>
    <row r="32086">
      <c r="A32086" s="4" t="s">
        <v>40391</v>
      </c>
      <c r="B32086" s="4" t="s">
        <v>40398</v>
      </c>
      <c r="C32086" s="5" t="str">
        <f>IFERROR(__xludf.DUMMYFUNCTION("GOOGLETRANSLATE(B32086,""en"",""zh-CN"")"),"显示了各种滑雪者的镜头，显示了大斜坡的下降。")</f>
        <v>显示了各种滑雪者的镜头，显示了大斜坡的下降。</v>
      </c>
    </row>
    <row r="32087">
      <c r="A32087" s="4" t="s">
        <v>40391</v>
      </c>
      <c r="B32087" s="4" t="s">
        <v>40399</v>
      </c>
      <c r="C32087" s="5" t="str">
        <f>IFERROR(__xludf.DUMMYFUNCTION("GOOGLETRANSLATE(B32087,""en"",""zh-CN"")"),"滑雪板的第一人称视角与他面前的同伴们关闭了视频。")</f>
        <v>滑雪板的第一人称视角与他面前的同伴们关闭了视频。</v>
      </c>
    </row>
    <row r="32088">
      <c r="A32088" s="4" t="s">
        <v>40400</v>
      </c>
      <c r="B32088" s="4" t="s">
        <v>40401</v>
      </c>
      <c r="C32088" s="5" t="str">
        <f>IFERROR(__xludf.DUMMYFUNCTION("GOOGLETRANSLATE(B32088,""en"",""zh-CN"")"),"白色毛衣的女人正在和镜头说话。")</f>
        <v>白色毛衣的女人正在和镜头说话。</v>
      </c>
    </row>
    <row r="32089">
      <c r="A32089" s="4" t="s">
        <v>40400</v>
      </c>
      <c r="B32089" s="4" t="s">
        <v>40402</v>
      </c>
      <c r="C32089" s="5" t="str">
        <f>IFERROR(__xludf.DUMMYFUNCTION("GOOGLETRANSLATE(B32089,""en"",""zh-CN"")"),"女人拿着小提琴和棍子。")</f>
        <v>女人拿着小提琴和棍子。</v>
      </c>
    </row>
    <row r="32090">
      <c r="A32090" s="4" t="s">
        <v>40400</v>
      </c>
      <c r="B32090" s="6" t="s">
        <v>40403</v>
      </c>
      <c r="C32090" s="5" t="str">
        <f>IFERROR(__xludf.DUMMYFUNCTION("GOOGLETRANSLATE(B32090,""en"",""zh-CN"")"),"那个女人把小提琴放在脖子和肩膀之间，开始玩几秒钟，然后与镜头交谈。")</f>
        <v>那个女人把小提琴放在脖子和肩膀之间，开始玩几秒钟，然后与镜头交谈。</v>
      </c>
    </row>
    <row r="32091">
      <c r="A32091" s="4" t="s">
        <v>40404</v>
      </c>
      <c r="B32091" s="4" t="s">
        <v>40405</v>
      </c>
      <c r="C32091" s="5" t="str">
        <f>IFERROR(__xludf.DUMMYFUNCTION("GOOGLETRANSLATE(B32091,""en"",""zh-CN"")"),"人们站在潜水板的边界上，他们在水中潜水。")</f>
        <v>人们站在潜水板的边界上，他们在水中潜水。</v>
      </c>
    </row>
    <row r="32092">
      <c r="A32092" s="4" t="s">
        <v>40404</v>
      </c>
      <c r="B32092" s="4" t="s">
        <v>40406</v>
      </c>
      <c r="C32092" s="5" t="str">
        <f>IFERROR(__xludf.DUMMYFUNCTION("GOOGLETRANSLATE(B32092,""en"",""zh-CN"")"),"游泳者站在潜水板上，然后他们跳在空中并在水中跳水。")</f>
        <v>游泳者站在潜水板上，然后他们跳在空中并在水中跳水。</v>
      </c>
    </row>
    <row r="32093">
      <c r="A32093" s="4" t="s">
        <v>40404</v>
      </c>
      <c r="B32093" s="6" t="s">
        <v>40407</v>
      </c>
      <c r="C32093" s="5" t="str">
        <f>IFERROR(__xludf.DUMMYFUNCTION("GOOGLETRANSLATE(B32093,""en"",""zh-CN"")"),"游泳者从潜水板上跳下来，他们在空中旋转了三次，然后潜水旅馆。")</f>
        <v>游泳者从潜水板上跳下来，他们在空中旋转了三次，然后潜水旅馆。</v>
      </c>
    </row>
    <row r="32094">
      <c r="A32094" s="4" t="s">
        <v>40408</v>
      </c>
      <c r="B32094" s="6" t="s">
        <v>40409</v>
      </c>
      <c r="C32094" s="5" t="str">
        <f>IFERROR(__xludf.DUMMYFUNCTION("GOOGLETRANSLATE(B32094,""en"",""zh-CN"")"),"一个女孩用她的手展示了弹吉他的弹奏吉他，以在吉他的身体上产生打击乐的声音。")</f>
        <v>一个女孩用她的手展示了弹吉他的弹奏吉他，以在吉他的身体上产生打击乐的声音。</v>
      </c>
    </row>
    <row r="32095">
      <c r="A32095" s="4" t="s">
        <v>40408</v>
      </c>
      <c r="B32095" s="6" t="s">
        <v>40410</v>
      </c>
      <c r="C32095" s="5" t="str">
        <f>IFERROR(__xludf.DUMMYFUNCTION("GOOGLETRANSLATE(B32095,""en"",""zh-CN"")"),"一个女孩进入一个房间，一把原声吉他靠在沙发上，坐在沙发上，开始弹吉他。")</f>
        <v>一个女孩进入一个房间，一把原声吉他靠在沙发上，坐在沙发上，开始弹吉他。</v>
      </c>
    </row>
    <row r="32096">
      <c r="A32096" s="4" t="s">
        <v>40408</v>
      </c>
      <c r="B32096" s="6" t="s">
        <v>40411</v>
      </c>
      <c r="C32096" s="5" t="str">
        <f>IFERROR(__xludf.DUMMYFUNCTION("GOOGLETRANSLATE(B32096,""en"",""zh-CN"")"),"这个女孩用右手用吉他拍子，并用左手挑出和弦，同时凝视着吉他。")</f>
        <v>这个女孩用右手用吉他拍子，并用左手挑出和弦，同时凝视着吉他。</v>
      </c>
    </row>
    <row r="32097">
      <c r="A32097" s="4" t="s">
        <v>40408</v>
      </c>
      <c r="B32097" s="4" t="s">
        <v>40412</v>
      </c>
      <c r="C32097" s="5" t="str">
        <f>IFERROR(__xludf.DUMMYFUNCTION("GOOGLETRANSLATE(B32097,""en"",""zh-CN"")"),"这个女孩继续发挥强烈的娱乐性，偶尔会向节奏点头。")</f>
        <v>这个女孩继续发挥强烈的娱乐性，偶尔会向节奏点头。</v>
      </c>
    </row>
    <row r="32098">
      <c r="A32098" s="4" t="s">
        <v>40413</v>
      </c>
      <c r="B32098" s="6" t="s">
        <v>40414</v>
      </c>
      <c r="C32098" s="5" t="str">
        <f>IFERROR(__xludf.DUMMYFUNCTION("GOOGLETRANSLATE(B32098,""en"",""zh-CN"")"),"一位穿着绿色衬衫的年轻人站在球门上，而蓝色的年轻球员将球踢到了球门，球进球，穿着绿色衬衫的男子错过了球。")</f>
        <v>一位穿着绿色衬衫的年轻人站在球门上，而蓝色的年轻球员将球踢到了球门，球进球，穿着绿色衬衫的男子错过了球。</v>
      </c>
    </row>
    <row r="32099">
      <c r="A32099" s="4" t="s">
        <v>40413</v>
      </c>
      <c r="B32099" s="6" t="s">
        <v>40415</v>
      </c>
      <c r="C32099" s="5" t="str">
        <f>IFERROR(__xludf.DUMMYFUNCTION("GOOGLETRANSLATE(B32099,""en"",""zh-CN"")"),"身穿红色衬衫的男子朝球跑，踢球，守门员无法阻挡球，球员高五分。")</f>
        <v>身穿红色衬衫的男子朝球跑，踢球，守门员无法阻挡球，球员高五分。</v>
      </c>
    </row>
    <row r="32100">
      <c r="A32100" s="4" t="s">
        <v>40413</v>
      </c>
      <c r="B32100" s="4" t="s">
        <v>40416</v>
      </c>
      <c r="C32100" s="5" t="str">
        <f>IFERROR(__xludf.DUMMYFUNCTION("GOOGLETRANSLATE(B32100,""en"",""zh-CN"")"),"球员们将球踢向进球，守门员无法阻挡球。")</f>
        <v>球员们将球踢向进球，守门员无法阻挡球。</v>
      </c>
    </row>
    <row r="32101">
      <c r="A32101" s="4" t="s">
        <v>40417</v>
      </c>
      <c r="B32101" s="4" t="s">
        <v>40418</v>
      </c>
      <c r="C32101" s="5" t="str">
        <f>IFERROR(__xludf.DUMMYFUNCTION("GOOGLETRANSLATE(B32101,""en"",""zh-CN"")"),"我们看到了斗牛士的斗牛场景，看到他们刺伤了公牛。")</f>
        <v>我们看到了斗牛士的斗牛场景，看到他们刺伤了公牛。</v>
      </c>
    </row>
    <row r="32102">
      <c r="A32102" s="4" t="s">
        <v>40417</v>
      </c>
      <c r="B32102" s="4" t="s">
        <v>40419</v>
      </c>
      <c r="C32102" s="5" t="str">
        <f>IFERROR(__xludf.DUMMYFUNCTION("GOOGLETRANSLATE(B32102,""en"",""zh-CN"")"),"我们看到血腥的公牛和尸体被拖到地面上。")</f>
        <v>我们看到血腥的公牛和尸体被拖到地面上。</v>
      </c>
    </row>
    <row r="32103">
      <c r="A32103" s="4" t="s">
        <v>40417</v>
      </c>
      <c r="B32103" s="4" t="s">
        <v>40420</v>
      </c>
      <c r="C32103" s="5" t="str">
        <f>IFERROR(__xludf.DUMMYFUNCTION("GOOGLETRANSLATE(B32103,""en"",""zh-CN"")"),"我们在屠宰场看到一头公牛的图像。")</f>
        <v>我们在屠宰场看到一头公牛的图像。</v>
      </c>
    </row>
    <row r="32104">
      <c r="A32104" s="4" t="s">
        <v>40417</v>
      </c>
      <c r="B32104" s="4" t="s">
        <v>40421</v>
      </c>
      <c r="C32104" s="5" t="str">
        <f>IFERROR(__xludf.DUMMYFUNCTION("GOOGLETRANSLATE(B32104,""en"",""zh-CN"")"),"关于折磨公牛的屏幕上的单词遍布屏幕。")</f>
        <v>关于折磨公牛的屏幕上的单词遍布屏幕。</v>
      </c>
    </row>
    <row r="32105">
      <c r="A32105" s="4" t="s">
        <v>40417</v>
      </c>
      <c r="B32105" s="4" t="s">
        <v>40422</v>
      </c>
      <c r="C32105" s="5" t="str">
        <f>IFERROR(__xludf.DUMMYFUNCTION("GOOGLETRANSLATE(B32105,""en"",""zh-CN"")"),"然后，我们看到PETA结尾屏幕。")</f>
        <v>然后，我们看到PETA结尾屏幕。</v>
      </c>
    </row>
    <row r="32106">
      <c r="A32106" s="4" t="s">
        <v>40423</v>
      </c>
      <c r="B32106" s="4" t="s">
        <v>40424</v>
      </c>
      <c r="C32106" s="5" t="str">
        <f>IFERROR(__xludf.DUMMYFUNCTION("GOOGLETRANSLATE(B32106,""en"",""zh-CN"")"),"皮划艇骑手在海洋海湾漂流。")</f>
        <v>皮划艇骑手在海洋海湾漂流。</v>
      </c>
    </row>
    <row r="32107">
      <c r="A32107" s="4" t="s">
        <v>40423</v>
      </c>
      <c r="B32107" s="4" t="s">
        <v>40425</v>
      </c>
      <c r="C32107" s="5" t="str">
        <f>IFERROR(__xludf.DUMMYFUNCTION("GOOGLETRANSLATE(B32107,""en"",""zh-CN"")"),"两名皮划艇骑手坐在皮划艇中时说话。")</f>
        <v>两名皮划艇骑手坐在皮划艇中时说话。</v>
      </c>
    </row>
    <row r="32108">
      <c r="A32108" s="4" t="s">
        <v>40423</v>
      </c>
      <c r="B32108" s="4" t="s">
        <v>40426</v>
      </c>
      <c r="C32108" s="5" t="str">
        <f>IFERROR(__xludf.DUMMYFUNCTION("GOOGLETRANSLATE(B32108,""en"",""zh-CN"")"),"可以看到周围山脉的景色。")</f>
        <v>可以看到周围山脉的景色。</v>
      </c>
    </row>
    <row r="32109">
      <c r="A32109" s="4" t="s">
        <v>40427</v>
      </c>
      <c r="B32109" s="4" t="s">
        <v>40428</v>
      </c>
      <c r="C32109" s="5" t="str">
        <f>IFERROR(__xludf.DUMMYFUNCTION("GOOGLETRANSLATE(B32109,""en"",""zh-CN"")"),"两个人站在厨房里。")</f>
        <v>两个人站在厨房里。</v>
      </c>
    </row>
    <row r="32110">
      <c r="A32110" s="4" t="s">
        <v>40427</v>
      </c>
      <c r="B32110" s="4" t="s">
        <v>40429</v>
      </c>
      <c r="C32110" s="5" t="str">
        <f>IFERROR(__xludf.DUMMYFUNCTION("GOOGLETRANSLATE(B32110,""en"",""zh-CN"")"),"一个人将一个玻璃碗从柜台上移出。")</f>
        <v>一个人将一个玻璃碗从柜台上移出。</v>
      </c>
    </row>
    <row r="32111">
      <c r="A32111" s="4" t="s">
        <v>40427</v>
      </c>
      <c r="B32111" s="4" t="s">
        <v>40430</v>
      </c>
      <c r="C32111" s="5" t="str">
        <f>IFERROR(__xludf.DUMMYFUNCTION("GOOGLETRANSLATE(B32111,""en"",""zh-CN"")"),"一个女人开始在板上切番茄。")</f>
        <v>一个女人开始在板上切番茄。</v>
      </c>
    </row>
    <row r="32112">
      <c r="A32112" s="4" t="s">
        <v>40431</v>
      </c>
      <c r="B32112" s="6" t="s">
        <v>40432</v>
      </c>
      <c r="C32112" s="5" t="str">
        <f>IFERROR(__xludf.DUMMYFUNCTION("GOOGLETRANSLATE(B32112,""en"",""zh-CN"")"),"我们一个男人在餐厅厨房里洗碗，另外两个男人站在他身后按摩肩膀。")</f>
        <v>我们一个男人在餐厅厨房里洗碗，另外两个男人站在他身后按摩肩膀。</v>
      </c>
    </row>
    <row r="32113">
      <c r="A32113" s="4" t="s">
        <v>40431</v>
      </c>
      <c r="B32113" s="4" t="s">
        <v>40433</v>
      </c>
      <c r="C32113" s="5" t="str">
        <f>IFERROR(__xludf.DUMMYFUNCTION("GOOGLETRANSLATE(B32113,""en"",""zh-CN"")"),"Teh洗碗机将男人从肩膀上摇了。")</f>
        <v>Teh洗碗机将男人从肩膀上摇了。</v>
      </c>
    </row>
    <row r="32114">
      <c r="A32114" s="4" t="s">
        <v>40431</v>
      </c>
      <c r="B32114" s="4" t="s">
        <v>40434</v>
      </c>
      <c r="C32114" s="5" t="str">
        <f>IFERROR(__xludf.DUMMYFUNCTION("GOOGLETRANSLATE(B32114,""en"",""zh-CN"")"),"蓝色后方的男人走出房间。")</f>
        <v>蓝色后方的男人走出房间。</v>
      </c>
    </row>
    <row r="32115">
      <c r="A32115" s="4" t="s">
        <v>40431</v>
      </c>
      <c r="B32115" s="4" t="s">
        <v>40435</v>
      </c>
      <c r="C32115" s="5" t="str">
        <f>IFERROR(__xludf.DUMMYFUNCTION("GOOGLETRANSLATE(B32115,""en"",""zh-CN"")"),"另一个男人假装洗碗，然后洗手。")</f>
        <v>另一个男人假装洗碗，然后洗手。</v>
      </c>
    </row>
    <row r="32116">
      <c r="A32116" s="4" t="s">
        <v>40436</v>
      </c>
      <c r="B32116" s="4" t="s">
        <v>40437</v>
      </c>
      <c r="C32116" s="5" t="str">
        <f>IFERROR(__xludf.DUMMYFUNCTION("GOOGLETRANSLATE(B32116,""en"",""zh-CN"")"),"电视工作室播放的记者广播。")</f>
        <v>电视工作室播放的记者广播。</v>
      </c>
    </row>
    <row r="32117">
      <c r="A32117" s="4" t="s">
        <v>40436</v>
      </c>
      <c r="B32117" s="6" t="s">
        <v>40438</v>
      </c>
      <c r="C32117" s="5" t="str">
        <f>IFERROR(__xludf.DUMMYFUNCTION("GOOGLETRANSLATE(B32117,""en"",""zh-CN"")"),"然后，他记者表明，采访男性是一名女球员，接下来是一个游泳池，而一群球员跳入水中。")</f>
        <v>然后，他记者表明，采访男性是一名女球员，接下来是一个游泳池，而一群球员跳入水中。</v>
      </c>
    </row>
    <row r="32118">
      <c r="A32118" s="4" t="s">
        <v>40436</v>
      </c>
      <c r="B32118" s="6" t="s">
        <v>40439</v>
      </c>
      <c r="C32118" s="5" t="str">
        <f>IFERROR(__xludf.DUMMYFUNCTION("GOOGLETRANSLATE(B32118,""en"",""zh-CN"")"),"两支球队在游泳池里玩水马球，而记者继续采访人们。")</f>
        <v>两支球队在游泳池里玩水马球，而记者继续采访人们。</v>
      </c>
    </row>
    <row r="32119">
      <c r="A32119" s="4" t="s">
        <v>40436</v>
      </c>
      <c r="B32119" s="4" t="s">
        <v>40440</v>
      </c>
      <c r="C32119" s="5" t="str">
        <f>IFERROR(__xludf.DUMMYFUNCTION("GOOGLETRANSLATE(B32119,""en"",""zh-CN"")"),"一个女人和一个男人在游戏上写了分数，然后人们鼓掌。")</f>
        <v>一个女人和一个男人在游戏上写了分数，然后人们鼓掌。</v>
      </c>
    </row>
    <row r="32120">
      <c r="A32120" s="4" t="s">
        <v>40436</v>
      </c>
      <c r="B32120" s="6" t="s">
        <v>40441</v>
      </c>
      <c r="C32120" s="5" t="str">
        <f>IFERROR(__xludf.DUMMYFUNCTION("GOOGLETRANSLATE(B32120,""en"",""zh-CN"")"),"获胜者团队取出水并庆祝，然后记者采访了团队成员。")</f>
        <v>获胜者团队取出水并庆祝，然后记者采访了团队成员。</v>
      </c>
    </row>
    <row r="32121">
      <c r="A32121" s="4" t="s">
        <v>40436</v>
      </c>
      <c r="B32121" s="4" t="s">
        <v>40442</v>
      </c>
      <c r="C32121" s="5" t="str">
        <f>IFERROR(__xludf.DUMMYFUNCTION("GOOGLETRANSLATE(B32121,""en"",""zh-CN"")"),"同样，团队进入水中，然后从一家工作室播出的记者播出。")</f>
        <v>同样，团队进入水中，然后从一家工作室播出的记者播出。</v>
      </c>
    </row>
    <row r="32122">
      <c r="A32122" s="4" t="s">
        <v>40443</v>
      </c>
      <c r="B32122" s="4" t="s">
        <v>40444</v>
      </c>
      <c r="C32122" s="5" t="str">
        <f>IFERROR(__xludf.DUMMYFUNCTION("GOOGLETRANSLATE(B32122,""en"",""zh-CN"")"),"女人正站在柜台前与镜头交谈并展示饮料。")</f>
        <v>女人正站在柜台前与镜头交谈并展示饮料。</v>
      </c>
    </row>
    <row r="32123">
      <c r="A32123" s="4" t="s">
        <v>40443</v>
      </c>
      <c r="B32123" s="4" t="s">
        <v>40445</v>
      </c>
      <c r="C32123" s="5" t="str">
        <f>IFERROR(__xludf.DUMMYFUNCTION("GOOGLETRANSLATE(B32123,""en"",""zh-CN"")"),"女人抓住果汁和酒，然后将其送入杯子中。")</f>
        <v>女人抓住果汁和酒，然后将其送入杯子中。</v>
      </c>
    </row>
    <row r="32124">
      <c r="A32124" s="4" t="s">
        <v>40443</v>
      </c>
      <c r="B32124" s="4" t="s">
        <v>40446</v>
      </c>
      <c r="C32124" s="5" t="str">
        <f>IFERROR(__xludf.DUMMYFUNCTION("GOOGLETRANSLATE(B32124,""en"",""zh-CN"")"),"女人在酒吧里展示如何准备鸡尾酒。")</f>
        <v>女人在酒吧里展示如何准备鸡尾酒。</v>
      </c>
    </row>
    <row r="32125">
      <c r="A32125" s="4" t="s">
        <v>40447</v>
      </c>
      <c r="B32125" s="4" t="s">
        <v>40448</v>
      </c>
      <c r="C32125" s="5" t="str">
        <f>IFERROR(__xludf.DUMMYFUNCTION("GOOGLETRANSLATE(B32125,""en"",""zh-CN"")"),"一个穿着蓝色衬衫的男人走到一些辣椒，坐下。")</f>
        <v>一个穿着蓝色衬衫的男人走到一些辣椒，坐下。</v>
      </c>
    </row>
    <row r="32126">
      <c r="A32126" s="4" t="s">
        <v>40447</v>
      </c>
      <c r="B32126" s="4" t="s">
        <v>40449</v>
      </c>
      <c r="C32126" s="5" t="str">
        <f>IFERROR(__xludf.DUMMYFUNCTION("GOOGLETRANSLATE(B32126,""en"",""zh-CN"")"),"音乐家开始在一个小房间里演奏康卡斯。")</f>
        <v>音乐家开始在一个小房间里演奏康卡斯。</v>
      </c>
    </row>
    <row r="32127">
      <c r="A32127" s="4" t="s">
        <v>40447</v>
      </c>
      <c r="B32127" s="4" t="s">
        <v>40450</v>
      </c>
      <c r="C32127" s="5" t="str">
        <f>IFERROR(__xludf.DUMMYFUNCTION("GOOGLETRANSLATE(B32127,""en"",""zh-CN"")"),"然后，该男子站起来，接近相机。")</f>
        <v>然后，该男子站起来，接近相机。</v>
      </c>
    </row>
    <row r="32128">
      <c r="A32128" s="4" t="s">
        <v>40451</v>
      </c>
      <c r="B32128" s="4" t="s">
        <v>40452</v>
      </c>
      <c r="C32128" s="5" t="str">
        <f>IFERROR(__xludf.DUMMYFUNCTION("GOOGLETRANSLATE(B32128,""en"",""zh-CN"")"),"我们看到水槽的镜头。")</f>
        <v>我们看到水槽的镜头。</v>
      </c>
    </row>
    <row r="32129">
      <c r="A32129" s="4" t="s">
        <v>40451</v>
      </c>
      <c r="B32129" s="4" t="s">
        <v>40453</v>
      </c>
      <c r="C32129" s="5" t="str">
        <f>IFERROR(__xludf.DUMMYFUNCTION("GOOGLETRANSLATE(B32129,""en"",""zh-CN"")"),"一个人用瓶子喷洒水槽，然后使用磨砂刷擦洗水槽。")</f>
        <v>一个人用瓶子喷洒水槽，然后使用磨砂刷擦洗水槽。</v>
      </c>
    </row>
    <row r="32130">
      <c r="A32130" s="4" t="s">
        <v>40451</v>
      </c>
      <c r="B32130" s="4" t="s">
        <v>40454</v>
      </c>
      <c r="C32130" s="5" t="str">
        <f>IFERROR(__xludf.DUMMYFUNCTION("GOOGLETRANSLATE(B32130,""en"",""zh-CN"")"),"该人用蓝色的毛巾冲洗水槽。")</f>
        <v>该人用蓝色的毛巾冲洗水槽。</v>
      </c>
    </row>
    <row r="32131">
      <c r="A32131" s="4" t="s">
        <v>40451</v>
      </c>
      <c r="B32131" s="4" t="s">
        <v>40455</v>
      </c>
      <c r="C32131" s="5" t="str">
        <f>IFERROR(__xludf.DUMMYFUNCTION("GOOGLETRANSLATE(B32131,""en"",""zh-CN"")"),"然后，该人再次冲洗水槽，然后再次用蓝色毛巾将其擦拭。")</f>
        <v>然后，该人再次冲洗水槽，然后再次用蓝色毛巾将其擦拭。</v>
      </c>
    </row>
    <row r="32132">
      <c r="A32132" s="4" t="s">
        <v>40451</v>
      </c>
      <c r="B32132" s="6" t="s">
        <v>40456</v>
      </c>
      <c r="C32132" s="5" t="str">
        <f>IFERROR(__xludf.DUMMYFUNCTION("GOOGLETRANSLATE(B32132,""en"",""zh-CN"")"),"该人用溶液喷洒水槽，并使用小型辊漆刷将溶液运到水槽中。")</f>
        <v>该人用溶液喷洒水槽，并使用小型辊漆刷将溶液运到水槽中。</v>
      </c>
    </row>
    <row r="32133">
      <c r="A32133" s="4" t="s">
        <v>40451</v>
      </c>
      <c r="B32133" s="4" t="s">
        <v>40457</v>
      </c>
      <c r="C32133" s="5" t="str">
        <f>IFERROR(__xludf.DUMMYFUNCTION("GOOGLETRANSLATE(B32133,""en"",""zh-CN"")"),"我们看到水槽前后。")</f>
        <v>我们看到水槽前后。</v>
      </c>
    </row>
    <row r="32134">
      <c r="A32134" s="4" t="s">
        <v>40458</v>
      </c>
      <c r="B32134" s="4" t="s">
        <v>40459</v>
      </c>
      <c r="C32134" s="5" t="str">
        <f>IFERROR(__xludf.DUMMYFUNCTION("GOOGLETRANSLATE(B32134,""en"",""zh-CN"")"),"一群人用自动化的机器和机器人玩乒乓球。")</f>
        <v>一群人用自动化的机器和机器人玩乒乓球。</v>
      </c>
    </row>
    <row r="32135">
      <c r="A32135" s="4" t="s">
        <v>40458</v>
      </c>
      <c r="B32135" s="6" t="s">
        <v>40460</v>
      </c>
      <c r="C32135" s="5" t="str">
        <f>IFERROR(__xludf.DUMMYFUNCTION("GOOGLETRANSLATE(B32135,""en"",""zh-CN"")"),"一个人用橙色机器弹奏乒乓球，并在机器人手臂的末端附有红色桨。")</f>
        <v>一个人用橙色机器弹奏乒乓球，并在机器人手臂的末端附有红色桨。</v>
      </c>
    </row>
    <row r="32136">
      <c r="A32136" s="4" t="s">
        <v>40458</v>
      </c>
      <c r="B32136" s="6" t="s">
        <v>40461</v>
      </c>
      <c r="C32136" s="5" t="str">
        <f>IFERROR(__xludf.DUMMYFUNCTION("GOOGLETRANSLATE(B32136,""en"",""zh-CN"")"),"一个男人和一个孩子在蓝色乒乓球桌上玩乒乓球，一个人站在橙色自动化的机器旁边，谈话。")</f>
        <v>一个男人和一个孩子在蓝色乒乓球桌上玩乒乓球，一个人站在橙色自动化的机器旁边，谈话。</v>
      </c>
    </row>
    <row r="32137">
      <c r="A32137" s="4" t="s">
        <v>40458</v>
      </c>
      <c r="B32137" s="4" t="s">
        <v>40462</v>
      </c>
      <c r="C32137" s="5" t="str">
        <f>IFERROR(__xludf.DUMMYFUNCTION("GOOGLETRANSLATE(B32137,""en"",""zh-CN"")"),"另一个男人在带有白色金属，机器人的蓝色乒乓球桌上演奏乒乓球。")</f>
        <v>另一个男人在带有白色金属，机器人的蓝色乒乓球桌上演奏乒乓球。</v>
      </c>
    </row>
    <row r="32138">
      <c r="A32138" s="4" t="s">
        <v>40458</v>
      </c>
      <c r="B32138" s="6" t="s">
        <v>40463</v>
      </c>
      <c r="C32138" s="5" t="str">
        <f>IFERROR(__xludf.DUMMYFUNCTION("GOOGLETRANSLATE(B32138,""en"",""zh-CN"")"),"一个穿着西装和领带的男人说话，一只手将一个橙色的球放入自动化的两只白色机器人的手中，然后去一个装满橙色机器人机器的房间的区域。")</f>
        <v>一个穿着西装和领带的男人说话，一只手将一个橙色的球放入自动化的两只白色机器人的手中，然后去一个装满橙色机器人机器的房间的区域。</v>
      </c>
    </row>
    <row r="32139">
      <c r="A32139" s="4" t="s">
        <v>40464</v>
      </c>
      <c r="B32139" s="4" t="s">
        <v>40465</v>
      </c>
      <c r="C32139" s="5" t="str">
        <f>IFERROR(__xludf.DUMMYFUNCTION("GOOGLETRANSLATE(B32139,""en"",""zh-CN"")"),"我们看到一系列开放屏幕。")</f>
        <v>我们看到一系列开放屏幕。</v>
      </c>
    </row>
    <row r="32140">
      <c r="A32140" s="4" t="s">
        <v>40464</v>
      </c>
      <c r="B32140" s="4" t="s">
        <v>40466</v>
      </c>
      <c r="C32140" s="5" t="str">
        <f>IFERROR(__xludf.DUMMYFUNCTION("GOOGLETRANSLATE(B32140,""en"",""zh-CN"")"),"当狗抓住狗时，一个人扔飞盘。")</f>
        <v>当狗抓住狗时，一个人扔飞盘。</v>
      </c>
    </row>
    <row r="32141">
      <c r="A32141" s="4" t="s">
        <v>40464</v>
      </c>
      <c r="B32141" s="4" t="s">
        <v>40467</v>
      </c>
      <c r="C32141" s="5" t="str">
        <f>IFERROR(__xludf.DUMMYFUNCTION("GOOGLETRANSLATE(B32141,""en"",""zh-CN"")"),"一个男人举起双手，走开，另一个人走过相机。")</f>
        <v>一个男人举起双手，走开，另一个人走过相机。</v>
      </c>
    </row>
    <row r="32142">
      <c r="A32142" s="4" t="s">
        <v>40464</v>
      </c>
      <c r="B32142" s="4" t="s">
        <v>6208</v>
      </c>
      <c r="C32142" s="5" t="str">
        <f>IFERROR(__xludf.DUMMYFUNCTION("GOOGLETRANSLATE(B32142,""en"",""zh-CN"")"),"我们看到标题屏幕。")</f>
        <v>我们看到标题屏幕。</v>
      </c>
    </row>
    <row r="32143">
      <c r="A32143" s="4" t="s">
        <v>40464</v>
      </c>
      <c r="B32143" s="4" t="s">
        <v>40468</v>
      </c>
      <c r="C32143" s="5" t="str">
        <f>IFERROR(__xludf.DUMMYFUNCTION("GOOGLETRANSLATE(B32143,""en"",""zh-CN"")"),"我们看到狗躺在草地上的图像，屏幕上有单词。")</f>
        <v>我们看到狗躺在草地上的图像，屏幕上有单词。</v>
      </c>
    </row>
    <row r="32144">
      <c r="A32144" s="4" t="s">
        <v>40469</v>
      </c>
      <c r="B32144" s="4" t="s">
        <v>40470</v>
      </c>
      <c r="C32144" s="5" t="str">
        <f>IFERROR(__xludf.DUMMYFUNCTION("GOOGLETRANSLATE(B32144,""en"",""zh-CN"")"),"显示了几张镜头的水肺潜水员沿着水和鱼在它们周围移动。")</f>
        <v>显示了几张镜头的水肺潜水员沿着水和鱼在它们周围移动。</v>
      </c>
    </row>
    <row r="32145">
      <c r="A32145" s="4" t="s">
        <v>40469</v>
      </c>
      <c r="B32145" s="6" t="s">
        <v>40471</v>
      </c>
      <c r="C32145" s="5" t="str">
        <f>IFERROR(__xludf.DUMMYFUNCTION("GOOGLETRANSLATE(B32145,""en"",""zh-CN"")"),"看到越来越多的人沿着海洋移动，同时抓住相机并捕获周围的所有野生动植物。")</f>
        <v>看到越来越多的人沿着海洋移动，同时抓住相机并捕获周围的所有野生动植物。</v>
      </c>
    </row>
    <row r="32146">
      <c r="A32146" s="4" t="s">
        <v>40469</v>
      </c>
      <c r="B32146" s="4" t="s">
        <v>40472</v>
      </c>
      <c r="C32146" s="5" t="str">
        <f>IFERROR(__xludf.DUMMYFUNCTION("GOOGLETRANSLATE(B32146,""en"",""zh-CN"")"),"最后，他们看到他们一起骑船并挥舞着相机。")</f>
        <v>最后，他们看到他们一起骑船并挥舞着相机。</v>
      </c>
    </row>
    <row r="32147">
      <c r="A32147" s="4" t="s">
        <v>40473</v>
      </c>
      <c r="B32147" s="4" t="s">
        <v>40474</v>
      </c>
      <c r="C32147" s="5" t="str">
        <f>IFERROR(__xludf.DUMMYFUNCTION("GOOGLETRANSLATE(B32147,""en"",""zh-CN"")"),"一个小男孩跑得很快地跑到他的秋千上，他的狗追着他。")</f>
        <v>一个小男孩跑得很快地跑到他的秋千上，他的狗追着他。</v>
      </c>
    </row>
    <row r="32148">
      <c r="A32148" s="4" t="s">
        <v>40473</v>
      </c>
      <c r="B32148" s="4" t="s">
        <v>40475</v>
      </c>
      <c r="C32148" s="5" t="str">
        <f>IFERROR(__xludf.DUMMYFUNCTION("GOOGLETRANSLATE(B32148,""en"",""zh-CN"")"),"他爬上幻灯片和滑梯，他的弟弟也来玩。")</f>
        <v>他爬上幻灯片和滑梯，他的弟弟也来玩。</v>
      </c>
    </row>
    <row r="32149">
      <c r="A32149" s="4" t="s">
        <v>40473</v>
      </c>
      <c r="B32149" s="4" t="s">
        <v>40476</v>
      </c>
      <c r="C32149" s="5" t="str">
        <f>IFERROR(__xludf.DUMMYFUNCTION("GOOGLETRANSLATE(B32149,""en"",""zh-CN"")"),"妈妈过来和一个男孩在海上玩耍，他摔倒了。")</f>
        <v>妈妈过来和一个男孩在海上玩耍，他摔倒了。</v>
      </c>
    </row>
    <row r="32150">
      <c r="A32150" s="4" t="s">
        <v>40473</v>
      </c>
      <c r="B32150" s="4" t="s">
        <v>40477</v>
      </c>
      <c r="C32150" s="5" t="str">
        <f>IFERROR(__xludf.DUMMYFUNCTION("GOOGLETRANSLATE(B32150,""en"",""zh-CN"")"),"他们播放了一段时间，从场景的一部分到下一部分。")</f>
        <v>他们播放了一段时间，从场景的一部分到下一部分。</v>
      </c>
    </row>
    <row r="32151">
      <c r="A32151" s="4" t="s">
        <v>40478</v>
      </c>
      <c r="B32151" s="4" t="s">
        <v>40479</v>
      </c>
      <c r="C32151" s="5" t="str">
        <f>IFERROR(__xludf.DUMMYFUNCTION("GOOGLETRANSLATE(B32151,""en"",""zh-CN"")"),"一个相机在房间周围竖起，并导致两名女性说话并拉出岩石瓷砖。")</f>
        <v>一个相机在房间周围竖起，并导致两名女性说话并拉出岩石瓷砖。</v>
      </c>
    </row>
    <row r="32152">
      <c r="A32152" s="4" t="s">
        <v>40478</v>
      </c>
      <c r="B32152" s="6" t="s">
        <v>40480</v>
      </c>
      <c r="C32152" s="5" t="str">
        <f>IFERROR(__xludf.DUMMYFUNCTION("GOOGLETRANSLATE(B32152,""en"",""zh-CN"")"),"然后，妇女将石膏放下，然后放下岩石瓷砖，最后露出完成的淋浴，人们做出了反应。")</f>
        <v>然后，妇女将石膏放下，然后放下岩石瓷砖，最后露出完成的淋浴，人们做出了反应。</v>
      </c>
    </row>
    <row r="32153">
      <c r="A32153" s="4" t="s">
        <v>40481</v>
      </c>
      <c r="B32153" s="4" t="s">
        <v>40482</v>
      </c>
      <c r="C32153" s="5" t="str">
        <f>IFERROR(__xludf.DUMMYFUNCTION("GOOGLETRANSLATE(B32153,""en"",""zh-CN"")"),"一位老太太坐在椅子编织中，和镜头交谈。")</f>
        <v>一位老太太坐在椅子编织中，和镜头交谈。</v>
      </c>
    </row>
    <row r="32154">
      <c r="A32154" s="4" t="s">
        <v>40481</v>
      </c>
      <c r="B32154" s="4" t="s">
        <v>40483</v>
      </c>
      <c r="C32154" s="5" t="str">
        <f>IFERROR(__xludf.DUMMYFUNCTION("GOOGLETRANSLATE(B32154,""en"",""zh-CN"")"),"那位女士看着相机时微微摇了摇头。")</f>
        <v>那位女士看着相机时微微摇了摇头。</v>
      </c>
    </row>
    <row r="32155">
      <c r="A32155" s="4" t="s">
        <v>40481</v>
      </c>
      <c r="B32155" s="4" t="s">
        <v>40484</v>
      </c>
      <c r="C32155" s="5" t="str">
        <f>IFERROR(__xludf.DUMMYFUNCTION("GOOGLETRANSLATE(B32155,""en"",""zh-CN"")"),"女士停下来，看着窗外。")</f>
        <v>女士停下来，看着窗外。</v>
      </c>
    </row>
    <row r="32156">
      <c r="A32156" s="4" t="s">
        <v>40485</v>
      </c>
      <c r="B32156" s="4" t="s">
        <v>40486</v>
      </c>
      <c r="C32156" s="5" t="str">
        <f>IFERROR(__xludf.DUMMYFUNCTION("GOOGLETRANSLATE(B32156,""en"",""zh-CN"")"),"一个穿着红色紧身连衣裤的女人展示了芭蕾舞移动的脚趾运动。")</f>
        <v>一个穿着红色紧身连衣裤的女人展示了芭蕾舞移动的脚趾运动。</v>
      </c>
    </row>
    <row r="32157">
      <c r="A32157" s="4" t="s">
        <v>40485</v>
      </c>
      <c r="B32157" s="4" t="s">
        <v>40487</v>
      </c>
      <c r="C32157" s="5" t="str">
        <f>IFERROR(__xludf.DUMMYFUNCTION("GOOGLETRANSLATE(B32157,""en"",""zh-CN"")"),"芭蕾舞老师在地板上闪闪发光，走了小侧面。")</f>
        <v>芭蕾舞老师在地板上闪闪发光，走了小侧面。</v>
      </c>
    </row>
    <row r="32158">
      <c r="A32158" s="4" t="s">
        <v>40485</v>
      </c>
      <c r="B32158" s="4" t="s">
        <v>40488</v>
      </c>
      <c r="C32158" s="5" t="str">
        <f>IFERROR(__xludf.DUMMYFUNCTION("GOOGLETRANSLATE(B32158,""en"",""zh-CN"")"),"讲师展示了芭蕾舞转弯。")</f>
        <v>讲师展示了芭蕾舞转弯。</v>
      </c>
    </row>
    <row r="32159">
      <c r="A32159" s="4" t="s">
        <v>40485</v>
      </c>
      <c r="B32159" s="4" t="s">
        <v>40489</v>
      </c>
      <c r="C32159" s="5" t="str">
        <f>IFERROR(__xludf.DUMMYFUNCTION("GOOGLETRANSLATE(B32159,""en"",""zh-CN"")"),"教练比将侧脚趾与斑点转弯相结合。")</f>
        <v>教练比将侧脚趾与斑点转弯相结合。</v>
      </c>
    </row>
    <row r="32160">
      <c r="A32160" s="4" t="s">
        <v>40490</v>
      </c>
      <c r="B32160" s="4" t="s">
        <v>40491</v>
      </c>
      <c r="C32160" s="5" t="str">
        <f>IFERROR(__xludf.DUMMYFUNCTION("GOOGLETRANSLATE(B32160,""en"",""zh-CN"")"),"两个年轻的女孩在厨房里手里握着肥皂。")</f>
        <v>两个年轻的女孩在厨房里手里握着肥皂。</v>
      </c>
    </row>
    <row r="32161">
      <c r="A32161" s="4" t="s">
        <v>40490</v>
      </c>
      <c r="B32161" s="4" t="s">
        <v>40492</v>
      </c>
      <c r="C32161" s="5" t="str">
        <f>IFERROR(__xludf.DUMMYFUNCTION("GOOGLETRANSLATE(B32161,""en"",""zh-CN"")"),"女孩们把泡沫扔在彼此的脸上。")</f>
        <v>女孩们把泡沫扔在彼此的脸上。</v>
      </c>
    </row>
    <row r="32162">
      <c r="A32162" s="4" t="s">
        <v>40490</v>
      </c>
      <c r="B32162" s="4" t="s">
        <v>40493</v>
      </c>
      <c r="C32162" s="5" t="str">
        <f>IFERROR(__xludf.DUMMYFUNCTION("GOOGLETRANSLATE(B32162,""en"",""zh-CN"")"),"一个女孩在另一个女孩的肩膀上跳动。")</f>
        <v>一个女孩在另一个女孩的肩膀上跳动。</v>
      </c>
    </row>
    <row r="32163">
      <c r="A32163" s="4" t="s">
        <v>40490</v>
      </c>
      <c r="B32163" s="4" t="s">
        <v>40494</v>
      </c>
      <c r="C32163" s="5" t="str">
        <f>IFERROR(__xludf.DUMMYFUNCTION("GOOGLETRANSLATE(B32163,""en"",""zh-CN"")"),"他们开始洗碗。")</f>
        <v>他们开始洗碗。</v>
      </c>
    </row>
    <row r="32164">
      <c r="A32164" s="4" t="s">
        <v>40495</v>
      </c>
      <c r="B32164" s="4" t="s">
        <v>40496</v>
      </c>
      <c r="C32164" s="5" t="str">
        <f>IFERROR(__xludf.DUMMYFUNCTION("GOOGLETRANSLATE(B32164,""en"",""zh-CN"")"),"一个小男孩和一个小男孩在围栏上。")</f>
        <v>一个小男孩和一个小男孩在围栏上。</v>
      </c>
    </row>
    <row r="32165">
      <c r="A32165" s="4" t="s">
        <v>40495</v>
      </c>
      <c r="B32165" s="4" t="s">
        <v>40497</v>
      </c>
      <c r="C32165" s="5" t="str">
        <f>IFERROR(__xludf.DUMMYFUNCTION("GOOGLETRANSLATE(B32165,""en"",""zh-CN"")"),"他们踢球，然后尝试将其追逐。")</f>
        <v>他们踢球，然后尝试将其追逐。</v>
      </c>
    </row>
    <row r="32166">
      <c r="A32166" s="4" t="s">
        <v>40495</v>
      </c>
      <c r="B32166" s="4" t="s">
        <v>40498</v>
      </c>
      <c r="C32166" s="5" t="str">
        <f>IFERROR(__xludf.DUMMYFUNCTION("GOOGLETRANSLATE(B32166,""en"",""zh-CN"")"),"孩子们继续打球，在球上战斗。")</f>
        <v>孩子们继续打球，在球上战斗。</v>
      </c>
    </row>
    <row r="32167">
      <c r="A32167" s="4" t="s">
        <v>40499</v>
      </c>
      <c r="B32167" s="4" t="s">
        <v>40500</v>
      </c>
      <c r="C32167" s="5" t="str">
        <f>IFERROR(__xludf.DUMMYFUNCTION("GOOGLETRANSLATE(B32167,""en"",""zh-CN"")"),"海洋上展示了一条海洋的绿色森林。")</f>
        <v>海洋上展示了一条海洋的绿色森林。</v>
      </c>
    </row>
    <row r="32168">
      <c r="A32168" s="4" t="s">
        <v>40499</v>
      </c>
      <c r="B32168" s="4" t="s">
        <v>40501</v>
      </c>
      <c r="C32168" s="5" t="str">
        <f>IFERROR(__xludf.DUMMYFUNCTION("GOOGLETRANSLATE(B32168,""en"",""zh-CN"")"),"金发碧眼的人站在海边，与镜头交谈，并在海上冲浪。")</f>
        <v>金发碧眼的人站在海边，与镜头交谈，并在海上冲浪。</v>
      </c>
    </row>
    <row r="32169">
      <c r="A32169" s="4" t="s">
        <v>40499</v>
      </c>
      <c r="B32169" s="6" t="s">
        <v>40502</v>
      </c>
      <c r="C32169" s="5" t="str">
        <f>IFERROR(__xludf.DUMMYFUNCTION("GOOGLETRANSLATE(B32169,""en"",""zh-CN"")"),"男人正在海滨走过很多人，与镜头交谈，颁发奖项并谈论冲浪海岸。")</f>
        <v>男人正在海滨走过很多人，与镜头交谈，颁发奖项并谈论冲浪海岸。</v>
      </c>
    </row>
    <row r="32170">
      <c r="A32170" s="4" t="s">
        <v>40503</v>
      </c>
      <c r="B32170" s="4" t="s">
        <v>40504</v>
      </c>
      <c r="C32170" s="5" t="str">
        <f>IFERROR(__xludf.DUMMYFUNCTION("GOOGLETRANSLATE(B32170,""en"",""zh-CN"")"),"看到一个男人在握住棍子时在相机上说话。")</f>
        <v>看到一个男人在握住棍子时在相机上说话。</v>
      </c>
    </row>
    <row r="32171">
      <c r="A32171" s="4" t="s">
        <v>40503</v>
      </c>
      <c r="B32171" s="4" t="s">
        <v>40505</v>
      </c>
      <c r="C32171" s="5" t="str">
        <f>IFERROR(__xludf.DUMMYFUNCTION("GOOGLETRANSLATE(B32171,""en"",""zh-CN"")"),"他指向他面前和身体的球。")</f>
        <v>他指向他面前和身体的球。</v>
      </c>
    </row>
    <row r="32172">
      <c r="A32172" s="4" t="s">
        <v>40503</v>
      </c>
      <c r="B32172" s="4" t="s">
        <v>40506</v>
      </c>
      <c r="C32172" s="5" t="str">
        <f>IFERROR(__xludf.DUMMYFUNCTION("GOOGLETRANSLATE(B32172,""en"",""zh-CN"")"),"他展示了如何在仍在讲话时正确击球。")</f>
        <v>他展示了如何在仍在讲话时正确击球。</v>
      </c>
    </row>
    <row r="32173">
      <c r="A32173" s="4" t="s">
        <v>40507</v>
      </c>
      <c r="B32173" s="4" t="s">
        <v>40508</v>
      </c>
      <c r="C32173" s="5" t="str">
        <f>IFERROR(__xludf.DUMMYFUNCTION("GOOGLETRANSLATE(B32173,""en"",""zh-CN"")"),"一名老年女子摇晃到镜头，并在地板上进行各种手动。")</f>
        <v>一名老年女子摇晃到镜头，并在地板上进行各种手动。</v>
      </c>
    </row>
    <row r="32174">
      <c r="A32174" s="4" t="s">
        <v>40507</v>
      </c>
      <c r="B32174" s="4" t="s">
        <v>40509</v>
      </c>
      <c r="C32174" s="5" t="str">
        <f>IFERROR(__xludf.DUMMYFUNCTION("GOOGLETRANSLATE(B32174,""en"",""zh-CN"")"),"那个女人抓住了几件衣服，并展示了她如何在水槽里洗净。")</f>
        <v>那个女人抓住了几件衣服，并展示了她如何在水槽里洗净。</v>
      </c>
    </row>
    <row r="32175">
      <c r="A32175" s="4" t="s">
        <v>40507</v>
      </c>
      <c r="B32175" s="4" t="s">
        <v>40510</v>
      </c>
      <c r="C32175" s="5" t="str">
        <f>IFERROR(__xludf.DUMMYFUNCTION("GOOGLETRANSLATE(B32175,""en"",""zh-CN"")"),"她拿着一根肥皂，在衣服上擦拭并将其浸入水中。")</f>
        <v>她拿着一根肥皂，在衣服上擦拭并将其浸入水中。</v>
      </c>
    </row>
    <row r="32176">
      <c r="A32176" s="4" t="s">
        <v>40507</v>
      </c>
      <c r="B32176" s="4" t="s">
        <v>40511</v>
      </c>
      <c r="C32176" s="5" t="str">
        <f>IFERROR(__xludf.DUMMYFUNCTION("GOOGLETRANSLATE(B32176,""en"",""zh-CN"")"),"她继续清理水中的衣服，并展示她如何清洁衣服。")</f>
        <v>她继续清理水中的衣服，并展示她如何清洁衣服。</v>
      </c>
    </row>
    <row r="32177">
      <c r="A32177" s="4" t="s">
        <v>40512</v>
      </c>
      <c r="B32177" s="4" t="s">
        <v>40513</v>
      </c>
      <c r="C32177" s="5" t="str">
        <f>IFERROR(__xludf.DUMMYFUNCTION("GOOGLETRANSLATE(B32177,""en"",""zh-CN"")"),"首先，女人抓住一些菜肴来准备一些东西，并将其放入冰箱中。")</f>
        <v>首先，女人抓住一些菜肴来准备一些东西，并将其放入冰箱中。</v>
      </c>
    </row>
    <row r="32178">
      <c r="A32178" s="4" t="s">
        <v>40512</v>
      </c>
      <c r="B32178" s="4" t="s">
        <v>40514</v>
      </c>
      <c r="C32178" s="5" t="str">
        <f>IFERROR(__xludf.DUMMYFUNCTION("GOOGLETRANSLATE(B32178,""en"",""zh-CN"")"),"然后，她将杯子放在泡沫分配器下，并在填充时移开坐下。")</f>
        <v>然后，她将杯子放在泡沫分配器下，并在填充时移开坐下。</v>
      </c>
    </row>
    <row r="32179">
      <c r="A32179" s="4" t="s">
        <v>40512</v>
      </c>
      <c r="B32179" s="4" t="s">
        <v>40515</v>
      </c>
      <c r="C32179" s="5" t="str">
        <f>IFERROR(__xludf.DUMMYFUNCTION("GOOGLETRANSLATE(B32179,""en"",""zh-CN"")"),"然后，她用压碎的格雷厄姆熊在上面。")</f>
        <v>然后，她用压碎的格雷厄姆熊在上面。</v>
      </c>
    </row>
    <row r="32180">
      <c r="A32180" s="4" t="s">
        <v>40512</v>
      </c>
      <c r="B32180" s="4" t="s">
        <v>40516</v>
      </c>
      <c r="C32180" s="5" t="str">
        <f>IFERROR(__xludf.DUMMYFUNCTION("GOOGLETRANSLATE(B32180,""en"",""zh-CN"")"),"接下来，她得到了盘子和圆形模具。")</f>
        <v>接下来，她得到了盘子和圆形模具。</v>
      </c>
    </row>
    <row r="32181">
      <c r="A32181" s="4" t="s">
        <v>40512</v>
      </c>
      <c r="B32181" s="6" t="s">
        <v>40517</v>
      </c>
      <c r="C32181" s="5" t="str">
        <f>IFERROR(__xludf.DUMMYFUNCTION("GOOGLETRANSLATE(B32181,""en"",""zh-CN"")"),"她将盘子放在分配器下方，然后将其除去，然后慢慢地将蛋糕从蛋糕上擦干后，将圆圈从蛋糕上抚平。")</f>
        <v>她将盘子放在分配器下方，然后将其除去，然后慢慢地将蛋糕从蛋糕上擦干后，将圆圈从蛋糕上抚平。</v>
      </c>
    </row>
    <row r="32182">
      <c r="A32182" s="4" t="s">
        <v>40512</v>
      </c>
      <c r="B32182" s="4" t="s">
        <v>40518</v>
      </c>
      <c r="C32182" s="5" t="str">
        <f>IFERROR(__xludf.DUMMYFUNCTION("GOOGLETRANSLATE(B32182,""en"",""zh-CN"")"),"然后，她用刀将线条放在蛋糕的侧面。")</f>
        <v>然后，她用刀将线条放在蛋糕的侧面。</v>
      </c>
    </row>
    <row r="32183">
      <c r="A32183" s="4" t="s">
        <v>40512</v>
      </c>
      <c r="B32183" s="4" t="s">
        <v>40519</v>
      </c>
      <c r="C32183" s="5" t="str">
        <f>IFERROR(__xludf.DUMMYFUNCTION("GOOGLETRANSLATE(B32183,""en"",""zh-CN"")"),"接下来，她将奶油放在从上到下的边缘。")</f>
        <v>接下来，她将奶油放在从上到下的边缘。</v>
      </c>
    </row>
    <row r="32184">
      <c r="A32184" s="4" t="s">
        <v>40512</v>
      </c>
      <c r="B32184" s="4" t="s">
        <v>40520</v>
      </c>
      <c r="C32184" s="5" t="str">
        <f>IFERROR(__xludf.DUMMYFUNCTION("GOOGLETRANSLATE(B32184,""en"",""zh-CN"")"),"然后她在那儿淋上一点巧克力糖浆。")</f>
        <v>然后她在那儿淋上一点巧克力糖浆。</v>
      </c>
    </row>
    <row r="32185">
      <c r="A32185" s="4" t="s">
        <v>40512</v>
      </c>
      <c r="B32185" s="4" t="s">
        <v>40521</v>
      </c>
      <c r="C32185" s="5" t="str">
        <f>IFERROR(__xludf.DUMMYFUNCTION("GOOGLETRANSLATE(B32185,""en"",""zh-CN"")"),"她现在做了蛋糕。")</f>
        <v>她现在做了蛋糕。</v>
      </c>
    </row>
    <row r="32186">
      <c r="A32186" s="4" t="s">
        <v>40522</v>
      </c>
      <c r="B32186" s="6" t="s">
        <v>40523</v>
      </c>
      <c r="C32186" s="5" t="str">
        <f>IFERROR(__xludf.DUMMYFUNCTION("GOOGLETRANSLATE(B32186,""en"",""zh-CN"")"),"看到一个小孩坐在钢琴前，穿着万圣节服装时播放歌曲。")</f>
        <v>看到一个小孩坐在钢琴前，穿着万圣节服装时播放歌曲。</v>
      </c>
    </row>
    <row r="32187">
      <c r="A32187" s="4" t="s">
        <v>40522</v>
      </c>
      <c r="B32187" s="4" t="s">
        <v>40524</v>
      </c>
      <c r="C32187" s="5" t="str">
        <f>IFERROR(__xludf.DUMMYFUNCTION("GOOGLETRANSLATE(B32187,""en"",""zh-CN"")"),"这个男孩继续演奏乐器，然后将面具拉下来结束。")</f>
        <v>这个男孩继续演奏乐器，然后将面具拉下来结束。</v>
      </c>
    </row>
    <row r="32188">
      <c r="A32188" s="4" t="s">
        <v>40525</v>
      </c>
      <c r="B32188" s="4" t="s">
        <v>40526</v>
      </c>
      <c r="C32188" s="5" t="str">
        <f>IFERROR(__xludf.DUMMYFUNCTION("GOOGLETRANSLATE(B32188,""en"",""zh-CN"")"),"一个年轻的男性高加索人坐在键盘后面的房间里。")</f>
        <v>一个年轻的男性高加索人坐在键盘后面的房间里。</v>
      </c>
    </row>
    <row r="32189">
      <c r="A32189" s="4" t="s">
        <v>40525</v>
      </c>
      <c r="B32189" s="6" t="s">
        <v>40527</v>
      </c>
      <c r="C32189" s="5" t="str">
        <f>IFERROR(__xludf.DUMMYFUNCTION("GOOGLETRANSLATE(B32189,""en"",""zh-CN"")"),"在他演奏之前，他开始讲话并在继续讲话时用右手跨过三个黑钥匙进行动作。")</f>
        <v>在他演奏之前，他开始讲话并在继续讲话时用右手跨过三个黑钥匙进行动作。</v>
      </c>
    </row>
    <row r="32190">
      <c r="A32190" s="4" t="s">
        <v>40525</v>
      </c>
      <c r="B32190" s="6" t="s">
        <v>40528</v>
      </c>
      <c r="C32190" s="5" t="str">
        <f>IFERROR(__xludf.DUMMYFUNCTION("GOOGLETRANSLATE(B32190,""en"",""zh-CN"")"),"他终于开始玩了，您可以看到他的手在屏幕左侧的键盘上迅速移动。")</f>
        <v>他终于开始玩了，您可以看到他的手在屏幕左侧的键盘上迅速移动。</v>
      </c>
    </row>
    <row r="32191">
      <c r="A32191" s="4" t="s">
        <v>40525</v>
      </c>
      <c r="B32191" s="4" t="s">
        <v>40529</v>
      </c>
      <c r="C32191" s="5" t="str">
        <f>IFERROR(__xludf.DUMMYFUNCTION("GOOGLETRANSLATE(B32191,""en"",""zh-CN"")"),"在最后的和弦中，他将手摘下董事会，然后绕着圆圈移动。")</f>
        <v>在最后的和弦中，他将手摘下董事会，然后绕着圆圈移动。</v>
      </c>
    </row>
    <row r="32192">
      <c r="A32192" s="4" t="s">
        <v>40530</v>
      </c>
      <c r="B32192" s="4" t="s">
        <v>40531</v>
      </c>
      <c r="C32192" s="5" t="str">
        <f>IFERROR(__xludf.DUMMYFUNCTION("GOOGLETRANSLATE(B32192,""en"",""zh-CN"")"),"一个女人和一个男孩正在制作胜利标志和微笑。")</f>
        <v>一个女人和一个男孩正在制作胜利标志和微笑。</v>
      </c>
    </row>
    <row r="32193">
      <c r="A32193" s="4" t="s">
        <v>40530</v>
      </c>
      <c r="B32193" s="4" t="s">
        <v>40532</v>
      </c>
      <c r="C32193" s="5" t="str">
        <f>IFERROR(__xludf.DUMMYFUNCTION("GOOGLETRANSLATE(B32193,""en"",""zh-CN"")"),"这个女人正在弥补男孩的脸，然后男孩露出他的脸。")</f>
        <v>这个女人正在弥补男孩的脸，然后男孩露出他的脸。</v>
      </c>
    </row>
    <row r="32194">
      <c r="A32194" s="4" t="s">
        <v>40530</v>
      </c>
      <c r="B32194" s="4" t="s">
        <v>40533</v>
      </c>
      <c r="C32194" s="5" t="str">
        <f>IFERROR(__xludf.DUMMYFUNCTION("GOOGLETRANSLATE(B32194,""en"",""zh-CN"")"),"然后，那个女人放在女孩的脸上。")</f>
        <v>然后，那个女人放在女孩的脸上。</v>
      </c>
    </row>
    <row r="32195">
      <c r="A32195" s="4" t="s">
        <v>40530</v>
      </c>
      <c r="B32195" s="4" t="s">
        <v>40534</v>
      </c>
      <c r="C32195" s="5" t="str">
        <f>IFERROR(__xludf.DUMMYFUNCTION("GOOGLETRANSLATE(B32195,""en"",""zh-CN"")"),"男孩和女孩在镜子上看着他们的脸，挥舞着有趣的脸。")</f>
        <v>男孩和女孩在镜子上看着他们的脸，挥舞着有趣的脸。</v>
      </c>
    </row>
    <row r="32196">
      <c r="A32196" s="4" t="s">
        <v>40535</v>
      </c>
      <c r="B32196" s="4" t="s">
        <v>40536</v>
      </c>
      <c r="C32196" s="5" t="str">
        <f>IFERROR(__xludf.DUMMYFUNCTION("GOOGLETRANSLATE(B32196,""en"",""zh-CN"")"),"一个女孩表演一些体操特技。")</f>
        <v>一个女孩表演一些体操特技。</v>
      </c>
    </row>
    <row r="32197">
      <c r="A32197" s="4" t="s">
        <v>40535</v>
      </c>
      <c r="B32197" s="4" t="s">
        <v>40537</v>
      </c>
      <c r="C32197" s="5" t="str">
        <f>IFERROR(__xludf.DUMMYFUNCTION("GOOGLETRANSLATE(B32197,""en"",""zh-CN"")"),"一个女孩面对一位女士。")</f>
        <v>一个女孩面对一位女士。</v>
      </c>
    </row>
    <row r="32198">
      <c r="A32198" s="4" t="s">
        <v>40535</v>
      </c>
      <c r="B32198" s="4" t="s">
        <v>40538</v>
      </c>
      <c r="C32198" s="5" t="str">
        <f>IFERROR(__xludf.DUMMYFUNCTION("GOOGLETRANSLATE(B32198,""en"",""zh-CN"")"),"这个女孩举起她的手。")</f>
        <v>这个女孩举起她的手。</v>
      </c>
    </row>
    <row r="32199">
      <c r="A32199" s="4" t="s">
        <v>40535</v>
      </c>
      <c r="B32199" s="4" t="s">
        <v>40539</v>
      </c>
      <c r="C32199" s="5" t="str">
        <f>IFERROR(__xludf.DUMMYFUNCTION("GOOGLETRANSLATE(B32199,""en"",""zh-CN"")"),"女孩转身爬上体操木吧。")</f>
        <v>女孩转身爬上体操木吧。</v>
      </c>
    </row>
    <row r="32200">
      <c r="A32200" s="4" t="s">
        <v>40535</v>
      </c>
      <c r="B32200" s="4" t="s">
        <v>40540</v>
      </c>
      <c r="C32200" s="5" t="str">
        <f>IFERROR(__xludf.DUMMYFUNCTION("GOOGLETRANSLATE(B32200,""en"",""zh-CN"")"),"她的手放在酒吧上，女孩抬起并将她的双腿分裂在头顶上。")</f>
        <v>她的手放在酒吧上，女孩抬起并将她的双腿分裂在头顶上。</v>
      </c>
    </row>
    <row r="32201">
      <c r="A32201" s="4" t="s">
        <v>40535</v>
      </c>
      <c r="B32201" s="4" t="s">
        <v>40541</v>
      </c>
      <c r="C32201" s="5" t="str">
        <f>IFERROR(__xludf.DUMMYFUNCTION("GOOGLETRANSLATE(B32201,""en"",""zh-CN"")"),"女士将平台移到了酒吧的左侧。")</f>
        <v>女士将平台移到了酒吧的左侧。</v>
      </c>
    </row>
    <row r="32202">
      <c r="A32202" s="4" t="s">
        <v>40535</v>
      </c>
      <c r="B32202" s="4" t="s">
        <v>40542</v>
      </c>
      <c r="C32202" s="5" t="str">
        <f>IFERROR(__xludf.DUMMYFUNCTION("GOOGLETRANSLATE(B32202,""en"",""zh-CN"")"),"女孩抬起手坐在酒吧。")</f>
        <v>女孩抬起手坐在酒吧。</v>
      </c>
    </row>
    <row r="32203">
      <c r="A32203" s="4" t="s">
        <v>40535</v>
      </c>
      <c r="B32203" s="4" t="s">
        <v>40543</v>
      </c>
      <c r="C32203" s="5" t="str">
        <f>IFERROR(__xludf.DUMMYFUNCTION("GOOGLETRANSLATE(B32203,""en"",""zh-CN"")"),"女孩膝盖在酒吧。")</f>
        <v>女孩膝盖在酒吧。</v>
      </c>
    </row>
    <row r="32204">
      <c r="A32204" s="4" t="s">
        <v>40535</v>
      </c>
      <c r="B32204" s="4" t="s">
        <v>40544</v>
      </c>
      <c r="C32204" s="5" t="str">
        <f>IFERROR(__xludf.DUMMYFUNCTION("GOOGLETRANSLATE(B32204,""en"",""zh-CN"")"),"女孩站在酒吧里。")</f>
        <v>女孩站在酒吧里。</v>
      </c>
    </row>
    <row r="32205">
      <c r="A32205" s="4" t="s">
        <v>40535</v>
      </c>
      <c r="B32205" s="4" t="s">
        <v>40545</v>
      </c>
      <c r="C32205" s="5" t="str">
        <f>IFERROR(__xludf.DUMMYFUNCTION("GOOGLETRANSLATE(B32205,""en"",""zh-CN"")"),"女孩抬起酒吧，降落在酒吧的边缘。")</f>
        <v>女孩抬起酒吧，降落在酒吧的边缘。</v>
      </c>
    </row>
    <row r="32206">
      <c r="A32206" s="4" t="s">
        <v>40535</v>
      </c>
      <c r="B32206" s="4" t="s">
        <v>40546</v>
      </c>
      <c r="C32206" s="5" t="str">
        <f>IFERROR(__xludf.DUMMYFUNCTION("GOOGLETRANSLATE(B32206,""en"",""zh-CN"")"),"女孩的后背翻转了三遍。")</f>
        <v>女孩的后背翻转了三遍。</v>
      </c>
    </row>
    <row r="32207">
      <c r="A32207" s="4" t="s">
        <v>40535</v>
      </c>
      <c r="B32207" s="4" t="s">
        <v>40547</v>
      </c>
      <c r="C32207" s="5" t="str">
        <f>IFERROR(__xludf.DUMMYFUNCTION("GOOGLETRANSLATE(B32207,""en"",""zh-CN"")"),"女孩走了两步和前翻。")</f>
        <v>女孩走了两步和前翻。</v>
      </c>
    </row>
    <row r="32208">
      <c r="A32208" s="4" t="s">
        <v>40535</v>
      </c>
      <c r="B32208" s="4" t="s">
        <v>40548</v>
      </c>
      <c r="C32208" s="5" t="str">
        <f>IFERROR(__xludf.DUMMYFUNCTION("GOOGLETRANSLATE(B32208,""en"",""zh-CN"")"),"女孩抬起酒吧，降落在同一位置。")</f>
        <v>女孩抬起酒吧，降落在同一位置。</v>
      </c>
    </row>
    <row r="32209">
      <c r="A32209" s="4" t="s">
        <v>40535</v>
      </c>
      <c r="B32209" s="4" t="s">
        <v>40549</v>
      </c>
      <c r="C32209" s="5" t="str">
        <f>IFERROR(__xludf.DUMMYFUNCTION("GOOGLETRANSLATE(B32209,""en"",""zh-CN"")"),"女孩转身跳跃，然后向后翻转。")</f>
        <v>女孩转身跳跃，然后向后翻转。</v>
      </c>
    </row>
    <row r="32210">
      <c r="A32210" s="4" t="s">
        <v>40535</v>
      </c>
      <c r="B32210" s="4" t="s">
        <v>40550</v>
      </c>
      <c r="C32210" s="5" t="str">
        <f>IFERROR(__xludf.DUMMYFUNCTION("GOOGLETRANSLATE(B32210,""en"",""zh-CN"")"),"女孩转身抬起双手旋转。")</f>
        <v>女孩转身抬起双手旋转。</v>
      </c>
    </row>
    <row r="32211">
      <c r="A32211" s="4" t="s">
        <v>40535</v>
      </c>
      <c r="B32211" s="4" t="s">
        <v>40551</v>
      </c>
      <c r="C32211" s="5" t="str">
        <f>IFERROR(__xludf.DUMMYFUNCTION("GOOGLETRANSLATE(B32211,""en"",""zh-CN"")"),"女孩向前走，跳了起来。")</f>
        <v>女孩向前走，跳了起来。</v>
      </c>
    </row>
    <row r="32212">
      <c r="A32212" s="4" t="s">
        <v>40535</v>
      </c>
      <c r="B32212" s="4" t="s">
        <v>40552</v>
      </c>
      <c r="C32212" s="5" t="str">
        <f>IFERROR(__xludf.DUMMYFUNCTION("GOOGLETRANSLATE(B32212,""en"",""zh-CN"")"),"女孩向前走，前面翻转并降落在边缘。")</f>
        <v>女孩向前走，前面翻转并降落在边缘。</v>
      </c>
    </row>
    <row r="32213">
      <c r="A32213" s="4" t="s">
        <v>40535</v>
      </c>
      <c r="B32213" s="4" t="s">
        <v>40553</v>
      </c>
      <c r="C32213" s="5" t="str">
        <f>IFERROR(__xludf.DUMMYFUNCTION("GOOGLETRANSLATE(B32213,""en"",""zh-CN"")"),"女孩的后背从酒吧里翻转了三遍，降落在蓝色垫子上。")</f>
        <v>女孩的后背从酒吧里翻转了三遍，降落在蓝色垫子上。</v>
      </c>
    </row>
    <row r="32214">
      <c r="A32214" s="4" t="s">
        <v>40554</v>
      </c>
      <c r="B32214" s="6" t="s">
        <v>40555</v>
      </c>
      <c r="C32214" s="5" t="str">
        <f>IFERROR(__xludf.DUMMYFUNCTION("GOOGLETRANSLATE(B32214,""en"",""zh-CN"")"),"一个白宫和一个充满雪的后院似乎正在打扫房子的横隆入口。")</f>
        <v>一个白宫和一个充满雪的后院似乎正在打扫房子的横隆入口。</v>
      </c>
    </row>
    <row r="32215">
      <c r="A32215" s="4" t="s">
        <v>40554</v>
      </c>
      <c r="B32215" s="6" t="s">
        <v>40556</v>
      </c>
      <c r="C32215" s="5" t="str">
        <f>IFERROR(__xludf.DUMMYFUNCTION("GOOGLETRANSLATE(B32215,""en"",""zh-CN"")"),"出现了一辆被雪覆盖的汽车，该人正在清理汽车的雪，并在汽车前的道路上开了开路。")</f>
        <v>出现了一辆被雪覆盖的汽车，该人正在清理汽车的雪，并在汽车前的道路上开了开路。</v>
      </c>
    </row>
    <row r="32216">
      <c r="A32216" s="4" t="s">
        <v>40554</v>
      </c>
      <c r="B32216" s="4" t="s">
        <v>40557</v>
      </c>
      <c r="C32216" s="5" t="str">
        <f>IFERROR(__xludf.DUMMYFUNCTION("GOOGLETRANSLATE(B32216,""en"",""zh-CN"")"),"一辆红色的汽车似乎被雪覆盖，一个人正在打扫雪。")</f>
        <v>一辆红色的汽车似乎被雪覆盖，一个人正在打扫雪。</v>
      </c>
    </row>
    <row r="32217">
      <c r="A32217" s="4" t="s">
        <v>40554</v>
      </c>
      <c r="B32217" s="4" t="s">
        <v>40558</v>
      </c>
      <c r="C32217" s="5" t="str">
        <f>IFERROR(__xludf.DUMMYFUNCTION("GOOGLETRANSLATE(B32217,""en"",""zh-CN"")"),"一辆黑色的汽车被雪覆盖。")</f>
        <v>一辆黑色的汽车被雪覆盖。</v>
      </c>
    </row>
    <row r="32218">
      <c r="A32218" s="4" t="s">
        <v>40559</v>
      </c>
      <c r="B32218" s="4" t="s">
        <v>40560</v>
      </c>
      <c r="C32218" s="5" t="str">
        <f>IFERROR(__xludf.DUMMYFUNCTION("GOOGLETRANSLATE(B32218,""en"",""zh-CN"")"),"屏幕上出现了一个带有嘴唇的粉红色和黄色徽标。")</f>
        <v>屏幕上出现了一个带有嘴唇的粉红色和黄色徽标。</v>
      </c>
    </row>
    <row r="32219">
      <c r="A32219" s="4" t="s">
        <v>40559</v>
      </c>
      <c r="B32219" s="4" t="s">
        <v>40561</v>
      </c>
      <c r="C32219" s="5" t="str">
        <f>IFERROR(__xludf.DUMMYFUNCTION("GOOGLETRANSLATE(B32219,""en"",""zh-CN"")"),"一个男性美发师在豪华美容院的一个坐着女人的头发上工作。")</f>
        <v>一个男性美发师在豪华美容院的一个坐着女人的头发上工作。</v>
      </c>
    </row>
    <row r="32220">
      <c r="A32220" s="4" t="s">
        <v>40559</v>
      </c>
      <c r="B32220" s="4" t="s">
        <v>40562</v>
      </c>
      <c r="C32220" s="5" t="str">
        <f>IFERROR(__xludf.DUMMYFUNCTION("GOOGLETRANSLATE(B32220,""en"",""zh-CN"")"),"男人干燥并将产品应用于女人的头发。")</f>
        <v>男人干燥并将产品应用于女人的头发。</v>
      </c>
    </row>
    <row r="32221">
      <c r="A32221" s="4" t="s">
        <v>40563</v>
      </c>
      <c r="B32221" s="4" t="s">
        <v>40564</v>
      </c>
      <c r="C32221" s="5" t="str">
        <f>IFERROR(__xludf.DUMMYFUNCTION("GOOGLETRANSLATE(B32221,""en"",""zh-CN"")"),"一个男人捡起保龄球，将其扔在一些销钉的车道上。")</f>
        <v>一个男人捡起保龄球，将其扔在一些销钉的车道上。</v>
      </c>
    </row>
    <row r="32222">
      <c r="A32222" s="4" t="s">
        <v>40563</v>
      </c>
      <c r="B32222" s="4" t="s">
        <v>40565</v>
      </c>
      <c r="C32222" s="5" t="str">
        <f>IFERROR(__xludf.DUMMYFUNCTION("GOOGLETRANSLATE(B32222,""en"",""zh-CN"")"),"他掉到了地上。")</f>
        <v>他掉到了地上。</v>
      </c>
    </row>
    <row r="32223">
      <c r="A32223" s="4" t="s">
        <v>40563</v>
      </c>
      <c r="B32223" s="4" t="s">
        <v>40566</v>
      </c>
      <c r="C32223" s="5" t="str">
        <f>IFERROR(__xludf.DUMMYFUNCTION("GOOGLETRANSLATE(B32223,""en"",""zh-CN"")"),"他身后的观众为他鼓掌。")</f>
        <v>他身后的观众为他鼓掌。</v>
      </c>
    </row>
    <row r="32224">
      <c r="A32224" s="4" t="s">
        <v>40567</v>
      </c>
      <c r="B32224" s="4" t="s">
        <v>40568</v>
      </c>
      <c r="C32224" s="5" t="str">
        <f>IFERROR(__xludf.DUMMYFUNCTION("GOOGLETRANSLATE(B32224,""en"",""zh-CN"")"),"一个女人站在黄色的啤酒花上，与镜头交谈。")</f>
        <v>一个女人站在黄色的啤酒花上，与镜头交谈。</v>
      </c>
    </row>
    <row r="32225">
      <c r="A32225" s="4" t="s">
        <v>40567</v>
      </c>
      <c r="B32225" s="4" t="s">
        <v>40569</v>
      </c>
      <c r="C32225" s="5" t="str">
        <f>IFERROR(__xludf.DUMMYFUNCTION("GOOGLETRANSLATE(B32225,""en"",""zh-CN"")"),"女人在油漆的混凝土上扮演跳跃。")</f>
        <v>女人在油漆的混凝土上扮演跳跃。</v>
      </c>
    </row>
    <row r="32226">
      <c r="A32226" s="4" t="s">
        <v>40567</v>
      </c>
      <c r="B32226" s="4" t="s">
        <v>40570</v>
      </c>
      <c r="C32226" s="5" t="str">
        <f>IFERROR(__xludf.DUMMYFUNCTION("GOOGLETRANSLATE(B32226,""en"",""zh-CN"")"),"女人再次与镜头交谈。")</f>
        <v>女人再次与镜头交谈。</v>
      </c>
    </row>
    <row r="32227">
      <c r="A32227" s="4" t="s">
        <v>40571</v>
      </c>
      <c r="B32227" s="6" t="s">
        <v>40572</v>
      </c>
      <c r="C32227" s="5" t="str">
        <f>IFERROR(__xludf.DUMMYFUNCTION("GOOGLETRANSLATE(B32227,""en"",""zh-CN"")"),"一个带有轻便刀柄的孩子的开幕式场景在墙上介绍一场表演时，将激光偏转。")</f>
        <v>一个带有轻便刀柄的孩子的开幕式场景在墙上介绍一场表演时，将激光偏转。</v>
      </c>
    </row>
    <row r="32228">
      <c r="A32228" s="4" t="s">
        <v>40571</v>
      </c>
      <c r="B32228" s="6" t="s">
        <v>40573</v>
      </c>
      <c r="C32228" s="5" t="str">
        <f>IFERROR(__xludf.DUMMYFUNCTION("GOOGLETRANSLATE(B32228,""en"",""zh-CN"")"),"一个穿着蓝色T恤和眼镜的男人站在一个旧的电话亭前，并向YouTube上的追随者解释了他如何去医院修理手臂摔跤比赛中受损的膝盖。")</f>
        <v>一个穿着蓝色T恤和眼镜的男人站在一个旧的电话亭前，并向YouTube上的追随者解释了他如何去医院修理手臂摔跤比赛中受损的膝盖。</v>
      </c>
    </row>
    <row r="32229">
      <c r="A32229" s="4" t="s">
        <v>40571</v>
      </c>
      <c r="B32229" s="6" t="s">
        <v>40574</v>
      </c>
      <c r="C32229" s="5" t="str">
        <f>IFERROR(__xludf.DUMMYFUNCTION("GOOGLETRANSLATE(B32229,""en"",""zh-CN"")"),"然后显示了一个事件的视频，他在一场手臂摔跤比赛中损坏了膝盖，这两个男人坐在桌子旁，裁判员俯瞰着比赛结束时的眼镜，坐在椅子上掉下来，走下舞台。")</f>
        <v>然后显示了一个事件的视频，他在一场手臂摔跤比赛中损坏了膝盖，这两个男人坐在桌子旁，裁判员俯瞰着比赛结束时的眼镜，坐在椅子上掉下来，走下舞台。</v>
      </c>
    </row>
    <row r="32230">
      <c r="A32230" s="4" t="s">
        <v>40575</v>
      </c>
      <c r="B32230" s="6" t="s">
        <v>40576</v>
      </c>
      <c r="C32230" s="5" t="str">
        <f>IFERROR(__xludf.DUMMYFUNCTION("GOOGLETRANSLATE(B32230,""en"",""zh-CN"")"),"一支乐队正在演奏音乐，而穿着灰色西装的女人在唱歌，而她后面是穿着黑色西装的男人也在唱歌，绿色衬衫的那个人正在播放鼓，大房间里的人在跳舞和唱歌，而其他人则在跳舞和唱歌。坐着，两个人在一个角落里聊天，而唱歌和跳舞继续进行。")</f>
        <v>一支乐队正在演奏音乐，而穿着灰色西装的女人在唱歌，而她后面是穿着黑色西装的男人也在唱歌，绿色衬衫的那个人正在播放鼓，大房间里的人在跳舞和唱歌，而其他人则在跳舞和唱歌。坐着，两个人在一个角落里聊天，而唱歌和跳舞继续进行。</v>
      </c>
    </row>
    <row r="32231">
      <c r="A32231" s="4" t="s">
        <v>40575</v>
      </c>
      <c r="B32231" s="4" t="s">
        <v>40577</v>
      </c>
      <c r="C32231" s="5" t="str">
        <f>IFERROR(__xludf.DUMMYFUNCTION("GOOGLETRANSLATE(B32231,""en"",""zh-CN"")"),"穿着绿色衬衫的家伙演奏鼓。")</f>
        <v>穿着绿色衬衫的家伙演奏鼓。</v>
      </c>
    </row>
    <row r="32232">
      <c r="A32232" s="4" t="s">
        <v>40578</v>
      </c>
      <c r="B32232" s="4" t="s">
        <v>40579</v>
      </c>
      <c r="C32232" s="5" t="str">
        <f>IFERROR(__xludf.DUMMYFUNCTION("GOOGLETRANSLATE(B32232,""en"",""zh-CN"")"),"一个男人和一个女人在照片中微笑。")</f>
        <v>一个男人和一个女人在照片中微笑。</v>
      </c>
    </row>
    <row r="32233">
      <c r="A32233" s="4" t="s">
        <v>40578</v>
      </c>
      <c r="B32233" s="4" t="s">
        <v>40580</v>
      </c>
      <c r="C32233" s="5" t="str">
        <f>IFERROR(__xludf.DUMMYFUNCTION("GOOGLETRANSLATE(B32233,""en"",""zh-CN"")"),"有人在水槽上拿着剃刀。")</f>
        <v>有人在水槽上拿着剃刀。</v>
      </c>
    </row>
    <row r="32234">
      <c r="A32234" s="4" t="s">
        <v>40578</v>
      </c>
      <c r="B32234" s="4" t="s">
        <v>40581</v>
      </c>
      <c r="C32234" s="5" t="str">
        <f>IFERROR(__xludf.DUMMYFUNCTION("GOOGLETRANSLATE(B32234,""en"",""zh-CN"")"),"一个胡须上剃光奶油的男人开始剃光。")</f>
        <v>一个胡须上剃光奶油的男人开始剃光。</v>
      </c>
    </row>
    <row r="32235">
      <c r="A32235" s="4" t="s">
        <v>40578</v>
      </c>
      <c r="B32235" s="4" t="s">
        <v>16935</v>
      </c>
      <c r="C32235" s="5" t="str">
        <f>IFERROR(__xludf.DUMMYFUNCTION("GOOGLETRANSLATE(B32235,""en"",""zh-CN"")"),"单词写在屏幕上。")</f>
        <v>单词写在屏幕上。</v>
      </c>
    </row>
    <row r="32236">
      <c r="A32236" s="4" t="s">
        <v>40578</v>
      </c>
      <c r="B32236" s="4" t="s">
        <v>40582</v>
      </c>
      <c r="C32236" s="5" t="str">
        <f>IFERROR(__xludf.DUMMYFUNCTION("GOOGLETRANSLATE(B32236,""en"",""zh-CN"")"),"该男子继续剃胡子。")</f>
        <v>该男子继续剃胡子。</v>
      </c>
    </row>
    <row r="32237">
      <c r="A32237" s="4" t="s">
        <v>40578</v>
      </c>
      <c r="B32237" s="4" t="s">
        <v>40583</v>
      </c>
      <c r="C32237" s="5" t="str">
        <f>IFERROR(__xludf.DUMMYFUNCTION("GOOGLETRANSLATE(B32237,""en"",""zh-CN"")"),"他用毛巾擦脸，微笑着。")</f>
        <v>他用毛巾擦脸，微笑着。</v>
      </c>
    </row>
    <row r="32238">
      <c r="A32238" s="4" t="s">
        <v>40584</v>
      </c>
      <c r="B32238" s="4" t="s">
        <v>40585</v>
      </c>
      <c r="C32238" s="5" t="str">
        <f>IFERROR(__xludf.DUMMYFUNCTION("GOOGLETRANSLATE(B32238,""en"",""zh-CN"")"),"一个年轻的女孩将头发拉回去，眼镜戴在这里，当时有人在这里标记软骨。")</f>
        <v>一个年轻的女孩将头发拉回去，眼镜戴在这里，当时有人在这里标记软骨。</v>
      </c>
    </row>
    <row r="32239">
      <c r="A32239" s="4" t="s">
        <v>40584</v>
      </c>
      <c r="B32239" s="4" t="s">
        <v>40586</v>
      </c>
      <c r="C32239" s="5" t="str">
        <f>IFERROR(__xludf.DUMMYFUNCTION("GOOGLETRANSLATE(B32239,""en"",""zh-CN"")"),"标记后，她开始对相机微笑。")</f>
        <v>标记后，她开始对相机微笑。</v>
      </c>
    </row>
    <row r="32240">
      <c r="A32240" s="4" t="s">
        <v>40584</v>
      </c>
      <c r="B32240" s="4" t="s">
        <v>40587</v>
      </c>
      <c r="C32240" s="5" t="str">
        <f>IFERROR(__xludf.DUMMYFUNCTION("GOOGLETRANSLATE(B32240,""en"",""zh-CN"")"),"然后，该男子抓住一对镊子，夹住女孩的耳朵。")</f>
        <v>然后，该男子抓住一对镊子，夹住女孩的耳朵。</v>
      </c>
    </row>
    <row r="32241">
      <c r="A32241" s="4" t="s">
        <v>40584</v>
      </c>
      <c r="B32241" s="4" t="s">
        <v>40588</v>
      </c>
      <c r="C32241" s="5" t="str">
        <f>IFERROR(__xludf.DUMMYFUNCTION("GOOGLETRANSLATE(B32241,""en"",""zh-CN"")"),"耳环终于进入了，女孩开始在认可中微笑，并触摸她的另一只耳朵。")</f>
        <v>耳环终于进入了，女孩开始在认可中微笑，并触摸她的另一只耳朵。</v>
      </c>
    </row>
    <row r="32242">
      <c r="A32242" s="4" t="s">
        <v>40589</v>
      </c>
      <c r="B32242" s="4" t="s">
        <v>40590</v>
      </c>
      <c r="C32242" s="5" t="str">
        <f>IFERROR(__xludf.DUMMYFUNCTION("GOOGLETRANSLATE(B32242,""en"",""zh-CN"")"),"显示了几个剪辑，这些剪辑沿着一条大轨道奔向沙坑。")</f>
        <v>显示了几个剪辑，这些剪辑沿着一条大轨道奔向沙坑。</v>
      </c>
    </row>
    <row r="32243">
      <c r="A32243" s="4" t="s">
        <v>40589</v>
      </c>
      <c r="B32243" s="6" t="s">
        <v>40591</v>
      </c>
      <c r="C32243" s="5" t="str">
        <f>IFERROR(__xludf.DUMMYFUNCTION("GOOGLETRANSLATE(B32243,""en"",""zh-CN"")"),"越来越多的人在赛道上表现出令人印象深刻的跳跃以及之后的庆祝活动。")</f>
        <v>越来越多的人在赛道上表现出令人印象深刻的跳跃以及之后的庆祝活动。</v>
      </c>
    </row>
    <row r="32244">
      <c r="A32244" s="4" t="s">
        <v>40589</v>
      </c>
      <c r="B32244" s="6" t="s">
        <v>40592</v>
      </c>
      <c r="C32244" s="5" t="str">
        <f>IFERROR(__xludf.DUMMYFUNCTION("GOOGLETRANSLATE(B32244,""en"",""zh-CN"")"),"有几个剪辑显示了运动员在赛道上奔跑的运动员，并跳过光束并向观众挥手。")</f>
        <v>有几个剪辑显示了运动员在赛道上奔跑的运动员，并跳过光束并向观众挥手。</v>
      </c>
    </row>
    <row r="32245">
      <c r="A32245" s="4" t="s">
        <v>40593</v>
      </c>
      <c r="B32245" s="6" t="s">
        <v>40594</v>
      </c>
      <c r="C32245" s="5" t="str">
        <f>IFERROR(__xludf.DUMMYFUNCTION("GOOGLETRANSLATE(B32245,""en"",""zh-CN"")"),"看到一群男人在一张桌子上走来走去，笑着，彼此微笑。")</f>
        <v>看到一群男人在一张桌子上走来走去，笑着，彼此微笑。</v>
      </c>
    </row>
    <row r="32246">
      <c r="A32246" s="4" t="s">
        <v>40593</v>
      </c>
      <c r="B32246" s="4" t="s">
        <v>40595</v>
      </c>
      <c r="C32246" s="5" t="str">
        <f>IFERROR(__xludf.DUMMYFUNCTION("GOOGLETRANSLATE(B32246,""en"",""zh-CN"")"),"然后，一个人跳到桌子上，将其撞到地板上，而其他人则四处张笑。")</f>
        <v>然后，一个人跳到桌子上，将其撞到地板上，而其他人则四处张笑。</v>
      </c>
    </row>
    <row r="32247">
      <c r="A32247" s="4" t="s">
        <v>40596</v>
      </c>
      <c r="B32247" s="4" t="s">
        <v>40597</v>
      </c>
      <c r="C32247" s="5" t="str">
        <f>IFERROR(__xludf.DUMMYFUNCTION("GOOGLETRANSLATE(B32247,""en"",""zh-CN"")"),"人们可以看到海洋中的人们。")</f>
        <v>人们可以看到海洋中的人们。</v>
      </c>
    </row>
    <row r="32248">
      <c r="A32248" s="4" t="s">
        <v>40596</v>
      </c>
      <c r="B32248" s="4" t="s">
        <v>40598</v>
      </c>
      <c r="C32248" s="5" t="str">
        <f>IFERROR(__xludf.DUMMYFUNCTION("GOOGLETRANSLATE(B32248,""en"",""zh-CN"")"),"水很粗糙，在岩石上猛烈地溅出。")</f>
        <v>水很粗糙，在岩石上猛烈地溅出。</v>
      </c>
    </row>
    <row r="32249">
      <c r="A32249" s="4" t="s">
        <v>40596</v>
      </c>
      <c r="B32249" s="4" t="s">
        <v>40599</v>
      </c>
      <c r="C32249" s="5" t="str">
        <f>IFERROR(__xludf.DUMMYFUNCTION("GOOGLETRANSLATE(B32249,""en"",""zh-CN"")"),"人们被撞倒了冲浪板。")</f>
        <v>人们被撞倒了冲浪板。</v>
      </c>
    </row>
    <row r="32250">
      <c r="A32250" s="4" t="s">
        <v>40600</v>
      </c>
      <c r="B32250" s="4" t="s">
        <v>40601</v>
      </c>
      <c r="C32250" s="5" t="str">
        <f>IFERROR(__xludf.DUMMYFUNCTION("GOOGLETRANSLATE(B32250,""en"",""zh-CN"")"),"人们坐在外面骑骆驼。")</f>
        <v>人们坐在外面骑骆驼。</v>
      </c>
    </row>
    <row r="32251">
      <c r="A32251" s="4" t="s">
        <v>40600</v>
      </c>
      <c r="B32251" s="4" t="s">
        <v>40602</v>
      </c>
      <c r="C32251" s="5" t="str">
        <f>IFERROR(__xludf.DUMMYFUNCTION("GOOGLETRANSLATE(B32251,""en"",""zh-CN"")"),"一个人正在走路，拿着一根绳子绑在骆驼的脸上。")</f>
        <v>一个人正在走路，拿着一根绳子绑在骆驼的脸上。</v>
      </c>
    </row>
    <row r="32252">
      <c r="A32252" s="4" t="s">
        <v>40600</v>
      </c>
      <c r="B32252" s="4" t="s">
        <v>40603</v>
      </c>
      <c r="C32252" s="5" t="str">
        <f>IFERROR(__xludf.DUMMYFUNCTION("GOOGLETRANSLATE(B32252,""en"",""zh-CN"")"),"浅棕色的液体正在倒入小眼镜中。")</f>
        <v>浅棕色的液体正在倒入小眼镜中。</v>
      </c>
    </row>
    <row r="32253">
      <c r="A32253" s="4" t="s">
        <v>40604</v>
      </c>
      <c r="B32253" s="4" t="s">
        <v>40605</v>
      </c>
      <c r="C32253" s="5" t="str">
        <f>IFERROR(__xludf.DUMMYFUNCTION("GOOGLETRANSLATE(B32253,""en"",""zh-CN"")"),"一个男人正在酒吧里锻炼。")</f>
        <v>一个男人正在酒吧里锻炼。</v>
      </c>
    </row>
    <row r="32254">
      <c r="A32254" s="4" t="s">
        <v>40604</v>
      </c>
      <c r="B32254" s="4" t="s">
        <v>40606</v>
      </c>
      <c r="C32254" s="5" t="str">
        <f>IFERROR(__xludf.DUMMYFUNCTION("GOOGLETRANSLATE(B32254,""en"",""zh-CN"")"),"他的皮带上有一个重量。")</f>
        <v>他的皮带上有一个重量。</v>
      </c>
    </row>
    <row r="32255">
      <c r="A32255" s="4" t="s">
        <v>40604</v>
      </c>
      <c r="B32255" s="4" t="s">
        <v>40607</v>
      </c>
      <c r="C32255" s="5" t="str">
        <f>IFERROR(__xludf.DUMMYFUNCTION("GOOGLETRANSLATE(B32255,""en"",""zh-CN"")"),"他在酒吧上上下上下。")</f>
        <v>他在酒吧上上下上下。</v>
      </c>
    </row>
    <row r="32256">
      <c r="A32256" s="4" t="s">
        <v>40608</v>
      </c>
      <c r="B32256" s="4" t="s">
        <v>40609</v>
      </c>
      <c r="C32256" s="5" t="str">
        <f>IFERROR(__xludf.DUMMYFUNCTION("GOOGLETRANSLATE(B32256,""en"",""zh-CN"")"),"我们向我们展示了长满的院子。")</f>
        <v>我们向我们展示了长满的院子。</v>
      </c>
    </row>
    <row r="32257">
      <c r="A32257" s="4" t="s">
        <v>40608</v>
      </c>
      <c r="B32257" s="4" t="s">
        <v>40610</v>
      </c>
      <c r="C32257" s="5" t="str">
        <f>IFERROR(__xludf.DUMMYFUNCTION("GOOGLETRANSLATE(B32257,""en"",""zh-CN"")"),"在车道上看到一辆白色卡车。")</f>
        <v>在车道上看到一辆白色卡车。</v>
      </c>
    </row>
    <row r="32258">
      <c r="A32258" s="4" t="s">
        <v>40608</v>
      </c>
      <c r="B32258" s="4" t="s">
        <v>40611</v>
      </c>
      <c r="C32258" s="5" t="str">
        <f>IFERROR(__xludf.DUMMYFUNCTION("GOOGLETRANSLATE(B32258,""en"",""zh-CN"")"),"我们看到了摄影师的阴影。")</f>
        <v>我们看到了摄影师的阴影。</v>
      </c>
    </row>
    <row r="32259">
      <c r="A32259" s="4" t="s">
        <v>40608</v>
      </c>
      <c r="B32259" s="4" t="s">
        <v>40612</v>
      </c>
      <c r="C32259" s="5" t="str">
        <f>IFERROR(__xludf.DUMMYFUNCTION("GOOGLETRANSLATE(B32259,""en"",""zh-CN"")"),"一个蓝色的人正在修剪草坪。")</f>
        <v>一个蓝色的人正在修剪草坪。</v>
      </c>
    </row>
    <row r="32260">
      <c r="A32260" s="4" t="s">
        <v>40608</v>
      </c>
      <c r="B32260" s="4" t="s">
        <v>40613</v>
      </c>
      <c r="C32260" s="5" t="str">
        <f>IFERROR(__xludf.DUMMYFUNCTION("GOOGLETRANSLATE(B32260,""en"",""zh-CN"")"),"一个人正在使用吹叶机。")</f>
        <v>一个人正在使用吹叶机。</v>
      </c>
    </row>
    <row r="32261">
      <c r="A32261" s="4" t="s">
        <v>40608</v>
      </c>
      <c r="B32261" s="4" t="s">
        <v>40614</v>
      </c>
      <c r="C32261" s="5" t="str">
        <f>IFERROR(__xludf.DUMMYFUNCTION("GOOGLETRANSLATE(B32261,""en"",""zh-CN"")"),"摄像机盘以展示树木和花园。")</f>
        <v>摄像机盘以展示树木和花园。</v>
      </c>
    </row>
    <row r="32262">
      <c r="A32262" s="4" t="s">
        <v>40615</v>
      </c>
      <c r="B32262" s="4" t="s">
        <v>40616</v>
      </c>
      <c r="C32262" s="5" t="str">
        <f>IFERROR(__xludf.DUMMYFUNCTION("GOOGLETRANSLATE(B32262,""en"",""zh-CN"")"),"在带有节目标题和网站的介绍中。")</f>
        <v>在带有节目标题和网站的介绍中。</v>
      </c>
    </row>
    <row r="32263">
      <c r="A32263" s="4" t="s">
        <v>40615</v>
      </c>
      <c r="B32263" s="4" t="s">
        <v>40617</v>
      </c>
      <c r="C32263" s="5" t="str">
        <f>IFERROR(__xludf.DUMMYFUNCTION("GOOGLETRANSLATE(B32263,""en"",""zh-CN"")"),"一个女人站在浴室里，然后将隐形眼镜放在她的眼睛中。")</f>
        <v>一个女人站在浴室里，然后将隐形眼镜放在她的眼睛中。</v>
      </c>
    </row>
    <row r="32264">
      <c r="A32264" s="4" t="s">
        <v>40615</v>
      </c>
      <c r="B32264" s="4" t="s">
        <v>40618</v>
      </c>
      <c r="C32264" s="5" t="str">
        <f>IFERROR(__xludf.DUMMYFUNCTION("GOOGLETRANSLATE(B32264,""en"",""zh-CN"")"),"然后，女人将隐形眼镜从她的眼睛中取出。")</f>
        <v>然后，女人将隐形眼镜从她的眼睛中取出。</v>
      </c>
    </row>
    <row r="32265">
      <c r="A32265" s="4" t="s">
        <v>40615</v>
      </c>
      <c r="B32265" s="4" t="s">
        <v>40619</v>
      </c>
      <c r="C32265" s="5" t="str">
        <f>IFERROR(__xludf.DUMMYFUNCTION("GOOGLETRANSLATE(B32265,""en"",""zh-CN"")"),"该名女子展示了一对镊子，并用它们将接触从她的眼睛中取出。")</f>
        <v>该名女子展示了一对镊子，并用它们将接触从她的眼睛中取出。</v>
      </c>
    </row>
    <row r="32266">
      <c r="A32266" s="4" t="s">
        <v>40620</v>
      </c>
      <c r="B32266" s="6" t="s">
        <v>40621</v>
      </c>
      <c r="C32266" s="5" t="str">
        <f>IFERROR(__xludf.DUMMYFUNCTION("GOOGLETRANSLATE(B32266,""en"",""zh-CN"")"),"在大量的水上显示了各种灯罩，几个人在远处游泳。")</f>
        <v>在大量的水上显示了各种灯罩，几个人在远处游泳。</v>
      </c>
    </row>
    <row r="32267">
      <c r="A32267" s="4" t="s">
        <v>40620</v>
      </c>
      <c r="B32267" s="4" t="s">
        <v>40622</v>
      </c>
      <c r="C32267" s="5" t="str">
        <f>IFERROR(__xludf.DUMMYFUNCTION("GOOGLETRANSLATE(B32267,""en"",""zh-CN"")"),"唤醒寄宿生互相骑行和第四次，并执行几个技巧。")</f>
        <v>唤醒寄宿生互相骑行和第四次，并执行几个技巧。</v>
      </c>
    </row>
    <row r="32268">
      <c r="A32268" s="4" t="s">
        <v>40620</v>
      </c>
      <c r="B32268" s="4" t="s">
        <v>40623</v>
      </c>
      <c r="C32268" s="5" t="str">
        <f>IFERROR(__xludf.DUMMYFUNCTION("GOOGLETRANSLATE(B32268,""en"",""zh-CN"")"),"接近岸边的骑行一次是在做技巧。")</f>
        <v>接近岸边的骑行一次是在做技巧。</v>
      </c>
    </row>
    <row r="32269">
      <c r="A32269" s="4" t="s">
        <v>40624</v>
      </c>
      <c r="B32269" s="4" t="s">
        <v>18713</v>
      </c>
      <c r="C32269" s="5" t="str">
        <f>IFERROR(__xludf.DUMMYFUNCTION("GOOGLETRANSLATE(B32269,""en"",""zh-CN"")"),"体操运动员准备安装梁。")</f>
        <v>体操运动员准备安装梁。</v>
      </c>
    </row>
    <row r="32270">
      <c r="A32270" s="4" t="s">
        <v>40624</v>
      </c>
      <c r="B32270" s="4" t="s">
        <v>40625</v>
      </c>
      <c r="C32270" s="5" t="str">
        <f>IFERROR(__xludf.DUMMYFUNCTION("GOOGLETRANSLATE(B32270,""en"",""zh-CN"")"),"他安装，然后继续进行许多翻转和手动。")</f>
        <v>他安装，然后继续进行许多翻转和手动。</v>
      </c>
    </row>
    <row r="32271">
      <c r="A32271" s="4" t="s">
        <v>40624</v>
      </c>
      <c r="B32271" s="4" t="s">
        <v>40626</v>
      </c>
      <c r="C32271" s="5" t="str">
        <f>IFERROR(__xludf.DUMMYFUNCTION("GOOGLETRANSLATE(B32271,""en"",""zh-CN"")"),"当他完成后，他卸下了。")</f>
        <v>当他完成后，他卸下了。</v>
      </c>
    </row>
    <row r="32272">
      <c r="A32272" s="4" t="s">
        <v>40627</v>
      </c>
      <c r="B32272" s="4" t="s">
        <v>40628</v>
      </c>
      <c r="C32272" s="5" t="str">
        <f>IFERROR(__xludf.DUMMYFUNCTION("GOOGLETRANSLATE(B32272,""en"",""zh-CN"")"),"一个女孩撞到了piñata蒙住眼睛，而Piñata在后院上下上下。")</f>
        <v>一个女孩撞到了piñata蒙住眼睛，而Piñata在后院上下上下。</v>
      </c>
    </row>
    <row r="32273">
      <c r="A32273" s="4" t="s">
        <v>40627</v>
      </c>
      <c r="B32273" s="4" t="s">
        <v>40629</v>
      </c>
      <c r="C32273" s="5" t="str">
        <f>IFERROR(__xludf.DUMMYFUNCTION("GOOGLETRANSLATE(B32273,""en"",""zh-CN"")"),"然后，女孩脱下布上的布，微笑。")</f>
        <v>然后，女孩脱下布上的布，微笑。</v>
      </c>
    </row>
    <row r="32274">
      <c r="A32274" s="4" t="s">
        <v>40630</v>
      </c>
      <c r="B32274" s="4" t="s">
        <v>40631</v>
      </c>
      <c r="C32274" s="5" t="str">
        <f>IFERROR(__xludf.DUMMYFUNCTION("GOOGLETRANSLATE(B32274,""en"",""zh-CN"")"),"自行车旋转的轮胎，一个人抓住了它。")</f>
        <v>自行车旋转的轮胎，一个人抓住了它。</v>
      </c>
    </row>
    <row r="32275">
      <c r="A32275" s="4" t="s">
        <v>40630</v>
      </c>
      <c r="B32275" s="4" t="s">
        <v>40632</v>
      </c>
      <c r="C32275" s="5" t="str">
        <f>IFERROR(__xludf.DUMMYFUNCTION("GOOGLETRANSLATE(B32275,""en"",""zh-CN"")"),"我们看到一个问题写在纸上，然后在他说话时在自行车店里的一个男人。")</f>
        <v>我们看到一个问题写在纸上，然后在他说话时在自行车店里的一个男人。</v>
      </c>
    </row>
    <row r="32276">
      <c r="A32276" s="4" t="s">
        <v>40630</v>
      </c>
      <c r="B32276" s="4" t="s">
        <v>40633</v>
      </c>
      <c r="C32276" s="5" t="str">
        <f>IFERROR(__xludf.DUMMYFUNCTION("GOOGLETRANSLATE(B32276,""en"",""zh-CN"")"),"他演示了如何从框架上取出轮胎的橡胶并更换它。")</f>
        <v>他演示了如何从框架上取出轮胎的橡胶并更换它。</v>
      </c>
    </row>
    <row r="32277">
      <c r="A32277" s="4" t="s">
        <v>40630</v>
      </c>
      <c r="B32277" s="4" t="s">
        <v>40634</v>
      </c>
      <c r="C32277" s="5" t="str">
        <f>IFERROR(__xludf.DUMMYFUNCTION("GOOGLETRANSLATE(B32277,""en"",""zh-CN"")"),"然后，他与摄像机交谈更长的时间。")</f>
        <v>然后，他与摄像机交谈更长的时间。</v>
      </c>
    </row>
    <row r="32278">
      <c r="A32278" s="4" t="s">
        <v>40635</v>
      </c>
      <c r="B32278" s="4" t="s">
        <v>40636</v>
      </c>
      <c r="C32278" s="5" t="str">
        <f>IFERROR(__xludf.DUMMYFUNCTION("GOOGLETRANSLATE(B32278,""en"",""zh-CN"")"),"看到一个人的头发被关闭，然后在侧面使用了剃须刀。")</f>
        <v>看到一个人的头发被关闭，然后在侧面使用了剃须刀。</v>
      </c>
    </row>
    <row r="32279">
      <c r="A32279" s="4" t="s">
        <v>40635</v>
      </c>
      <c r="B32279" s="4" t="s">
        <v>40637</v>
      </c>
      <c r="C32279" s="5" t="str">
        <f>IFERROR(__xludf.DUMMYFUNCTION("GOOGLETRANSLATE(B32279,""en"",""zh-CN"")"),"看到一个人在使用修剪器的同时梳理该人的头发。")</f>
        <v>看到一个人在使用修剪器的同时梳理该人的头发。</v>
      </c>
    </row>
    <row r="32280">
      <c r="A32280" s="4" t="s">
        <v>40635</v>
      </c>
      <c r="B32280" s="4" t="s">
        <v>40638</v>
      </c>
      <c r="C32280" s="5" t="str">
        <f>IFERROR(__xludf.DUMMYFUNCTION("GOOGLETRANSLATE(B32280,""en"",""zh-CN"")"),"该男子的头在侧面也被剃光了。")</f>
        <v>该男子的头在侧面也被剃光了。</v>
      </c>
    </row>
    <row r="32281">
      <c r="A32281" s="4" t="s">
        <v>40639</v>
      </c>
      <c r="B32281" s="6" t="s">
        <v>40640</v>
      </c>
      <c r="C32281" s="5" t="str">
        <f>IFERROR(__xludf.DUMMYFUNCTION("GOOGLETRANSLATE(B32281,""en"",""zh-CN"")"),"有一位女士游泳者从高大的潜水板上跳入室内游泳池，而一小群人看着她的表演。")</f>
        <v>有一位女士游泳者从高大的潜水板上跳入室内游泳池，而一小群人看着她的表演。</v>
      </c>
    </row>
    <row r="32282">
      <c r="A32282" s="4" t="s">
        <v>40639</v>
      </c>
      <c r="B32282" s="6" t="s">
        <v>40641</v>
      </c>
      <c r="C32282" s="5" t="str">
        <f>IFERROR(__xludf.DUMMYFUNCTION("GOOGLETRANSLATE(B32282,""en"",""zh-CN"")"),"潜水员首先站在一个位置上，以调整她的立场，然后逐步向下潜水板。")</f>
        <v>潜水员首先站在一个位置上，以调整她的立场，然后逐步向下潜水板。</v>
      </c>
    </row>
    <row r="32283">
      <c r="A32283" s="4" t="s">
        <v>40639</v>
      </c>
      <c r="B32283" s="4" t="s">
        <v>40642</v>
      </c>
      <c r="C32283" s="5" t="str">
        <f>IFERROR(__xludf.DUMMYFUNCTION("GOOGLETRANSLATE(B32283,""en"",""zh-CN"")"),"她跳高时跳了起来，扭动了自己的身体。")</f>
        <v>她跳高时跳了起来，扭动了自己的身体。</v>
      </c>
    </row>
    <row r="32284">
      <c r="A32284" s="4" t="s">
        <v>40639</v>
      </c>
      <c r="B32284" s="6" t="s">
        <v>40643</v>
      </c>
      <c r="C32284" s="5" t="str">
        <f>IFERROR(__xludf.DUMMYFUNCTION("GOOGLETRANSLATE(B32284,""en"",""zh-CN"")"),"当她跌入游泳池时，她误判了与潜水板的距离时，她最终在背部受伤。")</f>
        <v>当她跌入游泳池时，她误判了与潜水板的距离时，她最终在背部受伤。</v>
      </c>
    </row>
    <row r="32285">
      <c r="A32285" s="4" t="s">
        <v>40644</v>
      </c>
      <c r="B32285" s="6" t="s">
        <v>40645</v>
      </c>
      <c r="C32285" s="5" t="str">
        <f>IFERROR(__xludf.DUMMYFUNCTION("GOOGLETRANSLATE(B32285,""en"",""zh-CN"")"),"几个不同的介绍最终导致两个人指向一个田野并为彩弹做准备。")</f>
        <v>几个不同的介绍最终导致两个人指向一个田野并为彩弹做准备。</v>
      </c>
    </row>
    <row r="32286">
      <c r="A32286" s="4" t="s">
        <v>40644</v>
      </c>
      <c r="B32286" s="4" t="s">
        <v>40646</v>
      </c>
      <c r="C32286" s="5" t="str">
        <f>IFERROR(__xludf.DUMMYFUNCTION("GOOGLETRANSLATE(B32286,""en"",""zh-CN"")"),"然后，这些人在整个场地上奔跑，用彩弹枪互相攻击。")</f>
        <v>然后，这些人在整个场地上奔跑，用彩弹枪互相攻击。</v>
      </c>
    </row>
    <row r="32287">
      <c r="A32287" s="4" t="s">
        <v>40644</v>
      </c>
      <c r="B32287" s="4" t="s">
        <v>40647</v>
      </c>
      <c r="C32287" s="5" t="str">
        <f>IFERROR(__xludf.DUMMYFUNCTION("GOOGLETRANSLATE(B32287,""en"",""zh-CN"")"),"他们迅速奔跑，用油漆枪互相攻击。")</f>
        <v>他们迅速奔跑，用油漆枪互相攻击。</v>
      </c>
    </row>
    <row r="32288">
      <c r="A32288" s="4" t="s">
        <v>40648</v>
      </c>
      <c r="B32288" s="4" t="s">
        <v>40649</v>
      </c>
      <c r="C32288" s="5" t="str">
        <f>IFERROR(__xludf.DUMMYFUNCTION("GOOGLETRANSLATE(B32288,""en"",""zh-CN"")"),"红色闪闪发光的紧身连衣裤中的一个女孩体操运动员正在马酒吧做体操。")</f>
        <v>红色闪闪发光的紧身连衣裤中的一个女孩体操运动员正在马酒吧做体操。</v>
      </c>
    </row>
    <row r="32289">
      <c r="A32289" s="4" t="s">
        <v>40648</v>
      </c>
      <c r="B32289" s="4" t="s">
        <v>40650</v>
      </c>
      <c r="C32289" s="5" t="str">
        <f>IFERROR(__xludf.DUMMYFUNCTION("GOOGLETRANSLATE(B32289,""en"",""zh-CN"")"),"她迅速跳跃，在马杆上进行手弹力和背面翻转。")</f>
        <v>她迅速跳跃，在马杆上进行手弹力和背面翻转。</v>
      </c>
    </row>
    <row r="32290">
      <c r="A32290" s="4" t="s">
        <v>40648</v>
      </c>
      <c r="B32290" s="4" t="s">
        <v>40651</v>
      </c>
      <c r="C32290" s="5" t="str">
        <f>IFERROR(__xludf.DUMMYFUNCTION("GOOGLETRANSLATE(B32290,""en"",""zh-CN"")"),"有一个法官小组在中国南宁的体育场看着她。")</f>
        <v>有一个法官小组在中国南宁的体育场看着她。</v>
      </c>
    </row>
    <row r="32291">
      <c r="A32291" s="4" t="s">
        <v>40648</v>
      </c>
      <c r="B32291" s="6" t="s">
        <v>40652</v>
      </c>
      <c r="C32291" s="5" t="str">
        <f>IFERROR(__xludf.DUMMYFUNCTION("GOOGLETRANSLATE(B32291,""en"",""zh-CN"")"),"当她跳跃时，她继续在马杆上优雅地行走，然后向右翻转地面，然后走开。")</f>
        <v>当她跳跃时，她继续在马杆上优雅地行走，然后向右翻转地面，然后走开。</v>
      </c>
    </row>
    <row r="32292">
      <c r="A32292" s="4" t="s">
        <v>40653</v>
      </c>
      <c r="B32292" s="4" t="s">
        <v>40654</v>
      </c>
      <c r="C32292" s="5" t="str">
        <f>IFERROR(__xludf.DUMMYFUNCTION("GOOGLETRANSLATE(B32292,""en"",""zh-CN"")"),"展示了近距离食物，然后是将各种成分放入杯子中的人。")</f>
        <v>展示了近距离食物，然后是将各种成分放入杯子中的人。</v>
      </c>
    </row>
    <row r="32293">
      <c r="A32293" s="4" t="s">
        <v>40653</v>
      </c>
      <c r="B32293" s="6" t="s">
        <v>40655</v>
      </c>
      <c r="C32293" s="5" t="str">
        <f>IFERROR(__xludf.DUMMYFUNCTION("GOOGLETRANSLATE(B32293,""en"",""zh-CN"")"),"它们在成分周围混合，将杯子放入微波炉中，然后将其取出，最终炫耀蛋糕。")</f>
        <v>它们在成分周围混合，将杯子放入微波炉中，然后将其取出，最终炫耀蛋糕。</v>
      </c>
    </row>
    <row r="32294">
      <c r="A32294" s="4" t="s">
        <v>40656</v>
      </c>
      <c r="B32294" s="4" t="s">
        <v>40657</v>
      </c>
      <c r="C32294" s="5" t="str">
        <f>IFERROR(__xludf.DUMMYFUNCTION("GOOGLETRANSLATE(B32294,""en"",""zh-CN"")"),"有人击中了两个球。")</f>
        <v>有人击中了两个球。</v>
      </c>
    </row>
    <row r="32295">
      <c r="A32295" s="4" t="s">
        <v>40656</v>
      </c>
      <c r="B32295" s="4" t="s">
        <v>40658</v>
      </c>
      <c r="C32295" s="5" t="str">
        <f>IFERROR(__xludf.DUMMYFUNCTION("GOOGLETRANSLATE(B32295,""en"",""zh-CN"")"),"球进入地面上的循环。")</f>
        <v>球进入地面上的循环。</v>
      </c>
    </row>
    <row r="32296">
      <c r="A32296" s="4" t="s">
        <v>40656</v>
      </c>
      <c r="B32296" s="4" t="s">
        <v>40659</v>
      </c>
      <c r="C32296" s="5" t="str">
        <f>IFERROR(__xludf.DUMMYFUNCTION("GOOGLETRANSLATE(B32296,""en"",""zh-CN"")"),"他们分开并走不同的距离。")</f>
        <v>他们分开并走不同的距离。</v>
      </c>
    </row>
    <row r="32297">
      <c r="A32297" s="4" t="s">
        <v>40660</v>
      </c>
      <c r="B32297" s="4" t="s">
        <v>40661</v>
      </c>
      <c r="C32297" s="5" t="str">
        <f>IFERROR(__xludf.DUMMYFUNCTION("GOOGLETRANSLATE(B32297,""en"",""zh-CN"")"),"当球滑到后面时，两个女人一起扫了一块地板。")</f>
        <v>当球滑到后面时，两个女人一起扫了一块地板。</v>
      </c>
    </row>
    <row r="32298">
      <c r="A32298" s="4" t="s">
        <v>40660</v>
      </c>
      <c r="B32298" s="6" t="s">
        <v>40662</v>
      </c>
      <c r="C32298" s="5" t="str">
        <f>IFERROR(__xludf.DUMMYFUNCTION("GOOGLETRANSLATE(B32298,""en"",""zh-CN"")"),"他们再次扫地，其中一名妇女停下来了一秒钟，因为她的伴侣开始更快地扫荡。")</f>
        <v>他们再次扫地，其中一名妇女停下来了一秒钟，因为她的伴侣开始更快地扫荡。</v>
      </c>
    </row>
    <row r="32299">
      <c r="A32299" s="4" t="s">
        <v>40660</v>
      </c>
      <c r="B32299" s="6" t="s">
        <v>40663</v>
      </c>
      <c r="C32299" s="5" t="str">
        <f>IFERROR(__xludf.DUMMYFUNCTION("GOOGLETRANSLATE(B32299,""en"",""zh-CN"")"),"他们再次扫地，一名妇女疯狂地朝着末端扫地，因为她的伴侣停了一秒钟并抬头抬起头来。")</f>
        <v>他们再次扫地，一名妇女疯狂地朝着末端扫地，因为她的伴侣停了一秒钟并抬头抬起头来。</v>
      </c>
    </row>
    <row r="32300">
      <c r="A32300" s="4" t="s">
        <v>40664</v>
      </c>
      <c r="B32300" s="4" t="s">
        <v>40665</v>
      </c>
      <c r="C32300" s="5" t="str">
        <f>IFERROR(__xludf.DUMMYFUNCTION("GOOGLETRANSLATE(B32300,""en"",""zh-CN"")"),"人们热身举起双手并弯曲。")</f>
        <v>人们热身举起双手并弯曲。</v>
      </c>
    </row>
    <row r="32301">
      <c r="A32301" s="4" t="s">
        <v>40664</v>
      </c>
      <c r="B32301" s="4" t="s">
        <v>40666</v>
      </c>
      <c r="C32301" s="5" t="str">
        <f>IFERROR(__xludf.DUMMYFUNCTION("GOOGLETRANSLATE(B32301,""en"",""zh-CN"")"),"然后，人们每次都要进行步进锻炼。")</f>
        <v>然后，人们每次都要进行步进锻炼。</v>
      </c>
    </row>
    <row r="32302">
      <c r="A32302" s="4" t="s">
        <v>40664</v>
      </c>
      <c r="B32302" s="4" t="s">
        <v>40667</v>
      </c>
      <c r="C32302" s="5" t="str">
        <f>IFERROR(__xludf.DUMMYFUNCTION("GOOGLETRANSLATE(B32302,""en"",""zh-CN"")"),"之后，人们在步进步进之前转过身。")</f>
        <v>之后，人们在步进步进之前转过身。</v>
      </c>
    </row>
    <row r="32303">
      <c r="A32303" s="4" t="s">
        <v>40668</v>
      </c>
      <c r="B32303" s="6" t="s">
        <v>40669</v>
      </c>
      <c r="C32303" s="5" t="str">
        <f>IFERROR(__xludf.DUMMYFUNCTION("GOOGLETRANSLATE(B32303,""en"",""zh-CN"")"),"有一个穿着蓝色衬衫和米色裤子的男人坐在棕色覆盖物上，谈论草坪和花园护理。")</f>
        <v>有一个穿着蓝色衬衫和米色裤子的男人坐在棕色覆盖物上，谈论草坪和花园护理。</v>
      </c>
    </row>
    <row r="32304">
      <c r="A32304" s="4" t="s">
        <v>40668</v>
      </c>
      <c r="B32304" s="6" t="s">
        <v>40670</v>
      </c>
      <c r="C32304" s="5" t="str">
        <f>IFERROR(__xludf.DUMMYFUNCTION("GOOGLETRANSLATE(B32304,""en"",""zh-CN"")"),"他指出了棕色的覆盖物和他附近的灌木丛，他解释了对草坪护理的做法。")</f>
        <v>他指出了棕色的覆盖物和他附近的灌木丛，他解释了对草坪护理的做法。</v>
      </c>
    </row>
    <row r="32305">
      <c r="A32305" s="4" t="s">
        <v>40671</v>
      </c>
      <c r="B32305" s="4" t="s">
        <v>40672</v>
      </c>
      <c r="C32305" s="5" t="str">
        <f>IFERROR(__xludf.DUMMYFUNCTION("GOOGLETRANSLATE(B32305,""en"",""zh-CN"")"),"显示了墙上的墙纸。")</f>
        <v>显示了墙上的墙纸。</v>
      </c>
    </row>
    <row r="32306">
      <c r="A32306" s="4" t="s">
        <v>40671</v>
      </c>
      <c r="B32306" s="4" t="s">
        <v>40673</v>
      </c>
      <c r="C32306" s="5" t="str">
        <f>IFERROR(__xludf.DUMMYFUNCTION("GOOGLETRANSLATE(B32306,""en"",""zh-CN"")"),"一个人将一张蜡纸放在墙纸上。")</f>
        <v>一个人将一张蜡纸放在墙纸上。</v>
      </c>
    </row>
    <row r="32307">
      <c r="A32307" s="4" t="s">
        <v>40671</v>
      </c>
      <c r="B32307" s="4" t="s">
        <v>40674</v>
      </c>
      <c r="C32307" s="5" t="str">
        <f>IFERROR(__xludf.DUMMYFUNCTION("GOOGLETRANSLATE(B32307,""en"",""zh-CN"")"),"他们在纸的前面刷刷。")</f>
        <v>他们在纸的前面刷刷。</v>
      </c>
    </row>
    <row r="32308">
      <c r="A32308" s="4" t="s">
        <v>40675</v>
      </c>
      <c r="B32308" s="4" t="s">
        <v>40676</v>
      </c>
      <c r="C32308" s="5" t="str">
        <f>IFERROR(__xludf.DUMMYFUNCTION("GOOGLETRANSLATE(B32308,""en"",""zh-CN"")"),"我们看到酒吧后面的调酒师在玻璃杯中加了冰。")</f>
        <v>我们看到酒吧后面的调酒师在玻璃杯中加了冰。</v>
      </c>
    </row>
    <row r="32309">
      <c r="A32309" s="4" t="s">
        <v>40675</v>
      </c>
      <c r="B32309" s="4" t="s">
        <v>40677</v>
      </c>
      <c r="C32309" s="5" t="str">
        <f>IFERROR(__xludf.DUMMYFUNCTION("GOOGLETRANSLATE(B32309,""en"",""zh-CN"")"),"该男子将三杯酒倒入玻璃杯中，然后摇动它。")</f>
        <v>该男子将三杯酒倒入玻璃杯中，然后摇动它。</v>
      </c>
    </row>
    <row r="32310">
      <c r="A32310" s="4" t="s">
        <v>40675</v>
      </c>
      <c r="B32310" s="4" t="s">
        <v>40678</v>
      </c>
      <c r="C32310" s="5" t="str">
        <f>IFERROR(__xludf.DUMMYFUNCTION("GOOGLETRANSLATE(B32310,""en"",""zh-CN"")"),"该男子将其倒入玻璃杯中并添加苏打水。")</f>
        <v>该男子将其倒入玻璃杯中并添加苏打水。</v>
      </c>
    </row>
    <row r="32311">
      <c r="A32311" s="4" t="s">
        <v>40675</v>
      </c>
      <c r="B32311" s="4" t="s">
        <v>40679</v>
      </c>
      <c r="C32311" s="5" t="str">
        <f>IFERROR(__xludf.DUMMYFUNCTION("GOOGLETRANSLATE(B32311,""en"",""zh-CN"")"),"该男子挤压柠檬，搅拌玻璃杯，然后将其转移到较小的玻璃杯中。")</f>
        <v>该男子挤压柠檬，搅拌玻璃杯，然后将其转移到较小的玻璃杯中。</v>
      </c>
    </row>
    <row r="32312">
      <c r="A32312" s="4" t="s">
        <v>40675</v>
      </c>
      <c r="B32312" s="4" t="s">
        <v>40680</v>
      </c>
      <c r="C32312" s="5" t="str">
        <f>IFERROR(__xludf.DUMMYFUNCTION("GOOGLETRANSLATE(B32312,""en"",""zh-CN"")"),"该男子加了一根吸管，并向我们展示玻璃杯。")</f>
        <v>该男子加了一根吸管，并向我们展示玻璃杯。</v>
      </c>
    </row>
    <row r="32313">
      <c r="A32313" s="4" t="s">
        <v>40681</v>
      </c>
      <c r="B32313" s="4" t="s">
        <v>40682</v>
      </c>
      <c r="C32313" s="5" t="str">
        <f>IFERROR(__xludf.DUMMYFUNCTION("GOOGLETRANSLATE(B32313,""en"",""zh-CN"")"),"新闻主播在新闻编辑室的桌子上介绍了一个剪辑。")</f>
        <v>新闻主播在新闻编辑室的桌子上介绍了一个剪辑。</v>
      </c>
    </row>
    <row r="32314">
      <c r="A32314" s="4" t="s">
        <v>40681</v>
      </c>
      <c r="B32314" s="4" t="s">
        <v>40683</v>
      </c>
      <c r="C32314" s="5" t="str">
        <f>IFERROR(__xludf.DUMMYFUNCTION("GOOGLETRANSLATE(B32314,""en"",""zh-CN"")"),"奥巴马总统介绍并采访了一支乐队在舞台上演出。")</f>
        <v>奥巴马总统介绍并采访了一支乐队在舞台上演出。</v>
      </c>
    </row>
    <row r="32315">
      <c r="A32315" s="4" t="s">
        <v>40681</v>
      </c>
      <c r="B32315" s="4" t="s">
        <v>40684</v>
      </c>
      <c r="C32315" s="5" t="str">
        <f>IFERROR(__xludf.DUMMYFUNCTION("GOOGLETRANSLATE(B32315,""en"",""zh-CN"")"),"克林顿总统与乐队在舞台上演奏萨克斯管。")</f>
        <v>克林顿总统与乐队在舞台上演奏萨克斯管。</v>
      </c>
    </row>
    <row r="32316">
      <c r="A32316" s="4" t="s">
        <v>40681</v>
      </c>
      <c r="B32316" s="4" t="s">
        <v>40685</v>
      </c>
      <c r="C32316" s="5" t="str">
        <f>IFERROR(__xludf.DUMMYFUNCTION("GOOGLETRANSLATE(B32316,""en"",""zh-CN"")"),"乔治·布什（George Bush）总统与非洲鼓手和其他外交官一起跳舞。")</f>
        <v>乔治·布什（George Bush）总统与非洲鼓手和其他外交官一起跳舞。</v>
      </c>
    </row>
    <row r="32317">
      <c r="A32317" s="4" t="s">
        <v>40686</v>
      </c>
      <c r="B32317" s="4" t="s">
        <v>40687</v>
      </c>
      <c r="C32317" s="5" t="str">
        <f>IFERROR(__xludf.DUMMYFUNCTION("GOOGLETRANSLATE(B32317,""en"",""zh-CN"")"),"看到一个男人在介绍各种液体和成分时向相机说话。")</f>
        <v>看到一个男人在介绍各种液体和成分时向相机说话。</v>
      </c>
    </row>
    <row r="32318">
      <c r="A32318" s="4" t="s">
        <v>40686</v>
      </c>
      <c r="B32318" s="4" t="s">
        <v>40688</v>
      </c>
      <c r="C32318" s="5" t="str">
        <f>IFERROR(__xludf.DUMMYFUNCTION("GOOGLETRANSLATE(B32318,""en"",""zh-CN"")"),"该男子在停下来喝一杯时将食材与水果混合到玻璃杯中。")</f>
        <v>该男子在停下来喝一杯时将食材与水果混合到玻璃杯中。</v>
      </c>
    </row>
    <row r="32319">
      <c r="A32319" s="4" t="s">
        <v>40686</v>
      </c>
      <c r="B32319" s="4" t="s">
        <v>40689</v>
      </c>
      <c r="C32319" s="5" t="str">
        <f>IFERROR(__xludf.DUMMYFUNCTION("GOOGLETRANSLATE(B32319,""en"",""zh-CN"")"),"他继续使用不同的成分并与相机交谈。")</f>
        <v>他继续使用不同的成分并与相机交谈。</v>
      </c>
    </row>
    <row r="32320">
      <c r="A32320" s="4" t="s">
        <v>40690</v>
      </c>
      <c r="B32320" s="4" t="s">
        <v>40691</v>
      </c>
      <c r="C32320" s="5" t="str">
        <f>IFERROR(__xludf.DUMMYFUNCTION("GOOGLETRANSLATE(B32320,""en"",""zh-CN"")"),"一个男人的脸在来回移动。")</f>
        <v>一个男人的脸在来回移动。</v>
      </c>
    </row>
    <row r="32321">
      <c r="A32321" s="4" t="s">
        <v>40690</v>
      </c>
      <c r="B32321" s="4" t="s">
        <v>40692</v>
      </c>
      <c r="C32321" s="5" t="str">
        <f>IFERROR(__xludf.DUMMYFUNCTION("GOOGLETRANSLATE(B32321,""en"",""zh-CN"")"),"这个男人正在闪耀鞋子。")</f>
        <v>这个男人正在闪耀鞋子。</v>
      </c>
    </row>
    <row r="32322">
      <c r="A32322" s="4" t="s">
        <v>40693</v>
      </c>
      <c r="B32322" s="4" t="s">
        <v>40694</v>
      </c>
      <c r="C32322" s="5" t="str">
        <f>IFERROR(__xludf.DUMMYFUNCTION("GOOGLETRANSLATE(B32322,""en"",""zh-CN"")"),"绿色文字解释了游戏的几个规则。")</f>
        <v>绿色文字解释了游戏的几个规则。</v>
      </c>
    </row>
    <row r="32323">
      <c r="A32323" s="4" t="s">
        <v>40693</v>
      </c>
      <c r="B32323" s="4" t="s">
        <v>40695</v>
      </c>
      <c r="C32323" s="5" t="str">
        <f>IFERROR(__xludf.DUMMYFUNCTION("GOOGLETRANSLATE(B32323,""en"",""zh-CN"")"),"一个男人和一个男孩的练习齐聚一堂，教练展示了他的观点。")</f>
        <v>一个男人和一个男孩的练习齐聚一堂，教练展示了他的观点。</v>
      </c>
    </row>
    <row r="32324">
      <c r="A32324" s="4" t="s">
        <v>40693</v>
      </c>
      <c r="B32324" s="4" t="s">
        <v>40696</v>
      </c>
      <c r="C32324" s="5" t="str">
        <f>IFERROR(__xludf.DUMMYFUNCTION("GOOGLETRANSLATE(B32324,""en"",""zh-CN"")"),"他们展示了几个不同的举动。")</f>
        <v>他们展示了几个不同的举动。</v>
      </c>
    </row>
    <row r="32325">
      <c r="A32325" s="4" t="s">
        <v>40697</v>
      </c>
      <c r="B32325" s="6" t="s">
        <v>40698</v>
      </c>
      <c r="C32325" s="5" t="str">
        <f>IFERROR(__xludf.DUMMYFUNCTION("GOOGLETRANSLATE(B32325,""en"",""zh-CN"")"),"看到一名运动员沿着一条长长的轨道奔跑，并将标枪扔到远处，其他人则衡量他的投掷。")</f>
        <v>看到一名运动员沿着一条长长的轨道奔跑，并将标枪扔到远处，其他人则衡量他的投掷。</v>
      </c>
    </row>
    <row r="32326">
      <c r="A32326" s="4" t="s">
        <v>40697</v>
      </c>
      <c r="B32326" s="6" t="s">
        <v>40699</v>
      </c>
      <c r="C32326" s="5" t="str">
        <f>IFERROR(__xludf.DUMMYFUNCTION("GOOGLETRANSLATE(B32326,""en"",""zh-CN"")"),"该名男子走开，高高的五只男人在人群中，同时显示出他的分数，另一个又一步迈进了一侧。")</f>
        <v>该名男子走开，高高的五只男人在人群中，同时显示出他的分数，另一个又一步迈进了一侧。</v>
      </c>
    </row>
    <row r="32327">
      <c r="A32327" s="4" t="s">
        <v>40700</v>
      </c>
      <c r="B32327" s="4" t="s">
        <v>40701</v>
      </c>
      <c r="C32327" s="5" t="str">
        <f>IFERROR(__xludf.DUMMYFUNCTION("GOOGLETRANSLATE(B32327,""en"",""zh-CN"")"),"一个人站在外面拿着电锯。")</f>
        <v>一个人站在外面拿着电锯。</v>
      </c>
    </row>
    <row r="32328">
      <c r="A32328" s="4" t="s">
        <v>40700</v>
      </c>
      <c r="B32328" s="4" t="s">
        <v>40702</v>
      </c>
      <c r="C32328" s="5" t="str">
        <f>IFERROR(__xludf.DUMMYFUNCTION("GOOGLETRANSLATE(B32328,""en"",""zh-CN"")"),"他开始砍伐他旁边的一棵树。")</f>
        <v>他开始砍伐他旁边的一棵树。</v>
      </c>
    </row>
    <row r="32329">
      <c r="A32329" s="4" t="s">
        <v>40700</v>
      </c>
      <c r="B32329" s="4" t="s">
        <v>40703</v>
      </c>
      <c r="C32329" s="5" t="str">
        <f>IFERROR(__xludf.DUMMYFUNCTION("GOOGLETRANSLATE(B32329,""en"",""zh-CN"")"),"他站在树旁边说话。")</f>
        <v>他站在树旁边说话。</v>
      </c>
    </row>
    <row r="32330">
      <c r="A32330" s="4" t="s">
        <v>40704</v>
      </c>
      <c r="B32330" s="6" t="s">
        <v>40705</v>
      </c>
      <c r="C32330" s="5" t="str">
        <f>IFERROR(__xludf.DUMMYFUNCTION("GOOGLETRANSLATE(B32330,""en"",""zh-CN"")"),"看到一个女人在相机上说话时，一个女人在她身后的游泳池中游泳，第四名。")</f>
        <v>看到一个女人在相机上说话时，一个女人在她身后的游泳池中游泳，第四名。</v>
      </c>
    </row>
    <row r="32331">
      <c r="A32331" s="4" t="s">
        <v>40704</v>
      </c>
      <c r="B32331" s="6" t="s">
        <v>40706</v>
      </c>
      <c r="C32331" s="5" t="str">
        <f>IFERROR(__xludf.DUMMYFUNCTION("GOOGLETRANSLATE(B32331,""en"",""zh-CN"")"),"然后，在与女性讲话的相机介绍时，剪辑在如何执行适当的游泳技术方面进行了近距离展示。")</f>
        <v>然后，在与女性讲话的相机介绍时，剪辑在如何执行适当的游泳技术方面进行了近距离展示。</v>
      </c>
    </row>
    <row r="32332">
      <c r="A32332" s="4" t="s">
        <v>40707</v>
      </c>
      <c r="B32332" s="6" t="s">
        <v>40708</v>
      </c>
      <c r="C32332" s="5" t="str">
        <f>IFERROR(__xludf.DUMMYFUNCTION("GOOGLETRANSLATE(B32332,""en"",""zh-CN"")"),"一个戴着牛仔帽，太阳镜和黄色乳胶手套的男人站在马stable的马旁边。")</f>
        <v>一个戴着牛仔帽，太阳镜和黄色乳胶手套的男人站在马stable的马旁边。</v>
      </c>
    </row>
    <row r="32333">
      <c r="A32333" s="4" t="s">
        <v>40707</v>
      </c>
      <c r="B32333" s="4" t="s">
        <v>40709</v>
      </c>
      <c r="C32333" s="5" t="str">
        <f>IFERROR(__xludf.DUMMYFUNCTION("GOOGLETRANSLATE(B32333,""en"",""zh-CN"")"),"他正在使用吹干机来干燥马的湿尸体。")</f>
        <v>他正在使用吹干机来干燥马的湿尸体。</v>
      </c>
    </row>
    <row r="32334">
      <c r="A32334" s="4" t="s">
        <v>40707</v>
      </c>
      <c r="B32334" s="4" t="s">
        <v>40710</v>
      </c>
      <c r="C32334" s="5" t="str">
        <f>IFERROR(__xludf.DUMMYFUNCTION("GOOGLETRANSLATE(B32334,""en"",""zh-CN"")"),"他将吹干机移动到马背上以干燥。")</f>
        <v>他将吹干机移动到马背上以干燥。</v>
      </c>
    </row>
    <row r="32335">
      <c r="A32335" s="4" t="s">
        <v>40707</v>
      </c>
      <c r="B32335" s="4" t="s">
        <v>40711</v>
      </c>
      <c r="C32335" s="5" t="str">
        <f>IFERROR(__xludf.DUMMYFUNCTION("GOOGLETRANSLATE(B32335,""en"",""zh-CN"")"),"他还在马背上使用擦洗刷来清洁马。")</f>
        <v>他还在马背上使用擦洗刷来清洁马。</v>
      </c>
    </row>
    <row r="32336">
      <c r="A32336" s="4" t="s">
        <v>40712</v>
      </c>
      <c r="B32336" s="4" t="s">
        <v>40713</v>
      </c>
      <c r="C32336" s="5" t="str">
        <f>IFERROR(__xludf.DUMMYFUNCTION("GOOGLETRANSLATE(B32336,""en"",""zh-CN"")"),"画家在她的工作室里展示了各种艺术作品。")</f>
        <v>画家在她的工作室里展示了各种艺术作品。</v>
      </c>
    </row>
    <row r="32337">
      <c r="A32337" s="4" t="s">
        <v>40712</v>
      </c>
      <c r="B32337" s="4" t="s">
        <v>40714</v>
      </c>
      <c r="C32337" s="5" t="str">
        <f>IFERROR(__xludf.DUMMYFUNCTION("GOOGLETRANSLATE(B32337,""en"",""zh-CN"")"),"她坐在工作室里说话。")</f>
        <v>她坐在工作室里说话。</v>
      </c>
    </row>
    <row r="32338">
      <c r="A32338" s="4" t="s">
        <v>40712</v>
      </c>
      <c r="B32338" s="4" t="s">
        <v>40715</v>
      </c>
      <c r="C32338" s="5" t="str">
        <f>IFERROR(__xludf.DUMMYFUNCTION("GOOGLETRANSLATE(B32338,""en"",""zh-CN"")"),"当她涂一棵黑树时，她抓住画笔并反复将其浸入黑色油漆中。")</f>
        <v>当她涂一棵黑树时，她抓住画笔并反复将其浸入黑色油漆中。</v>
      </c>
    </row>
    <row r="32339">
      <c r="A32339" s="4" t="s">
        <v>40712</v>
      </c>
      <c r="B32339" s="4" t="s">
        <v>40716</v>
      </c>
      <c r="C32339" s="5" t="str">
        <f>IFERROR(__xludf.DUMMYFUNCTION("GOOGLETRANSLATE(B32339,""en"",""zh-CN"")"),"她抓住海绵，将其浸入绿色和蓝色油漆中，同时将叶子涂在树上。")</f>
        <v>她抓住海绵，将其浸入绿色和蓝色油漆中，同时将叶子涂在树上。</v>
      </c>
    </row>
    <row r="32340">
      <c r="A32340" s="4" t="s">
        <v>40712</v>
      </c>
      <c r="B32340" s="6" t="s">
        <v>40717</v>
      </c>
      <c r="C32340" s="5" t="str">
        <f>IFERROR(__xludf.DUMMYFUNCTION("GOOGLETRANSLATE(B32340,""en"",""zh-CN"")"),"她继续前进以抓住画笔，然后反复将其浸入黑色油漆中，然后继续绘画另一棵树。")</f>
        <v>她继续前进以抓住画笔，然后反复将其浸入黑色油漆中，然后继续绘画另一棵树。</v>
      </c>
    </row>
    <row r="32341">
      <c r="A32341" s="4" t="s">
        <v>40712</v>
      </c>
      <c r="B32341" s="4" t="s">
        <v>40718</v>
      </c>
      <c r="C32341" s="5" t="str">
        <f>IFERROR(__xludf.DUMMYFUNCTION("GOOGLETRANSLATE(B32341,""en"",""zh-CN"")"),"使用相同的油漆刷，这次将其浸入绿色油漆中，她将三分之三的松树涂成。")</f>
        <v>使用相同的油漆刷，这次将其浸入绿色油漆中，她将三分之三的松树涂成。</v>
      </c>
    </row>
    <row r="32342">
      <c r="A32342" s="4" t="s">
        <v>40712</v>
      </c>
      <c r="B32342" s="4" t="s">
        <v>40719</v>
      </c>
      <c r="C32342" s="5" t="str">
        <f>IFERROR(__xludf.DUMMYFUNCTION("GOOGLETRANSLATE(B32342,""en"",""zh-CN"")"),"她完成了绘画，说话了一点。")</f>
        <v>她完成了绘画，说话了一点。</v>
      </c>
    </row>
    <row r="32343">
      <c r="A32343" s="4" t="s">
        <v>40720</v>
      </c>
      <c r="B32343" s="4" t="s">
        <v>1487</v>
      </c>
      <c r="C32343" s="5" t="str">
        <f>IFERROR(__xludf.DUMMYFUNCTION("GOOGLETRANSLATE(B32343,""en"",""zh-CN"")"),"我们看到一个开放标题屏幕。")</f>
        <v>我们看到一个开放标题屏幕。</v>
      </c>
    </row>
    <row r="32344">
      <c r="A32344" s="4" t="s">
        <v>40720</v>
      </c>
      <c r="B32344" s="4" t="s">
        <v>40721</v>
      </c>
      <c r="C32344" s="5" t="str">
        <f>IFERROR(__xludf.DUMMYFUNCTION("GOOGLETRANSLATE(B32344,""en"",""zh-CN"")"),"一个男人坐在赛道上，接受采访时说话。")</f>
        <v>一个男人坐在赛道上，接受采访时说话。</v>
      </c>
    </row>
    <row r="32345">
      <c r="A32345" s="4" t="s">
        <v>40720</v>
      </c>
      <c r="B32345" s="4" t="s">
        <v>40722</v>
      </c>
      <c r="C32345" s="5" t="str">
        <f>IFERROR(__xludf.DUMMYFUNCTION("GOOGLETRANSLATE(B32345,""en"",""zh-CN"")"),"红色的两个人走上看台，一站与某人交谈。")</f>
        <v>红色的两个人走上看台，一站与某人交谈。</v>
      </c>
    </row>
    <row r="32346">
      <c r="A32346" s="4" t="s">
        <v>40720</v>
      </c>
      <c r="B32346" s="4" t="s">
        <v>40723</v>
      </c>
      <c r="C32346" s="5" t="str">
        <f>IFERROR(__xludf.DUMMYFUNCTION("GOOGLETRANSLATE(B32346,""en"",""zh-CN"")"),"一群妇女走在男人身后。")</f>
        <v>一群妇女走在男人身后。</v>
      </c>
    </row>
    <row r="32347">
      <c r="A32347" s="4" t="s">
        <v>40720</v>
      </c>
      <c r="B32347" s="4" t="s">
        <v>5107</v>
      </c>
      <c r="C32347" s="5" t="str">
        <f>IFERROR(__xludf.DUMMYFUNCTION("GOOGLETRANSLATE(B32347,""en"",""zh-CN"")"),"然后，我们看到结尾标题屏幕。")</f>
        <v>然后，我们看到结尾标题屏幕。</v>
      </c>
    </row>
    <row r="32348">
      <c r="A32348" s="4" t="s">
        <v>40724</v>
      </c>
      <c r="B32348" s="6" t="s">
        <v>40725</v>
      </c>
      <c r="C32348" s="5" t="str">
        <f>IFERROR(__xludf.DUMMYFUNCTION("GOOGLETRANSLATE(B32348,""en"",""zh-CN"")"),"看到一个男人和一大批孩子站在一起，并带领孩子们在一个大型体育馆里扮演道奇。")</f>
        <v>看到一个男人和一大批孩子站在一起，并带领孩子们在一个大型体育馆里扮演道奇。</v>
      </c>
    </row>
    <row r="32349">
      <c r="A32349" s="4" t="s">
        <v>40724</v>
      </c>
      <c r="B32349" s="6" t="s">
        <v>40726</v>
      </c>
      <c r="C32349" s="5" t="str">
        <f>IFERROR(__xludf.DUMMYFUNCTION("GOOGLETRANSLATE(B32349,""en"",""zh-CN"")"),"看到一个女人在相机上说话时，显示了更多游戏的镜头，男人对孩子说话。")</f>
        <v>看到一个女人在相机上说话时，显示了更多游戏的镜头，男人对孩子说话。</v>
      </c>
    </row>
    <row r="32350">
      <c r="A32350" s="4" t="s">
        <v>40724</v>
      </c>
      <c r="B32350" s="4" t="s">
        <v>40727</v>
      </c>
      <c r="C32350" s="5" t="str">
        <f>IFERROR(__xludf.DUMMYFUNCTION("GOOGLETRANSLATE(B32350,""en"",""zh-CN"")"),"他们都坐在一起，男人在教室里采访了孩子们。")</f>
        <v>他们都坐在一起，男人在教室里采访了孩子们。</v>
      </c>
    </row>
    <row r="32351">
      <c r="A32351" s="4" t="s">
        <v>40728</v>
      </c>
      <c r="B32351" s="4" t="s">
        <v>40729</v>
      </c>
      <c r="C32351" s="5" t="str">
        <f>IFERROR(__xludf.DUMMYFUNCTION("GOOGLETRANSLATE(B32351,""en"",""zh-CN"")"),"劳伦斯·韦尔克（Lawrence Welk）正在播放手风琴并指导他的乐队。")</f>
        <v>劳伦斯·韦尔克（Lawrence Welk）正在播放手风琴并指导他的乐队。</v>
      </c>
    </row>
    <row r="32352">
      <c r="A32352" s="4" t="s">
        <v>40728</v>
      </c>
      <c r="B32352" s="4" t="s">
        <v>40730</v>
      </c>
      <c r="C32352" s="5" t="str">
        <f>IFERROR(__xludf.DUMMYFUNCTION("GOOGLETRANSLATE(B32352,""en"",""zh-CN"")"),"他与另一位手风琴球员一起加入。")</f>
        <v>他与另一位手风琴球员一起加入。</v>
      </c>
    </row>
    <row r="32353">
      <c r="A32353" s="4" t="s">
        <v>40728</v>
      </c>
      <c r="B32353" s="6" t="s">
        <v>40731</v>
      </c>
      <c r="C32353" s="5" t="str">
        <f>IFERROR(__xludf.DUMMYFUNCTION("GOOGLETRANSLATE(B32353,""en"",""zh-CN"")"),"乐队站在计划中，在手风琴演奏者和乐队之间来回走动。")</f>
        <v>乐队站在计划中，在手风琴演奏者和乐队之间来回走动。</v>
      </c>
    </row>
    <row r="32354">
      <c r="A32354" s="4" t="s">
        <v>40728</v>
      </c>
      <c r="B32354" s="4" t="s">
        <v>40732</v>
      </c>
      <c r="C32354" s="5" t="str">
        <f>IFERROR(__xludf.DUMMYFUNCTION("GOOGLETRANSLATE(B32354,""en"",""zh-CN"")"),"他们继续与背后的乐队一起演奏手风琴。")</f>
        <v>他们继续与背后的乐队一起演奏手风琴。</v>
      </c>
    </row>
    <row r="32355">
      <c r="A32355" s="4" t="s">
        <v>40733</v>
      </c>
      <c r="B32355" s="4" t="s">
        <v>40734</v>
      </c>
      <c r="C32355" s="5" t="str">
        <f>IFERROR(__xludf.DUMMYFUNCTION("GOOGLETRANSLATE(B32355,""en"",""zh-CN"")"),"看到一个男人在汽车前面的摄像头说话，并开始脱掉轮廓。")</f>
        <v>看到一个男人在汽车前面的摄像头说话，并开始脱掉轮廓。</v>
      </c>
    </row>
    <row r="32356">
      <c r="A32356" s="4" t="s">
        <v>40733</v>
      </c>
      <c r="B32356" s="4" t="s">
        <v>40735</v>
      </c>
      <c r="C32356" s="5" t="str">
        <f>IFERROR(__xludf.DUMMYFUNCTION("GOOGLETRANSLATE(B32356,""en"",""zh-CN"")"),"他从轮胎上滑下来。")</f>
        <v>他从轮胎上滑下来。</v>
      </c>
    </row>
    <row r="32357">
      <c r="A32357" s="4" t="s">
        <v>40733</v>
      </c>
      <c r="B32357" s="4" t="s">
        <v>40736</v>
      </c>
      <c r="C32357" s="5" t="str">
        <f>IFERROR(__xludf.DUMMYFUNCTION("GOOGLETRANSLATE(B32357,""en"",""zh-CN"")"),"最终，他将Hubcap放回原处。")</f>
        <v>最终，他将Hubcap放回原处。</v>
      </c>
    </row>
    <row r="32358">
      <c r="A32358" s="4" t="s">
        <v>40737</v>
      </c>
      <c r="B32358" s="6" t="s">
        <v>40738</v>
      </c>
      <c r="C32358" s="5" t="str">
        <f>IFERROR(__xludf.DUMMYFUNCTION("GOOGLETRANSLATE(B32358,""en"",""zh-CN"")"),"一件男子伊娜（Ina）衬衫说野兽模式正在制作视频，了解没有健身房的最佳免费锻炼。")</f>
        <v>一件男子伊娜（Ina）衬衫说野兽模式正在制作视频，了解没有健身房的最佳免费锻炼。</v>
      </c>
    </row>
    <row r="32359">
      <c r="A32359" s="4" t="s">
        <v>40737</v>
      </c>
      <c r="B32359" s="4" t="s">
        <v>40739</v>
      </c>
      <c r="C32359" s="5" t="str">
        <f>IFERROR(__xludf.DUMMYFUNCTION("GOOGLETRANSLATE(B32359,""en"",""zh-CN"")"),"他有一个没有重量的体重棒，他以某种方式弯曲。")</f>
        <v>他有一个没有重量的体重棒，他以某种方式弯曲。</v>
      </c>
    </row>
    <row r="32360">
      <c r="A32360" s="4" t="s">
        <v>40737</v>
      </c>
      <c r="B32360" s="4" t="s">
        <v>40740</v>
      </c>
      <c r="C32360" s="5" t="str">
        <f>IFERROR(__xludf.DUMMYFUNCTION("GOOGLETRANSLATE(B32360,""en"",""zh-CN"")"),"他向您展示了如何将重量棒用于不同的举重位置。")</f>
        <v>他向您展示了如何将重量棒用于不同的举重位置。</v>
      </c>
    </row>
    <row r="32361">
      <c r="A32361" s="4" t="s">
        <v>40737</v>
      </c>
      <c r="B32361" s="4" t="s">
        <v>40741</v>
      </c>
      <c r="C32361" s="5" t="str">
        <f>IFERROR(__xludf.DUMMYFUNCTION("GOOGLETRANSLATE(B32361,""en"",""zh-CN"")"),"一旦他完成了重量棒，他就会退缩并谈论这一切。")</f>
        <v>一旦他完成了重量棒，他就会退缩并谈论这一切。</v>
      </c>
    </row>
    <row r="32362">
      <c r="A32362" s="4" t="s">
        <v>40742</v>
      </c>
      <c r="B32362" s="4" t="s">
        <v>40743</v>
      </c>
      <c r="C32362" s="5" t="str">
        <f>IFERROR(__xludf.DUMMYFUNCTION("GOOGLETRANSLATE(B32362,""en"",""zh-CN"")"),"人们坐在长凳上。")</f>
        <v>人们坐在长凳上。</v>
      </c>
    </row>
    <row r="32363">
      <c r="A32363" s="4" t="s">
        <v>40742</v>
      </c>
      <c r="B32363" s="4" t="s">
        <v>40744</v>
      </c>
      <c r="C32363" s="5" t="str">
        <f>IFERROR(__xludf.DUMMYFUNCTION("GOOGLETRANSLATE(B32363,""en"",""zh-CN"")"),"一个男人正在从咖啡杯中喝酒。")</f>
        <v>一个男人正在从咖啡杯中喝酒。</v>
      </c>
    </row>
    <row r="32364">
      <c r="A32364" s="4" t="s">
        <v>40742</v>
      </c>
      <c r="B32364" s="4" t="s">
        <v>40745</v>
      </c>
      <c r="C32364" s="5" t="str">
        <f>IFERROR(__xludf.DUMMYFUNCTION("GOOGLETRANSLATE(B32364,""en"",""zh-CN"")"),"一个女人正在从咖啡杯中喝酒。")</f>
        <v>一个女人正在从咖啡杯中喝酒。</v>
      </c>
    </row>
    <row r="32365">
      <c r="A32365" s="4" t="s">
        <v>40746</v>
      </c>
      <c r="B32365" s="4" t="s">
        <v>40747</v>
      </c>
      <c r="C32365" s="5" t="str">
        <f>IFERROR(__xludf.DUMMYFUNCTION("GOOGLETRANSLATE(B32365,""en"",""zh-CN"")"),"两个人在白色平板上，他们开始互相击剑。")</f>
        <v>两个人在白色平板上，他们开始互相击剑。</v>
      </c>
    </row>
    <row r="32366">
      <c r="A32366" s="4" t="s">
        <v>40746</v>
      </c>
      <c r="B32366" s="4" t="s">
        <v>40748</v>
      </c>
      <c r="C32366" s="5" t="str">
        <f>IFERROR(__xludf.DUMMYFUNCTION("GOOGLETRANSLATE(B32366,""en"",""zh-CN"")"),"有持续的停止，最接近相机的男孩继续获胜。")</f>
        <v>有持续的停止，最接近相机的男孩继续获胜。</v>
      </c>
    </row>
    <row r="32367">
      <c r="A32367" s="4" t="s">
        <v>40746</v>
      </c>
      <c r="B32367" s="6" t="s">
        <v>40749</v>
      </c>
      <c r="C32367" s="5" t="str">
        <f>IFERROR(__xludf.DUMMYFUNCTION("GOOGLETRANSLATE(B32367,""en"",""zh-CN"")"),"他们俩都一直被重置，但结果也没有什么不同，侧面的女士不断来回走动一个黑色按钮。")</f>
        <v>他们俩都一直被重置，但结果也没有什么不同，侧面的女士不断来回走动一个黑色按钮。</v>
      </c>
    </row>
    <row r="32368">
      <c r="A32368" s="4" t="s">
        <v>40750</v>
      </c>
      <c r="B32368" s="6" t="s">
        <v>40751</v>
      </c>
      <c r="C32368" s="5" t="str">
        <f>IFERROR(__xludf.DUMMYFUNCTION("GOOGLETRANSLATE(B32368,""en"",""zh-CN"")"),"一个室内球场上到处都是穿着制服的人，并打躲避球，将球扔到球队的两边。")</f>
        <v>一个室内球场上到处都是穿着制服的人，并打躲避球，将球扔到球队的两边。</v>
      </c>
    </row>
    <row r="32369">
      <c r="A32369" s="4" t="s">
        <v>40750</v>
      </c>
      <c r="B32369" s="4" t="s">
        <v>40752</v>
      </c>
      <c r="C32369" s="5" t="str">
        <f>IFERROR(__xludf.DUMMYFUNCTION("GOOGLETRANSLATE(B32369,""en"",""zh-CN"")"),"重播了躲避球和捕获的躲避球的慢动作重播。")</f>
        <v>重播了躲避球和捕获的躲避球的慢动作重播。</v>
      </c>
    </row>
    <row r="32370">
      <c r="A32370" s="4" t="s">
        <v>40750</v>
      </c>
      <c r="B32370" s="6" t="s">
        <v>40753</v>
      </c>
      <c r="C32370" s="5" t="str">
        <f>IFERROR(__xludf.DUMMYFUNCTION("GOOGLETRANSLATE(B32370,""en"",""zh-CN"")"),"一个男人很快扔了一个球，他的目标抓住了球，他转过身，右向上朝着空中行走，而其余的球员继续踢球。")</f>
        <v>一个男人很快扔了一个球，他的目标抓住了球，他转过身，右向上朝着空中行走，而其余的球员继续踢球。</v>
      </c>
    </row>
    <row r="32371">
      <c r="A32371" s="4" t="s">
        <v>40750</v>
      </c>
      <c r="B32371" s="6" t="s">
        <v>40754</v>
      </c>
      <c r="C32371" s="5" t="str">
        <f>IFERROR(__xludf.DUMMYFUNCTION("GOOGLETRANSLATE(B32371,""en"",""zh-CN"")"),"一个持有两个球和黑色单词从底部到顶部滚动的男人的照片仍在滚动。")</f>
        <v>一个持有两个球和黑色单词从底部到顶部滚动的男人的照片仍在滚动。</v>
      </c>
    </row>
    <row r="32372">
      <c r="A32372" s="4" t="s">
        <v>40755</v>
      </c>
      <c r="B32372" s="4" t="s">
        <v>40756</v>
      </c>
      <c r="C32372" s="5" t="str">
        <f>IFERROR(__xludf.DUMMYFUNCTION("GOOGLETRANSLATE(B32372,""en"",""zh-CN"")"),"一个人在湖水中向后游泳。")</f>
        <v>一个人在湖水中向后游泳。</v>
      </c>
    </row>
    <row r="32373">
      <c r="A32373" s="4" t="s">
        <v>40755</v>
      </c>
      <c r="B32373" s="4" t="s">
        <v>40757</v>
      </c>
      <c r="C32373" s="5" t="str">
        <f>IFERROR(__xludf.DUMMYFUNCTION("GOOGLETRANSLATE(B32373,""en"",""zh-CN"")"),"展示的两个男人开始滑水。")</f>
        <v>展示的两个男人开始滑水。</v>
      </c>
    </row>
    <row r="32374">
      <c r="A32374" s="4" t="s">
        <v>40755</v>
      </c>
      <c r="B32374" s="6" t="s">
        <v>40758</v>
      </c>
      <c r="C32374" s="5" t="str">
        <f>IFERROR(__xludf.DUMMYFUNCTION("GOOGLETRANSLATE(B32374,""en"",""zh-CN"")"),"他们失去了GOPRO设备，不得不滑水才能找到它，花了两个多星期才能找到仍在工作的设备。")</f>
        <v>他们失去了GOPRO设备，不得不滑水才能找到它，花了两个多星期才能找到仍在工作的设备。</v>
      </c>
    </row>
    <row r="32375">
      <c r="A32375" s="4" t="s">
        <v>40759</v>
      </c>
      <c r="B32375" s="4" t="s">
        <v>40760</v>
      </c>
      <c r="C32375" s="5" t="str">
        <f>IFERROR(__xludf.DUMMYFUNCTION("GOOGLETRANSLATE(B32375,""en"",""zh-CN"")"),"显示了各种琴弦的镜头，后面是编织物和人们在图书馆编织的人。")</f>
        <v>显示了各种琴弦的镜头，后面是编织物和人们在图书馆编织的人。</v>
      </c>
    </row>
    <row r="32376">
      <c r="A32376" s="4" t="s">
        <v>40759</v>
      </c>
      <c r="B32376" s="4" t="s">
        <v>40761</v>
      </c>
      <c r="C32376" s="5" t="str">
        <f>IFERROR(__xludf.DUMMYFUNCTION("GOOGLETRANSLATE(B32376,""en"",""zh-CN"")"),"女人给小儿童穿着，并演示如何正确编织年轻女孩。")</f>
        <v>女人给小儿童穿着，并演示如何正确编织年轻女孩。</v>
      </c>
    </row>
    <row r="32377">
      <c r="A32377" s="4" t="s">
        <v>40762</v>
      </c>
      <c r="B32377" s="4" t="s">
        <v>40763</v>
      </c>
      <c r="C32377" s="5" t="str">
        <f>IFERROR(__xludf.DUMMYFUNCTION("GOOGLETRANSLATE(B32377,""en"",""zh-CN"")"),"屏幕上出现“ EPBF Millennium系列”。")</f>
        <v>屏幕上出现“ EPBF Millennium系列”。</v>
      </c>
    </row>
    <row r="32378">
      <c r="A32378" s="4" t="s">
        <v>40762</v>
      </c>
      <c r="B32378" s="6" t="s">
        <v>40764</v>
      </c>
      <c r="C32378" s="5" t="str">
        <f>IFERROR(__xludf.DUMMYFUNCTION("GOOGLETRANSLATE(B32378,""en"",""zh-CN"")"),"在放置在内部工具时，在保险杠上打印的“ www涂料供应网”出现在车辆的打开端。")</f>
        <v>在放置在内部工具时，在保险杠上打印的“ www涂料供应网”出现在车辆的打开端。</v>
      </c>
    </row>
    <row r="32379">
      <c r="A32379" s="4" t="s">
        <v>40762</v>
      </c>
      <c r="B32379" s="4" t="s">
        <v>40765</v>
      </c>
      <c r="C32379" s="5" t="str">
        <f>IFERROR(__xludf.DUMMYFUNCTION("GOOGLETRANSLATE(B32379,""en"",""zh-CN"")"),"汽车沿着一条深黑色的道路行驶，两侧都弹出了Photoshopped物体。")</f>
        <v>汽车沿着一条深黑色的道路行驶，两侧都弹出了Photoshopped物体。</v>
      </c>
    </row>
    <row r="32380">
      <c r="A32380" s="4" t="s">
        <v>40762</v>
      </c>
      <c r="B32380" s="6" t="s">
        <v>40766</v>
      </c>
      <c r="C32380" s="5" t="str">
        <f>IFERROR(__xludf.DUMMYFUNCTION("GOOGLETRANSLATE(B32380,""en"",""zh-CN"")"),"道路的尽头出现在上面的“彩弹射击失败”和下面的彩弹球图片上。")</f>
        <v>道路的尽头出现在上面的“彩弹射击失败”和下面的彩弹球图片上。</v>
      </c>
    </row>
    <row r="32381">
      <c r="A32381" s="4" t="s">
        <v>40762</v>
      </c>
      <c r="B32381" s="4" t="s">
        <v>40767</v>
      </c>
      <c r="C32381" s="5" t="str">
        <f>IFERROR(__xludf.DUMMYFUNCTION("GOOGLETRANSLATE(B32381,""en"",""zh-CN"")"),"“友好的火”一词出现。")</f>
        <v>“友好的火”一词出现。</v>
      </c>
    </row>
    <row r="32382">
      <c r="A32382" s="4" t="s">
        <v>40762</v>
      </c>
      <c r="B32382" s="4" t="s">
        <v>40768</v>
      </c>
      <c r="C32382" s="5" t="str">
        <f>IFERROR(__xludf.DUMMYFUNCTION("GOOGLETRANSLATE(B32382,""en"",""zh-CN"")"),"一群人在充气障碍物的草地上打彩弹。")</f>
        <v>一群人在充气障碍物的草地上打彩弹。</v>
      </c>
    </row>
    <row r="32383">
      <c r="A32383" s="4" t="s">
        <v>40762</v>
      </c>
      <c r="B32383" s="4" t="s">
        <v>40769</v>
      </c>
      <c r="C32383" s="5" t="str">
        <f>IFERROR(__xludf.DUMMYFUNCTION("GOOGLETRANSLATE(B32383,""en"",""zh-CN"")"),"“愚蠢的料斗”一词出现。")</f>
        <v>“愚蠢的料斗”一词出现。</v>
      </c>
    </row>
    <row r="32384">
      <c r="A32384" s="4" t="s">
        <v>40762</v>
      </c>
      <c r="B32384" s="4" t="s">
        <v>40770</v>
      </c>
      <c r="C32384" s="5" t="str">
        <f>IFERROR(__xludf.DUMMYFUNCTION("GOOGLETRANSLATE(B32384,""en"",""zh-CN"")"),"人们再次在场上打彩弹。")</f>
        <v>人们再次在场上打彩弹。</v>
      </c>
    </row>
    <row r="32385">
      <c r="A32385" s="4" t="s">
        <v>40762</v>
      </c>
      <c r="B32385" s="4" t="s">
        <v>40771</v>
      </c>
      <c r="C32385" s="5" t="str">
        <f>IFERROR(__xludf.DUMMYFUNCTION("GOOGLETRANSLATE(B32385,""en"",""zh-CN"")"),"“ 1/3 Lauf”一词出现。")</f>
        <v>“ 1/3 Lauf”一词出现。</v>
      </c>
    </row>
    <row r="32386">
      <c r="A32386" s="4" t="s">
        <v>40762</v>
      </c>
      <c r="B32386" s="4" t="s">
        <v>40772</v>
      </c>
      <c r="C32386" s="5" t="str">
        <f>IFERROR(__xludf.DUMMYFUNCTION("GOOGLETRANSLATE(B32386,""en"",""zh-CN"")"),"人们再次在场上打彩弹。")</f>
        <v>人们再次在场上打彩弹。</v>
      </c>
    </row>
    <row r="32387">
      <c r="A32387" s="4" t="s">
        <v>40762</v>
      </c>
      <c r="B32387" s="4" t="s">
        <v>40773</v>
      </c>
      <c r="C32387" s="5" t="str">
        <f>IFERROR(__xludf.DUMMYFUNCTION("GOOGLETRANSLATE(B32387,""en"",""zh-CN"")"),"屏幕上显示“ fehlstart”一词。")</f>
        <v>屏幕上显示“ fehlstart”一词。</v>
      </c>
    </row>
    <row r="32388">
      <c r="A32388" s="4" t="s">
        <v>40762</v>
      </c>
      <c r="B32388" s="4" t="s">
        <v>40774</v>
      </c>
      <c r="C32388" s="5" t="str">
        <f>IFERROR(__xludf.DUMMYFUNCTION("GOOGLETRANSLATE(B32388,""en"",""zh-CN"")"),"人们在场上打彩弹。")</f>
        <v>人们在场上打彩弹。</v>
      </c>
    </row>
    <row r="32389">
      <c r="A32389" s="4" t="s">
        <v>40762</v>
      </c>
      <c r="B32389" s="4" t="s">
        <v>40775</v>
      </c>
      <c r="C32389" s="5" t="str">
        <f>IFERROR(__xludf.DUMMYFUNCTION("GOOGLETRANSLATE(B32389,""en"",""zh-CN"")"),"出现了油漆供应的联系信息。")</f>
        <v>出现了油漆供应的联系信息。</v>
      </c>
    </row>
    <row r="32390">
      <c r="A32390" s="4" t="s">
        <v>40776</v>
      </c>
      <c r="B32390" s="4" t="s">
        <v>40777</v>
      </c>
      <c r="C32390" s="5" t="str">
        <f>IFERROR(__xludf.DUMMYFUNCTION("GOOGLETRANSLATE(B32390,""en"",""zh-CN"")"),"有一些年长的绅士在冰上玩游戏。")</f>
        <v>有一些年长的绅士在冰上玩游戏。</v>
      </c>
    </row>
    <row r="32391">
      <c r="A32391" s="4" t="s">
        <v>40776</v>
      </c>
      <c r="B32391" s="4" t="s">
        <v>40778</v>
      </c>
      <c r="C32391" s="5" t="str">
        <f>IFERROR(__xludf.DUMMYFUNCTION("GOOGLETRANSLATE(B32391,""en"",""zh-CN"")"),"他们有一位教练来帮助他们，他谈论如何卷曲。")</f>
        <v>他们有一位教练来帮助他们，他谈论如何卷曲。</v>
      </c>
    </row>
    <row r="32392">
      <c r="A32392" s="4" t="s">
        <v>40776</v>
      </c>
      <c r="B32392" s="4" t="s">
        <v>40779</v>
      </c>
      <c r="C32392" s="5" t="str">
        <f>IFERROR(__xludf.DUMMYFUNCTION("GOOGLETRANSLATE(B32392,""en"",""zh-CN"")"),"他谈论了这些步骤以及如何进入黑客攻击，甚至展示。")</f>
        <v>他谈论了这些步骤以及如何进入黑客攻击，甚至展示。</v>
      </c>
    </row>
    <row r="32393">
      <c r="A32393" s="4" t="s">
        <v>40776</v>
      </c>
      <c r="B32393" s="4" t="s">
        <v>40780</v>
      </c>
      <c r="C32393" s="5" t="str">
        <f>IFERROR(__xludf.DUMMYFUNCTION("GOOGLETRANSLATE(B32393,""en"",""zh-CN"")"),"在演示时，他的鞋子穿着鞋子在冰上行走似乎很专业。")</f>
        <v>在演示时，他的鞋子穿着鞋子在冰上行走似乎很专业。</v>
      </c>
    </row>
    <row r="32394">
      <c r="A32394" s="4" t="s">
        <v>40781</v>
      </c>
      <c r="B32394" s="4" t="s">
        <v>40782</v>
      </c>
      <c r="C32394" s="5" t="str">
        <f>IFERROR(__xludf.DUMMYFUNCTION("GOOGLETRANSLATE(B32394,""en"",""zh-CN"")"),"可以看到一个金属双水槽的特写镜头。")</f>
        <v>可以看到一个金属双水槽的特写镜头。</v>
      </c>
    </row>
    <row r="32395">
      <c r="A32395" s="4" t="s">
        <v>40781</v>
      </c>
      <c r="B32395" s="4" t="s">
        <v>40783</v>
      </c>
      <c r="C32395" s="5" t="str">
        <f>IFERROR(__xludf.DUMMYFUNCTION("GOOGLETRANSLATE(B32395,""en"",""zh-CN"")"),"然后，我们看到两个碗上有粉末和一个切成石灰。")</f>
        <v>然后，我们看到两个碗上有粉末和一个切成石灰。</v>
      </c>
    </row>
    <row r="32396">
      <c r="A32396" s="4" t="s">
        <v>40781</v>
      </c>
      <c r="B32396" s="6" t="s">
        <v>40784</v>
      </c>
      <c r="C32396" s="5" t="str">
        <f>IFERROR(__xludf.DUMMYFUNCTION("GOOGLETRANSLATE(B32396,""en"",""zh-CN"")"),"女人使用浸入粉末的石灰擦洗，然后将水槽干燥，然后再干燥，炫耀一个完美的干净水槽。")</f>
        <v>女人使用浸入粉末的石灰擦洗，然后将水槽干燥，然后再干燥，炫耀一个完美的干净水槽。</v>
      </c>
    </row>
    <row r="32397">
      <c r="A32397" s="4" t="s">
        <v>40785</v>
      </c>
      <c r="B32397" s="4" t="s">
        <v>40786</v>
      </c>
      <c r="C32397" s="5" t="str">
        <f>IFERROR(__xludf.DUMMYFUNCTION("GOOGLETRANSLATE(B32397,""en"",""zh-CN"")"),"一个人正在用白布组装自行车。")</f>
        <v>一个人正在用白布组装自行车。</v>
      </c>
    </row>
    <row r="32398">
      <c r="A32398" s="4" t="s">
        <v>40785</v>
      </c>
      <c r="B32398" s="4" t="s">
        <v>40787</v>
      </c>
      <c r="C32398" s="5" t="str">
        <f>IFERROR(__xludf.DUMMYFUNCTION("GOOGLETRANSLATE(B32398,""en"",""zh-CN"")"),"他们戴上蓝色围裙和手套。")</f>
        <v>他们戴上蓝色围裙和手套。</v>
      </c>
    </row>
    <row r="32399">
      <c r="A32399" s="4" t="s">
        <v>40785</v>
      </c>
      <c r="B32399" s="4" t="s">
        <v>40788</v>
      </c>
      <c r="C32399" s="5" t="str">
        <f>IFERROR(__xludf.DUMMYFUNCTION("GOOGLETRANSLATE(B32399,""en"",""zh-CN"")"),"他们将手柄杆放在自行车上。")</f>
        <v>他们将手柄杆放在自行车上。</v>
      </c>
    </row>
    <row r="32400">
      <c r="A32400" s="4" t="s">
        <v>40789</v>
      </c>
      <c r="B32400" s="4" t="s">
        <v>40790</v>
      </c>
      <c r="C32400" s="5" t="str">
        <f>IFERROR(__xludf.DUMMYFUNCTION("GOOGLETRANSLATE(B32400,""en"",""zh-CN"")"),"两名男子正在海上骑自行车，而大浪在他们身后。")</f>
        <v>两名男子正在海上骑自行车，而大浪在他们身后。</v>
      </c>
    </row>
    <row r="32401">
      <c r="A32401" s="4" t="s">
        <v>40789</v>
      </c>
      <c r="B32401" s="4" t="s">
        <v>40791</v>
      </c>
      <c r="C32401" s="5" t="str">
        <f>IFERROR(__xludf.DUMMYFUNCTION("GOOGLETRANSLATE(B32401,""en"",""zh-CN"")"),"许多人在海上大浪冲浪和城市都在背景中。")</f>
        <v>许多人在海上大浪冲浪和城市都在背景中。</v>
      </c>
    </row>
    <row r="32402">
      <c r="A32402" s="4" t="s">
        <v>40792</v>
      </c>
      <c r="B32402" s="4" t="s">
        <v>40793</v>
      </c>
      <c r="C32402" s="5" t="str">
        <f>IFERROR(__xludf.DUMMYFUNCTION("GOOGLETRANSLATE(B32402,""en"",""zh-CN"")"),"看到一只狗在院子里徘徊，还有一个男人在相机上说话。")</f>
        <v>看到一只狗在院子里徘徊，还有一个男人在相机上说话。</v>
      </c>
    </row>
    <row r="32403">
      <c r="A32403" s="4" t="s">
        <v>40792</v>
      </c>
      <c r="B32403" s="4" t="s">
        <v>40794</v>
      </c>
      <c r="C32403" s="5" t="str">
        <f>IFERROR(__xludf.DUMMYFUNCTION("GOOGLETRANSLATE(B32403,""en"",""zh-CN"")"),"当男人继续与镜头说话时，狗在该地区移动。")</f>
        <v>当男人继续与镜头说话时，狗在该地区移动。</v>
      </c>
    </row>
    <row r="32404">
      <c r="A32404" s="4" t="s">
        <v>40792</v>
      </c>
      <c r="B32404" s="4" t="s">
        <v>40795</v>
      </c>
      <c r="C32404" s="5" t="str">
        <f>IFERROR(__xludf.DUMMYFUNCTION("GOOGLETRANSLATE(B32404,""en"",""zh-CN"")"),"狗向后跑第四，而相机放大了他的脸。")</f>
        <v>狗向后跑第四，而相机放大了他的脸。</v>
      </c>
    </row>
    <row r="32405">
      <c r="A32405" s="4" t="s">
        <v>40796</v>
      </c>
      <c r="B32405" s="4" t="s">
        <v>40797</v>
      </c>
      <c r="C32405" s="5" t="str">
        <f>IFERROR(__xludf.DUMMYFUNCTION("GOOGLETRANSLATE(B32405,""en"",""zh-CN"")"),"展示了一个女人的眼睛。")</f>
        <v>展示了一个女人的眼睛。</v>
      </c>
    </row>
    <row r="32406">
      <c r="A32406" s="4" t="s">
        <v>40796</v>
      </c>
      <c r="B32406" s="4" t="s">
        <v>40798</v>
      </c>
      <c r="C32406" s="5" t="str">
        <f>IFERROR(__xludf.DUMMYFUNCTION("GOOGLETRANSLATE(B32406,""en"",""zh-CN"")"),"她坐在一块岩石上，然后骑自行车，然后装饰水肺齿轮。")</f>
        <v>她坐在一块岩石上，然后骑自行车，然后装饰水肺齿轮。</v>
      </c>
    </row>
    <row r="32407">
      <c r="A32407" s="4" t="s">
        <v>40796</v>
      </c>
      <c r="B32407" s="4" t="s">
        <v>40799</v>
      </c>
      <c r="C32407" s="5" t="str">
        <f>IFERROR(__xludf.DUMMYFUNCTION("GOOGLETRANSLATE(B32407,""en"",""zh-CN"")"),"她潜水，与热带鱼和护理鲨一起游泳。")</f>
        <v>她潜水，与热带鱼和护理鲨一起游泳。</v>
      </c>
    </row>
    <row r="32408">
      <c r="A32408" s="4" t="s">
        <v>40796</v>
      </c>
      <c r="B32408" s="4" t="s">
        <v>40800</v>
      </c>
      <c r="C32408" s="5" t="str">
        <f>IFERROR(__xludf.DUMMYFUNCTION("GOOGLETRANSLATE(B32408,""en"",""zh-CN"")"),"终于向她展示了戴太阳镜，微笑着大笑。")</f>
        <v>终于向她展示了戴太阳镜，微笑着大笑。</v>
      </c>
    </row>
    <row r="32409">
      <c r="A32409" s="4" t="s">
        <v>40801</v>
      </c>
      <c r="B32409" s="4" t="s">
        <v>40802</v>
      </c>
      <c r="C32409" s="5" t="str">
        <f>IFERROR(__xludf.DUMMYFUNCTION("GOOGLETRANSLATE(B32409,""en"",""zh-CN"")"),"一个人拿着焊接设备并在显示其工作区域的同时对其进行调整。")</f>
        <v>一个人拿着焊接设备并在显示其工作区域的同时对其进行调整。</v>
      </c>
    </row>
    <row r="32410">
      <c r="A32410" s="4" t="s">
        <v>40801</v>
      </c>
      <c r="B32410" s="4" t="s">
        <v>40803</v>
      </c>
      <c r="C32410" s="5" t="str">
        <f>IFERROR(__xludf.DUMMYFUNCTION("GOOGLETRANSLATE(B32410,""en"",""zh-CN"")"),"焊机被固定在钢板上，并缓慢移动。")</f>
        <v>焊机被固定在钢板上，并缓慢移动。</v>
      </c>
    </row>
    <row r="32411">
      <c r="A32411" s="4" t="s">
        <v>40801</v>
      </c>
      <c r="B32411" s="4" t="s">
        <v>40804</v>
      </c>
      <c r="C32411" s="5" t="str">
        <f>IFERROR(__xludf.DUMMYFUNCTION("GOOGLETRANSLATE(B32411,""en"",""zh-CN"")"),"该男子将焊工拉到铜色的金属上。")</f>
        <v>该男子将焊工拉到铜色的金属上。</v>
      </c>
    </row>
    <row r="32412">
      <c r="A32412" s="4" t="s">
        <v>40801</v>
      </c>
      <c r="B32412" s="4" t="s">
        <v>40805</v>
      </c>
      <c r="C32412" s="5" t="str">
        <f>IFERROR(__xludf.DUMMYFUNCTION("GOOGLETRANSLATE(B32412,""en"",""zh-CN"")"),"该男子放下他的脸部护卫，并在一块金属上焊接一席之地。")</f>
        <v>该男子放下他的脸部护卫，并在一块金属上焊接一席之地。</v>
      </c>
    </row>
    <row r="32413">
      <c r="A32413" s="4" t="s">
        <v>40801</v>
      </c>
      <c r="B32413" s="4" t="s">
        <v>40806</v>
      </c>
      <c r="C32413" s="5" t="str">
        <f>IFERROR(__xludf.DUMMYFUNCTION("GOOGLETRANSLATE(B32413,""en"",""zh-CN"")"),"该男子停下来休息。")</f>
        <v>该男子停下来休息。</v>
      </c>
    </row>
    <row r="32414">
      <c r="A32414" s="4" t="s">
        <v>40801</v>
      </c>
      <c r="B32414" s="4" t="s">
        <v>40807</v>
      </c>
      <c r="C32414" s="5" t="str">
        <f>IFERROR(__xludf.DUMMYFUNCTION("GOOGLETRANSLATE(B32414,""en"",""zh-CN"")"),"该男子将一条线焊接成一块材料。")</f>
        <v>该男子将一条线焊接成一块材料。</v>
      </c>
    </row>
    <row r="32415">
      <c r="A32415" s="4" t="s">
        <v>40801</v>
      </c>
      <c r="B32415" s="4" t="s">
        <v>40808</v>
      </c>
      <c r="C32415" s="5" t="str">
        <f>IFERROR(__xludf.DUMMYFUNCTION("GOOGLETRANSLATE(B32415,""en"",""zh-CN"")"),"该男子在金属棒上握住锤子凿，并从一些碎片上碎片。")</f>
        <v>该男子在金属棒上握住锤子凿，并从一些碎片上碎片。</v>
      </c>
    </row>
    <row r="32416">
      <c r="A32416" s="4" t="s">
        <v>40801</v>
      </c>
      <c r="B32416" s="4" t="s">
        <v>40809</v>
      </c>
      <c r="C32416" s="5" t="str">
        <f>IFERROR(__xludf.DUMMYFUNCTION("GOOGLETRANSLATE(B32416,""en"",""zh-CN"")"),"该男子使用钢丝刷清洁金属。")</f>
        <v>该男子使用钢丝刷清洁金属。</v>
      </c>
    </row>
    <row r="32417">
      <c r="A32417" s="4" t="s">
        <v>40810</v>
      </c>
      <c r="B32417" s="4" t="s">
        <v>40811</v>
      </c>
      <c r="C32417" s="5" t="str">
        <f>IFERROR(__xludf.DUMMYFUNCTION("GOOGLETRANSLATE(B32417,""en"",""zh-CN"")"),"一个女孩坐着抽烟。")</f>
        <v>一个女孩坐着抽烟。</v>
      </c>
    </row>
    <row r="32418">
      <c r="A32418" s="4" t="s">
        <v>40810</v>
      </c>
      <c r="B32418" s="4" t="s">
        <v>40812</v>
      </c>
      <c r="C32418" s="5" t="str">
        <f>IFERROR(__xludf.DUMMYFUNCTION("GOOGLETRANSLATE(B32418,""en"",""zh-CN"")"),"约翰尼·卡什（Johnny Cash）在后台玩耍，手里拿着一杯饮料。")</f>
        <v>约翰尼·卡什（Johnny Cash）在后台玩耍，手里拿着一杯饮料。</v>
      </c>
    </row>
    <row r="32419">
      <c r="A32419" s="4" t="s">
        <v>40810</v>
      </c>
      <c r="B32419" s="4" t="s">
        <v>40813</v>
      </c>
      <c r="C32419" s="5" t="str">
        <f>IFERROR(__xludf.DUMMYFUNCTION("GOOGLETRANSLATE(B32419,""en"",""zh-CN"")"),"她凝视着镜头，一边抽烟。")</f>
        <v>她凝视着镜头，一边抽烟。</v>
      </c>
    </row>
    <row r="32420">
      <c r="A32420" s="4" t="s">
        <v>40810</v>
      </c>
      <c r="B32420" s="4" t="s">
        <v>40814</v>
      </c>
      <c r="C32420" s="5" t="str">
        <f>IFERROR(__xludf.DUMMYFUNCTION("GOOGLETRANSLATE(B32420,""en"",""zh-CN"")"),"她看着相机时稍微修理了头发。")</f>
        <v>她看着相机时稍微修理了头发。</v>
      </c>
    </row>
    <row r="32421">
      <c r="A32421" s="4" t="s">
        <v>40810</v>
      </c>
      <c r="B32421" s="4" t="s">
        <v>40815</v>
      </c>
      <c r="C32421" s="5" t="str">
        <f>IFERROR(__xludf.DUMMYFUNCTION("GOOGLETRANSLATE(B32421,""en"",""zh-CN"")"),"她微笑着镜头，靠近。")</f>
        <v>她微笑着镜头，靠近。</v>
      </c>
    </row>
    <row r="32422">
      <c r="A32422" s="4" t="s">
        <v>40816</v>
      </c>
      <c r="B32422" s="6" t="s">
        <v>40817</v>
      </c>
      <c r="C32422" s="5" t="str">
        <f>IFERROR(__xludf.DUMMYFUNCTION("GOOGLETRANSLATE(B32422,""en"",""zh-CN"")"),"一个女人站在带有婴儿产品的桌子的前面，然后女​​人卷起尿布，并用丝带放置圆形容器。")</f>
        <v>一个女人站在带有婴儿产品的桌子的前面，然后女​​人卷起尿布，并用丝带放置圆形容器。</v>
      </c>
    </row>
    <row r="32423">
      <c r="A32423" s="4" t="s">
        <v>40816</v>
      </c>
      <c r="B32423" s="4" t="s">
        <v>40818</v>
      </c>
      <c r="C32423" s="5" t="str">
        <f>IFERROR(__xludf.DUMMYFUNCTION("GOOGLETRANSLATE(B32423,""en"",""zh-CN"")"),"之后，女人将尿布放在带有缎带的折叠毛巾上。")</f>
        <v>之后，女人将尿布放在带有缎带的折叠毛巾上。</v>
      </c>
    </row>
    <row r="32424">
      <c r="A32424" s="4" t="s">
        <v>40816</v>
      </c>
      <c r="B32424" s="6" t="s">
        <v>40819</v>
      </c>
      <c r="C32424" s="5" t="str">
        <f>IFERROR(__xludf.DUMMYFUNCTION("GOOGLETRANSLATE(B32424,""en"",""zh-CN"")"),"接下来，该名女子用婴儿产品填充圆形容器，并放在毛巾，毛绒和瓶子上。")</f>
        <v>接下来，该名女子用婴儿产品填充圆形容器，并放在毛巾，毛绒和瓶子上。</v>
      </c>
    </row>
    <row r="32425">
      <c r="A32425" s="4" t="s">
        <v>40820</v>
      </c>
      <c r="B32425" s="4" t="s">
        <v>40821</v>
      </c>
      <c r="C32425" s="5" t="str">
        <f>IFERROR(__xludf.DUMMYFUNCTION("GOOGLETRANSLATE(B32425,""en"",""zh-CN"")"),"一个男孩捡起保龄球，跑到车道上。")</f>
        <v>一个男孩捡起保龄球，跑到车道上。</v>
      </c>
    </row>
    <row r="32426">
      <c r="A32426" s="4" t="s">
        <v>40820</v>
      </c>
      <c r="B32426" s="4" t="s">
        <v>40822</v>
      </c>
      <c r="C32426" s="5" t="str">
        <f>IFERROR(__xludf.DUMMYFUNCTION("GOOGLETRANSLATE(B32426,""en"",""zh-CN"")"),"他在最后跳入别针。")</f>
        <v>他在最后跳入别针。</v>
      </c>
    </row>
    <row r="32427">
      <c r="A32427" s="4" t="s">
        <v>40820</v>
      </c>
      <c r="B32427" s="4" t="s">
        <v>40823</v>
      </c>
      <c r="C32427" s="5" t="str">
        <f>IFERROR(__xludf.DUMMYFUNCTION("GOOGLETRANSLATE(B32427,""en"",""zh-CN"")"),"他跑回车道上。")</f>
        <v>他跑回车道上。</v>
      </c>
    </row>
    <row r="32428">
      <c r="A32428" s="4" t="s">
        <v>40824</v>
      </c>
      <c r="B32428" s="6" t="s">
        <v>40825</v>
      </c>
      <c r="C32428" s="5" t="str">
        <f>IFERROR(__xludf.DUMMYFUNCTION("GOOGLETRANSLATE(B32428,""en"",""zh-CN"")"),"一个穿着黑色和面具的男人在一个公共场所演奏和乐器中，在中间和小键盘上，外面有袋子。")</f>
        <v>一个穿着黑色和面具的男人在一个公共场所演奏和乐器中，在中间和小键盘上，外面有袋子。</v>
      </c>
    </row>
    <row r="32429">
      <c r="A32429" s="4" t="s">
        <v>40824</v>
      </c>
      <c r="B32429" s="4" t="s">
        <v>40826</v>
      </c>
      <c r="C32429" s="5" t="str">
        <f>IFERROR(__xludf.DUMMYFUNCTION("GOOGLETRANSLATE(B32429,""en"",""zh-CN"")"),"当他玩耍时，多人继续生活。")</f>
        <v>当他玩耍时，多人继续生活。</v>
      </c>
    </row>
    <row r="32430">
      <c r="A32430" s="4" t="s">
        <v>40824</v>
      </c>
      <c r="B32430" s="4" t="s">
        <v>40827</v>
      </c>
      <c r="C32430" s="5" t="str">
        <f>IFERROR(__xludf.DUMMYFUNCTION("GOOGLETRANSLATE(B32430,""en"",""zh-CN"")"),"他们都没有承认他，而HI前面的帽子仍然空着。")</f>
        <v>他们都没有承认他，而HI前面的帽子仍然空着。</v>
      </c>
    </row>
    <row r="32431">
      <c r="A32431" s="4" t="s">
        <v>40828</v>
      </c>
      <c r="B32431" s="4" t="s">
        <v>40829</v>
      </c>
      <c r="C32431" s="5" t="str">
        <f>IFERROR(__xludf.DUMMYFUNCTION("GOOGLETRANSLATE(B32431,""en"",""zh-CN"")"),"两个持有绒球的女孩在体育馆里表演了舞蹈例程。")</f>
        <v>两个持有绒球的女孩在体育馆里表演了舞蹈例程。</v>
      </c>
    </row>
    <row r="32432">
      <c r="A32432" s="4" t="s">
        <v>40828</v>
      </c>
      <c r="B32432" s="6" t="s">
        <v>40830</v>
      </c>
      <c r="C32432" s="5" t="str">
        <f>IFERROR(__xludf.DUMMYFUNCTION("GOOGLETRANSLATE(B32432,""en"",""zh-CN"")"),"在女孩继续进行灵活的动作时，有几个人在背景中观看。")</f>
        <v>在女孩继续进行灵活的动作时，有几个人在背景中观看。</v>
      </c>
    </row>
    <row r="32433">
      <c r="A32433" s="4" t="s">
        <v>40828</v>
      </c>
      <c r="B32433" s="6" t="s">
        <v>40831</v>
      </c>
      <c r="C32433" s="5" t="str">
        <f>IFERROR(__xludf.DUMMYFUNCTION("GOOGLETRANSLATE(B32433,""en"",""zh-CN"")"),"grak徒并继续旋转拐杖，同时进行分裂和其他各种舞蹈动作。")</f>
        <v>grak徒并继续旋转拐杖，同时进行分裂和其他各种舞蹈动作。</v>
      </c>
    </row>
    <row r="32434">
      <c r="A32434" s="4" t="s">
        <v>40832</v>
      </c>
      <c r="B32434" s="4" t="s">
        <v>40833</v>
      </c>
      <c r="C32434" s="5" t="str">
        <f>IFERROR(__xludf.DUMMYFUNCTION("GOOGLETRANSLATE(B32434,""en"",""zh-CN"")"),"一个穿着工作服的女人正在和镜头说话。")</f>
        <v>一个穿着工作服的女人正在和镜头说话。</v>
      </c>
    </row>
    <row r="32435">
      <c r="A32435" s="4" t="s">
        <v>40832</v>
      </c>
      <c r="B32435" s="4" t="s">
        <v>40834</v>
      </c>
      <c r="C32435" s="5" t="str">
        <f>IFERROR(__xludf.DUMMYFUNCTION("GOOGLETRANSLATE(B32435,""en"",""zh-CN"")"),"她放了包装纸，展示了如何包裹玩具。")</f>
        <v>她放了包装纸，展示了如何包裹玩具。</v>
      </c>
    </row>
    <row r="32436">
      <c r="A32436" s="4" t="s">
        <v>40832</v>
      </c>
      <c r="B32436" s="4" t="s">
        <v>40835</v>
      </c>
      <c r="C32436" s="5" t="str">
        <f>IFERROR(__xludf.DUMMYFUNCTION("GOOGLETRANSLATE(B32436,""en"",""zh-CN"")"),"她将其包裹在玩具上，然后将其贴上贴胶带。")</f>
        <v>她将其包裹在玩具上，然后将其贴上贴胶带。</v>
      </c>
    </row>
    <row r="32437">
      <c r="A32437" s="4" t="s">
        <v>40836</v>
      </c>
      <c r="B32437" s="4" t="s">
        <v>40837</v>
      </c>
      <c r="C32437" s="5" t="str">
        <f>IFERROR(__xludf.DUMMYFUNCTION("GOOGLETRANSLATE(B32437,""en"",""zh-CN"")"),"我们看到一位女士在水槽里洗了一条白毛巾。")</f>
        <v>我们看到一位女士在水槽里洗了一条白毛巾。</v>
      </c>
    </row>
    <row r="32438">
      <c r="A32438" s="4" t="s">
        <v>40836</v>
      </c>
      <c r="B32438" s="4" t="s">
        <v>40838</v>
      </c>
      <c r="C32438" s="5" t="str">
        <f>IFERROR(__xludf.DUMMYFUNCTION("GOOGLETRANSLATE(B32438,""en"",""zh-CN"")"),"女士将毛巾抬起。")</f>
        <v>女士将毛巾抬起。</v>
      </c>
    </row>
    <row r="32439">
      <c r="A32439" s="4" t="s">
        <v>40836</v>
      </c>
      <c r="B32439" s="4" t="s">
        <v>40839</v>
      </c>
      <c r="C32439" s="5" t="str">
        <f>IFERROR(__xludf.DUMMYFUNCTION("GOOGLETRANSLATE(B32439,""en"",""zh-CN"")"),"那位女士从地板上捡起东西。")</f>
        <v>那位女士从地板上捡起东西。</v>
      </c>
    </row>
    <row r="32440">
      <c r="A32440" s="4" t="s">
        <v>40836</v>
      </c>
      <c r="B32440" s="4" t="s">
        <v>40840</v>
      </c>
      <c r="C32440" s="5" t="str">
        <f>IFERROR(__xludf.DUMMYFUNCTION("GOOGLETRANSLATE(B32440,""en"",""zh-CN"")"),"那位女士将水槽里的毛巾缠住了。")</f>
        <v>那位女士将水槽里的毛巾缠住了。</v>
      </c>
    </row>
    <row r="32441">
      <c r="A32441" s="4" t="s">
        <v>40836</v>
      </c>
      <c r="B32441" s="4" t="s">
        <v>40841</v>
      </c>
      <c r="C32441" s="5" t="str">
        <f>IFERROR(__xludf.DUMMYFUNCTION("GOOGLETRANSLATE(B32441,""en"",""zh-CN"")"),"那位女士然后走开。")</f>
        <v>那位女士然后走开。</v>
      </c>
    </row>
    <row r="32442">
      <c r="A32442" s="4" t="s">
        <v>40842</v>
      </c>
      <c r="B32442" s="4" t="s">
        <v>40843</v>
      </c>
      <c r="C32442" s="5" t="str">
        <f>IFERROR(__xludf.DUMMYFUNCTION("GOOGLETRANSLATE(B32442,""en"",""zh-CN"")"),"我们看到带有介绍的黑屏。")</f>
        <v>我们看到带有介绍的黑屏。</v>
      </c>
    </row>
    <row r="32443">
      <c r="A32443" s="4" t="s">
        <v>40842</v>
      </c>
      <c r="B32443" s="4" t="s">
        <v>40844</v>
      </c>
      <c r="C32443" s="5" t="str">
        <f>IFERROR(__xludf.DUMMYFUNCTION("GOOGLETRANSLATE(B32443,""en"",""zh-CN"")"),"我们看到人们用蓝色的鼓声。")</f>
        <v>我们看到人们用蓝色的鼓声。</v>
      </c>
    </row>
    <row r="32444">
      <c r="A32444" s="4" t="s">
        <v>40842</v>
      </c>
      <c r="B32444" s="4" t="s">
        <v>40845</v>
      </c>
      <c r="C32444" s="5" t="str">
        <f>IFERROR(__xludf.DUMMYFUNCTION("GOOGLETRANSLATE(B32444,""en"",""zh-CN"")"),"出现标题屏幕，我们看到另一个团队。")</f>
        <v>出现标题屏幕，我们看到另一个团队。</v>
      </c>
    </row>
    <row r="32445">
      <c r="A32445" s="4" t="s">
        <v>40842</v>
      </c>
      <c r="B32445" s="4" t="s">
        <v>40846</v>
      </c>
      <c r="C32445" s="5" t="str">
        <f>IFERROR(__xludf.DUMMYFUNCTION("GOOGLETRANSLATE(B32445,""en"",""zh-CN"")"),"另一个标题屏幕和一个有男人跳丝带的团队。")</f>
        <v>另一个标题屏幕和一个有男人跳丝带的团队。</v>
      </c>
    </row>
    <row r="32446">
      <c r="A32446" s="4" t="s">
        <v>40842</v>
      </c>
      <c r="B32446" s="4" t="s">
        <v>40847</v>
      </c>
      <c r="C32446" s="5" t="str">
        <f>IFERROR(__xludf.DUMMYFUNCTION("GOOGLETRANSLATE(B32446,""en"",""zh-CN"")"),"标题出现了两次，我们看到了一个红色团队。")</f>
        <v>标题出现了两次，我们看到了一个红色团队。</v>
      </c>
    </row>
    <row r="32447">
      <c r="A32447" s="4" t="s">
        <v>40842</v>
      </c>
      <c r="B32447" s="4" t="s">
        <v>40848</v>
      </c>
      <c r="C32447" s="5" t="str">
        <f>IFERROR(__xludf.DUMMYFUNCTION("GOOGLETRANSLATE(B32447,""en"",""zh-CN"")"),"标题屏幕返回，我们看到一支紫色的团队。")</f>
        <v>标题屏幕返回，我们看到一支紫色的团队。</v>
      </c>
    </row>
    <row r="32448">
      <c r="A32448" s="4" t="s">
        <v>40842</v>
      </c>
      <c r="B32448" s="4" t="s">
        <v>40849</v>
      </c>
      <c r="C32448" s="5" t="str">
        <f>IFERROR(__xludf.DUMMYFUNCTION("GOOGLETRANSLATE(B32448,""en"",""zh-CN"")"),"标题返回3次，人们在户外练习。")</f>
        <v>标题返回3次，人们在户外练习。</v>
      </c>
    </row>
    <row r="32449">
      <c r="A32449" s="4" t="s">
        <v>40842</v>
      </c>
      <c r="B32449" s="4" t="s">
        <v>40850</v>
      </c>
      <c r="C32449" s="5" t="str">
        <f>IFERROR(__xludf.DUMMYFUNCTION("GOOGLETRANSLATE(B32449,""en"",""zh-CN"")"),"我们看到人们在人群面前表演。")</f>
        <v>我们看到人们在人群面前表演。</v>
      </c>
    </row>
    <row r="32450">
      <c r="A32450" s="4" t="s">
        <v>40842</v>
      </c>
      <c r="B32450" s="4" t="s">
        <v>40851</v>
      </c>
      <c r="C32450" s="5" t="str">
        <f>IFERROR(__xludf.DUMMYFUNCTION("GOOGLETRANSLATE(B32450,""en"",""zh-CN"")"),"我们看到了一堆团队的快速镜头，然后是结尾屏幕。")</f>
        <v>我们看到了一堆团队的快速镜头，然后是结尾屏幕。</v>
      </c>
    </row>
    <row r="32451">
      <c r="A32451" s="4" t="s">
        <v>40852</v>
      </c>
      <c r="B32451" s="4" t="s">
        <v>40853</v>
      </c>
      <c r="C32451" s="5" t="str">
        <f>IFERROR(__xludf.DUMMYFUNCTION("GOOGLETRANSLATE(B32451,""en"",""zh-CN"")"),"一匹马上的牛仔从大门释放。")</f>
        <v>一匹马上的牛仔从大门释放。</v>
      </c>
    </row>
    <row r="32452">
      <c r="A32452" s="4" t="s">
        <v>40852</v>
      </c>
      <c r="B32452" s="4" t="s">
        <v>40854</v>
      </c>
      <c r="C32452" s="5" t="str">
        <f>IFERROR(__xludf.DUMMYFUNCTION("GOOGLETRANSLATE(B32452,""en"",""zh-CN"")"),"他抚养小牛。")</f>
        <v>他抚养小牛。</v>
      </c>
    </row>
    <row r="32453">
      <c r="A32453" s="4" t="s">
        <v>40852</v>
      </c>
      <c r="B32453" s="4" t="s">
        <v>40855</v>
      </c>
      <c r="C32453" s="5" t="str">
        <f>IFERROR(__xludf.DUMMYFUNCTION("GOOGLETRANSLATE(B32453,""en"",""zh-CN"")"),"他下马，然后绑起小牛。")</f>
        <v>他下马，然后绑起小牛。</v>
      </c>
    </row>
    <row r="32454">
      <c r="A32454" s="4" t="s">
        <v>40856</v>
      </c>
      <c r="B32454" s="4" t="s">
        <v>40857</v>
      </c>
      <c r="C32454" s="5" t="str">
        <f>IFERROR(__xludf.DUMMYFUNCTION("GOOGLETRANSLATE(B32454,""en"",""zh-CN"")"),"看到几个人在一个黑暗的城市中徘徊，脚上戴着高跷走路。")</f>
        <v>看到几个人在一个黑暗的城市中徘徊，脚上戴着高跷走路。</v>
      </c>
    </row>
    <row r="32455">
      <c r="A32455" s="4" t="s">
        <v>40856</v>
      </c>
      <c r="B32455" s="6" t="s">
        <v>40858</v>
      </c>
      <c r="C32455" s="5" t="str">
        <f>IFERROR(__xludf.DUMMYFUNCTION("GOOGLETRANSLATE(B32455,""en"",""zh-CN"")"),"人们继续挥舞着相机并坐在地上，继续走在高跷上。")</f>
        <v>人们继续挥舞着相机并坐在地上，继续走在高跷上。</v>
      </c>
    </row>
    <row r="32456">
      <c r="A32456" s="4" t="s">
        <v>40859</v>
      </c>
      <c r="B32456" s="4" t="s">
        <v>40860</v>
      </c>
      <c r="C32456" s="5" t="str">
        <f>IFERROR(__xludf.DUMMYFUNCTION("GOOGLETRANSLATE(B32456,""en"",""zh-CN"")"),"一个男人坐在钢琴上，他扮演时看上去很困惑和一位老女人看着。")</f>
        <v>一个男人坐在钢琴上，他扮演时看上去很困惑和一位老女人看着。</v>
      </c>
    </row>
    <row r="32457">
      <c r="A32457" s="4" t="s">
        <v>40859</v>
      </c>
      <c r="B32457" s="4" t="s">
        <v>40861</v>
      </c>
      <c r="C32457" s="5" t="str">
        <f>IFERROR(__xludf.DUMMYFUNCTION("GOOGLETRANSLATE(B32457,""en"",""zh-CN"")"),"在她站立时，他加快了比赛的速度。")</f>
        <v>在她站立时，他加快了比赛的速度。</v>
      </c>
    </row>
    <row r="32458">
      <c r="A32458" s="4" t="s">
        <v>40859</v>
      </c>
      <c r="B32458" s="4" t="s">
        <v>40862</v>
      </c>
      <c r="C32458" s="5" t="str">
        <f>IFERROR(__xludf.DUMMYFUNCTION("GOOGLETRANSLATE(B32458,""en"",""zh-CN"")"),"观众看上去很困惑和逗乐，跳舞到位。")</f>
        <v>观众看上去很困惑和逗乐，跳舞到位。</v>
      </c>
    </row>
    <row r="32459">
      <c r="A32459" s="4" t="s">
        <v>40859</v>
      </c>
      <c r="B32459" s="4" t="s">
        <v>40863</v>
      </c>
      <c r="C32459" s="5" t="str">
        <f>IFERROR(__xludf.DUMMYFUNCTION("GOOGLETRANSLATE(B32459,""en"",""zh-CN"")"),"人们起身跳舞音乐。")</f>
        <v>人们起身跳舞音乐。</v>
      </c>
    </row>
    <row r="32460">
      <c r="A32460" s="4" t="s">
        <v>40859</v>
      </c>
      <c r="B32460" s="4" t="s">
        <v>40864</v>
      </c>
      <c r="C32460" s="5" t="str">
        <f>IFERROR(__xludf.DUMMYFUNCTION("GOOGLETRANSLATE(B32460,""en"",""zh-CN"")"),"然后，他用手臂在女人的手臂上走开。")</f>
        <v>然后，他用手臂在女人的手臂上走开。</v>
      </c>
    </row>
    <row r="32461">
      <c r="A32461" s="4" t="s">
        <v>40865</v>
      </c>
      <c r="B32461" s="4" t="s">
        <v>40866</v>
      </c>
      <c r="C32461" s="5" t="str">
        <f>IFERROR(__xludf.DUMMYFUNCTION("GOOGLETRANSLATE(B32461,""en"",""zh-CN"")"),"一个女人在质朴的厨房里剥土豆。")</f>
        <v>一个女人在质朴的厨房里剥土豆。</v>
      </c>
    </row>
    <row r="32462">
      <c r="A32462" s="4" t="s">
        <v>40865</v>
      </c>
      <c r="B32462" s="4" t="s">
        <v>40867</v>
      </c>
      <c r="C32462" s="5" t="str">
        <f>IFERROR(__xludf.DUMMYFUNCTION("GOOGLETRANSLATE(B32462,""en"",""zh-CN"")"),"然后，女人拿另一个土豆，用刀将其剥离。")</f>
        <v>然后，女人拿另一个土豆，用刀将其剥离。</v>
      </c>
    </row>
    <row r="32463">
      <c r="A32463" s="4" t="s">
        <v>40865</v>
      </c>
      <c r="B32463" s="4" t="s">
        <v>40868</v>
      </c>
      <c r="C32463" s="5" t="str">
        <f>IFERROR(__xludf.DUMMYFUNCTION("GOOGLETRANSLATE(B32463,""en"",""zh-CN"")"),"之后，那个女人把土豆放在爱德兰。")</f>
        <v>之后，那个女人把土豆放在爱德兰。</v>
      </c>
    </row>
    <row r="32464">
      <c r="A32464" s="4" t="s">
        <v>40869</v>
      </c>
      <c r="B32464" s="4" t="s">
        <v>40870</v>
      </c>
      <c r="C32464" s="5" t="str">
        <f>IFERROR(__xludf.DUMMYFUNCTION("GOOGLETRANSLATE(B32464,""en"",""zh-CN"")"),"两个年轻人和一个男人玩游泳池用提示棒击中白球。")</f>
        <v>两个年轻人和一个男人玩游泳池用提示棒击中白球。</v>
      </c>
    </row>
    <row r="32465">
      <c r="A32465" s="4" t="s">
        <v>40869</v>
      </c>
      <c r="B32465" s="4" t="s">
        <v>40871</v>
      </c>
      <c r="C32465" s="5" t="str">
        <f>IFERROR(__xludf.DUMMYFUNCTION("GOOGLETRANSLATE(B32465,""en"",""zh-CN"")"),"那个年轻人击中那个降落在台球桌子口袋里的球。")</f>
        <v>那个年轻人击中那个降落在台球桌子口袋里的球。</v>
      </c>
    </row>
    <row r="32466">
      <c r="A32466" s="4" t="s">
        <v>40869</v>
      </c>
      <c r="B32466" s="4" t="s">
        <v>40872</v>
      </c>
      <c r="C32466" s="5" t="str">
        <f>IFERROR(__xludf.DUMMYFUNCTION("GOOGLETRANSLATE(B32466,""en"",""zh-CN"")"),"然后，该男子将球放在金属三角形中，并安排其他球。")</f>
        <v>然后，该男子将球放在金属三角形中，并安排其他球。</v>
      </c>
    </row>
    <row r="32467">
      <c r="A32467" s="4" t="s">
        <v>40869</v>
      </c>
      <c r="B32467" s="4" t="s">
        <v>40873</v>
      </c>
      <c r="C32467" s="5" t="str">
        <f>IFERROR(__xludf.DUMMYFUNCTION("GOOGLETRANSLATE(B32467,""en"",""zh-CN"")"),"之后，年轻人击中了白球，但用提示棍子直接将其停止。")</f>
        <v>之后，年轻人击中了白球，但用提示棍子直接将其停止。</v>
      </c>
    </row>
    <row r="32468">
      <c r="A32468" s="4" t="s">
        <v>40869</v>
      </c>
      <c r="B32468" s="4" t="s">
        <v>40874</v>
      </c>
      <c r="C32468" s="5" t="str">
        <f>IFERROR(__xludf.DUMMYFUNCTION("GOOGLETRANSLATE(B32468,""en"",""zh-CN"")"),"接下来，年轻人击中球，将白球送到口袋。")</f>
        <v>接下来，年轻人击中球，将白球送到口袋。</v>
      </c>
    </row>
    <row r="32469">
      <c r="A32469" s="4" t="s">
        <v>40869</v>
      </c>
      <c r="B32469" s="4" t="s">
        <v>40875</v>
      </c>
      <c r="C32469" s="5" t="str">
        <f>IFERROR(__xludf.DUMMYFUNCTION("GOOGLETRANSLATE(B32469,""en"",""zh-CN"")"),"该男子撞到一个白球，然后将球送入口袋。")</f>
        <v>该男子撞到一个白球，然后将球送入口袋。</v>
      </c>
    </row>
    <row r="32470">
      <c r="A32470" s="4" t="s">
        <v>40869</v>
      </c>
      <c r="B32470" s="4" t="s">
        <v>40876</v>
      </c>
      <c r="C32470" s="5" t="str">
        <f>IFERROR(__xludf.DUMMYFUNCTION("GOOGLETRANSLATE(B32470,""en"",""zh-CN"")"),"最后，年轻人将球放在金属三角形中。")</f>
        <v>最后，年轻人将球放在金属三角形中。</v>
      </c>
    </row>
    <row r="32471">
      <c r="A32471" s="4" t="s">
        <v>40877</v>
      </c>
      <c r="B32471" s="4" t="s">
        <v>40878</v>
      </c>
      <c r="C32471" s="5" t="str">
        <f>IFERROR(__xludf.DUMMYFUNCTION("GOOGLETRANSLATE(B32471,""en"",""zh-CN"")"),"三个女孩站在绿地板上，互相谈论一项运动。")</f>
        <v>三个女孩站在绿地板上，互相谈论一项运动。</v>
      </c>
    </row>
    <row r="32472">
      <c r="A32472" s="4" t="s">
        <v>40877</v>
      </c>
      <c r="B32472" s="6" t="s">
        <v>40879</v>
      </c>
      <c r="C32472" s="5" t="str">
        <f>IFERROR(__xludf.DUMMYFUNCTION("GOOGLETRANSLATE(B32472,""en"",""zh-CN"")"),"然后向一个人展示曲棍球，然后回来谈论她刚刚做的事情。")</f>
        <v>然后向一个人展示曲棍球，然后回来谈论她刚刚做的事情。</v>
      </c>
    </row>
    <row r="32473">
      <c r="A32473" s="4" t="s">
        <v>40877</v>
      </c>
      <c r="B32473" s="6" t="s">
        <v>40880</v>
      </c>
      <c r="C32473" s="5" t="str">
        <f>IFERROR(__xludf.DUMMYFUNCTION("GOOGLETRANSLATE(B32473,""en"",""zh-CN"")"),"接下来，他们探讨了捍卫球的正确方法，然后他们都开始一个人谈论这项运动。")</f>
        <v>接下来，他们探讨了捍卫球的正确方法，然后他们都开始一个人谈论这项运动。</v>
      </c>
    </row>
    <row r="32474">
      <c r="A32474" s="4" t="s">
        <v>40877</v>
      </c>
      <c r="B32474" s="6" t="s">
        <v>40881</v>
      </c>
      <c r="C32474" s="5" t="str">
        <f>IFERROR(__xludf.DUMMYFUNCTION("GOOGLETRANSLATE(B32474,""en"",""zh-CN"")"),"之后，出现一个屏幕，上面有一个问题：“如果游戏被绑在一起怎么办？”，这位年轻女士详细介绍了答案。")</f>
        <v>之后，出现一个屏幕，上面有一个问题：“如果游戏被绑在一起怎么办？”，这位年轻女士详细介绍了答案。</v>
      </c>
    </row>
    <row r="32475">
      <c r="A32475" s="4" t="s">
        <v>40877</v>
      </c>
      <c r="B32475" s="4" t="s">
        <v>40882</v>
      </c>
      <c r="C32475" s="5" t="str">
        <f>IFERROR(__xludf.DUMMYFUNCTION("GOOGLETRANSLATE(B32475,""en"",""zh-CN"")"),"最后，问题得到了回答，它们都回到了一起，结束了视频。")</f>
        <v>最后，问题得到了回答，它们都回到了一起，结束了视频。</v>
      </c>
    </row>
    <row r="32476">
      <c r="A32476" s="4" t="s">
        <v>40883</v>
      </c>
      <c r="B32476" s="4" t="s">
        <v>40884</v>
      </c>
      <c r="C32476" s="5" t="str">
        <f>IFERROR(__xludf.DUMMYFUNCTION("GOOGLETRANSLATE(B32476,""en"",""zh-CN"")"),"人们在室内游泳池里划独木舟。")</f>
        <v>人们在室内游泳池里划独木舟。</v>
      </c>
    </row>
    <row r="32477">
      <c r="A32477" s="4" t="s">
        <v>40883</v>
      </c>
      <c r="B32477" s="4" t="s">
        <v>40885</v>
      </c>
      <c r="C32477" s="5" t="str">
        <f>IFERROR(__xludf.DUMMYFUNCTION("GOOGLETRANSLATE(B32477,""en"",""zh-CN"")"),"一个男孩划独木舟。")</f>
        <v>一个男孩划独木舟。</v>
      </c>
    </row>
    <row r="32478">
      <c r="A32478" s="4" t="s">
        <v>40883</v>
      </c>
      <c r="B32478" s="4" t="s">
        <v>40886</v>
      </c>
      <c r="C32478" s="5" t="str">
        <f>IFERROR(__xludf.DUMMYFUNCTION("GOOGLETRANSLATE(B32478,""en"",""zh-CN"")"),"这个男孩靠在侧面，独木舟翻转了。")</f>
        <v>这个男孩靠在侧面，独木舟翻转了。</v>
      </c>
    </row>
    <row r="32479">
      <c r="A32479" s="4" t="s">
        <v>40883</v>
      </c>
      <c r="B32479" s="4" t="s">
        <v>40887</v>
      </c>
      <c r="C32479" s="5" t="str">
        <f>IFERROR(__xludf.DUMMYFUNCTION("GOOGLETRANSLATE(B32479,""en"",""zh-CN"")"),"男孩游泳到水面。")</f>
        <v>男孩游泳到水面。</v>
      </c>
    </row>
    <row r="32480">
      <c r="A32480" s="4" t="s">
        <v>40888</v>
      </c>
      <c r="B32480" s="4" t="s">
        <v>40889</v>
      </c>
      <c r="C32480" s="5" t="str">
        <f>IFERROR(__xludf.DUMMYFUNCTION("GOOGLETRANSLATE(B32480,""en"",""zh-CN"")"),"有人站在他的甲板上，上面覆盖着雪。")</f>
        <v>有人站在他的甲板上，上面覆盖着雪。</v>
      </c>
    </row>
    <row r="32481">
      <c r="A32481" s="4" t="s">
        <v>40888</v>
      </c>
      <c r="B32481" s="4" t="s">
        <v>40890</v>
      </c>
      <c r="C32481" s="5" t="str">
        <f>IFERROR(__xludf.DUMMYFUNCTION("GOOGLETRANSLATE(B32481,""en"",""zh-CN"")"),"他正准备进入甲板上的热水浴缸。")</f>
        <v>他正准备进入甲板上的热水浴缸。</v>
      </c>
    </row>
    <row r="32482">
      <c r="A32482" s="4" t="s">
        <v>40888</v>
      </c>
      <c r="B32482" s="4" t="s">
        <v>40891</v>
      </c>
      <c r="C32482" s="5" t="str">
        <f>IFERROR(__xludf.DUMMYFUNCTION("GOOGLETRANSLATE(B32482,""en"",""zh-CN"")"),"他赤脚穿过雪进入热水浴缸。")</f>
        <v>他赤脚穿过雪进入热水浴缸。</v>
      </c>
    </row>
    <row r="32483">
      <c r="A32483" s="4" t="s">
        <v>40888</v>
      </c>
      <c r="B32483" s="4" t="s">
        <v>40892</v>
      </c>
      <c r="C32483" s="5" t="str">
        <f>IFERROR(__xludf.DUMMYFUNCTION("GOOGLETRANSLATE(B32483,""en"",""zh-CN"")"),"他开始从甲板上铲下雪，使他更容易行走。")</f>
        <v>他开始从甲板上铲下雪，使他更容易行走。</v>
      </c>
    </row>
    <row r="32484">
      <c r="A32484" s="4" t="s">
        <v>40888</v>
      </c>
      <c r="B32484" s="4" t="s">
        <v>40893</v>
      </c>
      <c r="C32484" s="5" t="str">
        <f>IFERROR(__xludf.DUMMYFUNCTION("GOOGLETRANSLATE(B32484,""en"",""zh-CN"")"),"他从甲板上清除了雪，以创造通往热水浴缸的途径。")</f>
        <v>他从甲板上清除了雪，以创造通往热水浴缸的途径。</v>
      </c>
    </row>
    <row r="32485">
      <c r="A32485" s="4" t="s">
        <v>40894</v>
      </c>
      <c r="B32485" s="4" t="s">
        <v>40895</v>
      </c>
      <c r="C32485" s="5" t="str">
        <f>IFERROR(__xludf.DUMMYFUNCTION("GOOGLETRANSLATE(B32485,""en"",""zh-CN"")"),"显示了各种景观的镜头以及人们正在采访的人和其他人。")</f>
        <v>显示了各种景观的镜头以及人们正在采访的人和其他人。</v>
      </c>
    </row>
    <row r="32486">
      <c r="A32486" s="4" t="s">
        <v>40894</v>
      </c>
      <c r="B32486" s="6" t="s">
        <v>40896</v>
      </c>
      <c r="C32486" s="5" t="str">
        <f>IFERROR(__xludf.DUMMYFUNCTION("GOOGLETRANSLATE(B32486,""en"",""zh-CN"")"),"在海滩上展示了几张镜头，并导致人们在海滩上玩各种运动。")</f>
        <v>在海滩上展示了几张镜头，并导致人们在海滩上玩各种运动。</v>
      </c>
    </row>
    <row r="32487">
      <c r="A32487" s="4" t="s">
        <v>40894</v>
      </c>
      <c r="B32487" s="4" t="s">
        <v>40897</v>
      </c>
      <c r="C32487" s="5" t="str">
        <f>IFERROR(__xludf.DUMMYFUNCTION("GOOGLETRANSLATE(B32487,""en"",""zh-CN"")"),"人们反击和第四，而其他人则采访了许多人。")</f>
        <v>人们反击和第四，而其他人则采访了许多人。</v>
      </c>
    </row>
    <row r="32488">
      <c r="A32488" s="4" t="s">
        <v>40898</v>
      </c>
      <c r="B32488" s="6" t="s">
        <v>40899</v>
      </c>
      <c r="C32488" s="5" t="str">
        <f>IFERROR(__xludf.DUMMYFUNCTION("GOOGLETRANSLATE(B32488,""en"",""zh-CN"")"),"看到一个女人在院子里推一根割草机，然后停下来拉绳子并继续前进。")</f>
        <v>看到一个女人在院子里推一根割草机，然后停下来拉绳子并继续前进。</v>
      </c>
    </row>
    <row r="32489">
      <c r="A32489" s="4" t="s">
        <v>40898</v>
      </c>
      <c r="B32489" s="4" t="s">
        <v>40900</v>
      </c>
      <c r="C32489" s="5" t="str">
        <f>IFERROR(__xludf.DUMMYFUNCTION("GOOGLETRANSLATE(B32489,""en"",""zh-CN"")"),"该名女子继续将割草机推到草坪上，然后回到她开始的地方。")</f>
        <v>该名女子继续将割草机推到草坪上，然后回到她开始的地方。</v>
      </c>
    </row>
    <row r="32490">
      <c r="A32490" s="4" t="s">
        <v>40901</v>
      </c>
      <c r="B32490" s="4" t="s">
        <v>40902</v>
      </c>
      <c r="C32490" s="5" t="str">
        <f>IFERROR(__xludf.DUMMYFUNCTION("GOOGLETRANSLATE(B32490,""en"",""zh-CN"")"),"一个人正在射线杆上，然后再有几个人跳。")</f>
        <v>一个人正在射线杆上，然后再有几个人跳。</v>
      </c>
    </row>
    <row r="32491">
      <c r="A32491" s="4" t="s">
        <v>40901</v>
      </c>
      <c r="B32491" s="4" t="s">
        <v>40903</v>
      </c>
      <c r="C32491" s="5" t="str">
        <f>IFERROR(__xludf.DUMMYFUNCTION("GOOGLETRANSLATE(B32491,""en"",""zh-CN"")"),"显示了更多的人，使用杆上的杆伏特在梁上。")</f>
        <v>显示了更多的人，使用杆上的杆伏特在梁上。</v>
      </c>
    </row>
    <row r="32492">
      <c r="A32492" s="4" t="s">
        <v>40904</v>
      </c>
      <c r="B32492" s="4" t="s">
        <v>40905</v>
      </c>
      <c r="C32492" s="5" t="str">
        <f>IFERROR(__xludf.DUMMYFUNCTION("GOOGLETRANSLATE(B32492,""en"",""zh-CN"")"),"显示了一排快船，刷子和剃须刀。")</f>
        <v>显示了一排快船，刷子和剃须刀。</v>
      </c>
    </row>
    <row r="32493">
      <c r="A32493" s="4" t="s">
        <v>40904</v>
      </c>
      <c r="B32493" s="4" t="s">
        <v>40906</v>
      </c>
      <c r="C32493" s="5" t="str">
        <f>IFERROR(__xludf.DUMMYFUNCTION("GOOGLETRANSLATE(B32493,""en"",""zh-CN"")"),"不久之后，显示了建筑物的前部，并显示了广场上的名称。")</f>
        <v>不久之后，显示了建筑物的前部，并显示了广场上的名称。</v>
      </c>
    </row>
    <row r="32494">
      <c r="A32494" s="4" t="s">
        <v>40904</v>
      </c>
      <c r="B32494" s="6" t="s">
        <v>40907</v>
      </c>
      <c r="C32494" s="5" t="str">
        <f>IFERROR(__xludf.DUMMYFUNCTION("GOOGLETRANSLATE(B32494,""en"",""zh-CN"")"),"一个有长卷发的男人坐在理发店里坐着，将他的头发放下，而理发师则使用剪刀，刷子和吹干机的组合来完成外观。")</f>
        <v>一个有长卷发的男人坐在理发店里坐着，将他的头发放下，而理发师则使用剪刀，刷子和吹干机的组合来完成外观。</v>
      </c>
    </row>
    <row r="32495">
      <c r="A32495" s="4" t="s">
        <v>40904</v>
      </c>
      <c r="B32495" s="4" t="s">
        <v>40908</v>
      </c>
      <c r="C32495" s="5" t="str">
        <f>IFERROR(__xludf.DUMMYFUNCTION("GOOGLETRANSLATE(B32495,""en"",""zh-CN"")"),"一旦完成，理发师的静止图像及其信息就会显示为广告。")</f>
        <v>一旦完成，理发师的静止图像及其信息就会显示为广告。</v>
      </c>
    </row>
    <row r="32496">
      <c r="A32496" s="4" t="s">
        <v>40909</v>
      </c>
      <c r="B32496" s="6" t="s">
        <v>40910</v>
      </c>
      <c r="C32496" s="5" t="str">
        <f>IFERROR(__xludf.DUMMYFUNCTION("GOOGLETRANSLATE(B32496,""en"",""zh-CN"")"),"看到一个人在与其他人和孩子们交谈时骑着马周围骑马。")</f>
        <v>看到一个人在与其他人和孩子们交谈时骑着马周围骑马。</v>
      </c>
    </row>
    <row r="32497">
      <c r="A32497" s="4" t="s">
        <v>40909</v>
      </c>
      <c r="B32497" s="4" t="s">
        <v>40911</v>
      </c>
      <c r="C32497" s="5" t="str">
        <f>IFERROR(__xludf.DUMMYFUNCTION("GOOGLETRANSLATE(B32497,""en"",""zh-CN"")"),"孩子们继续握住标志，看着相机，而更多的人则骑马。")</f>
        <v>孩子们继续握住标志，看着相机，而更多的人则骑马。</v>
      </c>
    </row>
    <row r="32498">
      <c r="A32498" s="4" t="s">
        <v>40909</v>
      </c>
      <c r="B32498" s="4" t="s">
        <v>40912</v>
      </c>
      <c r="C32498" s="5" t="str">
        <f>IFERROR(__xludf.DUMMYFUNCTION("GOOGLETRANSLATE(B32498,""en"",""zh-CN"")"),"显示了更多的人骑马和戴头盔的孩子。")</f>
        <v>显示了更多的人骑马和戴头盔的孩子。</v>
      </c>
    </row>
    <row r="32499">
      <c r="A32499" s="4" t="s">
        <v>40913</v>
      </c>
      <c r="B32499" s="4" t="s">
        <v>40914</v>
      </c>
      <c r="C32499" s="5" t="str">
        <f>IFERROR(__xludf.DUMMYFUNCTION("GOOGLETRANSLATE(B32499,""en"",""zh-CN"")"),"一个男人坐在水里拿着绳子。")</f>
        <v>一个男人坐在水里拿着绳子。</v>
      </c>
    </row>
    <row r="32500">
      <c r="A32500" s="4" t="s">
        <v>40913</v>
      </c>
      <c r="B32500" s="4" t="s">
        <v>40915</v>
      </c>
      <c r="C32500" s="5" t="str">
        <f>IFERROR(__xludf.DUMMYFUNCTION("GOOGLETRANSLATE(B32500,""en"",""zh-CN"")"),"他起身开始唤醒登机。")</f>
        <v>他起身开始唤醒登机。</v>
      </c>
    </row>
    <row r="32501">
      <c r="A32501" s="4" t="s">
        <v>40913</v>
      </c>
      <c r="B32501" s="4" t="s">
        <v>40916</v>
      </c>
      <c r="C32501" s="5" t="str">
        <f>IFERROR(__xludf.DUMMYFUNCTION("GOOGLETRANSLATE(B32501,""en"",""zh-CN"")"),"他回到水中。")</f>
        <v>他回到水中。</v>
      </c>
    </row>
    <row r="32502">
      <c r="A32502" s="4" t="s">
        <v>40917</v>
      </c>
      <c r="B32502" s="4" t="s">
        <v>40918</v>
      </c>
      <c r="C32502" s="5" t="str">
        <f>IFERROR(__xludf.DUMMYFUNCTION("GOOGLETRANSLATE(B32502,""en"",""zh-CN"")"),"两行人站在一条长绳子上。")</f>
        <v>两行人站在一条长绳子上。</v>
      </c>
    </row>
    <row r="32503">
      <c r="A32503" s="4" t="s">
        <v>40917</v>
      </c>
      <c r="B32503" s="4" t="s">
        <v>40919</v>
      </c>
      <c r="C32503" s="5" t="str">
        <f>IFERROR(__xludf.DUMMYFUNCTION("GOOGLETRANSLATE(B32503,""en"",""zh-CN"")"),"每条线都捡起绳索，并开始弹拖绳，而一大群人则观看。")</f>
        <v>每条线都捡起绳索，并开始弹拖绳，而一大群人则观看。</v>
      </c>
    </row>
    <row r="32504">
      <c r="A32504" s="4" t="s">
        <v>40917</v>
      </c>
      <c r="B32504" s="4" t="s">
        <v>40920</v>
      </c>
      <c r="C32504" s="5" t="str">
        <f>IFERROR(__xludf.DUMMYFUNCTION("GOOGLETRANSLATE(B32504,""en"",""zh-CN"")"),"穿着浅蓝色衬衫的团队赢得了胜利。")</f>
        <v>穿着浅蓝色衬衫的团队赢得了胜利。</v>
      </c>
    </row>
    <row r="32505">
      <c r="A32505" s="4" t="s">
        <v>40921</v>
      </c>
      <c r="B32505" s="6" t="s">
        <v>40922</v>
      </c>
      <c r="C32505" s="5" t="str">
        <f>IFERROR(__xludf.DUMMYFUNCTION("GOOGLETRANSLATE(B32505,""en"",""zh-CN"")"),"一个白色的介绍屏幕出现在左上角的一个男人的小圆圈图片，右下角是一个女人，中间的“迷上了为忙碌的女人进行智能训练的智能训练”。")</f>
        <v>一个白色的介绍屏幕出现在左上角的一个男人的小圆圈图片，右下角是一个女人，中间的“迷上了为忙碌的女人进行智能训练的智能训练”。</v>
      </c>
    </row>
    <row r="32506">
      <c r="A32506" s="4" t="s">
        <v>40921</v>
      </c>
      <c r="B32506" s="6" t="s">
        <v>40923</v>
      </c>
      <c r="C32506" s="5" t="str">
        <f>IFERROR(__xludf.DUMMYFUNCTION("GOOGLETRANSLATE(B32506,""en"",""zh-CN"")"),"一个戴着帽子，眼镜和长袖热粉红色上衣的女人站在砖墙前说话。")</f>
        <v>一个戴着帽子，眼镜和长袖热粉红色上衣的女人站在砖墙前说话。</v>
      </c>
    </row>
    <row r="32507">
      <c r="A32507" s="4" t="s">
        <v>40921</v>
      </c>
      <c r="B32507" s="6" t="s">
        <v>40924</v>
      </c>
      <c r="C32507" s="5" t="str">
        <f>IFERROR(__xludf.DUMMYFUNCTION("GOOGLETRANSLATE(B32507,""en"",""zh-CN"")"),"这个女人现在站在桌子后面，将皱巴巴的纸放进跑步鞋中，并尽可能多地塞满它。")</f>
        <v>这个女人现在站在桌子后面，将皱巴巴的纸放进跑步鞋中，并尽可能多地塞满它。</v>
      </c>
    </row>
    <row r="32508">
      <c r="A32508" s="4" t="s">
        <v>40921</v>
      </c>
      <c r="B32508" s="4" t="s">
        <v>40925</v>
      </c>
      <c r="C32508" s="5" t="str">
        <f>IFERROR(__xludf.DUMMYFUNCTION("GOOGLETRANSLATE(B32508,""en"",""zh-CN"")"),"然后，该名女子从鞋子上抓起粉红色的鞋底，然后将小苏打倒在顶部。")</f>
        <v>然后，该名女子从鞋子上抓起粉红色的鞋底，然后将小苏打倒在顶部。</v>
      </c>
    </row>
    <row r="32509">
      <c r="A32509" s="4" t="s">
        <v>40921</v>
      </c>
      <c r="B32509" s="6" t="s">
        <v>40926</v>
      </c>
      <c r="C32509" s="5" t="str">
        <f>IFERROR(__xludf.DUMMYFUNCTION("GOOGLETRANSLATE(B32509,""en"",""zh-CN"")"),"那个女人然后拿起牙刷，她刚塞满了牙刷，动作擦洗但没有真正做到，然后将牙刷和鞋子都放在看不见的地方。")</f>
        <v>那个女人然后拿起牙刷，她刚塞满了牙刷，动作擦洗但没有真正做到，然后将牙刷和鞋子都放在看不见的地方。</v>
      </c>
    </row>
    <row r="32510">
      <c r="A32510" s="4" t="s">
        <v>40921</v>
      </c>
      <c r="B32510" s="6" t="s">
        <v>40927</v>
      </c>
      <c r="C32510" s="5" t="str">
        <f>IFERROR(__xludf.DUMMYFUNCTION("GOOGLETRANSLATE(B32510,""en"",""zh-CN"")"),"该名女子抓住了另一双鞋，右鞋子不露面，左鞋子被系在一起，她握住它们，然后将它们放下。")</f>
        <v>该名女子抓住了另一双鞋，右鞋子不露面，左鞋子被系在一起，她握住它们，然后将它们放下。</v>
      </c>
    </row>
    <row r="32511">
      <c r="A32511" s="4" t="s">
        <v>40928</v>
      </c>
      <c r="B32511" s="4" t="s">
        <v>40929</v>
      </c>
      <c r="C32511" s="5" t="str">
        <f>IFERROR(__xludf.DUMMYFUNCTION("GOOGLETRANSLATE(B32511,""en"",""zh-CN"")"),"一匹黑马站在马stable里，头发上有几件黄色的东西。")</f>
        <v>一匹黑马站在马stable里，头发上有几件黄色的东西。</v>
      </c>
    </row>
    <row r="32512">
      <c r="A32512" s="4" t="s">
        <v>40928</v>
      </c>
      <c r="B32512" s="4" t="s">
        <v>40930</v>
      </c>
      <c r="C32512" s="5" t="str">
        <f>IFERROR(__xludf.DUMMYFUNCTION("GOOGLETRANSLATE(B32512,""en"",""zh-CN"")"),"然后，一个女人出现，开始剃掉所有马的头发。")</f>
        <v>然后，一个女人出现，开始剃掉所有马的头发。</v>
      </c>
    </row>
    <row r="32513">
      <c r="A32513" s="4" t="s">
        <v>40928</v>
      </c>
      <c r="B32513" s="6" t="s">
        <v>40931</v>
      </c>
      <c r="C32513" s="5" t="str">
        <f>IFERROR(__xludf.DUMMYFUNCTION("GOOGLETRANSLATE(B32513,""en"",""zh-CN"")"),"侧面完全消失了，当她从背面移动时，她也下面掉了身体，以移开头发。")</f>
        <v>侧面完全消失了，当她从背面移动时，她也下面掉了身体，以移开头发。</v>
      </c>
    </row>
    <row r="32514">
      <c r="A32514" s="4" t="s">
        <v>40932</v>
      </c>
      <c r="B32514" s="4" t="s">
        <v>40933</v>
      </c>
      <c r="C32514" s="5" t="str">
        <f>IFERROR(__xludf.DUMMYFUNCTION("GOOGLETRANSLATE(B32514,""en"",""zh-CN"")"),"看到一个男人站在窗户前，戴着头饰时靠着相机说话。")</f>
        <v>看到一个男人站在窗户前，戴着头饰时靠着相机说话。</v>
      </c>
    </row>
    <row r="32515">
      <c r="A32515" s="4" t="s">
        <v>40932</v>
      </c>
      <c r="B32515" s="6" t="s">
        <v>40934</v>
      </c>
      <c r="C32515" s="5" t="str">
        <f>IFERROR(__xludf.DUMMYFUNCTION("GOOGLETRANSLATE(B32515,""en"",""zh-CN"")"),"然后，该男子沿着窗户的侧面刷，然后向窗户向窗户指向窗户，同时向相机说话。")</f>
        <v>然后，该男子沿着窗户的侧面刷，然后向窗户向窗户指向窗户，同时向相机说话。</v>
      </c>
    </row>
    <row r="32516">
      <c r="A32516" s="4" t="s">
        <v>40935</v>
      </c>
      <c r="B32516" s="4" t="s">
        <v>40936</v>
      </c>
      <c r="C32516" s="5" t="str">
        <f>IFERROR(__xludf.DUMMYFUNCTION("GOOGLETRANSLATE(B32516,""en"",""zh-CN"")"),"显示一个男人在相机上说话，然后向下跪下，用工具将地毯向下压。")</f>
        <v>显示一个男人在相机上说话，然后向下跪下，用工具将地毯向下压。</v>
      </c>
    </row>
    <row r="32517">
      <c r="A32517" s="4" t="s">
        <v>40935</v>
      </c>
      <c r="B32517" s="4" t="s">
        <v>40937</v>
      </c>
      <c r="C32517" s="5" t="str">
        <f>IFERROR(__xludf.DUMMYFUNCTION("GOOGLETRANSLATE(B32517,""en"",""zh-CN"")"),"然后，他拧在楼梯上，跪下，同时仍在与相机说话。")</f>
        <v>然后，他拧在楼梯上，跪下，同时仍在与相机说话。</v>
      </c>
    </row>
    <row r="32518">
      <c r="A32518" s="4" t="s">
        <v>40938</v>
      </c>
      <c r="B32518" s="4" t="s">
        <v>40939</v>
      </c>
      <c r="C32518" s="5" t="str">
        <f>IFERROR(__xludf.DUMMYFUNCTION("GOOGLETRANSLATE(B32518,""en"",""zh-CN"")"),"一个女人说话并展示了她长长的法国辫子。")</f>
        <v>一个女人说话并展示了她长长的法国辫子。</v>
      </c>
    </row>
    <row r="32519">
      <c r="A32519" s="4" t="s">
        <v>40938</v>
      </c>
      <c r="B32519" s="4" t="s">
        <v>40940</v>
      </c>
      <c r="C32519" s="5" t="str">
        <f>IFERROR(__xludf.DUMMYFUNCTION("GOOGLETRANSLATE(B32519,""en"",""zh-CN"")"),"然后，女人躺在床上，在床的边界上刷头发。")</f>
        <v>然后，女人躺在床上，在床的边界上刷头发。</v>
      </c>
    </row>
    <row r="32520">
      <c r="A32520" s="4" t="s">
        <v>40938</v>
      </c>
      <c r="B32520" s="4" t="s">
        <v>40941</v>
      </c>
      <c r="C32520" s="5" t="str">
        <f>IFERROR(__xludf.DUMMYFUNCTION("GOOGLETRANSLATE(B32520,""en"",""zh-CN"")"),"然后，那个女人拿着一头前头发，辫子从侧面拿起头发。")</f>
        <v>然后，那个女人拿着一头前头发，辫子从侧面拿起头发。</v>
      </c>
    </row>
    <row r="32521">
      <c r="A32521" s="4" t="s">
        <v>40938</v>
      </c>
      <c r="B32521" s="4" t="s">
        <v>40942</v>
      </c>
      <c r="C32521" s="5" t="str">
        <f>IFERROR(__xludf.DUMMYFUNCTION("GOOGLETRANSLATE(B32521,""en"",""zh-CN"")"),"然后，女人在继续说话时展示了辫子。")</f>
        <v>然后，女人在继续说话时展示了辫子。</v>
      </c>
    </row>
    <row r="32522">
      <c r="A32522" s="4" t="s">
        <v>40943</v>
      </c>
      <c r="B32522" s="4" t="s">
        <v>40944</v>
      </c>
      <c r="C32522" s="5" t="str">
        <f>IFERROR(__xludf.DUMMYFUNCTION("GOOGLETRANSLATE(B32522,""en"",""zh-CN"")"),"在许多观众中，有一个潜水员参加了大型体育场的活动。")</f>
        <v>在许多观众中，有一个潜水员参加了大型体育场的活动。</v>
      </c>
    </row>
    <row r="32523">
      <c r="A32523" s="4" t="s">
        <v>40943</v>
      </c>
      <c r="B32523" s="4" t="s">
        <v>40945</v>
      </c>
      <c r="C32523" s="5" t="str">
        <f>IFERROR(__xludf.DUMMYFUNCTION("GOOGLETRANSLATE(B32523,""en"",""zh-CN"")"),"他从仪表板上跳下来，跳入深水游泳池。")</f>
        <v>他从仪表板上跳下来，跳入深水游泳池。</v>
      </c>
    </row>
    <row r="32524">
      <c r="A32524" s="4" t="s">
        <v>40943</v>
      </c>
      <c r="B32524" s="4" t="s">
        <v>40946</v>
      </c>
      <c r="C32524" s="5" t="str">
        <f>IFERROR(__xludf.DUMMYFUNCTION("GOOGLETRANSLATE(B32524,""en"",""zh-CN"")"),"在潜水时，他不小心将头撞在潜水板上并伤害自己。")</f>
        <v>在潜水时，他不小心将头撞在潜水板上并伤害自己。</v>
      </c>
    </row>
    <row r="32525">
      <c r="A32525" s="4" t="s">
        <v>40943</v>
      </c>
      <c r="B32525" s="4" t="s">
        <v>40947</v>
      </c>
      <c r="C32525" s="5" t="str">
        <f>IFERROR(__xludf.DUMMYFUNCTION("GOOGLETRANSLATE(B32525,""en"",""zh-CN"")"),"当他离开游泳池时，他表达了痛苦，他的教练来帮助他。")</f>
        <v>当他离开游泳池时，他表达了痛苦，他的教练来帮助他。</v>
      </c>
    </row>
    <row r="32526">
      <c r="A32526" s="4" t="s">
        <v>40943</v>
      </c>
      <c r="B32526" s="6" t="s">
        <v>40948</v>
      </c>
      <c r="C32526" s="5" t="str">
        <f>IFERROR(__xludf.DUMMYFUNCTION("GOOGLETRANSLATE(B32526,""en"",""zh-CN"")"),"潜水员第二次潜水时，他设法成功地进入游泳池而没有受伤。")</f>
        <v>潜水员第二次潜水时，他设法成功地进入游泳池而没有受伤。</v>
      </c>
    </row>
    <row r="32527">
      <c r="A32527" s="4" t="s">
        <v>40943</v>
      </c>
      <c r="B32527" s="6" t="s">
        <v>40949</v>
      </c>
      <c r="C32527" s="5" t="str">
        <f>IFERROR(__xludf.DUMMYFUNCTION("GOOGLETRANSLATE(B32527,""en"",""zh-CN"")"),"展示了另一个历史性的潜水事件，潜水员在跳入游泳池时意外地在潜水板上伤害了他的头。")</f>
        <v>展示了另一个历史性的潜水事件，潜水员在跳入游泳池时意外地在潜水板上伤害了他的头。</v>
      </c>
    </row>
    <row r="32528">
      <c r="A32528" s="4" t="s">
        <v>40950</v>
      </c>
      <c r="B32528" s="4" t="s">
        <v>40951</v>
      </c>
      <c r="C32528" s="5" t="str">
        <f>IFERROR(__xludf.DUMMYFUNCTION("GOOGLETRANSLATE(B32528,""en"",""zh-CN"")"),"看到一小群人站在一个围栏内，一个男人坐在马上。")</f>
        <v>看到一小群人站在一个围栏内，一个男人坐在马上。</v>
      </c>
    </row>
    <row r="32529">
      <c r="A32529" s="4" t="s">
        <v>40950</v>
      </c>
      <c r="B32529" s="4" t="s">
        <v>40952</v>
      </c>
      <c r="C32529" s="5" t="str">
        <f>IFERROR(__xludf.DUMMYFUNCTION("GOOGLETRANSLATE(B32529,""en"",""zh-CN"")"),"该男子骑着坑，用绳子追逐小牛。")</f>
        <v>该男子骑着坑，用绳子追逐小牛。</v>
      </c>
    </row>
    <row r="32530">
      <c r="A32530" s="4" t="s">
        <v>40950</v>
      </c>
      <c r="B32530" s="6" t="s">
        <v>40953</v>
      </c>
      <c r="C32530" s="5" t="str">
        <f>IFERROR(__xludf.DUMMYFUNCTION("GOOGLETRANSLATE(B32530,""en"",""zh-CN"")"),"该男子被抓住后绑住小牛并爬上马，而另一只小牛则解开了小牛。")</f>
        <v>该男子被抓住后绑住小牛并爬上马，而另一只小牛则解开了小牛。</v>
      </c>
    </row>
    <row r="32531">
      <c r="A32531" s="4" t="s">
        <v>40954</v>
      </c>
      <c r="B32531" s="4" t="s">
        <v>40955</v>
      </c>
      <c r="C32531" s="5" t="str">
        <f>IFERROR(__xludf.DUMMYFUNCTION("GOOGLETRANSLATE(B32531,""en"",""zh-CN"")"),"有孩子在蹦床中弹跳。")</f>
        <v>有孩子在蹦床中弹跳。</v>
      </c>
    </row>
    <row r="32532">
      <c r="A32532" s="4" t="s">
        <v>40954</v>
      </c>
      <c r="B32532" s="4" t="s">
        <v>40956</v>
      </c>
      <c r="C32532" s="5" t="str">
        <f>IFERROR(__xludf.DUMMYFUNCTION("GOOGLETRANSLATE(B32532,""en"",""zh-CN"")"),"几个孩子正在上下跳跃。")</f>
        <v>几个孩子正在上下跳跃。</v>
      </c>
    </row>
    <row r="32533">
      <c r="A32533" s="4" t="s">
        <v>40954</v>
      </c>
      <c r="B32533" s="4" t="s">
        <v>40957</v>
      </c>
      <c r="C32533" s="5" t="str">
        <f>IFERROR(__xludf.DUMMYFUNCTION("GOOGLETRANSLATE(B32533,""en"",""zh-CN"")"),"相机非常动摇。")</f>
        <v>相机非常动摇。</v>
      </c>
    </row>
    <row r="32534">
      <c r="A32534" s="4" t="s">
        <v>40958</v>
      </c>
      <c r="B32534" s="4" t="s">
        <v>27352</v>
      </c>
      <c r="C32534" s="5" t="str">
        <f>IFERROR(__xludf.DUMMYFUNCTION("GOOGLETRANSLATE(B32534,""en"",""zh-CN"")"),"孩子们坐在保险杠上。")</f>
        <v>孩子们坐在保险杠上。</v>
      </c>
    </row>
    <row r="32535">
      <c r="A32535" s="4" t="s">
        <v>40958</v>
      </c>
      <c r="B32535" s="4" t="s">
        <v>40959</v>
      </c>
      <c r="C32535" s="5" t="str">
        <f>IFERROR(__xludf.DUMMYFUNCTION("GOOGLETRANSLATE(B32535,""en"",""zh-CN"")"),"他们开始互相碰撞。")</f>
        <v>他们开始互相碰撞。</v>
      </c>
    </row>
    <row r="32536">
      <c r="A32536" s="4" t="s">
        <v>40958</v>
      </c>
      <c r="B32536" s="4" t="s">
        <v>40960</v>
      </c>
      <c r="C32536" s="5" t="str">
        <f>IFERROR(__xludf.DUMMYFUNCTION("GOOGLETRANSLATE(B32536,""en"",""zh-CN"")"),"人们站在大门后看着他们。")</f>
        <v>人们站在大门后看着他们。</v>
      </c>
    </row>
    <row r="32537">
      <c r="A32537" s="4" t="s">
        <v>40958</v>
      </c>
      <c r="B32537" s="4" t="s">
        <v>40961</v>
      </c>
      <c r="C32537" s="5" t="str">
        <f>IFERROR(__xludf.DUMMYFUNCTION("GOOGLETRANSLATE(B32537,""en"",""zh-CN"")"),"一个穿着蓝色衬衫的男人在他们面前行走。")</f>
        <v>一个穿着蓝色衬衫的男人在他们面前行走。</v>
      </c>
    </row>
    <row r="32538">
      <c r="A32538" s="4" t="s">
        <v>40962</v>
      </c>
      <c r="B32538" s="6" t="s">
        <v>40963</v>
      </c>
      <c r="C32538" s="5" t="str">
        <f>IFERROR(__xludf.DUMMYFUNCTION("GOOGLETRANSLATE(B32538,""en"",""zh-CN"")"),"一个介绍，是一个蓝屏，上面有白色的单词，上面写着“ 2010年11月11月的Megazip Sentosa Dot Dot”。")</f>
        <v>一个介绍，是一个蓝屏，上面有白色的单词，上面写着“ 2010年11月11月的Megazip Sentosa Dot Dot”。</v>
      </c>
    </row>
    <row r="32539">
      <c r="A32539" s="4" t="s">
        <v>40962</v>
      </c>
      <c r="B32539" s="4" t="s">
        <v>40964</v>
      </c>
      <c r="C32539" s="5" t="str">
        <f>IFERROR(__xludf.DUMMYFUNCTION("GOOGLETRANSLATE(B32539,""en"",""zh-CN"")"),"四人出现在栏杆附近，他们都依附在安全带上。")</f>
        <v>四人出现在栏杆附近，他们都依附在安全带上。</v>
      </c>
    </row>
    <row r="32540">
      <c r="A32540" s="4" t="s">
        <v>40962</v>
      </c>
      <c r="B32540" s="6" t="s">
        <v>40965</v>
      </c>
      <c r="C32540" s="5" t="str">
        <f>IFERROR(__xludf.DUMMYFUNCTION("GOOGLETRANSLATE(B32540,""en"",""zh-CN"")"),"一个男人把手放在女人的肩膀上，将她引导到她要离开的开口，但蓝屏出现了白色的话，说“是”，然后回到了那个准备跳跃的女人，她弯腰弯腰出现了一个蓝屏，说“不”，她摇了摇头，向后退去。")</f>
        <v>一个男人把手放在女人的肩膀上，将她引导到她要离开的开口，但蓝屏出现了白色的话，说“是”，然后回到了那个准备跳跃的女人，她弯腰弯腰出现了一个蓝屏，说“不”，她摇了摇头，向后退去。</v>
      </c>
    </row>
    <row r="32541">
      <c r="A32541" s="4" t="s">
        <v>40962</v>
      </c>
      <c r="B32541" s="6" t="s">
        <v>40966</v>
      </c>
      <c r="C32541" s="5" t="str">
        <f>IFERROR(__xludf.DUMMYFUNCTION("GOOGLETRANSLATE(B32541,""en"",""zh-CN"")"),"蓝屏再次出现，它说“好也许”，那个女人再次准备在开幕式上跳跃，与此同时，另一个依附在安全带上的男人也准备好了。")</f>
        <v>蓝屏再次出现，它说“好也许”，那个女人再次准备在开幕式上跳跃，与此同时，另一个依附在安全带上的男人也准备好了。</v>
      </c>
    </row>
    <row r="32542">
      <c r="A32542" s="4" t="s">
        <v>40962</v>
      </c>
      <c r="B32542" s="6" t="s">
        <v>40967</v>
      </c>
      <c r="C32542" s="5" t="str">
        <f>IFERROR(__xludf.DUMMYFUNCTION("GOOGLETRANSLATE(B32542,""en"",""zh-CN"")"),"蓝屏似乎说“不”，但是那个女人和男人确实放开了，他们在下面的树木绿色森林上衬着拉链，又出现了一个蓝色的屏幕，并说了“我想她说是吗？”。")</f>
        <v>蓝屏似乎说“不”，但是那个女人和男人确实放开了，他们在下面的树木绿色森林上衬着拉链，又出现了一个蓝色的屏幕，并说了“我想她说是吗？”。</v>
      </c>
    </row>
    <row r="32543">
      <c r="A32543" s="4" t="s">
        <v>40962</v>
      </c>
      <c r="B32543" s="6" t="s">
        <v>40968</v>
      </c>
      <c r="C32543" s="5" t="str">
        <f>IFERROR(__xludf.DUMMYFUNCTION("GOOGLETRANSLATE(B32543,""en"",""zh-CN"")"),"现在有一个新小组正在利用，他们被拍摄了，轮流从拉链线上走来，拿着相机的那个人转向自己，露出他的微笑脸的特写镜头以及周围的风景，其中包括下面的森林他们和终点的海滩。")</f>
        <v>现在有一个新小组正在利用，他们被拍摄了，轮流从拉链线上走来，拿着相机的那个人转向自己，露出他的微笑脸的特写镜头以及周围的风景，其中包括下面的森林他们和终点的海滩。</v>
      </c>
    </row>
    <row r="32544">
      <c r="A32544" s="4" t="s">
        <v>40962</v>
      </c>
      <c r="B32544" s="6" t="s">
        <v>40969</v>
      </c>
      <c r="C32544" s="5" t="str">
        <f>IFERROR(__xludf.DUMMYFUNCTION("GOOGLETRANSLATE(B32544,""en"",""zh-CN"")"),"他们到达了拉链线的尽头，工人开始将他们拉到着陆点，在那里，工人的特写镜头出现了，当他其他拉链衬里也站在那里并微笑时，他的脸上也有灿烂的笑容。")</f>
        <v>他们到达了拉链线的尽头，工人开始将他们拉到着陆点，在那里，工人的特写镜头出现了，当他其他拉链衬里也站在那里并微笑时，他的脸上也有灿烂的笑容。</v>
      </c>
    </row>
    <row r="32545">
      <c r="A32545" s="4" t="s">
        <v>40962</v>
      </c>
      <c r="B32545" s="4" t="s">
        <v>40970</v>
      </c>
      <c r="C32545" s="5" t="str">
        <f>IFERROR(__xludf.DUMMYFUNCTION("GOOGLETRANSLATE(B32545,""en"",""zh-CN"")"),"该视图变为地面视图，并显示了从地面上的拉链衬里的样子。")</f>
        <v>该视图变为地面视图，并显示了从地面上的拉链衬里的样子。</v>
      </c>
    </row>
    <row r="32546">
      <c r="A32546" s="4" t="s">
        <v>40962</v>
      </c>
      <c r="B32546" s="4" t="s">
        <v>40971</v>
      </c>
      <c r="C32546" s="5" t="str">
        <f>IFERROR(__xludf.DUMMYFUNCTION("GOOGLETRANSLATE(B32546,""en"",""zh-CN"")"),"出现了蓝色的Outro，并显示了“ Sentosa Megazip 2010年11月结束”一词。")</f>
        <v>出现了蓝色的Outro，并显示了“ Sentosa Megazip 2010年11月结束”一词。</v>
      </c>
    </row>
    <row r="32547">
      <c r="A32547" s="4" t="s">
        <v>40972</v>
      </c>
      <c r="B32547" s="4" t="s">
        <v>40973</v>
      </c>
      <c r="C32547" s="5" t="str">
        <f>IFERROR(__xludf.DUMMYFUNCTION("GOOGLETRANSLATE(B32547,""en"",""zh-CN"")"),"一名穿着红色连身裤的年轻男性正在舞台上跳舞。")</f>
        <v>一名穿着红色连身裤的年轻男性正在舞台上跳舞。</v>
      </c>
    </row>
    <row r="32548">
      <c r="A32548" s="4" t="s">
        <v>40972</v>
      </c>
      <c r="B32548" s="6" t="s">
        <v>40974</v>
      </c>
      <c r="C32548" s="5" t="str">
        <f>IFERROR(__xludf.DUMMYFUNCTION("GOOGLETRANSLATE(B32548,""en"",""zh-CN"")"),"一旦他完成，一群人蜂拥而至，他们都指向另一个男孩，以便他可以上台。")</f>
        <v>一旦他完成，一群人蜂拥而至，他们都指向另一个男孩，以便他可以上台。</v>
      </c>
    </row>
    <row r="32549">
      <c r="A32549" s="4" t="s">
        <v>40972</v>
      </c>
      <c r="B32549" s="4" t="s">
        <v>40975</v>
      </c>
      <c r="C32549" s="5" t="str">
        <f>IFERROR(__xludf.DUMMYFUNCTION("GOOGLETRANSLATE(B32549,""en"",""zh-CN"")"),"这个男孩来了，开始翻转并进行机器人的变体。")</f>
        <v>这个男孩来了，开始翻转并进行机器人的变体。</v>
      </c>
    </row>
    <row r="32550">
      <c r="A32550" s="4" t="s">
        <v>40972</v>
      </c>
      <c r="B32550" s="6" t="s">
        <v>40976</v>
      </c>
      <c r="C32550" s="5" t="str">
        <f>IFERROR(__xludf.DUMMYFUNCTION("GOOGLETRANSLATE(B32550,""en"",""zh-CN"")"),"当男孩拿起麦克风并开始唱歌时，他身后的所有男人都成为他的背景舞者。")</f>
        <v>当男孩拿起麦克风并开始唱歌时，他身后的所有男人都成为他的背景舞者。</v>
      </c>
    </row>
    <row r="32551">
      <c r="A32551" s="4" t="s">
        <v>40977</v>
      </c>
      <c r="B32551" s="4" t="s">
        <v>40978</v>
      </c>
      <c r="C32551" s="5" t="str">
        <f>IFERROR(__xludf.DUMMYFUNCTION("GOOGLETRANSLATE(B32551,""en"",""zh-CN"")"),"我们在蓝色上看到标题卡。")</f>
        <v>我们在蓝色上看到标题卡。</v>
      </c>
    </row>
    <row r="32552">
      <c r="A32552" s="4" t="s">
        <v>40977</v>
      </c>
      <c r="B32552" s="4" t="s">
        <v>40979</v>
      </c>
      <c r="C32552" s="5" t="str">
        <f>IFERROR(__xludf.DUMMYFUNCTION("GOOGLETRANSLATE(B32552,""en"",""zh-CN"")"),"我们看到男人在打沙滩排球。")</f>
        <v>我们看到男人在打沙滩排球。</v>
      </c>
    </row>
    <row r="32553">
      <c r="A32553" s="4" t="s">
        <v>40977</v>
      </c>
      <c r="B32553" s="4" t="s">
        <v>40980</v>
      </c>
      <c r="C32553" s="5" t="str">
        <f>IFERROR(__xludf.DUMMYFUNCTION("GOOGLETRANSLATE(B32553,""en"",""zh-CN"")"),"我们看到一个男人的采访。")</f>
        <v>我们看到一个男人的采访。</v>
      </c>
    </row>
    <row r="32554">
      <c r="A32554" s="4" t="s">
        <v>40977</v>
      </c>
      <c r="B32554" s="4" t="s">
        <v>40981</v>
      </c>
      <c r="C32554" s="5" t="str">
        <f>IFERROR(__xludf.DUMMYFUNCTION("GOOGLETRANSLATE(B32554,""en"",""zh-CN"")"),"两个男人彼此高五个男人贸易方面。")</f>
        <v>两个男人彼此高五个男人贸易方面。</v>
      </c>
    </row>
    <row r="32555">
      <c r="A32555" s="4" t="s">
        <v>40977</v>
      </c>
      <c r="B32555" s="4" t="s">
        <v>40982</v>
      </c>
      <c r="C32555" s="5" t="str">
        <f>IFERROR(__xludf.DUMMYFUNCTION("GOOGLETRANSLATE(B32555,""en"",""zh-CN"")"),"球降落在地面上。")</f>
        <v>球降落在地面上。</v>
      </c>
    </row>
    <row r="32556">
      <c r="A32556" s="4" t="s">
        <v>40977</v>
      </c>
      <c r="B32556" s="4" t="s">
        <v>40983</v>
      </c>
      <c r="C32556" s="5" t="str">
        <f>IFERROR(__xludf.DUMMYFUNCTION("GOOGLETRANSLATE(B32556,""en"",""zh-CN"")"),"一个人将球踢到另一侧。")</f>
        <v>一个人将球踢到另一侧。</v>
      </c>
    </row>
    <row r="32557">
      <c r="A32557" s="4" t="s">
        <v>40977</v>
      </c>
      <c r="B32557" s="4" t="s">
        <v>40984</v>
      </c>
      <c r="C32557" s="5" t="str">
        <f>IFERROR(__xludf.DUMMYFUNCTION("GOOGLETRANSLATE(B32557,""en"",""zh-CN"")"),"一个男人跳跃并在空中旋转。")</f>
        <v>一个男人跳跃并在空中旋转。</v>
      </c>
    </row>
    <row r="32558">
      <c r="A32558" s="4" t="s">
        <v>40977</v>
      </c>
      <c r="B32558" s="4" t="s">
        <v>40985</v>
      </c>
      <c r="C32558" s="5" t="str">
        <f>IFERROR(__xludf.DUMMYFUNCTION("GOOGLETRANSLATE(B32558,""en"",""zh-CN"")"),"当其他男人跳来跳去时，灰色的男人在灰色。")</f>
        <v>当其他男人跳来跳去时，灰色的男人在灰色。</v>
      </c>
    </row>
    <row r="32559">
      <c r="A32559" s="4" t="s">
        <v>40977</v>
      </c>
      <c r="B32559" s="4" t="s">
        <v>40986</v>
      </c>
      <c r="C32559" s="5" t="str">
        <f>IFERROR(__xludf.DUMMYFUNCTION("GOOGLETRANSLATE(B32559,""en"",""zh-CN"")"),"男人摆姿势拍照。")</f>
        <v>男人摆姿势拍照。</v>
      </c>
    </row>
    <row r="32560">
      <c r="A32560" s="4" t="s">
        <v>40977</v>
      </c>
      <c r="B32560" s="4" t="s">
        <v>40987</v>
      </c>
      <c r="C32560" s="5" t="str">
        <f>IFERROR(__xludf.DUMMYFUNCTION("GOOGLETRANSLATE(B32560,""en"",""zh-CN"")"),"标题卡已显示，我们消失了。")</f>
        <v>标题卡已显示，我们消失了。</v>
      </c>
    </row>
    <row r="32561">
      <c r="A32561" s="4" t="s">
        <v>40988</v>
      </c>
      <c r="B32561" s="6" t="s">
        <v>40989</v>
      </c>
      <c r="C32561" s="5" t="str">
        <f>IFERROR(__xludf.DUMMYFUNCTION("GOOGLETRANSLATE(B32561,""en"",""zh-CN"")"),"展示了一个老电视节目的片段，一个女人洗碗，一个年轻的女孩走进框架。")</f>
        <v>展示了一个老电视节目的片段，一个女人洗碗，一个年轻的女孩走进框架。</v>
      </c>
    </row>
    <row r="32562">
      <c r="A32562" s="4" t="s">
        <v>40988</v>
      </c>
      <c r="B32562" s="6" t="s">
        <v>40990</v>
      </c>
      <c r="C32562" s="5" t="str">
        <f>IFERROR(__xludf.DUMMYFUNCTION("GOOGLETRANSLATE(B32562,""en"",""zh-CN"")"),"女人递给女孩一杯水，再次以各种角度显示，以一个女人洗衣服结尾。")</f>
        <v>女人递给女孩一杯水，再次以各种角度显示，以一个女人洗衣服结尾。</v>
      </c>
    </row>
    <row r="32563">
      <c r="A32563" s="4" t="s">
        <v>40991</v>
      </c>
      <c r="B32563" s="4" t="s">
        <v>40992</v>
      </c>
      <c r="C32563" s="5" t="str">
        <f>IFERROR(__xludf.DUMMYFUNCTION("GOOGLETRANSLATE(B32563,""en"",""zh-CN"")"),"看到一个小孩站在人行道上，望向远处。")</f>
        <v>看到一个小孩站在人行道上，望向远处。</v>
      </c>
    </row>
    <row r="32564">
      <c r="A32564" s="4" t="s">
        <v>40991</v>
      </c>
      <c r="B32564" s="4" t="s">
        <v>40993</v>
      </c>
      <c r="C32564" s="5" t="str">
        <f>IFERROR(__xludf.DUMMYFUNCTION("GOOGLETRANSLATE(B32564,""en"",""zh-CN"")"),"然后，女孩扔了岩石，开始玩Hopscotch的游戏。")</f>
        <v>然后，女孩扔了岩石，开始玩Hopscotch的游戏。</v>
      </c>
    </row>
    <row r="32565">
      <c r="A32565" s="4" t="s">
        <v>40991</v>
      </c>
      <c r="B32565" s="4" t="s">
        <v>40994</v>
      </c>
      <c r="C32565" s="5" t="str">
        <f>IFERROR(__xludf.DUMMYFUNCTION("GOOGLETRANSLATE(B32565,""en"",""zh-CN"")"),"她在停下来看相机时扔了几次。")</f>
        <v>她在停下来看相机时扔了几次。</v>
      </c>
    </row>
    <row r="32566">
      <c r="A32566" s="4" t="s">
        <v>40995</v>
      </c>
      <c r="B32566" s="4" t="s">
        <v>40996</v>
      </c>
      <c r="C32566" s="5" t="str">
        <f>IFERROR(__xludf.DUMMYFUNCTION("GOOGLETRANSLATE(B32566,""en"",""zh-CN"")"),"一位电视播音员在唱歌介绍一场演出时拍了拍她的腿。")</f>
        <v>一位电视播音员在唱歌介绍一场演出时拍了拍她的腿。</v>
      </c>
    </row>
    <row r="32567">
      <c r="A32567" s="4" t="s">
        <v>40995</v>
      </c>
      <c r="B32567" s="4" t="s">
        <v>40997</v>
      </c>
      <c r="C32567" s="5" t="str">
        <f>IFERROR(__xludf.DUMMYFUNCTION("GOOGLETRANSLATE(B32567,""en"",""zh-CN"")"),"一群穿着色彩缤纷的服装的舞者与呼啦圈进行舞蹈表演。")</f>
        <v>一群穿着色彩缤纷的服装的舞者与呼啦圈进行舞蹈表演。</v>
      </c>
    </row>
    <row r="32568">
      <c r="A32568" s="4" t="s">
        <v>40995</v>
      </c>
      <c r="B32568" s="4" t="s">
        <v>40998</v>
      </c>
      <c r="C32568" s="5" t="str">
        <f>IFERROR(__xludf.DUMMYFUNCTION("GOOGLETRANSLATE(B32568,""en"",""zh-CN"")"),"看到观众，成员为小组拍手。")</f>
        <v>看到观众，成员为小组拍手。</v>
      </c>
    </row>
    <row r="32569">
      <c r="A32569" s="4" t="s">
        <v>40995</v>
      </c>
      <c r="B32569" s="4" t="s">
        <v>40999</v>
      </c>
      <c r="C32569" s="5" t="str">
        <f>IFERROR(__xludf.DUMMYFUNCTION("GOOGLETRANSLATE(B32569,""en"",""zh-CN"")"),"该小组的年长成员举起波兰人，让孩子们跳舞。")</f>
        <v>该小组的年长成员举起波兰人，让孩子们跳舞。</v>
      </c>
    </row>
    <row r="32570">
      <c r="A32570" s="4" t="s">
        <v>40995</v>
      </c>
      <c r="B32570" s="4" t="s">
        <v>41000</v>
      </c>
      <c r="C32570" s="5" t="str">
        <f>IFERROR(__xludf.DUMMYFUNCTION("GOOGLETRANSLATE(B32570,""en"",""zh-CN"")"),"呼啦圈舞者为结局提供了更多的篮球。")</f>
        <v>呼啦圈舞者为结局提供了更多的篮球。</v>
      </c>
    </row>
    <row r="32571">
      <c r="A32571" s="4" t="s">
        <v>40995</v>
      </c>
      <c r="B32571" s="4" t="s">
        <v>41001</v>
      </c>
      <c r="C32571" s="5" t="str">
        <f>IFERROR(__xludf.DUMMYFUNCTION("GOOGLETRANSLATE(B32571,""en"",""zh-CN"")"),"五彩纸屑从空中降落到表演者身上。")</f>
        <v>五彩纸屑从空中降落到表演者身上。</v>
      </c>
    </row>
    <row r="32572">
      <c r="A32572" s="4" t="s">
        <v>40995</v>
      </c>
      <c r="B32572" s="4" t="s">
        <v>41002</v>
      </c>
      <c r="C32572" s="5" t="str">
        <f>IFERROR(__xludf.DUMMYFUNCTION("GOOGLETRANSLATE(B32572,""en"",""zh-CN"")"),"播音员站起来为小组拍手。")</f>
        <v>播音员站起来为小组拍手。</v>
      </c>
    </row>
    <row r="32573">
      <c r="A32573" s="4" t="s">
        <v>41003</v>
      </c>
      <c r="B32573" s="4" t="s">
        <v>41004</v>
      </c>
      <c r="C32573" s="5" t="str">
        <f>IFERROR(__xludf.DUMMYFUNCTION("GOOGLETRANSLATE(B32573,""en"",""zh-CN"")"),"一个男人坐在玫瑰花园里坐着剪切。")</f>
        <v>一个男人坐在玫瑰花园里坐着剪切。</v>
      </c>
    </row>
    <row r="32574">
      <c r="A32574" s="4" t="s">
        <v>41003</v>
      </c>
      <c r="B32574" s="4" t="s">
        <v>41005</v>
      </c>
      <c r="C32574" s="5" t="str">
        <f>IFERROR(__xludf.DUMMYFUNCTION("GOOGLETRANSLATE(B32574,""en"",""zh-CN"")"),"该男子从玫瑰灌木丛中剪掉玫瑰，上面剪了剪。")</f>
        <v>该男子从玫瑰灌木丛中剪掉玫瑰，上面剪了剪。</v>
      </c>
    </row>
    <row r="32575">
      <c r="A32575" s="4" t="s">
        <v>41003</v>
      </c>
      <c r="B32575" s="4" t="s">
        <v>41006</v>
      </c>
      <c r="C32575" s="5" t="str">
        <f>IFERROR(__xludf.DUMMYFUNCTION("GOOGLETRANSLATE(B32575,""en"",""zh-CN"")"),"该男子将整个树枝夹在玫瑰灌木丛附近。")</f>
        <v>该男子将整个树枝夹在玫瑰灌木丛附近。</v>
      </c>
    </row>
    <row r="32576">
      <c r="A32576" s="4" t="s">
        <v>41003</v>
      </c>
      <c r="B32576" s="4" t="s">
        <v>41007</v>
      </c>
      <c r="C32576" s="5" t="str">
        <f>IFERROR(__xludf.DUMMYFUNCTION("GOOGLETRANSLATE(B32576,""en"",""zh-CN"")"),"垂死的玫瑰灌木丛留下了一个可见的近距离。")</f>
        <v>垂死的玫瑰灌木丛留下了一个可见的近距离。</v>
      </c>
    </row>
    <row r="32577">
      <c r="A32577" s="4" t="s">
        <v>41003</v>
      </c>
      <c r="B32577" s="4" t="s">
        <v>41008</v>
      </c>
      <c r="C32577" s="5" t="str">
        <f>IFERROR(__xludf.DUMMYFUNCTION("GOOGLETRANSLATE(B32577,""en"",""zh-CN"")"),"健康的玫瑰灌木叶子靠近。")</f>
        <v>健康的玫瑰灌木叶子靠近。</v>
      </c>
    </row>
    <row r="32578">
      <c r="A32578" s="4" t="s">
        <v>41009</v>
      </c>
      <c r="B32578" s="4" t="s">
        <v>41010</v>
      </c>
      <c r="C32578" s="5" t="str">
        <f>IFERROR(__xludf.DUMMYFUNCTION("GOOGLETRANSLATE(B32578,""en"",""zh-CN"")"),"几张照片显示了一个女人独自一人以及与朋友站在一起的照片。")</f>
        <v>几张照片显示了一个女人独自一人以及与朋友站在一起的照片。</v>
      </c>
    </row>
    <row r="32579">
      <c r="A32579" s="4" t="s">
        <v>41009</v>
      </c>
      <c r="B32579" s="6" t="s">
        <v>41011</v>
      </c>
      <c r="C32579" s="5" t="str">
        <f>IFERROR(__xludf.DUMMYFUNCTION("GOOGLETRANSLATE(B32579,""en"",""zh-CN"")"),"然后，显示了她与一大批人一起奔跑的视频录像，而许多人则在侧面观看。")</f>
        <v>然后，显示了她与一大批人一起奔跑的视频录像，而许多人则在侧面观看。</v>
      </c>
    </row>
    <row r="32580">
      <c r="A32580" s="4" t="s">
        <v>41009</v>
      </c>
      <c r="B32580" s="4" t="s">
        <v>41012</v>
      </c>
      <c r="C32580" s="5" t="str">
        <f>IFERROR(__xludf.DUMMYFUNCTION("GOOGLETRANSLATE(B32580,""en"",""zh-CN"")"),"还有更多图片显示她的比赛以及其他比赛。")</f>
        <v>还有更多图片显示她的比赛以及其他比赛。</v>
      </c>
    </row>
    <row r="32581">
      <c r="A32581" s="4" t="s">
        <v>41013</v>
      </c>
      <c r="B32581" s="4" t="s">
        <v>41014</v>
      </c>
      <c r="C32581" s="5" t="str">
        <f>IFERROR(__xludf.DUMMYFUNCTION("GOOGLETRANSLATE(B32581,""en"",""zh-CN"")"),"一个男人的脖子上有萨克斯管的男人在昏暗的房间里与镜头说话。")</f>
        <v>一个男人的脖子上有萨克斯管的男人在昏暗的房间里与镜头说话。</v>
      </c>
    </row>
    <row r="32582">
      <c r="A32582" s="4" t="s">
        <v>41013</v>
      </c>
      <c r="B32582" s="4" t="s">
        <v>41015</v>
      </c>
      <c r="C32582" s="5" t="str">
        <f>IFERROR(__xludf.DUMMYFUNCTION("GOOGLETRANSLATE(B32582,""en"",""zh-CN"")"),"相机像盒子旋转一样变化。")</f>
        <v>相机像盒子旋转一样变化。</v>
      </c>
    </row>
    <row r="32583">
      <c r="A32583" s="4" t="s">
        <v>41013</v>
      </c>
      <c r="B32583" s="4" t="s">
        <v>41016</v>
      </c>
      <c r="C32583" s="5" t="str">
        <f>IFERROR(__xludf.DUMMYFUNCTION("GOOGLETRANSLATE(B32583,""en"",""zh-CN"")"),"那个男人环顾四周，他正在演奏萨克斯管。")</f>
        <v>那个男人环顾四周，他正在演奏萨克斯管。</v>
      </c>
    </row>
    <row r="32584">
      <c r="A32584" s="4" t="s">
        <v>41013</v>
      </c>
      <c r="B32584" s="4" t="s">
        <v>41017</v>
      </c>
      <c r="C32584" s="5" t="str">
        <f>IFERROR(__xludf.DUMMYFUNCTION("GOOGLETRANSLATE(B32584,""en"",""zh-CN"")"),"一个人，一个人的屏幕左下角，屏幕逐渐消失。")</f>
        <v>一个人，一个人的屏幕左下角，屏幕逐渐消失。</v>
      </c>
    </row>
    <row r="32585">
      <c r="A32585" s="4" t="s">
        <v>41018</v>
      </c>
      <c r="B32585" s="4" t="s">
        <v>41019</v>
      </c>
      <c r="C32585" s="5" t="str">
        <f>IFERROR(__xludf.DUMMYFUNCTION("GOOGLETRANSLATE(B32585,""en"",""zh-CN"")"),"显示了一栋大棕色建筑物的前部，前面有雪。")</f>
        <v>显示了一栋大棕色建筑物的前部，前面有雪。</v>
      </c>
    </row>
    <row r="32586">
      <c r="A32586" s="4" t="s">
        <v>41018</v>
      </c>
      <c r="B32586" s="4" t="s">
        <v>41020</v>
      </c>
      <c r="C32586" s="5" t="str">
        <f>IFERROR(__xludf.DUMMYFUNCTION("GOOGLETRANSLATE(B32586,""en"",""zh-CN"")"),"在内部，有一个乒乓球桌，两个成年男性开始互相走向。")</f>
        <v>在内部，有一个乒乓球桌，两个成年男性开始互相走向。</v>
      </c>
    </row>
    <row r="32587">
      <c r="A32587" s="4" t="s">
        <v>41018</v>
      </c>
      <c r="B32587" s="4" t="s">
        <v>41021</v>
      </c>
      <c r="C32587" s="5" t="str">
        <f>IFERROR(__xludf.DUMMYFUNCTION("GOOGLETRANSLATE(B32587,""en"",""zh-CN"")"),"然后，他们开始用修女chuck打乒乓球，然后用脚击球。")</f>
        <v>然后，他们开始用修女chuck打乒乓球，然后用脚击球。</v>
      </c>
    </row>
    <row r="32588">
      <c r="A32588" s="4" t="s">
        <v>41018</v>
      </c>
      <c r="B32588" s="4" t="s">
        <v>41022</v>
      </c>
      <c r="C32588" s="5" t="str">
        <f>IFERROR(__xludf.DUMMYFUNCTION("GOOGLETRANSLATE(B32588,""en"",""zh-CN"")"),"随着游戏的进行，增加了更多的球，并且他们继续打球而没有缺少一个球。")</f>
        <v>随着游戏的进行，增加了更多的球，并且他们继续打球而没有缺少一个球。</v>
      </c>
    </row>
    <row r="32589">
      <c r="A32589" s="4" t="s">
        <v>41018</v>
      </c>
      <c r="B32589" s="4" t="s">
        <v>41023</v>
      </c>
      <c r="C32589" s="5" t="str">
        <f>IFERROR(__xludf.DUMMYFUNCTION("GOOGLETRANSLATE(B32589,""en"",""zh-CN"")"),"比赛加剧了，右边的那个人错过了球，男人祝贺自己。")</f>
        <v>比赛加剧了，右边的那个人错过了球，男人祝贺自己。</v>
      </c>
    </row>
    <row r="32590">
      <c r="A32590" s="4" t="s">
        <v>41024</v>
      </c>
      <c r="B32590" s="6" t="s">
        <v>41025</v>
      </c>
      <c r="C32590" s="5" t="str">
        <f>IFERROR(__xludf.DUMMYFUNCTION("GOOGLETRANSLATE(B32590,""en"",""zh-CN"")"),"看到一大批人在一个野外跑来跑去玩曲棍球游戏。")</f>
        <v>看到一大批人在一个野外跑来跑去玩曲棍球游戏。</v>
      </c>
    </row>
    <row r="32591">
      <c r="A32591" s="4" t="s">
        <v>41024</v>
      </c>
      <c r="B32591" s="4" t="s">
        <v>41026</v>
      </c>
      <c r="C32591" s="5" t="str">
        <f>IFERROR(__xludf.DUMMYFUNCTION("GOOGLETRANSLATE(B32591,""en"",""zh-CN"")"),"当摄像机捕捉动作时，玩家在场上上下跑。")</f>
        <v>当摄像机捕捉动作时，玩家在场上上下跑。</v>
      </c>
    </row>
    <row r="32592">
      <c r="A32592" s="4" t="s">
        <v>41024</v>
      </c>
      <c r="B32592" s="6" t="s">
        <v>41027</v>
      </c>
      <c r="C32592" s="5" t="str">
        <f>IFERROR(__xludf.DUMMYFUNCTION("GOOGLETRANSLATE(B32592,""en"",""zh-CN"")"),"当人们在侧面看并为他们加油时，这些人继续互相玩耍。")</f>
        <v>当人们在侧面看并为他们加油时，这些人继续互相玩耍。</v>
      </c>
    </row>
    <row r="32593">
      <c r="A32593" s="4" t="s">
        <v>41028</v>
      </c>
      <c r="B32593" s="4" t="s">
        <v>41029</v>
      </c>
      <c r="C32593" s="5" t="str">
        <f>IFERROR(__xludf.DUMMYFUNCTION("GOOGLETRANSLATE(B32593,""en"",""zh-CN"")"),"一个男人在头上举起大量的重量。")</f>
        <v>一个男人在头上举起大量的重量。</v>
      </c>
    </row>
    <row r="32594">
      <c r="A32594" s="4" t="s">
        <v>41028</v>
      </c>
      <c r="B32594" s="4" t="s">
        <v>41030</v>
      </c>
      <c r="C32594" s="5" t="str">
        <f>IFERROR(__xludf.DUMMYFUNCTION("GOOGLETRANSLATE(B32594,""en"",""zh-CN"")"),"一个女人走在他面前。")</f>
        <v>一个女人走在他面前。</v>
      </c>
    </row>
    <row r="32595">
      <c r="A32595" s="4" t="s">
        <v>41028</v>
      </c>
      <c r="B32595" s="4" t="s">
        <v>41031</v>
      </c>
      <c r="C32595" s="5" t="str">
        <f>IFERROR(__xludf.DUMMYFUNCTION("GOOGLETRANSLATE(B32595,""en"",""zh-CN"")"),"一个穿着黑色衬衫的男人站在他身后。")</f>
        <v>一个穿着黑色衬衫的男人站在他身后。</v>
      </c>
    </row>
    <row r="32596">
      <c r="A32596" s="4" t="s">
        <v>41028</v>
      </c>
      <c r="B32596" s="4" t="s">
        <v>33798</v>
      </c>
      <c r="C32596" s="5" t="str">
        <f>IFERROR(__xludf.DUMMYFUNCTION("GOOGLETRANSLATE(B32596,""en"",""zh-CN"")"),"屏幕上的单词出现在屏幕上。")</f>
        <v>屏幕上的单词出现在屏幕上。</v>
      </c>
    </row>
    <row r="32597">
      <c r="A32597" s="4" t="s">
        <v>41032</v>
      </c>
      <c r="B32597" s="4" t="s">
        <v>41033</v>
      </c>
      <c r="C32597" s="5" t="str">
        <f>IFERROR(__xludf.DUMMYFUNCTION("GOOGLETRANSLATE(B32597,""en"",""zh-CN"")"),"一个点燃的千斤顶灯笼开始焦点。")</f>
        <v>一个点燃的千斤顶灯笼开始焦点。</v>
      </c>
    </row>
    <row r="32598">
      <c r="A32598" s="4" t="s">
        <v>41032</v>
      </c>
      <c r="B32598" s="4" t="s">
        <v>41034</v>
      </c>
      <c r="C32598" s="5" t="str">
        <f>IFERROR(__xludf.DUMMYFUNCTION("GOOGLETRANSLATE(B32598,""en"",""zh-CN"")"),"千斤顶灯笼向相机移动。")</f>
        <v>千斤顶灯笼向相机移动。</v>
      </c>
    </row>
    <row r="32599">
      <c r="A32599" s="4" t="s">
        <v>41032</v>
      </c>
      <c r="B32599" s="4" t="s">
        <v>41035</v>
      </c>
      <c r="C32599" s="5" t="str">
        <f>IFERROR(__xludf.DUMMYFUNCTION("GOOGLETRANSLATE(B32599,""en"",""zh-CN"")"),"一个年轻的女人在白色的墙壁前非常动人地说话。")</f>
        <v>一个年轻的女人在白色的墙壁前非常动人地说话。</v>
      </c>
    </row>
    <row r="32600">
      <c r="A32600" s="4" t="s">
        <v>41032</v>
      </c>
      <c r="B32600" s="4" t="s">
        <v>41036</v>
      </c>
      <c r="C32600" s="5" t="str">
        <f>IFERROR(__xludf.DUMMYFUNCTION("GOOGLETRANSLATE(B32600,""en"",""zh-CN"")"),"女人说话时，她的手里握着一个小南瓜。")</f>
        <v>女人说话时，她的手里握着一个小南瓜。</v>
      </c>
    </row>
    <row r="32601">
      <c r="A32601" s="4" t="s">
        <v>41032</v>
      </c>
      <c r="B32601" s="4" t="s">
        <v>41037</v>
      </c>
      <c r="C32601" s="5" t="str">
        <f>IFERROR(__xludf.DUMMYFUNCTION("GOOGLETRANSLATE(B32601,""en"",""zh-CN"")"),"女人拿起一张纸上，上面有一些贴纸。")</f>
        <v>女人拿起一张纸上，上面有一些贴纸。</v>
      </c>
    </row>
    <row r="32602">
      <c r="A32602" s="4" t="s">
        <v>41032</v>
      </c>
      <c r="B32602" s="4" t="s">
        <v>41038</v>
      </c>
      <c r="C32602" s="5" t="str">
        <f>IFERROR(__xludf.DUMMYFUNCTION("GOOGLETRANSLATE(B32602,""en"",""zh-CN"")"),"看到南瓜独自在带有黑色桌布的桌子上移动。")</f>
        <v>看到南瓜独自在带有黑色桌布的桌子上移动。</v>
      </c>
    </row>
    <row r="32603">
      <c r="A32603" s="4" t="s">
        <v>41032</v>
      </c>
      <c r="B32603" s="4" t="s">
        <v>41039</v>
      </c>
      <c r="C32603" s="5" t="str">
        <f>IFERROR(__xludf.DUMMYFUNCTION("GOOGLETRANSLATE(B32603,""en"",""zh-CN"")"),"南瓜周围旋转一些卡通脸。")</f>
        <v>南瓜周围旋转一些卡通脸。</v>
      </c>
    </row>
    <row r="32604">
      <c r="A32604" s="4" t="s">
        <v>41032</v>
      </c>
      <c r="B32604" s="4" t="s">
        <v>41040</v>
      </c>
      <c r="C32604" s="5" t="str">
        <f>IFERROR(__xludf.DUMMYFUNCTION("GOOGLETRANSLATE(B32604,""en"",""zh-CN"")"),"刀的动画刺伤了南瓜，一只猫来到桌子旁边的来回奔跑。")</f>
        <v>刀的动画刺伤了南瓜，一只猫来到桌子旁边的来回奔跑。</v>
      </c>
    </row>
    <row r="32605">
      <c r="A32605" s="4" t="s">
        <v>41032</v>
      </c>
      <c r="B32605" s="4" t="s">
        <v>41041</v>
      </c>
      <c r="C32605" s="5" t="str">
        <f>IFERROR(__xludf.DUMMYFUNCTION("GOOGLETRANSLATE(B32605,""en"",""zh-CN"")"),"南瓜一次被一个，刀，勺子，蜡烛等代替。")</f>
        <v>南瓜一次被一个，刀，勺子，蜡烛等代替。</v>
      </c>
    </row>
    <row r="32606">
      <c r="A32606" s="4" t="s">
        <v>41032</v>
      </c>
      <c r="B32606" s="6" t="s">
        <v>41042</v>
      </c>
      <c r="C32606" s="5" t="str">
        <f>IFERROR(__xludf.DUMMYFUNCTION("GOOGLETRANSLATE(B32606,""en"",""zh-CN"")"),"该女人的脸上戴着小胡子的贴纸，用黑色毡笔在小南瓜上画。")</f>
        <v>该女人的脸上戴着小胡子的贴纸，用黑色毡笔在小南瓜上画。</v>
      </c>
    </row>
    <row r="32607">
      <c r="A32607" s="4" t="s">
        <v>41032</v>
      </c>
      <c r="B32607" s="4" t="s">
        <v>41043</v>
      </c>
      <c r="C32607" s="5" t="str">
        <f>IFERROR(__xludf.DUMMYFUNCTION("GOOGLETRANSLATE(B32607,""en"",""zh-CN"")"),"女人拿着刀，开始沿着她绘制的线条雕刻南瓜。")</f>
        <v>女人拿着刀，开始沿着她绘制的线条雕刻南瓜。</v>
      </c>
    </row>
    <row r="32608">
      <c r="A32608" s="4" t="s">
        <v>41032</v>
      </c>
      <c r="B32608" s="6" t="s">
        <v>41044</v>
      </c>
      <c r="C32608" s="5" t="str">
        <f>IFERROR(__xludf.DUMMYFUNCTION("GOOGLETRANSLATE(B32608,""en"",""zh-CN"")"),"女人用勺子将南瓜种子勺子勺子，将种子放在万圣节主题纸杯中。")</f>
        <v>女人用勺子将南瓜种子勺子勺子，将种子放在万圣节主题纸杯中。</v>
      </c>
    </row>
    <row r="32609">
      <c r="A32609" s="4" t="s">
        <v>41032</v>
      </c>
      <c r="B32609" s="4" t="s">
        <v>41045</v>
      </c>
      <c r="C32609" s="5" t="str">
        <f>IFERROR(__xludf.DUMMYFUNCTION("GOOGLETRANSLATE(B32609,""en"",""zh-CN"")"),"该名女子继续雕刻南瓜的脸，将其变成千斤顶灯笼。")</f>
        <v>该名女子继续雕刻南瓜的脸，将其变成千斤顶灯笼。</v>
      </c>
    </row>
    <row r="32610">
      <c r="A32610" s="4" t="s">
        <v>41032</v>
      </c>
      <c r="B32610" s="6" t="s">
        <v>41046</v>
      </c>
      <c r="C32610" s="5" t="str">
        <f>IFERROR(__xludf.DUMMYFUNCTION("GOOGLETRANSLATE(B32610,""en"",""zh-CN"")"),"该名女子用毛巾清理了千斤顶灯笼的脸，并将茎放回原处。")</f>
        <v>该名女子用毛巾清理了千斤顶灯笼的脸，并将茎放回原处。</v>
      </c>
    </row>
    <row r="32611">
      <c r="A32611" s="4" t="s">
        <v>41032</v>
      </c>
      <c r="B32611" s="4" t="s">
        <v>41047</v>
      </c>
      <c r="C32611" s="5" t="str">
        <f>IFERROR(__xludf.DUMMYFUNCTION("GOOGLETRANSLATE(B32611,""en"",""zh-CN"")"),"女人将蜡烛放在千斤顶的灯笼中。")</f>
        <v>女人将蜡烛放在千斤顶的灯笼中。</v>
      </c>
    </row>
    <row r="32612">
      <c r="A32612" s="4" t="s">
        <v>41032</v>
      </c>
      <c r="B32612" s="4" t="s">
        <v>41048</v>
      </c>
      <c r="C32612" s="5" t="str">
        <f>IFERROR(__xludf.DUMMYFUNCTION("GOOGLETRANSLATE(B32612,""en"",""zh-CN"")"),"女人在一次性打火机上轻弹。")</f>
        <v>女人在一次性打火机上轻弹。</v>
      </c>
    </row>
    <row r="32613">
      <c r="A32613" s="4" t="s">
        <v>41032</v>
      </c>
      <c r="B32613" s="4" t="s">
        <v>41049</v>
      </c>
      <c r="C32613" s="5" t="str">
        <f>IFERROR(__xludf.DUMMYFUNCTION("GOOGLETRANSLATE(B32613,""en"",""zh-CN"")"),"再次看到点燃的千斤顶灯笼在黑桌上自行移动。")</f>
        <v>再次看到点燃的千斤顶灯笼在黑桌上自行移动。</v>
      </c>
    </row>
    <row r="32614">
      <c r="A32614" s="4" t="s">
        <v>41032</v>
      </c>
      <c r="B32614" s="6" t="s">
        <v>41050</v>
      </c>
      <c r="C32614" s="5" t="str">
        <f>IFERROR(__xludf.DUMMYFUNCTION("GOOGLETRANSLATE(B32614,""en"",""zh-CN"")"),"视频结束并显示了一个拆分屏幕，其中包含该女士制作的其他三个视频的样本，中间带有“订阅”按钮。")</f>
        <v>视频结束并显示了一个拆分屏幕，其中包含该女士制作的其他三个视频的样本，中间带有“订阅”按钮。</v>
      </c>
    </row>
    <row r="32615">
      <c r="A32615" s="4" t="s">
        <v>41051</v>
      </c>
      <c r="B32615" s="4" t="s">
        <v>41052</v>
      </c>
      <c r="C32615" s="5" t="str">
        <f>IFERROR(__xludf.DUMMYFUNCTION("GOOGLETRANSLATE(B32615,""en"",""zh-CN"")"),"人坐在洗手架上，另一个男人进入沐浴者并开始对话。")</f>
        <v>人坐在洗手架上，另一个男人进入沐浴者并开始对话。</v>
      </c>
    </row>
    <row r="32616">
      <c r="A32616" s="4" t="s">
        <v>41051</v>
      </c>
      <c r="B32616" s="4" t="s">
        <v>41053</v>
      </c>
      <c r="C32616" s="5" t="str">
        <f>IFERROR(__xludf.DUMMYFUNCTION("GOOGLETRANSLATE(B32616,""en"",""zh-CN"")"),"人正在用牙刷散布牙膏，洗牙。")</f>
        <v>人正在用牙刷散布牙膏，洗牙。</v>
      </c>
    </row>
    <row r="32617">
      <c r="A32617" s="4" t="s">
        <v>41054</v>
      </c>
      <c r="B32617" s="4" t="s">
        <v>41055</v>
      </c>
      <c r="C32617" s="5" t="str">
        <f>IFERROR(__xludf.DUMMYFUNCTION("GOOGLETRANSLATE(B32617,""en"",""zh-CN"")"),"一个人从院子里耙下来，将它们倒在金属垃圾桶中。")</f>
        <v>一个人从院子里耙下来，将它们倒在金属垃圾桶中。</v>
      </c>
    </row>
    <row r="32618">
      <c r="A32618" s="4" t="s">
        <v>41054</v>
      </c>
      <c r="B32618" s="4" t="s">
        <v>41056</v>
      </c>
      <c r="C32618" s="5" t="str">
        <f>IFERROR(__xludf.DUMMYFUNCTION("GOOGLETRANSLATE(B32618,""en"",""zh-CN"")"),"该男子将工具放在棚子里，并带走一袋叶子。")</f>
        <v>该男子将工具放在棚子里，并带走一袋叶子。</v>
      </c>
    </row>
    <row r="32619">
      <c r="A32619" s="4" t="s">
        <v>41057</v>
      </c>
      <c r="B32619" s="4" t="s">
        <v>41058</v>
      </c>
      <c r="C32619" s="5" t="str">
        <f>IFERROR(__xludf.DUMMYFUNCTION("GOOGLETRANSLATE(B32619,""en"",""zh-CN"")"),"一群各个年龄段的男人和女人正在椭圆运动机器上进行锻炼。")</f>
        <v>一群各个年龄段的男人和女人正在椭圆运动机器上进行锻炼。</v>
      </c>
    </row>
    <row r="32620">
      <c r="A32620" s="4" t="s">
        <v>41057</v>
      </c>
      <c r="B32620" s="4" t="s">
        <v>41059</v>
      </c>
      <c r="C32620" s="5" t="str">
        <f>IFERROR(__xludf.DUMMYFUNCTION("GOOGLETRANSLATE(B32620,""en"",""zh-CN"")"),"一个只穿着短裤的男人擦拭棕色汗水，靠在墙上。")</f>
        <v>一个只穿着短裤的男人擦拭棕色汗水，靠在墙上。</v>
      </c>
    </row>
    <row r="32621">
      <c r="A32621" s="4" t="s">
        <v>41057</v>
      </c>
      <c r="B32621" s="6" t="s">
        <v>41060</v>
      </c>
      <c r="C32621" s="5" t="str">
        <f>IFERROR(__xludf.DUMMYFUNCTION("GOOGLETRANSLATE(B32621,""en"",""zh-CN"")"),"一个身穿白色比基尼的健康女人的身体作为一个女人展出，一个穿着锻炼衣服的男人在椭圆机上锻炼。")</f>
        <v>一个身穿白色比基尼的健康女人的身体作为一个女人展出，一个穿着锻炼衣服的男人在椭圆机上锻炼。</v>
      </c>
    </row>
    <row r="32622">
      <c r="A32622" s="4" t="s">
        <v>41057</v>
      </c>
      <c r="B32622" s="6" t="s">
        <v>41061</v>
      </c>
      <c r="C32622" s="5" t="str">
        <f>IFERROR(__xludf.DUMMYFUNCTION("GOOGLETRANSLATE(B32622,""en"",""zh-CN"")"),"然后，这个女人和男人穿着完整的休闲服装，然后返回到锻炼装备中的椭圆机，然后再次在椭圆机上向前骑自行车，并单独和机器上展示适合的配置文件。")</f>
        <v>然后，这个女人和男人穿着完整的休闲服装，然后返回到锻炼装备中的椭圆机，然后再次在椭圆机上向前骑自行车，并单独和机器上展示适合的配置文件。</v>
      </c>
    </row>
    <row r="32623">
      <c r="A32623" s="4" t="s">
        <v>41062</v>
      </c>
      <c r="B32623" s="6" t="s">
        <v>41063</v>
      </c>
      <c r="C32623" s="5" t="str">
        <f>IFERROR(__xludf.DUMMYFUNCTION("GOOGLETRANSLATE(B32623,""en"",""zh-CN"")"),"一群大型工作室里的一群女性穿着黑色，他们处于阵型状态，然后穿着黑色背心和白色裤子的男人在中心行走。")</f>
        <v>一群大型工作室里的一群女性穿着黑色，他们处于阵型状态，然后穿着黑色背心和白色裤子的男人在中心行走。</v>
      </c>
    </row>
    <row r="32624">
      <c r="A32624" s="4" t="s">
        <v>41062</v>
      </c>
      <c r="B32624" s="6" t="s">
        <v>41064</v>
      </c>
      <c r="C32624" s="5" t="str">
        <f>IFERROR(__xludf.DUMMYFUNCTION("GOOGLETRANSLATE(B32624,""en"",""zh-CN"")"),"雌性和男人开始进军，然后跳舞，举起手臂，然后向下走，然后向前走，侧身向后移动，将手臂向右移动，他们还摇动臀部和身体。")</f>
        <v>雌性和男人开始进军，然后跳舞，举起手臂，然后向下走，然后向前走，侧身向后移动，将手臂向右移动，他们还摇动臀部和身体。</v>
      </c>
    </row>
    <row r="32625">
      <c r="A32625" s="4" t="s">
        <v>41065</v>
      </c>
      <c r="B32625" s="4" t="s">
        <v>41066</v>
      </c>
      <c r="C32625" s="5" t="str">
        <f>IFERROR(__xludf.DUMMYFUNCTION("GOOGLETRANSLATE(B32625,""en"",""zh-CN"")"),"几名妇女在外面的舞台上进行多次练习，并作为一个小组锻炼。")</f>
        <v>几名妇女在外面的舞台上进行多次练习，并作为一个小组锻炼。</v>
      </c>
    </row>
    <row r="32626">
      <c r="A32626" s="4" t="s">
        <v>41065</v>
      </c>
      <c r="B32626" s="4" t="s">
        <v>41067</v>
      </c>
      <c r="C32626" s="5" t="str">
        <f>IFERROR(__xludf.DUMMYFUNCTION("GOOGLETRANSLATE(B32626,""en"",""zh-CN"")"),"随着他们的继续，几个人开始在舞台上行走，看着他们的表演。")</f>
        <v>随着他们的继续，几个人开始在舞台上行走，看着他们的表演。</v>
      </c>
    </row>
    <row r="32627">
      <c r="A32627" s="4" t="s">
        <v>41065</v>
      </c>
      <c r="B32627" s="6" t="s">
        <v>41068</v>
      </c>
      <c r="C32627" s="5" t="str">
        <f>IFERROR(__xludf.DUMMYFUNCTION("GOOGLETRANSLATE(B32627,""en"",""zh-CN"")"),"讲师继续跳舞并放大其他球队跳舞，结束时，他们一起拍手。")</f>
        <v>讲师继续跳舞并放大其他球队跳舞，结束时，他们一起拍手。</v>
      </c>
    </row>
    <row r="32628">
      <c r="A32628" s="4" t="s">
        <v>41069</v>
      </c>
      <c r="B32628" s="4" t="s">
        <v>41070</v>
      </c>
      <c r="C32628" s="5" t="str">
        <f>IFERROR(__xludf.DUMMYFUNCTION("GOOGLETRANSLATE(B32628,""en"",""zh-CN"")"),"有关如何编织头发的指示。")</f>
        <v>有关如何编织头发的指示。</v>
      </c>
    </row>
    <row r="32629">
      <c r="A32629" s="4" t="s">
        <v>41069</v>
      </c>
      <c r="B32629" s="4" t="s">
        <v>41071</v>
      </c>
      <c r="C32629" s="5" t="str">
        <f>IFERROR(__xludf.DUMMYFUNCTION("GOOGLETRANSLATE(B32629,""en"",""zh-CN"")"),"穿着灰色T恤的女孩演示了如何编织头发并逐步展示。")</f>
        <v>穿着灰色T恤的女孩演示了如何编织头发并逐步展示。</v>
      </c>
    </row>
    <row r="32630">
      <c r="A32630" s="4" t="s">
        <v>41069</v>
      </c>
      <c r="B32630" s="4" t="s">
        <v>41072</v>
      </c>
      <c r="C32630" s="5" t="str">
        <f>IFERROR(__xludf.DUMMYFUNCTION("GOOGLETRANSLATE(B32630,""en"",""zh-CN"")"),"一些提示显示在印刷中。")</f>
        <v>一些提示显示在印刷中。</v>
      </c>
    </row>
    <row r="32631">
      <c r="A32631" s="4" t="s">
        <v>41069</v>
      </c>
      <c r="B32631" s="4" t="s">
        <v>41073</v>
      </c>
      <c r="C32631" s="5" t="str">
        <f>IFERROR(__xludf.DUMMYFUNCTION("GOOGLETRANSLATE(B32631,""en"",""zh-CN"")"),"发型师在穿着黑色顶部和太阳镜的衣服时展示了成品。")</f>
        <v>发型师在穿着黑色顶部和太阳镜的衣服时展示了成品。</v>
      </c>
    </row>
    <row r="32632">
      <c r="A32632" s="4" t="s">
        <v>41074</v>
      </c>
      <c r="B32632" s="4" t="s">
        <v>41075</v>
      </c>
      <c r="C32632" s="5" t="str">
        <f>IFERROR(__xludf.DUMMYFUNCTION("GOOGLETRANSLATE(B32632,""en"",""zh-CN"")"),"一些人试图在海洋中冲浪。")</f>
        <v>一些人试图在海洋中冲浪。</v>
      </c>
    </row>
    <row r="32633">
      <c r="A32633" s="4" t="s">
        <v>41074</v>
      </c>
      <c r="B32633" s="4" t="s">
        <v>41076</v>
      </c>
      <c r="C32633" s="5" t="str">
        <f>IFERROR(__xludf.DUMMYFUNCTION("GOOGLETRANSLATE(B32633,""en"",""zh-CN"")"),"有时他们跌倒了，但是冲浪者通常做得很好。")</f>
        <v>有时他们跌倒了，但是冲浪者通常做得很好。</v>
      </c>
    </row>
    <row r="32634">
      <c r="A32634" s="4" t="s">
        <v>41077</v>
      </c>
      <c r="B32634" s="4" t="s">
        <v>41078</v>
      </c>
      <c r="C32634" s="5" t="str">
        <f>IFERROR(__xludf.DUMMYFUNCTION("GOOGLETRANSLATE(B32634,""en"",""zh-CN"")"),"一个男人坐在理发椅上。")</f>
        <v>一个男人坐在理发椅上。</v>
      </c>
    </row>
    <row r="32635">
      <c r="A32635" s="4" t="s">
        <v>41077</v>
      </c>
      <c r="B32635" s="4" t="s">
        <v>41079</v>
      </c>
      <c r="C32635" s="5" t="str">
        <f>IFERROR(__xludf.DUMMYFUNCTION("GOOGLETRANSLATE(B32635,""en"",""zh-CN"")"),"另一个男人开始剃光头的两侧。")</f>
        <v>另一个男人开始剃光头的两侧。</v>
      </c>
    </row>
    <row r="32636">
      <c r="A32636" s="4" t="s">
        <v>41077</v>
      </c>
      <c r="B32636" s="4" t="s">
        <v>41080</v>
      </c>
      <c r="C32636" s="5" t="str">
        <f>IFERROR(__xludf.DUMMYFUNCTION("GOOGLETRANSLATE(B32636,""en"",""zh-CN"")"),"他吹干头发并造型。")</f>
        <v>他吹干头发并造型。</v>
      </c>
    </row>
    <row r="32637">
      <c r="A32637" s="4" t="s">
        <v>41077</v>
      </c>
      <c r="B32637" s="4" t="s">
        <v>41081</v>
      </c>
      <c r="C32637" s="5" t="str">
        <f>IFERROR(__xludf.DUMMYFUNCTION("GOOGLETRANSLATE(B32637,""en"",""zh-CN"")"),"他在头发上放了一些凝胶。")</f>
        <v>他在头发上放了一些凝胶。</v>
      </c>
    </row>
    <row r="32638">
      <c r="A32638" s="4" t="s">
        <v>41082</v>
      </c>
      <c r="B32638" s="4" t="s">
        <v>41083</v>
      </c>
      <c r="C32638" s="5" t="str">
        <f>IFERROR(__xludf.DUMMYFUNCTION("GOOGLETRANSLATE(B32638,""en"",""zh-CN"")"),"一个摄像头在湖泊周围竖起，树木向前拉绳子。")</f>
        <v>一个摄像头在湖泊周围竖起，树木向前拉绳子。</v>
      </c>
    </row>
    <row r="32639">
      <c r="A32639" s="4" t="s">
        <v>41082</v>
      </c>
      <c r="B32639" s="6" t="s">
        <v>41084</v>
      </c>
      <c r="C32639" s="5" t="str">
        <f>IFERROR(__xludf.DUMMYFUNCTION("GOOGLETRANSLATE(B32639,""en"",""zh-CN"")"),"一个人将绳索绑在适当的位置，并显示了几个悬挂在绳索上的人剪辑以及行走。")</f>
        <v>一个人将绳索绑在适当的位置，并显示了几个悬挂在绳索上的人剪辑以及行走。</v>
      </c>
    </row>
    <row r="32640">
      <c r="A32640" s="4" t="s">
        <v>41082</v>
      </c>
      <c r="B32640" s="4" t="s">
        <v>41085</v>
      </c>
      <c r="C32640" s="5" t="str">
        <f>IFERROR(__xludf.DUMMYFUNCTION("GOOGLETRANSLATE(B32640,""en"",""zh-CN"")"),"显示了更多人沿着绳索行走以及更多的风景。")</f>
        <v>显示了更多人沿着绳索行走以及更多的风景。</v>
      </c>
    </row>
    <row r="32641">
      <c r="A32641" s="4" t="s">
        <v>41086</v>
      </c>
      <c r="B32641" s="4" t="s">
        <v>41087</v>
      </c>
      <c r="C32641" s="5" t="str">
        <f>IFERROR(__xludf.DUMMYFUNCTION("GOOGLETRANSLATE(B32641,""en"",""zh-CN"")"),"一位女士和她的头发一起玩。")</f>
        <v>一位女士和她的头发一起玩。</v>
      </c>
    </row>
    <row r="32642">
      <c r="A32642" s="4" t="s">
        <v>41086</v>
      </c>
      <c r="B32642" s="4" t="s">
        <v>4828</v>
      </c>
      <c r="C32642" s="5" t="str">
        <f>IFERROR(__xludf.DUMMYFUNCTION("GOOGLETRANSLATE(B32642,""en"",""zh-CN"")"),"女士刷她的头发。")</f>
        <v>女士刷她的头发。</v>
      </c>
    </row>
    <row r="32643">
      <c r="A32643" s="4" t="s">
        <v>41086</v>
      </c>
      <c r="B32643" s="6" t="s">
        <v>41088</v>
      </c>
      <c r="C32643" s="5" t="str">
        <f>IFERROR(__xludf.DUMMYFUNCTION("GOOGLETRANSLATE(B32643,""en"",""zh-CN"")"),"女士通过将手臂向上伸展，刷头发的底部，然后刷顶部，然后刷末端并完成。")</f>
        <v>女士通过将手臂向上伸展，刷头发的底部，然后刷顶部，然后刷末端并完成。</v>
      </c>
    </row>
    <row r="32644">
      <c r="A32644" s="4" t="s">
        <v>41089</v>
      </c>
      <c r="B32644" s="4" t="s">
        <v>41090</v>
      </c>
      <c r="C32644" s="5" t="str">
        <f>IFERROR(__xludf.DUMMYFUNCTION("GOOGLETRANSLATE(B32644,""en"",""zh-CN"")"),"一群人在高中体育馆里。")</f>
        <v>一群人在高中体育馆里。</v>
      </c>
    </row>
    <row r="32645">
      <c r="A32645" s="4" t="s">
        <v>41089</v>
      </c>
      <c r="B32645" s="4" t="s">
        <v>41091</v>
      </c>
      <c r="C32645" s="5" t="str">
        <f>IFERROR(__xludf.DUMMYFUNCTION("GOOGLETRANSLATE(B32645,""en"",""zh-CN"")"),"男性与女性合作，他们牵着手。")</f>
        <v>男性与女性合作，他们牵着手。</v>
      </c>
    </row>
    <row r="32646">
      <c r="A32646" s="4" t="s">
        <v>41089</v>
      </c>
      <c r="B32646" s="4" t="s">
        <v>41092</v>
      </c>
      <c r="C32646" s="5" t="str">
        <f>IFERROR(__xludf.DUMMYFUNCTION("GOOGLETRANSLATE(B32646,""en"",""zh-CN"")"),"现在他们都在跳舞相同的舞蹈。")</f>
        <v>现在他们都在跳舞相同的舞蹈。</v>
      </c>
    </row>
    <row r="32647">
      <c r="A32647" s="4" t="s">
        <v>41089</v>
      </c>
      <c r="B32647" s="4" t="s">
        <v>41093</v>
      </c>
      <c r="C32647" s="5" t="str">
        <f>IFERROR(__xludf.DUMMYFUNCTION("GOOGLETRANSLATE(B32647,""en"",""zh-CN"")"),"这似乎是某种探戈舞。")</f>
        <v>这似乎是某种探戈舞。</v>
      </c>
    </row>
    <row r="32648">
      <c r="A32648" s="4" t="s">
        <v>41089</v>
      </c>
      <c r="B32648" s="4" t="s">
        <v>41094</v>
      </c>
      <c r="C32648" s="5" t="str">
        <f>IFERROR(__xludf.DUMMYFUNCTION("GOOGLETRANSLATE(B32648,""en"",""zh-CN"")"),"这些男人在旋转着女孩。")</f>
        <v>这些男人在旋转着女孩。</v>
      </c>
    </row>
    <row r="32649">
      <c r="A32649" s="4" t="s">
        <v>41089</v>
      </c>
      <c r="B32649" s="4" t="s">
        <v>41095</v>
      </c>
      <c r="C32649" s="5" t="str">
        <f>IFERROR(__xludf.DUMMYFUNCTION("GOOGLETRANSLATE(B32649,""en"",""zh-CN"")"),"这些男人带领女孩参加舞蹈。")</f>
        <v>这些男人带领女孩参加舞蹈。</v>
      </c>
    </row>
    <row r="32650">
      <c r="A32650" s="4" t="s">
        <v>41089</v>
      </c>
      <c r="B32650" s="4" t="s">
        <v>41096</v>
      </c>
      <c r="C32650" s="5" t="str">
        <f>IFERROR(__xludf.DUMMYFUNCTION("GOOGLETRANSLATE(B32650,""en"",""zh-CN"")"),"女孩们在男孩们周围旋转。")</f>
        <v>女孩们在男孩们周围旋转。</v>
      </c>
    </row>
    <row r="32651">
      <c r="A32651" s="4" t="s">
        <v>41089</v>
      </c>
      <c r="B32651" s="4" t="s">
        <v>41097</v>
      </c>
      <c r="C32651" s="5" t="str">
        <f>IFERROR(__xludf.DUMMYFUNCTION("GOOGLETRANSLATE(B32651,""en"",""zh-CN"")"),"跳舞继续了很多瞬间。")</f>
        <v>跳舞继续了很多瞬间。</v>
      </c>
    </row>
    <row r="32652">
      <c r="A32652" s="4" t="s">
        <v>41089</v>
      </c>
      <c r="B32652" s="4" t="s">
        <v>41098</v>
      </c>
      <c r="C32652" s="5" t="str">
        <f>IFERROR(__xludf.DUMMYFUNCTION("GOOGLETRANSLATE(B32652,""en"",""zh-CN"")"),"女孩和男孩分开。")</f>
        <v>女孩和男孩分开。</v>
      </c>
    </row>
    <row r="32653">
      <c r="A32653" s="4" t="s">
        <v>41089</v>
      </c>
      <c r="B32653" s="4" t="s">
        <v>41099</v>
      </c>
      <c r="C32653" s="5" t="str">
        <f>IFERROR(__xludf.DUMMYFUNCTION("GOOGLETRANSLATE(B32653,""en"",""zh-CN"")"),"女孩们旋转围巾，然后男孩们捡起他们完成。")</f>
        <v>女孩们旋转围巾，然后男孩们捡起他们完成。</v>
      </c>
    </row>
    <row r="32654">
      <c r="A32654" s="4" t="s">
        <v>41100</v>
      </c>
      <c r="B32654" s="4" t="s">
        <v>41101</v>
      </c>
      <c r="C32654" s="5" t="str">
        <f>IFERROR(__xludf.DUMMYFUNCTION("GOOGLETRANSLATE(B32654,""en"",""zh-CN"")"),"我们看到一个穿着粉红色衬衫的男人在一场啤酒乒乓球比赛中扔了​​一个球。")</f>
        <v>我们看到一个穿着粉红色衬衫的男人在一场啤酒乒乓球比赛中扔了​​一个球。</v>
      </c>
    </row>
    <row r="32655">
      <c r="A32655" s="4" t="s">
        <v>41100</v>
      </c>
      <c r="B32655" s="4" t="s">
        <v>41102</v>
      </c>
      <c r="C32655" s="5" t="str">
        <f>IFERROR(__xludf.DUMMYFUNCTION("GOOGLETRANSLATE(B32655,""en"",""zh-CN"")"),"左球队的那个人将球从杯赛中吹出。")</f>
        <v>左球队的那个人将球从杯赛中吹出。</v>
      </c>
    </row>
    <row r="32656">
      <c r="A32656" s="4" t="s">
        <v>41100</v>
      </c>
      <c r="B32656" s="4" t="s">
        <v>41103</v>
      </c>
      <c r="C32656" s="5" t="str">
        <f>IFERROR(__xludf.DUMMYFUNCTION("GOOGLETRANSLATE(B32656,""en"",""zh-CN"")"),"男人和两个女士笑着欢呼，他高高击败一位女士。")</f>
        <v>男人和两个女士笑着欢呼，他高高击败一位女士。</v>
      </c>
    </row>
    <row r="32657">
      <c r="A32657" s="4" t="s">
        <v>41100</v>
      </c>
      <c r="B32657" s="4" t="s">
        <v>41104</v>
      </c>
      <c r="C32657" s="5" t="str">
        <f>IFERROR(__xludf.DUMMYFUNCTION("GOOGLETRANSLATE(B32657,""en"",""zh-CN"")"),"这个人做了手势。")</f>
        <v>这个人做了手势。</v>
      </c>
    </row>
    <row r="32658">
      <c r="A32658" s="4" t="s">
        <v>41105</v>
      </c>
      <c r="B32658" s="6" t="s">
        <v>41106</v>
      </c>
      <c r="C32658" s="5" t="str">
        <f>IFERROR(__xludf.DUMMYFUNCTION("GOOGLETRANSLATE(B32658,""en"",""zh-CN"")"),"有一个穿着黑色衬衫的年轻人绕着圈子，从正面和背面露出头发。")</f>
        <v>有一个穿着黑色衬衫的年轻人绕着圈子，从正面和背面露出头发。</v>
      </c>
    </row>
    <row r="32659">
      <c r="A32659" s="4" t="s">
        <v>41105</v>
      </c>
      <c r="B32659" s="4" t="s">
        <v>41107</v>
      </c>
      <c r="C32659" s="5" t="str">
        <f>IFERROR(__xludf.DUMMYFUNCTION("GOOGLETRANSLATE(B32659,""en"",""zh-CN"")"),"然后，他拿起一个喷雾瓶，用水喷洒头发，然后梳理。")</f>
        <v>然后，他拿起一个喷雾瓶，用水喷洒头发，然后梳理。</v>
      </c>
    </row>
    <row r="32660">
      <c r="A32660" s="4" t="s">
        <v>41105</v>
      </c>
      <c r="B32660" s="4" t="s">
        <v>41108</v>
      </c>
      <c r="C32660" s="5" t="str">
        <f>IFERROR(__xludf.DUMMYFUNCTION("GOOGLETRANSLATE(B32660,""en"",""zh-CN"")"),"然后，他拿起剃刀，开始剃光两侧和头部的后部。")</f>
        <v>然后，他拿起剃刀，开始剃光两侧和头部的后部。</v>
      </c>
    </row>
    <row r="32661">
      <c r="A32661" s="4" t="s">
        <v>41105</v>
      </c>
      <c r="B32661" s="4" t="s">
        <v>41109</v>
      </c>
      <c r="C32661" s="5" t="str">
        <f>IFERROR(__xludf.DUMMYFUNCTION("GOOGLETRANSLATE(B32661,""en"",""zh-CN"")"),"他拿起一对剪刀，开始修剪头发的顶部。")</f>
        <v>他拿起一对剪刀，开始修剪头发的顶部。</v>
      </c>
    </row>
    <row r="32662">
      <c r="A32662" s="4" t="s">
        <v>41105</v>
      </c>
      <c r="B32662" s="4" t="s">
        <v>41110</v>
      </c>
      <c r="C32662" s="5" t="str">
        <f>IFERROR(__xludf.DUMMYFUNCTION("GOOGLETRANSLATE(B32662,""en"",""zh-CN"")"),"他用黑色梳子和剪刀剪头发。")</f>
        <v>他用黑色梳子和剪刀剪头发。</v>
      </c>
    </row>
    <row r="32663">
      <c r="A32663" s="4" t="s">
        <v>41105</v>
      </c>
      <c r="B32663" s="4" t="s">
        <v>41111</v>
      </c>
      <c r="C32663" s="5" t="str">
        <f>IFERROR(__xludf.DUMMYFUNCTION("GOOGLETRANSLATE(B32663,""en"",""zh-CN"")"),"修剪时，他手里握着头发。")</f>
        <v>修剪时，他手里握着头发。</v>
      </c>
    </row>
    <row r="32664">
      <c r="A32664" s="4" t="s">
        <v>41105</v>
      </c>
      <c r="B32664" s="4" t="s">
        <v>41112</v>
      </c>
      <c r="C32664" s="5" t="str">
        <f>IFERROR(__xludf.DUMMYFUNCTION("GOOGLETRANSLATE(B32664,""en"",""zh-CN"")"),"他再次拿起剃须刀，剃光了两侧。")</f>
        <v>他再次拿起剃须刀，剃光了两侧。</v>
      </c>
    </row>
    <row r="32665">
      <c r="A32665" s="4" t="s">
        <v>41105</v>
      </c>
      <c r="B32665" s="4" t="s">
        <v>41113</v>
      </c>
      <c r="C32665" s="5" t="str">
        <f>IFERROR(__xludf.DUMMYFUNCTION("GOOGLETRANSLATE(B32665,""en"",""zh-CN"")"),"他也拿起剪刀，修剪头发。")</f>
        <v>他也拿起剪刀，修剪头发。</v>
      </c>
    </row>
    <row r="32666">
      <c r="A32666" s="4" t="s">
        <v>41105</v>
      </c>
      <c r="B32666" s="4" t="s">
        <v>41114</v>
      </c>
      <c r="C32666" s="5" t="str">
        <f>IFERROR(__xludf.DUMMYFUNCTION("GOOGLETRANSLATE(B32666,""en"",""zh-CN"")"),"然后，他吹干头发。")</f>
        <v>然后，他吹干头发。</v>
      </c>
    </row>
    <row r="32667">
      <c r="A32667" s="4" t="s">
        <v>41105</v>
      </c>
      <c r="B32667" s="6" t="s">
        <v>41115</v>
      </c>
      <c r="C32667" s="5" t="str">
        <f>IFERROR(__xludf.DUMMYFUNCTION("GOOGLETRANSLATE(B32667,""en"",""zh-CN"")"),"他从容器上拿着少量的头发凝胶，并通过头发的长部擦拭。")</f>
        <v>他从容器上拿着少量的头发凝胶，并通过头发的长部擦拭。</v>
      </c>
    </row>
    <row r="32668">
      <c r="A32668" s="4" t="s">
        <v>41105</v>
      </c>
      <c r="B32668" s="4" t="s">
        <v>41116</v>
      </c>
      <c r="C32668" s="5" t="str">
        <f>IFERROR(__xludf.DUMMYFUNCTION("GOOGLETRANSLATE(B32668,""en"",""zh-CN"")"),"然后，他将头发梳理起来。")</f>
        <v>然后，他将头发梳理起来。</v>
      </c>
    </row>
    <row r="32669">
      <c r="A32669" s="4" t="s">
        <v>41105</v>
      </c>
      <c r="B32669" s="4" t="s">
        <v>41117</v>
      </c>
      <c r="C32669" s="5" t="str">
        <f>IFERROR(__xludf.DUMMYFUNCTION("GOOGLETRANSLATE(B32669,""en"",""zh-CN"")"),"他用手指穿过头发，以完成外观。")</f>
        <v>他用手指穿过头发，以完成外观。</v>
      </c>
    </row>
    <row r="32670">
      <c r="A32670" s="4" t="s">
        <v>41105</v>
      </c>
      <c r="B32670" s="4" t="s">
        <v>41118</v>
      </c>
      <c r="C32670" s="5" t="str">
        <f>IFERROR(__xludf.DUMMYFUNCTION("GOOGLETRANSLATE(B32670,""en"",""zh-CN"")"),"他旋转以从各个角度展示自己的发型。")</f>
        <v>他旋转以从各个角度展示自己的发型。</v>
      </c>
    </row>
    <row r="32671">
      <c r="A32671" s="4" t="s">
        <v>41119</v>
      </c>
      <c r="B32671" s="4" t="s">
        <v>41120</v>
      </c>
      <c r="C32671" s="5" t="str">
        <f>IFERROR(__xludf.DUMMYFUNCTION("GOOGLETRANSLATE(B32671,""en"",""zh-CN"")"),"一群人聚集在一起。")</f>
        <v>一群人聚集在一起。</v>
      </c>
    </row>
    <row r="32672">
      <c r="A32672" s="4" t="s">
        <v>41119</v>
      </c>
      <c r="B32672" s="4" t="s">
        <v>41121</v>
      </c>
      <c r="C32672" s="5" t="str">
        <f>IFERROR(__xludf.DUMMYFUNCTION("GOOGLETRANSLATE(B32672,""en"",""zh-CN"")"),"两名男子在圈子里展示了武术。")</f>
        <v>两名男子在圈子里展示了武术。</v>
      </c>
    </row>
    <row r="32673">
      <c r="A32673" s="4" t="s">
        <v>41119</v>
      </c>
      <c r="B32673" s="4" t="s">
        <v>41122</v>
      </c>
      <c r="C32673" s="5" t="str">
        <f>IFERROR(__xludf.DUMMYFUNCTION("GOOGLETRANSLATE(B32673,""en"",""zh-CN"")"),"圈子里的几个人弹奏乐器。")</f>
        <v>圈子里的几个人弹奏乐器。</v>
      </c>
    </row>
    <row r="32674">
      <c r="A32674" s="4" t="s">
        <v>41123</v>
      </c>
      <c r="B32674" s="4" t="s">
        <v>41124</v>
      </c>
      <c r="C32674" s="5" t="str">
        <f>IFERROR(__xludf.DUMMYFUNCTION("GOOGLETRANSLATE(B32674,""en"",""zh-CN"")"),"梳妆台从顶部开始剪下男人的头发。")</f>
        <v>梳妆台从顶部开始剪下男人的头发。</v>
      </c>
    </row>
    <row r="32675">
      <c r="A32675" s="4" t="s">
        <v>41123</v>
      </c>
      <c r="B32675" s="4" t="s">
        <v>41125</v>
      </c>
      <c r="C32675" s="5" t="str">
        <f>IFERROR(__xludf.DUMMYFUNCTION("GOOGLETRANSLATE(B32675,""en"",""zh-CN"")"),"然后，他从后剪开始，然后回到那里。")</f>
        <v>然后，他从后剪开始，然后回到那里。</v>
      </c>
    </row>
    <row r="32676">
      <c r="A32676" s="4" t="s">
        <v>41123</v>
      </c>
      <c r="B32676" s="4" t="s">
        <v>41126</v>
      </c>
      <c r="C32676" s="5" t="str">
        <f>IFERROR(__xludf.DUMMYFUNCTION("GOOGLETRANSLATE(B32676,""en"",""zh-CN"")"),"之后，他使用一些快船来夹一些较硬的区域。")</f>
        <v>之后，他使用一些快船来夹一些较硬的区域。</v>
      </c>
    </row>
    <row r="32677">
      <c r="A32677" s="4" t="s">
        <v>41123</v>
      </c>
      <c r="B32677" s="4" t="s">
        <v>41127</v>
      </c>
      <c r="C32677" s="5" t="str">
        <f>IFERROR(__xludf.DUMMYFUNCTION("GOOGLETRANSLATE(B32677,""en"",""zh-CN"")"),"最后，使用梳子对其进行了一些样式，并进行完成。")</f>
        <v>最后，使用梳子对其进行了一些样式，并进行完成。</v>
      </c>
    </row>
    <row r="32678">
      <c r="A32678" s="4" t="s">
        <v>41128</v>
      </c>
      <c r="B32678" s="4" t="s">
        <v>41129</v>
      </c>
      <c r="C32678" s="5" t="str">
        <f>IFERROR(__xludf.DUMMYFUNCTION("GOOGLETRANSLATE(B32678,""en"",""zh-CN"")"),"两个家伙出现在后院，正在和镜头说话。")</f>
        <v>两个家伙出现在后院，正在和镜头说话。</v>
      </c>
    </row>
    <row r="32679">
      <c r="A32679" s="4" t="s">
        <v>41128</v>
      </c>
      <c r="B32679" s="6" t="s">
        <v>41130</v>
      </c>
      <c r="C32679" s="5" t="str">
        <f>IFERROR(__xludf.DUMMYFUNCTION("GOOGLETRANSLATE(B32679,""en"",""zh-CN"")"),"伙计们在木质表面上玩岩石剪刀，失败者在坚果上被造成木质打击，掉到了地板上。")</f>
        <v>伙计们在木质表面上玩岩石剪刀，失败者在坚果上被造成木质打击，掉到了地板上。</v>
      </c>
    </row>
    <row r="32680">
      <c r="A32680" s="4" t="s">
        <v>41128</v>
      </c>
      <c r="B32680" s="4" t="s">
        <v>41131</v>
      </c>
      <c r="C32680" s="5" t="str">
        <f>IFERROR(__xludf.DUMMYFUNCTION("GOOGLETRANSLATE(B32680,""en"",""zh-CN"")"),"男人正在与摄像机交谈，其他人在后面ADN，然后与获胜者交谈。")</f>
        <v>男人正在与摄像机交谈，其他人在后面ADN，然后与获胜者交谈。</v>
      </c>
    </row>
    <row r="32681">
      <c r="A32681" s="4" t="s">
        <v>41128</v>
      </c>
      <c r="B32681" s="6" t="s">
        <v>41132</v>
      </c>
      <c r="C32681" s="5" t="str">
        <f>IFERROR(__xludf.DUMMYFUNCTION("GOOGLETRANSLATE(B32681,""en"",""zh-CN"")"),"他们正在玩第二回合的岩石剪刀，但失败者再次被弄脏了，螺母上有木制的打击，一个男人正在和镜头说话。")</f>
        <v>他们正在玩第二回合的岩石剪刀，但失败者再次被弄脏了，螺母上有木制的打击，一个男人正在和镜头说话。</v>
      </c>
    </row>
    <row r="32682">
      <c r="A32682" s="4" t="s">
        <v>41128</v>
      </c>
      <c r="B32682" s="6" t="s">
        <v>41133</v>
      </c>
      <c r="C32682" s="5" t="str">
        <f>IFERROR(__xludf.DUMMYFUNCTION("GOOGLETRANSLATE(B32682,""en"",""zh-CN"")"),"这些家伙制作了最后一轮岩石剪刀，并宣布了获胜者，其中一名男子对这两个家伙都陷入困境。")</f>
        <v>这些家伙制作了最后一轮岩石剪刀，并宣布了获胜者，其中一名男子对这两个家伙都陷入困境。</v>
      </c>
    </row>
    <row r="32683">
      <c r="A32683" s="4" t="s">
        <v>41134</v>
      </c>
      <c r="B32683" s="4" t="s">
        <v>41135</v>
      </c>
      <c r="C32683" s="5" t="str">
        <f>IFERROR(__xludf.DUMMYFUNCTION("GOOGLETRANSLATE(B32683,""en"",""zh-CN"")"),"一个人站在垫子上。")</f>
        <v>一个人站在垫子上。</v>
      </c>
    </row>
    <row r="32684">
      <c r="A32684" s="4" t="s">
        <v>41134</v>
      </c>
      <c r="B32684" s="4" t="s">
        <v>41136</v>
      </c>
      <c r="C32684" s="5" t="str">
        <f>IFERROR(__xludf.DUMMYFUNCTION("GOOGLETRANSLATE(B32684,""en"",""zh-CN"")"),"他们从一条跑道上跑了一根杆子，并在酒吧上跑了跳马。")</f>
        <v>他们从一条跑道上跑了一根杆子，并在酒吧上跑了跳马。</v>
      </c>
    </row>
    <row r="32685">
      <c r="A32685" s="4" t="s">
        <v>41134</v>
      </c>
      <c r="B32685" s="4" t="s">
        <v>41137</v>
      </c>
      <c r="C32685" s="5" t="str">
        <f>IFERROR(__xludf.DUMMYFUNCTION("GOOGLETRANSLATE(B32685,""en"",""zh-CN"")"),"他们落在垫子上。")</f>
        <v>他们落在垫子上。</v>
      </c>
    </row>
    <row r="32686">
      <c r="A32686" s="4" t="s">
        <v>41138</v>
      </c>
      <c r="B32686" s="6" t="s">
        <v>41139</v>
      </c>
      <c r="C32686" s="5" t="str">
        <f>IFERROR(__xludf.DUMMYFUNCTION("GOOGLETRANSLATE(B32686,""en"",""zh-CN"")"),"两个双胞胎以相同的方式穿着，并带有相同的发型在房间里与相机交谈。")</f>
        <v>两个双胞胎以相同的方式穿着，并带有相同的发型在房间里与相机交谈。</v>
      </c>
    </row>
    <row r="32687">
      <c r="A32687" s="4" t="s">
        <v>41138</v>
      </c>
      <c r="B32687" s="6" t="s">
        <v>41140</v>
      </c>
      <c r="C32687" s="5" t="str">
        <f>IFERROR(__xludf.DUMMYFUNCTION("GOOGLETRANSLATE(B32687,""en"",""zh-CN"")"),"后面的男人开始将一些拳击手放在裤子上方，而前面的男人继续对着相机说话。")</f>
        <v>后面的男人开始将一些拳击手放在裤子上方，而前面的男人继续对着相机说话。</v>
      </c>
    </row>
    <row r="32688">
      <c r="A32688" s="4" t="s">
        <v>41138</v>
      </c>
      <c r="B32688" s="6" t="s">
        <v>41141</v>
      </c>
      <c r="C32688" s="5" t="str">
        <f>IFERROR(__xludf.DUMMYFUNCTION("GOOGLETRANSLATE(B32688,""en"",""zh-CN"")"),"前面的人握着刷子，放一些牙膏并清洁牙齿，然后那个家伙将牙刷引入蜂蜜锅中，然后用它刷牙。")</f>
        <v>前面的人握着刷子，放一些牙膏并清洁牙齿，然后那个家伙将牙刷引入蜂蜜锅中，然后用它刷牙。</v>
      </c>
    </row>
    <row r="32689">
      <c r="A32689" s="4" t="s">
        <v>41138</v>
      </c>
      <c r="B32689" s="6" t="s">
        <v>41142</v>
      </c>
      <c r="C32689" s="5" t="str">
        <f>IFERROR(__xludf.DUMMYFUNCTION("GOOGLETRANSLATE(B32689,""en"",""zh-CN"")"),"前面的人拿着毛发，另一个人喝水，另一个家伙用果酱握住牙刷，刷牙。")</f>
        <v>前面的人拿着毛发，另一个人喝水，另一个家伙用果酱握住牙刷，刷牙。</v>
      </c>
    </row>
    <row r="32690">
      <c r="A32690" s="4" t="s">
        <v>41143</v>
      </c>
      <c r="B32690" s="4" t="s">
        <v>41144</v>
      </c>
      <c r="C32690" s="5" t="str">
        <f>IFERROR(__xludf.DUMMYFUNCTION("GOOGLETRANSLATE(B32690,""en"",""zh-CN"")"),"一只小狗正在玩粉红色的飞盘。")</f>
        <v>一只小狗正在玩粉红色的飞盘。</v>
      </c>
    </row>
    <row r="32691">
      <c r="A32691" s="4" t="s">
        <v>41143</v>
      </c>
      <c r="B32691" s="4" t="s">
        <v>41145</v>
      </c>
      <c r="C32691" s="5" t="str">
        <f>IFERROR(__xludf.DUMMYFUNCTION("GOOGLETRANSLATE(B32691,""en"",""zh-CN"")"),"一个穿着白色衬衫和红色短裤的男人放下，将脚放在空中。")</f>
        <v>一个穿着白色衬衫和红色短裤的男人放下，将脚放在空中。</v>
      </c>
    </row>
    <row r="32692">
      <c r="A32692" s="4" t="s">
        <v>41143</v>
      </c>
      <c r="B32692" s="4" t="s">
        <v>41146</v>
      </c>
      <c r="C32692" s="5" t="str">
        <f>IFERROR(__xludf.DUMMYFUNCTION("GOOGLETRANSLATE(B32692,""en"",""zh-CN"")"),"狗站在曼斯脚的顶部。")</f>
        <v>狗站在曼斯脚的顶部。</v>
      </c>
    </row>
    <row r="32693">
      <c r="A32693" s="4" t="s">
        <v>41143</v>
      </c>
      <c r="B32693" s="4" t="s">
        <v>41147</v>
      </c>
      <c r="C32693" s="5" t="str">
        <f>IFERROR(__xludf.DUMMYFUNCTION("GOOGLETRANSLATE(B32693,""en"",""zh-CN"")"),"人们在场外看着它们。")</f>
        <v>人们在场外看着它们。</v>
      </c>
    </row>
    <row r="32694">
      <c r="A32694" s="4" t="s">
        <v>41148</v>
      </c>
      <c r="B32694" s="4" t="s">
        <v>41149</v>
      </c>
      <c r="C32694" s="5" t="str">
        <f>IFERROR(__xludf.DUMMYFUNCTION("GOOGLETRANSLATE(B32694,""en"",""zh-CN"")"),"人正坐在一个平静的湖中的船上。")</f>
        <v>人正坐在一个平静的湖中的船上。</v>
      </c>
    </row>
    <row r="32695">
      <c r="A32695" s="4" t="s">
        <v>41148</v>
      </c>
      <c r="B32695" s="4" t="s">
        <v>41150</v>
      </c>
      <c r="C32695" s="5" t="str">
        <f>IFERROR(__xludf.DUMMYFUNCTION("GOOGLETRANSLATE(B32695,""en"",""zh-CN"")"),"汽车正在高速公路上驾驶，侧面有汽车。")</f>
        <v>汽车正在高速公路上驾驶，侧面有汽车。</v>
      </c>
    </row>
    <row r="32696">
      <c r="A32696" s="4" t="s">
        <v>41148</v>
      </c>
      <c r="B32696" s="4" t="s">
        <v>41151</v>
      </c>
      <c r="C32696" s="5" t="str">
        <f>IFERROR(__xludf.DUMMYFUNCTION("GOOGLETRANSLATE(B32696,""en"",""zh-CN"")"),"显示了一张iver的照片，他的汽车穿过海峡并到达湖泊。")</f>
        <v>显示了一张iver的照片，他的汽车穿过海峡并到达湖泊。</v>
      </c>
    </row>
    <row r="32697">
      <c r="A32697" s="4" t="s">
        <v>41148</v>
      </c>
      <c r="B32697" s="4" t="s">
        <v>41152</v>
      </c>
      <c r="C32697" s="5" t="str">
        <f>IFERROR(__xludf.DUMMYFUNCTION("GOOGLETRANSLATE(B32697,""en"",""zh-CN"")"),"人们在河里划船，到达码头的一个营地。")</f>
        <v>人们在河里划船，到达码头的一个营地。</v>
      </c>
    </row>
    <row r="32698">
      <c r="A32698" s="4" t="s">
        <v>41153</v>
      </c>
      <c r="B32698" s="4" t="s">
        <v>41154</v>
      </c>
      <c r="C32698" s="5" t="str">
        <f>IFERROR(__xludf.DUMMYFUNCTION("GOOGLETRANSLATE(B32698,""en"",""zh-CN"")"),"一个男人用双手握住杆子。")</f>
        <v>一个男人用双手握住杆子。</v>
      </c>
    </row>
    <row r="32699">
      <c r="A32699" s="4" t="s">
        <v>41153</v>
      </c>
      <c r="B32699" s="4" t="s">
        <v>41155</v>
      </c>
      <c r="C32699" s="5" t="str">
        <f>IFERROR(__xludf.DUMMYFUNCTION("GOOGLETRANSLATE(B32699,""en"",""zh-CN"")"),"然后，她用杆子高高地跳过水平杆。")</f>
        <v>然后，她用杆子高高地跳过水平杆。</v>
      </c>
    </row>
    <row r="32700">
      <c r="A32700" s="4" t="s">
        <v>41153</v>
      </c>
      <c r="B32700" s="4" t="s">
        <v>41156</v>
      </c>
      <c r="C32700" s="5" t="str">
        <f>IFERROR(__xludf.DUMMYFUNCTION("GOOGLETRANSLATE(B32700,""en"",""zh-CN"")"),"那个男人跌落在垫子上。")</f>
        <v>那个男人跌落在垫子上。</v>
      </c>
    </row>
    <row r="32701">
      <c r="A32701" s="4" t="s">
        <v>41157</v>
      </c>
      <c r="B32701" s="4" t="s">
        <v>41158</v>
      </c>
      <c r="C32701" s="5" t="str">
        <f>IFERROR(__xludf.DUMMYFUNCTION("GOOGLETRANSLATE(B32701,""en"",""zh-CN"")"),"几个男孩正​​在骑滑板。")</f>
        <v>几个男孩正​​在骑滑板。</v>
      </c>
    </row>
    <row r="32702">
      <c r="A32702" s="4" t="s">
        <v>41157</v>
      </c>
      <c r="B32702" s="4" t="s">
        <v>41159</v>
      </c>
      <c r="C32702" s="5" t="str">
        <f>IFERROR(__xludf.DUMMYFUNCTION("GOOGLETRANSLATE(B32702,""en"",""zh-CN"")"),"他们看着另一个男人在打篮球。")</f>
        <v>他们看着另一个男人在打篮球。</v>
      </c>
    </row>
    <row r="32703">
      <c r="A32703" s="4" t="s">
        <v>41157</v>
      </c>
      <c r="B32703" s="4" t="s">
        <v>41160</v>
      </c>
      <c r="C32703" s="5" t="str">
        <f>IFERROR(__xludf.DUMMYFUNCTION("GOOGLETRANSLATE(B32703,""en"",""zh-CN"")"),"他们争辩说，然后篮球运动员离开了。")</f>
        <v>他们争辩说，然后篮球运动员离开了。</v>
      </c>
    </row>
    <row r="32704">
      <c r="A32704" s="4" t="s">
        <v>41161</v>
      </c>
      <c r="B32704" s="6" t="s">
        <v>41162</v>
      </c>
      <c r="C32704" s="5" t="str">
        <f>IFERROR(__xludf.DUMMYFUNCTION("GOOGLETRANSLATE(B32704,""en"",""zh-CN"")"),"显示了一盒滚筒，并打开盖子的盖子AMD TJE Accesories用滚筒显示。")</f>
        <v>显示了一盒滚筒，并打开盖子的盖子AMD TJE Accesories用滚筒显示。</v>
      </c>
    </row>
    <row r="32705">
      <c r="A32705" s="4" t="s">
        <v>41161</v>
      </c>
      <c r="B32705" s="4" t="s">
        <v>41163</v>
      </c>
      <c r="C32705" s="5" t="str">
        <f>IFERROR(__xludf.DUMMYFUNCTION("GOOGLETRANSLATE(B32705,""en"",""zh-CN"")"),"男人在街上滑冰，并展示溜冰鞋的照片。")</f>
        <v>男人在街上滑冰，并展示溜冰鞋的照片。</v>
      </c>
    </row>
    <row r="32706">
      <c r="A32706" s="4" t="s">
        <v>41164</v>
      </c>
      <c r="B32706" s="6" t="s">
        <v>41165</v>
      </c>
      <c r="C32706" s="5" t="str">
        <f>IFERROR(__xludf.DUMMYFUNCTION("GOOGLETRANSLATE(B32706,""en"",""zh-CN"")"),"一个在停车场的女人正在上下弹跳，她的腿上有某种Pogo棍子附件。")</f>
        <v>一个在停车场的女人正在上下弹跳，她的腿上有某种Pogo棍子附件。</v>
      </c>
    </row>
    <row r="32707">
      <c r="A32707" s="4" t="s">
        <v>41164</v>
      </c>
      <c r="B32707" s="4" t="s">
        <v>41166</v>
      </c>
      <c r="C32707" s="5" t="str">
        <f>IFERROR(__xludf.DUMMYFUNCTION("GOOGLETRANSLATE(B32707,""en"",""zh-CN"")"),"那个女人在停车场漫步。")</f>
        <v>那个女人在停车场漫步。</v>
      </c>
    </row>
    <row r="32708">
      <c r="A32708" s="4" t="s">
        <v>41164</v>
      </c>
      <c r="B32708" s="4" t="s">
        <v>41167</v>
      </c>
      <c r="C32708" s="5" t="str">
        <f>IFERROR(__xludf.DUMMYFUNCTION("GOOGLETRANSLATE(B32708,""en"",""zh-CN"")"),"那个女人走来走去时开始上下弹跳。")</f>
        <v>那个女人走来走去时开始上下弹跳。</v>
      </c>
    </row>
    <row r="32709">
      <c r="A32709" s="4" t="s">
        <v>41164</v>
      </c>
      <c r="B32709" s="4" t="s">
        <v>41168</v>
      </c>
      <c r="C32709" s="5" t="str">
        <f>IFERROR(__xludf.DUMMYFUNCTION("GOOGLETRANSLATE(B32709,""en"",""zh-CN"")"),"一个男人走上去和那个女人说话。")</f>
        <v>一个男人走上去和那个女人说话。</v>
      </c>
    </row>
    <row r="32710">
      <c r="A32710" s="4" t="s">
        <v>41164</v>
      </c>
      <c r="B32710" s="4" t="s">
        <v>41169</v>
      </c>
      <c r="C32710" s="5" t="str">
        <f>IFERROR(__xludf.DUMMYFUNCTION("GOOGLETRANSLATE(B32710,""en"",""zh-CN"")"),"女人握住男人的手以保持平衡，同时弹跳。")</f>
        <v>女人握住男人的手以保持平衡，同时弹跳。</v>
      </c>
    </row>
    <row r="32711">
      <c r="A32711" s="4" t="s">
        <v>41170</v>
      </c>
      <c r="B32711" s="4" t="s">
        <v>41171</v>
      </c>
      <c r="C32711" s="5" t="str">
        <f>IFERROR(__xludf.DUMMYFUNCTION("GOOGLETRANSLATE(B32711,""en"",""zh-CN"")"),"一个男人正在打开后门，让一个小女孩在外面。")</f>
        <v>一个男人正在打开后门，让一个小女孩在外面。</v>
      </c>
    </row>
    <row r="32712">
      <c r="A32712" s="4" t="s">
        <v>41170</v>
      </c>
      <c r="B32712" s="4" t="s">
        <v>41172</v>
      </c>
      <c r="C32712" s="5" t="str">
        <f>IFERROR(__xludf.DUMMYFUNCTION("GOOGLETRANSLATE(B32712,""en"",""zh-CN"")"),"这个男人正在跟随小女孩。")</f>
        <v>这个男人正在跟随小女孩。</v>
      </c>
    </row>
    <row r="32713">
      <c r="A32713" s="4" t="s">
        <v>41170</v>
      </c>
      <c r="B32713" s="4" t="s">
        <v>41173</v>
      </c>
      <c r="C32713" s="5" t="str">
        <f>IFERROR(__xludf.DUMMYFUNCTION("GOOGLETRANSLATE(B32713,""en"",""zh-CN"")"),"一个小女孩走路并指向相机。")</f>
        <v>一个小女孩走路并指向相机。</v>
      </c>
    </row>
    <row r="32714">
      <c r="A32714" s="4" t="s">
        <v>41170</v>
      </c>
      <c r="B32714" s="4" t="s">
        <v>41174</v>
      </c>
      <c r="C32714" s="5" t="str">
        <f>IFERROR(__xludf.DUMMYFUNCTION("GOOGLETRANSLATE(B32714,""en"",""zh-CN"")"),"一只狗进入现场，小女孩幸福地跳了起来。")</f>
        <v>一只狗进入现场，小女孩幸福地跳了起来。</v>
      </c>
    </row>
    <row r="32715">
      <c r="A32715" s="4" t="s">
        <v>41170</v>
      </c>
      <c r="B32715" s="4" t="s">
        <v>41175</v>
      </c>
      <c r="C32715" s="5" t="str">
        <f>IFERROR(__xludf.DUMMYFUNCTION("GOOGLETRANSLATE(B32715,""en"",""zh-CN"")"),"小女孩在她的滑梯上走来走去。")</f>
        <v>小女孩在她的滑梯上走来走去。</v>
      </c>
    </row>
    <row r="32716">
      <c r="A32716" s="4" t="s">
        <v>41170</v>
      </c>
      <c r="B32716" s="4" t="s">
        <v>41176</v>
      </c>
      <c r="C32716" s="5" t="str">
        <f>IFERROR(__xludf.DUMMYFUNCTION("GOOGLETRANSLATE(B32716,""en"",""zh-CN"")"),"小女孩开始爬上滑梯，男人帮助她登顶。")</f>
        <v>小女孩开始爬上滑梯，男人帮助她登顶。</v>
      </c>
    </row>
    <row r="32717">
      <c r="A32717" s="4" t="s">
        <v>41170</v>
      </c>
      <c r="B32717" s="4" t="s">
        <v>41177</v>
      </c>
      <c r="C32717" s="5" t="str">
        <f>IFERROR(__xludf.DUMMYFUNCTION("GOOGLETRANSLATE(B32717,""en"",""zh-CN"")"),"这个小女孩开始搭便车并跪下。")</f>
        <v>这个小女孩开始搭便车并跪下。</v>
      </c>
    </row>
    <row r="32718">
      <c r="A32718" s="4" t="s">
        <v>41170</v>
      </c>
      <c r="B32718" s="4" t="s">
        <v>41178</v>
      </c>
      <c r="C32718" s="5" t="str">
        <f>IFERROR(__xludf.DUMMYFUNCTION("GOOGLETRANSLATE(B32718,""en"",""zh-CN"")"),"这个男人帮助小女孩走下坡路。")</f>
        <v>这个男人帮助小女孩走下坡路。</v>
      </c>
    </row>
    <row r="32719">
      <c r="A32719" s="4" t="s">
        <v>41170</v>
      </c>
      <c r="B32719" s="4" t="s">
        <v>41179</v>
      </c>
      <c r="C32719" s="5" t="str">
        <f>IFERROR(__xludf.DUMMYFUNCTION("GOOGLETRANSLATE(B32719,""en"",""zh-CN"")"),"小女孩去摇摆，男人帮助她进入它。")</f>
        <v>小女孩去摇摆，男人帮助她进入它。</v>
      </c>
    </row>
    <row r="32720">
      <c r="A32720" s="4" t="s">
        <v>41170</v>
      </c>
      <c r="B32720" s="4" t="s">
        <v>41180</v>
      </c>
      <c r="C32720" s="5" t="str">
        <f>IFERROR(__xludf.DUMMYFUNCTION("GOOGLETRANSLATE(B32720,""en"",""zh-CN"")"),"小女孩指着相机。")</f>
        <v>小女孩指着相机。</v>
      </c>
    </row>
    <row r="32721">
      <c r="A32721" s="4" t="s">
        <v>41170</v>
      </c>
      <c r="B32721" s="4" t="s">
        <v>41181</v>
      </c>
      <c r="C32721" s="5" t="str">
        <f>IFERROR(__xludf.DUMMYFUNCTION("GOOGLETRANSLATE(B32721,""en"",""zh-CN"")"),"该男子将小女孩推到秋千上。")</f>
        <v>该男子将小女孩推到秋千上。</v>
      </c>
    </row>
    <row r="32722">
      <c r="A32722" s="4" t="s">
        <v>41182</v>
      </c>
      <c r="B32722" s="4" t="s">
        <v>41183</v>
      </c>
      <c r="C32722" s="5" t="str">
        <f>IFERROR(__xludf.DUMMYFUNCTION("GOOGLETRANSLATE(B32722,""en"",""zh-CN"")"),"人们跑步将大红色风筝拖到田野上。")</f>
        <v>人们跑步将大红色风筝拖到田野上。</v>
      </c>
    </row>
    <row r="32723">
      <c r="A32723" s="4" t="s">
        <v>41182</v>
      </c>
      <c r="B32723" s="4" t="s">
        <v>41184</v>
      </c>
      <c r="C32723" s="5" t="str">
        <f>IFERROR(__xludf.DUMMYFUNCTION("GOOGLETRANSLATE(B32723,""en"",""zh-CN"")"),"风筝在空中，孩子们站在它的下面看着它。")</f>
        <v>风筝在空中，孩子们站在它的下面看着它。</v>
      </c>
    </row>
    <row r="32724">
      <c r="A32724" s="4" t="s">
        <v>41182</v>
      </c>
      <c r="B32724" s="4" t="s">
        <v>41185</v>
      </c>
      <c r="C32724" s="5" t="str">
        <f>IFERROR(__xludf.DUMMYFUNCTION("GOOGLETRANSLATE(B32724,""en"",""zh-CN"")"),"风筝在空中飞行。")</f>
        <v>风筝在空中飞行。</v>
      </c>
    </row>
    <row r="32725">
      <c r="A32725" s="4" t="s">
        <v>41182</v>
      </c>
      <c r="B32725" s="4" t="s">
        <v>41186</v>
      </c>
      <c r="C32725" s="5" t="str">
        <f>IFERROR(__xludf.DUMMYFUNCTION("GOOGLETRANSLATE(B32725,""en"",""zh-CN"")"),"一个男人，一个小女孩和一个男孩正在驾驶风筝，拿着它的底部。")</f>
        <v>一个男人，一个小女孩和一个男孩正在驾驶风筝，拿着它的底部。</v>
      </c>
    </row>
    <row r="32726">
      <c r="A32726" s="4" t="s">
        <v>41182</v>
      </c>
      <c r="B32726" s="4" t="s">
        <v>41187</v>
      </c>
      <c r="C32726" s="5" t="str">
        <f>IFERROR(__xludf.DUMMYFUNCTION("GOOGLETRANSLATE(B32726,""en"",""zh-CN"")"),"一个小女孩在地上扔东西。")</f>
        <v>一个小女孩在地上扔东西。</v>
      </c>
    </row>
    <row r="32727">
      <c r="A32727" s="4" t="s">
        <v>41188</v>
      </c>
      <c r="B32727" s="4" t="s">
        <v>41189</v>
      </c>
      <c r="C32727" s="5" t="str">
        <f>IFERROR(__xludf.DUMMYFUNCTION("GOOGLETRANSLATE(B32727,""en"",""zh-CN"")"),"我们看到一块飞镖板轻轻地摆动。")</f>
        <v>我们看到一块飞镖板轻轻地摆动。</v>
      </c>
    </row>
    <row r="32728">
      <c r="A32728" s="4" t="s">
        <v>41188</v>
      </c>
      <c r="B32728" s="4" t="s">
        <v>41190</v>
      </c>
      <c r="C32728" s="5" t="str">
        <f>IFERROR(__xludf.DUMMYFUNCTION("GOOGLETRANSLATE(B32728,""en"",""zh-CN"")"),"两只飞镖，一个红色，一个绿色击中了董事会。")</f>
        <v>两只飞镖，一个红色，一个绿色击中了董事会。</v>
      </c>
    </row>
    <row r="32729">
      <c r="A32729" s="4" t="s">
        <v>41188</v>
      </c>
      <c r="B32729" s="4" t="s">
        <v>41191</v>
      </c>
      <c r="C32729" s="5" t="str">
        <f>IFERROR(__xludf.DUMMYFUNCTION("GOOGLETRANSLATE(B32729,""en"",""zh-CN"")"),"我们改变角度，另外两个飞镖击中了董事会。")</f>
        <v>我们改变角度，另外两个飞镖击中了董事会。</v>
      </c>
    </row>
    <row r="32730">
      <c r="A32730" s="4" t="s">
        <v>41188</v>
      </c>
      <c r="B32730" s="4" t="s">
        <v>41192</v>
      </c>
      <c r="C32730" s="5" t="str">
        <f>IFERROR(__xludf.DUMMYFUNCTION("GOOGLETRANSLATE(B32730,""en"",""zh-CN"")"),"屏幕淡入黑色，我们看到了最终学分。")</f>
        <v>屏幕淡入黑色，我们看到了最终学分。</v>
      </c>
    </row>
    <row r="32731">
      <c r="A32731" s="4" t="s">
        <v>41193</v>
      </c>
      <c r="B32731" s="4" t="s">
        <v>41194</v>
      </c>
      <c r="C32731" s="5" t="str">
        <f>IFERROR(__xludf.DUMMYFUNCTION("GOOGLETRANSLATE(B32731,""en"",""zh-CN"")"),"看到一个男人说话并拿着呼啦圈，从相机上退缩。")</f>
        <v>看到一个男人说话并拿着呼啦圈，从相机上退缩。</v>
      </c>
    </row>
    <row r="32732">
      <c r="A32732" s="4" t="s">
        <v>41193</v>
      </c>
      <c r="B32732" s="4" t="s">
        <v>41195</v>
      </c>
      <c r="C32732" s="5" t="str">
        <f>IFERROR(__xludf.DUMMYFUNCTION("GOOGLETRANSLATE(B32732,""en"",""zh-CN"")"),"然后，该男子走到镜头时，在自己周围摆动了呼啦圈。")</f>
        <v>然后，该男子走到镜头时，在自己周围摆动了呼啦圈。</v>
      </c>
    </row>
    <row r="32733">
      <c r="A32733" s="4" t="s">
        <v>41193</v>
      </c>
      <c r="B32733" s="4" t="s">
        <v>41196</v>
      </c>
      <c r="C32733" s="5" t="str">
        <f>IFERROR(__xludf.DUMMYFUNCTION("GOOGLETRANSLATE(B32733,""en"",""zh-CN"")"),"另一个男人在仍在看着相机的同时，和那个男人一起走进框架，呼啦圈。")</f>
        <v>另一个男人在仍在看着相机的同时，和那个男人一起走进框架，呼啦圈。</v>
      </c>
    </row>
    <row r="32734">
      <c r="A32734" s="4" t="s">
        <v>41197</v>
      </c>
      <c r="B32734" s="6" t="s">
        <v>41198</v>
      </c>
      <c r="C32734" s="5" t="str">
        <f>IFERROR(__xludf.DUMMYFUNCTION("GOOGLETRANSLATE(B32734,""en"",""zh-CN"")"),"看到一个男人坐下来，拿着水烟软管，在框架中看到另一个人。")</f>
        <v>看到一个男人坐下来，拿着水烟软管，在框架中看到另一个人。</v>
      </c>
    </row>
    <row r="32735">
      <c r="A32735" s="4" t="s">
        <v>41197</v>
      </c>
      <c r="B32735" s="6" t="s">
        <v>41199</v>
      </c>
      <c r="C32735" s="5" t="str">
        <f>IFERROR(__xludf.DUMMYFUNCTION("GOOGLETRANSLATE(B32735,""en"",""zh-CN"")"),"该男子在与镜头说话时从管道上吹一口，然后将其交给另一个也受到打击的人。")</f>
        <v>该男子在与镜头说话时从管道上吹一口，然后将其交给另一个也受到打击的人。</v>
      </c>
    </row>
    <row r="32736">
      <c r="A32736" s="4" t="s">
        <v>41197</v>
      </c>
      <c r="B32736" s="4" t="s">
        <v>41200</v>
      </c>
      <c r="C32736" s="5" t="str">
        <f>IFERROR(__xludf.DUMMYFUNCTION("GOOGLETRANSLATE(B32736,""en"",""zh-CN"")"),"他把烟吹了出来，仍然看到第一个男人在镜头说话。")</f>
        <v>他把烟吹了出来，仍然看到第一个男人在镜头说话。</v>
      </c>
    </row>
    <row r="32737">
      <c r="A32737" s="4" t="s">
        <v>41201</v>
      </c>
      <c r="B32737" s="4" t="s">
        <v>41202</v>
      </c>
      <c r="C32737" s="5" t="str">
        <f>IFERROR(__xludf.DUMMYFUNCTION("GOOGLETRANSLATE(B32737,""en"",""zh-CN"")"),"一个人准备蹦极跳过一块水，而围观者则从地面看。")</f>
        <v>一个人准备蹦极跳过一块水，而围观者则从地面看。</v>
      </c>
    </row>
    <row r="32738">
      <c r="A32738" s="4" t="s">
        <v>41201</v>
      </c>
      <c r="B32738" s="4" t="s">
        <v>41203</v>
      </c>
      <c r="C32738" s="5" t="str">
        <f>IFERROR(__xludf.DUMMYFUNCTION("GOOGLETRANSLATE(B32738,""en"",""zh-CN"")"),"该人首先坐下，绑在蹦极跳架上。")</f>
        <v>该人首先坐下，绑在蹦极跳架上。</v>
      </c>
    </row>
    <row r="32739">
      <c r="A32739" s="4" t="s">
        <v>41201</v>
      </c>
      <c r="B32739" s="4" t="s">
        <v>41204</v>
      </c>
      <c r="C32739" s="5" t="str">
        <f>IFERROR(__xludf.DUMMYFUNCTION("GOOGLETRANSLATE(B32739,""en"",""zh-CN"")"),"当旁观者从地面看，该人站在木制跳跃表面的边缘。")</f>
        <v>当旁观者从地面看，该人站在木制跳跃表面的边缘。</v>
      </c>
    </row>
    <row r="32740">
      <c r="A32740" s="4" t="s">
        <v>41201</v>
      </c>
      <c r="B32740" s="6" t="s">
        <v>41205</v>
      </c>
      <c r="C32740" s="5" t="str">
        <f>IFERROR(__xludf.DUMMYFUNCTION("GOOGLETRANSLATE(B32740,""en"",""zh-CN"")"),"当相机跟随并揭示这是一个跳跃的人，该人跳下边缘，跌落，当他在水面上方的空中挥舞时，这个人在微笑和笑着。")</f>
        <v>当相机跟随并揭示这是一个跳跃的人，该人跳下边缘，跌落，当他在水面上方的空中挥舞时，这个人在微笑和笑着。</v>
      </c>
    </row>
    <row r="32741">
      <c r="A32741" s="4" t="s">
        <v>41206</v>
      </c>
      <c r="B32741" s="4" t="s">
        <v>41207</v>
      </c>
      <c r="C32741" s="5" t="str">
        <f>IFERROR(__xludf.DUMMYFUNCTION("GOOGLETRANSLATE(B32741,""en"",""zh-CN"")"),"一个小男孩正在摇摆地关闭他的小安全后卫。")</f>
        <v>一个小男孩正在摇摆地关闭他的小安全后卫。</v>
      </c>
    </row>
    <row r="32742">
      <c r="A32742" s="4" t="s">
        <v>41206</v>
      </c>
      <c r="B32742" s="4" t="s">
        <v>41208</v>
      </c>
      <c r="C32742" s="5" t="str">
        <f>IFERROR(__xludf.DUMMYFUNCTION("GOOGLETRANSLATE(B32742,""en"",""zh-CN"")"),"他关闭它，并积累了一些动力，开始快速发展。")</f>
        <v>他关闭它，并积累了一些动力，开始快速发展。</v>
      </c>
    </row>
    <row r="32743">
      <c r="A32743" s="4" t="s">
        <v>41206</v>
      </c>
      <c r="B32743" s="4" t="s">
        <v>41209</v>
      </c>
      <c r="C32743" s="5" t="str">
        <f>IFERROR(__xludf.DUMMYFUNCTION("GOOGLETRANSLATE(B32743,""en"",""zh-CN"")"),"他来回踢脚变得很高。")</f>
        <v>他来回踢脚变得很高。</v>
      </c>
    </row>
    <row r="32744">
      <c r="A32744" s="4" t="s">
        <v>41206</v>
      </c>
      <c r="B32744" s="4" t="s">
        <v>41210</v>
      </c>
      <c r="C32744" s="5" t="str">
        <f>IFERROR(__xludf.DUMMYFUNCTION("GOOGLETRANSLATE(B32744,""en"",""zh-CN"")"),"他只是喜欢自己的时光在外面来回摆动，享受这一天。")</f>
        <v>他只是喜欢自己的时光在外面来回摆动，享受这一天。</v>
      </c>
    </row>
    <row r="32745">
      <c r="A32745" s="4" t="s">
        <v>41211</v>
      </c>
      <c r="B32745" s="6" t="s">
        <v>41212</v>
      </c>
      <c r="C32745" s="5" t="str">
        <f>IFERROR(__xludf.DUMMYFUNCTION("GOOGLETRANSLATE(B32745,""en"",""zh-CN"")"),"当摄像头向后晃动时，显示了一把椅子，并在屏幕上移动文本。")</f>
        <v>当摄像头向后晃动时，显示了一把椅子，并在屏幕上移动文本。</v>
      </c>
    </row>
    <row r="32746">
      <c r="A32746" s="4" t="s">
        <v>41211</v>
      </c>
      <c r="B32746" s="4" t="s">
        <v>41213</v>
      </c>
      <c r="C32746" s="5" t="str">
        <f>IFERROR(__xludf.DUMMYFUNCTION("GOOGLETRANSLATE(B32746,""en"",""zh-CN"")"),"摄像机紧紧地伸进椅子上，进入一个坐在椅子上的女人。")</f>
        <v>摄像机紧紧地伸进椅子上，进入一个坐在椅子上的女人。</v>
      </c>
    </row>
    <row r="32747">
      <c r="A32747" s="4" t="s">
        <v>41211</v>
      </c>
      <c r="B32747" s="4" t="s">
        <v>41214</v>
      </c>
      <c r="C32747" s="5" t="str">
        <f>IFERROR(__xludf.DUMMYFUNCTION("GOOGLETRANSLATE(B32747,""en"",""zh-CN"")"),"该名女子调整了座椅，并导致椅子的更多特写窗口。")</f>
        <v>该名女子调整了座椅，并导致椅子的更多特写窗口。</v>
      </c>
    </row>
    <row r="32748">
      <c r="A32748" s="4" t="s">
        <v>41215</v>
      </c>
      <c r="B32748" s="4" t="s">
        <v>24280</v>
      </c>
      <c r="C32748" s="5" t="str">
        <f>IFERROR(__xludf.DUMMYFUNCTION("GOOGLETRANSLATE(B32748,""en"",""zh-CN"")"),"我们看到一系列标题屏幕。")</f>
        <v>我们看到一系列标题屏幕。</v>
      </c>
    </row>
    <row r="32749">
      <c r="A32749" s="4" t="s">
        <v>41215</v>
      </c>
      <c r="B32749" s="4" t="s">
        <v>41216</v>
      </c>
      <c r="C32749" s="5" t="str">
        <f>IFERROR(__xludf.DUMMYFUNCTION("GOOGLETRANSLATE(B32749,""en"",""zh-CN"")"),"我们看到一艘快艇穿过湖泊，一个人在其后面滑雪。")</f>
        <v>我们看到一艘快艇穿过湖泊，一个人在其后面滑雪。</v>
      </c>
    </row>
    <row r="32750">
      <c r="A32750" s="4" t="s">
        <v>41215</v>
      </c>
      <c r="B32750" s="4" t="s">
        <v>41217</v>
      </c>
      <c r="C32750" s="5" t="str">
        <f>IFERROR(__xludf.DUMMYFUNCTION("GOOGLETRANSLATE(B32750,""en"",""zh-CN"")"),"屏幕闪烁黑色，我们看到更多的滑雪。")</f>
        <v>屏幕闪烁黑色，我们看到更多的滑雪。</v>
      </c>
    </row>
    <row r="32751">
      <c r="A32751" s="4" t="s">
        <v>41215</v>
      </c>
      <c r="B32751" s="4" t="s">
        <v>777</v>
      </c>
      <c r="C32751" s="5" t="str">
        <f>IFERROR(__xludf.DUMMYFUNCTION("GOOGLETRANSLATE(B32751,""en"",""zh-CN"")"),"我们看到结尾标题屏幕。")</f>
        <v>我们看到结尾标题屏幕。</v>
      </c>
    </row>
    <row r="32752">
      <c r="A32752" s="4" t="s">
        <v>41218</v>
      </c>
      <c r="B32752" s="4" t="s">
        <v>41219</v>
      </c>
      <c r="C32752" s="5" t="str">
        <f>IFERROR(__xludf.DUMMYFUNCTION("GOOGLETRANSLATE(B32752,""en"",""zh-CN"")"),"一个叫肖恩（Sean）的年轻人戴着无檐小便帽和黑色耳环。")</f>
        <v>一个叫肖恩（Sean）的年轻人戴着无檐小便帽和黑色耳环。</v>
      </c>
    </row>
    <row r="32753">
      <c r="A32753" s="4" t="s">
        <v>41218</v>
      </c>
      <c r="B32753" s="4" t="s">
        <v>41220</v>
      </c>
      <c r="C32753" s="5" t="str">
        <f>IFERROR(__xludf.DUMMYFUNCTION("GOOGLETRANSLATE(B32753,""en"",""zh-CN"")"),"他正在演示如何用螺柱耳环刺穿耳朵。")</f>
        <v>他正在演示如何用螺柱耳环刺穿耳朵。</v>
      </c>
    </row>
    <row r="32754">
      <c r="A32754" s="4" t="s">
        <v>41218</v>
      </c>
      <c r="B32754" s="4" t="s">
        <v>41221</v>
      </c>
      <c r="C32754" s="5" t="str">
        <f>IFERROR(__xludf.DUMMYFUNCTION("GOOGLETRANSLATE(B32754,""en"",""zh-CN"")"),"当他试图刺穿耳朵时，他表达了剧烈的疼痛。")</f>
        <v>当他试图刺穿耳朵时，他表达了剧烈的疼痛。</v>
      </c>
    </row>
    <row r="32755">
      <c r="A32755" s="4" t="s">
        <v>41218</v>
      </c>
      <c r="B32755" s="4" t="s">
        <v>41222</v>
      </c>
      <c r="C32755" s="5" t="str">
        <f>IFERROR(__xludf.DUMMYFUNCTION("GOOGLETRANSLATE(B32755,""en"",""zh-CN"")"),"他拿起一个冰块来舒缓耳朵叶。")</f>
        <v>他拿起一个冰块来舒缓耳朵叶。</v>
      </c>
    </row>
    <row r="32756">
      <c r="A32756" s="4" t="s">
        <v>41218</v>
      </c>
      <c r="B32756" s="4" t="s">
        <v>41223</v>
      </c>
      <c r="C32756" s="5" t="str">
        <f>IFERROR(__xludf.DUMMYFUNCTION("GOOGLETRANSLATE(B32756,""en"",""zh-CN"")"),"然后，他用轻便打火机加热耳环来消毒。")</f>
        <v>然后，他用轻便打火机加热耳环来消毒。</v>
      </c>
    </row>
    <row r="32757">
      <c r="A32757" s="4" t="s">
        <v>41218</v>
      </c>
      <c r="B32757" s="4" t="s">
        <v>41224</v>
      </c>
      <c r="C32757" s="5" t="str">
        <f>IFERROR(__xludf.DUMMYFUNCTION("GOOGLETRANSLATE(B32757,""en"",""zh-CN"")"),"他尝试使用尖角来帮助刺穿，但最终导致耳朵严重出血。")</f>
        <v>他尝试使用尖角来帮助刺穿，但最终导致耳朵严重出血。</v>
      </c>
    </row>
    <row r="32758">
      <c r="A32758" s="4" t="s">
        <v>41218</v>
      </c>
      <c r="B32758" s="4" t="s">
        <v>41225</v>
      </c>
      <c r="C32758" s="5" t="str">
        <f>IFERROR(__xludf.DUMMYFUNCTION("GOOGLETRANSLATE(B32758,""en"",""zh-CN"")"),"然后，他尝试橡胶槌迫使耳环进入。")</f>
        <v>然后，他尝试橡胶槌迫使耳环进入。</v>
      </c>
    </row>
    <row r="32759">
      <c r="A32759" s="4" t="s">
        <v>41218</v>
      </c>
      <c r="B32759" s="4" t="s">
        <v>41226</v>
      </c>
      <c r="C32759" s="5" t="str">
        <f>IFERROR(__xludf.DUMMYFUNCTION("GOOGLETRANSLATE(B32759,""en"",""zh-CN"")"),"他因刺穿自己的耳朵的尝试失败而哭泣并痛苦地哭泣。")</f>
        <v>他因刺穿自己的耳朵的尝试失败而哭泣并痛苦地哭泣。</v>
      </c>
    </row>
    <row r="32760">
      <c r="A32760" s="4" t="s">
        <v>41227</v>
      </c>
      <c r="B32760" s="4" t="s">
        <v>41228</v>
      </c>
      <c r="C32760" s="5" t="str">
        <f>IFERROR(__xludf.DUMMYFUNCTION("GOOGLETRANSLATE(B32760,""en"",""zh-CN"")"),"看到一个男人坐在皮划艇上，看着相机。")</f>
        <v>看到一个男人坐在皮划艇上，看着相机。</v>
      </c>
    </row>
    <row r="32761">
      <c r="A32761" s="4" t="s">
        <v>41227</v>
      </c>
      <c r="B32761" s="4" t="s">
        <v>41229</v>
      </c>
      <c r="C32761" s="5" t="str">
        <f>IFERROR(__xludf.DUMMYFUNCTION("GOOGLETRANSLATE(B32761,""en"",""zh-CN"")"),"然后，他将桨伸入水中，开始前进。")</f>
        <v>然后，他将桨伸入水中，开始前进。</v>
      </c>
    </row>
    <row r="32762">
      <c r="A32762" s="4" t="s">
        <v>41227</v>
      </c>
      <c r="B32762" s="4" t="s">
        <v>41230</v>
      </c>
      <c r="C32762" s="5" t="str">
        <f>IFERROR(__xludf.DUMMYFUNCTION("GOOGLETRANSLATE(B32762,""en"",""zh-CN"")"),"他在移动桨时继续在一个区域骑行。")</f>
        <v>他在移动桨时继续在一个区域骑行。</v>
      </c>
    </row>
    <row r="32763">
      <c r="A32763" s="4" t="s">
        <v>41231</v>
      </c>
      <c r="B32763" s="6" t="s">
        <v>41232</v>
      </c>
      <c r="C32763" s="5" t="str">
        <f>IFERROR(__xludf.DUMMYFUNCTION("GOOGLETRANSLATE(B32763,""en"",""zh-CN"")"),"一个青少年握着光盘右手旋转，然后女孩在体育场竞争时扔了碟片。")</f>
        <v>一个青少年握着光盘右手旋转，然后女孩在体育场竞争时扔了碟片。</v>
      </c>
    </row>
    <row r="32764">
      <c r="A32764" s="4" t="s">
        <v>41231</v>
      </c>
      <c r="B32764" s="4" t="s">
        <v>41233</v>
      </c>
      <c r="C32764" s="5" t="str">
        <f>IFERROR(__xludf.DUMMYFUNCTION("GOOGLETRANSLATE(B32764,""en"",""zh-CN"")"),"然后，另一个年轻女子周围旋转会扔圆盘。")</f>
        <v>然后，另一个年轻女子周围旋转会扔圆盘。</v>
      </c>
    </row>
    <row r="32765">
      <c r="A32765" s="4" t="s">
        <v>41231</v>
      </c>
      <c r="B32765" s="4" t="s">
        <v>41234</v>
      </c>
      <c r="C32765" s="5" t="str">
        <f>IFERROR(__xludf.DUMMYFUNCTION("GOOGLETRANSLATE(B32765,""en"",""zh-CN"")"),"女性旋转并抛出了一张唱片，她赢得了比赛。")</f>
        <v>女性旋转并抛出了一张唱片，她赢得了比赛。</v>
      </c>
    </row>
    <row r="32766">
      <c r="A32766" s="4" t="s">
        <v>41231</v>
      </c>
      <c r="B32766" s="4" t="s">
        <v>41235</v>
      </c>
      <c r="C32766" s="5" t="str">
        <f>IFERROR(__xludf.DUMMYFUNCTION("GOOGLETRANSLATE(B32766,""en"",""zh-CN"")"),"赛道上的一个男人在他的右臂上抬起一个白旗。")</f>
        <v>赛道上的一个男人在他的右臂上抬起一个白旗。</v>
      </c>
    </row>
    <row r="32767">
      <c r="A32767" s="4" t="s">
        <v>41236</v>
      </c>
      <c r="B32767" s="4" t="s">
        <v>41237</v>
      </c>
      <c r="C32767" s="5" t="str">
        <f>IFERROR(__xludf.DUMMYFUNCTION("GOOGLETRANSLATE(B32767,""en"",""zh-CN"")"),"乌克兰的体操运动员在最后一场比赛中表现出色。")</f>
        <v>乌克兰的体操运动员在最后一场比赛中表现出色。</v>
      </c>
    </row>
    <row r="32768">
      <c r="A32768" s="4" t="s">
        <v>41236</v>
      </c>
      <c r="B32768" s="4" t="s">
        <v>41238</v>
      </c>
      <c r="C32768" s="5" t="str">
        <f>IFERROR(__xludf.DUMMYFUNCTION("GOOGLETRANSLATE(B32768,""en"",""zh-CN"")"),"一个人拿着白旗和危险信号。")</f>
        <v>一个人拿着白旗和危险信号。</v>
      </c>
    </row>
    <row r="32769">
      <c r="A32769" s="4" t="s">
        <v>41236</v>
      </c>
      <c r="B32769" s="4" t="s">
        <v>41239</v>
      </c>
      <c r="C32769" s="5" t="str">
        <f>IFERROR(__xludf.DUMMYFUNCTION("GOOGLETRANSLATE(B32769,""en"",""zh-CN"")"),"体操运动员在赛道上奔跑直到一条白线，然后跳高跳远。")</f>
        <v>体操运动员在赛道上奔跑直到一条白线，然后跳高跳远。</v>
      </c>
    </row>
    <row r="32770">
      <c r="A32770" s="4" t="s">
        <v>41236</v>
      </c>
      <c r="B32770" s="6" t="s">
        <v>41240</v>
      </c>
      <c r="C32770" s="5" t="str">
        <f>IFERROR(__xludf.DUMMYFUNCTION("GOOGLETRANSLATE(B32770,""en"",""zh-CN"")"),"然后，来自德国的一名妇女表演了跳远，在一个来自澳大利亚的女孩跳动的女孩之后，沙子盒跳了很长时间。")</f>
        <v>然后，来自德国的一名妇女表演了跳远，在一个来自澳大利亚的女孩跳动的女孩之后，沙子盒跳了很长时间。</v>
      </c>
    </row>
    <row r="32771">
      <c r="A32771" s="4" t="s">
        <v>41236</v>
      </c>
      <c r="B32771" s="4" t="s">
        <v>41241</v>
      </c>
      <c r="C32771" s="5" t="str">
        <f>IFERROR(__xludf.DUMMYFUNCTION("GOOGLETRANSLATE(B32771,""en"",""zh-CN"")"),"来自德国的女人赢得了比赛，她奔跑并赢得了公众的贡献。")</f>
        <v>来自德国的女人赢得了比赛，她奔跑并赢得了公众的贡献。</v>
      </c>
    </row>
    <row r="32772">
      <c r="A32772" s="4" t="s">
        <v>41242</v>
      </c>
      <c r="B32772" s="4" t="s">
        <v>41243</v>
      </c>
      <c r="C32772" s="5" t="str">
        <f>IFERROR(__xludf.DUMMYFUNCTION("GOOGLETRANSLATE(B32772,""en"",""zh-CN"")"),"一个穿着背心的男人坐在船上。")</f>
        <v>一个穿着背心的男人坐在船上。</v>
      </c>
    </row>
    <row r="32773">
      <c r="A32773" s="4" t="s">
        <v>41242</v>
      </c>
      <c r="B32773" s="4" t="s">
        <v>41244</v>
      </c>
      <c r="C32773" s="5" t="str">
        <f>IFERROR(__xludf.DUMMYFUNCTION("GOOGLETRANSLATE(B32773,""en"",""zh-CN"")"),"然后，该男子在水中，拿着一根棍子和一条线连接到船上。")</f>
        <v>然后，该男子在水中，拿着一根棍子和一条线连接到船上。</v>
      </c>
    </row>
    <row r="32774">
      <c r="A32774" s="4" t="s">
        <v>41242</v>
      </c>
      <c r="B32774" s="4" t="s">
        <v>41245</v>
      </c>
      <c r="C32774" s="5" t="str">
        <f>IFERROR(__xludf.DUMMYFUNCTION("GOOGLETRANSLATE(B32774,""en"",""zh-CN"")"),"当他开始滑水时，船开始将他拉入水中。")</f>
        <v>当他开始滑水时，船开始将他拉入水中。</v>
      </c>
    </row>
    <row r="32775">
      <c r="A32775" s="4" t="s">
        <v>41242</v>
      </c>
      <c r="B32775" s="4" t="s">
        <v>41246</v>
      </c>
      <c r="C32775" s="5" t="str">
        <f>IFERROR(__xludf.DUMMYFUNCTION("GOOGLETRANSLATE(B32775,""en"",""zh-CN"")"),"他滑雪了很长一段时间。")</f>
        <v>他滑雪了很长一段时间。</v>
      </c>
    </row>
    <row r="32776">
      <c r="A32776" s="4" t="s">
        <v>41247</v>
      </c>
      <c r="B32776" s="4" t="s">
        <v>41248</v>
      </c>
      <c r="C32776" s="5" t="str">
        <f>IFERROR(__xludf.DUMMYFUNCTION("GOOGLETRANSLATE(B32776,""en"",""zh-CN"")"),"女孩坐在一个ROM中，男孩站在他们身后的男孩开始梳头。")</f>
        <v>女孩坐在一个ROM中，男孩站在他们身后的男孩开始梳头。</v>
      </c>
    </row>
    <row r="32777">
      <c r="A32777" s="4" t="s">
        <v>41247</v>
      </c>
      <c r="B32777" s="4" t="s">
        <v>41249</v>
      </c>
      <c r="C32777" s="5" t="str">
        <f>IFERROR(__xludf.DUMMYFUNCTION("GOOGLETRANSLATE(B32777,""en"",""zh-CN"")"),"穿着蓝色毛衣的女人在四个四肢上爬行。")</f>
        <v>穿着蓝色毛衣的女人在四个四肢上爬行。</v>
      </c>
    </row>
    <row r="32778">
      <c r="A32778" s="4" t="s">
        <v>41247</v>
      </c>
      <c r="B32778" s="4" t="s">
        <v>41250</v>
      </c>
      <c r="C32778" s="5" t="str">
        <f>IFERROR(__xludf.DUMMYFUNCTION("GOOGLETRANSLATE(B32778,""en"",""zh-CN"")"),"男孩不断梳理头发，并在女孩身上滚一些头发。")</f>
        <v>男孩不断梳理头发，并在女孩身上滚一些头发。</v>
      </c>
    </row>
    <row r="32779">
      <c r="A32779" s="4" t="s">
        <v>41247</v>
      </c>
      <c r="B32779" s="6" t="s">
        <v>41251</v>
      </c>
      <c r="C32779" s="5" t="str">
        <f>IFERROR(__xludf.DUMMYFUNCTION("GOOGLETRANSLATE(B32779,""en"",""zh-CN"")"),"中间的女人很生气，站着，卸下头部，再次坐着，笑了很多。")</f>
        <v>中间的女人很生气，站着，卸下头部，再次坐着，笑了很多。</v>
      </c>
    </row>
    <row r="32780">
      <c r="A32780" s="4" t="s">
        <v>41252</v>
      </c>
      <c r="B32780" s="4" t="s">
        <v>41253</v>
      </c>
      <c r="C32780" s="5" t="str">
        <f>IFERROR(__xludf.DUMMYFUNCTION("GOOGLETRANSLATE(B32780,""en"",""zh-CN"")"),"一个人坐在舞台上。")</f>
        <v>一个人坐在舞台上。</v>
      </c>
    </row>
    <row r="32781">
      <c r="A32781" s="4" t="s">
        <v>41252</v>
      </c>
      <c r="B32781" s="4" t="s">
        <v>41254</v>
      </c>
      <c r="C32781" s="5" t="str">
        <f>IFERROR(__xludf.DUMMYFUNCTION("GOOGLETRANSLATE(B32781,""en"",""zh-CN"")"),"有一个房间到处都是人们看着他。")</f>
        <v>有一个房间到处都是人们看着他。</v>
      </c>
    </row>
    <row r="32782">
      <c r="A32782" s="4" t="s">
        <v>41252</v>
      </c>
      <c r="B32782" s="4" t="s">
        <v>41255</v>
      </c>
      <c r="C32782" s="5" t="str">
        <f>IFERROR(__xludf.DUMMYFUNCTION("GOOGLETRANSLATE(B32782,""en"",""zh-CN"")"),"他用手打鼓。")</f>
        <v>他用手打鼓。</v>
      </c>
    </row>
    <row r="32783">
      <c r="A32783" s="4" t="s">
        <v>41256</v>
      </c>
      <c r="B32783" s="4" t="s">
        <v>41257</v>
      </c>
      <c r="C32783" s="5" t="str">
        <f>IFERROR(__xludf.DUMMYFUNCTION("GOOGLETRANSLATE(B32783,""en"",""zh-CN"")"),"泳池比赛的高架视图。")</f>
        <v>泳池比赛的高架视图。</v>
      </c>
    </row>
    <row r="32784">
      <c r="A32784" s="4" t="s">
        <v>41256</v>
      </c>
      <c r="B32784" s="4" t="s">
        <v>41258</v>
      </c>
      <c r="C32784" s="5" t="str">
        <f>IFERROR(__xludf.DUMMYFUNCTION("GOOGLETRANSLATE(B32784,""en"",""zh-CN"")"),"一个穿着有趣的蓝色背心的男人作为下一个拍摄的球员。")</f>
        <v>一个穿着有趣的蓝色背心的男人作为下一个拍摄的球员。</v>
      </c>
    </row>
    <row r="32785">
      <c r="A32785" s="4" t="s">
        <v>41256</v>
      </c>
      <c r="B32785" s="4" t="s">
        <v>41259</v>
      </c>
      <c r="C32785" s="5" t="str">
        <f>IFERROR(__xludf.DUMMYFUNCTION("GOOGLETRANSLATE(B32785,""en"",""zh-CN"")"),"他在射击之前停下来学习桌子。")</f>
        <v>他在射击之前停下来学习桌子。</v>
      </c>
    </row>
    <row r="32786">
      <c r="A32786" s="4" t="s">
        <v>41256</v>
      </c>
      <c r="B32786" s="4" t="s">
        <v>41260</v>
      </c>
      <c r="C32786" s="5" t="str">
        <f>IFERROR(__xludf.DUMMYFUNCTION("GOOGLETRANSLATE(B32786,""en"",""zh-CN"")"),"他射击并击中角右口袋中的蓝色球。")</f>
        <v>他射击并击中角右口袋中的蓝色球。</v>
      </c>
    </row>
    <row r="32787">
      <c r="A32787" s="4" t="s">
        <v>41261</v>
      </c>
      <c r="B32787" s="6" t="s">
        <v>41262</v>
      </c>
      <c r="C32787" s="5" t="str">
        <f>IFERROR(__xludf.DUMMYFUNCTION("GOOGLETRANSLATE(B32787,""en"",""zh-CN"")"),"展示了近距离的食物，然后是两名妇女在相机上说话并展示各种成分。")</f>
        <v>展示了近距离的食物，然后是两名妇女在相机上说话并展示各种成分。</v>
      </c>
    </row>
    <row r="32788">
      <c r="A32788" s="4" t="s">
        <v>41261</v>
      </c>
      <c r="B32788" s="6" t="s">
        <v>41263</v>
      </c>
      <c r="C32788" s="5" t="str">
        <f>IFERROR(__xludf.DUMMYFUNCTION("GOOGLETRANSLATE(B32788,""en"",""zh-CN"")"),"然后，妇女将食材煮熟后，将成分混合到锅中，然后将所有东西混合在一起。")</f>
        <v>然后，妇女将食材煮熟后，将成分混合到锅中，然后将所有东西混合在一起。</v>
      </c>
    </row>
    <row r="32789">
      <c r="A32789" s="4" t="s">
        <v>41261</v>
      </c>
      <c r="B32789" s="4" t="s">
        <v>41264</v>
      </c>
      <c r="C32789" s="5" t="str">
        <f>IFERROR(__xludf.DUMMYFUNCTION("GOOGLETRANSLATE(B32789,""en"",""zh-CN"")"),"最后，这道菜在末端显示在盘子上，女人吃了食物。")</f>
        <v>最后，这道菜在末端显示在盘子上，女人吃了食物。</v>
      </c>
    </row>
    <row r="32790">
      <c r="A32790" s="4" t="s">
        <v>41265</v>
      </c>
      <c r="B32790" s="4" t="s">
        <v>41266</v>
      </c>
      <c r="C32790" s="5" t="str">
        <f>IFERROR(__xludf.DUMMYFUNCTION("GOOGLETRANSLATE(B32790,""en"",""zh-CN"")"),"黑狗正在白色房间的跑步机中行走。")</f>
        <v>黑狗正在白色房间的跑步机中行走。</v>
      </c>
    </row>
    <row r="32791">
      <c r="A32791" s="4" t="s">
        <v>41265</v>
      </c>
      <c r="B32791" s="4" t="s">
        <v>41267</v>
      </c>
      <c r="C32791" s="5" t="str">
        <f>IFERROR(__xludf.DUMMYFUNCTION("GOOGLETRANSLATE(B32791,""en"",""zh-CN"")"),"狗在抽屉旁边的跑步机中奔跑。")</f>
        <v>狗在抽屉旁边的跑步机中奔跑。</v>
      </c>
    </row>
    <row r="32792">
      <c r="A32792" s="4" t="s">
        <v>41265</v>
      </c>
      <c r="B32792" s="4" t="s">
        <v>41268</v>
      </c>
      <c r="C32792" s="5" t="str">
        <f>IFERROR(__xludf.DUMMYFUNCTION("GOOGLETRANSLATE(B32792,""en"",""zh-CN"")"),"狗穿着红色项链，正在做运动。")</f>
        <v>狗穿着红色项链，正在做运动。</v>
      </c>
    </row>
    <row r="32793">
      <c r="A32793" s="4" t="s">
        <v>41269</v>
      </c>
      <c r="B32793" s="4" t="s">
        <v>41270</v>
      </c>
      <c r="C32793" s="5" t="str">
        <f>IFERROR(__xludf.DUMMYFUNCTION("GOOGLETRANSLATE(B32793,""en"",""zh-CN"")"),"一个女孩正在潜水板上行走。")</f>
        <v>一个女孩正在潜水板上行走。</v>
      </c>
    </row>
    <row r="32794">
      <c r="A32794" s="4" t="s">
        <v>41269</v>
      </c>
      <c r="B32794" s="4" t="s">
        <v>41271</v>
      </c>
      <c r="C32794" s="5" t="str">
        <f>IFERROR(__xludf.DUMMYFUNCTION("GOOGLETRANSLATE(B32794,""en"",""zh-CN"")"),"人们在后台观看。")</f>
        <v>人们在后台观看。</v>
      </c>
    </row>
    <row r="32795">
      <c r="A32795" s="4" t="s">
        <v>41269</v>
      </c>
      <c r="B32795" s="4" t="s">
        <v>41272</v>
      </c>
      <c r="C32795" s="5" t="str">
        <f>IFERROR(__xludf.DUMMYFUNCTION("GOOGLETRANSLATE(B32795,""en"",""zh-CN"")"),"女孩从跳水板跳入游泳池。")</f>
        <v>女孩从跳水板跳入游泳池。</v>
      </c>
    </row>
    <row r="32796">
      <c r="A32796" s="4" t="s">
        <v>41269</v>
      </c>
      <c r="B32796" s="4" t="s">
        <v>41273</v>
      </c>
      <c r="C32796" s="5" t="str">
        <f>IFERROR(__xludf.DUMMYFUNCTION("GOOGLETRANSLATE(B32796,""en"",""zh-CN"")"),"水中有一个小的飞溅。")</f>
        <v>水中有一个小的飞溅。</v>
      </c>
    </row>
    <row r="32797">
      <c r="A32797" s="4" t="s">
        <v>41274</v>
      </c>
      <c r="B32797" s="4" t="s">
        <v>41275</v>
      </c>
      <c r="C32797" s="5" t="str">
        <f>IFERROR(__xludf.DUMMYFUNCTION("GOOGLETRANSLATE(B32797,""en"",""zh-CN"")"),"看到一个年轻人将一块木头放在树皮上，握住斧头。")</f>
        <v>看到一个年轻人将一块木头放在树皮上，握住斧头。</v>
      </c>
    </row>
    <row r="32798">
      <c r="A32798" s="4" t="s">
        <v>41274</v>
      </c>
      <c r="B32798" s="4" t="s">
        <v>41276</v>
      </c>
      <c r="C32798" s="5" t="str">
        <f>IFERROR(__xludf.DUMMYFUNCTION("GOOGLETRANSLATE(B32798,""en"",""zh-CN"")"),"然后，他将树皮挥动，树皮将其分为一半，然后大喊大叫。")</f>
        <v>然后，他将树皮挥动，树皮将其分为一半，然后大喊大叫。</v>
      </c>
    </row>
    <row r="32799">
      <c r="A32799" s="4" t="s">
        <v>41277</v>
      </c>
      <c r="B32799" s="4" t="s">
        <v>41278</v>
      </c>
      <c r="C32799" s="5" t="str">
        <f>IFERROR(__xludf.DUMMYFUNCTION("GOOGLETRANSLATE(B32799,""en"",""zh-CN"")"),"一个女人坐在地板上，接下来是真空吸尘器。")</f>
        <v>一个女人坐在地板上，接下来是真空吸尘器。</v>
      </c>
    </row>
    <row r="32800">
      <c r="A32800" s="4" t="s">
        <v>41277</v>
      </c>
      <c r="B32800" s="4" t="s">
        <v>41279</v>
      </c>
      <c r="C32800" s="5" t="str">
        <f>IFERROR(__xludf.DUMMYFUNCTION("GOOGLETRANSLATE(B32800,""en"",""zh-CN"")"),"女人在坚硬的地板上吸尘。")</f>
        <v>女人在坚硬的地板上吸尘。</v>
      </c>
    </row>
    <row r="32801">
      <c r="A32801" s="4" t="s">
        <v>41277</v>
      </c>
      <c r="B32801" s="4" t="s">
        <v>41280</v>
      </c>
      <c r="C32801" s="5" t="str">
        <f>IFERROR(__xludf.DUMMYFUNCTION("GOOGLETRANSLATE(B32801,""en"",""zh-CN"")"),"然后，女人在地毯上清洗废物。")</f>
        <v>然后，女人在地毯上清洗废物。</v>
      </c>
    </row>
    <row r="32802">
      <c r="A32802" s="4" t="s">
        <v>41277</v>
      </c>
      <c r="B32802" s="4" t="s">
        <v>41281</v>
      </c>
      <c r="C32802" s="5" t="str">
        <f>IFERROR(__xludf.DUMMYFUNCTION("GOOGLETRANSLATE(B32802,""en"",""zh-CN"")"),"之后，女人用较小的喷嘴在枕头上吸尘。")</f>
        <v>之后，女人用较小的喷嘴在枕头上吸尘。</v>
      </c>
    </row>
    <row r="32803">
      <c r="A32803" s="4" t="s">
        <v>41277</v>
      </c>
      <c r="B32803" s="4" t="s">
        <v>41282</v>
      </c>
      <c r="C32803" s="5" t="str">
        <f>IFERROR(__xludf.DUMMYFUNCTION("GOOGLETRANSLATE(B32803,""en"",""zh-CN"")"),"接下来，女人放一个新的喷嘴来清洁狭窄的表面。")</f>
        <v>接下来，女人放一个新的喷嘴来清洁狭窄的表面。</v>
      </c>
    </row>
    <row r="32804">
      <c r="A32804" s="4" t="s">
        <v>41277</v>
      </c>
      <c r="B32804" s="4" t="s">
        <v>41283</v>
      </c>
      <c r="C32804" s="5" t="str">
        <f>IFERROR(__xludf.DUMMYFUNCTION("GOOGLETRANSLATE(B32804,""en"",""zh-CN"")"),"女性还测量吸力的压力，并显示真空的内部。")</f>
        <v>女性还测量吸力的压力，并显示真空的内部。</v>
      </c>
    </row>
    <row r="32805">
      <c r="A32805" s="4" t="s">
        <v>41284</v>
      </c>
      <c r="B32805" s="6" t="s">
        <v>41285</v>
      </c>
      <c r="C32805" s="5" t="str">
        <f>IFERROR(__xludf.DUMMYFUNCTION("GOOGLETRANSLATE(B32805,""en"",""zh-CN"")"),"我们看到有两个代表中国的女孩站在奥林匹克大小的游泳池上方的潜水板上，并一致跳水，我们看到了他们的分数。")</f>
        <v>我们看到有两个代表中国的女孩站在奥林匹克大小的游泳池上方的潜水板上，并一致跳水，我们看到了他们的分数。</v>
      </c>
    </row>
    <row r="32806">
      <c r="A32806" s="4" t="s">
        <v>41284</v>
      </c>
      <c r="B32806" s="4" t="s">
        <v>41286</v>
      </c>
      <c r="C32806" s="5" t="str">
        <f>IFERROR(__xludf.DUMMYFUNCTION("GOOGLETRANSLATE(B32806,""en"",""zh-CN"")"),"然后，我们看到两个代表美国潜水的女孩一致，并看到他们的分数。")</f>
        <v>然后，我们看到两个代表美国潜水的女孩一致，并看到他们的分数。</v>
      </c>
    </row>
    <row r="32807">
      <c r="A32807" s="4" t="s">
        <v>41284</v>
      </c>
      <c r="B32807" s="4" t="s">
        <v>41287</v>
      </c>
      <c r="C32807" s="5" t="str">
        <f>IFERROR(__xludf.DUMMYFUNCTION("GOOGLETRANSLATE(B32807,""en"",""zh-CN"")"),"接下来是两个代表意大利潜水的女孩，并显示了分数。")</f>
        <v>接下来是两个代表意大利潜水的女孩，并显示了分数。</v>
      </c>
    </row>
    <row r="32808">
      <c r="A32808" s="4" t="s">
        <v>41284</v>
      </c>
      <c r="B32808" s="4" t="s">
        <v>41288</v>
      </c>
      <c r="C32808" s="5" t="str">
        <f>IFERROR(__xludf.DUMMYFUNCTION("GOOGLETRANSLATE(B32808,""en"",""zh-CN"")"),"德国是下一个潜水队，并为他们展示了分数。")</f>
        <v>德国是下一个潜水队，并为他们展示了分数。</v>
      </c>
    </row>
    <row r="32809">
      <c r="A32809" s="4" t="s">
        <v>41289</v>
      </c>
      <c r="B32809" s="4" t="s">
        <v>41290</v>
      </c>
      <c r="C32809" s="5" t="str">
        <f>IFERROR(__xludf.DUMMYFUNCTION("GOOGLETRANSLATE(B32809,""en"",""zh-CN"")"),"看到一个男人在举起口琴的同时向相机说话。")</f>
        <v>看到一个男人在举起口琴的同时向相机说话。</v>
      </c>
    </row>
    <row r="32810">
      <c r="A32810" s="4" t="s">
        <v>41289</v>
      </c>
      <c r="B32810" s="4" t="s">
        <v>41291</v>
      </c>
      <c r="C32810" s="5" t="str">
        <f>IFERROR(__xludf.DUMMYFUNCTION("GOOGLETRANSLATE(B32810,""en"",""zh-CN"")"),"该男子在停下来与相机说话的同时吹入乐器。")</f>
        <v>该男子在停下来与相机说话的同时吹入乐器。</v>
      </c>
    </row>
    <row r="32811">
      <c r="A32811" s="4" t="s">
        <v>41289</v>
      </c>
      <c r="B32811" s="4" t="s">
        <v>41292</v>
      </c>
      <c r="C32811" s="5" t="str">
        <f>IFERROR(__xludf.DUMMYFUNCTION("GOOGLETRANSLATE(B32811,""en"",""zh-CN"")"),"他继续演奏乐器，停下来与相机说话。")</f>
        <v>他继续演奏乐器，停下来与相机说话。</v>
      </c>
    </row>
    <row r="32812">
      <c r="A32812" s="4" t="s">
        <v>41293</v>
      </c>
      <c r="B32812" s="4" t="s">
        <v>41294</v>
      </c>
      <c r="C32812" s="5" t="str">
        <f>IFERROR(__xludf.DUMMYFUNCTION("GOOGLETRANSLATE(B32812,""en"",""zh-CN"")"),"人们在雪上滑雪。")</f>
        <v>人们在雪上滑雪。</v>
      </c>
    </row>
    <row r="32813">
      <c r="A32813" s="4" t="s">
        <v>41293</v>
      </c>
      <c r="B32813" s="4" t="s">
        <v>41295</v>
      </c>
      <c r="C32813" s="5" t="str">
        <f>IFERROR(__xludf.DUMMYFUNCTION("GOOGLETRANSLATE(B32813,""en"",""zh-CN"")"),"穿着绿色外套的人在滑雪，同时将相机拿在他们的前面。")</f>
        <v>穿着绿色外套的人在滑雪，同时将相机拿在他们的前面。</v>
      </c>
    </row>
    <row r="32814">
      <c r="A32814" s="4" t="s">
        <v>41293</v>
      </c>
      <c r="B32814" s="4" t="s">
        <v>41296</v>
      </c>
      <c r="C32814" s="5" t="str">
        <f>IFERROR(__xludf.DUMMYFUNCTION("GOOGLETRANSLATE(B32814,""en"",""zh-CN"")"),"人们陷入了底层，开始脱下滑雪板。")</f>
        <v>人们陷入了底层，开始脱下滑雪板。</v>
      </c>
    </row>
    <row r="32815">
      <c r="A32815" s="4" t="s">
        <v>41297</v>
      </c>
      <c r="B32815" s="4" t="s">
        <v>41298</v>
      </c>
      <c r="C32815" s="5" t="str">
        <f>IFERROR(__xludf.DUMMYFUNCTION("GOOGLETRANSLATE(B32815,""en"",""zh-CN"")"),"海滩上的男人在沙滩上打排球。")</f>
        <v>海滩上的男人在沙滩上打排球。</v>
      </c>
    </row>
    <row r="32816">
      <c r="A32816" s="4" t="s">
        <v>41297</v>
      </c>
      <c r="B32816" s="4" t="s">
        <v>41299</v>
      </c>
      <c r="C32816" s="5" t="str">
        <f>IFERROR(__xludf.DUMMYFUNCTION("GOOGLETRANSLATE(B32816,""en"",""zh-CN"")"),"其中一个人将球撞到另一侧，然后将球击中。")</f>
        <v>其中一个人将球撞到另一侧，然后将球击中。</v>
      </c>
    </row>
    <row r="32817">
      <c r="A32817" s="4" t="s">
        <v>41297</v>
      </c>
      <c r="B32817" s="4" t="s">
        <v>41300</v>
      </c>
      <c r="C32817" s="5" t="str">
        <f>IFERROR(__xludf.DUMMYFUNCTION("GOOGLETRANSLATE(B32817,""en"",""zh-CN"")"),"然后在海滩的另一侧，还有一群女性也打排球。")</f>
        <v>然后在海滩的另一侧，还有一群女性也打排球。</v>
      </c>
    </row>
    <row r="32818">
      <c r="A32818" s="4" t="s">
        <v>41297</v>
      </c>
      <c r="B32818" s="4" t="s">
        <v>41301</v>
      </c>
      <c r="C32818" s="5" t="str">
        <f>IFERROR(__xludf.DUMMYFUNCTION("GOOGLETRANSLATE(B32818,""en"",""zh-CN"")"),"他们正在玩一个非常好的游戏，其中一个女孩落在她的肚子上。")</f>
        <v>他们正在玩一个非常好的游戏，其中一个女孩落在她的肚子上。</v>
      </c>
    </row>
    <row r="32819">
      <c r="A32819" s="4" t="s">
        <v>41302</v>
      </c>
      <c r="B32819" s="4" t="s">
        <v>41303</v>
      </c>
      <c r="C32819" s="5" t="str">
        <f>IFERROR(__xludf.DUMMYFUNCTION("GOOGLETRANSLATE(B32819,""en"",""zh-CN"")"),"一只狗在一个小游泳池里游泳。")</f>
        <v>一只狗在一个小游泳池里游泳。</v>
      </c>
    </row>
    <row r="32820">
      <c r="A32820" s="4" t="s">
        <v>41302</v>
      </c>
      <c r="B32820" s="4" t="s">
        <v>41304</v>
      </c>
      <c r="C32820" s="5" t="str">
        <f>IFERROR(__xludf.DUMMYFUNCTION("GOOGLETRANSLATE(B32820,""en"",""zh-CN"")"),"他正在用洗发水摩擦。")</f>
        <v>他正在用洗发水摩擦。</v>
      </c>
    </row>
    <row r="32821">
      <c r="A32821" s="4" t="s">
        <v>41302</v>
      </c>
      <c r="B32821" s="4" t="s">
        <v>41305</v>
      </c>
      <c r="C32821" s="5" t="str">
        <f>IFERROR(__xludf.DUMMYFUNCTION("GOOGLETRANSLATE(B32821,""en"",""zh-CN"")"),"他回到水中了。")</f>
        <v>他回到水中了。</v>
      </c>
    </row>
    <row r="32822">
      <c r="A32822" s="4" t="s">
        <v>41302</v>
      </c>
      <c r="B32822" s="4" t="s">
        <v>41306</v>
      </c>
      <c r="C32822" s="5" t="str">
        <f>IFERROR(__xludf.DUMMYFUNCTION("GOOGLETRANSLATE(B32822,""en"",""zh-CN"")"),"一个人正在用软管喷洒狗。")</f>
        <v>一个人正在用软管喷洒狗。</v>
      </c>
    </row>
    <row r="32823">
      <c r="A32823" s="4" t="s">
        <v>41302</v>
      </c>
      <c r="B32823" s="4" t="s">
        <v>41307</v>
      </c>
      <c r="C32823" s="5" t="str">
        <f>IFERROR(__xludf.DUMMYFUNCTION("GOOGLETRANSLATE(B32823,""en"",""zh-CN"")"),"然后将狗放入金属笔中。")</f>
        <v>然后将狗放入金属笔中。</v>
      </c>
    </row>
    <row r="32824">
      <c r="A32824" s="4" t="s">
        <v>41308</v>
      </c>
      <c r="B32824" s="4" t="s">
        <v>41309</v>
      </c>
      <c r="C32824" s="5" t="str">
        <f>IFERROR(__xludf.DUMMYFUNCTION("GOOGLETRANSLATE(B32824,""en"",""zh-CN"")"),"一个人解释了如何拿着球拍和蓝色球的南瓜。")</f>
        <v>一个人解释了如何拿着球拍和蓝色球的南瓜。</v>
      </c>
    </row>
    <row r="32825">
      <c r="A32825" s="4" t="s">
        <v>41308</v>
      </c>
      <c r="B32825" s="4" t="s">
        <v>41310</v>
      </c>
      <c r="C32825" s="5" t="str">
        <f>IFERROR(__xludf.DUMMYFUNCTION("GOOGLETRANSLATE(B32825,""en"",""zh-CN"")"),"然后，他继续解释如何在墙上击球。")</f>
        <v>然后，他继续解释如何在墙上击球。</v>
      </c>
    </row>
    <row r="32826">
      <c r="A32826" s="4" t="s">
        <v>41311</v>
      </c>
      <c r="B32826" s="4" t="s">
        <v>41312</v>
      </c>
      <c r="C32826" s="5" t="str">
        <f>IFERROR(__xludf.DUMMYFUNCTION("GOOGLETRANSLATE(B32826,""en"",""zh-CN"")"),"在建筑物外看到一辆自行车。")</f>
        <v>在建筑物外看到一辆自行车。</v>
      </c>
    </row>
    <row r="32827">
      <c r="A32827" s="4" t="s">
        <v>41311</v>
      </c>
      <c r="B32827" s="4" t="s">
        <v>41313</v>
      </c>
      <c r="C32827" s="5" t="str">
        <f>IFERROR(__xludf.DUMMYFUNCTION("GOOGLETRANSLATE(B32827,""en"",""zh-CN"")"),"一群男人在外面，喝Eer并在玩啤酒乒乓球时说话。")</f>
        <v>一群男人在外面，喝Eer并在玩啤酒乒乓球时说话。</v>
      </c>
    </row>
    <row r="32828">
      <c r="A32828" s="4" t="s">
        <v>41311</v>
      </c>
      <c r="B32828" s="4" t="s">
        <v>41314</v>
      </c>
      <c r="C32828" s="5" t="str">
        <f>IFERROR(__xludf.DUMMYFUNCTION("GOOGLETRANSLATE(B32828,""en"",""zh-CN"")"),"他们试图将球扔进眼镜。")</f>
        <v>他们试图将球扔进眼镜。</v>
      </c>
    </row>
    <row r="32829">
      <c r="A32829" s="4" t="s">
        <v>41311</v>
      </c>
      <c r="B32829" s="4" t="s">
        <v>41315</v>
      </c>
      <c r="C32829" s="5" t="str">
        <f>IFERROR(__xludf.DUMMYFUNCTION("GOOGLETRANSLATE(B32829,""en"",""zh-CN"")"),"他们玩耍时笑着说话。")</f>
        <v>他们玩耍时笑着说话。</v>
      </c>
    </row>
    <row r="32830">
      <c r="A32830" s="4" t="s">
        <v>41316</v>
      </c>
      <c r="B32830" s="6" t="s">
        <v>41317</v>
      </c>
      <c r="C32830" s="5" t="str">
        <f>IFERROR(__xludf.DUMMYFUNCTION("GOOGLETRANSLATE(B32830,""en"",""zh-CN"")"),"看到一台相机在一个大湖上铺设，然后是一个骑着滑雪摩托的人骑着滑雪板的人。")</f>
        <v>看到一台相机在一个大湖上铺设，然后是一个骑着滑雪摩托的人骑着滑雪板的人。</v>
      </c>
    </row>
    <row r="32831">
      <c r="A32831" s="4" t="s">
        <v>41316</v>
      </c>
      <c r="B32831" s="4" t="s">
        <v>41318</v>
      </c>
      <c r="C32831" s="5" t="str">
        <f>IFERROR(__xludf.DUMMYFUNCTION("GOOGLETRANSLATE(B32831,""en"",""zh-CN"")"),"看到两个人骑在摩托艇后面，并继续沿着水面移动。")</f>
        <v>看到两个人骑在摩托艇后面，并继续沿着水面移动。</v>
      </c>
    </row>
    <row r="32832">
      <c r="A32832" s="4" t="s">
        <v>41319</v>
      </c>
      <c r="B32832" s="6" t="s">
        <v>41320</v>
      </c>
      <c r="C32832" s="5" t="str">
        <f>IFERROR(__xludf.DUMMYFUNCTION("GOOGLETRANSLATE(B32832,""en"",""zh-CN"")"),"穿着黄色衬衫的球员将球踢向球门，守门员无法抓住球，另一位穿着红色衬衫的球员踢了球，守门员无法击球。")</f>
        <v>穿着黄色衬衫的球员将球踢向球门，守门员无法抓住球，另一位穿着红色衬衫的球员踢了球，守门员无法击球。</v>
      </c>
    </row>
    <row r="32833">
      <c r="A32833" s="4" t="s">
        <v>41319</v>
      </c>
      <c r="B32833" s="4" t="s">
        <v>41321</v>
      </c>
      <c r="C32833" s="5" t="str">
        <f>IFERROR(__xludf.DUMMYFUNCTION("GOOGLETRANSLATE(B32833,""en"",""zh-CN"")"),"守门员站在网前，人群欢呼。")</f>
        <v>守门员站在网前，人群欢呼。</v>
      </c>
    </row>
    <row r="32834">
      <c r="A32834" s="4" t="s">
        <v>41322</v>
      </c>
      <c r="B32834" s="4" t="s">
        <v>41323</v>
      </c>
      <c r="C32834" s="5" t="str">
        <f>IFERROR(__xludf.DUMMYFUNCTION("GOOGLETRANSLATE(B32834,""en"",""zh-CN"")"),"显示了一个白屏，并在屏幕上显示了几个单词。")</f>
        <v>显示了一个白屏，并在屏幕上显示了几个单词。</v>
      </c>
    </row>
    <row r="32835">
      <c r="A32835" s="4" t="s">
        <v>41322</v>
      </c>
      <c r="B32835" s="6" t="s">
        <v>41324</v>
      </c>
      <c r="C32835" s="5" t="str">
        <f>IFERROR(__xludf.DUMMYFUNCTION("GOOGLETRANSLATE(B32835,""en"",""zh-CN"")"),"然后显示一个蓝色垫子，一个人开始扫荡并将蓝色垫子放在垫子上。")</f>
        <v>然后显示一个蓝色垫子，一个人开始扫荡并将蓝色垫子放在垫子上。</v>
      </c>
    </row>
    <row r="32836">
      <c r="A32836" s="4" t="s">
        <v>41322</v>
      </c>
      <c r="B32836" s="6" t="s">
        <v>41325</v>
      </c>
      <c r="C32836" s="5" t="str">
        <f>IFERROR(__xludf.DUMMYFUNCTION("GOOGLETRANSLATE(B32836,""en"",""zh-CN"")"),"该男子拿出一块尺寸的胶带，切掉一块蓝色垫子，继续覆盖地板。")</f>
        <v>该男子拿出一块尺寸的胶带，切掉一块蓝色垫子，继续覆盖地板。</v>
      </c>
    </row>
    <row r="32837">
      <c r="A32837" s="4" t="s">
        <v>41326</v>
      </c>
      <c r="B32837" s="4" t="s">
        <v>41327</v>
      </c>
      <c r="C32837" s="5" t="str">
        <f>IFERROR(__xludf.DUMMYFUNCTION("GOOGLETRANSLATE(B32837,""en"",""zh-CN"")"),"看到两个人在玩游泳池游戏，而其他人则在旁边看和对话。")</f>
        <v>看到两个人在玩游泳池游戏，而其他人则在旁边看和对话。</v>
      </c>
    </row>
    <row r="32838">
      <c r="A32838" s="4" t="s">
        <v>41326</v>
      </c>
      <c r="B32838" s="4" t="s">
        <v>41328</v>
      </c>
      <c r="C32838" s="5" t="str">
        <f>IFERROR(__xludf.DUMMYFUNCTION("GOOGLETRANSLATE(B32838,""en"",""zh-CN"")"),"这些人继续将球击中桌子，四处走动。")</f>
        <v>这些人继续将球击中桌子，四处走动。</v>
      </c>
    </row>
    <row r="32839">
      <c r="A32839" s="4" t="s">
        <v>41329</v>
      </c>
      <c r="B32839" s="4" t="s">
        <v>41330</v>
      </c>
      <c r="C32839" s="5" t="str">
        <f>IFERROR(__xludf.DUMMYFUNCTION("GOOGLETRANSLATE(B32839,""en"",""zh-CN"")"),"两个人在外面互相交谈，他们开始伸展手臂。")</f>
        <v>两个人在外面互相交谈，他们开始伸展手臂。</v>
      </c>
    </row>
    <row r="32840">
      <c r="A32840" s="4" t="s">
        <v>41329</v>
      </c>
      <c r="B32840" s="4" t="s">
        <v>41331</v>
      </c>
      <c r="C32840" s="5" t="str">
        <f>IFERROR(__xludf.DUMMYFUNCTION("GOOGLETRANSLATE(B32840,""en"",""zh-CN"")"),"然后，他们停下来做一系列岩石，纸，剪刀。")</f>
        <v>然后，他们停下来做一系列岩石，纸，剪刀。</v>
      </c>
    </row>
    <row r="32841">
      <c r="A32841" s="4" t="s">
        <v>41332</v>
      </c>
      <c r="B32841" s="4" t="s">
        <v>41333</v>
      </c>
      <c r="C32841" s="5" t="str">
        <f>IFERROR(__xludf.DUMMYFUNCTION("GOOGLETRANSLATE(B32841,""en"",""zh-CN"")"),"几个小孩乘坐保险杠汽车四处开车。")</f>
        <v>几个小孩乘坐保险杠汽车四处开车。</v>
      </c>
    </row>
    <row r="32842">
      <c r="A32842" s="4" t="s">
        <v>41332</v>
      </c>
      <c r="B32842" s="4" t="s">
        <v>41334</v>
      </c>
      <c r="C32842" s="5" t="str">
        <f>IFERROR(__xludf.DUMMYFUNCTION("GOOGLETRANSLATE(B32842,""en"",""zh-CN"")"),"其中一个不断旋转。")</f>
        <v>其中一个不断旋转。</v>
      </c>
    </row>
    <row r="32843">
      <c r="A32843" s="4" t="s">
        <v>41332</v>
      </c>
      <c r="B32843" s="4" t="s">
        <v>41335</v>
      </c>
      <c r="C32843" s="5" t="str">
        <f>IFERROR(__xludf.DUMMYFUNCTION("GOOGLETRANSLATE(B32843,""en"",""zh-CN"")"),"其他人离开后，她独自骑。")</f>
        <v>其他人离开后，她独自骑。</v>
      </c>
    </row>
    <row r="32844">
      <c r="A32844" s="4" t="s">
        <v>41336</v>
      </c>
      <c r="B32844" s="4" t="s">
        <v>41337</v>
      </c>
      <c r="C32844" s="5" t="str">
        <f>IFERROR(__xludf.DUMMYFUNCTION("GOOGLETRANSLATE(B32844,""en"",""zh-CN"")"),"我们看到一位女士画她的指甲。")</f>
        <v>我们看到一位女士画她的指甲。</v>
      </c>
    </row>
    <row r="32845">
      <c r="A32845" s="4" t="s">
        <v>41336</v>
      </c>
      <c r="B32845" s="4" t="s">
        <v>41338</v>
      </c>
      <c r="C32845" s="5" t="str">
        <f>IFERROR(__xludf.DUMMYFUNCTION("GOOGLETRANSLATE(B32845,""en"",""zh-CN"")"),"我们看到标题屏幕。")</f>
        <v>我们看到标题屏幕。</v>
      </c>
    </row>
    <row r="32846">
      <c r="A32846" s="4" t="s">
        <v>41336</v>
      </c>
      <c r="B32846" s="4" t="s">
        <v>41339</v>
      </c>
      <c r="C32846" s="5" t="str">
        <f>IFERROR(__xludf.DUMMYFUNCTION("GOOGLETRANSLATE(B32846,""en"",""zh-CN"")"),"女士档案并穿上透明的外套。")</f>
        <v>女士档案并穿上透明的外套。</v>
      </c>
    </row>
    <row r="32847">
      <c r="A32847" s="4" t="s">
        <v>41336</v>
      </c>
      <c r="B32847" s="4" t="s">
        <v>41340</v>
      </c>
      <c r="C32847" s="5" t="str">
        <f>IFERROR(__xludf.DUMMYFUNCTION("GOOGLETRANSLATE(B32847,""en"",""zh-CN"")"),"那位女士画了手指指甲蓝色。")</f>
        <v>那位女士画了手指指甲蓝色。</v>
      </c>
    </row>
    <row r="32848">
      <c r="A32848" s="4" t="s">
        <v>41336</v>
      </c>
      <c r="B32848" s="4" t="s">
        <v>41341</v>
      </c>
      <c r="C32848" s="5" t="str">
        <f>IFERROR(__xludf.DUMMYFUNCTION("GOOGLETRANSLATE(B32848,""en"",""zh-CN"")"),"这位女士添加了一层透明的抛光剂。")</f>
        <v>这位女士添加了一层透明的抛光剂。</v>
      </c>
    </row>
    <row r="32849">
      <c r="A32849" s="4" t="s">
        <v>41336</v>
      </c>
      <c r="B32849" s="4" t="s">
        <v>41342</v>
      </c>
      <c r="C32849" s="5" t="str">
        <f>IFERROR(__xludf.DUMMYFUNCTION("GOOGLETRANSLATE(B32849,""en"",""zh-CN"")"),"这位女士将油放在她的角质层上，我们看到了成品。")</f>
        <v>这位女士将油放在她的角质层上，我们看到了成品。</v>
      </c>
    </row>
    <row r="32850">
      <c r="A32850" s="4" t="s">
        <v>41336</v>
      </c>
      <c r="B32850" s="4" t="s">
        <v>777</v>
      </c>
      <c r="C32850" s="5" t="str">
        <f>IFERROR(__xludf.DUMMYFUNCTION("GOOGLETRANSLATE(B32850,""en"",""zh-CN"")"),"我们看到结尾标题屏幕。")</f>
        <v>我们看到结尾标题屏幕。</v>
      </c>
    </row>
    <row r="32851">
      <c r="A32851" s="4" t="s">
        <v>41343</v>
      </c>
      <c r="B32851" s="4" t="s">
        <v>41344</v>
      </c>
      <c r="C32851" s="5" t="str">
        <f>IFERROR(__xludf.DUMMYFUNCTION("GOOGLETRANSLATE(B32851,""en"",""zh-CN"")"),"这个女人在玩黑色口琴。")</f>
        <v>这个女人在玩黑色口琴。</v>
      </c>
    </row>
    <row r="32852">
      <c r="A32852" s="4" t="s">
        <v>41343</v>
      </c>
      <c r="B32852" s="4" t="s">
        <v>41345</v>
      </c>
      <c r="C32852" s="5" t="str">
        <f>IFERROR(__xludf.DUMMYFUNCTION("GOOGLETRANSLATE(B32852,""en"",""zh-CN"")"),"她停了一会儿，但后来她继续前进。")</f>
        <v>她停了一会儿，但后来她继续前进。</v>
      </c>
    </row>
    <row r="32853">
      <c r="A32853" s="4" t="s">
        <v>41346</v>
      </c>
      <c r="B32853" s="4" t="s">
        <v>41347</v>
      </c>
      <c r="C32853" s="5" t="str">
        <f>IFERROR(__xludf.DUMMYFUNCTION("GOOGLETRANSLATE(B32853,""en"",""zh-CN"")"),"一个高个子的黑人男性正站在外面拍手，试图获得人群的参与。")</f>
        <v>一个高个子的黑人男性正站在外面拍手，试图获得人群的参与。</v>
      </c>
    </row>
    <row r="32854">
      <c r="A32854" s="4" t="s">
        <v>41346</v>
      </c>
      <c r="B32854" s="4" t="s">
        <v>41348</v>
      </c>
      <c r="C32854" s="5" t="str">
        <f>IFERROR(__xludf.DUMMYFUNCTION("GOOGLETRANSLATE(B32854,""en"",""zh-CN"")"),"然后，运动员起飞，然后跳入坑中。")</f>
        <v>然后，运动员起飞，然后跳入坑中。</v>
      </c>
    </row>
    <row r="32855">
      <c r="A32855" s="4" t="s">
        <v>41346</v>
      </c>
      <c r="B32855" s="6" t="s">
        <v>41349</v>
      </c>
      <c r="C32855" s="5" t="str">
        <f>IFERROR(__xludf.DUMMYFUNCTION("GOOGLETRANSLATE(B32855,""en"",""zh-CN"")"),"一旦他离开坑，他走来走去，并证明重播可以确保他没有刮擦，并且可以计算跳跃。")</f>
        <v>一旦他离开坑，他走来走去，并证明重播可以确保他没有刮擦，并且可以计算跳跃。</v>
      </c>
    </row>
    <row r="32856">
      <c r="A32856" s="4" t="s">
        <v>41346</v>
      </c>
      <c r="B32856" s="4" t="s">
        <v>41350</v>
      </c>
      <c r="C32856" s="5" t="str">
        <f>IFERROR(__xludf.DUMMYFUNCTION("GOOGLETRANSLATE(B32856,""en"",""zh-CN"")"),"另一个人接近跑步，重复相同的步骤，但最终会刮擦。")</f>
        <v>另一个人接近跑步，重复相同的步骤，但最终会刮擦。</v>
      </c>
    </row>
    <row r="32857">
      <c r="A32857" s="4" t="s">
        <v>41351</v>
      </c>
      <c r="B32857" s="4" t="s">
        <v>41352</v>
      </c>
      <c r="C32857" s="5" t="str">
        <f>IFERROR(__xludf.DUMMYFUNCTION("GOOGLETRANSLATE(B32857,""en"",""zh-CN"")"),"人们从屋顶上拿着风筝池池中飞行风筝。")</f>
        <v>人们从屋顶上拿着风筝池池中飞行风筝。</v>
      </c>
    </row>
    <row r="32858">
      <c r="A32858" s="4" t="s">
        <v>41351</v>
      </c>
      <c r="B32858" s="4" t="s">
        <v>41353</v>
      </c>
      <c r="C32858" s="5" t="str">
        <f>IFERROR(__xludf.DUMMYFUNCTION("GOOGLETRANSLATE(B32858,""en"",""zh-CN"")"),"几个风筝在天上飞。")</f>
        <v>几个风筝在天上飞。</v>
      </c>
    </row>
    <row r="32859">
      <c r="A32859" s="4" t="s">
        <v>41351</v>
      </c>
      <c r="B32859" s="4" t="s">
        <v>41354</v>
      </c>
      <c r="C32859" s="5" t="str">
        <f>IFERROR(__xludf.DUMMYFUNCTION("GOOGLETRANSLATE(B32859,""en"",""zh-CN"")"),"一个男人在放风筝时拿着风筝弦池。")</f>
        <v>一个男人在放风筝时拿着风筝弦池。</v>
      </c>
    </row>
    <row r="32860">
      <c r="A32860" s="4" t="s">
        <v>41355</v>
      </c>
      <c r="B32860" s="4" t="s">
        <v>41356</v>
      </c>
      <c r="C32860" s="5" t="str">
        <f>IFERROR(__xludf.DUMMYFUNCTION("GOOGLETRANSLATE(B32860,""en"",""zh-CN"")"),"一个男人拿着一块金属，将其放在墙壁上。")</f>
        <v>一个男人拿着一块金属，将其放在墙壁上。</v>
      </c>
    </row>
    <row r="32861">
      <c r="A32861" s="4" t="s">
        <v>41355</v>
      </c>
      <c r="B32861" s="6" t="s">
        <v>41357</v>
      </c>
      <c r="C32861" s="5" t="str">
        <f>IFERROR(__xludf.DUMMYFUNCTION("GOOGLETRANSLATE(B32861,""en"",""zh-CN"")"),"然后，他将石膏沿着金属放置，并在整个墙上摩擦砂光机，同时还回头看相机。")</f>
        <v>然后，他将石膏沿着金属放置，并在整个墙上摩擦砂光机，同时还回头看相机。</v>
      </c>
    </row>
    <row r="32862">
      <c r="A32862" s="4" t="s">
        <v>41358</v>
      </c>
      <c r="B32862" s="4" t="s">
        <v>41359</v>
      </c>
      <c r="C32862" s="5" t="str">
        <f>IFERROR(__xludf.DUMMYFUNCTION("GOOGLETRANSLATE(B32862,""en"",""zh-CN"")"),"两支球队参加室内足球比赛。")</f>
        <v>两支球队参加室内足球比赛。</v>
      </c>
    </row>
    <row r="32863">
      <c r="A32863" s="4" t="s">
        <v>41358</v>
      </c>
      <c r="B32863" s="4" t="s">
        <v>41360</v>
      </c>
      <c r="C32863" s="5" t="str">
        <f>IFERROR(__xludf.DUMMYFUNCTION("GOOGLETRANSLATE(B32863,""en"",""zh-CN"")"),"来自白队的球员运球并将球一直击中球并实现进球。")</f>
        <v>来自白队的球员运球并将球一直击中球并实现进球。</v>
      </c>
    </row>
    <row r="32864">
      <c r="A32864" s="4" t="s">
        <v>41358</v>
      </c>
      <c r="B32864" s="4" t="s">
        <v>41361</v>
      </c>
      <c r="C32864" s="5" t="str">
        <f>IFERROR(__xludf.DUMMYFUNCTION("GOOGLETRANSLATE(B32864,""en"",""zh-CN"")"),"来自蓝色团队的球员运球，一直向下传球并实现目标。")</f>
        <v>来自蓝色团队的球员运球，一直向下传球并实现目标。</v>
      </c>
    </row>
    <row r="32865">
      <c r="A32865" s="4" t="s">
        <v>41358</v>
      </c>
      <c r="B32865" s="4" t="s">
        <v>41362</v>
      </c>
      <c r="C32865" s="5" t="str">
        <f>IFERROR(__xludf.DUMMYFUNCTION("GOOGLETRANSLATE(B32865,""en"",""zh-CN"")"),"蓝队的一名成员与两个防守者作战，并提出了一点。")</f>
        <v>蓝队的一名成员与两个防守者作战，并提出了一点。</v>
      </c>
    </row>
    <row r="32866">
      <c r="A32866" s="4" t="s">
        <v>41358</v>
      </c>
      <c r="B32866" s="4" t="s">
        <v>41363</v>
      </c>
      <c r="C32866" s="5" t="str">
        <f>IFERROR(__xludf.DUMMYFUNCTION("GOOGLETRANSLATE(B32866,""en"",""zh-CN"")"),"玩家踢球并协助进球。")</f>
        <v>玩家踢球并协助进球。</v>
      </c>
    </row>
    <row r="32867">
      <c r="A32867" s="4" t="s">
        <v>41364</v>
      </c>
      <c r="B32867" s="4" t="s">
        <v>41365</v>
      </c>
      <c r="C32867" s="5" t="str">
        <f>IFERROR(__xludf.DUMMYFUNCTION("GOOGLETRANSLATE(B32867,""en"",""zh-CN"")"),"两名妇女坐在沙发上时正在抽烟。")</f>
        <v>两名妇女坐在沙发上时正在抽烟。</v>
      </c>
    </row>
    <row r="32868">
      <c r="A32868" s="4" t="s">
        <v>41364</v>
      </c>
      <c r="B32868" s="4" t="s">
        <v>41366</v>
      </c>
      <c r="C32868" s="5" t="str">
        <f>IFERROR(__xludf.DUMMYFUNCTION("GOOGLETRANSLATE(B32868,""en"",""zh-CN"")"),"他们轮流击中并吹烟。")</f>
        <v>他们轮流击中并吹烟。</v>
      </c>
    </row>
    <row r="32869">
      <c r="A32869" s="4" t="s">
        <v>41364</v>
      </c>
      <c r="B32869" s="4" t="s">
        <v>41367</v>
      </c>
      <c r="C32869" s="5" t="str">
        <f>IFERROR(__xludf.DUMMYFUNCTION("GOOGLETRANSLATE(B32869,""en"",""zh-CN"")"),"他们将烟雾吹向相机。")</f>
        <v>他们将烟雾吹向相机。</v>
      </c>
    </row>
    <row r="32870">
      <c r="A32870" s="4" t="s">
        <v>41368</v>
      </c>
      <c r="B32870" s="4" t="s">
        <v>41369</v>
      </c>
      <c r="C32870" s="5" t="str">
        <f>IFERROR(__xludf.DUMMYFUNCTION("GOOGLETRANSLATE(B32870,""en"",""zh-CN"")"),"一个站在院子里的男人与镜头谈论他的院子。")</f>
        <v>一个站在院子里的男人与镜头谈论他的院子。</v>
      </c>
    </row>
    <row r="32871">
      <c r="A32871" s="4" t="s">
        <v>41368</v>
      </c>
      <c r="B32871" s="4" t="s">
        <v>41370</v>
      </c>
      <c r="C32871" s="5" t="str">
        <f>IFERROR(__xludf.DUMMYFUNCTION("GOOGLETRANSLATE(B32871,""en"",""zh-CN"")"),"他在院子里的人动作。")</f>
        <v>他在院子里的人动作。</v>
      </c>
    </row>
    <row r="32872">
      <c r="A32872" s="4" t="s">
        <v>41368</v>
      </c>
      <c r="B32872" s="4" t="s">
        <v>41371</v>
      </c>
      <c r="C32872" s="5" t="str">
        <f>IFERROR(__xludf.DUMMYFUNCTION("GOOGLETRANSLATE(B32872,""en"",""zh-CN"")"),"然后，男人用割草机割草。")</f>
        <v>然后，男人用割草机割草。</v>
      </c>
    </row>
    <row r="32873">
      <c r="A32873" s="4" t="s">
        <v>41368</v>
      </c>
      <c r="B32873" s="4" t="s">
        <v>41372</v>
      </c>
      <c r="C32873" s="5" t="str">
        <f>IFERROR(__xludf.DUMMYFUNCTION("GOOGLETRANSLATE(B32873,""en"",""zh-CN"")"),"该男子停下来，在割草机上展示电线。")</f>
        <v>该男子停下来，在割草机上展示电线。</v>
      </c>
    </row>
    <row r="32874">
      <c r="A32874" s="4" t="s">
        <v>41373</v>
      </c>
      <c r="B32874" s="4" t="s">
        <v>41374</v>
      </c>
      <c r="C32874" s="5" t="str">
        <f>IFERROR(__xludf.DUMMYFUNCTION("GOOGLETRANSLATE(B32874,""en"",""zh-CN"")"),"我们看到一位女士站在新闻室和镜头说话。")</f>
        <v>我们看到一位女士站在新闻室和镜头说话。</v>
      </c>
    </row>
    <row r="32875">
      <c r="A32875" s="4" t="s">
        <v>41373</v>
      </c>
      <c r="B32875" s="4" t="s">
        <v>41375</v>
      </c>
      <c r="C32875" s="5" t="str">
        <f>IFERROR(__xludf.DUMMYFUNCTION("GOOGLETRANSLATE(B32875,""en"",""zh-CN"")"),"然后，我们看到在马匹上的人们。")</f>
        <v>然后，我们看到在马匹上的人们。</v>
      </c>
    </row>
    <row r="32876">
      <c r="A32876" s="4" t="s">
        <v>41373</v>
      </c>
      <c r="B32876" s="4" t="s">
        <v>41376</v>
      </c>
      <c r="C32876" s="5" t="str">
        <f>IFERROR(__xludf.DUMMYFUNCTION("GOOGLETRANSLATE(B32876,""en"",""zh-CN"")"),"人们在马上玩马球。")</f>
        <v>人们在马上玩马球。</v>
      </c>
    </row>
    <row r="32877">
      <c r="A32877" s="4" t="s">
        <v>41373</v>
      </c>
      <c r="B32877" s="4" t="s">
        <v>41377</v>
      </c>
      <c r="C32877" s="5" t="str">
        <f>IFERROR(__xludf.DUMMYFUNCTION("GOOGLETRANSLATE(B32877,""en"",""zh-CN"")"),"我们看到一个男人在跟相机聊天。")</f>
        <v>我们看到一个男人在跟相机聊天。</v>
      </c>
    </row>
    <row r="32878">
      <c r="A32878" s="4" t="s">
        <v>41373</v>
      </c>
      <c r="B32878" s="4" t="s">
        <v>41378</v>
      </c>
      <c r="C32878" s="5" t="str">
        <f>IFERROR(__xludf.DUMMYFUNCTION("GOOGLETRANSLATE(B32878,""en"",""zh-CN"")"),"然后，我们看到人们再次玩耍。")</f>
        <v>然后，我们看到人们再次玩耍。</v>
      </c>
    </row>
    <row r="32879">
      <c r="A32879" s="4" t="s">
        <v>41373</v>
      </c>
      <c r="B32879" s="4" t="s">
        <v>41379</v>
      </c>
      <c r="C32879" s="5" t="str">
        <f>IFERROR(__xludf.DUMMYFUNCTION("GOOGLETRANSLATE(B32879,""en"",""zh-CN"")"),"该男子再次与镜头说话。")</f>
        <v>该男子再次与镜头说话。</v>
      </c>
    </row>
    <row r="32880">
      <c r="A32880" s="4" t="s">
        <v>41373</v>
      </c>
      <c r="B32880" s="4" t="s">
        <v>41380</v>
      </c>
      <c r="C32880" s="5" t="str">
        <f>IFERROR(__xludf.DUMMYFUNCTION("GOOGLETRANSLATE(B32880,""en"",""zh-CN"")"),"我们看到马球运动员在他们的马上。")</f>
        <v>我们看到马球运动员在他们的马上。</v>
      </c>
    </row>
    <row r="32881">
      <c r="A32881" s="4" t="s">
        <v>41373</v>
      </c>
      <c r="B32881" s="4" t="s">
        <v>41381</v>
      </c>
      <c r="C32881" s="5" t="str">
        <f>IFERROR(__xludf.DUMMYFUNCTION("GOOGLETRANSLATE(B32881,""en"",""zh-CN"")"),"一个男人在马嘴前拿着酒，我们再次看到新闻媒介。")</f>
        <v>一个男人在马嘴前拿着酒，我们再次看到新闻媒介。</v>
      </c>
    </row>
    <row r="32882">
      <c r="A32882" s="4" t="s">
        <v>41382</v>
      </c>
      <c r="B32882" s="4" t="s">
        <v>41383</v>
      </c>
      <c r="C32882" s="5" t="str">
        <f>IFERROR(__xludf.DUMMYFUNCTION("GOOGLETRANSLATE(B32882,""en"",""zh-CN"")"),"一个女人站在一匹马旁边的女孩旁边的院子里。")</f>
        <v>一个女人站在一匹马旁边的女孩旁边的院子里。</v>
      </c>
    </row>
    <row r="32883">
      <c r="A32883" s="4" t="s">
        <v>41382</v>
      </c>
      <c r="B32883" s="4" t="s">
        <v>41384</v>
      </c>
      <c r="C32883" s="5" t="str">
        <f>IFERROR(__xludf.DUMMYFUNCTION("GOOGLETRANSLATE(B32883,""en"",""zh-CN"")"),"当女孩小心翼翼地骑着马周围时，她走开了。")</f>
        <v>当女孩小心翼翼地骑着马周围时，她走开了。</v>
      </c>
    </row>
    <row r="32884">
      <c r="A32884" s="4" t="s">
        <v>41382</v>
      </c>
      <c r="B32884" s="4" t="s">
        <v>41385</v>
      </c>
      <c r="C32884" s="5" t="str">
        <f>IFERROR(__xludf.DUMMYFUNCTION("GOOGLETRANSLATE(B32884,""en"",""zh-CN"")"),"然后，她在骑行时将马驶入轻型小跑。")</f>
        <v>然后，她在骑行时将马驶入轻型小跑。</v>
      </c>
    </row>
    <row r="32885">
      <c r="A32885" s="4" t="s">
        <v>41386</v>
      </c>
      <c r="B32885" s="4" t="s">
        <v>41387</v>
      </c>
      <c r="C32885" s="5" t="str">
        <f>IFERROR(__xludf.DUMMYFUNCTION("GOOGLETRANSLATE(B32885,""en"",""zh-CN"")"),"一个光着膀子的男人用铲子刮屋顶砾石。")</f>
        <v>一个光着膀子的男人用铲子刮屋顶砾石。</v>
      </c>
    </row>
    <row r="32886">
      <c r="A32886" s="4" t="s">
        <v>41386</v>
      </c>
      <c r="B32886" s="6" t="s">
        <v>41388</v>
      </c>
      <c r="C32886" s="5" t="str">
        <f>IFERROR(__xludf.DUMMYFUNCTION("GOOGLETRANSLATE(B32886,""en"",""zh-CN"")"),"该男子停下来靠在铲子上片刻，看看他前面的工作数量。")</f>
        <v>该男子停下来靠在铲子上片刻，看看他前面的工作数量。</v>
      </c>
    </row>
    <row r="32887">
      <c r="A32887" s="4" t="s">
        <v>41386</v>
      </c>
      <c r="B32887" s="4" t="s">
        <v>41389</v>
      </c>
      <c r="C32887" s="5" t="str">
        <f>IFERROR(__xludf.DUMMYFUNCTION("GOOGLETRANSLATE(B32887,""en"",""zh-CN"")"),"该男子继续刮擦碎石屋顶，然后向后转向相机。")</f>
        <v>该男子继续刮擦碎石屋顶，然后向后转向相机。</v>
      </c>
    </row>
    <row r="32888">
      <c r="A32888" s="4" t="s">
        <v>41390</v>
      </c>
      <c r="B32888" s="6" t="s">
        <v>41391</v>
      </c>
      <c r="C32888" s="5" t="str">
        <f>IFERROR(__xludf.DUMMYFUNCTION("GOOGLETRANSLATE(B32888,""en"",""zh-CN"")"),"看到两名男子站在一张洗牌板桌子旁，然后这些男人在整个桌子上击中了冰球。")</f>
        <v>看到两名男子站在一张洗牌板桌子旁，然后这些男人在整个桌子上击中了冰球。</v>
      </c>
    </row>
    <row r="32889">
      <c r="A32889" s="4" t="s">
        <v>41390</v>
      </c>
      <c r="B32889" s="4" t="s">
        <v>41392</v>
      </c>
      <c r="C32889" s="5" t="str">
        <f>IFERROR(__xludf.DUMMYFUNCTION("GOOGLETRANSLATE(B32889,""en"",""zh-CN"")"),"最终，这些人继续击中冰球并放大脸。")</f>
        <v>最终，这些人继续击中冰球并放大脸。</v>
      </c>
    </row>
    <row r="32890">
      <c r="A32890" s="4" t="s">
        <v>41393</v>
      </c>
      <c r="B32890" s="4" t="s">
        <v>41394</v>
      </c>
      <c r="C32890" s="5" t="str">
        <f>IFERROR(__xludf.DUMMYFUNCTION("GOOGLETRANSLATE(B32890,""en"",""zh-CN"")"),"漆黑的夜晚显示出闪电闪烁的天空。")</f>
        <v>漆黑的夜晚显示出闪电闪烁的天空。</v>
      </c>
    </row>
    <row r="32891">
      <c r="A32891" s="4" t="s">
        <v>41393</v>
      </c>
      <c r="B32891" s="4" t="s">
        <v>41395</v>
      </c>
      <c r="C32891" s="5" t="str">
        <f>IFERROR(__xludf.DUMMYFUNCTION("GOOGLETRANSLATE(B32891,""en"",""zh-CN"")"),"之后，视频开始了，几个人被显示在水中的一艘大船上。")</f>
        <v>之后，视频开始了，几个人被显示在水中的一艘大船上。</v>
      </c>
    </row>
    <row r="32892">
      <c r="A32892" s="4" t="s">
        <v>41393</v>
      </c>
      <c r="B32892" s="4" t="s">
        <v>41396</v>
      </c>
      <c r="C32892" s="5" t="str">
        <f>IFERROR(__xludf.DUMMYFUNCTION("GOOGLETRANSLATE(B32892,""en"",""zh-CN"")"),"天气开始变得讨厌，人们必须坚持亲爱的生活，以免死亡。")</f>
        <v>天气开始变得讨厌，人们必须坚持亲爱的生活，以免死亡。</v>
      </c>
    </row>
    <row r="32893">
      <c r="A32893" s="4" t="s">
        <v>41393</v>
      </c>
      <c r="B32893" s="6" t="s">
        <v>41397</v>
      </c>
      <c r="C32893" s="5" t="str">
        <f>IFERROR(__xludf.DUMMYFUNCTION("GOOGLETRANSLATE(B32893,""en"",""zh-CN"")"),"在一个例子中，这艘船开始向侧面倾斜，人们欢呼雀跃，随着恐怖天气的持续，它没有尖叫。")</f>
        <v>在一个例子中，这艘船开始向侧面倾斜，人们欢呼雀跃，随着恐怖天气的持续，它没有尖叫。</v>
      </c>
    </row>
    <row r="32894">
      <c r="A32894" s="4" t="s">
        <v>41398</v>
      </c>
      <c r="B32894" s="6" t="s">
        <v>41399</v>
      </c>
      <c r="C32894" s="5" t="str">
        <f>IFERROR(__xludf.DUMMYFUNCTION("GOOGLETRANSLATE(B32894,""en"",""zh-CN"")"),"一群跑步者在一条街上，一名破坏唱片的波士顿马拉松运动员在庆祝后的一次采访中表现出来。")</f>
        <v>一群跑步者在一条街上，一名破坏唱片的波士顿马拉松运动员在庆祝后的一次采访中表现出来。</v>
      </c>
    </row>
    <row r="32895">
      <c r="A32895" s="4" t="s">
        <v>41398</v>
      </c>
      <c r="B32895" s="4" t="s">
        <v>41400</v>
      </c>
      <c r="C32895" s="5" t="str">
        <f>IFERROR(__xludf.DUMMYFUNCTION("GOOGLETRANSLATE(B32895,""en"",""zh-CN"")"),"新闻施法者在参加马拉松比赛结束时，正在谈论这个人和其他人。")</f>
        <v>新闻施法者在参加马拉松比赛结束时，正在谈论这个人和其他人。</v>
      </c>
    </row>
    <row r="32896">
      <c r="A32896" s="4" t="s">
        <v>41398</v>
      </c>
      <c r="B32896" s="4" t="s">
        <v>41401</v>
      </c>
      <c r="C32896" s="5" t="str">
        <f>IFERROR(__xludf.DUMMYFUNCTION("GOOGLETRANSLATE(B32896,""en"",""zh-CN"")"),"跑步者被展示为一个小组，因为穿着英国焊料的男子为人群制作了一场戏剧。")</f>
        <v>跑步者被展示为一个小组，因为穿着英国焊料的男子为人群制作了一场戏剧。</v>
      </c>
    </row>
    <row r="32897">
      <c r="A32897" s="4" t="s">
        <v>41402</v>
      </c>
      <c r="B32897" s="4" t="s">
        <v>41403</v>
      </c>
      <c r="C32897" s="5" t="str">
        <f>IFERROR(__xludf.DUMMYFUNCTION("GOOGLETRANSLATE(B32897,""en"",""zh-CN"")"),"一名穿着桃毛衣的男人是滑板，然后跌落在地面上。")</f>
        <v>一名穿着桃毛衣的男人是滑板，然后跌落在地面上。</v>
      </c>
    </row>
    <row r="32898">
      <c r="A32898" s="4" t="s">
        <v>41402</v>
      </c>
      <c r="B32898" s="4" t="s">
        <v>41404</v>
      </c>
      <c r="C32898" s="5" t="str">
        <f>IFERROR(__xludf.DUMMYFUNCTION("GOOGLETRANSLATE(B32898,""en"",""zh-CN"")"),"一个橙色站的男人在黑暗的街道上滑板，跌落在地面上。")</f>
        <v>一个橙色站的男人在黑暗的街道上滑板，跌落在地面上。</v>
      </c>
    </row>
    <row r="32899">
      <c r="A32899" s="4" t="s">
        <v>41402</v>
      </c>
      <c r="B32899" s="6" t="s">
        <v>41405</v>
      </c>
      <c r="C32899" s="5" t="str">
        <f>IFERROR(__xludf.DUMMYFUNCTION("GOOGLETRANSLATE(B32899,""en"",""zh-CN"")"),"一个穿着黑色衬衫滑板的男人沿着宽阔的道路跌落在路边，该男子在相机前展示了他的流血割伤。")</f>
        <v>一个穿着黑色衬衫滑板的男人沿着宽阔的道路跌落在路边，该男子在相机前展示了他的流血割伤。</v>
      </c>
    </row>
    <row r="32900">
      <c r="A32900" s="4" t="s">
        <v>41402</v>
      </c>
      <c r="B32900" s="4" t="s">
        <v>41406</v>
      </c>
      <c r="C32900" s="5" t="str">
        <f>IFERROR(__xludf.DUMMYFUNCTION("GOOGLETRANSLATE(B32900,""en"",""zh-CN"")"),"A滑板手从滑板上摔下来。")</f>
        <v>A滑板手从滑板上摔下来。</v>
      </c>
    </row>
    <row r="32901">
      <c r="A32901" s="4" t="s">
        <v>41407</v>
      </c>
      <c r="B32901" s="4" t="s">
        <v>41408</v>
      </c>
      <c r="C32901" s="5" t="str">
        <f>IFERROR(__xludf.DUMMYFUNCTION("GOOGLETRANSLATE(B32901,""en"",""zh-CN"")"),"一个男人在院子里的网上说话。")</f>
        <v>一个男人在院子里的网上说话。</v>
      </c>
    </row>
    <row r="32902">
      <c r="A32902" s="4" t="s">
        <v>41407</v>
      </c>
      <c r="B32902" s="4" t="s">
        <v>41409</v>
      </c>
      <c r="C32902" s="5" t="str">
        <f>IFERROR(__xludf.DUMMYFUNCTION("GOOGLETRANSLATE(B32902,""en"",""zh-CN"")"),"看到两个男孩击中了一个球。")</f>
        <v>看到两个男孩击中了一个球。</v>
      </c>
    </row>
    <row r="32903">
      <c r="A32903" s="4" t="s">
        <v>41407</v>
      </c>
      <c r="B32903" s="4" t="s">
        <v>41410</v>
      </c>
      <c r="C32903" s="5" t="str">
        <f>IFERROR(__xludf.DUMMYFUNCTION("GOOGLETRANSLATE(B32903,""en"",""zh-CN"")"),"然后，我们在一个场上看到一场比赛，男子将球击中球门。")</f>
        <v>然后，我们在一个场上看到一场比赛，男子将球击中球门。</v>
      </c>
    </row>
    <row r="32904">
      <c r="A32904" s="4" t="s">
        <v>41411</v>
      </c>
      <c r="B32904" s="4" t="s">
        <v>41412</v>
      </c>
      <c r="C32904" s="5" t="str">
        <f>IFERROR(__xludf.DUMMYFUNCTION("GOOGLETRANSLATE(B32904,""en"",""zh-CN"")"),"显示一群啦啦队在体育馆中练习他们的例行工作。")</f>
        <v>显示一群啦啦队在体育馆中练习他们的例行工作。</v>
      </c>
    </row>
    <row r="32905">
      <c r="A32905" s="4" t="s">
        <v>41411</v>
      </c>
      <c r="B32905" s="6" t="s">
        <v>41413</v>
      </c>
      <c r="C32905" s="5" t="str">
        <f>IFERROR(__xludf.DUMMYFUNCTION("GOOGLETRANSLATE(B32905,""en"",""zh-CN"")"),"现场过渡到一名正在采访的啦啦队，而其他人则在背景中伸展，偶尔会散布着啦啦队长的剪辑。")</f>
        <v>现场过渡到一名正在采访的啦啦队，而其他人则在背景中伸展，偶尔会散布着啦啦队长的剪辑。</v>
      </c>
    </row>
    <row r="32906">
      <c r="A32906" s="4" t="s">
        <v>41411</v>
      </c>
      <c r="B32906" s="6" t="s">
        <v>41414</v>
      </c>
      <c r="C32906" s="5" t="str">
        <f>IFERROR(__xludf.DUMMYFUNCTION("GOOGLETRANSLATE(B32906,""en"",""zh-CN"")"),"在同一环境中采访了一个穿着蓝色的男人，偶尔会散布着啦啦队相关的剪辑。")</f>
        <v>在同一环境中采访了一个穿着蓝色的男人，偶尔会散布着啦啦队相关的剪辑。</v>
      </c>
    </row>
    <row r="32907">
      <c r="A32907" s="4" t="s">
        <v>41411</v>
      </c>
      <c r="B32907" s="6" t="s">
        <v>41415</v>
      </c>
      <c r="C32907" s="5" t="str">
        <f>IFERROR(__xludf.DUMMYFUNCTION("GOOGLETRANSLATE(B32907,""en"",""zh-CN"")"),"另一个男子在同一环境中接受采访，偶尔会散布着啦啦队相关的剪辑。")</f>
        <v>另一个男子在同一环境中接受采访，偶尔会散布着啦啦队相关的剪辑。</v>
      </c>
    </row>
    <row r="32908">
      <c r="A32908" s="4" t="s">
        <v>41411</v>
      </c>
      <c r="B32908" s="6" t="s">
        <v>41416</v>
      </c>
      <c r="C32908" s="5" t="str">
        <f>IFERROR(__xludf.DUMMYFUNCTION("GOOGLETRANSLATE(B32908,""en"",""zh-CN"")"),"摄像机以短啦啦队的动作序列返回采访蓝色的男人。")</f>
        <v>摄像机以短啦啦队的动作序列返回采访蓝色的男人。</v>
      </c>
    </row>
    <row r="32909">
      <c r="A32909" s="4" t="s">
        <v>41411</v>
      </c>
      <c r="B32909" s="4" t="s">
        <v>41417</v>
      </c>
      <c r="C32909" s="5" t="str">
        <f>IFERROR(__xludf.DUMMYFUNCTION("GOOGLETRANSLATE(B32909,""en"",""zh-CN"")"),"摄像机返回接受采访的第一个人，并以短啦啦队的动作序列。")</f>
        <v>摄像机返回接受采访的第一个人，并以短啦啦队的动作序列。</v>
      </c>
    </row>
    <row r="32910">
      <c r="A32910" s="4" t="s">
        <v>41418</v>
      </c>
      <c r="B32910" s="4" t="s">
        <v>41419</v>
      </c>
      <c r="C32910" s="5" t="str">
        <f>IFERROR(__xludf.DUMMYFUNCTION("GOOGLETRANSLATE(B32910,""en"",""zh-CN"")"),"几个人站在雪地里，面前有管子。")</f>
        <v>几个人站在雪地里，面前有管子。</v>
      </c>
    </row>
    <row r="32911">
      <c r="A32911" s="4" t="s">
        <v>41418</v>
      </c>
      <c r="B32911" s="4" t="s">
        <v>41420</v>
      </c>
      <c r="C32911" s="5" t="str">
        <f>IFERROR(__xludf.DUMMYFUNCTION("GOOGLETRANSLATE(B32911,""en"",""zh-CN"")"),"然后两个人进入管子，然后推下斜坡。")</f>
        <v>然后两个人进入管子，然后推下斜坡。</v>
      </c>
    </row>
    <row r="32912">
      <c r="A32912" s="4" t="s">
        <v>41418</v>
      </c>
      <c r="B32912" s="4" t="s">
        <v>41421</v>
      </c>
      <c r="C32912" s="5" t="str">
        <f>IFERROR(__xludf.DUMMYFUNCTION("GOOGLETRANSLATE(B32912,""en"",""zh-CN"")"),"他们沿着雪地滑梯走，一旦到达底部，他们就下车了。")</f>
        <v>他们沿着雪地滑梯走，一旦到达底部，他们就下车了。</v>
      </c>
    </row>
    <row r="32913">
      <c r="A32913" s="4" t="s">
        <v>41422</v>
      </c>
      <c r="B32913" s="4" t="s">
        <v>41423</v>
      </c>
      <c r="C32913" s="5" t="str">
        <f>IFERROR(__xludf.DUMMYFUNCTION("GOOGLETRANSLATE(B32913,""en"",""zh-CN"")"),"一个女孩站在她的浴室里，拿着杯子时笑着。")</f>
        <v>一个女孩站在她的浴室里，拿着杯子时笑着。</v>
      </c>
    </row>
    <row r="32914">
      <c r="A32914" s="4" t="s">
        <v>41422</v>
      </c>
      <c r="B32914" s="4" t="s">
        <v>41424</v>
      </c>
      <c r="C32914" s="5" t="str">
        <f>IFERROR(__xludf.DUMMYFUNCTION("GOOGLETRANSLATE(B32914,""en"",""zh-CN"")"),"她终于将幼崽的任何东西都抓住了，当她吐到水槽中时，她开始插科打。")</f>
        <v>她终于将幼崽的任何东西都抓住了，当她吐到水槽中时，她开始插科打。</v>
      </c>
    </row>
    <row r="32915">
      <c r="A32915" s="4" t="s">
        <v>41422</v>
      </c>
      <c r="B32915" s="4" t="s">
        <v>41425</v>
      </c>
      <c r="C32915" s="5" t="str">
        <f>IFERROR(__xludf.DUMMYFUNCTION("GOOGLETRANSLATE(B32915,""en"",""zh-CN"")"),"她的嘴空了之后，她炫耀了一瓶波峰漱口水。")</f>
        <v>她的嘴空了之后，她炫耀了一瓶波峰漱口水。</v>
      </c>
    </row>
    <row r="32916">
      <c r="A32916" s="4" t="s">
        <v>41426</v>
      </c>
      <c r="B32916" s="4" t="s">
        <v>41427</v>
      </c>
      <c r="C32916" s="5" t="str">
        <f>IFERROR(__xludf.DUMMYFUNCTION("GOOGLETRANSLATE(B32916,""en"",""zh-CN"")"),"一个男人在扔飞盘的同时，在泥土中与狗一起玩。")</f>
        <v>一个男人在扔飞盘的同时，在泥土中与狗一起玩。</v>
      </c>
    </row>
    <row r="32917">
      <c r="A32917" s="4" t="s">
        <v>41426</v>
      </c>
      <c r="B32917" s="4" t="s">
        <v>41428</v>
      </c>
      <c r="C32917" s="5" t="str">
        <f>IFERROR(__xludf.DUMMYFUNCTION("GOOGLETRANSLATE(B32917,""en"",""zh-CN"")"),"该男子手里拿着飞盘伸向狗。")</f>
        <v>该男子手里拿着飞盘伸向狗。</v>
      </c>
    </row>
    <row r="32918">
      <c r="A32918" s="4" t="s">
        <v>41426</v>
      </c>
      <c r="B32918" s="4" t="s">
        <v>41429</v>
      </c>
      <c r="C32918" s="5" t="str">
        <f>IFERROR(__xludf.DUMMYFUNCTION("GOOGLETRANSLATE(B32918,""en"",""zh-CN"")"),"一个女人玩耍时，狗在草地公园里扔飞盘。")</f>
        <v>一个女人玩耍时，狗在草地公园里扔飞盘。</v>
      </c>
    </row>
    <row r="32919">
      <c r="A32919" s="4" t="s">
        <v>41430</v>
      </c>
      <c r="B32919" s="4" t="s">
        <v>41431</v>
      </c>
      <c r="C32919" s="5" t="str">
        <f>IFERROR(__xludf.DUMMYFUNCTION("GOOGLETRANSLATE(B32919,""en"",""zh-CN"")"),"相机男子打开一扇门，看着一个女人向前留在浴缸里。")</f>
        <v>相机男子打开一扇门，看着一个女人向前留在浴缸里。</v>
      </c>
    </row>
    <row r="32920">
      <c r="A32920" s="4" t="s">
        <v>41430</v>
      </c>
      <c r="B32920" s="4" t="s">
        <v>41432</v>
      </c>
      <c r="C32920" s="5" t="str">
        <f>IFERROR(__xludf.DUMMYFUNCTION("GOOGLETRANSLATE(B32920,""en"",""zh-CN"")"),"女人在用水的浴缸里洗了几个衣服时与摄影师说话。")</f>
        <v>女人在用水的浴缸里洗了几个衣服时与摄影师说话。</v>
      </c>
    </row>
    <row r="32921">
      <c r="A32921" s="4" t="s">
        <v>41430</v>
      </c>
      <c r="B32921" s="6" t="s">
        <v>41433</v>
      </c>
      <c r="C32921" s="5" t="str">
        <f>IFERROR(__xludf.DUMMYFUNCTION("GOOGLETRANSLATE(B32921,""en"",""zh-CN"")"),"该名女子筋疲力尽，然后快速回到相机男人，然后回到浴缸。")</f>
        <v>该名女子筋疲力尽，然后快速回到相机男人，然后回到浴缸。</v>
      </c>
    </row>
    <row r="32922">
      <c r="A32922" s="4" t="s">
        <v>41434</v>
      </c>
      <c r="B32922" s="6" t="s">
        <v>41435</v>
      </c>
      <c r="C32922" s="5" t="str">
        <f>IFERROR(__xludf.DUMMYFUNCTION("GOOGLETRANSLATE(B32922,""en"",""zh-CN"")"),"一群人在一条道路上奔跑，各种各样的人在侧面欢呼和鼓掌。")</f>
        <v>一群人在一条道路上奔跑，各种各样的人在侧面欢呼和鼓掌。</v>
      </c>
    </row>
    <row r="32923">
      <c r="A32923" s="4" t="s">
        <v>41434</v>
      </c>
      <c r="B32923" s="4" t="s">
        <v>41436</v>
      </c>
      <c r="C32923" s="5" t="str">
        <f>IFERROR(__xludf.DUMMYFUNCTION("GOOGLETRANSLATE(B32923,""en"",""zh-CN"")"),"女人和其他跑步者都很高。")</f>
        <v>女人和其他跑步者都很高。</v>
      </c>
    </row>
    <row r="32924">
      <c r="A32924" s="4" t="s">
        <v>41434</v>
      </c>
      <c r="B32924" s="4" t="s">
        <v>41437</v>
      </c>
      <c r="C32924" s="5" t="str">
        <f>IFERROR(__xludf.DUMMYFUNCTION("GOOGLETRANSLATE(B32924,""en"",""zh-CN"")"),"在跑步者继续跑步的同时，显示了更多人的镜头。")</f>
        <v>在跑步者继续跑步的同时，显示了更多人的镜头。</v>
      </c>
    </row>
    <row r="32925">
      <c r="A32925" s="4" t="s">
        <v>41438</v>
      </c>
      <c r="B32925" s="6" t="s">
        <v>41439</v>
      </c>
      <c r="C32925" s="5" t="str">
        <f>IFERROR(__xludf.DUMMYFUNCTION("GOOGLETRANSLATE(B32925,""en"",""zh-CN"")"),"看到一大批人站在马轨道上，导致几名男子坐在马上，一个骑着摇杆骑着马。")</f>
        <v>看到一大批人站在马轨道上，导致几名男子坐在马上，一个骑着摇杆骑着马。</v>
      </c>
    </row>
    <row r="32926">
      <c r="A32926" s="4" t="s">
        <v>41438</v>
      </c>
      <c r="B32926" s="4" t="s">
        <v>41440</v>
      </c>
      <c r="C32926" s="5" t="str">
        <f>IFERROR(__xludf.DUMMYFUNCTION("GOOGLETRANSLATE(B32926,""en"",""zh-CN"")"),"然后，男人开始在马上玩游戏，握手。")</f>
        <v>然后，男人开始在马上玩游戏，握手。</v>
      </c>
    </row>
    <row r="32927">
      <c r="A32927" s="4" t="s">
        <v>41438</v>
      </c>
      <c r="B32927" s="6" t="s">
        <v>41441</v>
      </c>
      <c r="C32927" s="5" t="str">
        <f>IFERROR(__xludf.DUMMYFUNCTION("GOOGLETRANSLATE(B32927,""en"",""zh-CN"")"),"然后，公主将盒子交给其中一名球员，站在其他几个拿着奖杯的人附近。")</f>
        <v>然后，公主将盒子交给其中一名球员，站在其他几个拿着奖杯的人附近。</v>
      </c>
    </row>
    <row r="32928">
      <c r="A32928" s="4" t="s">
        <v>41442</v>
      </c>
      <c r="B32928" s="4" t="s">
        <v>41443</v>
      </c>
      <c r="C32928" s="5" t="str">
        <f>IFERROR(__xludf.DUMMYFUNCTION("GOOGLETRANSLATE(B32928,""en"",""zh-CN"")"),"一个女人正在向相机上示她的手指指甲。")</f>
        <v>一个女人正在向相机上示她的手指指甲。</v>
      </c>
    </row>
    <row r="32929">
      <c r="A32929" s="4" t="s">
        <v>41442</v>
      </c>
      <c r="B32929" s="4" t="s">
        <v>41444</v>
      </c>
      <c r="C32929" s="5" t="str">
        <f>IFERROR(__xludf.DUMMYFUNCTION("GOOGLETRANSLATE(B32929,""en"",""zh-CN"")"),"一个穿着黑色衬衫的女人坐在一个房间里和相机聊天。")</f>
        <v>一个穿着黑色衬衫的女人坐在一个房间里和相机聊天。</v>
      </c>
    </row>
    <row r="32930">
      <c r="A32930" s="4" t="s">
        <v>41442</v>
      </c>
      <c r="B32930" s="4" t="s">
        <v>41445</v>
      </c>
      <c r="C32930" s="5" t="str">
        <f>IFERROR(__xludf.DUMMYFUNCTION("GOOGLETRANSLATE(B32930,""en"",""zh-CN"")"),"一个人在桌子上做别人的指甲。")</f>
        <v>一个人在桌子上做别人的指甲。</v>
      </c>
    </row>
    <row r="32931">
      <c r="A32931" s="4" t="s">
        <v>41442</v>
      </c>
      <c r="B32931" s="4" t="s">
        <v>41446</v>
      </c>
      <c r="C32931" s="5" t="str">
        <f>IFERROR(__xludf.DUMMYFUNCTION("GOOGLETRANSLATE(B32931,""en"",""zh-CN"")"),"他们在他们身上戴上假指甲。")</f>
        <v>他们在他们身上戴上假指甲。</v>
      </c>
    </row>
    <row r="32932">
      <c r="A32932" s="4" t="s">
        <v>41442</v>
      </c>
      <c r="B32932" s="4" t="s">
        <v>41447</v>
      </c>
      <c r="C32932" s="5" t="str">
        <f>IFERROR(__xludf.DUMMYFUNCTION("GOOGLETRANSLATE(B32932,""en"",""zh-CN"")"),"他们正在切下指甲。")</f>
        <v>他们正在切下指甲。</v>
      </c>
    </row>
    <row r="32933">
      <c r="A32933" s="4" t="s">
        <v>41442</v>
      </c>
      <c r="B32933" s="4" t="s">
        <v>41448</v>
      </c>
      <c r="C32933" s="5" t="str">
        <f>IFERROR(__xludf.DUMMYFUNCTION("GOOGLETRANSLATE(B32933,""en"",""zh-CN"")"),"他们开始画指甲。")</f>
        <v>他们开始画指甲。</v>
      </c>
    </row>
    <row r="32934">
      <c r="A32934" s="4" t="s">
        <v>41449</v>
      </c>
      <c r="B32934" s="4" t="s">
        <v>41450</v>
      </c>
      <c r="C32934" s="5" t="str">
        <f>IFERROR(__xludf.DUMMYFUNCTION("GOOGLETRANSLATE(B32934,""en"",""zh-CN"")"),"看到一个男人坐在一个大健身房里，同时坐在相机上坐在药球上。")</f>
        <v>看到一个男人坐在一个大健身房里，同时坐在相机上坐在药球上。</v>
      </c>
    </row>
    <row r="32935">
      <c r="A32935" s="4" t="s">
        <v>41449</v>
      </c>
      <c r="B32935" s="4" t="s">
        <v>41451</v>
      </c>
      <c r="C32935" s="5" t="str">
        <f>IFERROR(__xludf.DUMMYFUNCTION("GOOGLETRANSLATE(B32935,""en"",""zh-CN"")"),"然后，该男子在与镜头说话的同时向前弯腰。")</f>
        <v>然后，该男子在与镜头说话的同时向前弯腰。</v>
      </c>
    </row>
    <row r="32936">
      <c r="A32936" s="4" t="s">
        <v>41449</v>
      </c>
      <c r="B32936" s="4" t="s">
        <v>41452</v>
      </c>
      <c r="C32936" s="5" t="str">
        <f>IFERROR(__xludf.DUMMYFUNCTION("GOOGLETRANSLATE(B32936,""en"",""zh-CN"")"),"该男子继续在球上保持平衡，坐在自己身上，并抓住球。")</f>
        <v>该男子继续在球上保持平衡，坐在自己身上，并抓住球。</v>
      </c>
    </row>
    <row r="32937">
      <c r="A32937" s="4" t="s">
        <v>41453</v>
      </c>
      <c r="B32937" s="4" t="s">
        <v>41454</v>
      </c>
      <c r="C32937" s="5" t="str">
        <f>IFERROR(__xludf.DUMMYFUNCTION("GOOGLETRANSLATE(B32937,""en"",""zh-CN"")"),"一群男人在健身房空间内，以快速的速度踩着有氧踏板。")</f>
        <v>一群男人在健身房空间内，以快速的速度踩着有氧踏板。</v>
      </c>
    </row>
    <row r="32938">
      <c r="A32938" s="4" t="s">
        <v>41453</v>
      </c>
      <c r="B32938" s="6" t="s">
        <v>41455</v>
      </c>
      <c r="C32938" s="5" t="str">
        <f>IFERROR(__xludf.DUMMYFUNCTION("GOOGLETRANSLATE(B32938,""en"",""zh-CN"")"),"他们看起来过得愉快，开始伸出手臂并改变锻炼。")</f>
        <v>他们看起来过得愉快，开始伸出手臂并改变锻炼。</v>
      </c>
    </row>
    <row r="32939">
      <c r="A32939" s="4" t="s">
        <v>41453</v>
      </c>
      <c r="B32939" s="4" t="s">
        <v>41456</v>
      </c>
      <c r="C32939" s="5" t="str">
        <f>IFERROR(__xludf.DUMMYFUNCTION("GOOGLETRANSLATE(B32939,""en"",""zh-CN"")"),"他们继续与草原一起进行另一系列类似的锻炼。")</f>
        <v>他们继续与草原一起进行另一系列类似的锻炼。</v>
      </c>
    </row>
    <row r="32940">
      <c r="A32940" s="4" t="s">
        <v>41453</v>
      </c>
      <c r="B32940" s="4" t="s">
        <v>41457</v>
      </c>
      <c r="C32940" s="5" t="str">
        <f>IFERROR(__xludf.DUMMYFUNCTION("GOOGLETRANSLATE(B32940,""en"",""zh-CN"")"),"他们一边向一边移动，将动作交替到特定的节奏。")</f>
        <v>他们一边向一边移动，将动作交替到特定的节奏。</v>
      </c>
    </row>
    <row r="32941">
      <c r="A32941" s="4" t="s">
        <v>41453</v>
      </c>
      <c r="B32941" s="6" t="s">
        <v>41458</v>
      </c>
      <c r="C32941" s="5" t="str">
        <f>IFERROR(__xludf.DUMMYFUNCTION("GOOGLETRANSLATE(B32941,""en"",""zh-CN"")"),"他们的最后锻炼似乎是迄今为止他们一直在做的一切，他们正在改变自己的动作。")</f>
        <v>他们的最后锻炼似乎是迄今为止他们一直在做的一切，他们正在改变自己的动作。</v>
      </c>
    </row>
    <row r="32942">
      <c r="A32942" s="4" t="s">
        <v>41459</v>
      </c>
      <c r="B32942" s="4" t="s">
        <v>41460</v>
      </c>
      <c r="C32942" s="5" t="str">
        <f>IFERROR(__xludf.DUMMYFUNCTION("GOOGLETRANSLATE(B32942,""en"",""zh-CN"")"),"女人使用北欧式运动机器。")</f>
        <v>女人使用北欧式运动机器。</v>
      </c>
    </row>
    <row r="32943">
      <c r="A32943" s="4" t="s">
        <v>41459</v>
      </c>
      <c r="B32943" s="4" t="s">
        <v>41461</v>
      </c>
      <c r="C32943" s="5" t="str">
        <f>IFERROR(__xludf.DUMMYFUNCTION("GOOGLETRANSLATE(B32943,""en"",""zh-CN"")"),"锻炼机本身显示。")</f>
        <v>锻炼机本身显示。</v>
      </c>
    </row>
    <row r="32944">
      <c r="A32944" s="4" t="s">
        <v>41459</v>
      </c>
      <c r="B32944" s="4" t="s">
        <v>41462</v>
      </c>
      <c r="C32944" s="5" t="str">
        <f>IFERROR(__xludf.DUMMYFUNCTION("GOOGLETRANSLATE(B32944,""en"",""zh-CN"")"),"女人再次使用机器。")</f>
        <v>女人再次使用机器。</v>
      </c>
    </row>
    <row r="32945">
      <c r="A32945" s="4" t="s">
        <v>41459</v>
      </c>
      <c r="B32945" s="4" t="s">
        <v>41463</v>
      </c>
      <c r="C32945" s="5" t="str">
        <f>IFERROR(__xludf.DUMMYFUNCTION("GOOGLETRANSLATE(B32945,""en"",""zh-CN"")"),"显示了机器的数字显示控件。")</f>
        <v>显示了机器的数字显示控件。</v>
      </c>
    </row>
    <row r="32946">
      <c r="A32946" s="4" t="s">
        <v>41459</v>
      </c>
      <c r="B32946" s="4" t="s">
        <v>41464</v>
      </c>
      <c r="C32946" s="5" t="str">
        <f>IFERROR(__xludf.DUMMYFUNCTION("GOOGLETRANSLATE(B32946,""en"",""zh-CN"")"),"显示了一个女人的飞溅屏幕和表演标题。")</f>
        <v>显示了一个女人的飞溅屏幕和表演标题。</v>
      </c>
    </row>
    <row r="32947">
      <c r="A32947" s="4" t="s">
        <v>41459</v>
      </c>
      <c r="B32947" s="4" t="s">
        <v>41465</v>
      </c>
      <c r="C32947" s="5" t="str">
        <f>IFERROR(__xludf.DUMMYFUNCTION("GOOGLETRANSLATE(B32947,""en"",""zh-CN"")"),"女人再次在机器上锻炼。")</f>
        <v>女人再次在机器上锻炼。</v>
      </c>
    </row>
    <row r="32948">
      <c r="A32948" s="4" t="s">
        <v>41466</v>
      </c>
      <c r="B32948" s="4" t="s">
        <v>41467</v>
      </c>
      <c r="C32948" s="5" t="str">
        <f>IFERROR(__xludf.DUMMYFUNCTION("GOOGLETRANSLATE(B32948,""en"",""zh-CN"")"),"四个人准备滑板坡。")</f>
        <v>四个人准备滑板坡。</v>
      </c>
    </row>
    <row r="32949">
      <c r="A32949" s="4" t="s">
        <v>41466</v>
      </c>
      <c r="B32949" s="4" t="s">
        <v>41468</v>
      </c>
      <c r="C32949" s="5" t="str">
        <f>IFERROR(__xludf.DUMMYFUNCTION("GOOGLETRANSLATE(B32949,""en"",""zh-CN"")"),"四人在观众观看时一起滑板或独自一人滑动。")</f>
        <v>四人在观众观看时一起滑板或独自一人滑动。</v>
      </c>
    </row>
    <row r="32950">
      <c r="A32950" s="4" t="s">
        <v>41466</v>
      </c>
      <c r="B32950" s="4" t="s">
        <v>41469</v>
      </c>
      <c r="C32950" s="5" t="str">
        <f>IFERROR(__xludf.DUMMYFUNCTION("GOOGLETRANSLATE(B32950,""en"",""zh-CN"")"),"摄像头在背景风景上。")</f>
        <v>摄像头在背景风景上。</v>
      </c>
    </row>
    <row r="32951">
      <c r="A32951" s="4" t="s">
        <v>41466</v>
      </c>
      <c r="B32951" s="4" t="s">
        <v>41470</v>
      </c>
      <c r="C32951" s="5" t="str">
        <f>IFERROR(__xludf.DUMMYFUNCTION("GOOGLETRANSLATE(B32951,""en"",""zh-CN"")"),"其中一个人倾向于滑板。")</f>
        <v>其中一个人倾向于滑板。</v>
      </c>
    </row>
    <row r="32952">
      <c r="A32952" s="4" t="s">
        <v>41466</v>
      </c>
      <c r="B32952" s="4" t="s">
        <v>41471</v>
      </c>
      <c r="C32952" s="5" t="str">
        <f>IFERROR(__xludf.DUMMYFUNCTION("GOOGLETRANSLATE(B32952,""en"",""zh-CN"")"),"这四个人参与了更多的滑板。")</f>
        <v>这四个人参与了更多的滑板。</v>
      </c>
    </row>
    <row r="32953">
      <c r="A32953" s="4" t="s">
        <v>41466</v>
      </c>
      <c r="B32953" s="4" t="s">
        <v>41472</v>
      </c>
      <c r="C32953" s="5" t="str">
        <f>IFERROR(__xludf.DUMMYFUNCTION("GOOGLETRANSLATE(B32953,""en"",""zh-CN"")"),"其中一个人再次显示在他的滑板上。")</f>
        <v>其中一个人再次显示在他的滑板上。</v>
      </c>
    </row>
    <row r="32954">
      <c r="A32954" s="4" t="s">
        <v>41473</v>
      </c>
      <c r="B32954" s="4" t="s">
        <v>41474</v>
      </c>
      <c r="C32954" s="5" t="str">
        <f>IFERROR(__xludf.DUMMYFUNCTION("GOOGLETRANSLATE(B32954,""en"",""zh-CN"")"),"两个孩子在轮胎秋千上旋转。")</f>
        <v>两个孩子在轮胎秋千上旋转。</v>
      </c>
    </row>
    <row r="32955">
      <c r="A32955" s="4" t="s">
        <v>41473</v>
      </c>
      <c r="B32955" s="4" t="s">
        <v>41475</v>
      </c>
      <c r="C32955" s="5" t="str">
        <f>IFERROR(__xludf.DUMMYFUNCTION("GOOGLETRANSLATE(B32955,""en"",""zh-CN"")"),"另一个孩子正在另一场秋千中摇摆。")</f>
        <v>另一个孩子正在另一场秋千中摇摆。</v>
      </c>
    </row>
    <row r="32956">
      <c r="A32956" s="4" t="s">
        <v>41473</v>
      </c>
      <c r="B32956" s="4" t="s">
        <v>41476</v>
      </c>
      <c r="C32956" s="5" t="str">
        <f>IFERROR(__xludf.DUMMYFUNCTION("GOOGLETRANSLATE(B32956,""en"",""zh-CN"")"),"一个很小的孩子穿过游乐区。")</f>
        <v>一个很小的孩子穿过游乐区。</v>
      </c>
    </row>
    <row r="32957">
      <c r="A32957" s="4" t="s">
        <v>41477</v>
      </c>
      <c r="B32957" s="4" t="s">
        <v>41478</v>
      </c>
      <c r="C32957" s="5" t="str">
        <f>IFERROR(__xludf.DUMMYFUNCTION("GOOGLETRANSLATE(B32957,""en"",""zh-CN"")"),"一个孩子坐在床上，向相机挥手。")</f>
        <v>一个孩子坐在床上，向相机挥手。</v>
      </c>
    </row>
    <row r="32958">
      <c r="A32958" s="4" t="s">
        <v>41477</v>
      </c>
      <c r="B32958" s="4" t="s">
        <v>41479</v>
      </c>
      <c r="C32958" s="5" t="str">
        <f>IFERROR(__xludf.DUMMYFUNCTION("GOOGLETRANSLATE(B32958,""en"",""zh-CN"")"),"他正在向相机解释自己的日常工作。")</f>
        <v>他正在向相机解释自己的日常工作。</v>
      </c>
    </row>
    <row r="32959">
      <c r="A32959" s="4" t="s">
        <v>41477</v>
      </c>
      <c r="B32959" s="4" t="s">
        <v>41480</v>
      </c>
      <c r="C32959" s="5" t="str">
        <f>IFERROR(__xludf.DUMMYFUNCTION("GOOGLETRANSLATE(B32959,""en"",""zh-CN"")"),"他正在将红色接触在眼中。")</f>
        <v>他正在将红色接触在眼中。</v>
      </c>
    </row>
    <row r="32960">
      <c r="A32960" s="4" t="s">
        <v>41477</v>
      </c>
      <c r="B32960" s="4" t="s">
        <v>41481</v>
      </c>
      <c r="C32960" s="5" t="str">
        <f>IFERROR(__xludf.DUMMYFUNCTION("GOOGLETRANSLATE(B32960,""en"",""zh-CN"")"),"接触从他的眼中掉出来，他将其放回原处，但它一遍又一遍地掉下来。")</f>
        <v>接触从他的眼中掉出来，他将其放回原处，但它一遍又一遍地掉下来。</v>
      </c>
    </row>
    <row r="32961">
      <c r="A32961" s="4" t="s">
        <v>41477</v>
      </c>
      <c r="B32961" s="4" t="s">
        <v>41482</v>
      </c>
      <c r="C32961" s="5" t="str">
        <f>IFERROR(__xludf.DUMMYFUNCTION("GOOGLETRANSLATE(B32961,""en"",""zh-CN"")"),"最终，他让它留下来，他让摄像头关闭和一些动作。")</f>
        <v>最终，他让它留下来，他让摄像头关闭和一些动作。</v>
      </c>
    </row>
    <row r="32962">
      <c r="A32962" s="4" t="s">
        <v>41483</v>
      </c>
      <c r="B32962" s="4" t="s">
        <v>41484</v>
      </c>
      <c r="C32962" s="5" t="str">
        <f>IFERROR(__xludf.DUMMYFUNCTION("GOOGLETRANSLATE(B32962,""en"",""zh-CN"")"),"几个剪辑显示了各种女孩在大垫子上表演体操技巧的片段。")</f>
        <v>几个剪辑显示了各种女孩在大垫子上表演体操技巧的片段。</v>
      </c>
    </row>
    <row r="32963">
      <c r="A32963" s="4" t="s">
        <v>41483</v>
      </c>
      <c r="B32963" s="6" t="s">
        <v>41485</v>
      </c>
      <c r="C32963" s="5" t="str">
        <f>IFERROR(__xludf.DUMMYFUNCTION("GOOGLETRANSLATE(B32963,""en"",""zh-CN"")"),"当相机继续捕捉他们的动作时，女孩们继续在该地区跳动和翻转。")</f>
        <v>当相机继续捕捉他们的动作时，女孩们继续在该地区跳动和翻转。</v>
      </c>
    </row>
    <row r="32964">
      <c r="A32964" s="4" t="s">
        <v>41486</v>
      </c>
      <c r="B32964" s="4" t="s">
        <v>41487</v>
      </c>
      <c r="C32964" s="5" t="str">
        <f>IFERROR(__xludf.DUMMYFUNCTION("GOOGLETRANSLATE(B32964,""en"",""zh-CN"")"),"显示了一个男人的黑白图像，然后该男子出现在扔铁饼的田野中。")</f>
        <v>显示了一个男人的黑白图像，然后该男子出现在扔铁饼的田野中。</v>
      </c>
    </row>
    <row r="32965">
      <c r="A32965" s="4" t="s">
        <v>41486</v>
      </c>
      <c r="B32965" s="6" t="s">
        <v>41488</v>
      </c>
      <c r="C32965" s="5" t="str">
        <f>IFERROR(__xludf.DUMMYFUNCTION("GOOGLETRANSLATE(B32965,""en"",""zh-CN"")"),"之后，他继续扔掉铁饼，当他完成时，他被证明站在一组胜利者身上。")</f>
        <v>之后，他继续扔掉铁饼，当他完成时，他被证明站在一组胜利者身上。</v>
      </c>
    </row>
    <row r="32966">
      <c r="A32966" s="4" t="s">
        <v>41486</v>
      </c>
      <c r="B32966" s="4" t="s">
        <v>41489</v>
      </c>
      <c r="C32966" s="5" t="str">
        <f>IFERROR(__xludf.DUMMYFUNCTION("GOOGLETRANSLATE(B32966,""en"",""zh-CN"")"),"参与者互相握手，最终都走了。")</f>
        <v>参与者互相握手，最终都走了。</v>
      </c>
    </row>
    <row r="32967">
      <c r="A32967" s="4" t="s">
        <v>41490</v>
      </c>
      <c r="B32967" s="4" t="s">
        <v>41491</v>
      </c>
      <c r="C32967" s="5" t="str">
        <f>IFERROR(__xludf.DUMMYFUNCTION("GOOGLETRANSLATE(B32967,""en"",""zh-CN"")"),"男人正站在一个拿着弓的房间里，与另一个男人说话。")</f>
        <v>男人正站在一个拿着弓的房间里，与另一个男人说话。</v>
      </c>
    </row>
    <row r="32968">
      <c r="A32968" s="4" t="s">
        <v>41490</v>
      </c>
      <c r="B32968" s="4" t="s">
        <v>41492</v>
      </c>
      <c r="C32968" s="5" t="str">
        <f>IFERROR(__xludf.DUMMYFUNCTION("GOOGLETRANSLATE(B32968,""en"",""zh-CN"")"),"曼尼斯（Manis）在大型田地里用弓箭挥舞着枪击。")</f>
        <v>曼尼斯（Manis）在大型田地里用弓箭挥舞着枪击。</v>
      </c>
    </row>
    <row r="32969">
      <c r="A32969" s="4" t="s">
        <v>41493</v>
      </c>
      <c r="B32969" s="4" t="s">
        <v>41494</v>
      </c>
      <c r="C32969" s="5" t="str">
        <f>IFERROR(__xludf.DUMMYFUNCTION("GOOGLETRANSLATE(B32969,""en"",""zh-CN"")"),"一个穿着黑色外套的男人在双臂上抱着一个朋友。")</f>
        <v>一个穿着黑色外套的男人在双臂上抱着一个朋友。</v>
      </c>
    </row>
    <row r="32970">
      <c r="A32970" s="4" t="s">
        <v>41493</v>
      </c>
      <c r="B32970" s="4" t="s">
        <v>41495</v>
      </c>
      <c r="C32970" s="5" t="str">
        <f>IFERROR(__xludf.DUMMYFUNCTION("GOOGLETRANSLATE(B32970,""en"",""zh-CN"")"),"戴着绳子的朋友伸出手臂。")</f>
        <v>戴着绳子的朋友伸出手臂。</v>
      </c>
    </row>
    <row r="32971">
      <c r="A32971" s="4" t="s">
        <v>41493</v>
      </c>
      <c r="B32971" s="6" t="s">
        <v>41496</v>
      </c>
      <c r="C32971" s="5" t="str">
        <f>IFERROR(__xludf.DUMMYFUNCTION("GOOGLETRANSLATE(B32971,""en"",""zh-CN"")"),"朋友被从建筑物上扔掉，戴着蹦极绳，在地下的地面上摇摆，然后来回摇摆。")</f>
        <v>朋友被从建筑物上扔掉，戴着蹦极绳，在地下的地面上摇摆，然后来回摇摆。</v>
      </c>
    </row>
    <row r="32972">
      <c r="A32972" s="4" t="s">
        <v>41493</v>
      </c>
      <c r="B32972" s="4" t="s">
        <v>41497</v>
      </c>
      <c r="C32972" s="5" t="str">
        <f>IFERROR(__xludf.DUMMYFUNCTION("GOOGLETRANSLATE(B32972,""en"",""zh-CN"")"),"一名穿着黑色外套的女人坐在坡道上，被朋友推倒。")</f>
        <v>一名穿着黑色外套的女人坐在坡道上，被朋友推倒。</v>
      </c>
    </row>
    <row r="32973">
      <c r="A32973" s="4" t="s">
        <v>41493</v>
      </c>
      <c r="B32973" s="4" t="s">
        <v>41498</v>
      </c>
      <c r="C32973" s="5" t="str">
        <f>IFERROR(__xludf.DUMMYFUNCTION("GOOGLETRANSLATE(B32973,""en"",""zh-CN"")"),"女人从建筑物上掉下来，从下方地面上方的绳子上摇摆。")</f>
        <v>女人从建筑物上掉下来，从下方地面上方的绳子上摇摆。</v>
      </c>
    </row>
    <row r="32974">
      <c r="A32974" s="4" t="s">
        <v>41499</v>
      </c>
      <c r="B32974" s="4" t="s">
        <v>41500</v>
      </c>
      <c r="C32974" s="5" t="str">
        <f>IFERROR(__xludf.DUMMYFUNCTION("GOOGLETRANSLATE(B32974,""en"",""zh-CN"")"),"两个人坐在桌子后面，上面有一个南瓜。")</f>
        <v>两个人坐在桌子后面，上面有一个南瓜。</v>
      </c>
    </row>
    <row r="32975">
      <c r="A32975" s="4" t="s">
        <v>41499</v>
      </c>
      <c r="B32975" s="4" t="s">
        <v>41501</v>
      </c>
      <c r="C32975" s="5" t="str">
        <f>IFERROR(__xludf.DUMMYFUNCTION("GOOGLETRANSLATE(B32975,""en"",""zh-CN"")"),"一个男人用锤子砸碎南瓜。")</f>
        <v>一个男人用锤子砸碎南瓜。</v>
      </c>
    </row>
    <row r="32976">
      <c r="A32976" s="4" t="s">
        <v>41499</v>
      </c>
      <c r="B32976" s="4" t="s">
        <v>41502</v>
      </c>
      <c r="C32976" s="5" t="str">
        <f>IFERROR(__xludf.DUMMYFUNCTION("GOOGLETRANSLATE(B32976,""en"",""zh-CN"")"),"他开始撕开种子，将它们交给他旁边的男人。")</f>
        <v>他开始撕开种子，将它们交给他旁边的男人。</v>
      </c>
    </row>
    <row r="32977">
      <c r="A32977" s="4" t="s">
        <v>41503</v>
      </c>
      <c r="B32977" s="4" t="s">
        <v>41504</v>
      </c>
      <c r="C32977" s="5" t="str">
        <f>IFERROR(__xludf.DUMMYFUNCTION("GOOGLETRANSLATE(B32977,""en"",""zh-CN"")"),"一个人擦干滑雪的底部。")</f>
        <v>一个人擦干滑雪的底部。</v>
      </c>
    </row>
    <row r="32978">
      <c r="A32978" s="4" t="s">
        <v>41503</v>
      </c>
      <c r="B32978" s="4" t="s">
        <v>41505</v>
      </c>
      <c r="C32978" s="5" t="str">
        <f>IFERROR(__xludf.DUMMYFUNCTION("GOOGLETRANSLATE(B32978,""en"",""zh-CN"")"),"他将抛光剂放在滑雪板上，然后将其擦入。")</f>
        <v>他将抛光剂放在滑雪板上，然后将其擦入。</v>
      </c>
    </row>
    <row r="32979">
      <c r="A32979" s="4" t="s">
        <v>41503</v>
      </c>
      <c r="B32979" s="4" t="s">
        <v>41506</v>
      </c>
      <c r="C32979" s="5" t="str">
        <f>IFERROR(__xludf.DUMMYFUNCTION("GOOGLETRANSLATE(B32979,""en"",""zh-CN"")"),"他拿起纸巾，擦拭滑雪板的底部。")</f>
        <v>他拿起纸巾，擦拭滑雪板的底部。</v>
      </c>
    </row>
    <row r="32980">
      <c r="A32980" s="4" t="s">
        <v>41507</v>
      </c>
      <c r="B32980" s="4" t="s">
        <v>41508</v>
      </c>
      <c r="C32980" s="5" t="str">
        <f>IFERROR(__xludf.DUMMYFUNCTION("GOOGLETRANSLATE(B32980,""en"",""zh-CN"")"),"一个人的观点表明自己坐在雪橇上牵着两个孩子的雪橇。")</f>
        <v>一个人的观点表明自己坐在雪橇上牵着两个孩子的雪橇。</v>
      </c>
    </row>
    <row r="32981">
      <c r="A32981" s="4" t="s">
        <v>41507</v>
      </c>
      <c r="B32981" s="6" t="s">
        <v>41509</v>
      </c>
      <c r="C32981" s="5" t="str">
        <f>IFERROR(__xludf.DUMMYFUNCTION("GOOGLETRANSLATE(B32981,""en"",""zh-CN"")"),"一个人将三人推到山上，同时仍牵着手，让我们在底部与其他人见面。")</f>
        <v>一个人将三人推到山上，同时仍牵着手，让我们在底部与其他人见面。</v>
      </c>
    </row>
    <row r="32982">
      <c r="A32982" s="4" t="s">
        <v>41510</v>
      </c>
      <c r="B32982" s="4" t="s">
        <v>41511</v>
      </c>
      <c r="C32982" s="5" t="str">
        <f>IFERROR(__xludf.DUMMYFUNCTION("GOOGLETRANSLATE(B32982,""en"",""zh-CN"")"),"一个人站在举重室里，上面有多个屏幕，上面有计算机。")</f>
        <v>一个人站在举重室里，上面有多个屏幕，上面有计算机。</v>
      </c>
    </row>
    <row r="32983">
      <c r="A32983" s="4" t="s">
        <v>41510</v>
      </c>
      <c r="B32983" s="4" t="s">
        <v>41512</v>
      </c>
      <c r="C32983" s="5" t="str">
        <f>IFERROR(__xludf.DUMMYFUNCTION("GOOGLETRANSLATE(B32983,""en"",""zh-CN"")"),"说话结束后，他拿起椭圆形并开始划船。")</f>
        <v>说话结束后，他拿起椭圆形并开始划船。</v>
      </c>
    </row>
    <row r="32984">
      <c r="A32984" s="4" t="s">
        <v>41510</v>
      </c>
      <c r="B32984" s="4" t="s">
        <v>41513</v>
      </c>
      <c r="C32984" s="5" t="str">
        <f>IFERROR(__xludf.DUMMYFUNCTION("GOOGLETRANSLATE(B32984,""en"",""zh-CN"")"),"接下来，他移至另一台机器，并以略有不同的方式做同样的事情。")</f>
        <v>接下来，他移至另一台机器，并以略有不同的方式做同样的事情。</v>
      </c>
    </row>
    <row r="32985">
      <c r="A32985" s="4" t="s">
        <v>41514</v>
      </c>
      <c r="B32985" s="4" t="s">
        <v>41515</v>
      </c>
      <c r="C32985" s="5" t="str">
        <f>IFERROR(__xludf.DUMMYFUNCTION("GOOGLETRANSLATE(B32985,""en"",""zh-CN"")"),"一只鸟坐在浴缸上的酒吧上。")</f>
        <v>一只鸟坐在浴缸上的酒吧上。</v>
      </c>
    </row>
    <row r="32986">
      <c r="A32986" s="4" t="s">
        <v>41514</v>
      </c>
      <c r="B32986" s="4" t="s">
        <v>41516</v>
      </c>
      <c r="C32986" s="5" t="str">
        <f>IFERROR(__xludf.DUMMYFUNCTION("GOOGLETRANSLATE(B32986,""en"",""zh-CN"")"),"狗在浴缸里洗澡。")</f>
        <v>狗在浴缸里洗澡。</v>
      </c>
    </row>
    <row r="32987">
      <c r="A32987" s="4" t="s">
        <v>41514</v>
      </c>
      <c r="B32987" s="4" t="s">
        <v>41517</v>
      </c>
      <c r="C32987" s="5" t="str">
        <f>IFERROR(__xludf.DUMMYFUNCTION("GOOGLETRANSLATE(B32987,""en"",""zh-CN"")"),"一个人正在向狗皮草摩擦肥皂。")</f>
        <v>一个人正在向狗皮草摩擦肥皂。</v>
      </c>
    </row>
    <row r="32988">
      <c r="A32988" s="4" t="s">
        <v>41514</v>
      </c>
      <c r="B32988" s="4" t="s">
        <v>41518</v>
      </c>
      <c r="C32988" s="5" t="str">
        <f>IFERROR(__xludf.DUMMYFUNCTION("GOOGLETRANSLATE(B32988,""en"",""zh-CN"")"),"狗摇了摇。")</f>
        <v>狗摇了摇。</v>
      </c>
    </row>
    <row r="32989">
      <c r="A32989" s="4" t="s">
        <v>41519</v>
      </c>
      <c r="B32989" s="4" t="s">
        <v>41520</v>
      </c>
      <c r="C32989" s="5" t="str">
        <f>IFERROR(__xludf.DUMMYFUNCTION("GOOGLETRANSLATE(B32989,""en"",""zh-CN"")"),"显示了室外田径比赛。")</f>
        <v>显示了室外田径比赛。</v>
      </c>
    </row>
    <row r="32990">
      <c r="A32990" s="4" t="s">
        <v>41519</v>
      </c>
      <c r="B32990" s="4" t="s">
        <v>41521</v>
      </c>
      <c r="C32990" s="5" t="str">
        <f>IFERROR(__xludf.DUMMYFUNCTION("GOOGLETRANSLATE(B32990,""en"",""zh-CN"")"),"杆位在比赛中显示出来。")</f>
        <v>杆位在比赛中显示出来。</v>
      </c>
    </row>
    <row r="32991">
      <c r="A32991" s="4" t="s">
        <v>41519</v>
      </c>
      <c r="B32991" s="4" t="s">
        <v>41522</v>
      </c>
      <c r="C32991" s="5" t="str">
        <f>IFERROR(__xludf.DUMMYFUNCTION("GOOGLETRANSLATE(B32991,""en"",""zh-CN"")"),"他们中的一些人跳跃，而另一些则没有。")</f>
        <v>他们中的一些人跳跃，而另一些则没有。</v>
      </c>
    </row>
    <row r="32992">
      <c r="A32992" s="4" t="s">
        <v>41523</v>
      </c>
      <c r="B32992" s="4" t="s">
        <v>41524</v>
      </c>
      <c r="C32992" s="5" t="str">
        <f>IFERROR(__xludf.DUMMYFUNCTION("GOOGLETRANSLATE(B32992,""en"",""zh-CN"")"),"两个男人在一条小巷里。")</f>
        <v>两个男人在一条小巷里。</v>
      </c>
    </row>
    <row r="32993">
      <c r="A32993" s="4" t="s">
        <v>41523</v>
      </c>
      <c r="B32993" s="4" t="s">
        <v>41525</v>
      </c>
      <c r="C32993" s="5" t="str">
        <f>IFERROR(__xludf.DUMMYFUNCTION("GOOGLETRANSLATE(B32993,""en"",""zh-CN"")"),"他们在棍棒上上下弹跳。")</f>
        <v>他们在棍棒上上下弹跳。</v>
      </c>
    </row>
    <row r="32994">
      <c r="A32994" s="4" t="s">
        <v>41523</v>
      </c>
      <c r="B32994" s="4" t="s">
        <v>41526</v>
      </c>
      <c r="C32994" s="5" t="str">
        <f>IFERROR(__xludf.DUMMYFUNCTION("GOOGLETRANSLATE(B32994,""en"",""zh-CN"")"),"前景里有一辆面包车。")</f>
        <v>前景里有一辆面包车。</v>
      </c>
    </row>
    <row r="32995">
      <c r="A32995" s="4" t="s">
        <v>41523</v>
      </c>
      <c r="B32995" s="4" t="s">
        <v>41527</v>
      </c>
      <c r="C32995" s="5" t="str">
        <f>IFERROR(__xludf.DUMMYFUNCTION("GOOGLETRANSLATE(B32995,""en"",""zh-CN"")"),"还有几座建筑物。")</f>
        <v>还有几座建筑物。</v>
      </c>
    </row>
    <row r="32996">
      <c r="A32996" s="4" t="s">
        <v>41528</v>
      </c>
      <c r="B32996" s="6" t="s">
        <v>41529</v>
      </c>
      <c r="C32996" s="5" t="str">
        <f>IFERROR(__xludf.DUMMYFUNCTION("GOOGLETRANSLATE(B32996,""en"",""zh-CN"")"),"一名男子骑着自行车在三名男子后面，他们在一场专业比赛中跑步的高速公路上，旁观者，观众和参与者。")</f>
        <v>一名男子骑着自行车在三名男子后面，他们在一场专业比赛中跑步的高速公路上，旁观者，观众和参与者。</v>
      </c>
    </row>
    <row r="32997">
      <c r="A32997" s="4" t="s">
        <v>41528</v>
      </c>
      <c r="B32997" s="6" t="s">
        <v>41530</v>
      </c>
      <c r="C32997" s="5" t="str">
        <f>IFERROR(__xludf.DUMMYFUNCTION("GOOGLETRANSLATE(B32997,""en"",""zh-CN"")"),"一个男人戴着头盔骑着自行车骑自行车在高速公路上，并在自行车前面戴上纸牌。")</f>
        <v>一个男人戴着头盔骑着自行车骑自行车在高速公路上，并在自行车前面戴上纸牌。</v>
      </c>
    </row>
    <row r="32998">
      <c r="A32998" s="4" t="s">
        <v>41528</v>
      </c>
      <c r="B32998" s="6" t="s">
        <v>41531</v>
      </c>
      <c r="C32998" s="5" t="str">
        <f>IFERROR(__xludf.DUMMYFUNCTION("GOOGLETRANSLATE(B32998,""en"",""zh-CN"")"),"三名男子在骑自行车的男人面前奔跑，其中一名男子在跑步时杂耍三个球，一只饮用水并放弃了人群。")</f>
        <v>三名男子在骑自行车的男人面前奔跑，其中一名男子在跑步时杂耍三个球，一只饮用水并放弃了人群。</v>
      </c>
    </row>
    <row r="32999">
      <c r="A32999" s="4" t="s">
        <v>41528</v>
      </c>
      <c r="B32999" s="4" t="s">
        <v>41532</v>
      </c>
      <c r="C32999" s="5" t="str">
        <f>IFERROR(__xludf.DUMMYFUNCTION("GOOGLETRANSLATE(B32999,""en"",""zh-CN"")"),"这些人在慢跑时转弯，旁观者开始从后面为他们鼓掌。")</f>
        <v>这些人在慢跑时转弯，旁观者开始从后面为他们鼓掌。</v>
      </c>
    </row>
    <row r="33000">
      <c r="A33000" s="4" t="s">
        <v>41533</v>
      </c>
      <c r="B33000" s="4" t="s">
        <v>41534</v>
      </c>
      <c r="C33000" s="5" t="str">
        <f>IFERROR(__xludf.DUMMYFUNCTION("GOOGLETRANSLATE(B33000,""en"",""zh-CN"")"),"一群人打保龄球馆。")</f>
        <v>一群人打保龄球馆。</v>
      </c>
    </row>
    <row r="33001">
      <c r="A33001" s="4" t="s">
        <v>41533</v>
      </c>
      <c r="B33001" s="4" t="s">
        <v>41535</v>
      </c>
      <c r="C33001" s="5" t="str">
        <f>IFERROR(__xludf.DUMMYFUNCTION("GOOGLETRANSLATE(B33001,""en"",""zh-CN"")"),"保龄球比赛的录音视频中的人们。")</f>
        <v>保龄球比赛的录音视频中的人们。</v>
      </c>
    </row>
    <row r="33002">
      <c r="A33002" s="4" t="s">
        <v>41533</v>
      </c>
      <c r="B33002" s="4" t="s">
        <v>41536</v>
      </c>
      <c r="C33002" s="5" t="str">
        <f>IFERROR(__xludf.DUMMYFUNCTION("GOOGLETRANSLATE(B33002,""en"",""zh-CN"")"),"观众坐在栏杆后面观看活动。")</f>
        <v>观众坐在栏杆后面观看活动。</v>
      </c>
    </row>
    <row r="33003">
      <c r="A33003" s="4" t="s">
        <v>41533</v>
      </c>
      <c r="B33003" s="4" t="s">
        <v>41537</v>
      </c>
      <c r="C33003" s="5" t="str">
        <f>IFERROR(__xludf.DUMMYFUNCTION("GOOGLETRANSLATE(B33003,""en"",""zh-CN"")"),"一个男人的转弯站着向后站立。")</f>
        <v>一个男人的转弯站着向后站立。</v>
      </c>
    </row>
    <row r="33004">
      <c r="A33004" s="4" t="s">
        <v>41533</v>
      </c>
      <c r="B33004" s="4" t="s">
        <v>41538</v>
      </c>
      <c r="C33004" s="5" t="str">
        <f>IFERROR(__xludf.DUMMYFUNCTION("GOOGLETRANSLATE(B33004,""en"",""zh-CN"")"),"看台上的人们为投球手欢呼。")</f>
        <v>看台上的人们为投球手欢呼。</v>
      </c>
    </row>
    <row r="33005">
      <c r="A33005" s="4" t="s">
        <v>41539</v>
      </c>
      <c r="B33005" s="6" t="s">
        <v>41540</v>
      </c>
      <c r="C33005" s="5" t="str">
        <f>IFERROR(__xludf.DUMMYFUNCTION("GOOGLETRANSLATE(B33005,""en"",""zh-CN"")"),"看到三名男子说话并向相机挥舞着，这导致男子与街头的陌生人一起玩游戏。")</f>
        <v>看到三名男子说话并向相机挥舞着，这导致男子与街头的陌生人一起玩游戏。</v>
      </c>
    </row>
    <row r="33006">
      <c r="A33006" s="4" t="s">
        <v>41539</v>
      </c>
      <c r="B33006" s="4" t="s">
        <v>41541</v>
      </c>
      <c r="C33006" s="5" t="str">
        <f>IFERROR(__xludf.DUMMYFUNCTION("GOOGLETRANSLATE(B33006,""en"",""zh-CN"")"),"获胜者可以亲吻这个男人，失败者会打他。")</f>
        <v>获胜者可以亲吻这个男人，失败者会打他。</v>
      </c>
    </row>
    <row r="33007">
      <c r="A33007" s="4" t="s">
        <v>41539</v>
      </c>
      <c r="B33007" s="6" t="s">
        <v>41542</v>
      </c>
      <c r="C33007" s="5" t="str">
        <f>IFERROR(__xludf.DUMMYFUNCTION("GOOGLETRANSLATE(B33007,""en"",""zh-CN"")"),"显示了他拍打和亲吻女孩以及在该地区跑来跑去寻找更多人的几张照片。")</f>
        <v>显示了他拍打和亲吻女孩以及在该地区跑来跑去寻找更多人的几张照片。</v>
      </c>
    </row>
    <row r="33008">
      <c r="A33008" s="4" t="s">
        <v>41543</v>
      </c>
      <c r="B33008" s="4" t="s">
        <v>41544</v>
      </c>
      <c r="C33008" s="5" t="str">
        <f>IFERROR(__xludf.DUMMYFUNCTION("GOOGLETRANSLATE(B33008,""en"",""zh-CN"")"),"看到几个人站在各种春场桌子上，彼此玩游戏。")</f>
        <v>看到几个人站在各种春场桌子上，彼此玩游戏。</v>
      </c>
    </row>
    <row r="33009">
      <c r="A33009" s="4" t="s">
        <v>41543</v>
      </c>
      <c r="B33009" s="6" t="s">
        <v>41545</v>
      </c>
      <c r="C33009" s="5" t="str">
        <f>IFERROR(__xludf.DUMMYFUNCTION("GOOGLETRANSLATE(B33009,""en"",""zh-CN"")"),"当相机专注于一场比赛时，人们继续将球向后和第四把。")</f>
        <v>当相机专注于一场比赛时，人们继续将球向后和第四把。</v>
      </c>
    </row>
    <row r="33010">
      <c r="A33010" s="4" t="s">
        <v>41543</v>
      </c>
      <c r="B33010" s="4" t="s">
        <v>41546</v>
      </c>
      <c r="C33010" s="5" t="str">
        <f>IFERROR(__xludf.DUMMYFUNCTION("GOOGLETRANSLATE(B33010,""en"",""zh-CN"")"),"人们跟踪他们的分数，而其他人则在远处观看他们。")</f>
        <v>人们跟踪他们的分数，而其他人则在远处观看他们。</v>
      </c>
    </row>
    <row r="33011">
      <c r="A33011" s="4" t="s">
        <v>41547</v>
      </c>
      <c r="B33011" s="4" t="s">
        <v>41548</v>
      </c>
      <c r="C33011" s="5" t="str">
        <f>IFERROR(__xludf.DUMMYFUNCTION("GOOGLETRANSLATE(B33011,""en"",""zh-CN"")"),"当红色切割场景经过一位穿着蓝色衬衫的年轻人时，人们会集中精力。")</f>
        <v>当红色切割场景经过一位穿着蓝色衬衫的年轻人时，人们会集中精力。</v>
      </c>
    </row>
    <row r="33012">
      <c r="A33012" s="4" t="s">
        <v>41547</v>
      </c>
      <c r="B33012" s="6" t="s">
        <v>41549</v>
      </c>
      <c r="C33012" s="5" t="str">
        <f>IFERROR(__xludf.DUMMYFUNCTION("GOOGLETRANSLATE(B33012,""en"",""zh-CN"")"),"之后，另一个男人在冰壶溜冰场上释放了一块岩石，因为另外两个人用扫帚清理了道路，因为石头沿着小路沿着小路行驶。")</f>
        <v>之后，另一个男人在冰壶溜冰场上释放了一块岩石，因为另外两个人用扫帚清理了道路，因为石头沿着小路沿着小路行驶。</v>
      </c>
    </row>
    <row r="33013">
      <c r="A33013" s="4" t="s">
        <v>41547</v>
      </c>
      <c r="B33013" s="4" t="s">
        <v>41550</v>
      </c>
      <c r="C33013" s="5" t="str">
        <f>IFERROR(__xludf.DUMMYFUNCTION("GOOGLETRANSLATE(B33013,""en"",""zh-CN"")"),"该行为继续与同一男人一起参与同样的行为。")</f>
        <v>该行为继续与同一男人一起参与同样的行为。</v>
      </c>
    </row>
    <row r="33014">
      <c r="A33014" s="4" t="s">
        <v>41547</v>
      </c>
      <c r="B33014" s="4" t="s">
        <v>41551</v>
      </c>
      <c r="C33014" s="5" t="str">
        <f>IFERROR(__xludf.DUMMYFUNCTION("GOOGLETRANSLATE(B33014,""en"",""zh-CN"")"),"之后，另一个穿着蓝色衬衫的年轻人重复了与白队看上去相同的举动。")</f>
        <v>之后，另一个穿着蓝色衬衫的年轻人重复了与白队看上去相同的举动。</v>
      </c>
    </row>
    <row r="33015">
      <c r="A33015" s="4" t="s">
        <v>41547</v>
      </c>
      <c r="B33015" s="6" t="s">
        <v>41552</v>
      </c>
      <c r="C33015" s="5" t="str">
        <f>IFERROR(__xludf.DUMMYFUNCTION("GOOGLETRANSLATE(B33015,""en"",""zh-CN"")"),"最终，当观众们看着观众时，白队的一名成员释放了一块岩石，两名来自团队的男子使用扫帚清理道路。")</f>
        <v>最终，当观众们看着观众时，白队的一名成员释放了一块岩石，两名来自团队的男子使用扫帚清理道路。</v>
      </c>
    </row>
    <row r="33016">
      <c r="A33016" s="4" t="s">
        <v>41553</v>
      </c>
      <c r="B33016" s="4" t="s">
        <v>41554</v>
      </c>
      <c r="C33016" s="5" t="str">
        <f>IFERROR(__xludf.DUMMYFUNCTION("GOOGLETRANSLATE(B33016,""en"",""zh-CN"")"),"看到一个男人在手里拿着吉他的同时在相机上说话。")</f>
        <v>看到一个男人在手里拿着吉他的同时在相机上说话。</v>
      </c>
    </row>
    <row r="33017">
      <c r="A33017" s="4" t="s">
        <v>41553</v>
      </c>
      <c r="B33017" s="4" t="s">
        <v>41555</v>
      </c>
      <c r="C33017" s="5" t="str">
        <f>IFERROR(__xludf.DUMMYFUNCTION("GOOGLETRANSLATE(B33017,""en"",""zh-CN"")"),"该男子开始弹吉他并唱歌麦克风。")</f>
        <v>该男子开始弹吉他并唱歌麦克风。</v>
      </c>
    </row>
    <row r="33018">
      <c r="A33018" s="4" t="s">
        <v>41553</v>
      </c>
      <c r="B33018" s="4" t="s">
        <v>41556</v>
      </c>
      <c r="C33018" s="5" t="str">
        <f>IFERROR(__xludf.DUMMYFUNCTION("GOOGLETRANSLATE(B33018,""en"",""zh-CN"")"),"该男子最终继续唱歌，演奏和停下来。")</f>
        <v>该男子最终继续唱歌，演奏和停下来。</v>
      </c>
    </row>
    <row r="33019">
      <c r="A33019" s="4" t="s">
        <v>41557</v>
      </c>
      <c r="B33019" s="6" t="s">
        <v>41558</v>
      </c>
      <c r="C33019" s="5" t="str">
        <f>IFERROR(__xludf.DUMMYFUNCTION("GOOGLETRANSLATE(B33019,""en"",""zh-CN"")"),"看到一个男人在相机上说话，还有一个保龄球馆和他打球的几张照片。")</f>
        <v>看到一个男人在相机上说话，还有一个保龄球馆和他打球的几张照片。</v>
      </c>
    </row>
    <row r="33020">
      <c r="A33020" s="4" t="s">
        <v>41557</v>
      </c>
      <c r="B33020" s="6" t="s">
        <v>41559</v>
      </c>
      <c r="C33020" s="5" t="str">
        <f>IFERROR(__xludf.DUMMYFUNCTION("GOOGLETRANSLATE(B33020,""en"",""zh-CN"")"),"他继续与镜头说话，同时显示了几个他扔保龄球并击中几销的视频。")</f>
        <v>他继续与镜头说话，同时显示了几个他扔保龄球并击中几销的视频。</v>
      </c>
    </row>
    <row r="33021">
      <c r="A33021" s="4" t="s">
        <v>41560</v>
      </c>
      <c r="B33021" s="4" t="s">
        <v>41078</v>
      </c>
      <c r="C33021" s="5" t="str">
        <f>IFERROR(__xludf.DUMMYFUNCTION("GOOGLETRANSLATE(B33021,""en"",""zh-CN"")"),"一个男人坐在理发椅上。")</f>
        <v>一个男人坐在理发椅上。</v>
      </c>
    </row>
    <row r="33022">
      <c r="A33022" s="4" t="s">
        <v>41560</v>
      </c>
      <c r="B33022" s="4" t="s">
        <v>41561</v>
      </c>
      <c r="C33022" s="5" t="str">
        <f>IFERROR(__xludf.DUMMYFUNCTION("GOOGLETRANSLATE(B33022,""en"",""zh-CN"")"),"另一个男人正在给他剪头发。")</f>
        <v>另一个男人正在给他剪头发。</v>
      </c>
    </row>
    <row r="33023">
      <c r="A33023" s="4" t="s">
        <v>41560</v>
      </c>
      <c r="B33023" s="4" t="s">
        <v>41562</v>
      </c>
      <c r="C33023" s="5" t="str">
        <f>IFERROR(__xludf.DUMMYFUNCTION("GOOGLETRANSLATE(B33023,""en"",""zh-CN"")"),"然后，他刷掉了男人的脖子。")</f>
        <v>然后，他刷掉了男人的脖子。</v>
      </c>
    </row>
    <row r="33024">
      <c r="A33024" s="4" t="s">
        <v>41563</v>
      </c>
      <c r="B33024" s="4" t="s">
        <v>41564</v>
      </c>
      <c r="C33024" s="5" t="str">
        <f>IFERROR(__xludf.DUMMYFUNCTION("GOOGLETRANSLATE(B33024,""en"",""zh-CN"")"),"一个人演示了如何改变汽车上的轮胎。")</f>
        <v>一个人演示了如何改变汽车上的轮胎。</v>
      </c>
    </row>
    <row r="33025">
      <c r="A33025" s="4" t="s">
        <v>41563</v>
      </c>
      <c r="B33025" s="6" t="s">
        <v>41565</v>
      </c>
      <c r="C33025" s="5" t="str">
        <f>IFERROR(__xludf.DUMMYFUNCTION("GOOGLETRANSLATE(B33025,""en"",""zh-CN"")"),"一辆汽车在街道上开车，然后展示停在该街道上，一个人接近拿着扣子伸出的螺母工具的汽车。")</f>
        <v>一辆汽车在街道上开车，然后展示停在该街道上，一个人接近拿着扣子伸出的螺母工具的汽车。</v>
      </c>
    </row>
    <row r="33026">
      <c r="A33026" s="4" t="s">
        <v>41563</v>
      </c>
      <c r="B33026" s="4" t="s">
        <v>41566</v>
      </c>
      <c r="C33026" s="5" t="str">
        <f>IFERROR(__xludf.DUMMYFUNCTION("GOOGLETRANSLATE(B33026,""en"",""zh-CN"")"),"该男子卸下凸耳螺母，然后将汽车抬起。")</f>
        <v>该男子卸下凸耳螺母，然后将汽车抬起。</v>
      </c>
    </row>
    <row r="33027">
      <c r="A33027" s="4" t="s">
        <v>41563</v>
      </c>
      <c r="B33027" s="4" t="s">
        <v>41567</v>
      </c>
      <c r="C33027" s="5" t="str">
        <f>IFERROR(__xludf.DUMMYFUNCTION("GOOGLETRANSLATE(B33027,""en"",""zh-CN"")"),"然后，该男子拆下轮胎，从汽车后部拉出一条备用轮胎。")</f>
        <v>然后，该男子拆下轮胎，从汽车后部拉出一条备用轮胎。</v>
      </c>
    </row>
    <row r="33028">
      <c r="A33028" s="4" t="s">
        <v>41563</v>
      </c>
      <c r="B33028" s="4" t="s">
        <v>41568</v>
      </c>
      <c r="C33028" s="5" t="str">
        <f>IFERROR(__xludf.DUMMYFUNCTION("GOOGLETRANSLATE(B33028,""en"",""zh-CN"")"),"然后，该男子将新轮胎放在汽车上。")</f>
        <v>然后，该男子将新轮胎放在汽车上。</v>
      </c>
    </row>
    <row r="33029">
      <c r="A33029" s="4" t="s">
        <v>41569</v>
      </c>
      <c r="B33029" s="4" t="s">
        <v>41570</v>
      </c>
      <c r="C33029" s="5" t="str">
        <f>IFERROR(__xludf.DUMMYFUNCTION("GOOGLETRANSLATE(B33029,""en"",""zh-CN"")"),"一个男人将墙纸挂在空白的墙上。")</f>
        <v>一个男人将墙纸挂在空白的墙上。</v>
      </c>
    </row>
    <row r="33030">
      <c r="A33030" s="4" t="s">
        <v>41569</v>
      </c>
      <c r="B33030" s="4" t="s">
        <v>41571</v>
      </c>
      <c r="C33030" s="5" t="str">
        <f>IFERROR(__xludf.DUMMYFUNCTION("GOOGLETRANSLATE(B33030,""en"",""zh-CN"")"),"每个框架都滚下并放在墙上。")</f>
        <v>每个框架都滚下并放在墙上。</v>
      </c>
    </row>
    <row r="33031">
      <c r="A33031" s="4" t="s">
        <v>41572</v>
      </c>
      <c r="B33031" s="6" t="s">
        <v>41573</v>
      </c>
      <c r="C33031" s="5" t="str">
        <f>IFERROR(__xludf.DUMMYFUNCTION("GOOGLETRANSLATE(B33031,""en"",""zh-CN"")"),"一个戴着红色曲棍球头盔的男人和长长的卷发胡须，在一个静止的枪击中，站在一个女人旁边，靠在冰球滑冰溜冰场前的玻璃屏障。")</f>
        <v>一个戴着红色曲棍球头盔的男人和长长的卷发胡须，在一个静止的枪击中，站在一个女人旁边，靠在冰球滑冰溜冰场前的玻璃屏障。</v>
      </c>
    </row>
    <row r="33032">
      <c r="A33032" s="4" t="s">
        <v>41572</v>
      </c>
      <c r="B33032" s="6" t="s">
        <v>41574</v>
      </c>
      <c r="C33032" s="5" t="str">
        <f>IFERROR(__xludf.DUMMYFUNCTION("GOOGLETRANSLATE(B33032,""en"",""zh-CN"")"),"然后，该男子进入现场曲棍球比赛，并在曲棍球上打满其他球员。")</f>
        <v>然后，该男子进入现场曲棍球比赛，并在曲棍球上打满其他球员。</v>
      </c>
    </row>
    <row r="33033">
      <c r="A33033" s="4" t="s">
        <v>41572</v>
      </c>
      <c r="B33033" s="6" t="s">
        <v>41575</v>
      </c>
      <c r="C33033" s="5" t="str">
        <f>IFERROR(__xludf.DUMMYFUNCTION("GOOGLETRANSLATE(B33033,""en"",""zh-CN"")"),"在摄像机在另一个静止射击中再次变回胡须上的男人之前，另一个男人坐在史努比娃娃旁边。")</f>
        <v>在摄像机在另一个静止射击中再次变回胡须上的男人之前，另一个男人坐在史努比娃娃旁边。</v>
      </c>
    </row>
    <row r="33034">
      <c r="A33034" s="4" t="s">
        <v>41576</v>
      </c>
      <c r="B33034" s="4" t="s">
        <v>41577</v>
      </c>
      <c r="C33034" s="5" t="str">
        <f>IFERROR(__xludf.DUMMYFUNCTION("GOOGLETRANSLATE(B33034,""en"",""zh-CN"")"),"一个女人鼓掌双手。")</f>
        <v>一个女人鼓掌双手。</v>
      </c>
    </row>
    <row r="33035">
      <c r="A33035" s="4" t="s">
        <v>41576</v>
      </c>
      <c r="B33035" s="4" t="s">
        <v>41578</v>
      </c>
      <c r="C33035" s="5" t="str">
        <f>IFERROR(__xludf.DUMMYFUNCTION("GOOGLETRANSLATE(B33035,""en"",""zh-CN"")"),"她沿着轨道冲刺。")</f>
        <v>她沿着轨道冲刺。</v>
      </c>
    </row>
    <row r="33036">
      <c r="A33036" s="4" t="s">
        <v>41576</v>
      </c>
      <c r="B33036" s="4" t="s">
        <v>7927</v>
      </c>
      <c r="C33036" s="5" t="str">
        <f>IFERROR(__xludf.DUMMYFUNCTION("GOOGLETRANSLATE(B33036,""en"",""zh-CN"")"),"她跳进一堆沙子。")</f>
        <v>她跳进一堆沙子。</v>
      </c>
    </row>
    <row r="33037">
      <c r="A33037" s="4" t="s">
        <v>41576</v>
      </c>
      <c r="B33037" s="4" t="s">
        <v>41579</v>
      </c>
      <c r="C33037" s="5" t="str">
        <f>IFERROR(__xludf.DUMMYFUNCTION("GOOGLETRANSLATE(B33037,""en"",""zh-CN"")"),"她在空中跳来跳去。")</f>
        <v>她在空中跳来跳去。</v>
      </c>
    </row>
    <row r="33038">
      <c r="A33038" s="4" t="s">
        <v>41580</v>
      </c>
      <c r="B33038" s="4" t="s">
        <v>41581</v>
      </c>
      <c r="C33038" s="5" t="str">
        <f>IFERROR(__xludf.DUMMYFUNCTION("GOOGLETRANSLATE(B33038,""en"",""zh-CN"")"),"一个穿着黑人妻子的男人在荧光墙玻璃旁边，正在说话。")</f>
        <v>一个穿着黑人妻子的男人在荧光墙玻璃旁边，正在说话。</v>
      </c>
    </row>
    <row r="33039">
      <c r="A33039" s="4" t="s">
        <v>41580</v>
      </c>
      <c r="B33039" s="6" t="s">
        <v>41582</v>
      </c>
      <c r="C33039" s="5" t="str">
        <f>IFERROR(__xludf.DUMMYFUNCTION("GOOGLETRANSLATE(B33039,""en"",""zh-CN"")"),"当他说话时，在他之间出现了几个剪辑，他在他的房间里，在打墙球时，在一个带有三堵墙和玻璃作为第四墙的房间里。")</f>
        <v>当他说话时，在他之间出现了几个剪辑，他在他的房间里，在打墙球时，在一个带有三堵墙和玻璃作为第四墙的房间里。</v>
      </c>
    </row>
    <row r="33040">
      <c r="A33040" s="4" t="s">
        <v>41580</v>
      </c>
      <c r="B33040" s="4" t="s">
        <v>41583</v>
      </c>
      <c r="C33040" s="5" t="str">
        <f>IFERROR(__xludf.DUMMYFUNCTION("GOOGLETRANSLATE(B33040,""en"",""zh-CN"")"),"显示了最后的场景，男性在当时结束时最终闪烁URL之前回来说话。")</f>
        <v>显示了最后的场景，男性在当时结束时最终闪烁URL之前回来说话。</v>
      </c>
    </row>
    <row r="33041">
      <c r="A33041" s="4" t="s">
        <v>41584</v>
      </c>
      <c r="B33041" s="6" t="s">
        <v>41585</v>
      </c>
      <c r="C33041" s="5" t="str">
        <f>IFERROR(__xludf.DUMMYFUNCTION("GOOGLETRANSLATE(B33041,""en"",""zh-CN"")"),"看到一个年轻人站在一个拿着乐器的大型田野中间，站在他人面前。")</f>
        <v>看到一个年轻人站在一个拿着乐器的大型田野中间，站在他人面前。</v>
      </c>
    </row>
    <row r="33042">
      <c r="A33042" s="4" t="s">
        <v>41584</v>
      </c>
      <c r="B33042" s="4" t="s">
        <v>41586</v>
      </c>
      <c r="C33042" s="5" t="str">
        <f>IFERROR(__xludf.DUMMYFUNCTION("GOOGLETRANSLATE(B33042,""en"",""zh-CN"")"),"然后，该男子开始一一弹奏乐器。")</f>
        <v>然后，该男子开始一一弹奏乐器。</v>
      </c>
    </row>
    <row r="33043">
      <c r="A33043" s="4" t="s">
        <v>41584</v>
      </c>
      <c r="B33043" s="6" t="s">
        <v>41587</v>
      </c>
      <c r="C33043" s="5" t="str">
        <f>IFERROR(__xludf.DUMMYFUNCTION("GOOGLETRANSLATE(B33043,""en"",""zh-CN"")"),"然后，几个孩子用呼啦圈走进框架，而男人也加入了唱歌和拍手。")</f>
        <v>然后，几个孩子用呼啦圈走进框架，而男人也加入了唱歌和拍手。</v>
      </c>
    </row>
    <row r="33044">
      <c r="A33044" s="4" t="s">
        <v>41588</v>
      </c>
      <c r="B33044" s="4" t="s">
        <v>41589</v>
      </c>
      <c r="C33044" s="5" t="str">
        <f>IFERROR(__xludf.DUMMYFUNCTION("GOOGLETRANSLATE(B33044,""en"",""zh-CN"")"),"她的胸罩和内衣的年轻妇女坐在床上。")</f>
        <v>她的胸罩和内衣的年轻妇女坐在床上。</v>
      </c>
    </row>
    <row r="33045">
      <c r="A33045" s="4" t="s">
        <v>41588</v>
      </c>
      <c r="B33045" s="4" t="s">
        <v>41590</v>
      </c>
      <c r="C33045" s="5" t="str">
        <f>IFERROR(__xludf.DUMMYFUNCTION("GOOGLETRANSLATE(B33045,""en"",""zh-CN"")"),"然后，她将乳液涂在双腿和手上。")</f>
        <v>然后，她将乳液涂在双腿和手上。</v>
      </c>
    </row>
    <row r="33046">
      <c r="A33046" s="4" t="s">
        <v>41588</v>
      </c>
      <c r="B33046" s="4" t="s">
        <v>41591</v>
      </c>
      <c r="C33046" s="5" t="str">
        <f>IFERROR(__xludf.DUMMYFUNCTION("GOOGLETRANSLATE(B33046,""en"",""zh-CN"")"),"她的工作非常彻底，以确保不要错过任何事情。")</f>
        <v>她的工作非常彻底，以确保不要错过任何事情。</v>
      </c>
    </row>
    <row r="33047">
      <c r="A33047" s="4" t="s">
        <v>41588</v>
      </c>
      <c r="B33047" s="4" t="s">
        <v>41592</v>
      </c>
      <c r="C33047" s="5" t="str">
        <f>IFERROR(__xludf.DUMMYFUNCTION("GOOGLETRANSLATE(B33047,""en"",""zh-CN"")"),"然后，她开始非常专心地剃腿的过程。")</f>
        <v>然后，她开始非常专心地剃腿的过程。</v>
      </c>
    </row>
    <row r="33048">
      <c r="A33048" s="4" t="s">
        <v>41588</v>
      </c>
      <c r="B33048" s="4" t="s">
        <v>41593</v>
      </c>
      <c r="C33048" s="5" t="str">
        <f>IFERROR(__xludf.DUMMYFUNCTION("GOOGLETRANSLATE(B33048,""en"",""zh-CN"")"),"她继续这一过程，另一只腿非常擅长于细节。")</f>
        <v>她继续这一过程，另一只腿非常擅长于细节。</v>
      </c>
    </row>
    <row r="33049">
      <c r="A33049" s="4" t="s">
        <v>41594</v>
      </c>
      <c r="B33049" s="4" t="s">
        <v>41595</v>
      </c>
      <c r="C33049" s="5" t="str">
        <f>IFERROR(__xludf.DUMMYFUNCTION("GOOGLETRANSLATE(B33049,""en"",""zh-CN"")"),"一个人用叶吹制吹叶。")</f>
        <v>一个人用叶吹制吹叶。</v>
      </c>
    </row>
    <row r="33050">
      <c r="A33050" s="4" t="s">
        <v>41594</v>
      </c>
      <c r="B33050" s="4" t="s">
        <v>41596</v>
      </c>
      <c r="C33050" s="5" t="str">
        <f>IFERROR(__xludf.DUMMYFUNCTION("GOOGLETRANSLATE(B33050,""en"",""zh-CN"")"),"然后，在树木旁边显示一个没有叶子的区域。")</f>
        <v>然后，在树木旁边显示一个没有叶子的区域。</v>
      </c>
    </row>
    <row r="33051">
      <c r="A33051" s="4" t="s">
        <v>41597</v>
      </c>
      <c r="B33051" s="4" t="s">
        <v>41598</v>
      </c>
      <c r="C33051" s="5" t="str">
        <f>IFERROR(__xludf.DUMMYFUNCTION("GOOGLETRANSLATE(B33051,""en"",""zh-CN"")"),"一个女孩站在公共洗手间里说话。")</f>
        <v>一个女孩站在公共洗手间里说话。</v>
      </c>
    </row>
    <row r="33052">
      <c r="A33052" s="4" t="s">
        <v>41597</v>
      </c>
      <c r="B33052" s="4" t="s">
        <v>41599</v>
      </c>
      <c r="C33052" s="5" t="str">
        <f>IFERROR(__xludf.DUMMYFUNCTION("GOOGLETRANSLATE(B33052,""en"",""zh-CN"")"),"女孩走进摊位，关上门。")</f>
        <v>女孩走进摊位，关上门。</v>
      </c>
    </row>
    <row r="33053">
      <c r="A33053" s="4" t="s">
        <v>41597</v>
      </c>
      <c r="B33053" s="4" t="s">
        <v>41600</v>
      </c>
      <c r="C33053" s="5" t="str">
        <f>IFERROR(__xludf.DUMMYFUNCTION("GOOGLETRANSLATE(B33053,""en"",""zh-CN"")"),"她出现并洗手。")</f>
        <v>她出现并洗手。</v>
      </c>
    </row>
    <row r="33054">
      <c r="A33054" s="4" t="s">
        <v>41597</v>
      </c>
      <c r="B33054" s="4" t="s">
        <v>41601</v>
      </c>
      <c r="C33054" s="5" t="str">
        <f>IFERROR(__xludf.DUMMYFUNCTION("GOOGLETRANSLATE(B33054,""en"",""zh-CN"")"),"她拿一张纸，用手。")</f>
        <v>她拿一张纸，用手。</v>
      </c>
    </row>
    <row r="33055">
      <c r="A33055" s="4" t="s">
        <v>41597</v>
      </c>
      <c r="B33055" s="4" t="s">
        <v>41602</v>
      </c>
      <c r="C33055" s="5" t="str">
        <f>IFERROR(__xludf.DUMMYFUNCTION("GOOGLETRANSLATE(B33055,""en"",""zh-CN"")"),"另一个人正在洗手。")</f>
        <v>另一个人正在洗手。</v>
      </c>
    </row>
    <row r="33056">
      <c r="A33056" s="4" t="s">
        <v>41597</v>
      </c>
      <c r="B33056" s="4" t="s">
        <v>41603</v>
      </c>
      <c r="C33056" s="5" t="str">
        <f>IFERROR(__xludf.DUMMYFUNCTION("GOOGLETRANSLATE(B33056,""en"",""zh-CN"")"),"那个女孩扔掉了木瓜。")</f>
        <v>那个女孩扔掉了木瓜。</v>
      </c>
    </row>
    <row r="33057">
      <c r="A33057" s="4" t="s">
        <v>41604</v>
      </c>
      <c r="B33057" s="4" t="s">
        <v>41605</v>
      </c>
      <c r="C33057" s="5" t="str">
        <f>IFERROR(__xludf.DUMMYFUNCTION("GOOGLETRANSLATE(B33057,""en"",""zh-CN"")"),"一个人用棍子敲打钢琴的顶部，并与坐在他面前的一支大乐队交谈。")</f>
        <v>一个人用棍子敲打钢琴的顶部，并与坐在他面前的一支大乐队交谈。</v>
      </c>
    </row>
    <row r="33058">
      <c r="A33058" s="4" t="s">
        <v>41604</v>
      </c>
      <c r="B33058" s="4" t="s">
        <v>41606</v>
      </c>
      <c r="C33058" s="5" t="str">
        <f>IFERROR(__xludf.DUMMYFUNCTION("GOOGLETRANSLATE(B33058,""en"",""zh-CN"")"),"他坐在钢琴上，他和乐队演奏。")</f>
        <v>他坐在钢琴上，他和乐队演奏。</v>
      </c>
    </row>
    <row r="33059">
      <c r="A33059" s="4" t="s">
        <v>41604</v>
      </c>
      <c r="B33059" s="4" t="s">
        <v>41607</v>
      </c>
      <c r="C33059" s="5" t="str">
        <f>IFERROR(__xludf.DUMMYFUNCTION("GOOGLETRANSLATE(B33059,""en"",""zh-CN"")"),"大量的观众从附近观看。")</f>
        <v>大量的观众从附近观看。</v>
      </c>
    </row>
    <row r="33060">
      <c r="A33060" s="4" t="s">
        <v>41604</v>
      </c>
      <c r="B33060" s="4" t="s">
        <v>41608</v>
      </c>
      <c r="C33060" s="5" t="str">
        <f>IFERROR(__xludf.DUMMYFUNCTION("GOOGLETRANSLATE(B33060,""en"",""zh-CN"")"),"那个男人把棍子扔在乐队后面。")</f>
        <v>那个男人把棍子扔在乐队后面。</v>
      </c>
    </row>
    <row r="33061">
      <c r="A33061" s="4" t="s">
        <v>41604</v>
      </c>
      <c r="B33061" s="4" t="s">
        <v>41609</v>
      </c>
      <c r="C33061" s="5" t="str">
        <f>IFERROR(__xludf.DUMMYFUNCTION("GOOGLETRANSLATE(B33061,""en"",""zh-CN"")"),"该男子演奏片刻，然后鞠躬。")</f>
        <v>该男子演奏片刻，然后鞠躬。</v>
      </c>
    </row>
    <row r="33062">
      <c r="A33062" s="4" t="s">
        <v>41610</v>
      </c>
      <c r="B33062" s="6" t="s">
        <v>41611</v>
      </c>
      <c r="C33062" s="5" t="str">
        <f>IFERROR(__xludf.DUMMYFUNCTION("GOOGLETRANSLATE(B33062,""en"",""zh-CN"")"),"将饮料倒入玻璃杯中，然后一个女人抓住玻璃杯并将混合物倒入其中。")</f>
        <v>将饮料倒入玻璃杯中，然后一个女人抓住玻璃杯并将混合物倒入其中。</v>
      </c>
    </row>
    <row r="33063">
      <c r="A33063" s="4" t="s">
        <v>41610</v>
      </c>
      <c r="B33063" s="6" t="s">
        <v>41612</v>
      </c>
      <c r="C33063" s="5" t="str">
        <f>IFERROR(__xludf.DUMMYFUNCTION("GOOGLETRANSLATE(B33063,""en"",""zh-CN"")"),"她通过将几种不同的混合物倒在一起，然后放大饮料来制作酒精饮料。")</f>
        <v>她通过将几种不同的混合物倒在一起，然后放大饮料来制作酒精饮料。</v>
      </c>
    </row>
    <row r="33064">
      <c r="A33064" s="4" t="s">
        <v>41613</v>
      </c>
      <c r="B33064" s="4" t="s">
        <v>41614</v>
      </c>
      <c r="C33064" s="5" t="str">
        <f>IFERROR(__xludf.DUMMYFUNCTION("GOOGLETRANSLATE(B33064,""en"",""zh-CN"")"),"墨西哥乐队正在演奏和唱歌。")</f>
        <v>墨西哥乐队正在演奏和唱歌。</v>
      </c>
    </row>
    <row r="33065">
      <c r="A33065" s="4" t="s">
        <v>41613</v>
      </c>
      <c r="B33065" s="4" t="s">
        <v>41615</v>
      </c>
      <c r="C33065" s="5" t="str">
        <f>IFERROR(__xludf.DUMMYFUNCTION("GOOGLETRANSLATE(B33065,""en"",""zh-CN"")"),"相机对每个成员进行特写。")</f>
        <v>相机对每个成员进行特写。</v>
      </c>
    </row>
    <row r="33066">
      <c r="A33066" s="4" t="s">
        <v>41613</v>
      </c>
      <c r="B33066" s="4" t="s">
        <v>41616</v>
      </c>
      <c r="C33066" s="5" t="str">
        <f>IFERROR(__xludf.DUMMYFUNCTION("GOOGLETRANSLATE(B33066,""en"",""zh-CN"")"),"有一群人在听他们的话。")</f>
        <v>有一群人在听他们的话。</v>
      </c>
    </row>
    <row r="33067">
      <c r="A33067" s="4" t="s">
        <v>41613</v>
      </c>
      <c r="B33067" s="4" t="s">
        <v>41617</v>
      </c>
      <c r="C33067" s="5" t="str">
        <f>IFERROR(__xludf.DUMMYFUNCTION("GOOGLETRANSLATE(B33067,""en"",""zh-CN"")"),"乐队的名字在他们的衬衫后面。")</f>
        <v>乐队的名字在他们的衬衫后面。</v>
      </c>
    </row>
    <row r="33068">
      <c r="A33068" s="4" t="s">
        <v>41618</v>
      </c>
      <c r="B33068" s="4" t="s">
        <v>41619</v>
      </c>
      <c r="C33068" s="5" t="str">
        <f>IFERROR(__xludf.DUMMYFUNCTION("GOOGLETRANSLATE(B33068,""en"",""zh-CN"")"),"这个男人在他的手上，膝盖在地板上。")</f>
        <v>这个男人在他的手上，膝盖在地板上。</v>
      </c>
    </row>
    <row r="33069">
      <c r="A33069" s="4" t="s">
        <v>41618</v>
      </c>
      <c r="B33069" s="4" t="s">
        <v>41620</v>
      </c>
      <c r="C33069" s="5" t="str">
        <f>IFERROR(__xludf.DUMMYFUNCTION("GOOGLETRANSLATE(B33069,""en"",""zh-CN"")"),"这是从电视屏幕上录制的，而且确实很大。")</f>
        <v>这是从电视屏幕上录制的，而且确实很大。</v>
      </c>
    </row>
    <row r="33070">
      <c r="A33070" s="4" t="s">
        <v>41618</v>
      </c>
      <c r="B33070" s="6" t="s">
        <v>41621</v>
      </c>
      <c r="C33070" s="5" t="str">
        <f>IFERROR(__xludf.DUMMYFUNCTION("GOOGLETRANSLATE(B33070,""en"",""zh-CN"")"),"这个男人的房间里没有其他人，他看起来像一个从后面进入的女人。")</f>
        <v>这个男人的房间里没有其他人，他看起来像一个从后面进入的女人。</v>
      </c>
    </row>
    <row r="33071">
      <c r="A33071" s="4" t="s">
        <v>41622</v>
      </c>
      <c r="B33071" s="4" t="s">
        <v>41623</v>
      </c>
      <c r="C33071" s="5" t="str">
        <f>IFERROR(__xludf.DUMMYFUNCTION("GOOGLETRANSLATE(B33071,""en"",""zh-CN"")"),"看到独木舟的近距离沿着水移动，显示一个人在前面划船。")</f>
        <v>看到独木舟的近距离沿着水移动，显示一个人在前面划船。</v>
      </c>
    </row>
    <row r="33072">
      <c r="A33072" s="4" t="s">
        <v>41622</v>
      </c>
      <c r="B33072" s="4" t="s">
        <v>41624</v>
      </c>
      <c r="C33072" s="5" t="str">
        <f>IFERROR(__xludf.DUMMYFUNCTION("GOOGLETRANSLATE(B33072,""en"",""zh-CN"")"),"看到更多的人在独木舟中骑行，露出瀑布和火。")</f>
        <v>看到更多的人在独木舟中骑行，露出瀑布和火。</v>
      </c>
    </row>
    <row r="33073">
      <c r="A33073" s="4" t="s">
        <v>41625</v>
      </c>
      <c r="B33073" s="4" t="s">
        <v>41626</v>
      </c>
      <c r="C33073" s="5" t="str">
        <f>IFERROR(__xludf.DUMMYFUNCTION("GOOGLETRANSLATE(B33073,""en"",""zh-CN"")"),"一个女人在不平坦的酒吧做体操例行。")</f>
        <v>一个女人在不平坦的酒吧做体操例行。</v>
      </c>
    </row>
    <row r="33074">
      <c r="A33074" s="4" t="s">
        <v>41625</v>
      </c>
      <c r="B33074" s="4" t="s">
        <v>41627</v>
      </c>
      <c r="C33074" s="5" t="str">
        <f>IFERROR(__xludf.DUMMYFUNCTION("GOOGLETRANSLATE(B33074,""en"",""zh-CN"")"),"女人确实在酒吧里翻转。")</f>
        <v>女人确实在酒吧里翻转。</v>
      </c>
    </row>
    <row r="33075">
      <c r="A33075" s="4" t="s">
        <v>41625</v>
      </c>
      <c r="B33075" s="4" t="s">
        <v>41628</v>
      </c>
      <c r="C33075" s="5" t="str">
        <f>IFERROR(__xludf.DUMMYFUNCTION("GOOGLETRANSLATE(B33075,""en"",""zh-CN"")"),"她跳下来降落在垫子上。")</f>
        <v>她跳下来降落在垫子上。</v>
      </c>
    </row>
    <row r="33076">
      <c r="A33076" s="4" t="s">
        <v>41629</v>
      </c>
      <c r="B33076" s="4" t="s">
        <v>9397</v>
      </c>
      <c r="C33076" s="5" t="str">
        <f>IFERROR(__xludf.DUMMYFUNCTION("GOOGLETRANSLATE(B33076,""en"",""zh-CN"")"),"一个女人站在一个房间里说话。")</f>
        <v>一个女人站在一个房间里说话。</v>
      </c>
    </row>
    <row r="33077">
      <c r="A33077" s="4" t="s">
        <v>41629</v>
      </c>
      <c r="B33077" s="4" t="s">
        <v>41630</v>
      </c>
      <c r="C33077" s="5" t="str">
        <f>IFERROR(__xludf.DUMMYFUNCTION("GOOGLETRANSLATE(B33077,""en"",""zh-CN"")"),"她拿起红刷，开始刷头发。")</f>
        <v>她拿起红刷，开始刷头发。</v>
      </c>
    </row>
    <row r="33078">
      <c r="A33078" s="4" t="s">
        <v>41629</v>
      </c>
      <c r="B33078" s="4" t="s">
        <v>41631</v>
      </c>
      <c r="C33078" s="5" t="str">
        <f>IFERROR(__xludf.DUMMYFUNCTION("GOOGLETRANSLATE(B33078,""en"",""zh-CN"")"),"屏幕上显示了Netflix广告。")</f>
        <v>屏幕上显示了Netflix广告。</v>
      </c>
    </row>
    <row r="33079">
      <c r="A33079" s="4" t="s">
        <v>41632</v>
      </c>
      <c r="B33079" s="4" t="s">
        <v>41633</v>
      </c>
      <c r="C33079" s="5" t="str">
        <f>IFERROR(__xludf.DUMMYFUNCTION("GOOGLETRANSLATE(B33079,""en"",""zh-CN"")"),"一个男人坐在健身机上。")</f>
        <v>一个男人坐在健身机上。</v>
      </c>
    </row>
    <row r="33080">
      <c r="A33080" s="4" t="s">
        <v>41632</v>
      </c>
      <c r="B33080" s="4" t="s">
        <v>41634</v>
      </c>
      <c r="C33080" s="5" t="str">
        <f>IFERROR(__xludf.DUMMYFUNCTION("GOOGLETRANSLATE(B33080,""en"",""zh-CN"")"),"他在他面前拉了一个酒吧，开始锻炼。")</f>
        <v>他在他面前拉了一个酒吧，开始锻炼。</v>
      </c>
    </row>
    <row r="33081">
      <c r="A33081" s="4" t="s">
        <v>41632</v>
      </c>
      <c r="B33081" s="4" t="s">
        <v>41635</v>
      </c>
      <c r="C33081" s="5" t="str">
        <f>IFERROR(__xludf.DUMMYFUNCTION("GOOGLETRANSLATE(B33081,""en"",""zh-CN"")"),"他放下酒吧并完成。")</f>
        <v>他放下酒吧并完成。</v>
      </c>
    </row>
    <row r="33082">
      <c r="A33082" s="4" t="s">
        <v>41636</v>
      </c>
      <c r="B33082" s="6" t="s">
        <v>41637</v>
      </c>
      <c r="C33082" s="5" t="str">
        <f>IFERROR(__xludf.DUMMYFUNCTION("GOOGLETRANSLATE(B33082,""en"",""zh-CN"")"),"看到一个年轻的女孩站在桌子后面挤压酸橙，而另一个女孩则在背景中洗碗。")</f>
        <v>看到一个年轻的女孩站在桌子后面挤压酸橙，而另一个女孩则在背景中洗碗。</v>
      </c>
    </row>
    <row r="33083">
      <c r="A33083" s="4" t="s">
        <v>41636</v>
      </c>
      <c r="B33083" s="4" t="s">
        <v>41638</v>
      </c>
      <c r="C33083" s="5" t="str">
        <f>IFERROR(__xludf.DUMMYFUNCTION("GOOGLETRANSLATE(B33083,""en"",""zh-CN"")"),"女孩继续榨汁，然后朝相机走去，然后再次返回。")</f>
        <v>女孩继续榨汁，然后朝相机走去，然后再次返回。</v>
      </c>
    </row>
    <row r="33084">
      <c r="A33084" s="4" t="s">
        <v>41639</v>
      </c>
      <c r="B33084" s="6" t="s">
        <v>41640</v>
      </c>
      <c r="C33084" s="5" t="str">
        <f>IFERROR(__xludf.DUMMYFUNCTION("GOOGLETRANSLATE(B33084,""en"",""zh-CN"")"),"杜格妈妈和一个小女孩在马牧场上走到另一个女人，左下角说女人的名字叫摩根·布朗，她是马术讲师。")</f>
        <v>杜格妈妈和一个小女孩在马牧场上走到另一个女人，左下角说女人的名字叫摩根·布朗，她是马术讲师。</v>
      </c>
    </row>
    <row r="33085">
      <c r="A33085" s="4" t="s">
        <v>41639</v>
      </c>
      <c r="B33085" s="6" t="s">
        <v>41641</v>
      </c>
      <c r="C33085" s="5" t="str">
        <f>IFERROR(__xludf.DUMMYFUNCTION("GOOGLETRANSLATE(B33085,""en"",""zh-CN"")"),"该名女子带领他们进入谷仓，她在小女孩的头上戴了头盔，他们走路去买马，在某个时候，杜格妈妈也戴上了头盔。")</f>
        <v>该名女子带领他们进入谷仓，她在小女孩的头上戴了头盔，他们走路去买马，在某个时候，杜格妈妈也戴上了头盔。</v>
      </c>
    </row>
    <row r="33086">
      <c r="A33086" s="4" t="s">
        <v>41639</v>
      </c>
      <c r="B33086" s="6" t="s">
        <v>41642</v>
      </c>
      <c r="C33086" s="5" t="str">
        <f>IFERROR(__xludf.DUMMYFUNCTION("GOOGLETRANSLATE(B33086,""en"",""zh-CN"")"),"在两次访谈之间，他们表明杜格妈妈和小女孩得到了有关他们的马的指示，然后骑马并在封闭的地区骑马。")</f>
        <v>在两次访谈之间，他们表明杜格妈妈和小女孩得到了有关他们的马的指示，然后骑马并在封闭的地区骑马。</v>
      </c>
    </row>
    <row r="33087">
      <c r="A33087" s="4" t="s">
        <v>41639</v>
      </c>
      <c r="B33087" s="4" t="s">
        <v>41643</v>
      </c>
      <c r="C33087" s="5" t="str">
        <f>IFERROR(__xludf.DUMMYFUNCTION("GOOGLETRANSLATE(B33087,""en"",""zh-CN"")"),"红色和白色TLC徽标一直保留在屏幕的右下区域。")</f>
        <v>红色和白色TLC徽标一直保留在屏幕的右下区域。</v>
      </c>
    </row>
    <row r="33088">
      <c r="A33088" s="4" t="s">
        <v>41644</v>
      </c>
      <c r="B33088" s="4" t="s">
        <v>41645</v>
      </c>
      <c r="C33088" s="5" t="str">
        <f>IFERROR(__xludf.DUMMYFUNCTION("GOOGLETRANSLATE(B33088,""en"",""zh-CN"")"),"看到一个男人在相机上说话，并导致几个人抱着和射击弓。")</f>
        <v>看到一个男人在相机上说话，并导致几个人抱着和射击弓。</v>
      </c>
    </row>
    <row r="33089">
      <c r="A33089" s="4" t="s">
        <v>41644</v>
      </c>
      <c r="B33089" s="6" t="s">
        <v>41646</v>
      </c>
      <c r="C33089" s="5" t="str">
        <f>IFERROR(__xludf.DUMMYFUNCTION("GOOGLETRANSLATE(B33089,""en"",""zh-CN"")"),"讲师在与镜头交谈时协助学生，并显示了射击箭的人的几张照片。")</f>
        <v>讲师在与镜头交谈时协助学生，并显示了射击箭的人的几张照片。</v>
      </c>
    </row>
    <row r="33090">
      <c r="A33090" s="4" t="s">
        <v>41647</v>
      </c>
      <c r="B33090" s="4" t="s">
        <v>41648</v>
      </c>
      <c r="C33090" s="5" t="str">
        <f>IFERROR(__xludf.DUMMYFUNCTION("GOOGLETRANSLATE(B33090,""en"",""zh-CN"")"),"显示了墙壁广告的货车。")</f>
        <v>显示了墙壁广告的货车。</v>
      </c>
    </row>
    <row r="33091">
      <c r="A33091" s="4" t="s">
        <v>41647</v>
      </c>
      <c r="B33091" s="4" t="s">
        <v>41649</v>
      </c>
      <c r="C33091" s="5" t="str">
        <f>IFERROR(__xludf.DUMMYFUNCTION("GOOGLETRANSLATE(B33091,""en"",""zh-CN"")"),"多个图片在屏幕上闪烁。")</f>
        <v>多个图片在屏幕上闪烁。</v>
      </c>
    </row>
    <row r="33092">
      <c r="A33092" s="4" t="s">
        <v>41647</v>
      </c>
      <c r="B33092" s="4" t="s">
        <v>41650</v>
      </c>
      <c r="C33092" s="5" t="str">
        <f>IFERROR(__xludf.DUMMYFUNCTION("GOOGLETRANSLATE(B33092,""en"",""zh-CN"")"),"在在滑雪板上进行许多技巧之前，男人会被显示在喝酒。")</f>
        <v>在在滑雪板上进行许多技巧之前，男人会被显示在喝酒。</v>
      </c>
    </row>
    <row r="33093">
      <c r="A33093" s="4" t="s">
        <v>41647</v>
      </c>
      <c r="B33093" s="4" t="s">
        <v>41651</v>
      </c>
      <c r="C33093" s="5" t="str">
        <f>IFERROR(__xludf.DUMMYFUNCTION("GOOGLETRANSLATE(B33093,""en"",""zh-CN"")"),"显示了它们在空中表演技巧和跳跃的图像。")</f>
        <v>显示了它们在空中表演技巧和跳跃的图像。</v>
      </c>
    </row>
    <row r="33094">
      <c r="A33094" s="4" t="s">
        <v>41652</v>
      </c>
      <c r="B33094" s="4" t="s">
        <v>41653</v>
      </c>
      <c r="C33094" s="5" t="str">
        <f>IFERROR(__xludf.DUMMYFUNCTION("GOOGLETRANSLATE(B33094,""en"",""zh-CN"")"),"男人正站在ICErack和相机交谈中。")</f>
        <v>男人正站在ICErack和相机交谈中。</v>
      </c>
    </row>
    <row r="33095">
      <c r="A33095" s="4" t="s">
        <v>41652</v>
      </c>
      <c r="B33095" s="4" t="s">
        <v>41654</v>
      </c>
      <c r="C33095" s="5" t="str">
        <f>IFERROR(__xludf.DUMMYFUNCTION("GOOGLETRANSLATE(B33095,""en"",""zh-CN"")"),"人们在冰法庭上玩冰壶。")</f>
        <v>人们在冰法庭上玩冰壶。</v>
      </c>
    </row>
    <row r="33096">
      <c r="A33096" s="4" t="s">
        <v>41655</v>
      </c>
      <c r="B33096" s="4" t="s">
        <v>41656</v>
      </c>
      <c r="C33096" s="5" t="str">
        <f>IFERROR(__xludf.DUMMYFUNCTION("GOOGLETRANSLATE(B33096,""en"",""zh-CN"")"),"显示了一些人在大型体育场前踢足球的片段。")</f>
        <v>显示了一些人在大型体育场前踢足球的片段。</v>
      </c>
    </row>
    <row r="33097">
      <c r="A33097" s="4" t="s">
        <v>41655</v>
      </c>
      <c r="B33097" s="4" t="s">
        <v>41657</v>
      </c>
      <c r="C33097" s="5" t="str">
        <f>IFERROR(__xludf.DUMMYFUNCTION("GOOGLETRANSLATE(B33097,""en"",""zh-CN"")"),"人们在整个地区踢球，并伸出双手。")</f>
        <v>人们在整个地区踢球，并伸出双手。</v>
      </c>
    </row>
    <row r="33098">
      <c r="A33098" s="4" t="s">
        <v>41655</v>
      </c>
      <c r="B33098" s="4" t="s">
        <v>41658</v>
      </c>
      <c r="C33098" s="5" t="str">
        <f>IFERROR(__xludf.DUMMYFUNCTION("GOOGLETRANSLATE(B33098,""en"",""zh-CN"")"),"显示了更多人在不同的领域和庆祝活动中相互对抗的更多镜头。")</f>
        <v>显示了更多人在不同的领域和庆祝活动中相互对抗的更多镜头。</v>
      </c>
    </row>
    <row r="33099">
      <c r="A33099" s="4" t="s">
        <v>41659</v>
      </c>
      <c r="B33099" s="4" t="s">
        <v>41660</v>
      </c>
      <c r="C33099" s="5" t="str">
        <f>IFERROR(__xludf.DUMMYFUNCTION("GOOGLETRANSLATE(B33099,""en"",""zh-CN"")"),"看到一个孩子在相机上说话，然后将一个老女人扔到院子里的叶子上。")</f>
        <v>看到一个孩子在相机上说话，然后将一个老女人扔到院子里的叶子上。</v>
      </c>
    </row>
    <row r="33100">
      <c r="A33100" s="4" t="s">
        <v>41659</v>
      </c>
      <c r="B33100" s="4" t="s">
        <v>41661</v>
      </c>
      <c r="C33100" s="5" t="str">
        <f>IFERROR(__xludf.DUMMYFUNCTION("GOOGLETRANSLATE(B33100,""en"",""zh-CN"")"),"那个女人对男孩说话，他仍然向她走去，而她仍然吹着叶子。")</f>
        <v>那个女人对男孩说话，他仍然向她走去，而她仍然吹着叶子。</v>
      </c>
    </row>
    <row r="33101">
      <c r="A33101" s="4" t="s">
        <v>41659</v>
      </c>
      <c r="B33101" s="4" t="s">
        <v>41662</v>
      </c>
      <c r="C33101" s="5" t="str">
        <f>IFERROR(__xludf.DUMMYFUNCTION("GOOGLETRANSLATE(B33101,""en"",""zh-CN"")"),"最后，她看到走过篱笆。")</f>
        <v>最后，她看到走过篱笆。</v>
      </c>
    </row>
    <row r="33102">
      <c r="A33102" s="4" t="s">
        <v>41663</v>
      </c>
      <c r="B33102" s="4" t="s">
        <v>41664</v>
      </c>
      <c r="C33102" s="5" t="str">
        <f>IFERROR(__xludf.DUMMYFUNCTION("GOOGLETRANSLATE(B33102,""en"",""zh-CN"")"),"一名年轻男性正坐在骆驼上方的沙漠中。")</f>
        <v>一名年轻男性正坐在骆驼上方的沙漠中。</v>
      </c>
    </row>
    <row r="33103">
      <c r="A33103" s="4" t="s">
        <v>41663</v>
      </c>
      <c r="B33103" s="4" t="s">
        <v>41665</v>
      </c>
      <c r="C33103" s="5" t="str">
        <f>IFERROR(__xludf.DUMMYFUNCTION("GOOGLETRANSLATE(B33103,""en"",""zh-CN"")"),"该男子开始与另一个脑子上有红色包裹的男性交谈。")</f>
        <v>该男子开始与另一个脑子上有红色包裹的男性交谈。</v>
      </c>
    </row>
    <row r="33104">
      <c r="A33104" s="4" t="s">
        <v>41663</v>
      </c>
      <c r="B33104" s="6" t="s">
        <v>41666</v>
      </c>
      <c r="C33104" s="5" t="str">
        <f>IFERROR(__xludf.DUMMYFUNCTION("GOOGLETRANSLATE(B33104,""en"",""zh-CN"")"),"然后，骆驼抬起，开始在沙漠中沿着一群孩子和汽车行走。")</f>
        <v>然后，骆驼抬起，开始在沙漠中沿着一群孩子和汽车行走。</v>
      </c>
    </row>
    <row r="33105">
      <c r="A33105" s="4" t="s">
        <v>41667</v>
      </c>
      <c r="B33105" s="6" t="s">
        <v>41668</v>
      </c>
      <c r="C33105" s="5" t="str">
        <f>IFERROR(__xludf.DUMMYFUNCTION("GOOGLETRANSLATE(B33105,""en"",""zh-CN"")"),"一个男人在一个高个子的男人的腰上绑着一条黄色的腰带，他握手，然后摇晃其他所有人。")</f>
        <v>一个男人在一个高个子的男人的腰上绑着一条黄色的腰带，他握手，然后摇晃其他所有人。</v>
      </c>
    </row>
    <row r="33106">
      <c r="A33106" s="4" t="s">
        <v>41667</v>
      </c>
      <c r="B33106" s="6" t="s">
        <v>41669</v>
      </c>
      <c r="C33106" s="5" t="str">
        <f>IFERROR(__xludf.DUMMYFUNCTION("GOOGLETRANSLATE(B33106,""en"",""zh-CN"")"),"该男子和另一个人开始进行一些空手道的行动相互作用，但很少进行身体接触。")</f>
        <v>该男子和另一个人开始进行一些空手道的行动相互作用，但很少进行身体接触。</v>
      </c>
    </row>
    <row r="33107">
      <c r="A33107" s="4" t="s">
        <v>41667</v>
      </c>
      <c r="B33107" s="4" t="s">
        <v>41670</v>
      </c>
      <c r="C33107" s="5" t="str">
        <f>IFERROR(__xludf.DUMMYFUNCTION("GOOGLETRANSLATE(B33107,""en"",""zh-CN"")"),"周围有一群人看着他们。")</f>
        <v>周围有一群人看着他们。</v>
      </c>
    </row>
    <row r="33108">
      <c r="A33108" s="4" t="s">
        <v>41667</v>
      </c>
      <c r="B33108" s="4" t="s">
        <v>41671</v>
      </c>
      <c r="C33108" s="5" t="str">
        <f>IFERROR(__xludf.DUMMYFUNCTION("GOOGLETRANSLATE(B33108,""en"",""zh-CN"")"),"完成后，他们全部拍摄集体照片。")</f>
        <v>完成后，他们全部拍摄集体照片。</v>
      </c>
    </row>
    <row r="33109">
      <c r="A33109" s="4" t="s">
        <v>41672</v>
      </c>
      <c r="B33109" s="6" t="s">
        <v>41673</v>
      </c>
      <c r="C33109" s="5" t="str">
        <f>IFERROR(__xludf.DUMMYFUNCTION("GOOGLETRANSLATE(B33109,""en"",""zh-CN"")"),"看到两个大个子站在一个被其他人包围的坑里，一个裁判站在中间。")</f>
        <v>看到两个大个子站在一个被其他人包围的坑里，一个裁判站在中间。</v>
      </c>
    </row>
    <row r="33110">
      <c r="A33110" s="4" t="s">
        <v>41672</v>
      </c>
      <c r="B33110" s="6" t="s">
        <v>41674</v>
      </c>
      <c r="C33110" s="5" t="str">
        <f>IFERROR(__xludf.DUMMYFUNCTION("GOOGLETRANSLATE(B33110,""en"",""zh-CN"")"),"当人们继续扫荡竞技场并带领男人战斗时，这些人互相鞠躬。")</f>
        <v>当人们继续扫荡竞技场并带领男人战斗时，这些人互相鞠躬。</v>
      </c>
    </row>
    <row r="33111">
      <c r="A33111" s="4" t="s">
        <v>41672</v>
      </c>
      <c r="B33111" s="6" t="s">
        <v>41675</v>
      </c>
      <c r="C33111" s="5" t="str">
        <f>IFERROR(__xludf.DUMMYFUNCTION("GOOGLETRANSLATE(B33111,""en"",""zh-CN"")"),"当裁判在他们周围移动，然后以他们走来走去，然后在舞台上走来走去时，这些人不断地互相搏斗。")</f>
        <v>当裁判在他们周围移动，然后以他们走来走去，然后在舞台上走来走去时，这些人不断地互相搏斗。</v>
      </c>
    </row>
    <row r="33112">
      <c r="A33112" s="4" t="s">
        <v>41676</v>
      </c>
      <c r="B33112" s="4" t="s">
        <v>41677</v>
      </c>
      <c r="C33112" s="5" t="str">
        <f>IFERROR(__xludf.DUMMYFUNCTION("GOOGLETRANSLATE(B33112,""en"",""zh-CN"")"),"一个穿着黄色帽子的人在游泳池里游泳。")</f>
        <v>一个穿着黄色帽子的人在游泳池里游泳。</v>
      </c>
    </row>
    <row r="33113">
      <c r="A33113" s="4" t="s">
        <v>41676</v>
      </c>
      <c r="B33113" s="4" t="s">
        <v>41678</v>
      </c>
      <c r="C33113" s="5" t="str">
        <f>IFERROR(__xludf.DUMMYFUNCTION("GOOGLETRANSLATE(B33113,""en"",""zh-CN"")"),"穿着白衬衫的人在说话。")</f>
        <v>穿着白衬衫的人在说话。</v>
      </c>
    </row>
    <row r="33114">
      <c r="A33114" s="4" t="s">
        <v>41676</v>
      </c>
      <c r="B33114" s="4" t="s">
        <v>41679</v>
      </c>
      <c r="C33114" s="5" t="str">
        <f>IFERROR(__xludf.DUMMYFUNCTION("GOOGLETRANSLATE(B33114,""en"",""zh-CN"")"),"这个人从水里移动了手臂。")</f>
        <v>这个人从水里移动了手臂。</v>
      </c>
    </row>
    <row r="33115">
      <c r="A33115" s="4" t="s">
        <v>41680</v>
      </c>
      <c r="B33115" s="4" t="s">
        <v>41681</v>
      </c>
      <c r="C33115" s="5" t="str">
        <f>IFERROR(__xludf.DUMMYFUNCTION("GOOGLETRANSLATE(B33115,""en"",""zh-CN"")"),"一个女人在背景中与观众坐着横梁。")</f>
        <v>一个女人在背景中与观众坐着横梁。</v>
      </c>
    </row>
    <row r="33116">
      <c r="A33116" s="4" t="s">
        <v>41680</v>
      </c>
      <c r="B33116" s="4" t="s">
        <v>41682</v>
      </c>
      <c r="C33116" s="5" t="str">
        <f>IFERROR(__xludf.DUMMYFUNCTION("GOOGLETRANSLATE(B33116,""en"",""zh-CN"")"),"该名女子在光束上表演体操。")</f>
        <v>该名女子在光束上表演体操。</v>
      </c>
    </row>
    <row r="33117">
      <c r="A33117" s="4" t="s">
        <v>41680</v>
      </c>
      <c r="B33117" s="4" t="s">
        <v>41683</v>
      </c>
      <c r="C33117" s="5" t="str">
        <f>IFERROR(__xludf.DUMMYFUNCTION("GOOGLETRANSLATE(B33117,""en"",""zh-CN"")"),"女人从光束上卸下。")</f>
        <v>女人从光束上卸下。</v>
      </c>
    </row>
    <row r="33118">
      <c r="A33118" s="4" t="s">
        <v>41684</v>
      </c>
      <c r="B33118" s="4" t="s">
        <v>41685</v>
      </c>
      <c r="C33118" s="5" t="str">
        <f>IFERROR(__xludf.DUMMYFUNCTION("GOOGLETRANSLATE(B33118,""en"",""zh-CN"")"),"一个小男孩拿着两条牙刷时笑了。")</f>
        <v>一个小男孩拿着两条牙刷时笑了。</v>
      </c>
    </row>
    <row r="33119">
      <c r="A33119" s="4" t="s">
        <v>41684</v>
      </c>
      <c r="B33119" s="4" t="s">
        <v>41686</v>
      </c>
      <c r="C33119" s="5" t="str">
        <f>IFERROR(__xludf.DUMMYFUNCTION("GOOGLETRANSLATE(B33119,""en"",""zh-CN"")"),"他用电刷刷牙。")</f>
        <v>他用电刷刷牙。</v>
      </c>
    </row>
    <row r="33120">
      <c r="A33120" s="4" t="s">
        <v>41684</v>
      </c>
      <c r="B33120" s="4" t="s">
        <v>41687</v>
      </c>
      <c r="C33120" s="5" t="str">
        <f>IFERROR(__xludf.DUMMYFUNCTION("GOOGLETRANSLATE(B33120,""en"",""zh-CN"")"),"他摇动刷子，偶尔将水倒在上面，然后将其放回嘴里。")</f>
        <v>他摇动刷子，偶尔将水倒在上面，然后将其放回嘴里。</v>
      </c>
    </row>
    <row r="33121">
      <c r="A33121" s="4" t="s">
        <v>41688</v>
      </c>
      <c r="B33121" s="4" t="s">
        <v>41689</v>
      </c>
      <c r="C33121" s="5" t="str">
        <f>IFERROR(__xludf.DUMMYFUNCTION("GOOGLETRANSLATE(B33121,""en"",""zh-CN"")"),"我们看到一个男人准备进入皮划艇。")</f>
        <v>我们看到一个男人准备进入皮划艇。</v>
      </c>
    </row>
    <row r="33122">
      <c r="A33122" s="4" t="s">
        <v>41688</v>
      </c>
      <c r="B33122" s="4" t="s">
        <v>41690</v>
      </c>
      <c r="C33122" s="5" t="str">
        <f>IFERROR(__xludf.DUMMYFUNCTION("GOOGLETRANSLATE(B33122,""en"",""zh-CN"")"),"然后，我们看到该男子骑在一条粗糙的河上的皮划艇上。")</f>
        <v>然后，我们看到该男子骑在一条粗糙的河上的皮划艇上。</v>
      </c>
    </row>
    <row r="33123">
      <c r="A33123" s="4" t="s">
        <v>41688</v>
      </c>
      <c r="B33123" s="4" t="s">
        <v>41691</v>
      </c>
      <c r="C33123" s="5" t="str">
        <f>IFERROR(__xludf.DUMMYFUNCTION("GOOGLETRANSLATE(B33123,""en"",""zh-CN"")"),"那个男人越过一块岩石。")</f>
        <v>那个男人越过一块岩石。</v>
      </c>
    </row>
    <row r="33124">
      <c r="A33124" s="4" t="s">
        <v>41688</v>
      </c>
      <c r="B33124" s="4" t="s">
        <v>41692</v>
      </c>
      <c r="C33124" s="5" t="str">
        <f>IFERROR(__xludf.DUMMYFUNCTION("GOOGLETRANSLATE(B33124,""en"",""zh-CN"")"),"我们看到河边的一座山。")</f>
        <v>我们看到河边的一座山。</v>
      </c>
    </row>
    <row r="33125">
      <c r="A33125" s="4" t="s">
        <v>41688</v>
      </c>
      <c r="B33125" s="4" t="s">
        <v>41693</v>
      </c>
      <c r="C33125" s="5" t="str">
        <f>IFERROR(__xludf.DUMMYFUNCTION("GOOGLETRANSLATE(B33125,""en"",""zh-CN"")"),"皮划艇在河中被推翻。")</f>
        <v>皮划艇在河中被推翻。</v>
      </c>
    </row>
    <row r="33126">
      <c r="A33126" s="4" t="s">
        <v>41688</v>
      </c>
      <c r="B33126" s="4" t="s">
        <v>41694</v>
      </c>
      <c r="C33126" s="5" t="str">
        <f>IFERROR(__xludf.DUMMYFUNCTION("GOOGLETRANSLATE(B33126,""en"",""zh-CN"")"),"我们在岸上看到那个男人。")</f>
        <v>我们在岸上看到那个男人。</v>
      </c>
    </row>
    <row r="33127">
      <c r="A33127" s="4" t="s">
        <v>41688</v>
      </c>
      <c r="B33127" s="4" t="s">
        <v>41695</v>
      </c>
      <c r="C33127" s="5" t="str">
        <f>IFERROR(__xludf.DUMMYFUNCTION("GOOGLETRANSLATE(B33127,""en"",""zh-CN"")"),"我们看到该男子越过瀑布。")</f>
        <v>我们看到该男子越过瀑布。</v>
      </c>
    </row>
    <row r="33128">
      <c r="A33128" s="4" t="s">
        <v>41688</v>
      </c>
      <c r="B33128" s="4" t="s">
        <v>41696</v>
      </c>
      <c r="C33128" s="5" t="str">
        <f>IFERROR(__xludf.DUMMYFUNCTION("GOOGLETRANSLATE(B33128,""en"",""zh-CN"")"),"我们看到那个男人将他的皮划艇拉到岸上。")</f>
        <v>我们看到那个男人将他的皮划艇拉到岸上。</v>
      </c>
    </row>
    <row r="33129">
      <c r="A33129" s="4" t="s">
        <v>41688</v>
      </c>
      <c r="B33129" s="4" t="s">
        <v>41697</v>
      </c>
      <c r="C33129" s="5" t="str">
        <f>IFERROR(__xludf.DUMMYFUNCTION("GOOGLETRANSLATE(B33129,""en"",""zh-CN"")"),"我们看到皮划艇翻倒了，然后看到河流在奔跑。")</f>
        <v>我们看到皮划艇翻倒了，然后看到河流在奔跑。</v>
      </c>
    </row>
    <row r="33130">
      <c r="A33130" s="4" t="s">
        <v>41688</v>
      </c>
      <c r="B33130" s="4" t="s">
        <v>41698</v>
      </c>
      <c r="C33130" s="5" t="str">
        <f>IFERROR(__xludf.DUMMYFUNCTION("GOOGLETRANSLATE(B33130,""en"",""zh-CN"")"),"我们看到结尾屏幕。")</f>
        <v>我们看到结尾屏幕。</v>
      </c>
    </row>
    <row r="33131">
      <c r="A33131" s="4" t="s">
        <v>41699</v>
      </c>
      <c r="B33131" s="4" t="s">
        <v>41700</v>
      </c>
      <c r="C33131" s="5" t="str">
        <f>IFERROR(__xludf.DUMMYFUNCTION("GOOGLETRANSLATE(B33131,""en"",""zh-CN"")"),"看到一个女人笑着镜头，开始抽烟。")</f>
        <v>看到一个女人笑着镜头，开始抽烟。</v>
      </c>
    </row>
    <row r="33132">
      <c r="A33132" s="4" t="s">
        <v>41699</v>
      </c>
      <c r="B33132" s="4" t="s">
        <v>41701</v>
      </c>
      <c r="C33132" s="5" t="str">
        <f>IFERROR(__xludf.DUMMYFUNCTION("GOOGLETRANSLATE(B33132,""en"",""zh-CN"")"),"那个女人看着镜头时从香烟上吹了起来。")</f>
        <v>那个女人看着镜头时从香烟上吹了起来。</v>
      </c>
    </row>
    <row r="33133">
      <c r="A33133" s="4" t="s">
        <v>41699</v>
      </c>
      <c r="B33133" s="4" t="s">
        <v>41702</v>
      </c>
      <c r="C33133" s="5" t="str">
        <f>IFERROR(__xludf.DUMMYFUNCTION("GOOGLETRANSLATE(B33133,""en"",""zh-CN"")"),"那个女人继续举起她的香烟，将烟雾吹到远处。")</f>
        <v>那个女人继续举起她的香烟，将烟雾吹到远处。</v>
      </c>
    </row>
    <row r="33134">
      <c r="A33134" s="4" t="s">
        <v>41703</v>
      </c>
      <c r="B33134" s="4" t="s">
        <v>27300</v>
      </c>
      <c r="C33134" s="5" t="str">
        <f>IFERROR(__xludf.DUMMYFUNCTION("GOOGLETRANSLATE(B33134,""en"",""zh-CN"")"),"我们看到一个动画的打开屏幕。")</f>
        <v>我们看到一个动画的打开屏幕。</v>
      </c>
    </row>
    <row r="33135">
      <c r="A33135" s="4" t="s">
        <v>41703</v>
      </c>
      <c r="B33135" s="4" t="s">
        <v>41704</v>
      </c>
      <c r="C33135" s="5" t="str">
        <f>IFERROR(__xludf.DUMMYFUNCTION("GOOGLETRANSLATE(B33135,""en"",""zh-CN"")"),"我们看到一个男人在停车场走路。")</f>
        <v>我们看到一个男人在停车场走路。</v>
      </c>
    </row>
    <row r="33136">
      <c r="A33136" s="4" t="s">
        <v>41703</v>
      </c>
      <c r="B33136" s="4" t="s">
        <v>41705</v>
      </c>
      <c r="C33136" s="5" t="str">
        <f>IFERROR(__xludf.DUMMYFUNCTION("GOOGLETRANSLATE(B33136,""en"",""zh-CN"")"),"该男子开始表演武术动作。")</f>
        <v>该男子开始表演武术动作。</v>
      </c>
    </row>
    <row r="33137">
      <c r="A33137" s="4" t="s">
        <v>41703</v>
      </c>
      <c r="B33137" s="4" t="s">
        <v>41706</v>
      </c>
      <c r="C33137" s="5" t="str">
        <f>IFERROR(__xludf.DUMMYFUNCTION("GOOGLETRANSLATE(B33137,""en"",""zh-CN"")"),"该男子脱下衬衫和项链。")</f>
        <v>该男子脱下衬衫和项链。</v>
      </c>
    </row>
    <row r="33138">
      <c r="A33138" s="4" t="s">
        <v>41703</v>
      </c>
      <c r="B33138" s="4" t="s">
        <v>41707</v>
      </c>
      <c r="C33138" s="5" t="str">
        <f>IFERROR(__xludf.DUMMYFUNCTION("GOOGLETRANSLATE(B33138,""en"",""zh-CN"")"),"该男子四处翻转并进行Capoeira移动。")</f>
        <v>该男子四处翻转并进行Capoeira移动。</v>
      </c>
    </row>
    <row r="33139">
      <c r="A33139" s="4" t="s">
        <v>41703</v>
      </c>
      <c r="B33139" s="4" t="s">
        <v>41708</v>
      </c>
      <c r="C33139" s="5" t="str">
        <f>IFERROR(__xludf.DUMMYFUNCTION("GOOGLETRANSLATE(B33139,""en"",""zh-CN"")"),"我们看到男人一只手倒立。")</f>
        <v>我们看到男人一只手倒立。</v>
      </c>
    </row>
    <row r="33140">
      <c r="A33140" s="4" t="s">
        <v>41703</v>
      </c>
      <c r="B33140" s="4" t="s">
        <v>41709</v>
      </c>
      <c r="C33140" s="5" t="str">
        <f>IFERROR(__xludf.DUMMYFUNCTION("GOOGLETRANSLATE(B33140,""en"",""zh-CN"")"),"那个人结束了，抓住衬衫，走了下来。")</f>
        <v>那个人结束了，抓住衬衫，走了下来。</v>
      </c>
    </row>
    <row r="33141">
      <c r="A33141" s="4" t="s">
        <v>41703</v>
      </c>
      <c r="B33141" s="4" t="s">
        <v>41710</v>
      </c>
      <c r="C33141" s="5" t="str">
        <f>IFERROR(__xludf.DUMMYFUNCTION("GOOGLETRANSLATE(B33141,""en"",""zh-CN"")"),"我们在关闭屏幕上看到视频剪辑。")</f>
        <v>我们在关闭屏幕上看到视频剪辑。</v>
      </c>
    </row>
    <row r="33142">
      <c r="A33142" s="4" t="s">
        <v>41711</v>
      </c>
      <c r="B33142" s="4" t="s">
        <v>41712</v>
      </c>
      <c r="C33142" s="5" t="str">
        <f>IFERROR(__xludf.DUMMYFUNCTION("GOOGLETRANSLATE(B33142,""en"",""zh-CN"")"),"一个人骑在河上的内管上，里面有岩石。")</f>
        <v>一个人骑在河上的内管上，里面有岩石。</v>
      </c>
    </row>
    <row r="33143">
      <c r="A33143" s="4" t="s">
        <v>41711</v>
      </c>
      <c r="B33143" s="4" t="s">
        <v>41713</v>
      </c>
      <c r="C33143" s="5" t="str">
        <f>IFERROR(__xludf.DUMMYFUNCTION("GOOGLETRANSLATE(B33143,""en"",""zh-CN"")"),"一个人将个人推向下游。")</f>
        <v>一个人将个人推向下游。</v>
      </c>
    </row>
    <row r="33144">
      <c r="A33144" s="4" t="s">
        <v>41711</v>
      </c>
      <c r="B33144" s="4" t="s">
        <v>41714</v>
      </c>
      <c r="C33144" s="5" t="str">
        <f>IFERROR(__xludf.DUMMYFUNCTION("GOOGLETRANSLATE(B33144,""en"",""zh-CN"")"),"另一个人将个人推向下游。")</f>
        <v>另一个人将个人推向下游。</v>
      </c>
    </row>
    <row r="33145">
      <c r="A33145" s="4" t="s">
        <v>41715</v>
      </c>
      <c r="B33145" s="4" t="s">
        <v>41716</v>
      </c>
      <c r="C33145" s="5" t="str">
        <f>IFERROR(__xludf.DUMMYFUNCTION("GOOGLETRANSLATE(B33145,""en"",""zh-CN"")"),"在横跨文本时，摄像头在栅栏周围竖起。")</f>
        <v>在横跨文本时，摄像头在栅栏周围竖起。</v>
      </c>
    </row>
    <row r="33146">
      <c r="A33146" s="4" t="s">
        <v>41715</v>
      </c>
      <c r="B33146" s="4" t="s">
        <v>41717</v>
      </c>
      <c r="C33146" s="5" t="str">
        <f>IFERROR(__xludf.DUMMYFUNCTION("GOOGLETRANSLATE(B33146,""en"",""zh-CN"")"),"一个人以多种镜头显示，用软管向围栏喷洒。")</f>
        <v>一个人以多种镜头显示，用软管向围栏喷洒。</v>
      </c>
    </row>
    <row r="33147">
      <c r="A33147" s="4" t="s">
        <v>41715</v>
      </c>
      <c r="B33147" s="4" t="s">
        <v>41718</v>
      </c>
      <c r="C33147" s="5" t="str">
        <f>IFERROR(__xludf.DUMMYFUNCTION("GOOGLETRANSLATE(B33147,""en"",""zh-CN"")"),"最后，显示了更多的剪辑。")</f>
        <v>最后，显示了更多的剪辑。</v>
      </c>
    </row>
    <row r="33148">
      <c r="A33148" s="4" t="s">
        <v>41719</v>
      </c>
      <c r="B33148" s="4" t="s">
        <v>41720</v>
      </c>
      <c r="C33148" s="5" t="str">
        <f>IFERROR(__xludf.DUMMYFUNCTION("GOOGLETRANSLATE(B33148,""en"",""zh-CN"")"),"人们在踢足球的泥土上跑来跑去。")</f>
        <v>人们在踢足球的泥土上跑来跑去。</v>
      </c>
    </row>
    <row r="33149">
      <c r="A33149" s="4" t="s">
        <v>41719</v>
      </c>
      <c r="B33149" s="4" t="s">
        <v>41721</v>
      </c>
      <c r="C33149" s="5" t="str">
        <f>IFERROR(__xludf.DUMMYFUNCTION("GOOGLETRANSLATE(B33149,""en"",""zh-CN"")"),"人们在室内竞技场踢足球。")</f>
        <v>人们在室内竞技场踢足球。</v>
      </c>
    </row>
    <row r="33150">
      <c r="A33150" s="4" t="s">
        <v>41719</v>
      </c>
      <c r="B33150" s="4" t="s">
        <v>41722</v>
      </c>
      <c r="C33150" s="5" t="str">
        <f>IFERROR(__xludf.DUMMYFUNCTION("GOOGLETRANSLATE(B33150,""en"",""zh-CN"")"),"看台上的人为他们鼓掌。")</f>
        <v>看台上的人为他们鼓掌。</v>
      </c>
    </row>
    <row r="33151">
      <c r="A33151" s="4" t="s">
        <v>41723</v>
      </c>
      <c r="B33151" s="4" t="s">
        <v>41724</v>
      </c>
      <c r="C33151" s="5" t="str">
        <f>IFERROR(__xludf.DUMMYFUNCTION("GOOGLETRANSLATE(B33151,""en"",""zh-CN"")"),"我们看到一个开幕式场景。")</f>
        <v>我们看到一个开幕式场景。</v>
      </c>
    </row>
    <row r="33152">
      <c r="A33152" s="4" t="s">
        <v>41723</v>
      </c>
      <c r="B33152" s="4" t="s">
        <v>41725</v>
      </c>
      <c r="C33152" s="5" t="str">
        <f>IFERROR(__xludf.DUMMYFUNCTION("GOOGLETRANSLATE(B33152,""en"",""zh-CN"")"),"我们看到人们骑马穿过山脉。")</f>
        <v>我们看到人们骑马穿过山脉。</v>
      </c>
    </row>
    <row r="33153">
      <c r="A33153" s="4" t="s">
        <v>41723</v>
      </c>
      <c r="B33153" s="4" t="s">
        <v>41726</v>
      </c>
      <c r="C33153" s="5" t="str">
        <f>IFERROR(__xludf.DUMMYFUNCTION("GOOGLETRANSLATE(B33153,""en"",""zh-CN"")"),"我们转身看到峡谷和河。")</f>
        <v>我们转身看到峡谷和河。</v>
      </c>
    </row>
    <row r="33154">
      <c r="A33154" s="4" t="s">
        <v>41723</v>
      </c>
      <c r="B33154" s="4" t="s">
        <v>41727</v>
      </c>
      <c r="C33154" s="5" t="str">
        <f>IFERROR(__xludf.DUMMYFUNCTION("GOOGLETRANSLATE(B33154,""en"",""zh-CN"")"),"一个蓝色的人几次转身。")</f>
        <v>一个蓝色的人几次转身。</v>
      </c>
    </row>
    <row r="33155">
      <c r="A33155" s="4" t="s">
        <v>41723</v>
      </c>
      <c r="B33155" s="4" t="s">
        <v>41728</v>
      </c>
      <c r="C33155" s="5" t="str">
        <f>IFERROR(__xludf.DUMMYFUNCTION("GOOGLETRANSLATE(B33155,""en"",""zh-CN"")"),"我们看到一大块白雪。")</f>
        <v>我们看到一大块白雪。</v>
      </c>
    </row>
    <row r="33156">
      <c r="A33156" s="4" t="s">
        <v>41723</v>
      </c>
      <c r="B33156" s="4" t="s">
        <v>41729</v>
      </c>
      <c r="C33156" s="5" t="str">
        <f>IFERROR(__xludf.DUMMYFUNCTION("GOOGLETRANSLATE(B33156,""en"",""zh-CN"")"),"穿着蓝色衬衫的人抬起山。")</f>
        <v>穿着蓝色衬衫的人抬起山。</v>
      </c>
    </row>
    <row r="33157">
      <c r="A33157" s="4" t="s">
        <v>41723</v>
      </c>
      <c r="B33157" s="4" t="s">
        <v>41730</v>
      </c>
      <c r="C33157" s="5" t="str">
        <f>IFERROR(__xludf.DUMMYFUNCTION("GOOGLETRANSLATE(B33157,""en"",""zh-CN"")"),"我们在屏幕底部看到一个蓝色条。")</f>
        <v>我们在屏幕底部看到一个蓝色条。</v>
      </c>
    </row>
    <row r="33158">
      <c r="A33158" s="4" t="s">
        <v>41723</v>
      </c>
      <c r="B33158" s="4" t="s">
        <v>777</v>
      </c>
      <c r="C33158" s="5" t="str">
        <f>IFERROR(__xludf.DUMMYFUNCTION("GOOGLETRANSLATE(B33158,""en"",""zh-CN"")"),"我们看到结尾标题屏幕。")</f>
        <v>我们看到结尾标题屏幕。</v>
      </c>
    </row>
    <row r="33159">
      <c r="A33159" s="4" t="s">
        <v>41731</v>
      </c>
      <c r="B33159" s="6" t="s">
        <v>41732</v>
      </c>
      <c r="C33159" s="5" t="str">
        <f>IFERROR(__xludf.DUMMYFUNCTION("GOOGLETRANSLATE(B33159,""en"",""zh-CN"")"),"看到一个长发的男人用刷子握住他的脸并与镜头说话。")</f>
        <v>看到一个长发的男人用刷子握住他的脸并与镜头说话。</v>
      </c>
    </row>
    <row r="33160">
      <c r="A33160" s="4" t="s">
        <v>41731</v>
      </c>
      <c r="B33160" s="4" t="s">
        <v>41733</v>
      </c>
      <c r="C33160" s="5" t="str">
        <f>IFERROR(__xludf.DUMMYFUNCTION("GOOGLETRANSLATE(B33160,""en"",""zh-CN"")"),"然后，他抬起刷子，在镜头微笑时抓住了连帽衫。")</f>
        <v>然后，他抬起刷子，在镜头微笑时抓住了连帽衫。</v>
      </c>
    </row>
    <row r="33161">
      <c r="A33161" s="4" t="s">
        <v>41734</v>
      </c>
      <c r="B33161" s="4" t="s">
        <v>41735</v>
      </c>
      <c r="C33161" s="5" t="str">
        <f>IFERROR(__xludf.DUMMYFUNCTION("GOOGLETRANSLATE(B33161,""en"",""zh-CN"")"),"简介导致一个男人在地板上擦拭污垢，然后显示工具。")</f>
        <v>简介导致一个男人在地板上擦拭污垢，然后显示工具。</v>
      </c>
    </row>
    <row r="33162">
      <c r="A33162" s="4" t="s">
        <v>41734</v>
      </c>
      <c r="B33162" s="6" t="s">
        <v>41736</v>
      </c>
      <c r="C33162" s="5" t="str">
        <f>IFERROR(__xludf.DUMMYFUNCTION("GOOGLETRANSLATE(B33162,""en"",""zh-CN"")"),"显示了几张拖把的拖把，然后显示出更好的拖把被浸入水中并滴在桌子上。")</f>
        <v>显示了几张拖把的拖把，然后显示出更好的拖把被浸入水中并滴在桌子上。</v>
      </c>
    </row>
    <row r="33163">
      <c r="A33163" s="4" t="s">
        <v>41734</v>
      </c>
      <c r="B33163" s="4" t="s">
        <v>41737</v>
      </c>
      <c r="C33163" s="5" t="str">
        <f>IFERROR(__xludf.DUMMYFUNCTION("GOOGLETRANSLATE(B33163,""en"",""zh-CN"")"),"3D拖把显示它如何与女人一起工作，也可以在她的地板上擦拭东西。")</f>
        <v>3D拖把显示它如何与女人一起工作，也可以在她的地板上擦拭东西。</v>
      </c>
    </row>
    <row r="33164">
      <c r="A33164" s="4" t="s">
        <v>41734</v>
      </c>
      <c r="B33164" s="6" t="s">
        <v>41738</v>
      </c>
      <c r="C33164" s="5" t="str">
        <f>IFERROR(__xludf.DUMMYFUNCTION("GOOGLETRANSLATE(B33164,""en"",""zh-CN"")"),"还显示了其他几张人的擦拭，以及耸耸肩和在哪里购买拖把的人。")</f>
        <v>还显示了其他几张人的擦拭，以及耸耸肩和在哪里购买拖把的人。</v>
      </c>
    </row>
    <row r="33165">
      <c r="A33165" s="4" t="s">
        <v>41739</v>
      </c>
      <c r="B33165" s="4" t="s">
        <v>41740</v>
      </c>
      <c r="C33165" s="5" t="str">
        <f>IFERROR(__xludf.DUMMYFUNCTION("GOOGLETRANSLATE(B33165,""en"",""zh-CN"")"),"看到一个男人拿着吹火炬，并在拉下面具时开始使用它。")</f>
        <v>看到一个男人拿着吹火炬，并在拉下面具时开始使用它。</v>
      </c>
    </row>
    <row r="33166">
      <c r="A33166" s="4" t="s">
        <v>41739</v>
      </c>
      <c r="B33166" s="4" t="s">
        <v>41741</v>
      </c>
      <c r="C33166" s="5" t="str">
        <f>IFERROR(__xludf.DUMMYFUNCTION("GOOGLETRANSLATE(B33166,""en"",""zh-CN"")"),"该人不断用机器在一块金属上激发火花。")</f>
        <v>该人不断用机器在一块金属上激发火花。</v>
      </c>
    </row>
    <row r="33167">
      <c r="A33167" s="4" t="s">
        <v>41739</v>
      </c>
      <c r="B33167" s="4" t="s">
        <v>41742</v>
      </c>
      <c r="C33167" s="5" t="str">
        <f>IFERROR(__xludf.DUMMYFUNCTION("GOOGLETRANSLATE(B33167,""en"",""zh-CN"")"),"他最终停下来，摘下面具并看着相机。")</f>
        <v>他最终停下来，摘下面具并看着相机。</v>
      </c>
    </row>
    <row r="33168">
      <c r="A33168" s="4" t="s">
        <v>41743</v>
      </c>
      <c r="B33168" s="4" t="s">
        <v>41744</v>
      </c>
      <c r="C33168" s="5" t="str">
        <f>IFERROR(__xludf.DUMMYFUNCTION("GOOGLETRANSLATE(B33168,""en"",""zh-CN"")"),"一个女人和年轻的女孩在拿着玩具的同时在相机上说话。")</f>
        <v>一个女人和年轻的女孩在拿着玩具的同时在相机上说话。</v>
      </c>
    </row>
    <row r="33169">
      <c r="A33169" s="4" t="s">
        <v>41743</v>
      </c>
      <c r="B33169" s="6" t="s">
        <v>41745</v>
      </c>
      <c r="C33169" s="5" t="str">
        <f>IFERROR(__xludf.DUMMYFUNCTION("GOOGLETRANSLATE(B33169,""en"",""zh-CN"")"),"两人用玩具创建了一款霍普苏格兰威士忌游戏，然后将其放在地面上并炫耀泡沫。")</f>
        <v>两人用玩具创建了一款霍普苏格兰威士忌游戏，然后将其放在地面上并炫耀泡沫。</v>
      </c>
    </row>
    <row r="33170">
      <c r="A33170" s="4" t="s">
        <v>41743</v>
      </c>
      <c r="B33170" s="4" t="s">
        <v>41746</v>
      </c>
      <c r="C33170" s="5" t="str">
        <f>IFERROR(__xludf.DUMMYFUNCTION("GOOGLETRANSLATE(B33170,""en"",""zh-CN"")"),"当女孩在游戏中啤酒时，女人在相机上说话。")</f>
        <v>当女孩在游戏中啤酒时，女人在相机上说话。</v>
      </c>
    </row>
    <row r="33171">
      <c r="A33171" s="4" t="s">
        <v>41747</v>
      </c>
      <c r="B33171" s="6" t="s">
        <v>41748</v>
      </c>
      <c r="C33171" s="5" t="str">
        <f>IFERROR(__xludf.DUMMYFUNCTION("GOOGLETRANSLATE(B33171,""en"",""zh-CN"")"),"看到一个女人在拿着小提琴的同时向相机说话，并继续打小提琴和暂停。")</f>
        <v>看到一个女人在拿着小提琴的同时向相机说话，并继续打小提琴和暂停。</v>
      </c>
    </row>
    <row r="33172">
      <c r="A33172" s="4" t="s">
        <v>41747</v>
      </c>
      <c r="B33172" s="6" t="s">
        <v>41749</v>
      </c>
      <c r="C33172" s="5" t="str">
        <f>IFERROR(__xludf.DUMMYFUNCTION("GOOGLETRANSLATE(B33172,""en"",""zh-CN"")"),"该名女子继续演奏乐器，停下来与镜头说话并演示如何演奏。")</f>
        <v>该名女子继续演奏乐器，停下来与镜头说话并演示如何演奏。</v>
      </c>
    </row>
    <row r="33173">
      <c r="A33173" s="4" t="s">
        <v>41750</v>
      </c>
      <c r="B33173" s="6" t="s">
        <v>41751</v>
      </c>
      <c r="C33173" s="5" t="str">
        <f>IFERROR(__xludf.DUMMYFUNCTION("GOOGLETRANSLATE(B33173,""en"",""zh-CN"")"),"显示了一个视频，其中显示了有人在通往赛道的途中探索大型开放式领域的第一人称视频。")</f>
        <v>显示了一个视频，其中显示了有人在通往赛道的途中探索大型开放式领域的第一人称视频。</v>
      </c>
    </row>
    <row r="33174">
      <c r="A33174" s="4" t="s">
        <v>41750</v>
      </c>
      <c r="B33174" s="4" t="s">
        <v>41752</v>
      </c>
      <c r="C33174" s="5" t="str">
        <f>IFERROR(__xludf.DUMMYFUNCTION("GOOGLETRANSLATE(B33174,""en"",""zh-CN"")"),"然后，该人将相机放下并开始在赛道上锻炼。")</f>
        <v>然后，该人将相机放下并开始在赛道上锻炼。</v>
      </c>
    </row>
    <row r="33175">
      <c r="A33175" s="4" t="s">
        <v>41750</v>
      </c>
      <c r="B33175" s="4" t="s">
        <v>41753</v>
      </c>
      <c r="C33175" s="5" t="str">
        <f>IFERROR(__xludf.DUMMYFUNCTION("GOOGLETRANSLATE(B33175,""en"",""zh-CN"")"),"这些家伙脱下了他的田径西装，继续锻炼。")</f>
        <v>这些家伙脱下了他的田径西装，继续锻炼。</v>
      </c>
    </row>
    <row r="33176">
      <c r="A33176" s="4" t="s">
        <v>41750</v>
      </c>
      <c r="B33176" s="4" t="s">
        <v>41754</v>
      </c>
      <c r="C33176" s="5" t="str">
        <f>IFERROR(__xludf.DUMMYFUNCTION("GOOGLETRANSLATE(B33176,""en"",""zh-CN"")"),"他将自己翻倒在空中，落在一堆沙子上。")</f>
        <v>他将自己翻倒在空中，落在一堆沙子上。</v>
      </c>
    </row>
    <row r="33177">
      <c r="A33177" s="4" t="s">
        <v>41750</v>
      </c>
      <c r="B33177" s="4" t="s">
        <v>41755</v>
      </c>
      <c r="C33177" s="5" t="str">
        <f>IFERROR(__xludf.DUMMYFUNCTION("GOOGLETRANSLATE(B33177,""en"",""zh-CN"")"),"在视频结束之前，他继续进行一些突破性的舞蹈动作。")</f>
        <v>在视频结束之前，他继续进行一些突破性的舞蹈动作。</v>
      </c>
    </row>
    <row r="33178">
      <c r="A33178" s="4" t="s">
        <v>41756</v>
      </c>
      <c r="B33178" s="4" t="s">
        <v>41757</v>
      </c>
      <c r="C33178" s="5" t="str">
        <f>IFERROR(__xludf.DUMMYFUNCTION("GOOGLETRANSLATE(B33178,""en"",""zh-CN"")"),"团队在中锋中打冰球，因此坐下的每个人都可以观看他们。")</f>
        <v>团队在中锋中打冰球，因此坐下的每个人都可以观看他们。</v>
      </c>
    </row>
    <row r="33179">
      <c r="A33179" s="4" t="s">
        <v>41756</v>
      </c>
      <c r="B33179" s="4" t="s">
        <v>41758</v>
      </c>
      <c r="C33179" s="5" t="str">
        <f>IFERROR(__xludf.DUMMYFUNCTION("GOOGLETRANSLATE(B33179,""en"",""zh-CN"")"),"蓝队首先进球，然后人们开始鼓掌和欢呼。")</f>
        <v>蓝队首先进球，然后人们开始鼓掌和欢呼。</v>
      </c>
    </row>
    <row r="33180">
      <c r="A33180" s="4" t="s">
        <v>41756</v>
      </c>
      <c r="B33180" s="4" t="s">
        <v>41759</v>
      </c>
      <c r="C33180" s="5" t="str">
        <f>IFERROR(__xludf.DUMMYFUNCTION("GOOGLETRANSLATE(B33180,""en"",""zh-CN"")"),"接下来，蓝色团队再次得分，人群变得疯狂。")</f>
        <v>接下来，蓝色团队再次得分，人群变得疯狂。</v>
      </c>
    </row>
    <row r="33181">
      <c r="A33181" s="4" t="s">
        <v>41760</v>
      </c>
      <c r="B33181" s="4" t="s">
        <v>41761</v>
      </c>
      <c r="C33181" s="5" t="str">
        <f>IFERROR(__xludf.DUMMYFUNCTION("GOOGLETRANSLATE(B33181,""en"",""zh-CN"")"),"看到一个女人在镜头前弯曲，打开水龙头。")</f>
        <v>看到一个女人在镜头前弯曲，打开水龙头。</v>
      </c>
    </row>
    <row r="33182">
      <c r="A33182" s="4" t="s">
        <v>41760</v>
      </c>
      <c r="B33182" s="6" t="s">
        <v>41762</v>
      </c>
      <c r="C33182" s="5" t="str">
        <f>IFERROR(__xludf.DUMMYFUNCTION("GOOGLETRANSLATE(B33182,""en"",""zh-CN"")"),"该名女子继续使用水，开始擦洗衬衫并踩在水桶中。")</f>
        <v>该名女子继续使用水，开始擦洗衬衫并踩在水桶中。</v>
      </c>
    </row>
    <row r="33183">
      <c r="A33183" s="4" t="s">
        <v>41760</v>
      </c>
      <c r="B33183" s="4" t="s">
        <v>41763</v>
      </c>
      <c r="C33183" s="5" t="str">
        <f>IFERROR(__xludf.DUMMYFUNCTION("GOOGLETRANSLATE(B33183,""en"",""zh-CN"")"),"显示了更多的镜头，他们清洁衣服并将其挂起来结束。")</f>
        <v>显示了更多的镜头，他们清洁衣服并将其挂起来结束。</v>
      </c>
    </row>
    <row r="33184">
      <c r="A33184" s="4" t="s">
        <v>41764</v>
      </c>
      <c r="B33184" s="4" t="s">
        <v>41765</v>
      </c>
      <c r="C33184" s="5" t="str">
        <f>IFERROR(__xludf.DUMMYFUNCTION("GOOGLETRANSLATE(B33184,""en"",""zh-CN"")"),"一个男人正在驾驶汽车穿过窗户。")</f>
        <v>一个男人正在驾驶汽车穿过窗户。</v>
      </c>
    </row>
    <row r="33185">
      <c r="A33185" s="4" t="s">
        <v>41764</v>
      </c>
      <c r="B33185" s="4" t="s">
        <v>41766</v>
      </c>
      <c r="C33185" s="5" t="str">
        <f>IFERROR(__xludf.DUMMYFUNCTION("GOOGLETRANSLATE(B33185,""en"",""zh-CN"")"),"他进入公园区。")</f>
        <v>他进入公园区。</v>
      </c>
    </row>
    <row r="33186">
      <c r="A33186" s="4" t="s">
        <v>41764</v>
      </c>
      <c r="B33186" s="4" t="s">
        <v>41767</v>
      </c>
      <c r="C33186" s="5" t="str">
        <f>IFERROR(__xludf.DUMMYFUNCTION("GOOGLETRANSLATE(B33186,""en"",""zh-CN"")"),"在探索该地区时，他显示出驾驶，散步和骑马。")</f>
        <v>在探索该地区时，他显示出驾驶，散步和骑马。</v>
      </c>
    </row>
    <row r="33187">
      <c r="A33187" s="4" t="s">
        <v>41768</v>
      </c>
      <c r="B33187" s="4" t="s">
        <v>41769</v>
      </c>
      <c r="C33187" s="5" t="str">
        <f>IFERROR(__xludf.DUMMYFUNCTION("GOOGLETRANSLATE(B33187,""en"",""zh-CN"")"),"一个女孩在平衡杆上跳跃和摇摆。")</f>
        <v>一个女孩在平衡杆上跳跃和摇摆。</v>
      </c>
    </row>
    <row r="33188">
      <c r="A33188" s="4" t="s">
        <v>41768</v>
      </c>
      <c r="B33188" s="4" t="s">
        <v>41770</v>
      </c>
      <c r="C33188" s="5" t="str">
        <f>IFERROR(__xludf.DUMMYFUNCTION("GOOGLETRANSLATE(B33188,""en"",""zh-CN"")"),"一个穿着黑色衬衫的女人站在她的观看下。")</f>
        <v>一个穿着黑色衬衫的女人站在她的观看下。</v>
      </c>
    </row>
    <row r="33189">
      <c r="A33189" s="4" t="s">
        <v>41768</v>
      </c>
      <c r="B33189" s="4" t="s">
        <v>41771</v>
      </c>
      <c r="C33189" s="5" t="str">
        <f>IFERROR(__xludf.DUMMYFUNCTION("GOOGLETRANSLATE(B33189,""en"",""zh-CN"")"),"她帮助她跳下来降落在垫子上。")</f>
        <v>她帮助她跳下来降落在垫子上。</v>
      </c>
    </row>
    <row r="33190">
      <c r="A33190" s="4" t="s">
        <v>41772</v>
      </c>
      <c r="B33190" s="4" t="s">
        <v>41773</v>
      </c>
      <c r="C33190" s="5" t="str">
        <f>IFERROR(__xludf.DUMMYFUNCTION("GOOGLETRANSLATE(B33190,""en"",""zh-CN"")"),"一名体操运动员将Power Chalk Power放在他的手上，站在Pommel马附近。")</f>
        <v>一名体操运动员将Power Chalk Power放在他的手上，站在Pommel马附近。</v>
      </c>
    </row>
    <row r="33191">
      <c r="A33191" s="4" t="s">
        <v>41772</v>
      </c>
      <c r="B33191" s="4" t="s">
        <v>41774</v>
      </c>
      <c r="C33191" s="5" t="str">
        <f>IFERROR(__xludf.DUMMYFUNCTION("GOOGLETRANSLATE(B33191,""en"",""zh-CN"")"),"然后，体操运动员接近鞍马多次旋转。")</f>
        <v>然后，体操运动员接近鞍马多次旋转。</v>
      </c>
    </row>
    <row r="33192">
      <c r="A33192" s="4" t="s">
        <v>41772</v>
      </c>
      <c r="B33192" s="4" t="s">
        <v>41775</v>
      </c>
      <c r="C33192" s="5" t="str">
        <f>IFERROR(__xludf.DUMMYFUNCTION("GOOGLETRANSLATE(B33192,""en"",""zh-CN"")"),"然后，在人们鼓掌的同时，体操运动员站在他的手上，跳到地板上。")</f>
        <v>然后，在人们鼓掌的同时，体操运动员站在他的手上，跳到地板上。</v>
      </c>
    </row>
    <row r="33193">
      <c r="A33193" s="4" t="s">
        <v>41776</v>
      </c>
      <c r="B33193" s="4" t="s">
        <v>41777</v>
      </c>
      <c r="C33193" s="5" t="str">
        <f>IFERROR(__xludf.DUMMYFUNCTION("GOOGLETRANSLATE(B33193,""en"",""zh-CN"")"),"一个男人走到机舱的侧面。")</f>
        <v>一个男人走到机舱的侧面。</v>
      </c>
    </row>
    <row r="33194">
      <c r="A33194" s="4" t="s">
        <v>41776</v>
      </c>
      <c r="B33194" s="4" t="s">
        <v>41778</v>
      </c>
      <c r="C33194" s="5" t="str">
        <f>IFERROR(__xludf.DUMMYFUNCTION("GOOGLETRANSLATE(B33194,""en"",""zh-CN"")"),"他用一把大刀切穿草。")</f>
        <v>他用一把大刀切穿草。</v>
      </c>
    </row>
    <row r="33195">
      <c r="A33195" s="4" t="s">
        <v>41776</v>
      </c>
      <c r="B33195" s="4" t="s">
        <v>41779</v>
      </c>
      <c r="C33195" s="5" t="str">
        <f>IFERROR(__xludf.DUMMYFUNCTION("GOOGLETRANSLATE(B33195,""en"",""zh-CN"")"),"他来回摆动刀，切草和杂草。")</f>
        <v>他来回摆动刀，切草和杂草。</v>
      </c>
    </row>
    <row r="33196">
      <c r="A33196" s="4" t="s">
        <v>41780</v>
      </c>
      <c r="B33196" s="4" t="s">
        <v>41781</v>
      </c>
      <c r="C33196" s="5" t="str">
        <f>IFERROR(__xludf.DUMMYFUNCTION("GOOGLETRANSLATE(B33196,""en"",""zh-CN"")"),"当人们聚集在她身后时，一个女人站在田野上。")</f>
        <v>当人们聚集在她身后时，一个女人站在田野上。</v>
      </c>
    </row>
    <row r="33197">
      <c r="A33197" s="4" t="s">
        <v>41780</v>
      </c>
      <c r="B33197" s="4" t="s">
        <v>41782</v>
      </c>
      <c r="C33197" s="5" t="str">
        <f>IFERROR(__xludf.DUMMYFUNCTION("GOOGLETRANSLATE(B33197,""en"",""zh-CN"")"),"几个人一起奔跑，互相追逐。")</f>
        <v>几个人一起奔跑，互相追逐。</v>
      </c>
    </row>
    <row r="33198">
      <c r="A33198" s="4" t="s">
        <v>41780</v>
      </c>
      <c r="B33198" s="4" t="s">
        <v>41783</v>
      </c>
      <c r="C33198" s="5" t="str">
        <f>IFERROR(__xludf.DUMMYFUNCTION("GOOGLETRANSLATE(B33198,""en"",""zh-CN"")"),"孩子们在结尾处被展示。")</f>
        <v>孩子们在结尾处被展示。</v>
      </c>
    </row>
    <row r="33199">
      <c r="A33199" s="4" t="s">
        <v>41784</v>
      </c>
      <c r="B33199" s="4" t="s">
        <v>41785</v>
      </c>
      <c r="C33199" s="5" t="str">
        <f>IFERROR(__xludf.DUMMYFUNCTION("GOOGLETRANSLATE(B33199,""en"",""zh-CN"")"),"一件穿着绿色衬衫的男孩踩在凳子上，到达水槽。")</f>
        <v>一件穿着绿色衬衫的男孩踩在凳子上，到达水槽。</v>
      </c>
    </row>
    <row r="33200">
      <c r="A33200" s="4" t="s">
        <v>41784</v>
      </c>
      <c r="B33200" s="4" t="s">
        <v>41786</v>
      </c>
      <c r="C33200" s="5" t="str">
        <f>IFERROR(__xludf.DUMMYFUNCTION("GOOGLETRANSLATE(B33200,""en"",""zh-CN"")"),"一个女人站在他旁边。")</f>
        <v>一个女人站在他旁边。</v>
      </c>
    </row>
    <row r="33201">
      <c r="A33201" s="4" t="s">
        <v>41784</v>
      </c>
      <c r="B33201" s="4" t="s">
        <v>41787</v>
      </c>
      <c r="C33201" s="5" t="str">
        <f>IFERROR(__xludf.DUMMYFUNCTION("GOOGLETRANSLATE(B33201,""en"",""zh-CN"")"),"小男孩把手洗在水槽里。")</f>
        <v>小男孩把手洗在水槽里。</v>
      </c>
    </row>
    <row r="33202">
      <c r="A33202" s="4" t="s">
        <v>41784</v>
      </c>
      <c r="B33202" s="4" t="s">
        <v>41788</v>
      </c>
      <c r="C33202" s="5" t="str">
        <f>IFERROR(__xludf.DUMMYFUNCTION("GOOGLETRANSLATE(B33202,""en"",""zh-CN"")"),"她用纸巾擦拭水槽。")</f>
        <v>她用纸巾擦拭水槽。</v>
      </c>
    </row>
    <row r="33203">
      <c r="A33203" s="4" t="s">
        <v>41784</v>
      </c>
      <c r="B33203" s="4" t="s">
        <v>41789</v>
      </c>
      <c r="C33203" s="5" t="str">
        <f>IFERROR(__xludf.DUMMYFUNCTION("GOOGLETRANSLATE(B33203,""en"",""zh-CN"")"),"男孩用毛巾干了双手。")</f>
        <v>男孩用毛巾干了双手。</v>
      </c>
    </row>
    <row r="33204">
      <c r="A33204" s="4" t="s">
        <v>41790</v>
      </c>
      <c r="B33204" s="4" t="s">
        <v>41791</v>
      </c>
      <c r="C33204" s="5" t="str">
        <f>IFERROR(__xludf.DUMMYFUNCTION("GOOGLETRANSLATE(B33204,""en"",""zh-CN"")"),"看到一名妇女在经销店中与摄像机说话，并导致汽车的几个特写镜头。")</f>
        <v>看到一名妇女在经销店中与摄像机说话，并导致汽车的几个特写镜头。</v>
      </c>
    </row>
    <row r="33205">
      <c r="A33205" s="4" t="s">
        <v>41790</v>
      </c>
      <c r="B33205" s="4" t="s">
        <v>41792</v>
      </c>
      <c r="C33205" s="5" t="str">
        <f>IFERROR(__xludf.DUMMYFUNCTION("GOOGLETRANSLATE(B33205,""en"",""zh-CN"")"),"然后，该名女子介绍了各种工具，并开始脱下车轮。")</f>
        <v>然后，该名女子介绍了各种工具，并开始脱下车轮。</v>
      </c>
    </row>
    <row r="33206">
      <c r="A33206" s="4" t="s">
        <v>41790</v>
      </c>
      <c r="B33206" s="6" t="s">
        <v>41793</v>
      </c>
      <c r="C33206" s="5" t="str">
        <f>IFERROR(__xludf.DUMMYFUNCTION("GOOGLETRANSLATE(B33206,""en"",""zh-CN"")"),"她掏出一个新的轮胎，将其放在汽车上，将其拧到适当的位置，并显示轮胎在后备箱中的位置。")</f>
        <v>她掏出一个新的轮胎，将其放在汽车上，将其拧到适当的位置，并显示轮胎在后备箱中的位置。</v>
      </c>
    </row>
    <row r="33207">
      <c r="A33207" s="4" t="s">
        <v>41790</v>
      </c>
      <c r="B33207" s="4" t="s">
        <v>41794</v>
      </c>
      <c r="C33207" s="5" t="str">
        <f>IFERROR(__xludf.DUMMYFUNCTION("GOOGLETRANSLATE(B33207,""en"",""zh-CN"")"),"她关闭行李箱，在仍在与镜头说话的同时炫耀汽车。")</f>
        <v>她关闭行李箱，在仍在与镜头说话的同时炫耀汽车。</v>
      </c>
    </row>
    <row r="33208">
      <c r="A33208" s="4" t="s">
        <v>41795</v>
      </c>
      <c r="B33208" s="6" t="s">
        <v>41796</v>
      </c>
      <c r="C33208" s="5" t="str">
        <f>IFERROR(__xludf.DUMMYFUNCTION("GOOGLETRANSLATE(B33208,""en"",""zh-CN"")"),"看到一大批人坐在海滩上，导致几个人坐在帆船上并骑行。")</f>
        <v>看到一大批人坐在海滩上，导致几个人坐在帆船上并骑行。</v>
      </c>
    </row>
    <row r="33209">
      <c r="A33209" s="4" t="s">
        <v>41795</v>
      </c>
      <c r="B33209" s="6" t="s">
        <v>41797</v>
      </c>
      <c r="C33209" s="5" t="str">
        <f>IFERROR(__xludf.DUMMYFUNCTION("GOOGLETRANSLATE(B33209,""en"",""zh-CN"")"),"各种船只继续沿着水面骑行，获胜者跳入水中并自豪地站在领奖台上。")</f>
        <v>各种船只继续沿着水面骑行，获胜者跳入水中并自豪地站在领奖台上。</v>
      </c>
    </row>
    <row r="33210">
      <c r="A33210" s="4" t="s">
        <v>41798</v>
      </c>
      <c r="B33210" s="4" t="s">
        <v>41799</v>
      </c>
      <c r="C33210" s="5" t="str">
        <f>IFERROR(__xludf.DUMMYFUNCTION("GOOGLETRANSLATE(B33210,""en"",""zh-CN"")"),"女人在新闻中谈论洛杉矶棒球运动员。")</f>
        <v>女人在新闻中谈论洛杉矶棒球运动员。</v>
      </c>
    </row>
    <row r="33211">
      <c r="A33211" s="4" t="s">
        <v>41798</v>
      </c>
      <c r="B33211" s="6" t="s">
        <v>41800</v>
      </c>
      <c r="C33211" s="5" t="str">
        <f>IFERROR(__xludf.DUMMYFUNCTION("GOOGLETRANSLATE(B33211,""en"",""zh-CN"")"),"我在街头球场上穿着道奇队制服的躲避球，人们正在看比赛，汽车在街上经过。")</f>
        <v>我在街头球场上穿着道奇队制服的躲避球，人们正在看比赛，汽车在街上经过。</v>
      </c>
    </row>
    <row r="33212">
      <c r="A33212" s="4" t="s">
        <v>41798</v>
      </c>
      <c r="B33212" s="6" t="s">
        <v>41801</v>
      </c>
      <c r="C33212" s="5" t="str">
        <f>IFERROR(__xludf.DUMMYFUNCTION("GOOGLETRANSLATE(B33212,""en"",""zh-CN"")"),"在露台上的棒球田里的人和新闻上谈论他们的女人的照片中显示了穿着道奇队制服的男人。")</f>
        <v>在露台上的棒球田里的人和新闻上谈论他们的女人的照片中显示了穿着道奇队制服的男人。</v>
      </c>
    </row>
    <row r="33213">
      <c r="A33213" s="4" t="s">
        <v>41802</v>
      </c>
      <c r="B33213" s="4" t="s">
        <v>41803</v>
      </c>
      <c r="C33213" s="5" t="str">
        <f>IFERROR(__xludf.DUMMYFUNCTION("GOOGLETRANSLATE(B33213,""en"",""zh-CN"")"),"在独奏表演期间，孩子在舞台上扮演小提琴。")</f>
        <v>在独奏表演期间，孩子在舞台上扮演小提琴。</v>
      </c>
    </row>
    <row r="33214">
      <c r="A33214" s="4" t="s">
        <v>41802</v>
      </c>
      <c r="B33214" s="4" t="s">
        <v>41804</v>
      </c>
      <c r="C33214" s="5" t="str">
        <f>IFERROR(__xludf.DUMMYFUNCTION("GOOGLETRANSLATE(B33214,""en"",""zh-CN"")"),"一个男人从舞台旁边看着。")</f>
        <v>一个男人从舞台旁边看着。</v>
      </c>
    </row>
    <row r="33215">
      <c r="A33215" s="4" t="s">
        <v>41802</v>
      </c>
      <c r="B33215" s="4" t="s">
        <v>41805</v>
      </c>
      <c r="C33215" s="5" t="str">
        <f>IFERROR(__xludf.DUMMYFUNCTION("GOOGLETRANSLATE(B33215,""en"",""zh-CN"")"),"这个女孩短暂停下来，然后开始再次玩。")</f>
        <v>这个女孩短暂停下来，然后开始再次玩。</v>
      </c>
    </row>
    <row r="33216">
      <c r="A33216" s="4" t="s">
        <v>41802</v>
      </c>
      <c r="B33216" s="4" t="s">
        <v>41806</v>
      </c>
      <c r="C33216" s="5" t="str">
        <f>IFERROR(__xludf.DUMMYFUNCTION("GOOGLETRANSLATE(B33216,""en"",""zh-CN"")"),"女孩在表演结束时降低了小提琴和魔杖。")</f>
        <v>女孩在表演结束时降低了小提琴和魔杖。</v>
      </c>
    </row>
    <row r="33217">
      <c r="A33217" s="4" t="s">
        <v>41807</v>
      </c>
      <c r="B33217" s="4" t="s">
        <v>41808</v>
      </c>
      <c r="C33217" s="5" t="str">
        <f>IFERROR(__xludf.DUMMYFUNCTION("GOOGLETRANSLATE(B33217,""en"",""zh-CN"")"),"围绕着围栏的摄像头摇晃，并导致拿着油漆刷的女人。")</f>
        <v>围绕着围栏的摄像头摇晃，并导致拿着油漆刷的女人。</v>
      </c>
    </row>
    <row r="33218">
      <c r="A33218" s="4" t="s">
        <v>41807</v>
      </c>
      <c r="B33218" s="6" t="s">
        <v>41809</v>
      </c>
      <c r="C33218" s="5" t="str">
        <f>IFERROR(__xludf.DUMMYFUNCTION("GOOGLETRANSLATE(B33218,""en"",""zh-CN"")"),"当相机继续围绕侧面看时，她上下刷了栅栏的侧面。")</f>
        <v>当相机继续围绕侧面看时，她上下刷了栅栏的侧面。</v>
      </c>
    </row>
    <row r="33219">
      <c r="A33219" s="4" t="s">
        <v>41810</v>
      </c>
      <c r="B33219" s="6" t="s">
        <v>41811</v>
      </c>
      <c r="C33219" s="5" t="str">
        <f>IFERROR(__xludf.DUMMYFUNCTION("GOOGLETRANSLATE(B33219,""en"",""zh-CN"")"),"一个简介导致一个男人说话，微笑着摄像机，几镜头的人准备船并沿着水骑行。")</f>
        <v>一个简介导致一个男人说话，微笑着摄像机，几镜头的人准备船并沿着水骑行。</v>
      </c>
    </row>
    <row r="33220">
      <c r="A33220" s="4" t="s">
        <v>41810</v>
      </c>
      <c r="B33220" s="6" t="s">
        <v>41812</v>
      </c>
      <c r="C33220" s="5" t="str">
        <f>IFERROR(__xludf.DUMMYFUNCTION("GOOGLETRANSLATE(B33220,""en"",""zh-CN"")"),"看到另一名妇女与摄像机交谈，然后沿着水沿着船上的船进行了几枪，人们骑着船。")</f>
        <v>看到另一名妇女与摄像机交谈，然后沿着水沿着船上的船进行了几枪，人们骑着船。</v>
      </c>
    </row>
    <row r="33221">
      <c r="A33221" s="4" t="s">
        <v>41813</v>
      </c>
      <c r="B33221" s="6" t="s">
        <v>41814</v>
      </c>
      <c r="C33221" s="5" t="str">
        <f>IFERROR(__xludf.DUMMYFUNCTION("GOOGLETRANSLATE(B33221,""en"",""zh-CN"")"),"看到三名男子慢慢行走，而另一个女孩则走进框架，小组从一堆中抓起管子。")</f>
        <v>看到三名男子慢慢行走，而另一个女孩则走进框架，小组从一堆中抓起管子。</v>
      </c>
    </row>
    <row r="33222">
      <c r="A33222" s="4" t="s">
        <v>41813</v>
      </c>
      <c r="B33222" s="4" t="s">
        <v>41815</v>
      </c>
      <c r="C33222" s="5" t="str">
        <f>IFERROR(__xludf.DUMMYFUNCTION("GOOGLETRANSLATE(B33222,""en"",""zh-CN"")"),"人们在相机上说话，然后看到坐在试管中，漂浮在河上。")</f>
        <v>人们在相机上说话，然后看到坐在试管中，漂浮在河上。</v>
      </c>
    </row>
    <row r="33223">
      <c r="A33223" s="4" t="s">
        <v>41813</v>
      </c>
      <c r="B33223" s="6" t="s">
        <v>41816</v>
      </c>
      <c r="C33223" s="5" t="str">
        <f>IFERROR(__xludf.DUMMYFUNCTION("GOOGLETRANSLATE(B33223,""en"",""zh-CN"")"),"人们不断地沿着河里骑行，同时向后四次，然后看到坐在公共汽车上互相交谈。")</f>
        <v>人们不断地沿着河里骑行，同时向后四次，然后看到坐在公共汽车上互相交谈。</v>
      </c>
    </row>
    <row r="33224">
      <c r="A33224" s="4" t="s">
        <v>41817</v>
      </c>
      <c r="B33224" s="6" t="s">
        <v>41818</v>
      </c>
      <c r="C33224" s="5" t="str">
        <f>IFERROR(__xludf.DUMMYFUNCTION("GOOGLETRANSLATE(B33224,""en"",""zh-CN"")"),"看到一大批人穿着假日装备，并看到彼此扔东西。")</f>
        <v>看到一大批人穿着假日装备，并看到彼此扔东西。</v>
      </c>
    </row>
    <row r="33225">
      <c r="A33225" s="4" t="s">
        <v>41817</v>
      </c>
      <c r="B33225" s="4" t="s">
        <v>41819</v>
      </c>
      <c r="C33225" s="5" t="str">
        <f>IFERROR(__xludf.DUMMYFUNCTION("GOOGLETRANSLATE(B33225,""en"",""zh-CN"")"),"人们继续互相打躲避球，并在中间跳舞。")</f>
        <v>人们继续互相打躲避球，并在中间跳舞。</v>
      </c>
    </row>
    <row r="33226">
      <c r="A33226" s="4" t="s">
        <v>41820</v>
      </c>
      <c r="B33226" s="4" t="s">
        <v>41821</v>
      </c>
      <c r="C33226" s="5" t="str">
        <f>IFERROR(__xludf.DUMMYFUNCTION("GOOGLETRANSLATE(B33226,""en"",""zh-CN"")"),"一个穿着绿色衬衫的男人在外面拿着一些文件并在外面聊天。")</f>
        <v>一个穿着绿色衬衫的男人在外面拿着一些文件并在外面聊天。</v>
      </c>
    </row>
    <row r="33227">
      <c r="A33227" s="4" t="s">
        <v>41820</v>
      </c>
      <c r="B33227" s="4" t="s">
        <v>41822</v>
      </c>
      <c r="C33227" s="5" t="str">
        <f>IFERROR(__xludf.DUMMYFUNCTION("GOOGLETRANSLATE(B33227,""en"",""zh-CN"")"),"他开始用手将一些污垢移到一棵树旁边。")</f>
        <v>他开始用手将一些污垢移到一棵树旁边。</v>
      </c>
    </row>
    <row r="33228">
      <c r="A33228" s="4" t="s">
        <v>41820</v>
      </c>
      <c r="B33228" s="4" t="s">
        <v>41823</v>
      </c>
      <c r="C33228" s="5" t="str">
        <f>IFERROR(__xludf.DUMMYFUNCTION("GOOGLETRANSLATE(B33228,""en"",""zh-CN"")"),"他离开树，继续说话。")</f>
        <v>他离开树，继续说话。</v>
      </c>
    </row>
    <row r="33229">
      <c r="A33229" s="4" t="s">
        <v>41824</v>
      </c>
      <c r="B33229" s="4" t="s">
        <v>41825</v>
      </c>
      <c r="C33229" s="5" t="str">
        <f>IFERROR(__xludf.DUMMYFUNCTION("GOOGLETRANSLATE(B33229,""en"",""zh-CN"")"),"几个妇女跪在地上，努力准备汤。")</f>
        <v>几个妇女跪在地上，努力准备汤。</v>
      </c>
    </row>
    <row r="33230">
      <c r="A33230" s="4" t="s">
        <v>41824</v>
      </c>
      <c r="B33230" s="4" t="s">
        <v>41826</v>
      </c>
      <c r="C33230" s="5" t="str">
        <f>IFERROR(__xludf.DUMMYFUNCTION("GOOGLETRANSLATE(B33230,""en"",""zh-CN"")"),"其中一名妇女从毛毛酸菜中挑选了一些食物。")</f>
        <v>其中一名妇女从毛毛酸菜中挑选了一些食物。</v>
      </c>
    </row>
    <row r="33231">
      <c r="A33231" s="4" t="s">
        <v>41824</v>
      </c>
      <c r="B33231" s="4" t="s">
        <v>41827</v>
      </c>
      <c r="C33231" s="5" t="str">
        <f>IFERROR(__xludf.DUMMYFUNCTION("GOOGLETRANSLATE(B33231,""en"",""zh-CN"")"),"一个女人将一些白蔬菜切成黄色的碗。")</f>
        <v>一个女人将一些白蔬菜切成黄色的碗。</v>
      </c>
    </row>
    <row r="33232">
      <c r="A33232" s="4" t="s">
        <v>41828</v>
      </c>
      <c r="B33232" s="4" t="s">
        <v>41829</v>
      </c>
      <c r="C33232" s="5" t="str">
        <f>IFERROR(__xludf.DUMMYFUNCTION("GOOGLETRANSLATE(B33232,""en"",""zh-CN"")"),"一个小男孩的背上带有一个凉亭，吹了后院的枯叶。")</f>
        <v>一个小男孩的背上带有一个凉亭，吹了后院的枯叶。</v>
      </c>
    </row>
    <row r="33233">
      <c r="A33233" s="4" t="s">
        <v>41828</v>
      </c>
      <c r="B33233" s="4" t="s">
        <v>41830</v>
      </c>
      <c r="C33233" s="5" t="str">
        <f>IFERROR(__xludf.DUMMYFUNCTION("GOOGLETRANSLATE(B33233,""en"",""zh-CN"")"),"然后，小男孩去另一个地方吹叶子。")</f>
        <v>然后，小男孩去另一个地方吹叶子。</v>
      </c>
    </row>
    <row r="33234">
      <c r="A33234" s="4" t="s">
        <v>41828</v>
      </c>
      <c r="B33234" s="4" t="s">
        <v>41831</v>
      </c>
      <c r="C33234" s="5" t="str">
        <f>IFERROR(__xludf.DUMMYFUNCTION("GOOGLETRANSLATE(B33234,""en"",""zh-CN"")"),"之后，小男孩吹着一棵树附近。")</f>
        <v>之后，小男孩吹着一棵树附近。</v>
      </c>
    </row>
    <row r="33235">
      <c r="A33235" s="4" t="s">
        <v>41832</v>
      </c>
      <c r="B33235" s="4" t="s">
        <v>41833</v>
      </c>
      <c r="C33235" s="5" t="str">
        <f>IFERROR(__xludf.DUMMYFUNCTION("GOOGLETRANSLATE(B33235,""en"",""zh-CN"")"),"通过技术将一件运动设备放在一起，然后实时显示。")</f>
        <v>通过技术将一件运动设备放在一起，然后实时显示。</v>
      </c>
    </row>
    <row r="33236">
      <c r="A33236" s="4" t="s">
        <v>41832</v>
      </c>
      <c r="B33236" s="4" t="s">
        <v>41834</v>
      </c>
      <c r="C33236" s="5" t="str">
        <f>IFERROR(__xludf.DUMMYFUNCTION("GOOGLETRANSLATE(B33236,""en"",""zh-CN"")"),"一个人的手在机器上转动旋钮，并开始在机器上跑步。")</f>
        <v>一个人的手在机器上转动旋钮，并开始在机器上跑步。</v>
      </c>
    </row>
    <row r="33237">
      <c r="A33237" s="4" t="s">
        <v>41832</v>
      </c>
      <c r="B33237" s="4" t="s">
        <v>41835</v>
      </c>
      <c r="C33237" s="5" t="str">
        <f>IFERROR(__xludf.DUMMYFUNCTION("GOOGLETRANSLATE(B33237,""en"",""zh-CN"")"),"她的脚闭合以及她的其他几个角度显示了她的脚步。")</f>
        <v>她的脚闭合以及她的其他几个角度显示了她的脚步。</v>
      </c>
    </row>
    <row r="33238">
      <c r="A33238" s="4" t="s">
        <v>41836</v>
      </c>
      <c r="B33238" s="4" t="s">
        <v>41837</v>
      </c>
      <c r="C33238" s="5" t="str">
        <f>IFERROR(__xludf.DUMMYFUNCTION("GOOGLETRANSLATE(B33238,""en"",""zh-CN"")"),"一个头发很长的女人站在阳台上，露出头发的长度。")</f>
        <v>一个头发很长的女人站在阳台上，露出头发的长度。</v>
      </c>
    </row>
    <row r="33239">
      <c r="A33239" s="4" t="s">
        <v>41836</v>
      </c>
      <c r="B33239" s="4" t="s">
        <v>41838</v>
      </c>
      <c r="C33239" s="5" t="str">
        <f>IFERROR(__xludf.DUMMYFUNCTION("GOOGLETRANSLATE(B33239,""en"",""zh-CN"")"),"她转过身，面对相机继续梳理头发并显示长度。")</f>
        <v>她转过身，面对相机继续梳理头发并显示长度。</v>
      </c>
    </row>
    <row r="33240">
      <c r="A33240" s="4" t="s">
        <v>41836</v>
      </c>
      <c r="B33240" s="6" t="s">
        <v>41839</v>
      </c>
      <c r="C33240" s="5" t="str">
        <f>IFERROR(__xludf.DUMMYFUNCTION("GOOGLETRANSLATE(B33240,""en"",""zh-CN"")"),"她开始旋转着头发，然后将头发摇回相机，那是视频结束的时候。")</f>
        <v>她开始旋转着头发，然后将头发摇回相机，那是视频结束的时候。</v>
      </c>
    </row>
    <row r="33241">
      <c r="A33241" s="4" t="s">
        <v>41840</v>
      </c>
      <c r="B33241" s="4" t="s">
        <v>41841</v>
      </c>
      <c r="C33241" s="5" t="str">
        <f>IFERROR(__xludf.DUMMYFUNCTION("GOOGLETRANSLATE(B33241,""en"",""zh-CN"")"),"看到一个人拧开一瓶漱口水，然后将其倒入杯子中。")</f>
        <v>看到一个人拧开一瓶漱口水，然后将其倒入杯子中。</v>
      </c>
    </row>
    <row r="33242">
      <c r="A33242" s="4" t="s">
        <v>41840</v>
      </c>
      <c r="B33242" s="4" t="s">
        <v>41842</v>
      </c>
      <c r="C33242" s="5" t="str">
        <f>IFERROR(__xludf.DUMMYFUNCTION("GOOGLETRANSLATE(B33242,""en"",""zh-CN"")"),"然后，女孩从那里喝酒，然后将其旋转在她的嘴里。")</f>
        <v>然后，女孩从那里喝酒，然后将其旋转在她的嘴里。</v>
      </c>
    </row>
    <row r="33243">
      <c r="A33243" s="4" t="s">
        <v>41840</v>
      </c>
      <c r="B33243" s="4" t="s">
        <v>41843</v>
      </c>
      <c r="C33243" s="5" t="str">
        <f>IFERROR(__xludf.DUMMYFUNCTION("GOOGLETRANSLATE(B33243,""en"",""zh-CN"")"),"她吐出混合物，最后炫耀图片。")</f>
        <v>她吐出混合物，最后炫耀图片。</v>
      </c>
    </row>
    <row r="33244">
      <c r="A33244" s="4" t="s">
        <v>41844</v>
      </c>
      <c r="B33244" s="4" t="s">
        <v>41845</v>
      </c>
      <c r="C33244" s="5" t="str">
        <f>IFERROR(__xludf.DUMMYFUNCTION("GOOGLETRANSLATE(B33244,""en"",""zh-CN"")"),"将铅球的汇编放在一起，您会看到许多不同的人正在做好准备。")</f>
        <v>将铅球的汇编放在一起，您会看到许多不同的人正在做好准备。</v>
      </c>
    </row>
    <row r="33245">
      <c r="A33245" s="4" t="s">
        <v>41844</v>
      </c>
      <c r="B33245" s="6" t="s">
        <v>41846</v>
      </c>
      <c r="C33245" s="5" t="str">
        <f>IFERROR(__xludf.DUMMYFUNCTION("GOOGLETRANSLATE(B33245,""en"",""zh-CN"")"),"他们迅速转动自己的身体在开枪之前尽可能多地增强速度。")</f>
        <v>他们迅速转动自己的身体在开枪之前尽可能多地增强速度。</v>
      </c>
    </row>
    <row r="33246">
      <c r="A33246" s="4" t="s">
        <v>41844</v>
      </c>
      <c r="B33246" s="6" t="s">
        <v>41847</v>
      </c>
      <c r="C33246" s="5" t="str">
        <f>IFERROR(__xludf.DUMMYFUNCTION("GOOGLETRANSLATE(B33246,""en"",""zh-CN"")"),"他们练习并且专业地做到这一点，这是一项认真的运动，人们真的很喜欢您。")</f>
        <v>他们练习并且专业地做到这一点，这是一项认真的运动，人们真的很喜欢您。</v>
      </c>
    </row>
    <row r="33247">
      <c r="A33247" s="4" t="s">
        <v>41844</v>
      </c>
      <c r="B33247" s="4" t="s">
        <v>41848</v>
      </c>
      <c r="C33247" s="5" t="str">
        <f>IFERROR(__xludf.DUMMYFUNCTION("GOOGLETRANSLATE(B33247,""en"",""zh-CN"")"),"当他们在投掷方面做好时，他们往往会感到非常兴奋。")</f>
        <v>当他们在投掷方面做好时，他们往往会感到非常兴奋。</v>
      </c>
    </row>
    <row r="33248">
      <c r="A33248" s="4" t="s">
        <v>41849</v>
      </c>
      <c r="B33248" s="4" t="s">
        <v>41850</v>
      </c>
      <c r="C33248" s="5" t="str">
        <f>IFERROR(__xludf.DUMMYFUNCTION("GOOGLETRANSLATE(B33248,""en"",""zh-CN"")"),"一个穿着紫色外套的女人在说话。")</f>
        <v>一个穿着紫色外套的女人在说话。</v>
      </c>
    </row>
    <row r="33249">
      <c r="A33249" s="4" t="s">
        <v>41849</v>
      </c>
      <c r="B33249" s="4" t="s">
        <v>41851</v>
      </c>
      <c r="C33249" s="5" t="str">
        <f>IFERROR(__xludf.DUMMYFUNCTION("GOOGLETRANSLATE(B33249,""en"",""zh-CN"")"),"她开始用刷子刷马。")</f>
        <v>她开始用刷子刷马。</v>
      </c>
    </row>
    <row r="33250">
      <c r="A33250" s="4" t="s">
        <v>41849</v>
      </c>
      <c r="B33250" s="4" t="s">
        <v>41852</v>
      </c>
      <c r="C33250" s="5" t="str">
        <f>IFERROR(__xludf.DUMMYFUNCTION("GOOGLETRANSLATE(B33250,""en"",""zh-CN"")"),"她清洁了马脚的底部。")</f>
        <v>她清洁了马脚的底部。</v>
      </c>
    </row>
    <row r="33251">
      <c r="A33251" s="4" t="s">
        <v>41849</v>
      </c>
      <c r="B33251" s="4" t="s">
        <v>41853</v>
      </c>
      <c r="C33251" s="5" t="str">
        <f>IFERROR(__xludf.DUMMYFUNCTION("GOOGLETRANSLATE(B33251,""en"",""zh-CN"")"),"她喷洒了马的尾巴，开始刷它。")</f>
        <v>她喷洒了马的尾巴，开始刷它。</v>
      </c>
    </row>
    <row r="33252">
      <c r="A33252" s="4" t="s">
        <v>41849</v>
      </c>
      <c r="B33252" s="4" t="s">
        <v>41854</v>
      </c>
      <c r="C33252" s="5" t="str">
        <f>IFERROR(__xludf.DUMMYFUNCTION("GOOGLETRANSLATE(B33252,""en"",""zh-CN"")"),"她完成并继续与镜头交谈。")</f>
        <v>她完成并继续与镜头交谈。</v>
      </c>
    </row>
    <row r="33253">
      <c r="A33253" s="4" t="s">
        <v>41855</v>
      </c>
      <c r="B33253" s="4" t="s">
        <v>41856</v>
      </c>
      <c r="C33253" s="5" t="str">
        <f>IFERROR(__xludf.DUMMYFUNCTION("GOOGLETRANSLATE(B33253,""en"",""zh-CN"")"),"排球运动员将球投向了空中。")</f>
        <v>排球运动员将球投向了空中。</v>
      </c>
    </row>
    <row r="33254">
      <c r="A33254" s="4" t="s">
        <v>41855</v>
      </c>
      <c r="B33254" s="4" t="s">
        <v>41857</v>
      </c>
      <c r="C33254" s="5" t="str">
        <f>IFERROR(__xludf.DUMMYFUNCTION("GOOGLETRANSLATE(B33254,""en"",""zh-CN"")"),"她的队友抓住了它并将其扔到网上。")</f>
        <v>她的队友抓住了它并将其扔到网上。</v>
      </c>
    </row>
    <row r="33255">
      <c r="A33255" s="4" t="s">
        <v>41855</v>
      </c>
      <c r="B33255" s="4" t="s">
        <v>41858</v>
      </c>
      <c r="C33255" s="5" t="str">
        <f>IFERROR(__xludf.DUMMYFUNCTION("GOOGLETRANSLATE(B33255,""en"",""zh-CN"")"),"排球运动员为球服务。")</f>
        <v>排球运动员为球服务。</v>
      </c>
    </row>
    <row r="33256">
      <c r="A33256" s="4" t="s">
        <v>41855</v>
      </c>
      <c r="B33256" s="4" t="s">
        <v>41859</v>
      </c>
      <c r="C33256" s="5" t="str">
        <f>IFERROR(__xludf.DUMMYFUNCTION("GOOGLETRANSLATE(B33256,""en"",""zh-CN"")"),"对方球员潜入刺球。")</f>
        <v>对方球员潜入刺球。</v>
      </c>
    </row>
    <row r="33257">
      <c r="A33257" s="4" t="s">
        <v>41855</v>
      </c>
      <c r="B33257" s="4" t="s">
        <v>41860</v>
      </c>
      <c r="C33257" s="5" t="str">
        <f>IFERROR(__xludf.DUMMYFUNCTION("GOOGLETRANSLATE(B33257,""en"",""zh-CN"")"),"她的队友将球扔到了网上。")</f>
        <v>她的队友将球扔到了网上。</v>
      </c>
    </row>
    <row r="33258">
      <c r="A33258" s="4" t="s">
        <v>41855</v>
      </c>
      <c r="B33258" s="4" t="s">
        <v>41861</v>
      </c>
      <c r="C33258" s="5" t="str">
        <f>IFERROR(__xludf.DUMMYFUNCTION("GOOGLETRANSLATE(B33258,""en"",""zh-CN"")"),"排球运动员早些时候将球踢到网上。")</f>
        <v>排球运动员早些时候将球踢到网上。</v>
      </c>
    </row>
    <row r="33259">
      <c r="A33259" s="4" t="s">
        <v>41855</v>
      </c>
      <c r="B33259" s="4" t="s">
        <v>41862</v>
      </c>
      <c r="C33259" s="5" t="str">
        <f>IFERROR(__xludf.DUMMYFUNCTION("GOOGLETRANSLATE(B33259,""en"",""zh-CN"")"),"对方球员击球。")</f>
        <v>对方球员击球。</v>
      </c>
    </row>
    <row r="33260">
      <c r="A33260" s="4" t="s">
        <v>41855</v>
      </c>
      <c r="B33260" s="4" t="s">
        <v>41863</v>
      </c>
      <c r="C33260" s="5" t="str">
        <f>IFERROR(__xludf.DUMMYFUNCTION("GOOGLETRANSLATE(B33260,""en"",""zh-CN"")"),"她的队友击中了她。")</f>
        <v>她的队友击中了她。</v>
      </c>
    </row>
    <row r="33261">
      <c r="A33261" s="4" t="s">
        <v>41855</v>
      </c>
      <c r="B33261" s="4" t="s">
        <v>41864</v>
      </c>
      <c r="C33261" s="5" t="str">
        <f>IFERROR(__xludf.DUMMYFUNCTION("GOOGLETRANSLATE(B33261,""en"",""zh-CN"")"),"队友将其尖刺在网上。")</f>
        <v>队友将其尖刺在网上。</v>
      </c>
    </row>
    <row r="33262">
      <c r="A33262" s="4" t="s">
        <v>41855</v>
      </c>
      <c r="B33262" s="4" t="s">
        <v>41865</v>
      </c>
      <c r="C33262" s="5" t="str">
        <f>IFERROR(__xludf.DUMMYFUNCTION("GOOGLETRANSLATE(B33262,""en"",""zh-CN"")"),"对方球员击球。")</f>
        <v>对方球员击球。</v>
      </c>
    </row>
    <row r="33263">
      <c r="A33263" s="4" t="s">
        <v>41855</v>
      </c>
      <c r="B33263" s="4" t="s">
        <v>41866</v>
      </c>
      <c r="C33263" s="5" t="str">
        <f>IFERROR(__xludf.DUMMYFUNCTION("GOOGLETRANSLATE(B33263,""en"",""zh-CN"")"),"她的队友将球投向了对方球队。")</f>
        <v>她的队友将球投向了对方球队。</v>
      </c>
    </row>
    <row r="33264">
      <c r="A33264" s="4" t="s">
        <v>41855</v>
      </c>
      <c r="B33264" s="4" t="s">
        <v>41867</v>
      </c>
      <c r="C33264" s="5" t="str">
        <f>IFERROR(__xludf.DUMMYFUNCTION("GOOGLETRANSLATE(B33264,""en"",""zh-CN"")"),"对方球员向队友击球。")</f>
        <v>对方球员向队友击球。</v>
      </c>
    </row>
    <row r="33265">
      <c r="A33265" s="4" t="s">
        <v>41855</v>
      </c>
      <c r="B33265" s="4" t="s">
        <v>41868</v>
      </c>
      <c r="C33265" s="5" t="str">
        <f>IFERROR(__xludf.DUMMYFUNCTION("GOOGLETRANSLATE(B33265,""en"",""zh-CN"")"),"她的队友击球。")</f>
        <v>她的队友击球。</v>
      </c>
    </row>
    <row r="33266">
      <c r="A33266" s="4" t="s">
        <v>41855</v>
      </c>
      <c r="B33266" s="4" t="s">
        <v>41869</v>
      </c>
      <c r="C33266" s="5" t="str">
        <f>IFERROR(__xludf.DUMMYFUNCTION("GOOGLETRANSLATE(B33266,""en"",""zh-CN"")"),"她的队友在网上击球。")</f>
        <v>她的队友在网上击球。</v>
      </c>
    </row>
    <row r="33267">
      <c r="A33267" s="4" t="s">
        <v>41855</v>
      </c>
      <c r="B33267" s="4" t="s">
        <v>41870</v>
      </c>
      <c r="C33267" s="5" t="str">
        <f>IFERROR(__xludf.DUMMYFUNCTION("GOOGLETRANSLATE(B33267,""en"",""zh-CN"")"),"对方的球员跳水并击球。")</f>
        <v>对方的球员跳水并击球。</v>
      </c>
    </row>
    <row r="33268">
      <c r="A33268" s="4" t="s">
        <v>41855</v>
      </c>
      <c r="B33268" s="4" t="s">
        <v>41871</v>
      </c>
      <c r="C33268" s="5" t="str">
        <f>IFERROR(__xludf.DUMMYFUNCTION("GOOGLETRANSLATE(B33268,""en"",""zh-CN"")"),"对方队中的一名队友潜水以赶上并扔掉界限。")</f>
        <v>对方队中的一名队友潜水以赶上并扔掉界限。</v>
      </c>
    </row>
    <row r="33269">
      <c r="A33269" s="4" t="s">
        <v>41872</v>
      </c>
      <c r="B33269" s="4" t="s">
        <v>41873</v>
      </c>
      <c r="C33269" s="5" t="str">
        <f>IFERROR(__xludf.DUMMYFUNCTION("GOOGLETRANSLATE(B33269,""en"",""zh-CN"")"),"一名卷发器准备在竞技场中观看其他人时进行冰壶射击。")</f>
        <v>一名卷发器准备在竞技场中观看其他人时进行冰壶射击。</v>
      </c>
    </row>
    <row r="33270">
      <c r="A33270" s="4" t="s">
        <v>41872</v>
      </c>
      <c r="B33270" s="6" t="s">
        <v>41874</v>
      </c>
      <c r="C33270" s="5" t="str">
        <f>IFERROR(__xludf.DUMMYFUNCTION("GOOGLETRANSLATE(B33270,""en"",""zh-CN"")"),"当其他团队成员追逐并扫除冰时，她开枪，放开冰球。")</f>
        <v>当其他团队成员追逐并扫除冰时，她开枪，放开冰球。</v>
      </c>
    </row>
    <row r="33271">
      <c r="A33271" s="4" t="s">
        <v>41872</v>
      </c>
      <c r="B33271" s="4" t="s">
        <v>41875</v>
      </c>
      <c r="C33271" s="5" t="str">
        <f>IFERROR(__xludf.DUMMYFUNCTION("GOOGLETRANSLATE(B33271,""en"",""zh-CN"")"),"拍摄了另一枪，团队成员开始击球并扫冰。")</f>
        <v>拍摄了另一枪，团队成员开始击球并扫冰。</v>
      </c>
    </row>
    <row r="33272">
      <c r="A33272" s="4" t="s">
        <v>41872</v>
      </c>
      <c r="B33272" s="4" t="s">
        <v>41876</v>
      </c>
      <c r="C33272" s="5" t="str">
        <f>IFERROR(__xludf.DUMMYFUNCTION("GOOGLETRANSLATE(B33272,""en"",""zh-CN"")"),"然后进行第三枪，卷发器允许射击击倒另一冰。")</f>
        <v>然后进行第三枪，卷发器允许射击击倒另一冰。</v>
      </c>
    </row>
    <row r="33273">
      <c r="A33273" s="4" t="s">
        <v>41877</v>
      </c>
      <c r="B33273" s="6" t="s">
        <v>41878</v>
      </c>
      <c r="C33273" s="5" t="str">
        <f>IFERROR(__xludf.DUMMYFUNCTION("GOOGLETRANSLATE(B33273,""en"",""zh-CN"")"),"看到一小群人一起上一个旋转课，导致一个男人在镜头上说话。")</f>
        <v>看到一小群人一起上一个旋转课，导致一个男人在镜头上说话。</v>
      </c>
    </row>
    <row r="33274">
      <c r="A33274" s="4" t="s">
        <v>41877</v>
      </c>
      <c r="B33274" s="6" t="s">
        <v>41879</v>
      </c>
      <c r="C33274" s="5" t="str">
        <f>IFERROR(__xludf.DUMMYFUNCTION("GOOGLETRANSLATE(B33274,""en"",""zh-CN"")"),"体育馆的射击显示，该男子带领小组并仍在与镜头交谈，并进入另一个自行车班。")</f>
        <v>体育馆的射击显示，该男子带领小组并仍在与镜头交谈，并进入另一个自行车班。</v>
      </c>
    </row>
    <row r="33275">
      <c r="A33275" s="4" t="s">
        <v>41880</v>
      </c>
      <c r="B33275" s="4" t="s">
        <v>41881</v>
      </c>
      <c r="C33275" s="5" t="str">
        <f>IFERROR(__xludf.DUMMYFUNCTION("GOOGLETRANSLATE(B33275,""en"",""zh-CN"")"),"一个男人和一个女人正坐在墙上聊着墙的长凳上，有几把轮辋。")</f>
        <v>一个男人和一个女人正坐在墙上聊着墙的长凳上，有几把轮辋。</v>
      </c>
    </row>
    <row r="33276">
      <c r="A33276" s="4" t="s">
        <v>41880</v>
      </c>
      <c r="B33276" s="4" t="s">
        <v>41882</v>
      </c>
      <c r="C33276" s="5" t="str">
        <f>IFERROR(__xludf.DUMMYFUNCTION("GOOGLETRANSLATE(B33276,""en"",""zh-CN"")"),"然后，两者站起来开始交谈，您可以看到他们在垃圾场。")</f>
        <v>然后，两者站起来开始交谈，您可以看到他们在垃圾场。</v>
      </c>
    </row>
    <row r="33277">
      <c r="A33277" s="4" t="s">
        <v>41880</v>
      </c>
      <c r="B33277" s="6" t="s">
        <v>41883</v>
      </c>
      <c r="C33277" s="5" t="str">
        <f>IFERROR(__xludf.DUMMYFUNCTION("GOOGLETRANSLATE(B33277,""en"",""zh-CN"")"),"最后，他们开始一起跳舞，并做适合环境的嘻哈舞蹈动作。")</f>
        <v>最后，他们开始一起跳舞，并做适合环境的嘻哈舞蹈动作。</v>
      </c>
    </row>
    <row r="33278">
      <c r="A33278" s="4" t="s">
        <v>41884</v>
      </c>
      <c r="B33278" s="4" t="s">
        <v>41885</v>
      </c>
      <c r="C33278" s="5" t="str">
        <f>IFERROR(__xludf.DUMMYFUNCTION("GOOGLETRANSLATE(B33278,""en"",""zh-CN"")"),"一个女孩从侧面走进来，开始在房间里踩踏。")</f>
        <v>一个女孩从侧面走进来，开始在房间里踩踏。</v>
      </c>
    </row>
    <row r="33279">
      <c r="A33279" s="4" t="s">
        <v>41884</v>
      </c>
      <c r="B33279" s="6" t="s">
        <v>41886</v>
      </c>
      <c r="C33279" s="5" t="str">
        <f>IFERROR(__xludf.DUMMYFUNCTION("GOOGLETRANSLATE(B33279,""en"",""zh-CN"")"),"女孩继续锻炼并侧面移动，并开始以嘻哈的方式向上移动。")</f>
        <v>女孩继续锻炼并侧面移动，并开始以嘻哈的方式向上移动。</v>
      </c>
    </row>
    <row r="33280">
      <c r="A33280" s="4" t="s">
        <v>41884</v>
      </c>
      <c r="B33280" s="6" t="s">
        <v>41887</v>
      </c>
      <c r="C33280" s="5" t="str">
        <f>IFERROR(__xludf.DUMMYFUNCTION("GOOGLETRANSLATE(B33280,""en"",""zh-CN"")"),"然后，她进入某种形式的蹲下，继续移动，然后从左到右滑动，继续跳舞和弯曲。")</f>
        <v>然后，她进入某种形式的蹲下，继续移动，然后从左到右滑动，继续跳舞和弯曲。</v>
      </c>
    </row>
    <row r="33281">
      <c r="A33281" s="4" t="s">
        <v>41888</v>
      </c>
      <c r="B33281" s="4" t="s">
        <v>41889</v>
      </c>
      <c r="C33281" s="5" t="str">
        <f>IFERROR(__xludf.DUMMYFUNCTION("GOOGLETRANSLATE(B33281,""en"",""zh-CN"")"),"我们看到人们用紫色的木筏漂浮在湖中。")</f>
        <v>我们看到人们用紫色的木筏漂浮在湖中。</v>
      </c>
    </row>
    <row r="33282">
      <c r="A33282" s="4" t="s">
        <v>41888</v>
      </c>
      <c r="B33282" s="4" t="s">
        <v>41890</v>
      </c>
      <c r="C33282" s="5" t="str">
        <f>IFERROR(__xludf.DUMMYFUNCTION("GOOGLETRANSLATE(B33282,""en"",""zh-CN"")"),"一个人将脚放在岩石上。")</f>
        <v>一个人将脚放在岩石上。</v>
      </c>
    </row>
    <row r="33283">
      <c r="A33283" s="4" t="s">
        <v>41888</v>
      </c>
      <c r="B33283" s="4" t="s">
        <v>41891</v>
      </c>
      <c r="C33283" s="5" t="str">
        <f>IFERROR(__xludf.DUMMYFUNCTION("GOOGLETRANSLATE(B33283,""en"",""zh-CN"")"),"人们击中了粗糙的水。")</f>
        <v>人们击中了粗糙的水。</v>
      </c>
    </row>
    <row r="33284">
      <c r="A33284" s="4" t="s">
        <v>41888</v>
      </c>
      <c r="B33284" s="4" t="s">
        <v>41892</v>
      </c>
      <c r="C33284" s="5" t="str">
        <f>IFERROR(__xludf.DUMMYFUNCTION("GOOGLETRANSLATE(B33284,""en"",""zh-CN"")"),"我们在岸上看到一个红色独木舟。")</f>
        <v>我们在岸上看到一个红色独木舟。</v>
      </c>
    </row>
    <row r="33285">
      <c r="A33285" s="4" t="s">
        <v>41888</v>
      </c>
      <c r="B33285" s="4" t="s">
        <v>41893</v>
      </c>
      <c r="C33285" s="5" t="str">
        <f>IFERROR(__xludf.DUMMYFUNCTION("GOOGLETRANSLATE(B33285,""en"",""zh-CN"")"),"我们在河上泛滥。")</f>
        <v>我们在河上泛滥。</v>
      </c>
    </row>
    <row r="33286">
      <c r="A33286" s="4" t="s">
        <v>41894</v>
      </c>
      <c r="B33286" s="4" t="s">
        <v>41895</v>
      </c>
      <c r="C33286" s="5" t="str">
        <f>IFERROR(__xludf.DUMMYFUNCTION("GOOGLETRANSLATE(B33286,""en"",""zh-CN"")"),"一个男人被证明在后院用水管洗了几朵花。")</f>
        <v>一个男人被证明在后院用水管洗了几朵花。</v>
      </c>
    </row>
    <row r="33287">
      <c r="A33287" s="4" t="s">
        <v>41894</v>
      </c>
      <c r="B33287" s="4" t="s">
        <v>41896</v>
      </c>
      <c r="C33287" s="5" t="str">
        <f>IFERROR(__xludf.DUMMYFUNCTION("GOOGLETRANSLATE(B33287,""en"",""zh-CN"")"),"当男人继续洗净他时，相机在湿狗周围摇晃，他摇了摇。")</f>
        <v>当男人继续洗净他时，相机在湿狗周围摇晃，他摇了摇。</v>
      </c>
    </row>
    <row r="33288">
      <c r="A33288" s="4" t="s">
        <v>41894</v>
      </c>
      <c r="B33288" s="4" t="s">
        <v>41897</v>
      </c>
      <c r="C33288" s="5" t="str">
        <f>IFERROR(__xludf.DUMMYFUNCTION("GOOGLETRANSLATE(B33288,""en"",""zh-CN"")"),"他将更多的洗发水倒在狗身上，然后将洗发水擦成皮草。")</f>
        <v>他将更多的洗发水倒在狗身上，然后将洗发水擦成皮草。</v>
      </c>
    </row>
    <row r="33289">
      <c r="A33289" s="4" t="s">
        <v>41898</v>
      </c>
      <c r="B33289" s="4" t="s">
        <v>41899</v>
      </c>
      <c r="C33289" s="5" t="str">
        <f>IFERROR(__xludf.DUMMYFUNCTION("GOOGLETRANSLATE(B33289,""en"",""zh-CN"")"),"看到一个后院的区域，导致了几个孩子，而在梯子上工作的老人。")</f>
        <v>看到一个后院的区域，导致了几个孩子，而在梯子上工作的老人。</v>
      </c>
    </row>
    <row r="33290">
      <c r="A33290" s="4" t="s">
        <v>41898</v>
      </c>
      <c r="B33290" s="4" t="s">
        <v>41900</v>
      </c>
      <c r="C33290" s="5" t="str">
        <f>IFERROR(__xludf.DUMMYFUNCTION("GOOGLETRANSLATE(B33290,""en"",""zh-CN"")"),"该小组将树篱沿着侧面切开，并将其扔进水桶并帮助老人。")</f>
        <v>该小组将树篱沿着侧面切开，并将其扔进水桶并帮助老人。</v>
      </c>
    </row>
    <row r="33291">
      <c r="A33291" s="4" t="s">
        <v>41898</v>
      </c>
      <c r="B33291" s="6" t="s">
        <v>41901</v>
      </c>
      <c r="C33291" s="5" t="str">
        <f>IFERROR(__xludf.DUMMYFUNCTION("GOOGLETRANSLATE(B33291,""en"",""zh-CN"")"),"孩子们将叶子推向正面时，他们继续通过收集叶子来帮助另一个男人。")</f>
        <v>孩子们将叶子推向正面时，他们继续通过收集叶子来帮助另一个男人。</v>
      </c>
    </row>
    <row r="33292">
      <c r="A33292" s="4" t="s">
        <v>41902</v>
      </c>
      <c r="B33292" s="4" t="s">
        <v>41903</v>
      </c>
      <c r="C33292" s="5" t="str">
        <f>IFERROR(__xludf.DUMMYFUNCTION("GOOGLETRANSLATE(B33292,""en"",""zh-CN"")"),"一个女人坐在弯腰，用手洗衣服。")</f>
        <v>一个女人坐在弯腰，用手洗衣服。</v>
      </c>
    </row>
    <row r="33293">
      <c r="A33293" s="4" t="s">
        <v>41902</v>
      </c>
      <c r="B33293" s="4" t="s">
        <v>41904</v>
      </c>
      <c r="C33293" s="5" t="str">
        <f>IFERROR(__xludf.DUMMYFUNCTION("GOOGLETRANSLATE(B33293,""en"",""zh-CN"")"),"她的朋友过来和她说话，然后再次走开。")</f>
        <v>她的朋友过来和她说话，然后再次走开。</v>
      </c>
    </row>
    <row r="33294">
      <c r="A33294" s="4" t="s">
        <v>41902</v>
      </c>
      <c r="B33294" s="6" t="s">
        <v>41905</v>
      </c>
      <c r="C33294" s="5" t="str">
        <f>IFERROR(__xludf.DUMMYFUNCTION("GOOGLETRANSLATE(B33294,""en"",""zh-CN"")"),"她继续大量擦洗衣服，在放入另一个桶之前，确保它的干净整洁。")</f>
        <v>她继续大量擦洗衣服，在放入另一个桶之前，确保它的干净整洁。</v>
      </c>
    </row>
    <row r="33295">
      <c r="A33295" s="4" t="s">
        <v>41902</v>
      </c>
      <c r="B33295" s="4" t="s">
        <v>41906</v>
      </c>
      <c r="C33295" s="5" t="str">
        <f>IFERROR(__xludf.DUMMYFUNCTION("GOOGLETRANSLATE(B33295,""en"",""zh-CN"")"),"完成后，她洗净并将其扔进干桶中。")</f>
        <v>完成后，她洗净并将其扔进干桶中。</v>
      </c>
    </row>
    <row r="33296">
      <c r="A33296" s="4" t="s">
        <v>41907</v>
      </c>
      <c r="B33296" s="4" t="s">
        <v>41908</v>
      </c>
      <c r="C33296" s="5" t="str">
        <f>IFERROR(__xludf.DUMMYFUNCTION("GOOGLETRANSLATE(B33296,""en"",""zh-CN"")"),"当公牛撞上男人时，看到一个男人跪在泥土上。")</f>
        <v>当公牛撞上男人时，看到一个男人跪在泥土上。</v>
      </c>
    </row>
    <row r="33297">
      <c r="A33297" s="4" t="s">
        <v>41907</v>
      </c>
      <c r="B33297" s="4" t="s">
        <v>41909</v>
      </c>
      <c r="C33297" s="5" t="str">
        <f>IFERROR(__xludf.DUMMYFUNCTION("GOOGLETRANSLATE(B33297,""en"",""zh-CN"")"),"他敲了那个男人，被拖走了，然后再次显示了他的剪辑。")</f>
        <v>他敲了那个男人，被拖走了，然后再次显示了他的剪辑。</v>
      </c>
    </row>
    <row r="33298">
      <c r="A33298" s="4" t="s">
        <v>41907</v>
      </c>
      <c r="B33298" s="4" t="s">
        <v>41910</v>
      </c>
      <c r="C33298" s="5" t="str">
        <f>IFERROR(__xludf.DUMMYFUNCTION("GOOGLETRANSLATE(B33298,""en"",""zh-CN"")"),"还显示了其他人追逐公牛并逃跑的剪辑。")</f>
        <v>还显示了其他人追逐公牛并逃跑的剪辑。</v>
      </c>
    </row>
    <row r="33299">
      <c r="A33299" s="4" t="s">
        <v>41911</v>
      </c>
      <c r="B33299" s="4" t="s">
        <v>41912</v>
      </c>
      <c r="C33299" s="5" t="str">
        <f>IFERROR(__xludf.DUMMYFUNCTION("GOOGLETRANSLATE(B33299,""en"",""zh-CN"")"),"游泳者在游泳池里游泳。")</f>
        <v>游泳者在游泳池里游泳。</v>
      </c>
    </row>
    <row r="33300">
      <c r="A33300" s="4" t="s">
        <v>41911</v>
      </c>
      <c r="B33300" s="4" t="s">
        <v>41913</v>
      </c>
      <c r="C33300" s="5" t="str">
        <f>IFERROR(__xludf.DUMMYFUNCTION("GOOGLETRANSLATE(B33300,""en"",""zh-CN"")"),"看到游泳者穿着训练浮潜。")</f>
        <v>看到游泳者穿着训练浮潜。</v>
      </c>
    </row>
    <row r="33301">
      <c r="A33301" s="4" t="s">
        <v>41914</v>
      </c>
      <c r="B33301" s="4" t="s">
        <v>41915</v>
      </c>
      <c r="C33301" s="5" t="str">
        <f>IFERROR(__xludf.DUMMYFUNCTION("GOOGLETRANSLATE(B33301,""en"",""zh-CN"")"),"显示了战斗机的屏幕，然后选择了两个随机图像。")</f>
        <v>显示了战斗机的屏幕，然后选择了两个随机图像。</v>
      </c>
    </row>
    <row r="33302">
      <c r="A33302" s="4" t="s">
        <v>41914</v>
      </c>
      <c r="B33302" s="6" t="s">
        <v>41916</v>
      </c>
      <c r="C33302" s="5" t="str">
        <f>IFERROR(__xludf.DUMMYFUNCTION("GOOGLETRANSLATE(B33302,""en"",""zh-CN"")"),"一旦选择，这些图片就移至屏幕的顶部角落，两个穿着相扑制服的人站在圆形的中间，并随着汽车围绕汽车行驶而开始战斗。")</f>
        <v>一旦选择，这些图片就移至屏幕的顶部角落，两个穿着相扑制服的人站在圆形的中间，并随着汽车围绕汽车行驶而开始战斗。</v>
      </c>
    </row>
    <row r="33303">
      <c r="A33303" s="4" t="s">
        <v>41917</v>
      </c>
      <c r="B33303" s="4" t="s">
        <v>41918</v>
      </c>
      <c r="C33303" s="5" t="str">
        <f>IFERROR(__xludf.DUMMYFUNCTION("GOOGLETRANSLATE(B33303,""en"",""zh-CN"")"),"然后开始介绍，然后显示一个女孩站在浴室里，长长的头发的照片。")</f>
        <v>然后开始介绍，然后显示一个女孩站在浴室里，长长的头发的照片。</v>
      </c>
    </row>
    <row r="33304">
      <c r="A33304" s="4" t="s">
        <v>41917</v>
      </c>
      <c r="B33304" s="6" t="s">
        <v>41919</v>
      </c>
      <c r="C33304" s="5" t="str">
        <f>IFERROR(__xludf.DUMMYFUNCTION("GOOGLETRANSLATE(B33304,""en"",""zh-CN"")"),"然后，她开始与相机交谈，同时抚摸头发，然后吹干并刷头发。")</f>
        <v>然后，她开始与相机交谈，同时抚摸头发，然后吹干并刷头发。</v>
      </c>
    </row>
    <row r="33305">
      <c r="A33305" s="4" t="s">
        <v>41917</v>
      </c>
      <c r="B33305" s="4" t="s">
        <v>41920</v>
      </c>
      <c r="C33305" s="5" t="str">
        <f>IFERROR(__xludf.DUMMYFUNCTION("GOOGLETRANSLATE(B33305,""en"",""zh-CN"")"),"然后，她将乳液放在头发上，将头发碎成部分。")</f>
        <v>然后，她将乳液放在头发上，将头发碎成部分。</v>
      </c>
    </row>
    <row r="33306">
      <c r="A33306" s="4" t="s">
        <v>41917</v>
      </c>
      <c r="B33306" s="4" t="s">
        <v>41921</v>
      </c>
      <c r="C33306" s="5" t="str">
        <f>IFERROR(__xludf.DUMMYFUNCTION("GOOGLETRANSLATE(B33306,""en"",""zh-CN"")"),"她最终拉直了头发和微笑。")</f>
        <v>她最终拉直了头发和微笑。</v>
      </c>
    </row>
    <row r="33307">
      <c r="A33307" s="4" t="s">
        <v>41922</v>
      </c>
      <c r="B33307" s="4" t="s">
        <v>41923</v>
      </c>
      <c r="C33307" s="5" t="str">
        <f>IFERROR(__xludf.DUMMYFUNCTION("GOOGLETRANSLATE(B33307,""en"",""zh-CN"")"),"乐队聚集在建筑物外。")</f>
        <v>乐队聚集在建筑物外。</v>
      </c>
    </row>
    <row r="33308">
      <c r="A33308" s="4" t="s">
        <v>41922</v>
      </c>
      <c r="B33308" s="4" t="s">
        <v>41924</v>
      </c>
      <c r="C33308" s="5" t="str">
        <f>IFERROR(__xludf.DUMMYFUNCTION("GOOGLETRANSLATE(B33308,""en"",""zh-CN"")"),"领导者正在使用接力棒指导他们。")</f>
        <v>领导者正在使用接力棒指导他们。</v>
      </c>
    </row>
    <row r="33309">
      <c r="A33309" s="4" t="s">
        <v>41922</v>
      </c>
      <c r="B33309" s="4" t="s">
        <v>41925</v>
      </c>
      <c r="C33309" s="5" t="str">
        <f>IFERROR(__xludf.DUMMYFUNCTION("GOOGLETRANSLATE(B33309,""en"",""zh-CN"")"),"他们正在为小观众打鼓。")</f>
        <v>他们正在为小观众打鼓。</v>
      </c>
    </row>
    <row r="33310">
      <c r="A33310" s="4" t="s">
        <v>41926</v>
      </c>
      <c r="B33310" s="6" t="s">
        <v>41927</v>
      </c>
      <c r="C33310" s="5" t="str">
        <f>IFERROR(__xludf.DUMMYFUNCTION("GOOGLETRANSLATE(B33310,""en"",""zh-CN"")"),"后院的一个家伙在炎热的晴天割草，而一位女士唱片唱片和叙述。")</f>
        <v>后院的一个家伙在炎热的晴天割草，而一位女士唱片唱片和叙述。</v>
      </c>
    </row>
    <row r="33311">
      <c r="A33311" s="4" t="s">
        <v>41926</v>
      </c>
      <c r="B33311" s="4" t="s">
        <v>41928</v>
      </c>
      <c r="C33311" s="5" t="str">
        <f>IFERROR(__xludf.DUMMYFUNCTION("GOOGLETRANSLATE(B33311,""en"",""zh-CN"")"),"当他移动割草机时，他开始来回运动。")</f>
        <v>当他移动割草机时，他开始来回运动。</v>
      </c>
    </row>
    <row r="33312">
      <c r="A33312" s="4" t="s">
        <v>41926</v>
      </c>
      <c r="B33312" s="4" t="s">
        <v>41929</v>
      </c>
      <c r="C33312" s="5" t="str">
        <f>IFERROR(__xludf.DUMMYFUNCTION("GOOGLETRANSLATE(B33312,""en"",""zh-CN"")"),"当他继续割草时，这个家伙改变了方向。")</f>
        <v>当他继续割草时，这个家伙改变了方向。</v>
      </c>
    </row>
    <row r="33313">
      <c r="A33313" s="4" t="s">
        <v>41930</v>
      </c>
      <c r="B33313" s="4" t="s">
        <v>41931</v>
      </c>
      <c r="C33313" s="5" t="str">
        <f>IFERROR(__xludf.DUMMYFUNCTION("GOOGLETRANSLATE(B33313,""en"",""zh-CN"")"),"一群守卫在弹小号时沿着车道行进。")</f>
        <v>一群守卫在弹小号时沿着车道行进。</v>
      </c>
    </row>
    <row r="33314">
      <c r="A33314" s="4" t="s">
        <v>41930</v>
      </c>
      <c r="B33314" s="4" t="s">
        <v>41932</v>
      </c>
      <c r="C33314" s="5" t="str">
        <f>IFERROR(__xludf.DUMMYFUNCTION("GOOGLETRANSLATE(B33314,""en"",""zh-CN"")"),"一个男人用火焰加热一个小锅。")</f>
        <v>一个男人用火焰加热一个小锅。</v>
      </c>
    </row>
    <row r="33315">
      <c r="A33315" s="4" t="s">
        <v>41930</v>
      </c>
      <c r="B33315" s="4" t="s">
        <v>41933</v>
      </c>
      <c r="C33315" s="5" t="str">
        <f>IFERROR(__xludf.DUMMYFUNCTION("GOOGLETRANSLATE(B33315,""en"",""zh-CN"")"),"站在附近的三名士兵看着他。")</f>
        <v>站在附近的三名士兵看着他。</v>
      </c>
    </row>
    <row r="33316">
      <c r="A33316" s="4" t="s">
        <v>41930</v>
      </c>
      <c r="B33316" s="4" t="s">
        <v>41934</v>
      </c>
      <c r="C33316" s="5" t="str">
        <f>IFERROR(__xludf.DUMMYFUNCTION("GOOGLETRANSLATE(B33316,""en"",""zh-CN"")"),"该男子抓住画笔，将其移动到锅中。")</f>
        <v>该男子抓住画笔，将其移动到锅中。</v>
      </c>
    </row>
    <row r="33317">
      <c r="A33317" s="4" t="s">
        <v>41930</v>
      </c>
      <c r="B33317" s="4" t="s">
        <v>41935</v>
      </c>
      <c r="C33317" s="5" t="str">
        <f>IFERROR(__xludf.DUMMYFUNCTION("GOOGLETRANSLATE(B33317,""en"",""zh-CN"")"),"他拿起刷子刷鞋。")</f>
        <v>他拿起刷子刷鞋。</v>
      </c>
    </row>
    <row r="33318">
      <c r="A33318" s="4" t="s">
        <v>41930</v>
      </c>
      <c r="B33318" s="4" t="s">
        <v>41936</v>
      </c>
      <c r="C33318" s="5" t="str">
        <f>IFERROR(__xludf.DUMMYFUNCTION("GOOGLETRANSLATE(B33318,""en"",""zh-CN"")"),"他用火焰罐火烧鞋子。")</f>
        <v>他用火焰罐火烧鞋子。</v>
      </c>
    </row>
    <row r="33319">
      <c r="A33319" s="4" t="s">
        <v>41930</v>
      </c>
      <c r="B33319" s="4" t="s">
        <v>41937</v>
      </c>
      <c r="C33319" s="5" t="str">
        <f>IFERROR(__xludf.DUMMYFUNCTION("GOOGLETRANSLATE(B33319,""en"",""zh-CN"")"),"他再次刷鞋。")</f>
        <v>他再次刷鞋。</v>
      </c>
    </row>
    <row r="33320">
      <c r="A33320" s="4" t="s">
        <v>41930</v>
      </c>
      <c r="B33320" s="4" t="s">
        <v>41938</v>
      </c>
      <c r="C33320" s="5" t="str">
        <f>IFERROR(__xludf.DUMMYFUNCTION("GOOGLETRANSLATE(B33320,""en"",""zh-CN"")"),"然后，他将鞋子炸一些。")</f>
        <v>然后，他将鞋子炸一些。</v>
      </c>
    </row>
    <row r="33321">
      <c r="A33321" s="4" t="s">
        <v>41939</v>
      </c>
      <c r="B33321" s="6" t="s">
        <v>41940</v>
      </c>
      <c r="C33321" s="5" t="str">
        <f>IFERROR(__xludf.DUMMYFUNCTION("GOOGLETRANSLATE(B33321,""en"",""zh-CN"")"),"一个男人正在院子里割草，笑着和正在观看的朋友开玩笑。")</f>
        <v>一个男人正在院子里割草，笑着和正在观看的朋友开玩笑。</v>
      </c>
    </row>
    <row r="33322">
      <c r="A33322" s="4" t="s">
        <v>41939</v>
      </c>
      <c r="B33322" s="6" t="s">
        <v>41941</v>
      </c>
      <c r="C33322" s="5" t="str">
        <f>IFERROR(__xludf.DUMMYFUNCTION("GOOGLETRANSLATE(B33322,""en"",""zh-CN"")"),"他开始与草坪搬家一起奔跑，几乎遇到了一些东西，因为他的朋友们笑了起来。")</f>
        <v>他开始与草坪搬家一起奔跑，几乎遇到了一些东西，因为他的朋友们笑了起来。</v>
      </c>
    </row>
    <row r="33323">
      <c r="A33323" s="4" t="s">
        <v>41939</v>
      </c>
      <c r="B33323" s="4" t="s">
        <v>41942</v>
      </c>
      <c r="C33323" s="5" t="str">
        <f>IFERROR(__xludf.DUMMYFUNCTION("GOOGLETRANSLATE(B33323,""en"",""zh-CN"")"),"他的一个朋友试图帮助他割草。")</f>
        <v>他的一个朋友试图帮助他割草。</v>
      </c>
    </row>
    <row r="33324">
      <c r="A33324" s="4" t="s">
        <v>41943</v>
      </c>
      <c r="B33324" s="4" t="s">
        <v>41944</v>
      </c>
      <c r="C33324" s="5" t="str">
        <f>IFERROR(__xludf.DUMMYFUNCTION("GOOGLETRANSLATE(B33324,""en"",""zh-CN"")"),"一个女孩坐在椅子上说话。")</f>
        <v>一个女孩坐在椅子上说话。</v>
      </c>
    </row>
    <row r="33325">
      <c r="A33325" s="4" t="s">
        <v>41943</v>
      </c>
      <c r="B33325" s="4" t="s">
        <v>41945</v>
      </c>
      <c r="C33325" s="5" t="str">
        <f>IFERROR(__xludf.DUMMYFUNCTION("GOOGLETRANSLATE(B33325,""en"",""zh-CN"")"),"一个女人走到女孩身边，擦擦耳垂。")</f>
        <v>一个女人走到女孩身边，擦擦耳垂。</v>
      </c>
    </row>
    <row r="33326">
      <c r="A33326" s="4" t="s">
        <v>41943</v>
      </c>
      <c r="B33326" s="4" t="s">
        <v>41946</v>
      </c>
      <c r="C33326" s="5" t="str">
        <f>IFERROR(__xludf.DUMMYFUNCTION("GOOGLETRANSLATE(B33326,""en"",""zh-CN"")"),"那个女人然后刺穿女孩的耳朵。")</f>
        <v>那个女人然后刺穿女孩的耳朵。</v>
      </c>
    </row>
    <row r="33327">
      <c r="A33327" s="4" t="s">
        <v>41943</v>
      </c>
      <c r="B33327" s="4" t="s">
        <v>41947</v>
      </c>
      <c r="C33327" s="5" t="str">
        <f>IFERROR(__xludf.DUMMYFUNCTION("GOOGLETRANSLATE(B33327,""en"",""zh-CN"")"),"那个女孩的耳朵拼凑出来后，她的眼镜戴上。")</f>
        <v>那个女孩的耳朵拼凑出来后，她的眼镜戴上。</v>
      </c>
    </row>
    <row r="33328">
      <c r="A33328" s="4" t="s">
        <v>41948</v>
      </c>
      <c r="B33328" s="4" t="s">
        <v>41949</v>
      </c>
      <c r="C33328" s="5" t="str">
        <f>IFERROR(__xludf.DUMMYFUNCTION("GOOGLETRANSLATE(B33328,""en"",""zh-CN"")"),"当单词笼罩着他的脸时，一个男人在图像中露出微笑。")</f>
        <v>当单词笼罩着他的脸时，一个男人在图像中露出微笑。</v>
      </c>
    </row>
    <row r="33329">
      <c r="A33329" s="4" t="s">
        <v>41948</v>
      </c>
      <c r="B33329" s="6" t="s">
        <v>41950</v>
      </c>
      <c r="C33329" s="5" t="str">
        <f>IFERROR(__xludf.DUMMYFUNCTION("GOOGLETRANSLATE(B33329,""en"",""zh-CN"")"),"他在室内法庭上，向一个小男孩展示了如何用球拍击中墙上的网球。")</f>
        <v>他在室内法庭上，向一个小男孩展示了如何用球拍击中墙上的网球。</v>
      </c>
    </row>
    <row r="33330">
      <c r="A33330" s="4" t="s">
        <v>41948</v>
      </c>
      <c r="B33330" s="4" t="s">
        <v>41951</v>
      </c>
      <c r="C33330" s="5" t="str">
        <f>IFERROR(__xludf.DUMMYFUNCTION("GOOGLETRANSLATE(B33330,""en"",""zh-CN"")"),"这个男孩尝试了几次。")</f>
        <v>这个男孩尝试了几次。</v>
      </c>
    </row>
    <row r="33331">
      <c r="A33331" s="4" t="s">
        <v>41952</v>
      </c>
      <c r="B33331" s="4" t="s">
        <v>41953</v>
      </c>
      <c r="C33331" s="5" t="str">
        <f>IFERROR(__xludf.DUMMYFUNCTION("GOOGLETRANSLATE(B33331,""en"",""zh-CN"")"),"一个没有双手的男人抓住一只被困在木板上的飞镖，向后走。")</f>
        <v>一个没有双手的男人抓住一只被困在木板上的飞镖，向后走。</v>
      </c>
    </row>
    <row r="33332">
      <c r="A33332" s="4" t="s">
        <v>41952</v>
      </c>
      <c r="B33332" s="4" t="s">
        <v>41954</v>
      </c>
      <c r="C33332" s="5" t="str">
        <f>IFERROR(__xludf.DUMMYFUNCTION("GOOGLETRANSLATE(B33332,""en"",""zh-CN"")"),"然后，他将黑暗扔在空中，展示它降落在板上。")</f>
        <v>然后，他将黑暗扔在空中，展示它降落在板上。</v>
      </c>
    </row>
    <row r="33333">
      <c r="A33333" s="4" t="s">
        <v>41955</v>
      </c>
      <c r="B33333" s="6" t="s">
        <v>41956</v>
      </c>
      <c r="C33333" s="5" t="str">
        <f>IFERROR(__xludf.DUMMYFUNCTION("GOOGLETRANSLATE(B33333,""en"",""zh-CN"")"),"看到一名突击队员在镜头上说话，并通往邻居周围的相机，那个男人走来走去。")</f>
        <v>看到一名突击队员在镜头上说话，并通往邻居周围的相机，那个男人走来走去。</v>
      </c>
    </row>
    <row r="33334">
      <c r="A33334" s="4" t="s">
        <v>41955</v>
      </c>
      <c r="B33334" s="4" t="s">
        <v>41957</v>
      </c>
      <c r="C33334" s="5" t="str">
        <f>IFERROR(__xludf.DUMMYFUNCTION("GOOGLETRANSLATE(B33334,""en"",""zh-CN"")"),"许多孩子停下来与那个男人说话，汽车停下来讲话。")</f>
        <v>许多孩子停下来与那个男人说话，汽车停下来讲话。</v>
      </c>
    </row>
    <row r="33335">
      <c r="A33335" s="4" t="s">
        <v>41958</v>
      </c>
      <c r="B33335" s="4" t="s">
        <v>41959</v>
      </c>
      <c r="C33335" s="5" t="str">
        <f>IFERROR(__xludf.DUMMYFUNCTION("GOOGLETRANSLATE(B33335,""en"",""zh-CN"")"),"看到一大批人与其他人一起玩一场拔河游戏。")</f>
        <v>看到一大批人与其他人一起玩一场拔河游戏。</v>
      </c>
    </row>
    <row r="33336">
      <c r="A33336" s="4" t="s">
        <v>41958</v>
      </c>
      <c r="B33336" s="4" t="s">
        <v>41960</v>
      </c>
      <c r="C33336" s="5" t="str">
        <f>IFERROR(__xludf.DUMMYFUNCTION("GOOGLETRANSLATE(B33336,""en"",""zh-CN"")"),"人们反击和第四，而其他人则在一边看。")</f>
        <v>人们反击和第四，而其他人则在一边看。</v>
      </c>
    </row>
    <row r="33337">
      <c r="A33337" s="4" t="s">
        <v>41958</v>
      </c>
      <c r="B33337" s="4" t="s">
        <v>41961</v>
      </c>
      <c r="C33337" s="5" t="str">
        <f>IFERROR(__xludf.DUMMYFUNCTION("GOOGLETRANSLATE(B33337,""en"",""zh-CN"")"),"然后，一个小组将另一组拉下来，然后走开。")</f>
        <v>然后，一个小组将另一组拉下来，然后走开。</v>
      </c>
    </row>
    <row r="33338">
      <c r="A33338" s="4" t="s">
        <v>41962</v>
      </c>
      <c r="B33338" s="4" t="s">
        <v>41963</v>
      </c>
      <c r="C33338" s="5" t="str">
        <f>IFERROR(__xludf.DUMMYFUNCTION("GOOGLETRANSLATE(B33338,""en"",""zh-CN"")"),"一条城市天际线出现在一条大河前。")</f>
        <v>一条城市天际线出现在一条大河前。</v>
      </c>
    </row>
    <row r="33339">
      <c r="A33339" s="4" t="s">
        <v>41962</v>
      </c>
      <c r="B33339" s="4" t="s">
        <v>41964</v>
      </c>
      <c r="C33339" s="5" t="str">
        <f>IFERROR(__xludf.DUMMYFUNCTION("GOOGLETRANSLATE(B33339,""en"",""zh-CN"")"),"从外部显示了几家企业。")</f>
        <v>从外部显示了几家企业。</v>
      </c>
    </row>
    <row r="33340">
      <c r="A33340" s="4" t="s">
        <v>41962</v>
      </c>
      <c r="B33340" s="4" t="s">
        <v>41965</v>
      </c>
      <c r="C33340" s="5" t="str">
        <f>IFERROR(__xludf.DUMMYFUNCTION("GOOGLETRANSLATE(B33340,""en"",""zh-CN"")"),"围栏比赛开始在建筑物内。")</f>
        <v>围栏比赛开始在建筑物内。</v>
      </c>
    </row>
    <row r="33341">
      <c r="A33341" s="4" t="s">
        <v>41966</v>
      </c>
      <c r="B33341" s="4" t="s">
        <v>41967</v>
      </c>
      <c r="C33341" s="5" t="str">
        <f>IFERROR(__xludf.DUMMYFUNCTION("GOOGLETRANSLATE(B33341,""en"",""zh-CN"")"),"我们看到人们骑着保险杠汽车。")</f>
        <v>我们看到人们骑着保险杠汽车。</v>
      </c>
    </row>
    <row r="33342">
      <c r="A33342" s="4" t="s">
        <v>41966</v>
      </c>
      <c r="B33342" s="4" t="s">
        <v>41968</v>
      </c>
      <c r="C33342" s="5" t="str">
        <f>IFERROR(__xludf.DUMMYFUNCTION("GOOGLETRANSLATE(B33342,""en"",""zh-CN"")"),"相机向右移动。")</f>
        <v>相机向右移动。</v>
      </c>
    </row>
    <row r="33343">
      <c r="A33343" s="4" t="s">
        <v>41966</v>
      </c>
      <c r="B33343" s="4" t="s">
        <v>41969</v>
      </c>
      <c r="C33343" s="5" t="str">
        <f>IFERROR(__xludf.DUMMYFUNCTION("GOOGLETRANSLATE(B33343,""en"",""zh-CN"")"),"黑色的女孩被卡住了。")</f>
        <v>黑色的女孩被卡住了。</v>
      </c>
    </row>
    <row r="33344">
      <c r="A33344" s="4" t="s">
        <v>41966</v>
      </c>
      <c r="B33344" s="4" t="s">
        <v>41970</v>
      </c>
      <c r="C33344" s="5" t="str">
        <f>IFERROR(__xludf.DUMMYFUNCTION("GOOGLETRANSLATE(B33344,""en"",""zh-CN"")"),"然后汽车停下来。")</f>
        <v>然后汽车停下来。</v>
      </c>
    </row>
    <row r="33345">
      <c r="A33345" s="4" t="s">
        <v>41971</v>
      </c>
      <c r="B33345" s="4" t="s">
        <v>41972</v>
      </c>
      <c r="C33345" s="5" t="str">
        <f>IFERROR(__xludf.DUMMYFUNCTION("GOOGLETRANSLATE(B33345,""en"",""zh-CN"")"),"一个女人跳舞，而另一个女人则站在背景中。")</f>
        <v>一个女人跳舞，而另一个女人则站在背景中。</v>
      </c>
    </row>
    <row r="33346">
      <c r="A33346" s="4" t="s">
        <v>41971</v>
      </c>
      <c r="B33346" s="4" t="s">
        <v>41973</v>
      </c>
      <c r="C33346" s="5" t="str">
        <f>IFERROR(__xludf.DUMMYFUNCTION("GOOGLETRANSLATE(B33346,""en"",""zh-CN"")"),"第三个女人扫地。")</f>
        <v>第三个女人扫地。</v>
      </c>
    </row>
    <row r="33347">
      <c r="A33347" s="4" t="s">
        <v>41971</v>
      </c>
      <c r="B33347" s="4" t="s">
        <v>41974</v>
      </c>
      <c r="C33347" s="5" t="str">
        <f>IFERROR(__xludf.DUMMYFUNCTION("GOOGLETRANSLATE(B33347,""en"",""zh-CN"")"),"第二个女人开始用一英尺以下的毛巾走来走去。")</f>
        <v>第二个女人开始用一英尺以下的毛巾走来走去。</v>
      </c>
    </row>
    <row r="33348">
      <c r="A33348" s="4" t="s">
        <v>41971</v>
      </c>
      <c r="B33348" s="4" t="s">
        <v>41975</v>
      </c>
      <c r="C33348" s="5" t="str">
        <f>IFERROR(__xludf.DUMMYFUNCTION("GOOGLETRANSLATE(B33348,""en"",""zh-CN"")"),"第一个女人停止跳舞，开始用一只脚以下的毛巾走来走去。")</f>
        <v>第一个女人停止跳舞，开始用一只脚以下的毛巾走来走去。</v>
      </c>
    </row>
    <row r="33349">
      <c r="A33349" s="4" t="s">
        <v>41971</v>
      </c>
      <c r="B33349" s="4" t="s">
        <v>41976</v>
      </c>
      <c r="C33349" s="5" t="str">
        <f>IFERROR(__xludf.DUMMYFUNCTION("GOOGLETRANSLATE(B33349,""en"",""zh-CN"")"),"扫荡的女人停下来，跳跃和波浪，然后恢复。")</f>
        <v>扫荡的女人停下来，跳跃和波浪，然后恢复。</v>
      </c>
    </row>
    <row r="33350">
      <c r="A33350" s="4" t="s">
        <v>41971</v>
      </c>
      <c r="B33350" s="4" t="s">
        <v>41977</v>
      </c>
      <c r="C33350" s="5" t="str">
        <f>IFERROR(__xludf.DUMMYFUNCTION("GOOGLETRANSLATE(B33350,""en"",""zh-CN"")"),"第一位妇女将物品从橱柜中拉出，并将其放在地板上。")</f>
        <v>第一位妇女将物品从橱柜中拉出，并将其放在地板上。</v>
      </c>
    </row>
    <row r="33351">
      <c r="A33351" s="4" t="s">
        <v>41971</v>
      </c>
      <c r="B33351" s="4" t="s">
        <v>41978</v>
      </c>
      <c r="C33351" s="5" t="str">
        <f>IFERROR(__xludf.DUMMYFUNCTION("GOOGLETRANSLATE(B33351,""en"",""zh-CN"")"),"在门口短暂显示了第四个人。")</f>
        <v>在门口短暂显示了第四个人。</v>
      </c>
    </row>
    <row r="33352">
      <c r="A33352" s="4" t="s">
        <v>41979</v>
      </c>
      <c r="B33352" s="4" t="s">
        <v>41980</v>
      </c>
      <c r="C33352" s="5" t="str">
        <f>IFERROR(__xludf.DUMMYFUNCTION("GOOGLETRANSLATE(B33352,""en"",""zh-CN"")"),"地板上有一个雪花架。")</f>
        <v>地板上有一个雪花架。</v>
      </c>
    </row>
    <row r="33353">
      <c r="A33353" s="4" t="s">
        <v>41979</v>
      </c>
      <c r="B33353" s="4" t="s">
        <v>41981</v>
      </c>
      <c r="C33353" s="5" t="str">
        <f>IFERROR(__xludf.DUMMYFUNCTION("GOOGLETRANSLATE(B33353,""en"",""zh-CN"")"),"有人坐在膝盖上。")</f>
        <v>有人坐在膝盖上。</v>
      </c>
    </row>
    <row r="33354">
      <c r="A33354" s="4" t="s">
        <v>41979</v>
      </c>
      <c r="B33354" s="4" t="s">
        <v>41982</v>
      </c>
      <c r="C33354" s="5" t="str">
        <f>IFERROR(__xludf.DUMMYFUNCTION("GOOGLETRANSLATE(B33354,""en"",""zh-CN"")"),"角落里有一个垃圾桶。")</f>
        <v>角落里有一个垃圾桶。</v>
      </c>
    </row>
    <row r="33355">
      <c r="A33355" s="4" t="s">
        <v>41979</v>
      </c>
      <c r="B33355" s="4" t="s">
        <v>41983</v>
      </c>
      <c r="C33355" s="5" t="str">
        <f>IFERROR(__xludf.DUMMYFUNCTION("GOOGLETRANSLATE(B33355,""en"",""zh-CN"")"),"一个男孩在玩啤酒花。")</f>
        <v>一个男孩在玩啤酒花。</v>
      </c>
    </row>
    <row r="33356">
      <c r="A33356" s="4" t="s">
        <v>41984</v>
      </c>
      <c r="B33356" s="4" t="s">
        <v>41985</v>
      </c>
      <c r="C33356" s="5" t="str">
        <f>IFERROR(__xludf.DUMMYFUNCTION("GOOGLETRANSLATE(B33356,""en"",""zh-CN"")"),"当一位女士击球时，看到一小群人站在田野上。")</f>
        <v>当一位女士击球时，看到一小群人站在田野上。</v>
      </c>
    </row>
    <row r="33357">
      <c r="A33357" s="4" t="s">
        <v>41984</v>
      </c>
      <c r="B33357" s="4" t="s">
        <v>41986</v>
      </c>
      <c r="C33357" s="5" t="str">
        <f>IFERROR(__xludf.DUMMYFUNCTION("GOOGLETRANSLATE(B33357,""en"",""zh-CN"")"),"人们在四处走动时继续在草坪上玩钩针。")</f>
        <v>人们在四处走动时继续在草坪上玩钩针。</v>
      </c>
    </row>
    <row r="33358">
      <c r="A33358" s="4" t="s">
        <v>41987</v>
      </c>
      <c r="B33358" s="4" t="s">
        <v>41988</v>
      </c>
      <c r="C33358" s="5" t="str">
        <f>IFERROR(__xludf.DUMMYFUNCTION("GOOGLETRANSLATE(B33358,""en"",""zh-CN"")"),"人们在白色的篱笆前行走。")</f>
        <v>人们在白色的篱笆前行走。</v>
      </c>
    </row>
    <row r="33359">
      <c r="A33359" s="4" t="s">
        <v>41987</v>
      </c>
      <c r="B33359" s="4" t="s">
        <v>41989</v>
      </c>
      <c r="C33359" s="5" t="str">
        <f>IFERROR(__xludf.DUMMYFUNCTION("GOOGLETRANSLATE(B33359,""en"",""zh-CN"")"),"一个男人在篱笆后面骑马。")</f>
        <v>一个男人在篱笆后面骑马。</v>
      </c>
    </row>
    <row r="33360">
      <c r="A33360" s="4" t="s">
        <v>41987</v>
      </c>
      <c r="B33360" s="4" t="s">
        <v>41990</v>
      </c>
      <c r="C33360" s="5" t="str">
        <f>IFERROR(__xludf.DUMMYFUNCTION("GOOGLETRANSLATE(B33360,""en"",""zh-CN"")"),"他绑住小牛并将其扔到地面上。")</f>
        <v>他绑住小牛并将其扔到地面上。</v>
      </c>
    </row>
    <row r="33361">
      <c r="A33361" s="4" t="s">
        <v>41987</v>
      </c>
      <c r="B33361" s="4" t="s">
        <v>41991</v>
      </c>
      <c r="C33361" s="5" t="str">
        <f>IFERROR(__xludf.DUMMYFUNCTION("GOOGLETRANSLATE(B33361,""en"",""zh-CN"")"),"他绑着小腿的腿并站起来。")</f>
        <v>他绑着小腿的腿并站起来。</v>
      </c>
    </row>
    <row r="33362">
      <c r="A33362" s="4" t="s">
        <v>41987</v>
      </c>
      <c r="B33362" s="4" t="s">
        <v>41992</v>
      </c>
      <c r="C33362" s="5" t="str">
        <f>IFERROR(__xludf.DUMMYFUNCTION("GOOGLETRANSLATE(B33362,""en"",""zh-CN"")"),"他回到马。")</f>
        <v>他回到马。</v>
      </c>
    </row>
    <row r="33363">
      <c r="A33363" s="4" t="s">
        <v>41993</v>
      </c>
      <c r="B33363" s="4" t="s">
        <v>41994</v>
      </c>
      <c r="C33363" s="5" t="str">
        <f>IFERROR(__xludf.DUMMYFUNCTION("GOOGLETRANSLATE(B33363,""en"",""zh-CN"")"),"一个人使用三种乐器演奏Tam-Tam。")</f>
        <v>一个人使用三种乐器演奏Tam-Tam。</v>
      </c>
    </row>
    <row r="33364">
      <c r="A33364" s="4" t="s">
        <v>41993</v>
      </c>
      <c r="B33364" s="4" t="s">
        <v>41995</v>
      </c>
      <c r="C33364" s="5" t="str">
        <f>IFERROR(__xludf.DUMMYFUNCTION("GOOGLETRANSLATE(B33364,""en"",""zh-CN"")"),"其他人用两根棍棒演奏鼓。")</f>
        <v>其他人用两根棍棒演奏鼓。</v>
      </c>
    </row>
    <row r="33365">
      <c r="A33365" s="4" t="s">
        <v>41996</v>
      </c>
      <c r="B33365" s="4" t="s">
        <v>41997</v>
      </c>
      <c r="C33365" s="5" t="str">
        <f>IFERROR(__xludf.DUMMYFUNCTION("GOOGLETRANSLATE(B33365,""en"",""zh-CN"")"),"在他身后展示了一个带有公牛的卡通黄色角色。")</f>
        <v>在他身后展示了一个带有公牛的卡通黄色角色。</v>
      </c>
    </row>
    <row r="33366">
      <c r="A33366" s="4" t="s">
        <v>41996</v>
      </c>
      <c r="B33366" s="4" t="s">
        <v>41998</v>
      </c>
      <c r="C33366" s="5" t="str">
        <f>IFERROR(__xludf.DUMMYFUNCTION("GOOGLETRANSLATE(B33366,""en"",""zh-CN"")"),"然后显示几个相扑摔跤手从轨道上运行。")</f>
        <v>然后显示几个相扑摔跤手从轨道上运行。</v>
      </c>
    </row>
    <row r="33367">
      <c r="A33367" s="4" t="s">
        <v>41996</v>
      </c>
      <c r="B33367" s="4" t="s">
        <v>41999</v>
      </c>
      <c r="C33367" s="5" t="str">
        <f>IFERROR(__xludf.DUMMYFUNCTION("GOOGLETRANSLATE(B33367,""en"",""zh-CN"")"),"枪发射，他们再次奔跑。")</f>
        <v>枪发射，他们再次奔跑。</v>
      </c>
    </row>
    <row r="33368">
      <c r="A33368" s="4" t="s">
        <v>42000</v>
      </c>
      <c r="B33368" s="6" t="s">
        <v>42001</v>
      </c>
      <c r="C33368" s="5" t="str">
        <f>IFERROR(__xludf.DUMMYFUNCTION("GOOGLETRANSLATE(B33368,""en"",""zh-CN"")"),"一个男人来到外面，开始用黑铲铲雪，许多人在这样做时开车过去。")</f>
        <v>一个男人来到外面，开始用黑铲铲雪，许多人在这样做时开车过去。</v>
      </c>
    </row>
    <row r="33369">
      <c r="A33369" s="4" t="s">
        <v>42000</v>
      </c>
      <c r="B33369" s="4" t="s">
        <v>42002</v>
      </c>
      <c r="C33369" s="5" t="str">
        <f>IFERROR(__xludf.DUMMYFUNCTION("GOOGLETRANSLATE(B33369,""en"",""zh-CN"")"),"最后，摄像机放大了，以显示大雪中写的内容。")</f>
        <v>最后，摄像机放大了，以显示大雪中写的内容。</v>
      </c>
    </row>
    <row r="33370">
      <c r="A33370" s="4" t="s">
        <v>42000</v>
      </c>
      <c r="B33370" s="6" t="s">
        <v>42003</v>
      </c>
      <c r="C33370" s="5" t="str">
        <f>IFERROR(__xludf.DUMMYFUNCTION("GOOGLETRANSLATE(B33370,""en"",""zh-CN"")"),"这些信件创造了这个世界知名的假期短语，这是圣诞快乐，包括2013年。")</f>
        <v>这些信件创造了这个世界知名的假期短语，这是圣诞快乐，包括2013年。</v>
      </c>
    </row>
    <row r="33371">
      <c r="A33371" s="4" t="s">
        <v>42004</v>
      </c>
      <c r="B33371" s="4" t="s">
        <v>42005</v>
      </c>
      <c r="C33371" s="5" t="str">
        <f>IFERROR(__xludf.DUMMYFUNCTION("GOOGLETRANSLATE(B33371,""en"",""zh-CN"")"),"一个男人骑自行车。")</f>
        <v>一个男人骑自行车。</v>
      </c>
    </row>
    <row r="33372">
      <c r="A33372" s="4" t="s">
        <v>42004</v>
      </c>
      <c r="B33372" s="4" t="s">
        <v>42006</v>
      </c>
      <c r="C33372" s="5" t="str">
        <f>IFERROR(__xludf.DUMMYFUNCTION("GOOGLETRANSLATE(B33372,""en"",""zh-CN"")"),"轮胎很平坦，他感觉到了。")</f>
        <v>轮胎很平坦，他感觉到了。</v>
      </c>
    </row>
    <row r="33373">
      <c r="A33373" s="4" t="s">
        <v>42004</v>
      </c>
      <c r="B33373" s="4" t="s">
        <v>42007</v>
      </c>
      <c r="C33373" s="5" t="str">
        <f>IFERROR(__xludf.DUMMYFUNCTION("GOOGLETRANSLATE(B33373,""en"",""zh-CN"")"),"他将空气泵挂在轮胎上。")</f>
        <v>他将空气泵挂在轮胎上。</v>
      </c>
    </row>
    <row r="33374">
      <c r="A33374" s="4" t="s">
        <v>42004</v>
      </c>
      <c r="B33374" s="4" t="s">
        <v>42008</v>
      </c>
      <c r="C33374" s="5" t="str">
        <f>IFERROR(__xludf.DUMMYFUNCTION("GOOGLETRANSLATE(B33374,""en"",""zh-CN"")"),"工具坐在砖墙上。")</f>
        <v>工具坐在砖墙上。</v>
      </c>
    </row>
    <row r="33375">
      <c r="A33375" s="4" t="s">
        <v>42004</v>
      </c>
      <c r="B33375" s="4" t="s">
        <v>42009</v>
      </c>
      <c r="C33375" s="5" t="str">
        <f>IFERROR(__xludf.DUMMYFUNCTION("GOOGLETRANSLATE(B33375,""en"",""zh-CN"")"),"他将自行车倒过来看轮胎。")</f>
        <v>他将自行车倒过来看轮胎。</v>
      </c>
    </row>
    <row r="33376">
      <c r="A33376" s="4" t="s">
        <v>42004</v>
      </c>
      <c r="B33376" s="4" t="s">
        <v>42010</v>
      </c>
      <c r="C33376" s="5" t="str">
        <f>IFERROR(__xludf.DUMMYFUNCTION("GOOGLETRANSLATE(B33376,""en"",""zh-CN"")"),"他从方向盘上取出一个螺母以使轮胎脱掉。")</f>
        <v>他从方向盘上取出一个螺母以使轮胎脱掉。</v>
      </c>
    </row>
    <row r="33377">
      <c r="A33377" s="4" t="s">
        <v>42004</v>
      </c>
      <c r="B33377" s="4" t="s">
        <v>42011</v>
      </c>
      <c r="C33377" s="5" t="str">
        <f>IFERROR(__xludf.DUMMYFUNCTION("GOOGLETRANSLATE(B33377,""en"",""zh-CN"")"),"他使用工具将轮胎从方向盘上取出。")</f>
        <v>他使用工具将轮胎从方向盘上取出。</v>
      </c>
    </row>
    <row r="33378">
      <c r="A33378" s="4" t="s">
        <v>42004</v>
      </c>
      <c r="B33378" s="4" t="s">
        <v>42012</v>
      </c>
      <c r="C33378" s="5" t="str">
        <f>IFERROR(__xludf.DUMMYFUNCTION("GOOGLETRANSLATE(B33378,""en"",""zh-CN"")"),"他抽一个泵，然后用水填充。")</f>
        <v>他抽一个泵，然后用水填充。</v>
      </c>
    </row>
    <row r="33379">
      <c r="A33379" s="4" t="s">
        <v>42004</v>
      </c>
      <c r="B33379" s="4" t="s">
        <v>42013</v>
      </c>
      <c r="C33379" s="5" t="str">
        <f>IFERROR(__xludf.DUMMYFUNCTION("GOOGLETRANSLATE(B33379,""en"",""zh-CN"")"),"他在轮胎上摩擦粉笔，并在上面涂胶。")</f>
        <v>他在轮胎上摩擦粉笔，并在上面涂胶。</v>
      </c>
    </row>
    <row r="33380">
      <c r="A33380" s="4" t="s">
        <v>42004</v>
      </c>
      <c r="B33380" s="4" t="s">
        <v>42014</v>
      </c>
      <c r="C33380" s="5" t="str">
        <f>IFERROR(__xludf.DUMMYFUNCTION("GOOGLETRANSLATE(B33380,""en"",""zh-CN"")"),"他将轮胎放回方向盘上。")</f>
        <v>他将轮胎放回方向盘上。</v>
      </c>
    </row>
    <row r="33381">
      <c r="A33381" s="4" t="s">
        <v>42004</v>
      </c>
      <c r="B33381" s="4" t="s">
        <v>42015</v>
      </c>
      <c r="C33381" s="5" t="str">
        <f>IFERROR(__xludf.DUMMYFUNCTION("GOOGLETRANSLATE(B33381,""en"",""zh-CN"")"),"他戴上空气泵，并用空气填充。")</f>
        <v>他戴上空气泵，并用空气填充。</v>
      </c>
    </row>
    <row r="33382">
      <c r="A33382" s="4" t="s">
        <v>42004</v>
      </c>
      <c r="B33382" s="4" t="s">
        <v>42016</v>
      </c>
      <c r="C33382" s="5" t="str">
        <f>IFERROR(__xludf.DUMMYFUNCTION("GOOGLETRANSLATE(B33382,""en"",""zh-CN"")"),"他骑自行车骑行。")</f>
        <v>他骑自行车骑行。</v>
      </c>
    </row>
    <row r="33383">
      <c r="A33383" s="4" t="s">
        <v>42017</v>
      </c>
      <c r="B33383" s="6" t="s">
        <v>42018</v>
      </c>
      <c r="C33383" s="5" t="str">
        <f>IFERROR(__xludf.DUMMYFUNCTION("GOOGLETRANSLATE(B33383,""en"",""zh-CN"")"),"看到一个女人站在柜台上与镜头说话，指着各种成分。")</f>
        <v>看到一个女人站在柜台上与镜头说话，指着各种成分。</v>
      </c>
    </row>
    <row r="33384">
      <c r="A33384" s="4" t="s">
        <v>42017</v>
      </c>
      <c r="B33384" s="4" t="s">
        <v>42019</v>
      </c>
      <c r="C33384" s="5" t="str">
        <f>IFERROR(__xludf.DUMMYFUNCTION("GOOGLETRANSLATE(B33384,""en"",""zh-CN"")"),"她将油倒入热锅中，然后开始将成分混合在一起。")</f>
        <v>她将油倒入热锅中，然后开始将成分混合在一起。</v>
      </c>
    </row>
    <row r="33385">
      <c r="A33385" s="4" t="s">
        <v>42017</v>
      </c>
      <c r="B33385" s="4" t="s">
        <v>42020</v>
      </c>
      <c r="C33385" s="5" t="str">
        <f>IFERROR(__xludf.DUMMYFUNCTION("GOOGLETRANSLATE(B33385,""en"",""zh-CN"")"),"她将面条煮成锅中，然后将其混合在锅中，然后将其放在盘子上。")</f>
        <v>她将面条煮成锅中，然后将其混合在锅中，然后将其放在盘子上。</v>
      </c>
    </row>
    <row r="33386">
      <c r="A33386" s="4" t="s">
        <v>42021</v>
      </c>
      <c r="B33386" s="6" t="s">
        <v>42022</v>
      </c>
      <c r="C33386" s="5" t="str">
        <f>IFERROR(__xludf.DUMMYFUNCTION("GOOGLETRANSLATE(B33386,""en"",""zh-CN"")"),"一个穿着一件泳衣的女孩开始在一个位于大型室内游泳池区的潜水板上行走，上面有很多人。")</f>
        <v>一个穿着一件泳衣的女孩开始在一个位于大型室内游泳池区的潜水板上行走，上面有很多人。</v>
      </c>
    </row>
    <row r="33387">
      <c r="A33387" s="4" t="s">
        <v>42021</v>
      </c>
      <c r="B33387" s="4" t="s">
        <v>42023</v>
      </c>
      <c r="C33387" s="5" t="str">
        <f>IFERROR(__xludf.DUMMYFUNCTION("GOOGLETRANSLATE(B33387,""en"",""zh-CN"")"),"当女孩到达潜水板的尽头时，她跳了起来，然后翻转并旋转进入游泳池。")</f>
        <v>当女孩到达潜水板的尽头时，她跳了起来，然后翻转并旋转进入游泳池。</v>
      </c>
    </row>
    <row r="33388">
      <c r="A33388" s="4" t="s">
        <v>42021</v>
      </c>
      <c r="B33388" s="4" t="s">
        <v>42024</v>
      </c>
      <c r="C33388" s="5" t="str">
        <f>IFERROR(__xludf.DUMMYFUNCTION("GOOGLETRANSLATE(B33388,""en"",""zh-CN"")"),"当女孩撞到水时，她发出了小的飞溅。")</f>
        <v>当女孩撞到水时，她发出了小的飞溅。</v>
      </c>
    </row>
    <row r="33389">
      <c r="A33389" s="4" t="s">
        <v>42025</v>
      </c>
      <c r="B33389" s="4" t="s">
        <v>42026</v>
      </c>
      <c r="C33389" s="5" t="str">
        <f>IFERROR(__xludf.DUMMYFUNCTION("GOOGLETRANSLATE(B33389,""en"",""zh-CN"")"),"当一个步行进入框架并进入新闻文章时，看到一个男人正在清理浴室。")</f>
        <v>当一个步行进入框架并进入新闻文章时，看到一个男人正在清理浴室。</v>
      </c>
    </row>
    <row r="33390">
      <c r="A33390" s="4" t="s">
        <v>42025</v>
      </c>
      <c r="B33390" s="6" t="s">
        <v>42027</v>
      </c>
      <c r="C33390" s="5" t="str">
        <f>IFERROR(__xludf.DUMMYFUNCTION("GOOGLETRANSLATE(B33390,""en"",""zh-CN"")"),"显示了一个标志的图片，后面是一个人洗手以及电视节目中的剪辑。")</f>
        <v>显示了一个标志的图片，后面是一个人洗手以及电视节目中的剪辑。</v>
      </c>
    </row>
    <row r="33391">
      <c r="A33391" s="4" t="s">
        <v>42025</v>
      </c>
      <c r="B33391" s="4" t="s">
        <v>42028</v>
      </c>
      <c r="C33391" s="5" t="str">
        <f>IFERROR(__xludf.DUMMYFUNCTION("GOOGLETRANSLATE(B33391,""en"",""zh-CN"")"),"展示了更多的镜头，并以人在地铁上行走而结束。")</f>
        <v>展示了更多的镜头，并以人在地铁上行走而结束。</v>
      </c>
    </row>
    <row r="33392">
      <c r="A33392" s="4" t="s">
        <v>42029</v>
      </c>
      <c r="B33392" s="6" t="s">
        <v>42030</v>
      </c>
      <c r="C33392" s="5" t="str">
        <f>IFERROR(__xludf.DUMMYFUNCTION("GOOGLETRANSLATE(B33392,""en"",""zh-CN"")"),"一个模糊的视野显示，两个人在健身房里有一个拳打并踢另一个握着手套。")</f>
        <v>一个模糊的视野显示，两个人在健身房里有一个拳打并踢另一个握着手套。</v>
      </c>
    </row>
    <row r="33393">
      <c r="A33393" s="4" t="s">
        <v>42029</v>
      </c>
      <c r="B33393" s="4" t="s">
        <v>42031</v>
      </c>
      <c r="C33393" s="5" t="str">
        <f>IFERROR(__xludf.DUMMYFUNCTION("GOOGLETRANSLATE(B33393,""en"",""zh-CN"")"),"两人继续绕着健身房移动，练习他们的踢和拳。")</f>
        <v>两人继续绕着健身房移动，练习他们的踢和拳。</v>
      </c>
    </row>
    <row r="33394">
      <c r="A33394" s="4" t="s">
        <v>42032</v>
      </c>
      <c r="B33394" s="4" t="s">
        <v>42033</v>
      </c>
      <c r="C33394" s="5" t="str">
        <f>IFERROR(__xludf.DUMMYFUNCTION("GOOGLETRANSLATE(B33394,""en"",""zh-CN"")"),"停车场里有一辆黑色和红色的赛车。")</f>
        <v>停车场里有一辆黑色和红色的赛车。</v>
      </c>
    </row>
    <row r="33395">
      <c r="A33395" s="4" t="s">
        <v>42032</v>
      </c>
      <c r="B33395" s="4" t="s">
        <v>42034</v>
      </c>
      <c r="C33395" s="5" t="str">
        <f>IFERROR(__xludf.DUMMYFUNCTION("GOOGLETRANSLATE(B33395,""en"",""zh-CN"")"),"一个穿着米色短裤的男人开始用布和喷雾清洁黑色赛车。")</f>
        <v>一个穿着米色短裤的男人开始用布和喷雾清洁黑色赛车。</v>
      </c>
    </row>
    <row r="33396">
      <c r="A33396" s="4" t="s">
        <v>42032</v>
      </c>
      <c r="B33396" s="4" t="s">
        <v>42035</v>
      </c>
      <c r="C33396" s="5" t="str">
        <f>IFERROR(__xludf.DUMMYFUNCTION("GOOGLETRANSLATE(B33396,""en"",""zh-CN"")"),"他将汽车擦拭以使其发亮和干净。")</f>
        <v>他将汽车擦拭以使其发亮和干净。</v>
      </c>
    </row>
    <row r="33397">
      <c r="A33397" s="4" t="s">
        <v>42032</v>
      </c>
      <c r="B33397" s="4" t="s">
        <v>42036</v>
      </c>
      <c r="C33397" s="5" t="str">
        <f>IFERROR(__xludf.DUMMYFUNCTION("GOOGLETRANSLATE(B33397,""en"",""zh-CN"")"),"两辆汽车都停在停车场，洗车后看起来干净整洁。")</f>
        <v>两辆汽车都停在停车场，洗车后看起来干净整洁。</v>
      </c>
    </row>
    <row r="33398">
      <c r="A33398" s="4" t="s">
        <v>42032</v>
      </c>
      <c r="B33398" s="4" t="s">
        <v>42037</v>
      </c>
      <c r="C33398" s="5" t="str">
        <f>IFERROR(__xludf.DUMMYFUNCTION("GOOGLETRANSLATE(B33398,""en"",""zh-CN"")"),"有关手部工作的信息，屏幕上显示了无水洗车。")</f>
        <v>有关手部工作的信息，屏幕上显示了无水洗车。</v>
      </c>
    </row>
    <row r="33399">
      <c r="A33399" s="4" t="s">
        <v>42038</v>
      </c>
      <c r="B33399" s="4" t="s">
        <v>42039</v>
      </c>
      <c r="C33399" s="5" t="str">
        <f>IFERROR(__xludf.DUMMYFUNCTION("GOOGLETRANSLATE(B33399,""en"",""zh-CN"")"),"看到一小群人站在一匹大马上的大马上，里面装满了干草。")</f>
        <v>看到一小群人站在一匹大马上的大马上，里面装满了干草。</v>
      </c>
    </row>
    <row r="33400">
      <c r="A33400" s="4" t="s">
        <v>42038</v>
      </c>
      <c r="B33400" s="4" t="s">
        <v>42040</v>
      </c>
      <c r="C33400" s="5" t="str">
        <f>IFERROR(__xludf.DUMMYFUNCTION("GOOGLETRANSLATE(B33400,""en"",""zh-CN"")"),"当一个女人回来与他们说话时，人们一直沿着两侧刷马。")</f>
        <v>当一个女人回来与他们说话时，人们一直沿着两侧刷马。</v>
      </c>
    </row>
    <row r="33401">
      <c r="A33401" s="4" t="s">
        <v>42041</v>
      </c>
      <c r="B33401" s="6" t="s">
        <v>42042</v>
      </c>
      <c r="C33401" s="5" t="str">
        <f>IFERROR(__xludf.DUMMYFUNCTION("GOOGLETRANSLATE(B33401,""en"",""zh-CN"")"),"看到一个男人骑着慢动作骑自行车，后面有旗帜，并陷入了骑自行车的各个年龄段的几个剪辑。")</f>
        <v>看到一个男人骑着慢动作骑自行车，后面有旗帜，并陷入了骑自行车的各个年龄段的几个剪辑。</v>
      </c>
    </row>
    <row r="33402">
      <c r="A33402" s="4" t="s">
        <v>42041</v>
      </c>
      <c r="B33402" s="6" t="s">
        <v>42043</v>
      </c>
      <c r="C33402" s="5" t="str">
        <f>IFERROR(__xludf.DUMMYFUNCTION("GOOGLETRANSLATE(B33402,""en"",""zh-CN"")"),"人们继续在泥土球场上骑行时，其他人准备骑自行车并互相互动。")</f>
        <v>人们继续在泥土球场上骑行时，其他人准备骑自行车并互相互动。</v>
      </c>
    </row>
    <row r="33403">
      <c r="A33403" s="4" t="s">
        <v>42044</v>
      </c>
      <c r="B33403" s="4" t="s">
        <v>42045</v>
      </c>
      <c r="C33403" s="5" t="str">
        <f>IFERROR(__xludf.DUMMYFUNCTION("GOOGLETRANSLATE(B33403,""en"",""zh-CN"")"),"桌子上显示了胶棒。")</f>
        <v>桌子上显示了胶棒。</v>
      </c>
    </row>
    <row r="33404">
      <c r="A33404" s="4" t="s">
        <v>42044</v>
      </c>
      <c r="B33404" s="4" t="s">
        <v>42046</v>
      </c>
      <c r="C33404" s="5" t="str">
        <f>IFERROR(__xludf.DUMMYFUNCTION("GOOGLETRANSLATE(B33404,""en"",""zh-CN"")"),"一对剪刀在桌子上。")</f>
        <v>一对剪刀在桌子上。</v>
      </c>
    </row>
    <row r="33405">
      <c r="A33405" s="4" t="s">
        <v>42044</v>
      </c>
      <c r="B33405" s="4" t="s">
        <v>42047</v>
      </c>
      <c r="C33405" s="5" t="str">
        <f>IFERROR(__xludf.DUMMYFUNCTION("GOOGLETRANSLATE(B33405,""en"",""zh-CN"")"),"一个人可以使用计算机并打印一些东西。")</f>
        <v>一个人可以使用计算机并打印一些东西。</v>
      </c>
    </row>
    <row r="33406">
      <c r="A33406" s="4" t="s">
        <v>42044</v>
      </c>
      <c r="B33406" s="4" t="s">
        <v>42048</v>
      </c>
      <c r="C33406" s="5" t="str">
        <f>IFERROR(__xludf.DUMMYFUNCTION("GOOGLETRANSLATE(B33406,""en"",""zh-CN"")"),"他们将其粘在门口。")</f>
        <v>他们将其粘在门口。</v>
      </c>
    </row>
    <row r="33407">
      <c r="A33407" s="4" t="s">
        <v>42049</v>
      </c>
      <c r="B33407" s="4" t="s">
        <v>41967</v>
      </c>
      <c r="C33407" s="5" t="str">
        <f>IFERROR(__xludf.DUMMYFUNCTION("GOOGLETRANSLATE(B33407,""en"",""zh-CN"")"),"我们看到人们骑着保险杠汽车。")</f>
        <v>我们看到人们骑着保险杠汽车。</v>
      </c>
    </row>
    <row r="33408">
      <c r="A33408" s="4" t="s">
        <v>42049</v>
      </c>
      <c r="B33408" s="4" t="s">
        <v>42050</v>
      </c>
      <c r="C33408" s="5" t="str">
        <f>IFERROR(__xludf.DUMMYFUNCTION("GOOGLETRANSLATE(B33408,""en"",""zh-CN"")"),"一个男人和一个小男孩在车里。")</f>
        <v>一个男人和一个小男孩在车里。</v>
      </c>
    </row>
    <row r="33409">
      <c r="A33409" s="4" t="s">
        <v>42049</v>
      </c>
      <c r="B33409" s="4" t="s">
        <v>42051</v>
      </c>
      <c r="C33409" s="5" t="str">
        <f>IFERROR(__xludf.DUMMYFUNCTION("GOOGLETRANSLATE(B33409,""en"",""zh-CN"")"),"我们看到一辆橙色的汽车进入屏幕，然后是一辆金车。")</f>
        <v>我们看到一辆橙色的汽车进入屏幕，然后是一辆金车。</v>
      </c>
    </row>
    <row r="33410">
      <c r="A33410" s="4" t="s">
        <v>42052</v>
      </c>
      <c r="B33410" s="4" t="s">
        <v>42053</v>
      </c>
      <c r="C33410" s="5" t="str">
        <f>IFERROR(__xludf.DUMMYFUNCTION("GOOGLETRANSLATE(B33410,""en"",""zh-CN"")"),"人正在摇摆，使某种言论在空中。")</f>
        <v>人正在摇摆，使某种言论在空中。</v>
      </c>
    </row>
    <row r="33411">
      <c r="A33411" s="4" t="s">
        <v>42052</v>
      </c>
      <c r="B33411" s="4" t="s">
        <v>42054</v>
      </c>
      <c r="C33411" s="5" t="str">
        <f>IFERROR(__xludf.DUMMYFUNCTION("GOOGLETRANSLATE(B33411,""en"",""zh-CN"")"),"该男子在空中大步跳跃，骑着自行车降落并骑着它。")</f>
        <v>该男子在空中大步跳跃，骑着自行车降落并骑着它。</v>
      </c>
    </row>
    <row r="33412">
      <c r="A33412" s="4" t="s">
        <v>42052</v>
      </c>
      <c r="B33412" s="4" t="s">
        <v>42055</v>
      </c>
      <c r="C33412" s="5" t="str">
        <f>IFERROR(__xludf.DUMMYFUNCTION("GOOGLETRANSLATE(B33412,""en"",""zh-CN"")"),"男子在绿色的草院里摇摆。")</f>
        <v>男子在绿色的草院里摇摆。</v>
      </c>
    </row>
    <row r="33413">
      <c r="A33413" s="4" t="s">
        <v>42056</v>
      </c>
      <c r="B33413" s="6" t="s">
        <v>42057</v>
      </c>
      <c r="C33413" s="5" t="str">
        <f>IFERROR(__xludf.DUMMYFUNCTION("GOOGLETRANSLATE(B33413,""en"",""zh-CN"")"),"一个穿着红色外套和灰色裤子的人正在山中间走过松懈的线条。")</f>
        <v>一个穿着红色外套和灰色裤子的人正在山中间走过松懈的线条。</v>
      </c>
    </row>
    <row r="33414">
      <c r="A33414" s="4" t="s">
        <v>42056</v>
      </c>
      <c r="B33414" s="4" t="s">
        <v>42058</v>
      </c>
      <c r="C33414" s="5" t="str">
        <f>IFERROR(__xludf.DUMMYFUNCTION("GOOGLETRANSLATE(B33414,""en"",""zh-CN"")"),"当他试图紧紧绳子时，他跌倒了，永远无法站起来。")</f>
        <v>当他试图紧紧绳子时，他跌倒了，永远无法站起来。</v>
      </c>
    </row>
    <row r="33415">
      <c r="A33415" s="4" t="s">
        <v>42056</v>
      </c>
      <c r="B33415" s="4" t="s">
        <v>42059</v>
      </c>
      <c r="C33415" s="5" t="str">
        <f>IFERROR(__xludf.DUMMYFUNCTION("GOOGLETRANSLATE(B33415,""en"",""zh-CN"")"),"尽管他无法站起来，但他坚持下去，开始上下颠倒。")</f>
        <v>尽管他无法站起来，但他坚持下去，开始上下颠倒。</v>
      </c>
    </row>
    <row r="33416">
      <c r="A33416" s="4" t="s">
        <v>42060</v>
      </c>
      <c r="B33416" s="4" t="s">
        <v>42061</v>
      </c>
      <c r="C33416" s="5" t="str">
        <f>IFERROR(__xludf.DUMMYFUNCTION("GOOGLETRANSLATE(B33416,""en"",""zh-CN"")"),"人在后院走路，摇着树木握着扫帚，将干燥的叶子扫过地板上。")</f>
        <v>人在后院走路，摇着树木握着扫帚，将干燥的叶子扫过地板上。</v>
      </c>
    </row>
    <row r="33417">
      <c r="A33417" s="4" t="s">
        <v>42060</v>
      </c>
      <c r="B33417" s="4" t="s">
        <v>42062</v>
      </c>
      <c r="C33417" s="5" t="str">
        <f>IFERROR(__xludf.DUMMYFUNCTION("GOOGLETRANSLATE(B33417,""en"",""zh-CN"")"),"男人去找一个垃圾桶和一个袋子，从地板上捡起叶子。")</f>
        <v>男人去找一个垃圾桶和一个袋子，从地板上捡起叶子。</v>
      </c>
    </row>
    <row r="33418">
      <c r="A33418" s="4" t="s">
        <v>42063</v>
      </c>
      <c r="B33418" s="4" t="s">
        <v>42064</v>
      </c>
      <c r="C33418" s="5" t="str">
        <f>IFERROR(__xludf.DUMMYFUNCTION("GOOGLETRANSLATE(B33418,""en"",""zh-CN"")"),"一个男人正在设置摄像头和背景照明以进行一些视频拍摄。")</f>
        <v>一个男人正在设置摄像头和背景照明以进行一些视频拍摄。</v>
      </c>
    </row>
    <row r="33419">
      <c r="A33419" s="4" t="s">
        <v>42063</v>
      </c>
      <c r="B33419" s="4" t="s">
        <v>42065</v>
      </c>
      <c r="C33419" s="5" t="str">
        <f>IFERROR(__xludf.DUMMYFUNCTION("GOOGLETRANSLATE(B33419,""en"",""zh-CN"")"),"一个男人在机器上站立，只用他的手臂和脚移动。")</f>
        <v>一个男人在机器上站立，只用他的手臂和脚移动。</v>
      </c>
    </row>
    <row r="33420">
      <c r="A33420" s="4" t="s">
        <v>42063</v>
      </c>
      <c r="B33420" s="4" t="s">
        <v>42066</v>
      </c>
      <c r="C33420" s="5" t="str">
        <f>IFERROR(__xludf.DUMMYFUNCTION("GOOGLETRANSLATE(B33420,""en"",""zh-CN"")"),"然后，一个女人乘坐曼斯（Mans）的地方，她使用了机器。")</f>
        <v>然后，一个女人乘坐曼斯（Mans）的地方，她使用了机器。</v>
      </c>
    </row>
    <row r="33421">
      <c r="A33421" s="4" t="s">
        <v>42063</v>
      </c>
      <c r="B33421" s="4" t="s">
        <v>42067</v>
      </c>
      <c r="C33421" s="5" t="str">
        <f>IFERROR(__xludf.DUMMYFUNCTION("GOOGLETRANSLATE(B33421,""en"",""zh-CN"")"),"他们正在为电视观众创建商业广告。")</f>
        <v>他们正在为电视观众创建商业广告。</v>
      </c>
    </row>
    <row r="33422">
      <c r="A33422" s="4" t="s">
        <v>42068</v>
      </c>
      <c r="B33422" s="4" t="s">
        <v>42069</v>
      </c>
      <c r="C33422" s="5" t="str">
        <f>IFERROR(__xludf.DUMMYFUNCTION("GOOGLETRANSLATE(B33422,""en"",""zh-CN"")"),"男人正在新闻工作室里与摄像机交谈，并与一个乐队一部分的男人交谈。")</f>
        <v>男人正在新闻工作室里与摄像机交谈，并与一个乐队一部分的男人交谈。</v>
      </c>
    </row>
    <row r="33423">
      <c r="A33423" s="4" t="s">
        <v>42068</v>
      </c>
      <c r="B33423" s="4" t="s">
        <v>42070</v>
      </c>
      <c r="C33423" s="5" t="str">
        <f>IFERROR(__xludf.DUMMYFUNCTION("GOOGLETRANSLATE(B33423,""en"",""zh-CN"")"),"乐队在舞台上，男人在打鼓。")</f>
        <v>乐队在舞台上，男人在打鼓。</v>
      </c>
    </row>
    <row r="33424">
      <c r="A33424" s="4" t="s">
        <v>42068</v>
      </c>
      <c r="B33424" s="4" t="s">
        <v>42071</v>
      </c>
      <c r="C33424" s="5" t="str">
        <f>IFERROR(__xludf.DUMMYFUNCTION("GOOGLETRANSLATE(B33424,""en"",""zh-CN"")"),"男人再次与乐队一起在新闻工作室里，人开始鼓起鼓。")</f>
        <v>男人再次与乐队一起在新闻工作室里，人开始鼓起鼓。</v>
      </c>
    </row>
    <row r="33425">
      <c r="A33425" s="4" t="s">
        <v>42072</v>
      </c>
      <c r="B33425" s="4" t="s">
        <v>42073</v>
      </c>
      <c r="C33425" s="5" t="str">
        <f>IFERROR(__xludf.DUMMYFUNCTION("GOOGLETRANSLATE(B33425,""en"",""zh-CN"")"),"我们看到人们骑着碰碰车。")</f>
        <v>我们看到人们骑着碰碰车。</v>
      </c>
    </row>
    <row r="33426">
      <c r="A33426" s="4" t="s">
        <v>42072</v>
      </c>
      <c r="B33426" s="4" t="s">
        <v>42074</v>
      </c>
      <c r="C33426" s="5" t="str">
        <f>IFERROR(__xludf.DUMMYFUNCTION("GOOGLETRANSLATE(B33426,""en"",""zh-CN"")"),"一个女孩在挥舞着褶皱玩具。")</f>
        <v>一个女孩在挥舞着褶皱玩具。</v>
      </c>
    </row>
    <row r="33427">
      <c r="A33427" s="4" t="s">
        <v>42072</v>
      </c>
      <c r="B33427" s="4" t="s">
        <v>42075</v>
      </c>
      <c r="C33427" s="5" t="str">
        <f>IFERROR(__xludf.DUMMYFUNCTION("GOOGLETRANSLATE(B33427,""en"",""zh-CN"")"),"一个灰色的小男孩微笑着相机。")</f>
        <v>一个灰色的小男孩微笑着相机。</v>
      </c>
    </row>
    <row r="33428">
      <c r="A33428" s="4" t="s">
        <v>42072</v>
      </c>
      <c r="B33428" s="4" t="s">
        <v>42076</v>
      </c>
      <c r="C33428" s="5" t="str">
        <f>IFERROR(__xludf.DUMMYFUNCTION("GOOGLETRANSLATE(B33428,""en"",""zh-CN"")"),"我们看到一个男人戴着一个男孩笑着笑。")</f>
        <v>我们看到一个男人戴着一个男孩笑着笑。</v>
      </c>
    </row>
    <row r="33429">
      <c r="A33429" s="4" t="s">
        <v>42072</v>
      </c>
      <c r="B33429" s="4" t="s">
        <v>42077</v>
      </c>
      <c r="C33429" s="5" t="str">
        <f>IFERROR(__xludf.DUMMYFUNCTION("GOOGLETRANSLATE(B33429,""en"",""zh-CN"")"),"我们看到右边的交通拥堵。")</f>
        <v>我们看到右边的交通拥堵。</v>
      </c>
    </row>
    <row r="33430">
      <c r="A33430" s="4" t="s">
        <v>42072</v>
      </c>
      <c r="B33430" s="4" t="s">
        <v>42078</v>
      </c>
      <c r="C33430" s="5" t="str">
        <f>IFERROR(__xludf.DUMMYFUNCTION("GOOGLETRANSLATE(B33430,""en"",""zh-CN"")"),"我们放大了一件白衬衫的女士。")</f>
        <v>我们放大了一件白衬衫的女士。</v>
      </c>
    </row>
    <row r="33431">
      <c r="A33431" s="4" t="s">
        <v>42072</v>
      </c>
      <c r="B33431" s="4" t="s">
        <v>42079</v>
      </c>
      <c r="C33431" s="5" t="str">
        <f>IFERROR(__xludf.DUMMYFUNCTION("GOOGLETRANSLATE(B33431,""en"",""zh-CN"")"),"白色的女士对镜头微笑。")</f>
        <v>白色的女士对镜头微笑。</v>
      </c>
    </row>
    <row r="33432">
      <c r="A33432" s="4" t="s">
        <v>42072</v>
      </c>
      <c r="B33432" s="4" t="s">
        <v>42080</v>
      </c>
      <c r="C33432" s="5" t="str">
        <f>IFERROR(__xludf.DUMMYFUNCTION("GOOGLETRANSLATE(B33432,""en"",""zh-CN"")"),"骑行结束了，人们都站起来。")</f>
        <v>骑行结束了，人们都站起来。</v>
      </c>
    </row>
    <row r="33433">
      <c r="A33433" s="4" t="s">
        <v>42081</v>
      </c>
      <c r="B33433" s="4" t="s">
        <v>42082</v>
      </c>
      <c r="C33433" s="5" t="str">
        <f>IFERROR(__xludf.DUMMYFUNCTION("GOOGLETRANSLATE(B33433,""en"",""zh-CN"")"),"一个穿着运动服的男人开始挥舞球和绳子。")</f>
        <v>一个穿着运动服的男人开始挥舞球和绳子。</v>
      </c>
    </row>
    <row r="33434">
      <c r="A33434" s="4" t="s">
        <v>42081</v>
      </c>
      <c r="B33434" s="4" t="s">
        <v>42083</v>
      </c>
      <c r="C33434" s="5" t="str">
        <f>IFERROR(__xludf.DUMMYFUNCTION("GOOGLETRANSLATE(B33434,""en"",""zh-CN"")"),"他放手，当他跌落到地面时，球撞到了屏幕。")</f>
        <v>他放手，当他跌落到地面时，球撞到了屏幕。</v>
      </c>
    </row>
    <row r="33435">
      <c r="A33435" s="4" t="s">
        <v>42081</v>
      </c>
      <c r="B33435" s="4" t="s">
        <v>42084</v>
      </c>
      <c r="C33435" s="5" t="str">
        <f>IFERROR(__xludf.DUMMYFUNCTION("GOOGLETRANSLATE(B33435,""en"",""zh-CN"")"),"该视频以各种速度重播。")</f>
        <v>该视频以各种速度重播。</v>
      </c>
    </row>
    <row r="33436">
      <c r="A33436" s="4" t="s">
        <v>42085</v>
      </c>
      <c r="B33436" s="4" t="s">
        <v>42086</v>
      </c>
      <c r="C33436" s="5" t="str">
        <f>IFERROR(__xludf.DUMMYFUNCTION("GOOGLETRANSLATE(B33436,""en"",""zh-CN"")"),"当一个年长的男人走在他身后并推动时，看到一个小孩坐在秋千上。")</f>
        <v>当一个年长的男人走在他身后并推动时，看到一个小孩坐在秋千上。</v>
      </c>
    </row>
    <row r="33437">
      <c r="A33437" s="4" t="s">
        <v>42085</v>
      </c>
      <c r="B33437" s="6" t="s">
        <v>42087</v>
      </c>
      <c r="C33437" s="5" t="str">
        <f>IFERROR(__xludf.DUMMYFUNCTION("GOOGLETRANSLATE(B33437,""en"",""zh-CN"")"),"这个男孩在秋千上向后移，第四，导致男孩跳下来，男人看上去很惊讶。")</f>
        <v>这个男孩在秋千上向后移，第四，导致男孩跳下来，男人看上去很惊讶。</v>
      </c>
    </row>
    <row r="33438">
      <c r="A33438" s="4" t="s">
        <v>42088</v>
      </c>
      <c r="B33438" s="4" t="s">
        <v>42089</v>
      </c>
      <c r="C33438" s="5" t="str">
        <f>IFERROR(__xludf.DUMMYFUNCTION("GOOGLETRANSLATE(B33438,""en"",""zh-CN"")"),"我们看到一个男人和介绍场景。")</f>
        <v>我们看到一个男人和介绍场景。</v>
      </c>
    </row>
    <row r="33439">
      <c r="A33439" s="4" t="s">
        <v>42088</v>
      </c>
      <c r="B33439" s="4" t="s">
        <v>42090</v>
      </c>
      <c r="C33439" s="5" t="str">
        <f>IFERROR(__xludf.DUMMYFUNCTION("GOOGLETRANSLATE(B33439,""en"",""zh-CN"")"),"一个厨房里的男人有刀和锐化的块。")</f>
        <v>一个厨房里的男人有刀和锐化的块。</v>
      </c>
    </row>
    <row r="33440">
      <c r="A33440" s="4" t="s">
        <v>42088</v>
      </c>
      <c r="B33440" s="4" t="s">
        <v>42091</v>
      </c>
      <c r="C33440" s="5" t="str">
        <f>IFERROR(__xludf.DUMMYFUNCTION("GOOGLETRANSLATE(B33440,""en"",""zh-CN"")"),"该男子湿透了块，并在两个不同的块上跑了一把刀。")</f>
        <v>该男子湿透了块，并在两个不同的块上跑了一把刀。</v>
      </c>
    </row>
    <row r="33441">
      <c r="A33441" s="4" t="s">
        <v>42088</v>
      </c>
      <c r="B33441" s="4" t="s">
        <v>42092</v>
      </c>
      <c r="C33441" s="5" t="str">
        <f>IFERROR(__xludf.DUMMYFUNCTION("GOOGLETRANSLATE(B33441,""en"",""zh-CN"")"),"该名男子抓住一根杆子，锐化了刀。")</f>
        <v>该名男子抓住一根杆子，锐化了刀。</v>
      </c>
    </row>
    <row r="33442">
      <c r="A33442" s="4" t="s">
        <v>42088</v>
      </c>
      <c r="B33442" s="4" t="s">
        <v>42093</v>
      </c>
      <c r="C33442" s="5" t="str">
        <f>IFERROR(__xludf.DUMMYFUNCTION("GOOGLETRANSLATE(B33442,""en"",""zh-CN"")"),"该名男子擦着毛巾上的刀。")</f>
        <v>该名男子擦着毛巾上的刀。</v>
      </c>
    </row>
    <row r="33443">
      <c r="A33443" s="4" t="s">
        <v>42088</v>
      </c>
      <c r="B33443" s="4" t="s">
        <v>42094</v>
      </c>
      <c r="C33443" s="5" t="str">
        <f>IFERROR(__xludf.DUMMYFUNCTION("GOOGLETRANSLATE(B33443,""en"",""zh-CN"")"),"该男子抓住并去除柠檬。")</f>
        <v>该男子抓住并去除柠檬。</v>
      </c>
    </row>
    <row r="33444">
      <c r="A33444" s="4" t="s">
        <v>42088</v>
      </c>
      <c r="B33444" s="4" t="s">
        <v>42095</v>
      </c>
      <c r="C33444" s="5" t="str">
        <f>IFERROR(__xludf.DUMMYFUNCTION("GOOGLETRANSLATE(B33444,""en"",""zh-CN"")"),"这个男人向我们展示了一个颠倒的锅。")</f>
        <v>这个男人向我们展示了一个颠倒的锅。</v>
      </c>
    </row>
    <row r="33445">
      <c r="A33445" s="4" t="s">
        <v>42096</v>
      </c>
      <c r="B33445" s="4" t="s">
        <v>42097</v>
      </c>
      <c r="C33445" s="5" t="str">
        <f>IFERROR(__xludf.DUMMYFUNCTION("GOOGLETRANSLATE(B33445,""en"",""zh-CN"")"),"啦啦队团队表演。")</f>
        <v>啦啦队团队表演。</v>
      </c>
    </row>
    <row r="33446">
      <c r="A33446" s="4" t="s">
        <v>42096</v>
      </c>
      <c r="B33446" s="4" t="s">
        <v>42098</v>
      </c>
      <c r="C33446" s="5" t="str">
        <f>IFERROR(__xludf.DUMMYFUNCTION("GOOGLETRANSLATE(B33446,""en"",""zh-CN"")"),"一个女孩尝试多次翻转，并将其固定。")</f>
        <v>一个女孩尝试多次翻转，并将其固定。</v>
      </c>
    </row>
    <row r="33447">
      <c r="A33447" s="4" t="s">
        <v>42096</v>
      </c>
      <c r="B33447" s="4" t="s">
        <v>42099</v>
      </c>
      <c r="C33447" s="5" t="str">
        <f>IFERROR(__xludf.DUMMYFUNCTION("GOOGLETRANSLATE(B33447,""en"",""zh-CN"")"),"当团队在后台努力工作时，另一个女孩效仿。")</f>
        <v>当团队在后台努力工作时，另一个女孩效仿。</v>
      </c>
    </row>
    <row r="33448">
      <c r="A33448" s="4" t="s">
        <v>42096</v>
      </c>
      <c r="B33448" s="4" t="s">
        <v>42100</v>
      </c>
      <c r="C33448" s="5" t="str">
        <f>IFERROR(__xludf.DUMMYFUNCTION("GOOGLETRANSLATE(B33448,""en"",""zh-CN"")"),"团队接下来炫耀一些舞蹈动作，人群欢呼。")</f>
        <v>团队接下来炫耀一些舞蹈动作，人群欢呼。</v>
      </c>
    </row>
    <row r="33449">
      <c r="A33449" s="4" t="s">
        <v>42096</v>
      </c>
      <c r="B33449" s="4" t="s">
        <v>42101</v>
      </c>
      <c r="C33449" s="5" t="str">
        <f>IFERROR(__xludf.DUMMYFUNCTION("GOOGLETRANSLATE(B33449,""en"",""zh-CN"")"),"经过更多的团队击败，团队摆出并庆祝例行结束。")</f>
        <v>经过更多的团队击败，团队摆出并庆祝例行结束。</v>
      </c>
    </row>
    <row r="33450">
      <c r="A33450" s="4" t="s">
        <v>42096</v>
      </c>
      <c r="B33450" s="4" t="s">
        <v>42102</v>
      </c>
      <c r="C33450" s="5" t="str">
        <f>IFERROR(__xludf.DUMMYFUNCTION("GOOGLETRANSLATE(B33450,""en"",""zh-CN"")"),"几个成员拥抱和说话。")</f>
        <v>几个成员拥抱和说话。</v>
      </c>
    </row>
    <row r="33451">
      <c r="A33451" s="4" t="s">
        <v>42096</v>
      </c>
      <c r="B33451" s="4" t="s">
        <v>42103</v>
      </c>
      <c r="C33451" s="5" t="str">
        <f>IFERROR(__xludf.DUMMYFUNCTION("GOOGLETRANSLATE(B33451,""en"",""zh-CN"")"),"法官提交他们的分数，团队预期结果。")</f>
        <v>法官提交他们的分数，团队预期结果。</v>
      </c>
    </row>
    <row r="33452">
      <c r="A33452" s="4" t="s">
        <v>42096</v>
      </c>
      <c r="B33452" s="4" t="s">
        <v>42104</v>
      </c>
      <c r="C33452" s="5" t="str">
        <f>IFERROR(__xludf.DUMMYFUNCTION("GOOGLETRANSLATE(B33452,""en"",""zh-CN"")"),"球队获得了比赛的冠军。")</f>
        <v>球队获得了比赛的冠军。</v>
      </c>
    </row>
    <row r="33453">
      <c r="A33453" s="4" t="s">
        <v>42105</v>
      </c>
      <c r="B33453" s="4" t="s">
        <v>42106</v>
      </c>
      <c r="C33453" s="5" t="str">
        <f>IFERROR(__xludf.DUMMYFUNCTION("GOOGLETRANSLATE(B33453,""en"",""zh-CN"")"),"一些女人在游泳池里游泳。")</f>
        <v>一些女人在游泳池里游泳。</v>
      </c>
    </row>
    <row r="33454">
      <c r="A33454" s="4" t="s">
        <v>42105</v>
      </c>
      <c r="B33454" s="4" t="s">
        <v>42107</v>
      </c>
      <c r="C33454" s="5" t="str">
        <f>IFERROR(__xludf.DUMMYFUNCTION("GOOGLETRANSLATE(B33454,""en"",""zh-CN"")"),"他们游泳时怀里有婴儿。")</f>
        <v>他们游泳时怀里有婴儿。</v>
      </c>
    </row>
    <row r="33455">
      <c r="A33455" s="4" t="s">
        <v>42105</v>
      </c>
      <c r="B33455" s="4" t="s">
        <v>42108</v>
      </c>
      <c r="C33455" s="5" t="str">
        <f>IFERROR(__xludf.DUMMYFUNCTION("GOOGLETRANSLATE(B33455,""en"",""zh-CN"")"),"他们正在教婴儿下水并屏住呼吸。")</f>
        <v>他们正在教婴儿下水并屏住呼吸。</v>
      </c>
    </row>
    <row r="33456">
      <c r="A33456" s="4" t="s">
        <v>42109</v>
      </c>
      <c r="B33456" s="4" t="s">
        <v>42110</v>
      </c>
      <c r="C33456" s="5" t="str">
        <f>IFERROR(__xludf.DUMMYFUNCTION("GOOGLETRANSLATE(B33456,""en"",""zh-CN"")"),"燕尾服的两个非常高的男人在商店外跳舞。")</f>
        <v>燕尾服的两个非常高的男人在商店外跳舞。</v>
      </c>
    </row>
    <row r="33457">
      <c r="A33457" s="4" t="s">
        <v>42109</v>
      </c>
      <c r="B33457" s="4" t="s">
        <v>42111</v>
      </c>
      <c r="C33457" s="5" t="str">
        <f>IFERROR(__xludf.DUMMYFUNCTION("GOOGLETRANSLATE(B33457,""en"",""zh-CN"")"),"人们站着看着他们跳舞。")</f>
        <v>人们站着看着他们跳舞。</v>
      </c>
    </row>
    <row r="33458">
      <c r="A33458" s="4" t="s">
        <v>42109</v>
      </c>
      <c r="B33458" s="4" t="s">
        <v>42112</v>
      </c>
      <c r="C33458" s="5" t="str">
        <f>IFERROR(__xludf.DUMMYFUNCTION("GOOGLETRANSLATE(B33458,""en"",""zh-CN"")"),"其中一个人把脚伸出来，另一个人把他圈出了。")</f>
        <v>其中一个人把脚伸出来，另一个人把他圈出了。</v>
      </c>
    </row>
    <row r="33459">
      <c r="A33459" s="4" t="s">
        <v>42109</v>
      </c>
      <c r="B33459" s="4" t="s">
        <v>42113</v>
      </c>
      <c r="C33459" s="5" t="str">
        <f>IFERROR(__xludf.DUMMYFUNCTION("GOOGLETRANSLATE(B33459,""en"",""zh-CN"")"),"当舞蹈终于在舞蹈上挥舞时，两个男人都握手，向人群挥手。")</f>
        <v>当舞蹈终于在舞蹈上挥舞时，两个男人都握手，向人群挥手。</v>
      </c>
    </row>
    <row r="33460">
      <c r="A33460" s="4" t="s">
        <v>42114</v>
      </c>
      <c r="B33460" s="4" t="s">
        <v>42115</v>
      </c>
      <c r="C33460" s="5" t="str">
        <f>IFERROR(__xludf.DUMMYFUNCTION("GOOGLETRANSLATE(B33460,""en"",""zh-CN"")"),"看到一个男人在慢动作移动时在柔软的地板上进行翻转。")</f>
        <v>看到一个男人在慢动作移动时在柔软的地板上进行翻转。</v>
      </c>
    </row>
    <row r="33461">
      <c r="A33461" s="4" t="s">
        <v>42114</v>
      </c>
      <c r="B33461" s="6" t="s">
        <v>42116</v>
      </c>
      <c r="C33461" s="5" t="str">
        <f>IFERROR(__xludf.DUMMYFUNCTION("GOOGLETRANSLATE(B33461,""en"",""zh-CN"")"),"该男子继续在整个地板上执行几个技巧，并在屏幕上以标题序列结束。")</f>
        <v>该男子继续在整个地板上执行几个技巧，并在屏幕上以标题序列结束。</v>
      </c>
    </row>
    <row r="33462">
      <c r="A33462" s="4" t="s">
        <v>42117</v>
      </c>
      <c r="B33462" s="6" t="s">
        <v>42118</v>
      </c>
      <c r="C33462" s="5" t="str">
        <f>IFERROR(__xludf.DUMMYFUNCTION("GOOGLETRANSLATE(B33462,""en"",""zh-CN"")"),"当一个人向后移动并准备自己时，看到两个人坐在柜台后面。")</f>
        <v>当一个人向后移动并准备自己时，看到两个人坐在柜台后面。</v>
      </c>
    </row>
    <row r="33463">
      <c r="A33463" s="4" t="s">
        <v>42117</v>
      </c>
      <c r="B33463" s="6" t="s">
        <v>42119</v>
      </c>
      <c r="C33463" s="5" t="str">
        <f>IFERROR(__xludf.DUMMYFUNCTION("GOOGLETRANSLATE(B33463,""en"",""zh-CN"")"),"然后，该男子在计时器进行时解决了一个鲁rubix立方体，他将眼睛蒙上眼睛，然后一个人将纸放在前面。")</f>
        <v>然后，该男子在计时器进行时解决了一个鲁rubix立方体，他将眼睛蒙上眼睛，然后一个人将纸放在前面。</v>
      </c>
    </row>
    <row r="33464">
      <c r="A33464" s="4" t="s">
        <v>42117</v>
      </c>
      <c r="B33464" s="4" t="s">
        <v>42120</v>
      </c>
      <c r="C33464" s="5" t="str">
        <f>IFERROR(__xludf.DUMMYFUNCTION("GOOGLETRANSLATE(B33464,""en"",""zh-CN"")"),"他解决了Sube，然后将手放在桌子上。")</f>
        <v>他解决了Sube，然后将手放在桌子上。</v>
      </c>
    </row>
    <row r="33465">
      <c r="A33465" s="4" t="s">
        <v>42121</v>
      </c>
      <c r="B33465" s="4" t="s">
        <v>42122</v>
      </c>
      <c r="C33465" s="5" t="str">
        <f>IFERROR(__xludf.DUMMYFUNCTION("GOOGLETRANSLATE(B33465,""en"",""zh-CN"")"),"这是关于如何开始篝火的教程。")</f>
        <v>这是关于如何开始篝火的教程。</v>
      </c>
    </row>
    <row r="33466">
      <c r="A33466" s="4" t="s">
        <v>42121</v>
      </c>
      <c r="B33466" s="4" t="s">
        <v>42123</v>
      </c>
      <c r="C33466" s="5" t="str">
        <f>IFERROR(__xludf.DUMMYFUNCTION("GOOGLETRANSLATE(B33466,""en"",""zh-CN"")"),"它显示篝火燃烧在地面上。")</f>
        <v>它显示篝火燃烧在地面上。</v>
      </c>
    </row>
    <row r="33467">
      <c r="A33467" s="4" t="s">
        <v>42121</v>
      </c>
      <c r="B33467" s="4" t="s">
        <v>42124</v>
      </c>
      <c r="C33467" s="5" t="str">
        <f>IFERROR(__xludf.DUMMYFUNCTION("GOOGLETRANSLATE(B33467,""en"",""zh-CN"")"),"它始于您需要开始的事情。")</f>
        <v>它始于您需要开始的事情。</v>
      </c>
    </row>
    <row r="33468">
      <c r="A33468" s="4" t="s">
        <v>42121</v>
      </c>
      <c r="B33468" s="4" t="s">
        <v>42125</v>
      </c>
      <c r="C33468" s="5" t="str">
        <f>IFERROR(__xludf.DUMMYFUNCTION("GOOGLETRANSLATE(B33468,""en"",""zh-CN"")"),"指定的地方和一些岩石在一个圆圈中排列以创建一个坑。")</f>
        <v>指定的地方和一些岩石在一个圆圈中排列以创建一个坑。</v>
      </c>
    </row>
    <row r="33469">
      <c r="A33469" s="4" t="s">
        <v>42121</v>
      </c>
      <c r="B33469" s="4" t="s">
        <v>42126</v>
      </c>
      <c r="C33469" s="5" t="str">
        <f>IFERROR(__xludf.DUMMYFUNCTION("GOOGLETRANSLATE(B33469,""en"",""zh-CN"")"),"一些报纸皱着眉头和一桶水。")</f>
        <v>一些报纸皱着眉头和一桶水。</v>
      </c>
    </row>
    <row r="33470">
      <c r="A33470" s="4" t="s">
        <v>42121</v>
      </c>
      <c r="B33470" s="4" t="s">
        <v>42127</v>
      </c>
      <c r="C33470" s="5" t="str">
        <f>IFERROR(__xludf.DUMMYFUNCTION("GOOGLETRANSLATE(B33470,""en"",""zh-CN"")"),"一个人开始演示如何将报纸和树枝放在其中。")</f>
        <v>一个人开始演示如何将报纸和树枝放在其中。</v>
      </c>
    </row>
    <row r="33471">
      <c r="A33471" s="4" t="s">
        <v>42121</v>
      </c>
      <c r="B33471" s="4" t="s">
        <v>42128</v>
      </c>
      <c r="C33471" s="5" t="str">
        <f>IFERROR(__xludf.DUMMYFUNCTION("GOOGLETRANSLATE(B33471,""en"",""zh-CN"")"),"然后，他创建了金字塔形状的结构。")</f>
        <v>然后，他创建了金字塔形状的结构。</v>
      </c>
    </row>
    <row r="33472">
      <c r="A33472" s="4" t="s">
        <v>42121</v>
      </c>
      <c r="B33472" s="4" t="s">
        <v>42129</v>
      </c>
      <c r="C33472" s="5" t="str">
        <f>IFERROR(__xludf.DUMMYFUNCTION("GOOGLETRANSLATE(B33472,""en"",""zh-CN"")"),"他打了打火机，并在几个地方照亮报纸开始大火。")</f>
        <v>他打了打火机，并在几个地方照亮报纸开始大火。</v>
      </c>
    </row>
    <row r="33473">
      <c r="A33473" s="4" t="s">
        <v>42121</v>
      </c>
      <c r="B33473" s="4" t="s">
        <v>42130</v>
      </c>
      <c r="C33473" s="5" t="str">
        <f>IFERROR(__xludf.DUMMYFUNCTION("GOOGLETRANSLATE(B33473,""en"",""zh-CN"")"),"篝火开始燃烧并继续燃烧。")</f>
        <v>篝火开始燃烧并继续燃烧。</v>
      </c>
    </row>
    <row r="33474">
      <c r="A33474" s="4" t="s">
        <v>42121</v>
      </c>
      <c r="B33474" s="4" t="s">
        <v>42131</v>
      </c>
      <c r="C33474" s="5" t="str">
        <f>IFERROR(__xludf.DUMMYFUNCTION("GOOGLETRANSLATE(B33474,""en"",""zh-CN"")"),"他增加了一些树枝，以保持火焰燃烧。")</f>
        <v>他增加了一些树枝，以保持火焰燃烧。</v>
      </c>
    </row>
    <row r="33475">
      <c r="A33475" s="4" t="s">
        <v>42132</v>
      </c>
      <c r="B33475" s="4" t="s">
        <v>42133</v>
      </c>
      <c r="C33475" s="5" t="str">
        <f>IFERROR(__xludf.DUMMYFUNCTION("GOOGLETRANSLATE(B33475,""en"",""zh-CN"")"),"首先，人们都以一条长线坐在汽车中。")</f>
        <v>首先，人们都以一条长线坐在汽车中。</v>
      </c>
    </row>
    <row r="33476">
      <c r="A33476" s="4" t="s">
        <v>42132</v>
      </c>
      <c r="B33476" s="4" t="s">
        <v>42134</v>
      </c>
      <c r="C33476" s="5" t="str">
        <f>IFERROR(__xludf.DUMMYFUNCTION("GOOGLETRANSLATE(B33476,""en"",""zh-CN"")"),"然后，汽车上了电动，并且能够驱动。")</f>
        <v>然后，汽车上了电动，并且能够驱动。</v>
      </c>
    </row>
    <row r="33477">
      <c r="A33477" s="4" t="s">
        <v>42132</v>
      </c>
      <c r="B33477" s="4" t="s">
        <v>42135</v>
      </c>
      <c r="C33477" s="5" t="str">
        <f>IFERROR(__xludf.DUMMYFUNCTION("GOOGLETRANSLATE(B33477,""en"",""zh-CN"")"),"人民驾驶后，他们都离开了汽车。")</f>
        <v>人民驾驶后，他们都离开了汽车。</v>
      </c>
    </row>
    <row r="33478">
      <c r="A33478" s="4" t="s">
        <v>42136</v>
      </c>
      <c r="B33478" s="4" t="s">
        <v>42137</v>
      </c>
      <c r="C33478" s="5" t="str">
        <f>IFERROR(__xludf.DUMMYFUNCTION("GOOGLETRANSLATE(B33478,""en"",""zh-CN"")"),"一个长长的马尾辫和一双眼镜的老人在骑自行车附近跪在外面。")</f>
        <v>一个长长的马尾辫和一双眼镜的老人在骑自行车附近跪在外面。</v>
      </c>
    </row>
    <row r="33479">
      <c r="A33479" s="4" t="s">
        <v>42136</v>
      </c>
      <c r="B33479" s="4" t="s">
        <v>42138</v>
      </c>
      <c r="C33479" s="5" t="str">
        <f>IFERROR(__xludf.DUMMYFUNCTION("GOOGLETRANSLATE(B33479,""en"",""zh-CN"")"),"该男子手里拿着一对蓝色钳子，开始将链条固定在自行车上。")</f>
        <v>该男子手里拿着一对蓝色钳子，开始将链条固定在自行车上。</v>
      </c>
    </row>
    <row r="33480">
      <c r="A33480" s="4" t="s">
        <v>42136</v>
      </c>
      <c r="B33480" s="4" t="s">
        <v>42139</v>
      </c>
      <c r="C33480" s="5" t="str">
        <f>IFERROR(__xludf.DUMMYFUNCTION("GOOGLETRANSLATE(B33480,""en"",""zh-CN"")"),"链条打开后，他开始移动踏板并演示链条的运行方式。")</f>
        <v>链条打开后，他开始移动踏板并演示链条的运行方式。</v>
      </c>
    </row>
    <row r="33481">
      <c r="A33481" s="4" t="s">
        <v>42136</v>
      </c>
      <c r="B33481" s="4" t="s">
        <v>42140</v>
      </c>
      <c r="C33481" s="5" t="str">
        <f>IFERROR(__xludf.DUMMYFUNCTION("GOOGLETRANSLATE(B33481,""en"",""zh-CN"")"),"一段时间后，他停止了链条，并开始从自行车上的链条上取出两个链接。")</f>
        <v>一段时间后，他停止了链条，并开始从自行车上的链条上取出两个链接。</v>
      </c>
    </row>
    <row r="33482">
      <c r="A33482" s="4" t="s">
        <v>42136</v>
      </c>
      <c r="B33482" s="6" t="s">
        <v>42141</v>
      </c>
      <c r="C33482" s="5" t="str">
        <f>IFERROR(__xludf.DUMMYFUNCTION("GOOGLETRANSLATE(B33482,""en"",""zh-CN"")"),"当链条开始垂下时，该男子将其放回正确的位置，开始旋转后轮并在完成后开始说话。")</f>
        <v>当链条开始垂下时，该男子将其放回正确的位置，开始旋转后轮并在完成后开始说话。</v>
      </c>
    </row>
    <row r="33483">
      <c r="A33483" s="4" t="s">
        <v>42142</v>
      </c>
      <c r="B33483" s="4" t="s">
        <v>42143</v>
      </c>
      <c r="C33483" s="5" t="str">
        <f>IFERROR(__xludf.DUMMYFUNCTION("GOOGLETRANSLATE(B33483,""en"",""zh-CN"")"),"该视频导致了几镜头，人们将令人印象深刻的球射入杯子中。")</f>
        <v>该视频导致了几镜头，人们将令人印象深刻的球射入杯子中。</v>
      </c>
    </row>
    <row r="33484">
      <c r="A33484" s="4" t="s">
        <v>42142</v>
      </c>
      <c r="B33484" s="4" t="s">
        <v>42144</v>
      </c>
      <c r="C33484" s="5" t="str">
        <f>IFERROR(__xludf.DUMMYFUNCTION("GOOGLETRANSLATE(B33484,""en"",""zh-CN"")"),"显示了几个人将球扔进杯子，相机显示了一个特写。")</f>
        <v>显示了几个人将球扔进杯子，相机显示了一个特写。</v>
      </c>
    </row>
    <row r="33485">
      <c r="A33485" s="4" t="s">
        <v>42145</v>
      </c>
      <c r="B33485" s="4" t="s">
        <v>42146</v>
      </c>
      <c r="C33485" s="5" t="str">
        <f>IFERROR(__xludf.DUMMYFUNCTION("GOOGLETRANSLATE(B33485,""en"",""zh-CN"")"),"小男孩在工作室里的鼓前与摄像头交谈。")</f>
        <v>小男孩在工作室里的鼓前与摄像头交谈。</v>
      </c>
    </row>
    <row r="33486">
      <c r="A33486" s="4" t="s">
        <v>42145</v>
      </c>
      <c r="B33486" s="4" t="s">
        <v>42147</v>
      </c>
      <c r="C33486" s="5" t="str">
        <f>IFERROR(__xludf.DUMMYFUNCTION("GOOGLETRANSLATE(B33486,""en"",""zh-CN"")"),"小男孩在鼓盘和cymbals上演奏，同时间歇性地向相机说话。")</f>
        <v>小男孩在鼓盘和cymbals上演奏，同时间歇性地向相机说话。</v>
      </c>
    </row>
    <row r="33487">
      <c r="A33487" s="4" t="s">
        <v>42145</v>
      </c>
      <c r="B33487" s="4" t="s">
        <v>42148</v>
      </c>
      <c r="C33487" s="5" t="str">
        <f>IFERROR(__xludf.DUMMYFUNCTION("GOOGLETRANSLATE(B33487,""en"",""zh-CN"")"),"这个男孩完成了录制他的鼓式会议并返回镜头。")</f>
        <v>这个男孩完成了录制他的鼓式会议并返回镜头。</v>
      </c>
    </row>
    <row r="33488">
      <c r="A33488" s="4" t="s">
        <v>42149</v>
      </c>
      <c r="B33488" s="4" t="s">
        <v>42150</v>
      </c>
      <c r="C33488" s="5" t="str">
        <f>IFERROR(__xludf.DUMMYFUNCTION("GOOGLETRANSLATE(B33488,""en"",""zh-CN"")"),"一个女人在车道上，在跳绳时做技巧和特技。")</f>
        <v>一个女人在车道上，在跳绳时做技巧和特技。</v>
      </c>
    </row>
    <row r="33489">
      <c r="A33489" s="4" t="s">
        <v>42149</v>
      </c>
      <c r="B33489" s="4" t="s">
        <v>42151</v>
      </c>
      <c r="C33489" s="5" t="str">
        <f>IFERROR(__xludf.DUMMYFUNCTION("GOOGLETRANSLATE(B33489,""en"",""zh-CN"")"),"她提高了速度，然后在一个人接近她讨论她的技术时停止。")</f>
        <v>她提高了速度，然后在一个人接近她讨论她的技术时停止。</v>
      </c>
    </row>
    <row r="33490">
      <c r="A33490" s="4" t="s">
        <v>42149</v>
      </c>
      <c r="B33490" s="4" t="s">
        <v>42152</v>
      </c>
      <c r="C33490" s="5" t="str">
        <f>IFERROR(__xludf.DUMMYFUNCTION("GOOGLETRANSLATE(B33490,""en"",""zh-CN"")"),"然后，她返回演示如何跳绳和动作的各种名称。")</f>
        <v>然后，她返回演示如何跳绳和动作的各种名称。</v>
      </c>
    </row>
    <row r="33491">
      <c r="A33491" s="4" t="s">
        <v>42153</v>
      </c>
      <c r="B33491" s="6" t="s">
        <v>42154</v>
      </c>
      <c r="C33491" s="5" t="str">
        <f>IFERROR(__xludf.DUMMYFUNCTION("GOOGLETRANSLATE(B33491,""en"",""zh-CN"")"),"室内的景色显示出美丽的海景，然后在他的膝盖上抚摸着一个男人，因为他擦了一些瓷砖，屏幕上的白色单词说“与ditra一起安装瓷砖”。")</f>
        <v>室内的景色显示出美丽的海景，然后在他的膝盖上抚摸着一个男人，因为他擦了一些瓷砖，屏幕上的白色单词说“与ditra一起安装瓷砖”。</v>
      </c>
    </row>
    <row r="33492">
      <c r="A33492" s="4" t="s">
        <v>42153</v>
      </c>
      <c r="B33492" s="4" t="s">
        <v>42155</v>
      </c>
      <c r="C33492" s="5" t="str">
        <f>IFERROR(__xludf.DUMMYFUNCTION("GOOGLETRANSLATE(B33492,""en"",""zh-CN"")"),"然后显示该人将垫片放在瓷砖和测量之间。")</f>
        <v>然后显示该人将垫片放在瓷砖和测量之间。</v>
      </c>
    </row>
    <row r="33493">
      <c r="A33493" s="4" t="s">
        <v>42153</v>
      </c>
      <c r="B33493" s="6" t="s">
        <v>42156</v>
      </c>
      <c r="C33493" s="5" t="str">
        <f>IFERROR(__xludf.DUMMYFUNCTION("GOOGLETRANSLATE(B33493,""en"",""zh-CN"")"),"然后，该男子带着白色水桶和橙色布去了房间的另一部分，并擦拭木地板。")</f>
        <v>然后，该男子带着白色水桶和橙色布去了房间的另一部分，并擦拭木地板。</v>
      </c>
    </row>
    <row r="33494">
      <c r="A33494" s="4" t="s">
        <v>42153</v>
      </c>
      <c r="B33494" s="6" t="s">
        <v>42157</v>
      </c>
      <c r="C33494" s="5" t="str">
        <f>IFERROR(__xludf.DUMMYFUNCTION("GOOGLETRANSLATE(B33494,""en"",""zh-CN"")"),"然后显示该男子将粉末倒入一个大的白色水桶中，将水倒入其中，然后将内容物与手钻一起混合。")</f>
        <v>然后显示该男子将粉末倒入一个大的白色水桶中，将水倒入其中，然后将内容物与手钻一起混合。</v>
      </c>
    </row>
    <row r="33495">
      <c r="A33495" s="4" t="s">
        <v>42153</v>
      </c>
      <c r="B33495" s="6" t="s">
        <v>42158</v>
      </c>
      <c r="C33495" s="5" t="str">
        <f>IFERROR(__xludf.DUMMYFUNCTION("GOOGLETRANSLATE(B33495,""en"",""zh-CN"")"),"然后，该男子在房间的角落里，他将混合物涂在地板上，然后放下橙色的材料。")</f>
        <v>然后，该男子在房间的角落里，他将混合物涂在地板上，然后放下橙色的材料。</v>
      </c>
    </row>
    <row r="33496">
      <c r="A33496" s="4" t="s">
        <v>42153</v>
      </c>
      <c r="B33496" s="6" t="s">
        <v>42159</v>
      </c>
      <c r="C33496" s="5" t="str">
        <f>IFERROR(__xludf.DUMMYFUNCTION("GOOGLETRANSLATE(B33496,""en"",""zh-CN"")"),"然后显示该男子用手动手动切割器切割瓷砖，而另一个男人则通过握住他来帮助他，那个拿着瓷砖的人将其带走并打磨它。")</f>
        <v>然后显示该男子用手动手动切割器切割瓷砖，而另一个男人则通过握住他来帮助他，那个拿着瓷砖的人将其带走并打磨它。</v>
      </c>
    </row>
    <row r="33497">
      <c r="A33497" s="4" t="s">
        <v>42153</v>
      </c>
      <c r="B33497" s="6" t="s">
        <v>42160</v>
      </c>
      <c r="C33497" s="5" t="str">
        <f>IFERROR(__xludf.DUMMYFUNCTION("GOOGLETRANSLATE(B33497,""en"",""zh-CN"")"),"该男子再次被显示在他的手和膝盖上，并在地面或瓷砖上涂抹油灰，将瓷砖放下，加入垫片，然后测量即使是白色圆形的水平机。")</f>
        <v>该男子再次被显示在他的手和膝盖上，并在地面或瓷砖上涂抹油灰，将瓷砖放下，加入垫片，然后测量即使是白色圆形的水平机。</v>
      </c>
    </row>
    <row r="33498">
      <c r="A33498" s="4" t="s">
        <v>42153</v>
      </c>
      <c r="B33498" s="6" t="s">
        <v>42161</v>
      </c>
      <c r="C33498" s="5" t="str">
        <f>IFERROR(__xludf.DUMMYFUNCTION("GOOGLETRANSLATE(B33498,""en"",""zh-CN"")"),"显示了瓷砖的低视图，一个人正在灌浆，擦拭瓷砖，并显示了瓷砖房间的各种景色。")</f>
        <v>显示了瓷砖的低视图，一个人正在灌浆，擦拭瓷砖，并显示了瓷砖房间的各种景色。</v>
      </c>
    </row>
    <row r="33499">
      <c r="A33499" s="4" t="s">
        <v>42162</v>
      </c>
      <c r="B33499" s="4" t="s">
        <v>42163</v>
      </c>
      <c r="C33499" s="5" t="str">
        <f>IFERROR(__xludf.DUMMYFUNCTION("GOOGLETRANSLATE(B33499,""en"",""zh-CN"")"),"看到一个女人坐在床的尽头，脱鞋，然后婴儿的脚走路。")</f>
        <v>看到一个女人坐在床的尽头，脱鞋，然后婴儿的脚走路。</v>
      </c>
    </row>
    <row r="33500">
      <c r="A33500" s="4" t="s">
        <v>42162</v>
      </c>
      <c r="B33500" s="6" t="s">
        <v>42164</v>
      </c>
      <c r="C33500" s="5" t="str">
        <f>IFERROR(__xludf.DUMMYFUNCTION("GOOGLETRANSLATE(B33500,""en"",""zh-CN"")"),"表明家具的镜头会导致一个女人说话，然后几个人吸尘并踩到地毯上。")</f>
        <v>表明家具的镜头会导致一个女人说话，然后几个人吸尘并踩到地毯上。</v>
      </c>
    </row>
    <row r="33501">
      <c r="A33501" s="4" t="s">
        <v>42162</v>
      </c>
      <c r="B33501" s="6" t="s">
        <v>42165</v>
      </c>
      <c r="C33501" s="5" t="str">
        <f>IFERROR(__xludf.DUMMYFUNCTION("GOOGLETRANSLATE(B33501,""en"",""zh-CN"")"),"一个人调整真空并在女人说话时继续使用它，并导致男人和婴儿一起玩。")</f>
        <v>一个人调整真空并在女人说话时继续使用它，并导致男人和婴儿一起玩。</v>
      </c>
    </row>
    <row r="33502">
      <c r="A33502" s="4" t="s">
        <v>42166</v>
      </c>
      <c r="B33502" s="6" t="s">
        <v>42167</v>
      </c>
      <c r="C33502" s="5" t="str">
        <f>IFERROR(__xludf.DUMMYFUNCTION("GOOGLETRANSLATE(B33502,""en"",""zh-CN"")"),"看到了一个GoPro相机，然后出现另一个屏幕，显示该相机赢得了奖项。")</f>
        <v>看到了一个GoPro相机，然后出现另一个屏幕，显示该相机赢得了奖项。</v>
      </c>
    </row>
    <row r="33503">
      <c r="A33503" s="4" t="s">
        <v>42166</v>
      </c>
      <c r="B33503" s="6" t="s">
        <v>42168</v>
      </c>
      <c r="C33503" s="5" t="str">
        <f>IFERROR(__xludf.DUMMYFUNCTION("GOOGLETRANSLATE(B33503,""en"",""zh-CN"")"),"一台相机安装在滑雪者的头盔上，在他将自己放在池塘上的男人坐在马上之后，将他拉开。")</f>
        <v>一台相机安装在滑雪者的头盔上，在他将自己放在池塘上的男人坐在马上之后，将他拉开。</v>
      </c>
    </row>
    <row r="33504">
      <c r="A33504" s="4" t="s">
        <v>42166</v>
      </c>
      <c r="B33504" s="6" t="s">
        <v>42169</v>
      </c>
      <c r="C33504" s="5" t="str">
        <f>IFERROR(__xludf.DUMMYFUNCTION("GOOGLETRANSLATE(B33504,""en"",""zh-CN"")"),"当他庆祝并指向狗时，他靠近土地，然后掉入水中，指着那匹马的那个男人。")</f>
        <v>当他庆祝并指向狗时，他靠近土地，然后掉入水中，指着那匹马的那个男人。</v>
      </c>
    </row>
    <row r="33505">
      <c r="A33505" s="4" t="s">
        <v>42166</v>
      </c>
      <c r="B33505" s="4" t="s">
        <v>42170</v>
      </c>
      <c r="C33505" s="5" t="str">
        <f>IFERROR(__xludf.DUMMYFUNCTION("GOOGLETRANSLATE(B33505,""en"",""zh-CN"")"),"似乎有一个屏幕要求将镜头提交GoPro奖。")</f>
        <v>似乎有一个屏幕要求将镜头提交GoPro奖。</v>
      </c>
    </row>
    <row r="33506">
      <c r="A33506" s="4" t="s">
        <v>42171</v>
      </c>
      <c r="B33506" s="4" t="s">
        <v>42172</v>
      </c>
      <c r="C33506" s="5" t="str">
        <f>IFERROR(__xludf.DUMMYFUNCTION("GOOGLETRANSLATE(B33506,""en"",""zh-CN"")"),"我们看到一个人的风筝冲浪。")</f>
        <v>我们看到一个人的风筝冲浪。</v>
      </c>
    </row>
    <row r="33507">
      <c r="A33507" s="4" t="s">
        <v>42171</v>
      </c>
      <c r="B33507" s="4" t="s">
        <v>42173</v>
      </c>
      <c r="C33507" s="5" t="str">
        <f>IFERROR(__xludf.DUMMYFUNCTION("GOOGLETRANSLATE(B33507,""en"",""zh-CN"")"),"我们在海滩上经过一个人。")</f>
        <v>我们在海滩上经过一个人。</v>
      </c>
    </row>
    <row r="33508">
      <c r="A33508" s="4" t="s">
        <v>42171</v>
      </c>
      <c r="B33508" s="4" t="s">
        <v>42174</v>
      </c>
      <c r="C33508" s="5" t="str">
        <f>IFERROR(__xludf.DUMMYFUNCTION("GOOGLETRANSLATE(B33508,""en"",""zh-CN"")"),"骑手落入水中。")</f>
        <v>骑手落入水中。</v>
      </c>
    </row>
    <row r="33509">
      <c r="A33509" s="4" t="s">
        <v>42171</v>
      </c>
      <c r="B33509" s="4" t="s">
        <v>42175</v>
      </c>
      <c r="C33509" s="5" t="str">
        <f>IFERROR(__xludf.DUMMYFUNCTION("GOOGLETRANSLATE(B33509,""en"",""zh-CN"")"),"水飞溅并覆盖相机镜头。")</f>
        <v>水飞溅并覆盖相机镜头。</v>
      </c>
    </row>
    <row r="33510">
      <c r="A33510" s="4" t="s">
        <v>42171</v>
      </c>
      <c r="B33510" s="4" t="s">
        <v>42176</v>
      </c>
      <c r="C33510" s="5" t="str">
        <f>IFERROR(__xludf.DUMMYFUNCTION("GOOGLETRANSLATE(B33510,""en"",""zh-CN"")"),"这个人朝另一个方向骑行。")</f>
        <v>这个人朝另一个方向骑行。</v>
      </c>
    </row>
    <row r="33511">
      <c r="A33511" s="4" t="s">
        <v>42171</v>
      </c>
      <c r="B33511" s="4" t="s">
        <v>42177</v>
      </c>
      <c r="C33511" s="5" t="str">
        <f>IFERROR(__xludf.DUMMYFUNCTION("GOOGLETRANSLATE(B33511,""en"",""zh-CN"")"),"我们看到沙子在风中吹了。")</f>
        <v>我们看到沙子在风中吹了。</v>
      </c>
    </row>
    <row r="33512">
      <c r="A33512" s="4" t="s">
        <v>42178</v>
      </c>
      <c r="B33512" s="4" t="s">
        <v>42179</v>
      </c>
      <c r="C33512" s="5" t="str">
        <f>IFERROR(__xludf.DUMMYFUNCTION("GOOGLETRANSLATE(B33512,""en"",""zh-CN"")"),"有很多人聚集在街上观看游行或参加游行。")</f>
        <v>有很多人聚集在街上观看游行或参加游行。</v>
      </c>
    </row>
    <row r="33513">
      <c r="A33513" s="4" t="s">
        <v>42178</v>
      </c>
      <c r="B33513" s="4" t="s">
        <v>42180</v>
      </c>
      <c r="C33513" s="5" t="str">
        <f>IFERROR(__xludf.DUMMYFUNCTION("GOOGLETRANSLATE(B33513,""en"",""zh-CN"")"),"有4个年轻人穿着军事着装，在游行中载着红色和白色的横幅。")</f>
        <v>有4个年轻人穿着军事着装，在游行中载着红色和白色的横幅。</v>
      </c>
    </row>
    <row r="33514">
      <c r="A33514" s="4" t="s">
        <v>42178</v>
      </c>
      <c r="B33514" s="6" t="s">
        <v>42181</v>
      </c>
      <c r="C33514" s="5" t="str">
        <f>IFERROR(__xludf.DUMMYFUNCTION("GOOGLETRANSLATE(B33514,""en"",""zh-CN"")"),"然后，他们紧随其后的是一群舞蹈女孩，他们都穿着红色，白色和黑色的衣服，但有些穿着白色上衣，而另一些则穿着红色上衣。")</f>
        <v>然后，他们紧随其后的是一群舞蹈女孩，他们都穿着红色，白色和黑色的衣服，但有些穿着白色上衣，而另一些则穿着红色上衣。</v>
      </c>
    </row>
    <row r="33515">
      <c r="A33515" s="4" t="s">
        <v>42178</v>
      </c>
      <c r="B33515" s="6" t="s">
        <v>42182</v>
      </c>
      <c r="C33515" s="5" t="str">
        <f>IFERROR(__xludf.DUMMYFUNCTION("GOOGLETRANSLATE(B33515,""en"",""zh-CN"")"),"然后，他们紧随其后的是一个非常大的乐队，他们正在演奏不同的乐器，他们都同步了，一个女人喜欢它，以至于乐队演奏时开始跳舞。")</f>
        <v>然后，他们紧随其后的是一个非常大的乐队，他们正在演奏不同的乐器，他们都同步了，一个女人喜欢它，以至于乐队演奏时开始跳舞。</v>
      </c>
    </row>
    <row r="33516">
      <c r="A33516" s="4" t="s">
        <v>42183</v>
      </c>
      <c r="B33516" s="6" t="s">
        <v>42184</v>
      </c>
      <c r="C33516" s="5" t="str">
        <f>IFERROR(__xludf.DUMMYFUNCTION("GOOGLETRANSLATE(B33516,""en"",""zh-CN"")"),"几个人的独木舟沿着湖上散布着几张湖数据和特征的静止照片。")</f>
        <v>几个人的独木舟沿着湖上散布着几张湖数据和特征的静止照片。</v>
      </c>
    </row>
    <row r="33517">
      <c r="A33517" s="4" t="s">
        <v>42183</v>
      </c>
      <c r="B33517" s="6" t="s">
        <v>42185</v>
      </c>
      <c r="C33517" s="5" t="str">
        <f>IFERROR(__xludf.DUMMYFUNCTION("GOOGLETRANSLATE(B33517,""en"",""zh-CN"")"),"显示了几张湖泊的静止照片，其中包括褐色和干燥的杂草/沼泽和平静的蓝色水以及浅岩石的浅水。")</f>
        <v>显示了几张湖泊的静止照片，其中包括褐色和干燥的杂草/沼泽和平静的蓝色水以及浅岩石的浅水。</v>
      </c>
    </row>
    <row r="33518">
      <c r="A33518" s="4" t="s">
        <v>42183</v>
      </c>
      <c r="B33518" s="4" t="s">
        <v>42186</v>
      </c>
      <c r="C33518" s="5" t="str">
        <f>IFERROR(__xludf.DUMMYFUNCTION("GOOGLETRANSLATE(B33518,""en"",""zh-CN"")"),"湖中显示了两个与人的独木舟。")</f>
        <v>湖中显示了两个与人的独木舟。</v>
      </c>
    </row>
    <row r="33519">
      <c r="A33519" s="4" t="s">
        <v>42183</v>
      </c>
      <c r="B33519" s="6" t="s">
        <v>42187</v>
      </c>
      <c r="C33519" s="5" t="str">
        <f>IFERROR(__xludf.DUMMYFUNCTION("GOOGLETRANSLATE(B33519,""en"",""zh-CN"")"),"展示了蓝色和黄鱼的艺术壁画，以及湖上人们的更多静止镜头和视频。")</f>
        <v>展示了蓝色和黄鱼的艺术壁画，以及湖上人们的更多静止镜头和视频。</v>
      </c>
    </row>
    <row r="33520">
      <c r="A33520" s="4" t="s">
        <v>42188</v>
      </c>
      <c r="B33520" s="4" t="s">
        <v>42189</v>
      </c>
      <c r="C33520" s="5" t="str">
        <f>IFERROR(__xludf.DUMMYFUNCTION("GOOGLETRANSLATE(B33520,""en"",""zh-CN"")"),"显示了一个球，随后挥舞着风景，人们准备好了。")</f>
        <v>显示了一个球，随后挥舞着风景，人们准备好了。</v>
      </c>
    </row>
    <row r="33521">
      <c r="A33521" s="4" t="s">
        <v>42188</v>
      </c>
      <c r="B33521" s="4" t="s">
        <v>42190</v>
      </c>
      <c r="C33521" s="5" t="str">
        <f>IFERROR(__xludf.DUMMYFUNCTION("GOOGLETRANSLATE(B33521,""en"",""zh-CN"")"),"一个男人记录了一个拿着球的运动员坐在长凳上。")</f>
        <v>一个男人记录了一个拿着球的运动员坐在长凳上。</v>
      </c>
    </row>
    <row r="33522">
      <c r="A33522" s="4" t="s">
        <v>42188</v>
      </c>
      <c r="B33522" s="4" t="s">
        <v>42191</v>
      </c>
      <c r="C33522" s="5" t="str">
        <f>IFERROR(__xludf.DUMMYFUNCTION("GOOGLETRANSLATE(B33522,""en"",""zh-CN"")"),"显示各种人准备表演，然后有几个人挥舞球。")</f>
        <v>显示各种人准备表演，然后有几个人挥舞球。</v>
      </c>
    </row>
    <row r="33523">
      <c r="A33523" s="4" t="s">
        <v>42188</v>
      </c>
      <c r="B33523" s="6" t="s">
        <v>42192</v>
      </c>
      <c r="C33523" s="5" t="str">
        <f>IFERROR(__xludf.DUMMYFUNCTION("GOOGLETRANSLATE(B33523,""en"",""zh-CN"")"),"最终，显示了几名不同的女性执行任务，同时还要加强自己的投掷。")</f>
        <v>最终，显示了几名不同的女性执行任务，同时还要加强自己的投掷。</v>
      </c>
    </row>
    <row r="33524">
      <c r="A33524" s="4" t="s">
        <v>42193</v>
      </c>
      <c r="B33524" s="4" t="s">
        <v>42194</v>
      </c>
      <c r="C33524" s="5" t="str">
        <f>IFERROR(__xludf.DUMMYFUNCTION("GOOGLETRANSLATE(B33524,""en"",""zh-CN"")"),"我们看到一个带有箭头的介绍屏幕。")</f>
        <v>我们看到一个带有箭头的介绍屏幕。</v>
      </c>
    </row>
    <row r="33525">
      <c r="A33525" s="4" t="s">
        <v>42193</v>
      </c>
      <c r="B33525" s="4" t="s">
        <v>42195</v>
      </c>
      <c r="C33525" s="5" t="str">
        <f>IFERROR(__xludf.DUMMYFUNCTION("GOOGLETRANSLATE(B33525,""en"",""zh-CN"")"),"一位厨师在煮意大利面时站在弓前说话。")</f>
        <v>一位厨师在煮意大利面时站在弓前说话。</v>
      </c>
    </row>
    <row r="33526">
      <c r="A33526" s="4" t="s">
        <v>42193</v>
      </c>
      <c r="B33526" s="4" t="s">
        <v>42196</v>
      </c>
      <c r="C33526" s="5" t="str">
        <f>IFERROR(__xludf.DUMMYFUNCTION("GOOGLETRANSLATE(B33526,""en"",""zh-CN"")"),"那位女士加盐，意大利面条沸腾。")</f>
        <v>那位女士加盐，意大利面条沸腾。</v>
      </c>
    </row>
    <row r="33527">
      <c r="A33527" s="4" t="s">
        <v>42193</v>
      </c>
      <c r="B33527" s="4" t="s">
        <v>42197</v>
      </c>
      <c r="C33527" s="5" t="str">
        <f>IFERROR(__xludf.DUMMYFUNCTION("GOOGLETRANSLATE(B33527,""en"",""zh-CN"")"),"这位女士抓住了一条面条，展示煮熟时的外观。")</f>
        <v>这位女士抓住了一条面条，展示煮熟时的外观。</v>
      </c>
    </row>
    <row r="33528">
      <c r="A33528" s="4" t="s">
        <v>42193</v>
      </c>
      <c r="B33528" s="4" t="s">
        <v>42198</v>
      </c>
      <c r="C33528" s="5" t="str">
        <f>IFERROR(__xludf.DUMMYFUNCTION("GOOGLETRANSLATE(B33528,""en"",""zh-CN"")"),"女士排干了水，加入酱汁，并加入一些烹饪水。")</f>
        <v>女士排干了水，加入酱汁，并加入一些烹饪水。</v>
      </c>
    </row>
    <row r="33529">
      <c r="A33529" s="4" t="s">
        <v>42193</v>
      </c>
      <c r="B33529" s="4" t="s">
        <v>42199</v>
      </c>
      <c r="C33529" s="5" t="str">
        <f>IFERROR(__xludf.DUMMYFUNCTION("GOOGLETRANSLATE(B33529,""en"",""zh-CN"")"),"她把它放在盘子上。")</f>
        <v>她把它放在盘子上。</v>
      </c>
    </row>
    <row r="33530">
      <c r="A33530" s="4" t="s">
        <v>42193</v>
      </c>
      <c r="B33530" s="4" t="s">
        <v>42200</v>
      </c>
      <c r="C33530" s="5" t="str">
        <f>IFERROR(__xludf.DUMMYFUNCTION("GOOGLETRANSLATE(B33530,""en"",""zh-CN"")"),"然后，我们看到黑色信用滚动。")</f>
        <v>然后，我们看到黑色信用滚动。</v>
      </c>
    </row>
    <row r="33531">
      <c r="A33531" s="4" t="s">
        <v>42201</v>
      </c>
      <c r="B33531" s="4" t="s">
        <v>42202</v>
      </c>
      <c r="C33531" s="5" t="str">
        <f>IFERROR(__xludf.DUMMYFUNCTION("GOOGLETRANSLATE(B33531,""en"",""zh-CN"")"),"男人正站在屋顶的健身房中的赛道上，跑步在法官面前大跳。")</f>
        <v>男人正站在屋顶的健身房中的赛道上，跑步在法官面前大跳。</v>
      </c>
    </row>
    <row r="33532">
      <c r="A33532" s="4" t="s">
        <v>42201</v>
      </c>
      <c r="B33532" s="4" t="s">
        <v>42203</v>
      </c>
      <c r="C33532" s="5" t="str">
        <f>IFERROR(__xludf.DUMMYFUNCTION("GOOGLETRANSLATE(B33532,""en"",""zh-CN"")"),"人们在看着男孩的露台上。")</f>
        <v>人们在看着男孩的露台上。</v>
      </c>
    </row>
    <row r="33533">
      <c r="A33533" s="4" t="s">
        <v>42201</v>
      </c>
      <c r="B33533" s="4" t="s">
        <v>42204</v>
      </c>
      <c r="C33533" s="5" t="str">
        <f>IFERROR(__xludf.DUMMYFUNCTION("GOOGLETRANSLATE(B33533,""en"",""zh-CN"")"),"男人在跳跃之后拍手。")</f>
        <v>男人在跳跃之后拍手。</v>
      </c>
    </row>
    <row r="33534">
      <c r="A33534" s="4" t="s">
        <v>42205</v>
      </c>
      <c r="B33534" s="4" t="s">
        <v>42206</v>
      </c>
      <c r="C33534" s="5" t="str">
        <f>IFERROR(__xludf.DUMMYFUNCTION("GOOGLETRANSLATE(B33534,""en"",""zh-CN"")"),"看到一个女人在镜头外面看着她的头部。")</f>
        <v>看到一个女人在镜头外面看着她的头部。</v>
      </c>
    </row>
    <row r="33535">
      <c r="A33535" s="4" t="s">
        <v>42205</v>
      </c>
      <c r="B33535" s="4" t="s">
        <v>42207</v>
      </c>
      <c r="C33535" s="5" t="str">
        <f>IFERROR(__xludf.DUMMYFUNCTION("GOOGLETRANSLATE(B33535,""en"",""zh-CN"")"),"她握住各种产品，并用头发擦拭。")</f>
        <v>她握住各种产品，并用头发擦拭。</v>
      </c>
    </row>
    <row r="33536">
      <c r="A33536" s="4" t="s">
        <v>42205</v>
      </c>
      <c r="B33536" s="4" t="s">
        <v>42208</v>
      </c>
      <c r="C33536" s="5" t="str">
        <f>IFERROR(__xludf.DUMMYFUNCTION("GOOGLETRANSLATE(B33536,""en"",""zh-CN"")"),"然后，她将头发放在头发上，一边发出头发，然后感受到质地。")</f>
        <v>然后，她将头发放在头发上，一边发出头发，然后感受到质地。</v>
      </c>
    </row>
    <row r="33537">
      <c r="A33537" s="4" t="s">
        <v>42205</v>
      </c>
      <c r="B33537" s="4" t="s">
        <v>42209</v>
      </c>
      <c r="C33537" s="5" t="str">
        <f>IFERROR(__xludf.DUMMYFUNCTION("GOOGLETRANSLATE(B33537,""en"",""zh-CN"")"),"她完成了固定头发，然后回头看着相机。")</f>
        <v>她完成了固定头发，然后回头看着相机。</v>
      </c>
    </row>
    <row r="33538">
      <c r="A33538" s="4" t="s">
        <v>42210</v>
      </c>
      <c r="B33538" s="6" t="s">
        <v>42211</v>
      </c>
      <c r="C33538" s="5" t="str">
        <f>IFERROR(__xludf.DUMMYFUNCTION("GOOGLETRANSLATE(B33538,""en"",""zh-CN"")"),"一只男人和一只狗站在野外比赛的中间，他拿着一组飞盘。")</f>
        <v>一只男人和一只狗站在野外比赛的中间，他拿着一组飞盘。</v>
      </c>
    </row>
    <row r="33539">
      <c r="A33539" s="4" t="s">
        <v>42210</v>
      </c>
      <c r="B33539" s="6" t="s">
        <v>42212</v>
      </c>
      <c r="C33539" s="5" t="str">
        <f>IFERROR(__xludf.DUMMYFUNCTION("GOOGLETRANSLATE(B33539,""en"",""zh-CN"")"),"然后，该男子扔了所有的飞盘，狗几次奔跑并抓住它们。")</f>
        <v>然后，该男子扔了所有的飞盘，狗几次奔跑并抓住它们。</v>
      </c>
    </row>
    <row r="33540">
      <c r="A33540" s="4" t="s">
        <v>42210</v>
      </c>
      <c r="B33540" s="6" t="s">
        <v>42213</v>
      </c>
      <c r="C33540" s="5" t="str">
        <f>IFERROR(__xludf.DUMMYFUNCTION("GOOGLETRANSLATE(B33540,""en"",""zh-CN"")"),"在例行活动的中间，他抓住了几个飞盘，将它们跪在他面前时，将它们一个人送给狗。")</f>
        <v>在例行活动的中间，他抓住了几个飞盘，将它们跪在他面前时，将它们一个人送给狗。</v>
      </c>
    </row>
    <row r="33541">
      <c r="A33541" s="4" t="s">
        <v>42210</v>
      </c>
      <c r="B33541" s="6" t="s">
        <v>42214</v>
      </c>
      <c r="C33541" s="5" t="str">
        <f>IFERROR(__xludf.DUMMYFUNCTION("GOOGLETRANSLATE(B33541,""en"",""zh-CN"")"),"完成了几个技巧，然后狗在田野里跳跃起来，他们回到了常规的例程，主人接管狗并向人群挥手。")</f>
        <v>完成了几个技巧，然后狗在田野里跳跃起来，他们回到了常规的例程，主人接管狗并向人群挥手。</v>
      </c>
    </row>
    <row r="33542">
      <c r="A33542" s="4" t="s">
        <v>42215</v>
      </c>
      <c r="B33542" s="4" t="s">
        <v>42216</v>
      </c>
      <c r="C33542" s="5" t="str">
        <f>IFERROR(__xludf.DUMMYFUNCTION("GOOGLETRANSLATE(B33542,""en"",""zh-CN"")"),"该视频从相扑舞台上的两个相扑摔跤手开始。")</f>
        <v>该视频从相扑舞台上的两个相扑摔跤手开始。</v>
      </c>
    </row>
    <row r="33543">
      <c r="A33543" s="4" t="s">
        <v>42215</v>
      </c>
      <c r="B33543" s="4" t="s">
        <v>42217</v>
      </c>
      <c r="C33543" s="5" t="str">
        <f>IFERROR(__xludf.DUMMYFUNCTION("GOOGLETRANSLATE(B33543,""en"",""zh-CN"")"),"有很多人的观察，戒指中央的一个人充当裁判。")</f>
        <v>有很多人的观察，戒指中央的一个人充当裁判。</v>
      </c>
    </row>
    <row r="33544">
      <c r="A33544" s="4" t="s">
        <v>42215</v>
      </c>
      <c r="B33544" s="4" t="s">
        <v>42218</v>
      </c>
      <c r="C33544" s="5" t="str">
        <f>IFERROR(__xludf.DUMMYFUNCTION("GOOGLETRANSLATE(B33544,""en"",""zh-CN"")"),"两位相扑摔跤手将白色粉末扔进了戒指。")</f>
        <v>两位相扑摔跤手将白色粉末扔进了戒指。</v>
      </c>
    </row>
    <row r="33545">
      <c r="A33545" s="4" t="s">
        <v>42215</v>
      </c>
      <c r="B33545" s="6" t="s">
        <v>42219</v>
      </c>
      <c r="C33545" s="5" t="str">
        <f>IFERROR(__xludf.DUMMYFUNCTION("GOOGLETRANSLATE(B33545,""en"",""zh-CN"")"),"蹲下并鼓掌双手，而一群人则拿着旗帜，绕着戒指走来走去。")</f>
        <v>蹲下并鼓掌双手，而一群人则拿着旗帜，绕着戒指走来走去。</v>
      </c>
    </row>
    <row r="33546">
      <c r="A33546" s="4" t="s">
        <v>42215</v>
      </c>
      <c r="B33546" s="4" t="s">
        <v>42220</v>
      </c>
      <c r="C33546" s="5" t="str">
        <f>IFERROR(__xludf.DUMMYFUNCTION("GOOGLETRANSLATE(B33546,""en"",""zh-CN"")"),"当扫除一些粉末时，另外两个男人拿着扫帚。")</f>
        <v>当扫除一些粉末时，另外两个男人拿着扫帚。</v>
      </c>
    </row>
    <row r="33547">
      <c r="A33547" s="4" t="s">
        <v>42215</v>
      </c>
      <c r="B33547" s="4" t="s">
        <v>42221</v>
      </c>
      <c r="C33547" s="5" t="str">
        <f>IFERROR(__xludf.DUMMYFUNCTION("GOOGLETRANSLATE(B33547,""en"",""zh-CN"")"),"两位相扑摔跤手走出了戒指，再次扔了更多的粉末。")</f>
        <v>两位相扑摔跤手走出了戒指，再次扔了更多的粉末。</v>
      </c>
    </row>
    <row r="33548">
      <c r="A33548" s="4" t="s">
        <v>42215</v>
      </c>
      <c r="B33548" s="4" t="s">
        <v>42222</v>
      </c>
      <c r="C33548" s="5" t="str">
        <f>IFERROR(__xludf.DUMMYFUNCTION("GOOGLETRANSLATE(B33548,""en"",""zh-CN"")"),"他们彼此碰撞并退缩。")</f>
        <v>他们彼此碰撞并退缩。</v>
      </c>
    </row>
    <row r="33549">
      <c r="A33549" s="4" t="s">
        <v>42215</v>
      </c>
      <c r="B33549" s="4" t="s">
        <v>42223</v>
      </c>
      <c r="C33549" s="5" t="str">
        <f>IFERROR(__xludf.DUMMYFUNCTION("GOOGLETRANSLATE(B33549,""en"",""zh-CN"")"),"他们再次相互冲突并开始摔跤。")</f>
        <v>他们再次相互冲突并开始摔跤。</v>
      </c>
    </row>
    <row r="33550">
      <c r="A33550" s="4" t="s">
        <v>42215</v>
      </c>
      <c r="B33550" s="4" t="s">
        <v>42224</v>
      </c>
      <c r="C33550" s="5" t="str">
        <f>IFERROR(__xludf.DUMMYFUNCTION("GOOGLETRANSLATE(B33550,""en"",""zh-CN"")"),"穿着黑色相扑短裤的男人将另一个男人扔出了戒指。")</f>
        <v>穿着黑色相扑短裤的男人将另一个男人扔出了戒指。</v>
      </c>
    </row>
    <row r="33551">
      <c r="A33551" s="4" t="s">
        <v>42215</v>
      </c>
      <c r="B33551" s="4" t="s">
        <v>42225</v>
      </c>
      <c r="C33551" s="5" t="str">
        <f>IFERROR(__xludf.DUMMYFUNCTION("GOOGLETRANSLATE(B33551,""en"",""zh-CN"")"),"他们鞠躬，失败者退出了戒指。")</f>
        <v>他们鞠躬，失败者退出了戒指。</v>
      </c>
    </row>
    <row r="33552">
      <c r="A33552" s="4" t="s">
        <v>42226</v>
      </c>
      <c r="B33552" s="4" t="s">
        <v>42227</v>
      </c>
      <c r="C33552" s="5" t="str">
        <f>IFERROR(__xludf.DUMMYFUNCTION("GOOGLETRANSLATE(B33552,""en"",""zh-CN"")"),"一个男人正在弯腰，连续几次捡起重量重量并将其放下。")</f>
        <v>一个男人正在弯腰，连续几次捡起重量重量并将其放下。</v>
      </c>
    </row>
    <row r="33553">
      <c r="A33553" s="4" t="s">
        <v>42226</v>
      </c>
      <c r="B33553" s="4" t="s">
        <v>42228</v>
      </c>
      <c r="C33553" s="5" t="str">
        <f>IFERROR(__xludf.DUMMYFUNCTION("GOOGLETRANSLATE(B33553,""en"",""zh-CN"")"),"一个人正在测量另一个曼的手臂长度。")</f>
        <v>一个人正在测量另一个曼的手臂长度。</v>
      </c>
    </row>
    <row r="33554">
      <c r="A33554" s="4" t="s">
        <v>42226</v>
      </c>
      <c r="B33554" s="4" t="s">
        <v>42229</v>
      </c>
      <c r="C33554" s="5" t="str">
        <f>IFERROR(__xludf.DUMMYFUNCTION("GOOGLETRANSLATE(B33554,""en"",""zh-CN"")"),"该男子测量重量棒的长度。")</f>
        <v>该男子测量重量棒的长度。</v>
      </c>
    </row>
    <row r="33555">
      <c r="A33555" s="4" t="s">
        <v>42230</v>
      </c>
      <c r="B33555" s="4" t="s">
        <v>573</v>
      </c>
      <c r="C33555" s="5" t="str">
        <f>IFERROR(__xludf.DUMMYFUNCTION("GOOGLETRANSLATE(B33555,""en"",""zh-CN"")"),"显示了视频的积分。")</f>
        <v>显示了视频的积分。</v>
      </c>
    </row>
    <row r="33556">
      <c r="A33556" s="4" t="s">
        <v>42230</v>
      </c>
      <c r="B33556" s="4" t="s">
        <v>42231</v>
      </c>
      <c r="C33556" s="5" t="str">
        <f>IFERROR(__xludf.DUMMYFUNCTION("GOOGLETRANSLATE(B33556,""en"",""zh-CN"")"),"一个人站着弓箭。")</f>
        <v>一个人站着弓箭。</v>
      </c>
    </row>
    <row r="33557">
      <c r="A33557" s="4" t="s">
        <v>42230</v>
      </c>
      <c r="B33557" s="4" t="s">
        <v>42232</v>
      </c>
      <c r="C33557" s="5" t="str">
        <f>IFERROR(__xludf.DUMMYFUNCTION("GOOGLETRANSLATE(B33557,""en"",""zh-CN"")"),"一个男人从弓箭上射击了箭。")</f>
        <v>一个男人从弓箭上射击了箭。</v>
      </c>
    </row>
    <row r="33558">
      <c r="A33558" s="4" t="s">
        <v>42230</v>
      </c>
      <c r="B33558" s="4" t="s">
        <v>42233</v>
      </c>
      <c r="C33558" s="5" t="str">
        <f>IFERROR(__xludf.DUMMYFUNCTION("GOOGLETRANSLATE(B33558,""en"",""zh-CN"")"),"显示了剪辑的信用。")</f>
        <v>显示了剪辑的信用。</v>
      </c>
    </row>
    <row r="33559">
      <c r="A33559" s="4" t="s">
        <v>42230</v>
      </c>
      <c r="B33559" s="4" t="s">
        <v>42234</v>
      </c>
      <c r="C33559" s="5" t="str">
        <f>IFERROR(__xludf.DUMMYFUNCTION("GOOGLETRANSLATE(B33559,""en"",""zh-CN"")"),"一个人用嘴和手说话。")</f>
        <v>一个人用嘴和手说话。</v>
      </c>
    </row>
    <row r="33560">
      <c r="A33560" s="4" t="s">
        <v>42230</v>
      </c>
      <c r="B33560" s="4" t="s">
        <v>42235</v>
      </c>
      <c r="C33560" s="5" t="str">
        <f>IFERROR(__xludf.DUMMYFUNCTION("GOOGLETRANSLATE(B33560,""en"",""zh-CN"")"),"握着笔的伸出手在分屏上显示。")</f>
        <v>握着笔的伸出手在分屏上显示。</v>
      </c>
    </row>
    <row r="33561">
      <c r="A33561" s="4" t="s">
        <v>42230</v>
      </c>
      <c r="B33561" s="4" t="s">
        <v>42236</v>
      </c>
      <c r="C33561" s="5" t="str">
        <f>IFERROR(__xludf.DUMMYFUNCTION("GOOGLETRANSLATE(B33561,""en"",""zh-CN"")"),"几个箭头击中了目标。")</f>
        <v>几个箭头击中了目标。</v>
      </c>
    </row>
    <row r="33562">
      <c r="A33562" s="4" t="s">
        <v>42230</v>
      </c>
      <c r="B33562" s="4" t="s">
        <v>42237</v>
      </c>
      <c r="C33562" s="5" t="str">
        <f>IFERROR(__xludf.DUMMYFUNCTION("GOOGLETRANSLATE(B33562,""en"",""zh-CN"")"),"箭穿过甜甜圈的洞。")</f>
        <v>箭穿过甜甜圈的洞。</v>
      </c>
    </row>
    <row r="33563">
      <c r="A33563" s="4" t="s">
        <v>42230</v>
      </c>
      <c r="B33563" s="4" t="s">
        <v>42238</v>
      </c>
      <c r="C33563" s="5" t="str">
        <f>IFERROR(__xludf.DUMMYFUNCTION("GOOGLETRANSLATE(B33563,""en"",""zh-CN"")"),"箭头切割了拿着苹果的绳子。")</f>
        <v>箭头切割了拿着苹果的绳子。</v>
      </c>
    </row>
    <row r="33564">
      <c r="A33564" s="4" t="s">
        <v>42230</v>
      </c>
      <c r="B33564" s="4" t="s">
        <v>42239</v>
      </c>
      <c r="C33564" s="5" t="str">
        <f>IFERROR(__xludf.DUMMYFUNCTION("GOOGLETRANSLATE(B33564,""en"",""zh-CN"")"),"箭穿过CD的孔。")</f>
        <v>箭穿过CD的孔。</v>
      </c>
    </row>
    <row r="33565">
      <c r="A33565" s="4" t="s">
        <v>42230</v>
      </c>
      <c r="B33565" s="4" t="s">
        <v>42240</v>
      </c>
      <c r="C33565" s="5" t="str">
        <f>IFERROR(__xludf.DUMMYFUNCTION("GOOGLETRANSLATE(B33565,""en"",""zh-CN"")"),"提出了剪辑的信用。")</f>
        <v>提出了剪辑的信用。</v>
      </c>
    </row>
    <row r="33566">
      <c r="A33566" s="4" t="s">
        <v>42230</v>
      </c>
      <c r="B33566" s="4" t="s">
        <v>29120</v>
      </c>
      <c r="C33566" s="5" t="str">
        <f>IFERROR(__xludf.DUMMYFUNCTION("GOOGLETRANSLATE(B33566,""en"",""zh-CN"")"),"一个家伙在示意时说话。")</f>
        <v>一个家伙在示意时说话。</v>
      </c>
    </row>
    <row r="33567">
      <c r="A33567" s="4" t="s">
        <v>42230</v>
      </c>
      <c r="B33567" s="4" t="s">
        <v>42241</v>
      </c>
      <c r="C33567" s="5" t="str">
        <f>IFERROR(__xludf.DUMMYFUNCTION("GOOGLETRANSLATE(B33567,""en"",""zh-CN"")"),"显示了视频的积分。")</f>
        <v>显示了视频的积分。</v>
      </c>
    </row>
    <row r="33568">
      <c r="A33568" s="4" t="s">
        <v>42242</v>
      </c>
      <c r="B33568" s="6" t="s">
        <v>42243</v>
      </c>
      <c r="C33568" s="5" t="str">
        <f>IFERROR(__xludf.DUMMYFUNCTION("GOOGLETRANSLATE(B33568,""en"",""zh-CN"")"),"两名男子在轮流用棍子击球的同时打台球，而一个男人则独自一人打台球。")</f>
        <v>两名男子在轮流用棍子击球的同时打台球，而一个男人则独自一人打台球。</v>
      </c>
    </row>
    <row r="33569">
      <c r="A33569" s="4" t="s">
        <v>42242</v>
      </c>
      <c r="B33569" s="4" t="s">
        <v>42244</v>
      </c>
      <c r="C33569" s="5" t="str">
        <f>IFERROR(__xludf.DUMMYFUNCTION("GOOGLETRANSLATE(B33569,""en"",""zh-CN"")"),"一个男人和一个孩子在桌子池后面的客厅里散步。")</f>
        <v>一个男人和一个孩子在桌子池后面的客厅里散步。</v>
      </c>
    </row>
    <row r="33570">
      <c r="A33570" s="4" t="s">
        <v>42242</v>
      </c>
      <c r="B33570" s="4" t="s">
        <v>42245</v>
      </c>
      <c r="C33570" s="5" t="str">
        <f>IFERROR(__xludf.DUMMYFUNCTION("GOOGLETRANSLATE(B33570,""en"",""zh-CN"")"),"一个女人在男人旁边带着一根棍子走路。")</f>
        <v>一个女人在男人旁边带着一根棍子走路。</v>
      </c>
    </row>
    <row r="33571">
      <c r="A33571" s="4" t="s">
        <v>42246</v>
      </c>
      <c r="B33571" s="4" t="s">
        <v>42247</v>
      </c>
      <c r="C33571" s="5" t="str">
        <f>IFERROR(__xludf.DUMMYFUNCTION("GOOGLETRANSLATE(B33571,""en"",""zh-CN"")"),"看到一个男人在相机上说话，然后是几张胡须男人的照片。")</f>
        <v>看到一个男人在相机上说话，然后是几张胡须男人的照片。</v>
      </c>
    </row>
    <row r="33572">
      <c r="A33572" s="4" t="s">
        <v>42246</v>
      </c>
      <c r="B33572" s="4" t="s">
        <v>42248</v>
      </c>
      <c r="C33572" s="5" t="str">
        <f>IFERROR(__xludf.DUMMYFUNCTION("GOOGLETRANSLATE(B33572,""en"",""zh-CN"")"),"然后，该男子开始用剪纸时用剪刀在脸上使用剪刀。")</f>
        <v>然后，该男子开始用剪纸时用剪刀在脸上使用剪刀。</v>
      </c>
    </row>
    <row r="33573">
      <c r="A33573" s="4" t="s">
        <v>42246</v>
      </c>
      <c r="B33573" s="4" t="s">
        <v>42249</v>
      </c>
      <c r="C33573" s="5" t="str">
        <f>IFERROR(__xludf.DUMMYFUNCTION("GOOGLETRANSLATE(B33573,""en"",""zh-CN"")"),"该男子继续挥舞着相机，继续剃光他的脸并结束。")</f>
        <v>该男子继续挥舞着相机，继续剃光他的脸并结束。</v>
      </c>
    </row>
    <row r="33574">
      <c r="A33574" s="4" t="s">
        <v>42250</v>
      </c>
      <c r="B33574" s="4" t="s">
        <v>42251</v>
      </c>
      <c r="C33574" s="5" t="str">
        <f>IFERROR(__xludf.DUMMYFUNCTION("GOOGLETRANSLATE(B33574,""en"",""zh-CN"")"),"一个小男孩向相机说话，并最终显示他的手移动物体。")</f>
        <v>一个小男孩向相机说话，并最终显示他的手移动物体。</v>
      </c>
    </row>
    <row r="33575">
      <c r="A33575" s="4" t="s">
        <v>42250</v>
      </c>
      <c r="B33575" s="4" t="s">
        <v>42252</v>
      </c>
      <c r="C33575" s="5" t="str">
        <f>IFERROR(__xludf.DUMMYFUNCTION("GOOGLETRANSLATE(B33575,""en"",""zh-CN"")"),"他将物体放在一起，开始用一把锋利的刀剃光侧面。")</f>
        <v>他将物体放在一起，开始用一把锋利的刀剃光侧面。</v>
      </c>
    </row>
    <row r="33576">
      <c r="A33576" s="4" t="s">
        <v>42250</v>
      </c>
      <c r="B33576" s="4" t="s">
        <v>42253</v>
      </c>
      <c r="C33576" s="5" t="str">
        <f>IFERROR(__xludf.DUMMYFUNCTION("GOOGLETRANSLATE(B33576,""en"",""zh-CN"")"),"他继续锐化物体，并显示刀在裸露的皮肤上。")</f>
        <v>他继续锐化物体，并显示刀在裸露的皮肤上。</v>
      </c>
    </row>
    <row r="33577">
      <c r="A33577" s="4" t="s">
        <v>42254</v>
      </c>
      <c r="B33577" s="4" t="s">
        <v>42255</v>
      </c>
      <c r="C33577" s="5" t="str">
        <f>IFERROR(__xludf.DUMMYFUNCTION("GOOGLETRANSLATE(B33577,""en"",""zh-CN"")"),"两名穿着篮球短裤的男子正在打球拍。")</f>
        <v>两名穿着篮球短裤的男子正在打球拍。</v>
      </c>
    </row>
    <row r="33578">
      <c r="A33578" s="4" t="s">
        <v>42254</v>
      </c>
      <c r="B33578" s="4" t="s">
        <v>2779</v>
      </c>
      <c r="C33578" s="5" t="str">
        <f>IFERROR(__xludf.DUMMYFUNCTION("GOOGLETRANSLATE(B33578,""en"",""zh-CN"")"),"他们来回撞到墙上。")</f>
        <v>他们来回撞到墙上。</v>
      </c>
    </row>
    <row r="33579">
      <c r="A33579" s="4" t="s">
        <v>42254</v>
      </c>
      <c r="B33579" s="4" t="s">
        <v>42256</v>
      </c>
      <c r="C33579" s="5" t="str">
        <f>IFERROR(__xludf.DUMMYFUNCTION("GOOGLETRANSLATE(B33579,""en"",""zh-CN"")"),"这些人继续服务，然后击中并返回对方的服务。")</f>
        <v>这些人继续服务，然后击中并返回对方的服务。</v>
      </c>
    </row>
    <row r="33580">
      <c r="A33580" s="4" t="s">
        <v>42254</v>
      </c>
      <c r="B33580" s="4" t="s">
        <v>42257</v>
      </c>
      <c r="C33580" s="5" t="str">
        <f>IFERROR(__xludf.DUMMYFUNCTION("GOOGLETRANSLATE(B33580,""en"",""zh-CN"")"),"他们在一个人得分后短暂休息。")</f>
        <v>他们在一个人得分后短暂休息。</v>
      </c>
    </row>
    <row r="33581">
      <c r="A33581" s="4" t="s">
        <v>42254</v>
      </c>
      <c r="B33581" s="4" t="s">
        <v>42258</v>
      </c>
      <c r="C33581" s="5" t="str">
        <f>IFERROR(__xludf.DUMMYFUNCTION("GOOGLETRANSLATE(B33581,""en"",""zh-CN"")"),"他们继续玩耍和服务。")</f>
        <v>他们继续玩耍和服务。</v>
      </c>
    </row>
    <row r="33582">
      <c r="A33582" s="4" t="s">
        <v>42259</v>
      </c>
      <c r="B33582" s="4" t="s">
        <v>42260</v>
      </c>
      <c r="C33582" s="5" t="str">
        <f>IFERROR(__xludf.DUMMYFUNCTION("GOOGLETRANSLATE(B33582,""en"",""zh-CN"")"),"一名踢球运动员在大型竞技场的本垒板上踢球。")</f>
        <v>一名踢球运动员在大型竞技场的本垒板上踢球。</v>
      </c>
    </row>
    <row r="33583">
      <c r="A33583" s="4" t="s">
        <v>42259</v>
      </c>
      <c r="B33583" s="4" t="s">
        <v>42261</v>
      </c>
      <c r="C33583" s="5" t="str">
        <f>IFERROR(__xludf.DUMMYFUNCTION("GOOGLETRANSLATE(B33583,""en"",""zh-CN"")"),"玩家经过第一垒。")</f>
        <v>玩家经过第一垒。</v>
      </c>
    </row>
    <row r="33584">
      <c r="A33584" s="4" t="s">
        <v>42259</v>
      </c>
      <c r="B33584" s="4" t="s">
        <v>42262</v>
      </c>
      <c r="C33584" s="5" t="str">
        <f>IFERROR(__xludf.DUMMYFUNCTION("GOOGLETRANSLATE(B33584,""en"",""zh-CN"")"),"然后，玩家又回到了第一垒，然后踩着脚。")</f>
        <v>然后，玩家又回到了第一垒，然后踩着脚。</v>
      </c>
    </row>
    <row r="33585">
      <c r="A33585" s="4" t="s">
        <v>42263</v>
      </c>
      <c r="B33585" s="4" t="s">
        <v>42264</v>
      </c>
      <c r="C33585" s="5" t="str">
        <f>IFERROR(__xludf.DUMMYFUNCTION("GOOGLETRANSLATE(B33585,""en"",""zh-CN"")"),"一件绿色衬衫的吉他手演示了如何弹奏吉他。")</f>
        <v>一件绿色衬衫的吉他手演示了如何弹奏吉他。</v>
      </c>
    </row>
    <row r="33586">
      <c r="A33586" s="4" t="s">
        <v>42263</v>
      </c>
      <c r="B33586" s="4" t="s">
        <v>42265</v>
      </c>
      <c r="C33586" s="5" t="str">
        <f>IFERROR(__xludf.DUMMYFUNCTION("GOOGLETRANSLATE(B33586,""en"",""zh-CN"")"),"显示了各种木材制成的各种类型的吉他。")</f>
        <v>显示了各种木材制成的各种类型的吉他。</v>
      </c>
    </row>
    <row r="33587">
      <c r="A33587" s="4" t="s">
        <v>42263</v>
      </c>
      <c r="B33587" s="4" t="s">
        <v>42266</v>
      </c>
      <c r="C33587" s="5" t="str">
        <f>IFERROR(__xludf.DUMMYFUNCTION("GOOGLETRANSLATE(B33587,""en"",""zh-CN"")"),"吉他手在播放音乐时用他的精选弹奏吉他。")</f>
        <v>吉他手在播放音乐时用他的精选弹奏吉他。</v>
      </c>
    </row>
    <row r="33588">
      <c r="A33588" s="4" t="s">
        <v>42263</v>
      </c>
      <c r="B33588" s="6" t="s">
        <v>42267</v>
      </c>
      <c r="C33588" s="5" t="str">
        <f>IFERROR(__xludf.DUMMYFUNCTION("GOOGLETRANSLATE(B33588,""en"",""zh-CN"")"),"有吉他商店的图像以及屏幕底部滚动滚动的吉他类型。")</f>
        <v>有吉他商店的图像以及屏幕底部滚动滚动的吉他类型。</v>
      </c>
    </row>
    <row r="33589">
      <c r="A33589" s="4" t="s">
        <v>42263</v>
      </c>
      <c r="B33589" s="4" t="s">
        <v>42268</v>
      </c>
      <c r="C33589" s="5" t="str">
        <f>IFERROR(__xludf.DUMMYFUNCTION("GOOGLETRANSLATE(B33589,""en"",""zh-CN"")"),"吉他手继续弹吉他。")</f>
        <v>吉他手继续弹吉他。</v>
      </c>
    </row>
    <row r="33590">
      <c r="A33590" s="4" t="s">
        <v>42269</v>
      </c>
      <c r="B33590" s="6" t="s">
        <v>42270</v>
      </c>
      <c r="C33590" s="5" t="str">
        <f>IFERROR(__xludf.DUMMYFUNCTION("GOOGLETRANSLATE(B33590,""en"",""zh-CN"")"),"看到一小群人在游泳池周围游泳，扔一个球，而几个人在侧面看。")</f>
        <v>看到一小群人在游泳池周围游泳，扔一个球，而几个人在侧面看。</v>
      </c>
    </row>
    <row r="33591">
      <c r="A33591" s="4" t="s">
        <v>42269</v>
      </c>
      <c r="B33591" s="6" t="s">
        <v>42271</v>
      </c>
      <c r="C33591" s="5" t="str">
        <f>IFERROR(__xludf.DUMMYFUNCTION("GOOGLETRANSLATE(B33591,""en"",""zh-CN"")"),"当摄像机捕捉游戏进行时，人们继续将球互相扔。")</f>
        <v>当摄像机捕捉游戏进行时，人们继续将球互相扔。</v>
      </c>
    </row>
    <row r="33592">
      <c r="A33592" s="4" t="s">
        <v>42272</v>
      </c>
      <c r="B33592" s="4" t="s">
        <v>42273</v>
      </c>
      <c r="C33592" s="5" t="str">
        <f>IFERROR(__xludf.DUMMYFUNCTION("GOOGLETRANSLATE(B33592,""en"",""zh-CN"")"),"三位武术家有黑带为年幼的孩子们进行示威。")</f>
        <v>三位武术家有黑带为年幼的孩子们进行示威。</v>
      </c>
    </row>
    <row r="33593">
      <c r="A33593" s="4" t="s">
        <v>42272</v>
      </c>
      <c r="B33593" s="4" t="s">
        <v>42274</v>
      </c>
      <c r="C33593" s="5" t="str">
        <f>IFERROR(__xludf.DUMMYFUNCTION("GOOGLETRANSLATE(B33593,""en"",""zh-CN"")"),"他们跳了起来，然后互相鞠躬。")</f>
        <v>他们跳了起来，然后互相鞠躬。</v>
      </c>
    </row>
    <row r="33594">
      <c r="A33594" s="4" t="s">
        <v>42275</v>
      </c>
      <c r="B33594" s="6" t="s">
        <v>42276</v>
      </c>
      <c r="C33594" s="5" t="str">
        <f>IFERROR(__xludf.DUMMYFUNCTION("GOOGLETRANSLATE(B33594,""en"",""zh-CN"")"),"一个运动的人在桨板上游泳，而另一个男人则落后并协助他。")</f>
        <v>一个运动的人在桨板上游泳，而另一个男人则落后并协助他。</v>
      </c>
    </row>
    <row r="33595">
      <c r="A33595" s="4" t="s">
        <v>42275</v>
      </c>
      <c r="B33595" s="4" t="s">
        <v>42277</v>
      </c>
      <c r="C33595" s="5" t="str">
        <f>IFERROR(__xludf.DUMMYFUNCTION("GOOGLETRANSLATE(B33595,""en"",""zh-CN"")"),"然后，他将那个人向前翻转，该男子演示了如何将自己翻转回去。")</f>
        <v>然后，他将那个人向前翻转，该男子演示了如何将自己翻转回去。</v>
      </c>
    </row>
    <row r="33596">
      <c r="A33596" s="4" t="s">
        <v>42275</v>
      </c>
      <c r="B33596" s="4" t="s">
        <v>42278</v>
      </c>
      <c r="C33596" s="5" t="str">
        <f>IFERROR(__xludf.DUMMYFUNCTION("GOOGLETRANSLATE(B33596,""en"",""zh-CN"")"),"他们再做几次，以使这一举动更加自在。")</f>
        <v>他们再做几次，以使这一举动更加自在。</v>
      </c>
    </row>
    <row r="33597">
      <c r="A33597" s="4" t="s">
        <v>42279</v>
      </c>
      <c r="B33597" s="4" t="s">
        <v>42280</v>
      </c>
      <c r="C33597" s="5" t="str">
        <f>IFERROR(__xludf.DUMMYFUNCTION("GOOGLETRANSLATE(B33597,""en"",""zh-CN"")"),"有六到八人在木筏上沿着湍流的水流航行。")</f>
        <v>有六到八人在木筏上沿着湍流的水流航行。</v>
      </c>
    </row>
    <row r="33598">
      <c r="A33598" s="4" t="s">
        <v>42279</v>
      </c>
      <c r="B33598" s="4" t="s">
        <v>42281</v>
      </c>
      <c r="C33598" s="5" t="str">
        <f>IFERROR(__xludf.DUMMYFUNCTION("GOOGLETRANSLATE(B33598,""en"",""zh-CN"")"),"它们都穿着红色齿轮和黄色的头盔。")</f>
        <v>它们都穿着红色齿轮和黄色的头盔。</v>
      </c>
    </row>
    <row r="33599">
      <c r="A33599" s="4" t="s">
        <v>42279</v>
      </c>
      <c r="B33599" s="4" t="s">
        <v>42282</v>
      </c>
      <c r="C33599" s="5" t="str">
        <f>IFERROR(__xludf.DUMMYFUNCTION("GOOGLETRANSLATE(B33599,""en"",""zh-CN"")"),"他们用桨来沿着急流航行。")</f>
        <v>他们用桨来沿着急流航行。</v>
      </c>
    </row>
    <row r="33600">
      <c r="A33600" s="4" t="s">
        <v>42279</v>
      </c>
      <c r="B33600" s="6" t="s">
        <v>42283</v>
      </c>
      <c r="C33600" s="5" t="str">
        <f>IFERROR(__xludf.DUMMYFUNCTION("GOOGLETRANSLATE(B33600,""en"",""zh-CN"")"),"他们正在努力保持在湍流的水中漂浮，因为船在急流中航行。")</f>
        <v>他们正在努力保持在湍流的水中漂浮，因为船在急流中航行。</v>
      </c>
    </row>
    <row r="33601">
      <c r="A33601" s="4" t="s">
        <v>42279</v>
      </c>
      <c r="B33601" s="4" t="s">
        <v>42284</v>
      </c>
      <c r="C33601" s="5" t="str">
        <f>IFERROR(__xludf.DUMMYFUNCTION("GOOGLETRANSLATE(B33601,""en"",""zh-CN"")"),"当他们航行时，他们遇到了同一急流中的另一组after子。")</f>
        <v>当他们航行时，他们遇到了同一急流中的另一组after子。</v>
      </c>
    </row>
    <row r="33602">
      <c r="A33602" s="4" t="s">
        <v>42279</v>
      </c>
      <c r="B33602" s="4" t="s">
        <v>42285</v>
      </c>
      <c r="C33602" s="5" t="str">
        <f>IFERROR(__xludf.DUMMYFUNCTION("GOOGLETRANSLATE(B33602,""en"",""zh-CN"")"),"他们继续穿越急流的粗糙水。")</f>
        <v>他们继续穿越急流的粗糙水。</v>
      </c>
    </row>
    <row r="33603">
      <c r="A33603" s="4" t="s">
        <v>42286</v>
      </c>
      <c r="B33603" s="4" t="s">
        <v>42287</v>
      </c>
      <c r="C33603" s="5" t="str">
        <f>IFERROR(__xludf.DUMMYFUNCTION("GOOGLETRANSLATE(B33603,""en"",""zh-CN"")"),"一群跑步者正在马拉松比赛中跑步。")</f>
        <v>一群跑步者正在马拉松比赛中跑步。</v>
      </c>
    </row>
    <row r="33604">
      <c r="A33604" s="4" t="s">
        <v>42286</v>
      </c>
      <c r="B33604" s="4" t="s">
        <v>42288</v>
      </c>
      <c r="C33604" s="5" t="str">
        <f>IFERROR(__xludf.DUMMYFUNCTION("GOOGLETRANSLATE(B33604,""en"",""zh-CN"")"),"一个男人高高围着一个人群中的女人。")</f>
        <v>一个男人高高围着一个人群中的女人。</v>
      </c>
    </row>
    <row r="33605">
      <c r="A33605" s="4" t="s">
        <v>42286</v>
      </c>
      <c r="B33605" s="4" t="s">
        <v>42289</v>
      </c>
      <c r="C33605" s="5" t="str">
        <f>IFERROR(__xludf.DUMMYFUNCTION("GOOGLETRANSLATE(B33605,""en"",""zh-CN"")"),"他们周围的人群欢呼。")</f>
        <v>他们周围的人群欢呼。</v>
      </c>
    </row>
    <row r="33606">
      <c r="A33606" s="4" t="s">
        <v>42286</v>
      </c>
      <c r="B33606" s="4" t="s">
        <v>42290</v>
      </c>
      <c r="C33606" s="5" t="str">
        <f>IFERROR(__xludf.DUMMYFUNCTION("GOOGLETRANSLATE(B33606,""en"",""zh-CN"")"),"一个戴着白帽子的女人开始奇怪地走路。")</f>
        <v>一个戴着白帽子的女人开始奇怪地走路。</v>
      </c>
    </row>
    <row r="33607">
      <c r="A33607" s="4" t="s">
        <v>42286</v>
      </c>
      <c r="B33607" s="4" t="s">
        <v>42291</v>
      </c>
      <c r="C33607" s="5" t="str">
        <f>IFERROR(__xludf.DUMMYFUNCTION("GOOGLETRANSLATE(B33607,""en"",""zh-CN"")"),"另一个戴着白帽子的女人落在地面上。")</f>
        <v>另一个戴着白帽子的女人落在地面上。</v>
      </c>
    </row>
    <row r="33608">
      <c r="A33608" s="4" t="s">
        <v>42286</v>
      </c>
      <c r="B33608" s="4" t="s">
        <v>42292</v>
      </c>
      <c r="C33608" s="5" t="str">
        <f>IFERROR(__xludf.DUMMYFUNCTION("GOOGLETRANSLATE(B33608,""en"",""zh-CN"")"),"另一个戴着帽子的女人也掉了。")</f>
        <v>另一个戴着帽子的女人也掉了。</v>
      </c>
    </row>
    <row r="33609">
      <c r="A33609" s="4" t="s">
        <v>42286</v>
      </c>
      <c r="B33609" s="4" t="s">
        <v>42293</v>
      </c>
      <c r="C33609" s="5" t="str">
        <f>IFERROR(__xludf.DUMMYFUNCTION("GOOGLETRANSLATE(B33609,""en"",""zh-CN"")"),"他们俩都试图起床，但他们不断摔倒。")</f>
        <v>他们俩都试图起床，但他们不断摔倒。</v>
      </c>
    </row>
    <row r="33610">
      <c r="A33610" s="4" t="s">
        <v>42286</v>
      </c>
      <c r="B33610" s="4" t="s">
        <v>42294</v>
      </c>
      <c r="C33610" s="5" t="str">
        <f>IFERROR(__xludf.DUMMYFUNCTION("GOOGLETRANSLATE(B33610,""en"",""zh-CN"")"),"其中一名妇女开始爬到终点线。")</f>
        <v>其中一名妇女开始爬到终点线。</v>
      </c>
    </row>
    <row r="33611">
      <c r="A33611" s="4" t="s">
        <v>42286</v>
      </c>
      <c r="B33611" s="4" t="s">
        <v>42295</v>
      </c>
      <c r="C33611" s="5" t="str">
        <f>IFERROR(__xludf.DUMMYFUNCTION("GOOGLETRANSLATE(B33611,""en"",""zh-CN"")"),"另一个女人跟着她。")</f>
        <v>另一个女人跟着她。</v>
      </c>
    </row>
    <row r="33612">
      <c r="A33612" s="4" t="s">
        <v>42286</v>
      </c>
      <c r="B33612" s="4" t="s">
        <v>42296</v>
      </c>
      <c r="C33612" s="5" t="str">
        <f>IFERROR(__xludf.DUMMYFUNCTION("GOOGLETRANSLATE(B33612,""en"",""zh-CN"")"),"一个男人抬起一个女人，拥抱她。")</f>
        <v>一个男人抬起一个女人，拥抱她。</v>
      </c>
    </row>
    <row r="33613">
      <c r="A33613" s="4" t="s">
        <v>42297</v>
      </c>
      <c r="B33613" s="4" t="s">
        <v>42298</v>
      </c>
      <c r="C33613" s="5" t="str">
        <f>IFERROR(__xludf.DUMMYFUNCTION("GOOGLETRANSLATE(B33613,""en"",""zh-CN"")"),"看到一个人躺在地板上的保龄球馆上。")</f>
        <v>看到一个人躺在地板上的保龄球馆上。</v>
      </c>
    </row>
    <row r="33614">
      <c r="A33614" s="4" t="s">
        <v>42297</v>
      </c>
      <c r="B33614" s="4" t="s">
        <v>42299</v>
      </c>
      <c r="C33614" s="5" t="str">
        <f>IFERROR(__xludf.DUMMYFUNCTION("GOOGLETRANSLATE(B33614,""en"",""zh-CN"")"),"然后，该男子开始在地板上跳舞。")</f>
        <v>然后，该男子开始在地板上跳舞。</v>
      </c>
    </row>
    <row r="33615">
      <c r="A33615" s="4" t="s">
        <v>42297</v>
      </c>
      <c r="B33615" s="4" t="s">
        <v>42300</v>
      </c>
      <c r="C33615" s="5" t="str">
        <f>IFERROR(__xludf.DUMMYFUNCTION("GOOGLETRANSLATE(B33615,""en"",""zh-CN"")"),"那个男人的神奇球沿着车道沿着车道庆祝。")</f>
        <v>那个男人的神奇球沿着车道沿着车道庆祝。</v>
      </c>
    </row>
    <row r="33616">
      <c r="A33616" s="4" t="s">
        <v>42301</v>
      </c>
      <c r="B33616" s="4" t="s">
        <v>42302</v>
      </c>
      <c r="C33616" s="5" t="str">
        <f>IFERROR(__xludf.DUMMYFUNCTION("GOOGLETRANSLATE(B33616,""en"",""zh-CN"")"),"看到一个人站在乒乓球桌前，将球扔到远处。")</f>
        <v>看到一个人站在乒乓球桌前，将球扔到远处。</v>
      </c>
    </row>
    <row r="33617">
      <c r="A33617" s="4" t="s">
        <v>42301</v>
      </c>
      <c r="B33617" s="4" t="s">
        <v>42303</v>
      </c>
      <c r="C33617" s="5" t="str">
        <f>IFERROR(__xludf.DUMMYFUNCTION("GOOGLETRANSLATE(B33617,""en"",""zh-CN"")"),"一个男人喝一杯，并带领两个玩更多的啤酒乒乓球。")</f>
        <v>一个男人喝一杯，并带领两个玩更多的啤酒乒乓球。</v>
      </c>
    </row>
    <row r="33618">
      <c r="A33618" s="4" t="s">
        <v>42301</v>
      </c>
      <c r="B33618" s="4" t="s">
        <v>42304</v>
      </c>
      <c r="C33618" s="5" t="str">
        <f>IFERROR(__xludf.DUMMYFUNCTION("GOOGLETRANSLATE(B33618,""en"",""zh-CN"")"),"这些人在微笑着相机时将球向后扔，彼此摔倒。")</f>
        <v>这些人在微笑着相机时将球向后扔，彼此摔倒。</v>
      </c>
    </row>
    <row r="33619">
      <c r="A33619" s="4" t="s">
        <v>42305</v>
      </c>
      <c r="B33619" s="4" t="s">
        <v>42306</v>
      </c>
      <c r="C33619" s="5" t="str">
        <f>IFERROR(__xludf.DUMMYFUNCTION("GOOGLETRANSLATE(B33619,""en"",""zh-CN"")"),"人们站在五颜六色的垫子上。")</f>
        <v>人们站在五颜六色的垫子上。</v>
      </c>
    </row>
    <row r="33620">
      <c r="A33620" s="4" t="s">
        <v>42305</v>
      </c>
      <c r="B33620" s="4" t="s">
        <v>42307</v>
      </c>
      <c r="C33620" s="5" t="str">
        <f>IFERROR(__xludf.DUMMYFUNCTION("GOOGLETRANSLATE(B33620,""en"",""zh-CN"")"),"一个女人采取空手道的行动。")</f>
        <v>一个女人采取空手道的行动。</v>
      </c>
    </row>
    <row r="33621">
      <c r="A33621" s="4" t="s">
        <v>42305</v>
      </c>
      <c r="B33621" s="4" t="s">
        <v>42308</v>
      </c>
      <c r="C33621" s="5" t="str">
        <f>IFERROR(__xludf.DUMMYFUNCTION("GOOGLETRANSLATE(B33621,""en"",""zh-CN"")"),"一个站在她身后的孩子举手。")</f>
        <v>一个站在她身后的孩子举手。</v>
      </c>
    </row>
    <row r="33622">
      <c r="A33622" s="4" t="s">
        <v>42309</v>
      </c>
      <c r="B33622" s="4" t="s">
        <v>42310</v>
      </c>
      <c r="C33622" s="5" t="str">
        <f>IFERROR(__xludf.DUMMYFUNCTION("GOOGLETRANSLATE(B33622,""en"",""zh-CN"")"),"摄影师捕捉了茅草屋顶房屋的景色。")</f>
        <v>摄影师捕捉了茅草屋顶房屋的景色。</v>
      </c>
    </row>
    <row r="33623">
      <c r="A33623" s="4" t="s">
        <v>42309</v>
      </c>
      <c r="B33623" s="6" t="s">
        <v>42311</v>
      </c>
      <c r="C33623" s="5" t="str">
        <f>IFERROR(__xludf.DUMMYFUNCTION("GOOGLETRANSLATE(B33623,""en"",""zh-CN"")"),"一个穿着黑色上衣的年轻女孩和一个穿着白色背心的女孩在茅草屋顶房子里看着两个女人洗衣服菲律宾风格。")</f>
        <v>一个穿着黑色上衣的年轻女孩和一个穿着白色背心的女孩在茅草屋顶房子里看着两个女人洗衣服菲律宾风格。</v>
      </c>
    </row>
    <row r="33624">
      <c r="A33624" s="4" t="s">
        <v>42309</v>
      </c>
      <c r="B33624" s="6" t="s">
        <v>42312</v>
      </c>
      <c r="C33624" s="5" t="str">
        <f>IFERROR(__xludf.DUMMYFUNCTION("GOOGLETRANSLATE(B33624,""en"",""zh-CN"")"),"一个穿着粉红色上衣的女孩和一个穿着白色T恤衫的女孩在茅草屋顶房子外面的大浴缸里洗衣服。")</f>
        <v>一个穿着粉红色上衣的女孩和一个穿着白色T恤衫的女孩在茅草屋顶房子外面的大浴缸里洗衣服。</v>
      </c>
    </row>
    <row r="33625">
      <c r="A33625" s="4" t="s">
        <v>42309</v>
      </c>
      <c r="B33625" s="6" t="s">
        <v>42313</v>
      </c>
      <c r="C33625" s="5" t="str">
        <f>IFERROR(__xludf.DUMMYFUNCTION("GOOGLETRANSLATE(B33625,""en"",""zh-CN"")"),"相机男子在洗衣区的前部晃动，而白色T恤的女孩则冲洗衣服。")</f>
        <v>相机男子在洗衣区的前部晃动，而白色T恤的女孩则冲洗衣服。</v>
      </c>
    </row>
    <row r="33626">
      <c r="A33626" s="4" t="s">
        <v>42314</v>
      </c>
      <c r="B33626" s="4" t="s">
        <v>42315</v>
      </c>
      <c r="C33626" s="5" t="str">
        <f>IFERROR(__xludf.DUMMYFUNCTION("GOOGLETRANSLATE(B33626,""en"",""zh-CN"")"),"屏幕上出现了用于平底工程的广告。")</f>
        <v>屏幕上出现了用于平底工程的广告。</v>
      </c>
    </row>
    <row r="33627">
      <c r="A33627" s="4" t="s">
        <v>42314</v>
      </c>
      <c r="B33627" s="4" t="s">
        <v>42316</v>
      </c>
      <c r="C33627" s="5" t="str">
        <f>IFERROR(__xludf.DUMMYFUNCTION("GOOGLETRANSLATE(B33627,""en"",""zh-CN"")"),"显示了一个客房，展示了肮脏的地毯。")</f>
        <v>显示了一个客房，展示了肮脏的地毯。</v>
      </c>
    </row>
    <row r="33628">
      <c r="A33628" s="4" t="s">
        <v>42314</v>
      </c>
      <c r="B33628" s="6" t="s">
        <v>42317</v>
      </c>
      <c r="C33628" s="5" t="str">
        <f>IFERROR(__xludf.DUMMYFUNCTION("GOOGLETRANSLATE(B33628,""en"",""zh-CN"")"),"显示男人用不需要胶水安装的木板代替和修理地板。")</f>
        <v>显示男人用不需要胶水安装的木板代替和修理地板。</v>
      </c>
    </row>
    <row r="33629">
      <c r="A33629" s="4" t="s">
        <v>42314</v>
      </c>
      <c r="B33629" s="4" t="s">
        <v>42318</v>
      </c>
      <c r="C33629" s="5" t="str">
        <f>IFERROR(__xludf.DUMMYFUNCTION("GOOGLETRANSLATE(B33629,""en"",""zh-CN"")"),"最终照片显示了客房中新的硬木地板。")</f>
        <v>最终照片显示了客房中新的硬木地板。</v>
      </c>
    </row>
    <row r="33630">
      <c r="A33630" s="4" t="s">
        <v>42319</v>
      </c>
      <c r="B33630" s="6" t="s">
        <v>42320</v>
      </c>
      <c r="C33630" s="5" t="str">
        <f>IFERROR(__xludf.DUMMYFUNCTION("GOOGLETRANSLATE(B33630,""en"",""zh-CN"")"),"一个女孩站在厨房的水槽上，用纹身的漱口水冲洗嘴。")</f>
        <v>一个女孩站在厨房的水槽上，用纹身的漱口水冲洗嘴。</v>
      </c>
    </row>
    <row r="33631">
      <c r="A33631" s="4" t="s">
        <v>42319</v>
      </c>
      <c r="B33631" s="4" t="s">
        <v>42321</v>
      </c>
      <c r="C33631" s="5" t="str">
        <f>IFERROR(__xludf.DUMMYFUNCTION("GOOGLETRANSLATE(B33631,""en"",""zh-CN"")"),"一个女孩站在水槽里说话，使用手势。")</f>
        <v>一个女孩站在水槽里说话，使用手势。</v>
      </c>
    </row>
    <row r="33632">
      <c r="A33632" s="4" t="s">
        <v>42319</v>
      </c>
      <c r="B33632" s="4" t="s">
        <v>42322</v>
      </c>
      <c r="C33632" s="5" t="str">
        <f>IFERROR(__xludf.DUMMYFUNCTION("GOOGLETRANSLATE(B33632,""en"",""zh-CN"")"),"然后，女孩拿起一瓶冠状whiting漱口水，然后将嘴冲洗60秒。")</f>
        <v>然后，女孩拿起一瓶冠状whiting漱口水，然后将嘴冲洗60秒。</v>
      </c>
    </row>
    <row r="33633">
      <c r="A33633" s="4" t="s">
        <v>42319</v>
      </c>
      <c r="B33633" s="4" t="s">
        <v>42323</v>
      </c>
      <c r="C33633" s="5" t="str">
        <f>IFERROR(__xludf.DUMMYFUNCTION("GOOGLETRANSLATE(B33633,""en"",""zh-CN"")"),"然后，该名女子将冲洗液吐在水槽中，然后再次与镜头交谈。")</f>
        <v>然后，该名女子将冲洗液吐在水槽中，然后再次与镜头交谈。</v>
      </c>
    </row>
    <row r="33634">
      <c r="A33634" s="4" t="s">
        <v>42324</v>
      </c>
      <c r="B33634" s="4" t="s">
        <v>42325</v>
      </c>
      <c r="C33634" s="5" t="str">
        <f>IFERROR(__xludf.DUMMYFUNCTION("GOOGLETRANSLATE(B33634,""en"",""zh-CN"")"),"一个女人和一个坐在柜台旁边的孩子站在一起。")</f>
        <v>一个女人和一个坐在柜台旁边的孩子站在一起。</v>
      </c>
    </row>
    <row r="33635">
      <c r="A33635" s="4" t="s">
        <v>42324</v>
      </c>
      <c r="B33635" s="4" t="s">
        <v>42326</v>
      </c>
      <c r="C33635" s="5" t="str">
        <f>IFERROR(__xludf.DUMMYFUNCTION("GOOGLETRANSLATE(B33635,""en"",""zh-CN"")"),"该名女子将干粉涂在女孩头发的背面，然后刷进。")</f>
        <v>该名女子将干粉涂在女孩头发的背面，然后刷进。</v>
      </c>
    </row>
    <row r="33636">
      <c r="A33636" s="4" t="s">
        <v>42324</v>
      </c>
      <c r="B33636" s="4" t="s">
        <v>42327</v>
      </c>
      <c r="C33636" s="5" t="str">
        <f>IFERROR(__xludf.DUMMYFUNCTION("GOOGLETRANSLATE(B33636,""en"",""zh-CN"")"),"该名女子在刷女孩的头发时将其吹干并使用它。")</f>
        <v>该名女子在刷女孩的头发时将其吹干并使用它。</v>
      </c>
    </row>
    <row r="33637">
      <c r="A33637" s="4" t="s">
        <v>42328</v>
      </c>
      <c r="B33637" s="4" t="s">
        <v>42329</v>
      </c>
      <c r="C33637" s="5" t="str">
        <f>IFERROR(__xludf.DUMMYFUNCTION("GOOGLETRANSLATE(B33637,""en"",""zh-CN"")"),"男人站在脸上散布着奶油的镜子前。")</f>
        <v>男人站在脸上散布着奶油的镜子前。</v>
      </c>
    </row>
    <row r="33638">
      <c r="A33638" s="4" t="s">
        <v>42328</v>
      </c>
      <c r="B33638" s="4" t="s">
        <v>42330</v>
      </c>
      <c r="C33638" s="5" t="str">
        <f>IFERROR(__xludf.DUMMYFUNCTION("GOOGLETRANSLATE(B33638,""en"",""zh-CN"")"),"男人跪着洗脸。")</f>
        <v>男人跪着洗脸。</v>
      </c>
    </row>
    <row r="33639">
      <c r="A33639" s="4" t="s">
        <v>42328</v>
      </c>
      <c r="B33639" s="4" t="s">
        <v>42331</v>
      </c>
      <c r="C33639" s="5" t="str">
        <f>IFERROR(__xludf.DUMMYFUNCTION("GOOGLETRANSLATE(B33639,""en"",""zh-CN"")"),"该男子抓住一条绿色毛巾，擦脸。")</f>
        <v>该男子抓住一条绿色毛巾，擦脸。</v>
      </c>
    </row>
    <row r="33640">
      <c r="A33640" s="4" t="s">
        <v>42332</v>
      </c>
      <c r="B33640" s="4" t="s">
        <v>42333</v>
      </c>
      <c r="C33640" s="5" t="str">
        <f>IFERROR(__xludf.DUMMYFUNCTION("GOOGLETRANSLATE(B33640,""en"",""zh-CN"")"),"女人正在调整她的运动机。")</f>
        <v>女人正在调整她的运动机。</v>
      </c>
    </row>
    <row r="33641">
      <c r="A33641" s="4" t="s">
        <v>42332</v>
      </c>
      <c r="B33641" s="4" t="s">
        <v>42334</v>
      </c>
      <c r="C33641" s="5" t="str">
        <f>IFERROR(__xludf.DUMMYFUNCTION("GOOGLETRANSLATE(B33641,""en"",""zh-CN"")"),"她调整旋钮并将座椅向上推。")</f>
        <v>她调整旋钮并将座椅向上推。</v>
      </c>
    </row>
    <row r="33642">
      <c r="A33642" s="4" t="s">
        <v>42332</v>
      </c>
      <c r="B33642" s="4" t="s">
        <v>42335</v>
      </c>
      <c r="C33642" s="5" t="str">
        <f>IFERROR(__xludf.DUMMYFUNCTION("GOOGLETRANSLATE(B33642,""en"",""zh-CN"")"),"然后，她坐在座位上，将脚放在踏板上。")</f>
        <v>然后，她坐在座位上，将脚放在踏板上。</v>
      </c>
    </row>
    <row r="33643">
      <c r="A33643" s="4" t="s">
        <v>42332</v>
      </c>
      <c r="B33643" s="4" t="s">
        <v>42336</v>
      </c>
      <c r="C33643" s="5" t="str">
        <f>IFERROR(__xludf.DUMMYFUNCTION("GOOGLETRANSLATE(B33643,""en"",""zh-CN"")"),"她开始快速踩脚步，然后快速。")</f>
        <v>她开始快速踩脚步，然后快速。</v>
      </c>
    </row>
    <row r="33644">
      <c r="A33644" s="4" t="s">
        <v>42337</v>
      </c>
      <c r="B33644" s="4" t="s">
        <v>1251</v>
      </c>
      <c r="C33644" s="5" t="str">
        <f>IFERROR(__xludf.DUMMYFUNCTION("GOOGLETRANSLATE(B33644,""en"",""zh-CN"")"),"显示了剪辑的信用。")</f>
        <v>显示了剪辑的信用。</v>
      </c>
    </row>
    <row r="33645">
      <c r="A33645" s="4" t="s">
        <v>42337</v>
      </c>
      <c r="B33645" s="4" t="s">
        <v>42338</v>
      </c>
      <c r="C33645" s="5" t="str">
        <f>IFERROR(__xludf.DUMMYFUNCTION("GOOGLETRANSLATE(B33645,""en"",""zh-CN"")"),"教练指示球员在篮球场上。")</f>
        <v>教练指示球员在篮球场上。</v>
      </c>
    </row>
    <row r="33646">
      <c r="A33646" s="4" t="s">
        <v>42337</v>
      </c>
      <c r="B33646" s="4" t="s">
        <v>573</v>
      </c>
      <c r="C33646" s="5" t="str">
        <f>IFERROR(__xludf.DUMMYFUNCTION("GOOGLETRANSLATE(B33646,""en"",""zh-CN"")"),"显示了视频的积分。")</f>
        <v>显示了视频的积分。</v>
      </c>
    </row>
    <row r="33647">
      <c r="A33647" s="4" t="s">
        <v>42339</v>
      </c>
      <c r="B33647" s="4" t="s">
        <v>42340</v>
      </c>
      <c r="C33647" s="5" t="str">
        <f>IFERROR(__xludf.DUMMYFUNCTION("GOOGLETRANSLATE(B33647,""en"",""zh-CN"")"),"两个女人站在健身房摔跤上。")</f>
        <v>两个女人站在健身房摔跤上。</v>
      </c>
    </row>
    <row r="33648">
      <c r="A33648" s="4" t="s">
        <v>42339</v>
      </c>
      <c r="B33648" s="4" t="s">
        <v>42341</v>
      </c>
      <c r="C33648" s="5" t="str">
        <f>IFERROR(__xludf.DUMMYFUNCTION("GOOGLETRANSLATE(B33648,""en"",""zh-CN"")"),"在TE背景中，人们站在健身房做运动。")</f>
        <v>在TE背景中，人们站在健身房做运动。</v>
      </c>
    </row>
    <row r="33649">
      <c r="A33649" s="4" t="s">
        <v>42339</v>
      </c>
      <c r="B33649" s="4" t="s">
        <v>42342</v>
      </c>
      <c r="C33649" s="5" t="str">
        <f>IFERROR(__xludf.DUMMYFUNCTION("GOOGLETRANSLATE(B33649,""en"",""zh-CN"")"),"坚强的女人坐在椅子手臂上。")</f>
        <v>坚强的女人坐在椅子手臂上。</v>
      </c>
    </row>
    <row r="33650">
      <c r="A33650" s="4" t="s">
        <v>42343</v>
      </c>
      <c r="B33650" s="6" t="s">
        <v>42344</v>
      </c>
      <c r="C33650" s="5" t="str">
        <f>IFERROR(__xludf.DUMMYFUNCTION("GOOGLETRANSLATE(B33650,""en"",""zh-CN"")"),"一个人开车去海洋，在冲浪板上冲浪，骑着海浪，然后用冲浪板离开海滩。")</f>
        <v>一个人开车去海洋，在冲浪板上冲浪，骑着海浪，然后用冲浪板离开海滩。</v>
      </c>
    </row>
    <row r="33651">
      <c r="A33651" s="4" t="s">
        <v>42343</v>
      </c>
      <c r="B33651" s="4" t="s">
        <v>42345</v>
      </c>
      <c r="C33651" s="5" t="str">
        <f>IFERROR(__xludf.DUMMYFUNCTION("GOOGLETRANSLATE(B33651,""en"",""zh-CN"")"),"一个男人驶上卡车，将冲浪板放在卡车后面并开车。")</f>
        <v>一个男人驶上卡车，将冲浪板放在卡车后面并开车。</v>
      </c>
    </row>
    <row r="33652">
      <c r="A33652" s="4" t="s">
        <v>42343</v>
      </c>
      <c r="B33652" s="6" t="s">
        <v>42346</v>
      </c>
      <c r="C33652" s="5" t="str">
        <f>IFERROR(__xludf.DUMMYFUNCTION("GOOGLETRANSLATE(B33652,""en"",""zh-CN"")"),"该男子到达海滩，变成了潮湿西服，开始在海洋的冲浪板上冲浪，骑着海浪。")</f>
        <v>该男子到达海滩，变成了潮湿西服，开始在海洋的冲浪板上冲浪，骑着海浪。</v>
      </c>
    </row>
    <row r="33653">
      <c r="A33653" s="4" t="s">
        <v>42343</v>
      </c>
      <c r="B33653" s="4" t="s">
        <v>42347</v>
      </c>
      <c r="C33653" s="5" t="str">
        <f>IFERROR(__xludf.DUMMYFUNCTION("GOOGLETRANSLATE(B33653,""en"",""zh-CN"")"),"然后，该男子带着冲浪板在他的手臂下离开海滩，穿着潜水衣。")</f>
        <v>然后，该男子带着冲浪板在他的手臂下离开海滩，穿着潜水衣。</v>
      </c>
    </row>
    <row r="33654">
      <c r="A33654" s="4" t="s">
        <v>42348</v>
      </c>
      <c r="B33654" s="4" t="s">
        <v>42349</v>
      </c>
      <c r="C33654" s="5" t="str">
        <f>IFERROR(__xludf.DUMMYFUNCTION("GOOGLETRANSLATE(B33654,""en"",""zh-CN"")"),"一个男人蹲在海滩上的一个女孩旁边。")</f>
        <v>一个男人蹲在海滩上的一个女孩旁边。</v>
      </c>
    </row>
    <row r="33655">
      <c r="A33655" s="4" t="s">
        <v>42348</v>
      </c>
      <c r="B33655" s="4" t="s">
        <v>42350</v>
      </c>
      <c r="C33655" s="5" t="str">
        <f>IFERROR(__xludf.DUMMYFUNCTION("GOOGLETRANSLATE(B33655,""en"",""zh-CN"")"),"他们把沙子堆成一堆。")</f>
        <v>他们把沙子堆成一堆。</v>
      </c>
    </row>
    <row r="33656">
      <c r="A33656" s="4" t="s">
        <v>42348</v>
      </c>
      <c r="B33656" s="4" t="s">
        <v>42351</v>
      </c>
      <c r="C33656" s="5" t="str">
        <f>IFERROR(__xludf.DUMMYFUNCTION("GOOGLETRANSLATE(B33656,""en"",""zh-CN"")"),"他们试图建造一座沙堡。")</f>
        <v>他们试图建造一座沙堡。</v>
      </c>
    </row>
    <row r="33657">
      <c r="A33657" s="4" t="s">
        <v>42352</v>
      </c>
      <c r="B33657" s="4" t="s">
        <v>42353</v>
      </c>
      <c r="C33657" s="5" t="str">
        <f>IFERROR(__xludf.DUMMYFUNCTION("GOOGLETRANSLATE(B33657,""en"",""zh-CN"")"),"观众坐在看着球场上的一场比赛的看台上。")</f>
        <v>观众坐在看着球场上的一场比赛的看台上。</v>
      </c>
    </row>
    <row r="33658">
      <c r="A33658" s="4" t="s">
        <v>42352</v>
      </c>
      <c r="B33658" s="4" t="s">
        <v>42354</v>
      </c>
      <c r="C33658" s="5" t="str">
        <f>IFERROR(__xludf.DUMMYFUNCTION("GOOGLETRANSLATE(B33658,""en"",""zh-CN"")"),"这些骑手骑马，开始尝试为他们的球队得分。")</f>
        <v>这些骑手骑马，开始尝试为他们的球队得分。</v>
      </c>
    </row>
    <row r="33659">
      <c r="A33659" s="4" t="s">
        <v>42352</v>
      </c>
      <c r="B33659" s="4" t="s">
        <v>42355</v>
      </c>
      <c r="C33659" s="5" t="str">
        <f>IFERROR(__xludf.DUMMYFUNCTION("GOOGLETRANSLATE(B33659,""en"",""zh-CN"")"),"有人做到这一点，观众中的一个群体之一。")</f>
        <v>有人做到这一点，观众中的一个群体之一。</v>
      </c>
    </row>
    <row r="33660">
      <c r="A33660" s="4" t="s">
        <v>42352</v>
      </c>
      <c r="B33660" s="4" t="s">
        <v>42356</v>
      </c>
      <c r="C33660" s="5" t="str">
        <f>IFERROR(__xludf.DUMMYFUNCTION("GOOGLETRANSLATE(B33660,""en"",""zh-CN"")"),"当比赛结束时，骑手都互相握手。")</f>
        <v>当比赛结束时，骑手都互相握手。</v>
      </c>
    </row>
    <row r="33661">
      <c r="A33661" s="4" t="s">
        <v>42357</v>
      </c>
      <c r="B33661" s="4" t="s">
        <v>42358</v>
      </c>
      <c r="C33661" s="5" t="str">
        <f>IFERROR(__xludf.DUMMYFUNCTION("GOOGLETRANSLATE(B33661,""en"",""zh-CN"")"),"看到一个人用大砂光机靠在墙壁上的墙壁上，整个墙壁都移动机械。")</f>
        <v>看到一个人用大砂光机靠在墙壁上的墙壁上，整个墙壁都移动机械。</v>
      </c>
    </row>
    <row r="33662">
      <c r="A33662" s="4" t="s">
        <v>42357</v>
      </c>
      <c r="B33662" s="4" t="s">
        <v>42359</v>
      </c>
      <c r="C33662" s="5" t="str">
        <f>IFERROR(__xludf.DUMMYFUNCTION("GOOGLETRANSLATE(B33662,""en"",""zh-CN"")"),"该男子继续打磨墙壁，以他保持稳定。")</f>
        <v>该男子继续打磨墙壁，以他保持稳定。</v>
      </c>
    </row>
    <row r="33663">
      <c r="A33663" s="4" t="s">
        <v>42360</v>
      </c>
      <c r="B33663" s="4" t="s">
        <v>42361</v>
      </c>
      <c r="C33663" s="5" t="str">
        <f>IFERROR(__xludf.DUMMYFUNCTION("GOOGLETRANSLATE(B33663,""en"",""zh-CN"")"),"显示了一个人穿着制作和嘲笑相机的人的各种镜头。")</f>
        <v>显示了一个人穿着制作和嘲笑相机的人的各种镜头。</v>
      </c>
    </row>
    <row r="33664">
      <c r="A33664" s="4" t="s">
        <v>42360</v>
      </c>
      <c r="B33664" s="6" t="s">
        <v>42362</v>
      </c>
      <c r="C33664" s="5" t="str">
        <f>IFERROR(__xludf.DUMMYFUNCTION("GOOGLETRANSLATE(B33664,""en"",""zh-CN"")"),"然后将各种物体紧密显示与相机，然后将液体倒入接触箱中。")</f>
        <v>然后将各种物体紧密显示与相机，然后将液体倒入接触箱中。</v>
      </c>
    </row>
    <row r="33665">
      <c r="A33665" s="4" t="s">
        <v>42360</v>
      </c>
      <c r="B33665" s="6" t="s">
        <v>42363</v>
      </c>
      <c r="C33665" s="5" t="str">
        <f>IFERROR(__xludf.DUMMYFUNCTION("GOOGLETRANSLATE(B33665,""en"",""zh-CN"")"),"然后，他将液体与触点混合在一起，并在看着相机时将它们慢慢放入眼睛。")</f>
        <v>然后，他将液体与触点混合在一起，并在看着相机时将它们慢慢放入眼睛。</v>
      </c>
    </row>
    <row r="33666">
      <c r="A33666" s="4" t="s">
        <v>42360</v>
      </c>
      <c r="B33666" s="4" t="s">
        <v>42364</v>
      </c>
      <c r="C33666" s="5" t="str">
        <f>IFERROR(__xludf.DUMMYFUNCTION("GOOGLETRANSLATE(B33666,""en"",""zh-CN"")"),"然后，他握住他的手，然后弹出联系人。")</f>
        <v>然后，他握住他的手，然后弹出联系人。</v>
      </c>
    </row>
    <row r="33667">
      <c r="A33667" s="4" t="s">
        <v>42365</v>
      </c>
      <c r="B33667" s="4" t="s">
        <v>42366</v>
      </c>
      <c r="C33667" s="5" t="str">
        <f>IFERROR(__xludf.DUMMYFUNCTION("GOOGLETRANSLATE(B33667,""en"",""zh-CN"")"),"看到一个人的手在泥土中嬉戏时，他们的手在土壤周围移动。")</f>
        <v>看到一个人的手在泥土中嬉戏时，他们的手在土壤周围移动。</v>
      </c>
    </row>
    <row r="33668">
      <c r="A33668" s="4" t="s">
        <v>42365</v>
      </c>
      <c r="B33668" s="4" t="s">
        <v>42367</v>
      </c>
      <c r="C33668" s="5" t="str">
        <f>IFERROR(__xludf.DUMMYFUNCTION("GOOGLETRANSLATE(B33668,""en"",""zh-CN"")"),"当相机观看手动运动时，该人继续在土壤中玩耍。")</f>
        <v>当相机观看手动运动时，该人继续在土壤中玩耍。</v>
      </c>
    </row>
    <row r="33669">
      <c r="A33669" s="4" t="s">
        <v>42368</v>
      </c>
      <c r="B33669" s="4" t="s">
        <v>42369</v>
      </c>
      <c r="C33669" s="5" t="str">
        <f>IFERROR(__xludf.DUMMYFUNCTION("GOOGLETRANSLATE(B33669,""en"",""zh-CN"")"),"一群人聚集在室外公园。")</f>
        <v>一群人聚集在室外公园。</v>
      </c>
    </row>
    <row r="33670">
      <c r="A33670" s="4" t="s">
        <v>42368</v>
      </c>
      <c r="B33670" s="4" t="s">
        <v>42370</v>
      </c>
      <c r="C33670" s="5" t="str">
        <f>IFERROR(__xludf.DUMMYFUNCTION("GOOGLETRANSLATE(B33670,""en"",""zh-CN"")"),"他们打扮了，他们陷入了木筏。")</f>
        <v>他们打扮了，他们陷入了木筏。</v>
      </c>
    </row>
    <row r="33671">
      <c r="A33671" s="4" t="s">
        <v>42368</v>
      </c>
      <c r="B33671" s="4" t="s">
        <v>42371</v>
      </c>
      <c r="C33671" s="5" t="str">
        <f>IFERROR(__xludf.DUMMYFUNCTION("GOOGLETRANSLATE(B33671,""en"",""zh-CN"")"),"他们一起将水筏一起沿着河流下来。")</f>
        <v>他们一起将水筏一起沿着河流下来。</v>
      </c>
    </row>
    <row r="33672">
      <c r="A33672" s="4" t="s">
        <v>42372</v>
      </c>
      <c r="B33672" s="4" t="s">
        <v>32663</v>
      </c>
      <c r="C33672" s="5" t="str">
        <f>IFERROR(__xludf.DUMMYFUNCTION("GOOGLETRANSLATE(B33672,""en"",""zh-CN"")"),"人们在室内竞技场踢足球。")</f>
        <v>人们在室内竞技场踢足球。</v>
      </c>
    </row>
    <row r="33673">
      <c r="A33673" s="4" t="s">
        <v>42372</v>
      </c>
      <c r="B33673" s="4" t="s">
        <v>42373</v>
      </c>
      <c r="C33673" s="5" t="str">
        <f>IFERROR(__xludf.DUMMYFUNCTION("GOOGLETRANSLATE(B33673,""en"",""zh-CN"")"),"一个男人坐在球门挡球的前面。")</f>
        <v>一个男人坐在球门挡球的前面。</v>
      </c>
    </row>
    <row r="33674">
      <c r="A33674" s="4" t="s">
        <v>42372</v>
      </c>
      <c r="B33674" s="4" t="s">
        <v>42374</v>
      </c>
      <c r="C33674" s="5" t="str">
        <f>IFERROR(__xludf.DUMMYFUNCTION("GOOGLETRANSLATE(B33674,""en"",""zh-CN"")"),"人们在看着比赛的看台上。")</f>
        <v>人们在看着比赛的看台上。</v>
      </c>
    </row>
    <row r="33675">
      <c r="A33675" s="4" t="s">
        <v>42375</v>
      </c>
      <c r="B33675" s="4" t="s">
        <v>42376</v>
      </c>
      <c r="C33675" s="5" t="str">
        <f>IFERROR(__xludf.DUMMYFUNCTION("GOOGLETRANSLATE(B33675,""en"",""zh-CN"")"),"一个小男孩和女孩彼此相邻。")</f>
        <v>一个小男孩和女孩彼此相邻。</v>
      </c>
    </row>
    <row r="33676">
      <c r="A33676" s="4" t="s">
        <v>42375</v>
      </c>
      <c r="B33676" s="4" t="s">
        <v>42377</v>
      </c>
      <c r="C33676" s="5" t="str">
        <f>IFERROR(__xludf.DUMMYFUNCTION("GOOGLETRANSLATE(B33676,""en"",""zh-CN"")"),"他们被喂冰淇淋。")</f>
        <v>他们被喂冰淇淋。</v>
      </c>
    </row>
    <row r="33677">
      <c r="A33677" s="4" t="s">
        <v>42375</v>
      </c>
      <c r="B33677" s="4" t="s">
        <v>42378</v>
      </c>
      <c r="C33677" s="5" t="str">
        <f>IFERROR(__xludf.DUMMYFUNCTION("GOOGLETRANSLATE(B33677,""en"",""zh-CN"")"),"女孩试图吃男孩冰淇淋。")</f>
        <v>女孩试图吃男孩冰淇淋。</v>
      </c>
    </row>
    <row r="33678">
      <c r="A33678" s="4" t="s">
        <v>42375</v>
      </c>
      <c r="B33678" s="4" t="s">
        <v>42379</v>
      </c>
      <c r="C33678" s="5" t="str">
        <f>IFERROR(__xludf.DUMMYFUNCTION("GOOGLETRANSLATE(B33678,""en"",""zh-CN"")"),"女孩笑了。")</f>
        <v>女孩笑了。</v>
      </c>
    </row>
    <row r="33679">
      <c r="A33679" s="4" t="s">
        <v>42380</v>
      </c>
      <c r="B33679" s="4" t="s">
        <v>42381</v>
      </c>
      <c r="C33679" s="5" t="str">
        <f>IFERROR(__xludf.DUMMYFUNCTION("GOOGLETRANSLATE(B33679,""en"",""zh-CN"")"),"有人在白色的沙发上睡觉。")</f>
        <v>有人在白色的沙发上睡觉。</v>
      </c>
    </row>
    <row r="33680">
      <c r="A33680" s="4" t="s">
        <v>42380</v>
      </c>
      <c r="B33680" s="4" t="s">
        <v>42382</v>
      </c>
      <c r="C33680" s="5" t="str">
        <f>IFERROR(__xludf.DUMMYFUNCTION("GOOGLETRANSLATE(B33680,""en"",""zh-CN"")"),"他们起身在地板上仰卧起来。")</f>
        <v>他们起身在地板上仰卧起来。</v>
      </c>
    </row>
    <row r="33681">
      <c r="A33681" s="4" t="s">
        <v>42380</v>
      </c>
      <c r="B33681" s="4" t="s">
        <v>42383</v>
      </c>
      <c r="C33681" s="5" t="str">
        <f>IFERROR(__xludf.DUMMYFUNCTION("GOOGLETRANSLATE(B33681,""en"",""zh-CN"")"),"他们站起来走出门。")</f>
        <v>他们站起来走出门。</v>
      </c>
    </row>
    <row r="33682">
      <c r="A33682" s="4" t="s">
        <v>42384</v>
      </c>
      <c r="B33682" s="4" t="s">
        <v>42385</v>
      </c>
      <c r="C33682" s="5" t="str">
        <f>IFERROR(__xludf.DUMMYFUNCTION("GOOGLETRANSLATE(B33682,""en"",""zh-CN"")"),"一个女人在乐队前的舞台上。")</f>
        <v>一个女人在乐队前的舞台上。</v>
      </c>
    </row>
    <row r="33683">
      <c r="A33683" s="4" t="s">
        <v>42384</v>
      </c>
      <c r="B33683" s="4" t="s">
        <v>42386</v>
      </c>
      <c r="C33683" s="5" t="str">
        <f>IFERROR(__xludf.DUMMYFUNCTION("GOOGLETRANSLATE(B33683,""en"",""zh-CN"")"),"她是一名肚皮舞者，往返音乐。")</f>
        <v>她是一名肚皮舞者，往返音乐。</v>
      </c>
    </row>
    <row r="33684">
      <c r="A33684" s="4" t="s">
        <v>42384</v>
      </c>
      <c r="B33684" s="4" t="s">
        <v>42387</v>
      </c>
      <c r="C33684" s="5" t="str">
        <f>IFERROR(__xludf.DUMMYFUNCTION("GOOGLETRANSLATE(B33684,""en"",""zh-CN"")"),"她慢慢跳舞，结束时跌落到地面上。")</f>
        <v>她慢慢跳舞，结束时跌落到地面上。</v>
      </c>
    </row>
    <row r="33685">
      <c r="A33685" s="4" t="s">
        <v>42388</v>
      </c>
      <c r="B33685" s="4" t="s">
        <v>42389</v>
      </c>
      <c r="C33685" s="5" t="str">
        <f>IFERROR(__xludf.DUMMYFUNCTION("GOOGLETRANSLATE(B33685,""en"",""zh-CN"")"),"一个不穿衬衫的男人弹手鼓。")</f>
        <v>一个不穿衬衫的男人弹手鼓。</v>
      </c>
    </row>
    <row r="33686">
      <c r="A33686" s="4" t="s">
        <v>42388</v>
      </c>
      <c r="B33686" s="4" t="s">
        <v>42390</v>
      </c>
      <c r="C33686" s="5" t="str">
        <f>IFERROR(__xludf.DUMMYFUNCTION("GOOGLETRANSLATE(B33686,""en"",""zh-CN"")"),"一个独奏男子旋转着自己的身体，做车轮。")</f>
        <v>一个独奏男子旋转着自己的身体，做车轮。</v>
      </c>
    </row>
    <row r="33687">
      <c r="A33687" s="4" t="s">
        <v>42388</v>
      </c>
      <c r="B33687" s="4" t="s">
        <v>42391</v>
      </c>
      <c r="C33687" s="5" t="str">
        <f>IFERROR(__xludf.DUMMYFUNCTION("GOOGLETRANSLATE(B33687,""en"",""zh-CN"")"),"两名男子做一个练习空手道的例行程序，而道奇从另一个对手开始踢球。")</f>
        <v>两名男子做一个练习空手道的例行程序，而道奇从另一个对手开始踢球。</v>
      </c>
    </row>
    <row r="33688">
      <c r="A33688" s="4" t="s">
        <v>42388</v>
      </c>
      <c r="B33688" s="4" t="s">
        <v>42392</v>
      </c>
      <c r="C33688" s="5" t="str">
        <f>IFERROR(__xludf.DUMMYFUNCTION("GOOGLETRANSLATE(B33688,""en"",""zh-CN"")"),"这些人都做手工架，然后碰到双手。")</f>
        <v>这些人都做手工架，然后碰到双手。</v>
      </c>
    </row>
    <row r="33689">
      <c r="A33689" s="4" t="s">
        <v>42388</v>
      </c>
      <c r="B33689" s="4" t="s">
        <v>42393</v>
      </c>
      <c r="C33689" s="5" t="str">
        <f>IFERROR(__xludf.DUMMYFUNCTION("GOOGLETRANSLATE(B33689,""en"",""zh-CN"")"),"这个男人确实自己跳动。")</f>
        <v>这个男人确实自己跳动。</v>
      </c>
    </row>
    <row r="33690">
      <c r="A33690" s="4" t="s">
        <v>42388</v>
      </c>
      <c r="B33690" s="4" t="s">
        <v>42394</v>
      </c>
      <c r="C33690" s="5" t="str">
        <f>IFERROR(__xludf.DUMMYFUNCTION("GOOGLETRANSLATE(B33690,""en"",""zh-CN"")"),"当他们在空手道舞中旋转时，这两个男人确实跳了踢。")</f>
        <v>当他们在空手道舞中旋转时，这两个男人确实跳了踢。</v>
      </c>
    </row>
    <row r="33691">
      <c r="A33691" s="4" t="s">
        <v>42388</v>
      </c>
      <c r="B33691" s="4" t="s">
        <v>42395</v>
      </c>
      <c r="C33691" s="5" t="str">
        <f>IFERROR(__xludf.DUMMYFUNCTION("GOOGLETRANSLATE(B33691,""en"",""zh-CN"")"),"该男子站在他的手上，向后弯曲到水平位置。")</f>
        <v>该男子站在他的手上，向后弯曲到水平位置。</v>
      </c>
    </row>
    <row r="33692">
      <c r="A33692" s="4" t="s">
        <v>42396</v>
      </c>
      <c r="B33692" s="6" t="s">
        <v>42397</v>
      </c>
      <c r="C33692" s="5" t="str">
        <f>IFERROR(__xludf.DUMMYFUNCTION("GOOGLETRANSLATE(B33692,""en"",""zh-CN"")"),"一个人展示了武术在电影剪辑中移动，该剪辑显示了该男子在城市背景下在几个不同地点与不同的人作战。")</f>
        <v>一个人展示了武术在电影剪辑中移动，该剪辑显示了该男子在城市背景下在几个不同地点与不同的人作战。</v>
      </c>
    </row>
    <row r="33693">
      <c r="A33693" s="4" t="s">
        <v>42396</v>
      </c>
      <c r="B33693" s="6" t="s">
        <v>42398</v>
      </c>
      <c r="C33693" s="5" t="str">
        <f>IFERROR(__xludf.DUMMYFUNCTION("GOOGLETRANSLATE(B33693,""en"",""zh-CN"")"),"一个男人被护送到一个房间里，独自一人，直到他被一个突然出现在房间里的男人猛烈地袭击他，两人战斗。")</f>
        <v>一个男人被护送到一个房间里，独自一人，直到他被一个突然出现在房间里的男人猛烈地袭击他，两人战斗。</v>
      </c>
    </row>
    <row r="33694">
      <c r="A33694" s="4" t="s">
        <v>42396</v>
      </c>
      <c r="B33694" s="6" t="s">
        <v>42399</v>
      </c>
      <c r="C33694" s="5" t="str">
        <f>IFERROR(__xludf.DUMMYFUNCTION("GOOGLETRANSLATE(B33694,""en"",""zh-CN"")"),"然后，该男子在其他几个地点与不同的男人战斗，使用武术技能，直到剪辑逐渐消失以订阅营销邀请。")</f>
        <v>然后，该男子在其他几个地点与不同的男人战斗，使用武术技能，直到剪辑逐渐消失以订阅营销邀请。</v>
      </c>
    </row>
    <row r="33695">
      <c r="A33695" s="4" t="s">
        <v>42400</v>
      </c>
      <c r="B33695" s="6" t="s">
        <v>42401</v>
      </c>
      <c r="C33695" s="5" t="str">
        <f>IFERROR(__xludf.DUMMYFUNCTION("GOOGLETRANSLATE(B33695,""en"",""zh-CN"")"),"黑色横幅覆盖层，上面写着用白色和绿色写的powerchalk一词。")</f>
        <v>黑色横幅覆盖层，上面写着用白色和绿色写的powerchalk一词。</v>
      </c>
    </row>
    <row r="33696">
      <c r="A33696" s="4" t="s">
        <v>42400</v>
      </c>
      <c r="B33696" s="6" t="s">
        <v>42402</v>
      </c>
      <c r="C33696" s="5" t="str">
        <f>IFERROR(__xludf.DUMMYFUNCTION("GOOGLETRANSLATE(B33696,""en"",""zh-CN"")"),"当横幅覆盖层消失时，一个人跳到潜水板的末端，然后向前翻转并翻转5次，然后直接跳入游泳池的水中。")</f>
        <v>当横幅覆盖层消失时，一个人跳到潜水板的末端，然后向前翻转并翻转5次，然后直接跳入游泳池的水中。</v>
      </c>
    </row>
    <row r="33697">
      <c r="A33697" s="4" t="s">
        <v>42400</v>
      </c>
      <c r="B33697" s="4" t="s">
        <v>42403</v>
      </c>
      <c r="C33697" s="5" t="str">
        <f>IFERROR(__xludf.DUMMYFUNCTION("GOOGLETRANSLATE(B33697,""en"",""zh-CN"")"),"场边有很多观众。")</f>
        <v>场边有很多观众。</v>
      </c>
    </row>
    <row r="33698">
      <c r="A33698" s="4" t="s">
        <v>42404</v>
      </c>
      <c r="B33698" s="4" t="s">
        <v>42405</v>
      </c>
      <c r="C33698" s="5" t="str">
        <f>IFERROR(__xludf.DUMMYFUNCTION("GOOGLETRANSLATE(B33698,""en"",""zh-CN"")"),"小提琴手正在音乐室里演奏小提琴。")</f>
        <v>小提琴手正在音乐室里演奏小提琴。</v>
      </c>
    </row>
    <row r="33699">
      <c r="A33699" s="4" t="s">
        <v>42404</v>
      </c>
      <c r="B33699" s="4" t="s">
        <v>42406</v>
      </c>
      <c r="C33699" s="5" t="str">
        <f>IFERROR(__xludf.DUMMYFUNCTION("GOOGLETRANSLATE(B33699,""en"",""zh-CN"")"),"阅读音乐时，她调整下巴下的小提琴。")</f>
        <v>阅读音乐时，她调整下巴下的小提琴。</v>
      </c>
    </row>
    <row r="33700">
      <c r="A33700" s="4" t="s">
        <v>42404</v>
      </c>
      <c r="B33700" s="4" t="s">
        <v>42407</v>
      </c>
      <c r="C33700" s="5" t="str">
        <f>IFERROR(__xludf.DUMMYFUNCTION("GOOGLETRANSLATE(B33700,""en"",""zh-CN"")"),"在歌曲的结尾，她删除了小提琴和微笑。")</f>
        <v>在歌曲的结尾，她删除了小提琴和微笑。</v>
      </c>
    </row>
    <row r="33701">
      <c r="A33701" s="4" t="s">
        <v>42408</v>
      </c>
      <c r="B33701" s="6" t="s">
        <v>42409</v>
      </c>
      <c r="C33701" s="5" t="str">
        <f>IFERROR(__xludf.DUMMYFUNCTION("GOOGLETRANSLATE(B33701,""en"",""zh-CN"")"),"首先看到一小群女孩在体育馆的地板上走出去，有几个人在场边看。")</f>
        <v>首先看到一小群女孩在体育馆的地板上走出去，有几个人在场边看。</v>
      </c>
    </row>
    <row r="33702">
      <c r="A33702" s="4" t="s">
        <v>42408</v>
      </c>
      <c r="B33702" s="4" t="s">
        <v>42410</v>
      </c>
      <c r="C33702" s="5" t="str">
        <f>IFERROR(__xludf.DUMMYFUNCTION("GOOGLETRANSLATE(B33702,""en"",""zh-CN"")"),"然后，女孩在旋转和旋转时使用警棍进行例行。")</f>
        <v>然后，女孩在旋转和旋转时使用警棍进行例行。</v>
      </c>
    </row>
    <row r="33703">
      <c r="A33703" s="4" t="s">
        <v>42408</v>
      </c>
      <c r="B33703" s="4" t="s">
        <v>42411</v>
      </c>
      <c r="C33703" s="5" t="str">
        <f>IFERROR(__xludf.DUMMYFUNCTION("GOOGLETRANSLATE(B33703,""en"",""zh-CN"")"),"他们在观众拍手并逃到一边的时候做出了结局姿势。")</f>
        <v>他们在观众拍手并逃到一边的时候做出了结局姿势。</v>
      </c>
    </row>
    <row r="33704">
      <c r="A33704" s="4" t="s">
        <v>42412</v>
      </c>
      <c r="B33704" s="6" t="s">
        <v>42413</v>
      </c>
      <c r="C33704" s="5" t="str">
        <f>IFERROR(__xludf.DUMMYFUNCTION("GOOGLETRANSLATE(B33704,""en"",""zh-CN"")"),"一个男人在摩托车的后部表演特技表演，掉下来，并伤害了自己，此时他跌倒在地，看上去受伤。")</f>
        <v>一个男人在摩托车的后部表演特技表演，掉下来，并伤害了自己，此时他跌倒在地，看上去受伤。</v>
      </c>
    </row>
    <row r="33705">
      <c r="A33705" s="4" t="s">
        <v>42412</v>
      </c>
      <c r="B33705" s="4" t="s">
        <v>42414</v>
      </c>
      <c r="C33705" s="5" t="str">
        <f>IFERROR(__xludf.DUMMYFUNCTION("GOOGLETRANSLATE(B33705,""en"",""zh-CN"")"),"一个男人正在向下坡道上悬挂一辆移动的自行车。")</f>
        <v>一个男人正在向下坡道上悬挂一辆移动的自行车。</v>
      </c>
    </row>
    <row r="33706">
      <c r="A33706" s="4" t="s">
        <v>42412</v>
      </c>
      <c r="B33706" s="4" t="s">
        <v>42415</v>
      </c>
      <c r="C33706" s="5" t="str">
        <f>IFERROR(__xludf.DUMMYFUNCTION("GOOGLETRANSLATE(B33706,""en"",""zh-CN"")"),"该男子从自行车上摔下来，穿着撕裂的衣服落在地面上。")</f>
        <v>该男子从自行车上摔下来，穿着撕裂的衣服落在地面上。</v>
      </c>
    </row>
    <row r="33707">
      <c r="A33707" s="4" t="s">
        <v>42412</v>
      </c>
      <c r="B33707" s="6" t="s">
        <v>42416</v>
      </c>
      <c r="C33707" s="5" t="str">
        <f>IFERROR(__xludf.DUMMYFUNCTION("GOOGLETRANSLATE(B33707,""en"",""zh-CN"")"),"摄像头抚摸着男人受损的衣服和头盔，当他在地面上躺在地面上时，他的脸庞却跌倒了。")</f>
        <v>摄像头抚摸着男人受损的衣服和头盔，当他在地面上躺在地面上时，他的脸庞却跌倒了。</v>
      </c>
    </row>
    <row r="33708">
      <c r="A33708" s="4" t="s">
        <v>42417</v>
      </c>
      <c r="B33708" s="6" t="s">
        <v>42418</v>
      </c>
      <c r="C33708" s="5" t="str">
        <f>IFERROR(__xludf.DUMMYFUNCTION("GOOGLETRANSLATE(B33708,""en"",""zh-CN"")"),"各种成分都放在桌子上，并导致将物品放入碗中。")</f>
        <v>各种成分都放在桌子上，并导致将物品放入碗中。</v>
      </c>
    </row>
    <row r="33709">
      <c r="A33709" s="4" t="s">
        <v>42417</v>
      </c>
      <c r="B33709" s="4" t="s">
        <v>42419</v>
      </c>
      <c r="C33709" s="5" t="str">
        <f>IFERROR(__xludf.DUMMYFUNCTION("GOOGLETRANSLATE(B33709,""en"",""zh-CN"")"),"然后看到该人切割水果并将其放入碗中。")</f>
        <v>然后看到该人切割水果并将其放入碗中。</v>
      </c>
    </row>
    <row r="33710">
      <c r="A33710" s="4" t="s">
        <v>42417</v>
      </c>
      <c r="B33710" s="4" t="s">
        <v>42420</v>
      </c>
      <c r="C33710" s="5" t="str">
        <f>IFERROR(__xludf.DUMMYFUNCTION("GOOGLETRANSLATE(B33710,""en"",""zh-CN"")"),"她将更多的液体倒入，并将其呈现给相机。")</f>
        <v>她将更多的液体倒入，并将其呈现给相机。</v>
      </c>
    </row>
    <row r="33711">
      <c r="A33711" s="4" t="s">
        <v>42421</v>
      </c>
      <c r="B33711" s="4" t="s">
        <v>42422</v>
      </c>
      <c r="C33711" s="5" t="str">
        <f>IFERROR(__xludf.DUMMYFUNCTION("GOOGLETRANSLATE(B33711,""en"",""zh-CN"")"),"两个人在房间里打墙球。")</f>
        <v>两个人在房间里打墙球。</v>
      </c>
    </row>
    <row r="33712">
      <c r="A33712" s="4" t="s">
        <v>42421</v>
      </c>
      <c r="B33712" s="4" t="s">
        <v>42423</v>
      </c>
      <c r="C33712" s="5" t="str">
        <f>IFERROR(__xludf.DUMMYFUNCTION("GOOGLETRANSLATE(B33712,""en"",""zh-CN"")"),"有观众看着他们玩耍。")</f>
        <v>有观众看着他们玩耍。</v>
      </c>
    </row>
    <row r="33713">
      <c r="A33713" s="4" t="s">
        <v>42421</v>
      </c>
      <c r="B33713" s="4" t="s">
        <v>42424</v>
      </c>
      <c r="C33713" s="5" t="str">
        <f>IFERROR(__xludf.DUMMYFUNCTION("GOOGLETRANSLATE(B33713,""en"",""zh-CN"")"),"该男子假装他的球拍是吉他。")</f>
        <v>该男子假装他的球拍是吉他。</v>
      </c>
    </row>
    <row r="33714">
      <c r="A33714" s="4" t="s">
        <v>42425</v>
      </c>
      <c r="B33714" s="4" t="s">
        <v>42426</v>
      </c>
      <c r="C33714" s="5" t="str">
        <f>IFERROR(__xludf.DUMMYFUNCTION("GOOGLETRANSLATE(B33714,""en"",""zh-CN"")"),"一个人在蓝色冲浪板上在海洋中冲浪。")</f>
        <v>一个人在蓝色冲浪板上在海洋中冲浪。</v>
      </c>
    </row>
    <row r="33715">
      <c r="A33715" s="4" t="s">
        <v>42425</v>
      </c>
      <c r="B33715" s="4" t="s">
        <v>42427</v>
      </c>
      <c r="C33715" s="5" t="str">
        <f>IFERROR(__xludf.DUMMYFUNCTION("GOOGLETRANSLATE(B33715,""en"",""zh-CN"")"),"当冲浪者通过大浪冲浪时，水看起来是绿色的。")</f>
        <v>当冲浪者通过大浪冲浪时，水看起来是绿色的。</v>
      </c>
    </row>
    <row r="33716">
      <c r="A33716" s="4" t="s">
        <v>42425</v>
      </c>
      <c r="B33716" s="4" t="s">
        <v>42428</v>
      </c>
      <c r="C33716" s="5" t="str">
        <f>IFERROR(__xludf.DUMMYFUNCTION("GOOGLETRANSLATE(B33716,""en"",""zh-CN"")"),"该男子在海滩附近冲浪，有一些酒店。")</f>
        <v>该男子在海滩附近冲浪，有一些酒店。</v>
      </c>
    </row>
    <row r="33717">
      <c r="A33717" s="4" t="s">
        <v>42425</v>
      </c>
      <c r="B33717" s="4" t="s">
        <v>42429</v>
      </c>
      <c r="C33717" s="5" t="str">
        <f>IFERROR(__xludf.DUMMYFUNCTION("GOOGLETRANSLATE(B33717,""en"",""zh-CN"")"),"冲浪者继续通过高大的海浪冲浪而不会掉下来。")</f>
        <v>冲浪者继续通过高大的海浪冲浪而不会掉下来。</v>
      </c>
    </row>
    <row r="33718">
      <c r="A33718" s="4" t="s">
        <v>42430</v>
      </c>
      <c r="B33718" s="4" t="s">
        <v>42431</v>
      </c>
      <c r="C33718" s="5" t="str">
        <f>IFERROR(__xludf.DUMMYFUNCTION("GOOGLETRANSLATE(B33718,""en"",""zh-CN"")"),"一名体操运动员在人群的前库上表演，她翻转并从保险库中掉下来。")</f>
        <v>一名体操运动员在人群的前库上表演，她翻转并从保险库中掉下来。</v>
      </c>
    </row>
    <row r="33719">
      <c r="A33719" s="4" t="s">
        <v>42430</v>
      </c>
      <c r="B33719" s="4" t="s">
        <v>42432</v>
      </c>
      <c r="C33719" s="5" t="str">
        <f>IFERROR(__xludf.DUMMYFUNCTION("GOOGLETRANSLATE(B33719,""en"",""zh-CN"")"),"然后，体操运动员跳跃，翻转，但在她的表演过程中却散落着。")</f>
        <v>然后，体操运动员跳跃，翻转，但在她的表演过程中却散落着。</v>
      </c>
    </row>
    <row r="33720">
      <c r="A33720" s="4" t="s">
        <v>42430</v>
      </c>
      <c r="B33720" s="4" t="s">
        <v>42433</v>
      </c>
      <c r="C33720" s="5" t="str">
        <f>IFERROR(__xludf.DUMMYFUNCTION("GOOGLETRANSLATE(B33720,""en"",""zh-CN"")"),"体操运动员向后翻转，然后她继续进行例行。")</f>
        <v>体操运动员向后翻转，然后她继续进行例行。</v>
      </c>
    </row>
    <row r="33721">
      <c r="A33721" s="4" t="s">
        <v>42430</v>
      </c>
      <c r="B33721" s="4" t="s">
        <v>42434</v>
      </c>
      <c r="C33721" s="5" t="str">
        <f>IFERROR(__xludf.DUMMYFUNCTION("GOOGLETRANSLATE(B33721,""en"",""zh-CN"")"),"接下来，体操运动员跳跃，进行双翻转，陆地站在垫子上。")</f>
        <v>接下来，体操运动员跳跃，进行双翻转，陆地站在垫子上。</v>
      </c>
    </row>
    <row r="33722">
      <c r="A33722" s="4" t="s">
        <v>42435</v>
      </c>
      <c r="B33722" s="4" t="s">
        <v>42436</v>
      </c>
      <c r="C33722" s="5" t="str">
        <f>IFERROR(__xludf.DUMMYFUNCTION("GOOGLETRANSLATE(B33722,""en"",""zh-CN"")"),"观众观看时，一个男人在各种公共场所奔跑和跳跃，双腿上有弹簧。")</f>
        <v>观众观看时，一个男人在各种公共场所奔跑和跳跃，双腿上有弹簧。</v>
      </c>
    </row>
    <row r="33723">
      <c r="A33723" s="4" t="s">
        <v>42435</v>
      </c>
      <c r="B33723" s="4" t="s">
        <v>42437</v>
      </c>
      <c r="C33723" s="5" t="str">
        <f>IFERROR(__xludf.DUMMYFUNCTION("GOOGLETRANSLATE(B33723,""en"",""zh-CN"")"),"摄影师躺在地上时拍摄了男人。")</f>
        <v>摄影师躺在地上时拍摄了男人。</v>
      </c>
    </row>
    <row r="33724">
      <c r="A33724" s="4" t="s">
        <v>42435</v>
      </c>
      <c r="B33724" s="4" t="s">
        <v>42438</v>
      </c>
      <c r="C33724" s="5" t="str">
        <f>IFERROR(__xludf.DUMMYFUNCTION("GOOGLETRANSLATE(B33724,""en"",""zh-CN"")"),"有弹簧的男人跳过另一个男人。")</f>
        <v>有弹簧的男人跳过另一个男人。</v>
      </c>
    </row>
    <row r="33725">
      <c r="A33725" s="4" t="s">
        <v>42439</v>
      </c>
      <c r="B33725" s="4" t="s">
        <v>42440</v>
      </c>
      <c r="C33725" s="5" t="str">
        <f>IFERROR(__xludf.DUMMYFUNCTION("GOOGLETRANSLATE(B33725,""en"",""zh-CN"")"),"我们看到一个小女孩在玩具虚荣心上妆容。")</f>
        <v>我们看到一个小女孩在玩具虚荣心上妆容。</v>
      </c>
    </row>
    <row r="33726">
      <c r="A33726" s="4" t="s">
        <v>42439</v>
      </c>
      <c r="B33726" s="4" t="s">
        <v>42441</v>
      </c>
      <c r="C33726" s="5" t="str">
        <f>IFERROR(__xludf.DUMMYFUNCTION("GOOGLETRANSLATE(B33726,""en"",""zh-CN"")"),"她关闭了化妆盒，并将其打开。")</f>
        <v>她关闭了化妆盒，并将其打开。</v>
      </c>
    </row>
    <row r="33727">
      <c r="A33727" s="4" t="s">
        <v>42439</v>
      </c>
      <c r="B33727" s="4" t="s">
        <v>42442</v>
      </c>
      <c r="C33727" s="5" t="str">
        <f>IFERROR(__xludf.DUMMYFUNCTION("GOOGLETRANSLATE(B33727,""en"",""zh-CN"")"),"她用手指擦刷子的尖端。")</f>
        <v>她用手指擦刷子的尖端。</v>
      </c>
    </row>
    <row r="33728">
      <c r="A33728" s="4" t="s">
        <v>42443</v>
      </c>
      <c r="B33728" s="4" t="s">
        <v>42444</v>
      </c>
      <c r="C33728" s="5" t="str">
        <f>IFERROR(__xludf.DUMMYFUNCTION("GOOGLETRANSLATE(B33728,""en"",""zh-CN"")"),"四名男子乘坐可转换汽车骑行，沿着沙漠高速公路行驶。")</f>
        <v>四名男子乘坐可转换汽车骑行，沿着沙漠高速公路行驶。</v>
      </c>
    </row>
    <row r="33729">
      <c r="A33729" s="4" t="s">
        <v>42443</v>
      </c>
      <c r="B33729" s="4" t="s">
        <v>42445</v>
      </c>
      <c r="C33729" s="5" t="str">
        <f>IFERROR(__xludf.DUMMYFUNCTION("GOOGLETRANSLATE(B33729,""en"",""zh-CN"")"),"两个朋友骑着自动扶梯。")</f>
        <v>两个朋友骑着自动扶梯。</v>
      </c>
    </row>
    <row r="33730">
      <c r="A33730" s="4" t="s">
        <v>42443</v>
      </c>
      <c r="B33730" s="4" t="s">
        <v>42446</v>
      </c>
      <c r="C33730" s="5" t="str">
        <f>IFERROR(__xludf.DUMMYFUNCTION("GOOGLETRANSLATE(B33730,""en"",""zh-CN"")"),"朋友站在赌场的卡桌子桌子上，玩手。")</f>
        <v>朋友站在赌场的卡桌子桌子上，玩手。</v>
      </c>
    </row>
    <row r="33731">
      <c r="A33731" s="4" t="s">
        <v>42443</v>
      </c>
      <c r="B33731" s="4" t="s">
        <v>42447</v>
      </c>
      <c r="C33731" s="5" t="str">
        <f>IFERROR(__xludf.DUMMYFUNCTION("GOOGLETRANSLATE(B33731,""en"",""zh-CN"")"),"该男子大笔赌注，坐下来踢几只手。")</f>
        <v>该男子大笔赌注，坐下来踢几只手。</v>
      </c>
    </row>
    <row r="33732">
      <c r="A33732" s="4" t="s">
        <v>42443</v>
      </c>
      <c r="B33732" s="4" t="s">
        <v>42448</v>
      </c>
      <c r="C33732" s="5" t="str">
        <f>IFERROR(__xludf.DUMMYFUNCTION("GOOGLETRANSLATE(B33732,""en"",""zh-CN"")"),"该男子积累了大量筹码。")</f>
        <v>该男子积累了大量筹码。</v>
      </c>
    </row>
    <row r="33733">
      <c r="A33733" s="4" t="s">
        <v>42443</v>
      </c>
      <c r="B33733" s="4" t="s">
        <v>42449</v>
      </c>
      <c r="C33733" s="5" t="str">
        <f>IFERROR(__xludf.DUMMYFUNCTION("GOOGLETRANSLATE(B33733,""en"",""zh-CN"")"),"男人的朋友赢得了一只手，这对夫妇庆祝。")</f>
        <v>男人的朋友赢得了一只手，这对夫妇庆祝。</v>
      </c>
    </row>
    <row r="33734">
      <c r="A33734" s="4" t="s">
        <v>42443</v>
      </c>
      <c r="B33734" s="4" t="s">
        <v>42450</v>
      </c>
      <c r="C33734" s="5" t="str">
        <f>IFERROR(__xludf.DUMMYFUNCTION("GOOGLETRANSLATE(B33734,""en"",""zh-CN"")"),"该男子由安全人员和相机跟踪。")</f>
        <v>该男子由安全人员和相机跟踪。</v>
      </c>
    </row>
    <row r="33735">
      <c r="A33735" s="4" t="s">
        <v>42443</v>
      </c>
      <c r="B33735" s="4" t="s">
        <v>42451</v>
      </c>
      <c r="C33735" s="5" t="str">
        <f>IFERROR(__xludf.DUMMYFUNCTION("GOOGLETRANSLATE(B33735,""en"",""zh-CN"")"),"如果她的椅子到地面，男人帮助她起来，那个女人就会倒下。")</f>
        <v>如果她的椅子到地面，男人帮助她起来，那个女人就会倒下。</v>
      </c>
    </row>
    <row r="33736">
      <c r="A33736" s="4" t="s">
        <v>42443</v>
      </c>
      <c r="B33736" s="4" t="s">
        <v>42452</v>
      </c>
      <c r="C33736" s="5" t="str">
        <f>IFERROR(__xludf.DUMMYFUNCTION("GOOGLETRANSLATE(B33736,""en"",""zh-CN"")"),"朋友演奏不见了，椅子是空的。")</f>
        <v>朋友演奏不见了，椅子是空的。</v>
      </c>
    </row>
    <row r="33737">
      <c r="A33737" s="4" t="s">
        <v>42453</v>
      </c>
      <c r="B33737" s="4" t="s">
        <v>42454</v>
      </c>
      <c r="C33737" s="5" t="str">
        <f>IFERROR(__xludf.DUMMYFUNCTION("GOOGLETRANSLATE(B33737,""en"",""zh-CN"")"),"一对夫妇在河流的流水中。")</f>
        <v>一对夫妇在河流的流水中。</v>
      </c>
    </row>
    <row r="33738">
      <c r="A33738" s="4" t="s">
        <v>42453</v>
      </c>
      <c r="B33738" s="4" t="s">
        <v>42455</v>
      </c>
      <c r="C33738" s="5" t="str">
        <f>IFERROR(__xludf.DUMMYFUNCTION("GOOGLETRANSLATE(B33738,""en"",""zh-CN"")"),"他们坐在几个水桶旁边。")</f>
        <v>他们坐在几个水桶旁边。</v>
      </c>
    </row>
    <row r="33739">
      <c r="A33739" s="4" t="s">
        <v>42453</v>
      </c>
      <c r="B33739" s="4" t="s">
        <v>42456</v>
      </c>
      <c r="C33739" s="5" t="str">
        <f>IFERROR(__xludf.DUMMYFUNCTION("GOOGLETRANSLATE(B33739,""en"",""zh-CN"")"),"他们将衣服擦在岩石上，试图清洁它们。")</f>
        <v>他们将衣服擦在岩石上，试图清洁它们。</v>
      </c>
    </row>
    <row r="33740">
      <c r="A33740" s="4" t="s">
        <v>42457</v>
      </c>
      <c r="B33740" s="4" t="s">
        <v>42458</v>
      </c>
      <c r="C33740" s="5" t="str">
        <f>IFERROR(__xludf.DUMMYFUNCTION("GOOGLETRANSLATE(B33740,""en"",""zh-CN"")"),"一个人燃烧的木材。")</f>
        <v>一个人燃烧的木材。</v>
      </c>
    </row>
    <row r="33741">
      <c r="A33741" s="4" t="s">
        <v>42457</v>
      </c>
      <c r="B33741" s="4" t="s">
        <v>42459</v>
      </c>
      <c r="C33741" s="5" t="str">
        <f>IFERROR(__xludf.DUMMYFUNCTION("GOOGLETRANSLATE(B33741,""en"",""zh-CN"")"),"然后，一个人吹火，而人则将棍子放在新生的火上。")</f>
        <v>然后，一个人吹火，而人则将棍子放在新生的火上。</v>
      </c>
    </row>
    <row r="33742">
      <c r="A33742" s="4" t="s">
        <v>42457</v>
      </c>
      <c r="B33742" s="4" t="s">
        <v>42460</v>
      </c>
      <c r="C33742" s="5" t="str">
        <f>IFERROR(__xludf.DUMMYFUNCTION("GOOGLETRANSLATE(B33742,""en"",""zh-CN"")"),"之后，大火开始越来越大，而人们将棍子放在顶部。")</f>
        <v>之后，大火开始越来越大，而人们将棍子放在顶部。</v>
      </c>
    </row>
    <row r="33743">
      <c r="A33743" s="4" t="s">
        <v>42461</v>
      </c>
      <c r="B33743" s="4" t="s">
        <v>42462</v>
      </c>
      <c r="C33743" s="5" t="str">
        <f>IFERROR(__xludf.DUMMYFUNCTION("GOOGLETRANSLATE(B33743,""en"",""zh-CN"")"),"一群男人握着马拉卡斯，并演奏一些雷鬼音乐。")</f>
        <v>一群男人握着马拉卡斯，并演奏一些雷鬼音乐。</v>
      </c>
    </row>
    <row r="33744">
      <c r="A33744" s="4" t="s">
        <v>42461</v>
      </c>
      <c r="B33744" s="4" t="s">
        <v>42463</v>
      </c>
      <c r="C33744" s="5" t="str">
        <f>IFERROR(__xludf.DUMMYFUNCTION("GOOGLETRANSLATE(B33744,""en"",""zh-CN"")"),"其中一名男子开始在麦克风中唱歌。")</f>
        <v>其中一名男子开始在麦克风中唱歌。</v>
      </c>
    </row>
    <row r="33745">
      <c r="A33745" s="4" t="s">
        <v>42461</v>
      </c>
      <c r="B33745" s="4" t="s">
        <v>42464</v>
      </c>
      <c r="C33745" s="5" t="str">
        <f>IFERROR(__xludf.DUMMYFUNCTION("GOOGLETRANSLATE(B33745,""en"",""zh-CN"")"),"其余的人和他一起演唱了合唱。")</f>
        <v>其余的人和他一起演唱了合唱。</v>
      </c>
    </row>
    <row r="33746">
      <c r="A33746" s="4" t="s">
        <v>42461</v>
      </c>
      <c r="B33746" s="4" t="s">
        <v>42465</v>
      </c>
      <c r="C33746" s="5" t="str">
        <f>IFERROR(__xludf.DUMMYFUNCTION("GOOGLETRANSLATE(B33746,""en"",""zh-CN"")"),"他们唱歌时播放马拉卡斯。")</f>
        <v>他们唱歌时播放马拉卡斯。</v>
      </c>
    </row>
    <row r="33747">
      <c r="A33747" s="4" t="s">
        <v>42461</v>
      </c>
      <c r="B33747" s="6" t="s">
        <v>42466</v>
      </c>
      <c r="C33747" s="5" t="str">
        <f>IFERROR(__xludf.DUMMYFUNCTION("GOOGLETRANSLATE(B33747,""en"",""zh-CN"")"),"这些人在唱歌和扮演马拉卡斯时也跳舞，主唱独奏一段时间，而其他歌手则扮演马拉卡斯。")</f>
        <v>这些人在唱歌和扮演马拉卡斯时也跳舞，主唱独奏一段时间，而其他歌手则扮演马拉卡斯。</v>
      </c>
    </row>
    <row r="33748">
      <c r="A33748" s="4" t="s">
        <v>42461</v>
      </c>
      <c r="B33748" s="4" t="s">
        <v>42467</v>
      </c>
      <c r="C33748" s="5" t="str">
        <f>IFERROR(__xludf.DUMMYFUNCTION("GOOGLETRANSLATE(B33748,""en"",""zh-CN"")"),"然后，所有的男人在演奏他们的马拉卡斯（Maracas）时与他一起唱歌。")</f>
        <v>然后，所有的男人在演奏他们的马拉卡斯（Maracas）时与他一起唱歌。</v>
      </c>
    </row>
    <row r="33749">
      <c r="A33749" s="4" t="s">
        <v>42468</v>
      </c>
      <c r="B33749" s="4" t="s">
        <v>42469</v>
      </c>
      <c r="C33749" s="5" t="str">
        <f>IFERROR(__xludf.DUMMYFUNCTION("GOOGLETRANSLATE(B33749,""en"",""zh-CN"")"),"两个人在舞蹈室里跳舞。")</f>
        <v>两个人在舞蹈室里跳舞。</v>
      </c>
    </row>
    <row r="33750">
      <c r="A33750" s="4" t="s">
        <v>42468</v>
      </c>
      <c r="B33750" s="4" t="s">
        <v>42470</v>
      </c>
      <c r="C33750" s="5" t="str">
        <f>IFERROR(__xludf.DUMMYFUNCTION("GOOGLETRANSLATE(B33750,""en"",""zh-CN"")"),"首先，女人挥舞着她的臀部一点，并在另一只脚后面移动。")</f>
        <v>首先，女人挥舞着她的臀部一点，并在另一只脚后面移动。</v>
      </c>
    </row>
    <row r="33751">
      <c r="A33751" s="4" t="s">
        <v>42468</v>
      </c>
      <c r="B33751" s="6" t="s">
        <v>42471</v>
      </c>
      <c r="C33751" s="5" t="str">
        <f>IFERROR(__xludf.DUMMYFUNCTION("GOOGLETRANSLATE(B33751,""en"",""zh-CN"")"),"她还告诉观众与该人进行眼神交流，以确保他们舒适，并且在某个时候，该男子绕着她四处旋转，她回来了，让他们再次开始跳舞。")</f>
        <v>她还告诉观众与该人进行眼神交流，以确保他们舒适，并且在某个时候，该男子绕着她四处旋转，她回来了，让他们再次开始跳舞。</v>
      </c>
    </row>
    <row r="33752">
      <c r="A33752" s="4" t="s">
        <v>42472</v>
      </c>
      <c r="B33752" s="6" t="s">
        <v>42473</v>
      </c>
      <c r="C33752" s="5" t="str">
        <f>IFERROR(__xludf.DUMMYFUNCTION("GOOGLETRANSLATE(B33752,""en"",""zh-CN"")"),"采访了三名男子，其中一名弹钢琴，并为采访者和他的摄制组唱歌。")</f>
        <v>采访了三名男子，其中一名弹钢琴，并为采访者和他的摄制组唱歌。</v>
      </c>
    </row>
    <row r="33753">
      <c r="A33753" s="4" t="s">
        <v>42472</v>
      </c>
      <c r="B33753" s="6" t="s">
        <v>42474</v>
      </c>
      <c r="C33753" s="5" t="str">
        <f>IFERROR(__xludf.DUMMYFUNCTION("GOOGLETRANSLATE(B33753,""en"",""zh-CN"")"),"四个男人在一个房间里，其中三个人正在接受金发的第四个男人采访，戴着眼镜，并带着摄制组。")</f>
        <v>四个男人在一个房间里，其中三个人正在接受金发的第四个男人采访，戴着眼镜，并带着摄制组。</v>
      </c>
    </row>
    <row r="33754">
      <c r="A33754" s="4" t="s">
        <v>42472</v>
      </c>
      <c r="B33754" s="4" t="s">
        <v>42475</v>
      </c>
      <c r="C33754" s="5" t="str">
        <f>IFERROR(__xludf.DUMMYFUNCTION("GOOGLETRANSLATE(B33754,""en"",""zh-CN"")"),"面试官将其中一名男子带到了通往钢琴的走廊，该男子有座位。")</f>
        <v>面试官将其中一名男子带到了通往钢琴的走廊，该男子有座位。</v>
      </c>
    </row>
    <row r="33755">
      <c r="A33755" s="4" t="s">
        <v>42472</v>
      </c>
      <c r="B33755" s="6" t="s">
        <v>42476</v>
      </c>
      <c r="C33755" s="5" t="str">
        <f>IFERROR(__xludf.DUMMYFUNCTION("GOOGLETRANSLATE(B33755,""en"",""zh-CN"")"),"当那个男人结束歌曲之前，该男子开始演奏和唱歌，摄制组，访问者和围观者观看，站起来走开。")</f>
        <v>当那个男人结束歌曲之前，该男子开始演奏和唱歌，摄制组，访问者和围观者观看，站起来走开。</v>
      </c>
    </row>
    <row r="33756">
      <c r="A33756" s="4" t="s">
        <v>42477</v>
      </c>
      <c r="B33756" s="4" t="s">
        <v>42478</v>
      </c>
      <c r="C33756" s="5" t="str">
        <f>IFERROR(__xludf.DUMMYFUNCTION("GOOGLETRANSLATE(B33756,""en"",""zh-CN"")"),"我们在一个房间里看到男人在比赛中玩游泳池。")</f>
        <v>我们在一个房间里看到男人在比赛中玩游泳池。</v>
      </c>
    </row>
    <row r="33757">
      <c r="A33757" s="4" t="s">
        <v>42477</v>
      </c>
      <c r="B33757" s="4" t="s">
        <v>42479</v>
      </c>
      <c r="C33757" s="5" t="str">
        <f>IFERROR(__xludf.DUMMYFUNCTION("GOOGLETRANSLATE(B33757,""en"",""zh-CN"")"),"穿着蓝色衬衫的男人接近射击。")</f>
        <v>穿着蓝色衬衫的男人接近射击。</v>
      </c>
    </row>
    <row r="33758">
      <c r="A33758" s="4" t="s">
        <v>42477</v>
      </c>
      <c r="B33758" s="4" t="s">
        <v>42480</v>
      </c>
      <c r="C33758" s="5" t="str">
        <f>IFERROR(__xludf.DUMMYFUNCTION("GOOGLETRANSLATE(B33758,""en"",""zh-CN"")"),"该男子走开以交换泳池。")</f>
        <v>该男子走开以交换泳池。</v>
      </c>
    </row>
    <row r="33759">
      <c r="A33759" s="4" t="s">
        <v>42477</v>
      </c>
      <c r="B33759" s="4" t="s">
        <v>42481</v>
      </c>
      <c r="C33759" s="5" t="str">
        <f>IFERROR(__xludf.DUMMYFUNCTION("GOOGLETRANSLATE(B33759,""en"",""zh-CN"")"),"那个蓝色的男人开枪。")</f>
        <v>那个蓝色的男人开枪。</v>
      </c>
    </row>
    <row r="33760">
      <c r="A33760" s="4" t="s">
        <v>42477</v>
      </c>
      <c r="B33760" s="4" t="s">
        <v>42482</v>
      </c>
      <c r="C33760" s="5" t="str">
        <f>IFERROR(__xludf.DUMMYFUNCTION("GOOGLETRANSLATE(B33760,""en"",""zh-CN"")"),"然后，男人再投篮。")</f>
        <v>然后，男人再投篮。</v>
      </c>
    </row>
    <row r="33761">
      <c r="A33761" s="4" t="s">
        <v>42477</v>
      </c>
      <c r="B33761" s="4" t="s">
        <v>42483</v>
      </c>
      <c r="C33761" s="5" t="str">
        <f>IFERROR(__xludf.DUMMYFUNCTION("GOOGLETRANSLATE(B33761,""en"",""zh-CN"")"),"该男子第三次射击。")</f>
        <v>该男子第三次射击。</v>
      </c>
    </row>
    <row r="33762">
      <c r="A33762" s="4" t="s">
        <v>42477</v>
      </c>
      <c r="B33762" s="4" t="s">
        <v>42484</v>
      </c>
      <c r="C33762" s="5" t="str">
        <f>IFERROR(__xludf.DUMMYFUNCTION("GOOGLETRANSLATE(B33762,""en"",""zh-CN"")"),"这个男人第四次。")</f>
        <v>这个男人第四次。</v>
      </c>
    </row>
    <row r="33763">
      <c r="A33763" s="4" t="s">
        <v>42477</v>
      </c>
      <c r="B33763" s="4" t="s">
        <v>42485</v>
      </c>
      <c r="C33763" s="5" t="str">
        <f>IFERROR(__xludf.DUMMYFUNCTION("GOOGLETRANSLATE(B33763,""en"",""zh-CN"")"),"这个男人取得了最后的射门。")</f>
        <v>这个男人取得了最后的射门。</v>
      </c>
    </row>
    <row r="33764">
      <c r="A33764" s="4" t="s">
        <v>42486</v>
      </c>
      <c r="B33764" s="4" t="s">
        <v>42487</v>
      </c>
      <c r="C33764" s="5" t="str">
        <f>IFERROR(__xludf.DUMMYFUNCTION("GOOGLETRANSLATE(B33764,""en"",""zh-CN"")"),"一个简介导致一个女人在相机上说话，而几个滑雪者在她身边骑行。")</f>
        <v>一个简介导致一个女人在相机上说话，而几个滑雪者在她身边骑行。</v>
      </c>
    </row>
    <row r="33765">
      <c r="A33765" s="4" t="s">
        <v>42486</v>
      </c>
      <c r="B33765" s="6" t="s">
        <v>42488</v>
      </c>
      <c r="C33765" s="5" t="str">
        <f>IFERROR(__xludf.DUMMYFUNCTION("GOOGLETRANSLATE(B33765,""en"",""zh-CN"")"),"相机跟随女孩沿着白雪皑皑的山丘，骑滑雪缆车并再次与相机说话。")</f>
        <v>相机跟随女孩沿着白雪皑皑的山丘，骑滑雪缆车并再次与相机说话。</v>
      </c>
    </row>
    <row r="33766">
      <c r="A33766" s="4" t="s">
        <v>42486</v>
      </c>
      <c r="B33766" s="6" t="s">
        <v>42489</v>
      </c>
      <c r="C33766" s="5" t="str">
        <f>IFERROR(__xludf.DUMMYFUNCTION("GOOGLETRANSLATE(B33766,""en"",""zh-CN"")"),"显示了她的滑雪的更多镜头，并以她挥手向相机和各种滑雪者的照片结束。")</f>
        <v>显示了她的滑雪的更多镜头，并以她挥手向相机和各种滑雪者的照片结束。</v>
      </c>
    </row>
    <row r="33767">
      <c r="A33767" s="4" t="s">
        <v>42490</v>
      </c>
      <c r="B33767" s="4" t="s">
        <v>42491</v>
      </c>
      <c r="C33767" s="5" t="str">
        <f>IFERROR(__xludf.DUMMYFUNCTION("GOOGLETRANSLATE(B33767,""en"",""zh-CN"")"),"看到两个人互相玩乒乓球游戏。")</f>
        <v>看到两个人互相玩乒乓球游戏。</v>
      </c>
    </row>
    <row r="33768">
      <c r="A33768" s="4" t="s">
        <v>42490</v>
      </c>
      <c r="B33768" s="4" t="s">
        <v>42492</v>
      </c>
      <c r="C33768" s="5" t="str">
        <f>IFERROR(__xludf.DUMMYFUNCTION("GOOGLETRANSLATE(B33768,""en"",""zh-CN"")"),"当人们看着侧面时，他们将球向后击中，在桌子上四分之一。")</f>
        <v>当人们看着侧面时，他们将球向后击中，在桌子上四分之一。</v>
      </c>
    </row>
    <row r="33769">
      <c r="A33769" s="4" t="s">
        <v>42490</v>
      </c>
      <c r="B33769" s="4" t="s">
        <v>42493</v>
      </c>
      <c r="C33769" s="5" t="str">
        <f>IFERROR(__xludf.DUMMYFUNCTION("GOOGLETRANSLATE(B33769,""en"",""zh-CN"")"),"男孩们在切换地方并寻找相机的同时继续回击和第四。")</f>
        <v>男孩们在切换地方并寻找相机的同时继续回击和第四。</v>
      </c>
    </row>
    <row r="33770">
      <c r="A33770" s="4" t="s">
        <v>42494</v>
      </c>
      <c r="B33770" s="6" t="s">
        <v>42495</v>
      </c>
      <c r="C33770" s="5" t="str">
        <f>IFERROR(__xludf.DUMMYFUNCTION("GOOGLETRANSLATE(B33770,""en"",""zh-CN"")"),"看到一个人站在自行车后面，向相机说话，并显示自行车的特写。")</f>
        <v>看到一个人站在自行车后面，向相机说话，并显示自行车的特写。</v>
      </c>
    </row>
    <row r="33771">
      <c r="A33771" s="4" t="s">
        <v>42494</v>
      </c>
      <c r="B33771" s="6" t="s">
        <v>42496</v>
      </c>
      <c r="C33771" s="5" t="str">
        <f>IFERROR(__xludf.DUMMYFUNCTION("GOOGLETRANSLATE(B33771,""en"",""zh-CN"")"),"该人继续讲话，同时炫耀自己的装备，并导致他调整自行车上的设置。")</f>
        <v>该人继续讲话，同时炫耀自己的装备，并导致他调整自行车上的设置。</v>
      </c>
    </row>
    <row r="33772">
      <c r="A33772" s="4" t="s">
        <v>42497</v>
      </c>
      <c r="B33772" s="4" t="s">
        <v>42498</v>
      </c>
      <c r="C33772" s="5" t="str">
        <f>IFERROR(__xludf.DUMMYFUNCTION("GOOGLETRANSLATE(B33772,""en"",""zh-CN"")"),"一个穿着黑色上衣的女人正在谈论宠物的美国美容服务。")</f>
        <v>一个穿着黑色上衣的女人正在谈论宠物的美国美容服务。</v>
      </c>
    </row>
    <row r="33773">
      <c r="A33773" s="4" t="s">
        <v>42497</v>
      </c>
      <c r="B33773" s="4" t="s">
        <v>42499</v>
      </c>
      <c r="C33773" s="5" t="str">
        <f>IFERROR(__xludf.DUMMYFUNCTION("GOOGLETRANSLATE(B33773,""en"",""zh-CN"")"),"她展示了她公司为宠物提供的所有各种美容服务。")</f>
        <v>她展示了她公司为宠物提供的所有各种美容服务。</v>
      </c>
    </row>
    <row r="33774">
      <c r="A33774" s="4" t="s">
        <v>42497</v>
      </c>
      <c r="B33774" s="4" t="s">
        <v>42500</v>
      </c>
      <c r="C33774" s="5" t="str">
        <f>IFERROR(__xludf.DUMMYFUNCTION("GOOGLETRANSLATE(B33774,""en"",""zh-CN"")"),"有几个美容师在狗修剪和剪切宠物头发并夹指甲时在狗上工作。")</f>
        <v>有几个美容师在狗修剪和剪切宠物头发并夹指甲时在狗上工作。</v>
      </c>
    </row>
    <row r="33775">
      <c r="A33775" s="4" t="s">
        <v>42497</v>
      </c>
      <c r="B33775" s="4" t="s">
        <v>42501</v>
      </c>
      <c r="C33775" s="5" t="str">
        <f>IFERROR(__xludf.DUMMYFUNCTION("GOOGLETRANSLATE(B33775,""en"",""zh-CN"")"),"美容师谈论他们从哪里毕业以及如何雇用工作。")</f>
        <v>美容师谈论他们从哪里毕业以及如何雇用工作。</v>
      </c>
    </row>
    <row r="33776">
      <c r="A33776" s="4" t="s">
        <v>42497</v>
      </c>
      <c r="B33776" s="6" t="s">
        <v>42502</v>
      </c>
      <c r="C33776" s="5" t="str">
        <f>IFERROR(__xludf.DUMMYFUNCTION("GOOGLETRANSLATE(B33776,""en"",""zh-CN"")"),"该视频显示了如何由提供优质服务的专业美容师修饰不同的狗。")</f>
        <v>该视频显示了如何由提供优质服务的专业美容师修饰不同的狗。</v>
      </c>
    </row>
    <row r="33777">
      <c r="A33777" s="4" t="s">
        <v>42503</v>
      </c>
      <c r="B33777" s="6" t="s">
        <v>42504</v>
      </c>
      <c r="C33777" s="5" t="str">
        <f>IFERROR(__xludf.DUMMYFUNCTION("GOOGLETRANSLATE(B33777,""en"",""zh-CN"")"),"显示了各种各样的人在白雪皑皑的山上行走的人，随后是人在马上玩游戏的人。")</f>
        <v>显示了各种各样的人在白雪皑皑的山上行走的人，随后是人在马上玩游戏的人。</v>
      </c>
    </row>
    <row r="33778">
      <c r="A33778" s="4" t="s">
        <v>42503</v>
      </c>
      <c r="B33778" s="6" t="s">
        <v>42505</v>
      </c>
      <c r="C33778" s="5" t="str">
        <f>IFERROR(__xludf.DUMMYFUNCTION("GOOGLETRANSLATE(B33778,""en"",""zh-CN"")"),"当马匹比赛继续前进时，看到许多高档的人在场外观看，并选择了获胜者。")</f>
        <v>当马匹比赛继续前进时，看到许多高档的人在场外观看，并选择了获胜者。</v>
      </c>
    </row>
    <row r="33779">
      <c r="A33779" s="4" t="s">
        <v>42503</v>
      </c>
      <c r="B33779" s="4" t="s">
        <v>42506</v>
      </c>
      <c r="C33779" s="5" t="str">
        <f>IFERROR(__xludf.DUMMYFUNCTION("GOOGLETRANSLATE(B33779,""en"",""zh-CN"")"),"然后，人们在深夜打扮并摆姿势拍照。")</f>
        <v>然后，人们在深夜打扮并摆姿势拍照。</v>
      </c>
    </row>
    <row r="33780">
      <c r="A33780" s="4" t="s">
        <v>42507</v>
      </c>
      <c r="B33780" s="6" t="s">
        <v>42508</v>
      </c>
      <c r="C33780" s="5" t="str">
        <f>IFERROR(__xludf.DUMMYFUNCTION("GOOGLETRANSLATE(B33780,""en"",""zh-CN"")"),"一小群人都看到了乒乓球的各种比赛。")</f>
        <v>一小群人都看到了乒乓球的各种比赛。</v>
      </c>
    </row>
    <row r="33781">
      <c r="A33781" s="4" t="s">
        <v>42507</v>
      </c>
      <c r="B33781" s="6" t="s">
        <v>42509</v>
      </c>
      <c r="C33781" s="5" t="str">
        <f>IFERROR(__xludf.DUMMYFUNCTION("GOOGLETRANSLATE(B33781,""en"",""zh-CN"")"),"人们继续向后击球和第四次，而相机最终从各个角度捕获了他们，最终将它们捕捉到了一个小男孩。")</f>
        <v>人们继续向后击球和第四次，而相机最终从各个角度捕获了他们，最终将它们捕捉到了一个小男孩。</v>
      </c>
    </row>
    <row r="33782">
      <c r="A33782" s="4" t="s">
        <v>42510</v>
      </c>
      <c r="B33782" s="4" t="s">
        <v>42511</v>
      </c>
      <c r="C33782" s="5" t="str">
        <f>IFERROR(__xludf.DUMMYFUNCTION("GOOGLETRANSLATE(B33782,""en"",""zh-CN"")"),"一个女人在吃饭时坐在快餐餐厅的一张桌子旁。")</f>
        <v>一个女人在吃饭时坐在快餐餐厅的一张桌子旁。</v>
      </c>
    </row>
    <row r="33783">
      <c r="A33783" s="4" t="s">
        <v>42510</v>
      </c>
      <c r="B33783" s="4" t="s">
        <v>42512</v>
      </c>
      <c r="C33783" s="5" t="str">
        <f>IFERROR(__xludf.DUMMYFUNCTION("GOOGLETRANSLATE(B33783,""en"",""zh-CN"")"),"她在吃饭时不断与任何人交谈。")</f>
        <v>她在吃饭时不断与任何人交谈。</v>
      </c>
    </row>
    <row r="33784">
      <c r="A33784" s="4" t="s">
        <v>42510</v>
      </c>
      <c r="B33784" s="4" t="s">
        <v>42513</v>
      </c>
      <c r="C33784" s="5" t="str">
        <f>IFERROR(__xludf.DUMMYFUNCTION("GOOGLETRANSLATE(B33784,""en"",""zh-CN"")"),"她站起来抓住钱包，离开时继续说话和笑。")</f>
        <v>她站起来抓住钱包，离开时继续说话和笑。</v>
      </c>
    </row>
    <row r="33785">
      <c r="A33785" s="4" t="s">
        <v>42514</v>
      </c>
      <c r="B33785" s="4" t="s">
        <v>42515</v>
      </c>
      <c r="C33785" s="5" t="str">
        <f>IFERROR(__xludf.DUMMYFUNCTION("GOOGLETRANSLATE(B33785,""en"",""zh-CN"")"),"我们看到一条崎right的河里的木筏上到处都是河流，看到了很多剧照。")</f>
        <v>我们看到一条崎right的河里的木筏上到处都是河流，看到了很多剧照。</v>
      </c>
    </row>
    <row r="33786">
      <c r="A33786" s="4" t="s">
        <v>42514</v>
      </c>
      <c r="B33786" s="4" t="s">
        <v>42516</v>
      </c>
      <c r="C33786" s="5" t="str">
        <f>IFERROR(__xludf.DUMMYFUNCTION("GOOGLETRANSLATE(B33786,""en"",""zh-CN"")"),"我们看到了镜头的人。")</f>
        <v>我们看到了镜头的人。</v>
      </c>
    </row>
    <row r="33787">
      <c r="A33787" s="4" t="s">
        <v>42514</v>
      </c>
      <c r="B33787" s="4" t="s">
        <v>42517</v>
      </c>
      <c r="C33787" s="5" t="str">
        <f>IFERROR(__xludf.DUMMYFUNCTION("GOOGLETRANSLATE(B33787,""en"",""zh-CN"")"),"我们看到标题屏幕。")</f>
        <v>我们看到标题屏幕。</v>
      </c>
    </row>
    <row r="33788">
      <c r="A33788" s="4" t="s">
        <v>42514</v>
      </c>
      <c r="B33788" s="4" t="s">
        <v>42518</v>
      </c>
      <c r="C33788" s="5" t="str">
        <f>IFERROR(__xludf.DUMMYFUNCTION("GOOGLETRANSLATE(B33788,""en"",""zh-CN"")"),"我们在河上看到一架直升机。")</f>
        <v>我们在河上看到一架直升机。</v>
      </c>
    </row>
    <row r="33789">
      <c r="A33789" s="4" t="s">
        <v>42514</v>
      </c>
      <c r="B33789" s="4" t="s">
        <v>42519</v>
      </c>
      <c r="C33789" s="5" t="str">
        <f>IFERROR(__xludf.DUMMYFUNCTION("GOOGLETRANSLATE(B33789,""en"",""zh-CN"")"),"木筏翻身，一位女士笑了。")</f>
        <v>木筏翻身，一位女士笑了。</v>
      </c>
    </row>
    <row r="33790">
      <c r="A33790" s="4" t="s">
        <v>42514</v>
      </c>
      <c r="B33790" s="4" t="s">
        <v>42520</v>
      </c>
      <c r="C33790" s="5" t="str">
        <f>IFERROR(__xludf.DUMMYFUNCTION("GOOGLETRANSLATE(B33790,""en"",""zh-CN"")"),"我们看到一辆公共汽车在街上开车。")</f>
        <v>我们看到一辆公共汽车在街上开车。</v>
      </c>
    </row>
    <row r="33791">
      <c r="A33791" s="4" t="s">
        <v>42514</v>
      </c>
      <c r="B33791" s="4" t="s">
        <v>42521</v>
      </c>
      <c r="C33791" s="5" t="str">
        <f>IFERROR(__xludf.DUMMYFUNCTION("GOOGLETRANSLATE(B33791,""en"",""zh-CN"")"),"我们从远处看到峡谷。")</f>
        <v>我们从远处看到峡谷。</v>
      </c>
    </row>
    <row r="33792">
      <c r="A33792" s="4" t="s">
        <v>42514</v>
      </c>
      <c r="B33792" s="4" t="s">
        <v>42522</v>
      </c>
      <c r="C33792" s="5" t="str">
        <f>IFERROR(__xludf.DUMMYFUNCTION("GOOGLETRANSLATE(B33792,""en"",""zh-CN"")"),"我们看到一条隧道和一艘快艇。")</f>
        <v>我们看到一条隧道和一艘快艇。</v>
      </c>
    </row>
    <row r="33793">
      <c r="A33793" s="4" t="s">
        <v>42514</v>
      </c>
      <c r="B33793" s="4" t="s">
        <v>42523</v>
      </c>
      <c r="C33793" s="5" t="str">
        <f>IFERROR(__xludf.DUMMYFUNCTION("GOOGLETRANSLATE(B33793,""en"",""zh-CN"")"),"我们仍然看到the子的镜头。")</f>
        <v>我们仍然看到the子的镜头。</v>
      </c>
    </row>
    <row r="33794">
      <c r="A33794" s="4" t="s">
        <v>42514</v>
      </c>
      <c r="B33794" s="4" t="s">
        <v>777</v>
      </c>
      <c r="C33794" s="5" t="str">
        <f>IFERROR(__xludf.DUMMYFUNCTION("GOOGLETRANSLATE(B33794,""en"",""zh-CN"")"),"我们看到结尾标题屏幕。")</f>
        <v>我们看到结尾标题屏幕。</v>
      </c>
    </row>
    <row r="33795">
      <c r="A33795" s="4" t="s">
        <v>42524</v>
      </c>
      <c r="B33795" s="4" t="s">
        <v>42525</v>
      </c>
      <c r="C33795" s="5" t="str">
        <f>IFERROR(__xludf.DUMMYFUNCTION("GOOGLETRANSLATE(B33795,""en"",""zh-CN"")"),"看到一个人将木板推到地板上，将地毯推下。")</f>
        <v>看到一个人将木板推到地板上，将地毯推下。</v>
      </c>
    </row>
    <row r="33796">
      <c r="A33796" s="4" t="s">
        <v>42524</v>
      </c>
      <c r="B33796" s="4" t="s">
        <v>42526</v>
      </c>
      <c r="C33796" s="5" t="str">
        <f>IFERROR(__xludf.DUMMYFUNCTION("GOOGLETRANSLATE(B33796,""en"",""zh-CN"")"),"他继续在地毯上切下地毯，并用大梁向下推。")</f>
        <v>他继续在地毯上切下地毯，并用大梁向下推。</v>
      </c>
    </row>
    <row r="33797">
      <c r="A33797" s="4" t="s">
        <v>42527</v>
      </c>
      <c r="B33797" s="4" t="s">
        <v>42528</v>
      </c>
      <c r="C33797" s="5" t="str">
        <f>IFERROR(__xludf.DUMMYFUNCTION("GOOGLETRANSLATE(B33797,""en"",""zh-CN"")"),"一枚戒指中的公牛开始追逐两个男人。")</f>
        <v>一枚戒指中的公牛开始追逐两个男人。</v>
      </c>
    </row>
    <row r="33798">
      <c r="A33798" s="4" t="s">
        <v>42527</v>
      </c>
      <c r="B33798" s="4" t="s">
        <v>42529</v>
      </c>
      <c r="C33798" s="5" t="str">
        <f>IFERROR(__xludf.DUMMYFUNCTION("GOOGLETRANSLATE(B33798,""en"",""zh-CN"")"),"其他几个人跑到戒指上，公牛抓住他的角和尾巴时会翻转。")</f>
        <v>其他几个人跑到戒指上，公牛抓住他的角和尾巴时会翻转。</v>
      </c>
    </row>
    <row r="33799">
      <c r="A33799" s="4" t="s">
        <v>42527</v>
      </c>
      <c r="B33799" s="4" t="s">
        <v>42530</v>
      </c>
      <c r="C33799" s="5" t="str">
        <f>IFERROR(__xludf.DUMMYFUNCTION("GOOGLETRANSLATE(B33799,""en"",""zh-CN"")"),"他们打开大门，但在向公牛冲锋时未能将公牛重新放在里面。")</f>
        <v>他们打开大门，但在向公牛冲锋时未能将公牛重新放在里面。</v>
      </c>
    </row>
    <row r="33800">
      <c r="A33800" s="4" t="s">
        <v>42531</v>
      </c>
      <c r="B33800" s="4" t="s">
        <v>42532</v>
      </c>
      <c r="C33800" s="5" t="str">
        <f>IFERROR(__xludf.DUMMYFUNCTION("GOOGLETRANSLATE(B33800,""en"",""zh-CN"")"),"一个人展示并解释了柠檬挤压器，并显示了柠檬的碎片。")</f>
        <v>一个人展示并解释了柠檬挤压器，并显示了柠檬的碎片。</v>
      </c>
    </row>
    <row r="33801">
      <c r="A33801" s="4" t="s">
        <v>42531</v>
      </c>
      <c r="B33801" s="4" t="s">
        <v>42533</v>
      </c>
      <c r="C33801" s="5" t="str">
        <f>IFERROR(__xludf.DUMMYFUNCTION("GOOGLETRANSLATE(B33801,""en"",""zh-CN"")"),"然后，这个人指着桌子上的两个水罐。")</f>
        <v>然后，这个人指着桌子上的两个水罐。</v>
      </c>
    </row>
    <row r="33802">
      <c r="A33802" s="4" t="s">
        <v>42531</v>
      </c>
      <c r="B33802" s="6" t="s">
        <v>42534</v>
      </c>
      <c r="C33802" s="5" t="str">
        <f>IFERROR(__xludf.DUMMYFUNCTION("GOOGLETRANSLATE(B33802,""en"",""zh-CN"")"),"接下来，该人将冰放入杯子里，然后用柠檬挤压器挤压柠檬，加入水罐中的糖浆和水。")</f>
        <v>接下来，该人将冰放入杯子里，然后用柠檬挤压器挤压柠檬，加入水罐中的糖浆和水。</v>
      </c>
    </row>
    <row r="33803">
      <c r="A33803" s="4" t="s">
        <v>42531</v>
      </c>
      <c r="B33803" s="4" t="s">
        <v>42535</v>
      </c>
      <c r="C33803" s="5" t="str">
        <f>IFERROR(__xludf.DUMMYFUNCTION("GOOGLETRANSLATE(B33803,""en"",""zh-CN"")"),"然后，该人在杯子上盖上盖子并摇晃混合物。")</f>
        <v>然后，该人在杯子上盖上盖子并摇晃混合物。</v>
      </c>
    </row>
    <row r="33804">
      <c r="A33804" s="4" t="s">
        <v>42536</v>
      </c>
      <c r="B33804" s="4" t="s">
        <v>42537</v>
      </c>
      <c r="C33804" s="5" t="str">
        <f>IFERROR(__xludf.DUMMYFUNCTION("GOOGLETRANSLATE(B33804,""en"",""zh-CN"")"),"一个女人正在锻炼一台椭圆机。")</f>
        <v>一个女人正在锻炼一台椭圆机。</v>
      </c>
    </row>
    <row r="33805">
      <c r="A33805" s="4" t="s">
        <v>42536</v>
      </c>
      <c r="B33805" s="4" t="s">
        <v>37573</v>
      </c>
      <c r="C33805" s="5" t="str">
        <f>IFERROR(__xludf.DUMMYFUNCTION("GOOGLETRANSLATE(B33805,""en"",""zh-CN"")"),"一个人正在椭圆机上锻炼。")</f>
        <v>一个人正在椭圆机上锻炼。</v>
      </c>
    </row>
    <row r="33806">
      <c r="A33806" s="4" t="s">
        <v>42536</v>
      </c>
      <c r="B33806" s="4" t="s">
        <v>42538</v>
      </c>
      <c r="C33806" s="5" t="str">
        <f>IFERROR(__xludf.DUMMYFUNCTION("GOOGLETRANSLATE(B33806,""en"",""zh-CN"")"),"一个人将手机插入机器。")</f>
        <v>一个人将手机插入机器。</v>
      </c>
    </row>
    <row r="33807">
      <c r="A33807" s="4" t="s">
        <v>42539</v>
      </c>
      <c r="B33807" s="6" t="s">
        <v>42540</v>
      </c>
      <c r="C33807" s="5" t="str">
        <f>IFERROR(__xludf.DUMMYFUNCTION("GOOGLETRANSLATE(B33807,""en"",""zh-CN"")"),"带有建筑物和摩天大楼的城市在后面，一个拿着蛋糕的女人在走路，并写了如何包裹礼物。")</f>
        <v>带有建筑物和摩天大楼的城市在后面，一个拿着蛋糕的女人在走路，并写了如何包裹礼物。</v>
      </c>
    </row>
    <row r="33808">
      <c r="A33808" s="4" t="s">
        <v>42539</v>
      </c>
      <c r="B33808" s="6" t="s">
        <v>42541</v>
      </c>
      <c r="C33808" s="5" t="str">
        <f>IFERROR(__xludf.DUMMYFUNCTION("GOOGLETRANSLATE(B33808,""en"",""zh-CN"")"),"Wmoan坐在桌子上，上面有一个盒子和一个礼品包裹，它展示了如何包裹礼物并谈论它。")</f>
        <v>Wmoan坐在桌子上，上面有一个盒子和一个礼品包裹，它展示了如何包裹礼物并谈论它。</v>
      </c>
    </row>
    <row r="33809">
      <c r="A33809" s="4" t="s">
        <v>42539</v>
      </c>
      <c r="B33809" s="6" t="s">
        <v>42542</v>
      </c>
      <c r="C33809" s="5" t="str">
        <f>IFERROR(__xludf.DUMMYFUNCTION("GOOGLETRANSLATE(B33809,""en"",""zh-CN"")"),"装修胶带用于制作礼物的缎带，并展示如何用衣服制作缎带。")</f>
        <v>装修胶带用于制作礼物的缎带，并展示如何用衣服制作缎带。</v>
      </c>
    </row>
    <row r="33810">
      <c r="A33810" s="4" t="s">
        <v>42543</v>
      </c>
      <c r="B33810" s="4" t="s">
        <v>42544</v>
      </c>
      <c r="C33810" s="5" t="str">
        <f>IFERROR(__xludf.DUMMYFUNCTION("GOOGLETRANSLATE(B33810,""en"",""zh-CN"")"),"一个年轻的女孩扮演一名手风琴。")</f>
        <v>一个年轻的女孩扮演一名手风琴。</v>
      </c>
    </row>
    <row r="33811">
      <c r="A33811" s="4" t="s">
        <v>42543</v>
      </c>
      <c r="B33811" s="4" t="s">
        <v>42545</v>
      </c>
      <c r="C33811" s="5" t="str">
        <f>IFERROR(__xludf.DUMMYFUNCTION("GOOGLETRANSLATE(B33811,""en"",""zh-CN"")"),"那个女孩向右边转过头。")</f>
        <v>那个女孩向右边转过头。</v>
      </c>
    </row>
    <row r="33812">
      <c r="A33812" s="4" t="s">
        <v>42543</v>
      </c>
      <c r="B33812" s="4" t="s">
        <v>42546</v>
      </c>
      <c r="C33812" s="5" t="str">
        <f>IFERROR(__xludf.DUMMYFUNCTION("GOOGLETRANSLATE(B33812,""en"",""zh-CN"")"),"女孩的玩耍速度很慢。")</f>
        <v>女孩的玩耍速度很慢。</v>
      </c>
    </row>
    <row r="33813">
      <c r="A33813" s="4" t="s">
        <v>42547</v>
      </c>
      <c r="B33813" s="6" t="s">
        <v>42548</v>
      </c>
      <c r="C33813" s="5" t="str">
        <f>IFERROR(__xludf.DUMMYFUNCTION("GOOGLETRANSLATE(B33813,""en"",""zh-CN"")"),"看到一个女人在与镜头说话时卷曲头发，并在法官面前通往她的讲话。")</f>
        <v>看到一个女人在与镜头说话时卷曲头发，并在法官面前通往她的讲话。</v>
      </c>
    </row>
    <row r="33814">
      <c r="A33814" s="4" t="s">
        <v>42547</v>
      </c>
      <c r="B33814" s="4" t="s">
        <v>42549</v>
      </c>
      <c r="C33814" s="5" t="str">
        <f>IFERROR(__xludf.DUMMYFUNCTION("GOOGLETRANSLATE(B33814,""en"",""zh-CN"")"),"法官批评她，她快乐地逃跑了，跳出了大楼。")</f>
        <v>法官批评她，她快乐地逃跑了，跳出了大楼。</v>
      </c>
    </row>
    <row r="33815">
      <c r="A33815" s="4" t="s">
        <v>42550</v>
      </c>
      <c r="B33815" s="4" t="s">
        <v>42551</v>
      </c>
      <c r="C33815" s="5" t="str">
        <f>IFERROR(__xludf.DUMMYFUNCTION("GOOGLETRANSLATE(B33815,""en"",""zh-CN"")"),"有两个男人坐在鞋子上。")</f>
        <v>有两个男人坐在鞋子上。</v>
      </c>
    </row>
    <row r="33816">
      <c r="A33816" s="4" t="s">
        <v>42550</v>
      </c>
      <c r="B33816" s="4" t="s">
        <v>42552</v>
      </c>
      <c r="C33816" s="5" t="str">
        <f>IFERROR(__xludf.DUMMYFUNCTION("GOOGLETRANSLATE(B33816,""en"",""zh-CN"")"),"一个男人捡起鞋子，把它放在脚上。")</f>
        <v>一个男人捡起鞋子，把它放在脚上。</v>
      </c>
    </row>
    <row r="33817">
      <c r="A33817" s="4" t="s">
        <v>42550</v>
      </c>
      <c r="B33817" s="4" t="s">
        <v>42553</v>
      </c>
      <c r="C33817" s="5" t="str">
        <f>IFERROR(__xludf.DUMMYFUNCTION("GOOGLETRANSLATE(B33817,""en"",""zh-CN"")"),"然后，他使用另一鞋，然后将鞋带绑起来。")</f>
        <v>然后，他使用另一鞋，然后将鞋带绑起来。</v>
      </c>
    </row>
    <row r="33818">
      <c r="A33818" s="4" t="s">
        <v>42554</v>
      </c>
      <c r="B33818" s="4" t="s">
        <v>42555</v>
      </c>
      <c r="C33818" s="5" t="str">
        <f>IFERROR(__xludf.DUMMYFUNCTION("GOOGLETRANSLATE(B33818,""en"",""zh-CN"")"),"男人咀嚼口香糖坐在成绩上。")</f>
        <v>男人咀嚼口香糖坐在成绩上。</v>
      </c>
    </row>
    <row r="33819">
      <c r="A33819" s="4" t="s">
        <v>42554</v>
      </c>
      <c r="B33819" s="4" t="s">
        <v>42556</v>
      </c>
      <c r="C33819" s="5" t="str">
        <f>IFERROR(__xludf.DUMMYFUNCTION("GOOGLETRANSLATE(B33819,""en"",""zh-CN"")"),"人站在赛马场上，拿着大杆，跑步进行标枪。")</f>
        <v>人站在赛马场上，拿着大杆，跑步进行标枪。</v>
      </c>
    </row>
    <row r="33820">
      <c r="A33820" s="4" t="s">
        <v>42554</v>
      </c>
      <c r="B33820" s="4" t="s">
        <v>42557</v>
      </c>
      <c r="C33820" s="5" t="str">
        <f>IFERROR(__xludf.DUMMYFUNCTION("GOOGLETRANSLATE(B33820,""en"",""zh-CN"")"),"人们正在下楼。")</f>
        <v>人们正在下楼。</v>
      </c>
    </row>
    <row r="33821">
      <c r="A33821" s="4" t="s">
        <v>42558</v>
      </c>
      <c r="B33821" s="4" t="s">
        <v>42559</v>
      </c>
      <c r="C33821" s="5" t="str">
        <f>IFERROR(__xludf.DUMMYFUNCTION("GOOGLETRANSLATE(B33821,""en"",""zh-CN"")"),"一个人在剃腿。")</f>
        <v>一个人在剃腿。</v>
      </c>
    </row>
    <row r="33822">
      <c r="A33822" s="4" t="s">
        <v>42558</v>
      </c>
      <c r="B33822" s="4" t="s">
        <v>42560</v>
      </c>
      <c r="C33822" s="5" t="str">
        <f>IFERROR(__xludf.DUMMYFUNCTION("GOOGLETRANSLATE(B33822,""en"",""zh-CN"")"),"剃光的人的抛光手势。")</f>
        <v>剃光的人的抛光手势。</v>
      </c>
    </row>
    <row r="33823">
      <c r="A33823" s="4" t="s">
        <v>42558</v>
      </c>
      <c r="B33823" s="4" t="s">
        <v>42561</v>
      </c>
      <c r="C33823" s="5" t="str">
        <f>IFERROR(__xludf.DUMMYFUNCTION("GOOGLETRANSLATE(B33823,""en"",""zh-CN"")"),"这个人低头看着他们的腿。")</f>
        <v>这个人低头看着他们的腿。</v>
      </c>
    </row>
    <row r="33824">
      <c r="A33824" s="4" t="s">
        <v>42562</v>
      </c>
      <c r="B33824" s="6" t="s">
        <v>42563</v>
      </c>
      <c r="C33824" s="5" t="str">
        <f>IFERROR(__xludf.DUMMYFUNCTION("GOOGLETRANSLATE(B33824,""en"",""zh-CN"")"),"看到一个女人在大量重量的前面弯曲，并开始将其抬到肩膀上。")</f>
        <v>看到一个女人在大量重量的前面弯曲，并开始将其抬到肩膀上。</v>
      </c>
    </row>
    <row r="33825">
      <c r="A33825" s="4" t="s">
        <v>42562</v>
      </c>
      <c r="B33825" s="4" t="s">
        <v>42564</v>
      </c>
      <c r="C33825" s="5" t="str">
        <f>IFERROR(__xludf.DUMMYFUNCTION("GOOGLETRANSLATE(B33825,""en"",""zh-CN"")"),"然后，她弯下腰，将重物放回脚上。")</f>
        <v>然后，她弯下腰，将重物放回脚上。</v>
      </c>
    </row>
    <row r="33826">
      <c r="A33826" s="4" t="s">
        <v>42565</v>
      </c>
      <c r="B33826" s="4" t="s">
        <v>42566</v>
      </c>
      <c r="C33826" s="5" t="str">
        <f>IFERROR(__xludf.DUMMYFUNCTION("GOOGLETRANSLATE(B33826,""en"",""zh-CN"")"),"几张图片显示了海滩和风景以及在海滩上行走的人。")</f>
        <v>几张图片显示了海滩和风景以及在海滩上行走的人。</v>
      </c>
    </row>
    <row r="33827">
      <c r="A33827" s="4" t="s">
        <v>42565</v>
      </c>
      <c r="B33827" s="4" t="s">
        <v>42567</v>
      </c>
      <c r="C33827" s="5" t="str">
        <f>IFERROR(__xludf.DUMMYFUNCTION("GOOGLETRANSLATE(B33827,""en"",""zh-CN"")"),"然后显示了几个剪辑，这些剪辑沿着水骑着水冲浪。")</f>
        <v>然后显示了几个剪辑，这些剪辑沿着水骑着水冲浪。</v>
      </c>
    </row>
    <row r="33828">
      <c r="A33828" s="4" t="s">
        <v>42565</v>
      </c>
      <c r="B33828" s="4" t="s">
        <v>42568</v>
      </c>
      <c r="C33828" s="5" t="str">
        <f>IFERROR(__xludf.DUMMYFUNCTION("GOOGLETRANSLATE(B33828,""en"",""zh-CN"")"),"显示了人们在水中冲浪的更多镜头。")</f>
        <v>显示了人们在水中冲浪的更多镜头。</v>
      </c>
    </row>
    <row r="33829">
      <c r="A33829" s="4" t="s">
        <v>42569</v>
      </c>
      <c r="B33829" s="4" t="s">
        <v>42570</v>
      </c>
      <c r="C33829" s="5" t="str">
        <f>IFERROR(__xludf.DUMMYFUNCTION("GOOGLETRANSLATE(B33829,""en"",""zh-CN"")"),"看到一个男人与外面的女人说话，这会导致岩石剪刀游戏。")</f>
        <v>看到一个男人与外面的女人说话，这会导致岩石剪刀游戏。</v>
      </c>
    </row>
    <row r="33830">
      <c r="A33830" s="4" t="s">
        <v>42569</v>
      </c>
      <c r="B33830" s="6" t="s">
        <v>42571</v>
      </c>
      <c r="C33830" s="5" t="str">
        <f>IFERROR(__xludf.DUMMYFUNCTION("GOOGLETRANSLATE(B33830,""en"",""zh-CN"")"),"女孩们拍了男人，他继续在各个地方与其他几个女孩一起玩游戏。")</f>
        <v>女孩们拍了男人，他继续在各个地方与其他几个女孩一起玩游戏。</v>
      </c>
    </row>
    <row r="33831">
      <c r="A33831" s="4" t="s">
        <v>42569</v>
      </c>
      <c r="B33831" s="4" t="s">
        <v>42572</v>
      </c>
      <c r="C33831" s="5" t="str">
        <f>IFERROR(__xludf.DUMMYFUNCTION("GOOGLETRANSLATE(B33831,""en"",""zh-CN"")"),"当男人赢得女孩时，女孩在脸颊上亲吻他。")</f>
        <v>当男人赢得女孩时，女孩在脸颊上亲吻他。</v>
      </c>
    </row>
    <row r="33832">
      <c r="A33832" s="4" t="s">
        <v>42573</v>
      </c>
      <c r="B33832" s="4" t="s">
        <v>42574</v>
      </c>
      <c r="C33832" s="5" t="str">
        <f>IFERROR(__xludf.DUMMYFUNCTION("GOOGLETRANSLATE(B33832,""en"",""zh-CN"")"),"四个人在一个游泳池中来回击球。")</f>
        <v>四个人在一个游泳池中来回击球。</v>
      </c>
    </row>
    <row r="33833">
      <c r="A33833" s="4" t="s">
        <v>42573</v>
      </c>
      <c r="B33833" s="6" t="s">
        <v>42575</v>
      </c>
      <c r="C33833" s="5" t="str">
        <f>IFERROR(__xludf.DUMMYFUNCTION("GOOGLETRANSLATE(B33833,""en"",""zh-CN"")"),"当他们玩耍时，有人走过相机，然后一组男孩在输给球时被放大。")</f>
        <v>当他们玩耍时，有人走过相机，然后一组男孩在输给球时被放大。</v>
      </c>
    </row>
    <row r="33834">
      <c r="A33834" s="4" t="s">
        <v>42573</v>
      </c>
      <c r="B33834" s="4" t="s">
        <v>42576</v>
      </c>
      <c r="C33834" s="5" t="str">
        <f>IFERROR(__xludf.DUMMYFUNCTION("GOOGLETRANSLATE(B33834,""en"",""zh-CN"")"),"球两边都熄灭，他们被迫走出去拿到它。")</f>
        <v>球两边都熄灭，他们被迫走出去拿到它。</v>
      </c>
    </row>
    <row r="33835">
      <c r="A33835" s="4" t="s">
        <v>42573</v>
      </c>
      <c r="B33835" s="4" t="s">
        <v>42577</v>
      </c>
      <c r="C33835" s="5" t="str">
        <f>IFERROR(__xludf.DUMMYFUNCTION("GOOGLETRANSLATE(B33835,""en"",""zh-CN"")"),"他们将大的沙滩球恢复原状，并继续将其击中彼此。")</f>
        <v>他们将大的沙滩球恢复原状，并继续将其击中彼此。</v>
      </c>
    </row>
    <row r="33836">
      <c r="A33836" s="4" t="s">
        <v>42578</v>
      </c>
      <c r="B33836" s="4" t="s">
        <v>42579</v>
      </c>
      <c r="C33836" s="5" t="str">
        <f>IFERROR(__xludf.DUMMYFUNCTION("GOOGLETRANSLATE(B33836,""en"",""zh-CN"")"),"我们看到一个人在海里有风筝。")</f>
        <v>我们看到一个人在海里有风筝。</v>
      </c>
    </row>
    <row r="33837">
      <c r="A33837" s="4" t="s">
        <v>42578</v>
      </c>
      <c r="B33837" s="4" t="s">
        <v>42580</v>
      </c>
      <c r="C33837" s="5" t="str">
        <f>IFERROR(__xludf.DUMMYFUNCTION("GOOGLETRANSLATE(B33837,""en"",""zh-CN"")"),"这个人经过我们并转身。")</f>
        <v>这个人经过我们并转身。</v>
      </c>
    </row>
    <row r="33838">
      <c r="A33838" s="4" t="s">
        <v>42578</v>
      </c>
      <c r="B33838" s="4" t="s">
        <v>42581</v>
      </c>
      <c r="C33838" s="5" t="str">
        <f>IFERROR(__xludf.DUMMYFUNCTION("GOOGLETRANSLATE(B33838,""en"",""zh-CN"")"),"该人停下来，然后再次起飞。")</f>
        <v>该人停下来，然后再次起飞。</v>
      </c>
    </row>
    <row r="33839">
      <c r="A33839" s="4" t="s">
        <v>42582</v>
      </c>
      <c r="B33839" s="6" t="s">
        <v>42583</v>
      </c>
      <c r="C33839" s="5" t="str">
        <f>IFERROR(__xludf.DUMMYFUNCTION("GOOGLETRANSLATE(B33839,""en"",""zh-CN"")"),"五个不同的人在空中扔了一张免费赠品，一只狗跳了起来，在他的嘴里抓住了免费赠品，然后狗向下一个人移动，并做着与许多人从远处看的同样的事情。")</f>
        <v>五个不同的人在空中扔了一张免费赠品，一只狗跳了起来，在他的嘴里抓住了免费赠品，然后狗向下一个人移动，并做着与许多人从远处看的同样的事情。</v>
      </c>
    </row>
    <row r="33840">
      <c r="A33840" s="4" t="s">
        <v>42582</v>
      </c>
      <c r="B33840" s="4" t="s">
        <v>42584</v>
      </c>
      <c r="C33840" s="5" t="str">
        <f>IFERROR(__xludf.DUMMYFUNCTION("GOOGLETRANSLATE(B33840,""en"",""zh-CN"")"),"现在有两只狗在做技巧时跳动空气捕获免费赠品。")</f>
        <v>现在有两只狗在做技巧时跳动空气捕获免费赠品。</v>
      </c>
    </row>
    <row r="33841">
      <c r="A33841" s="4" t="s">
        <v>42582</v>
      </c>
      <c r="B33841" s="6" t="s">
        <v>42585</v>
      </c>
      <c r="C33841" s="5" t="str">
        <f>IFERROR(__xludf.DUMMYFUNCTION("GOOGLETRANSLATE(B33841,""en"",""zh-CN"")"),"现在有一位女士和一只狗在做技巧，而狗在女士扔到空中时抓住了免费赠品。")</f>
        <v>现在有一位女士和一只狗在做技巧，而狗在女士扔到空中时抓住了免费赠品。</v>
      </c>
    </row>
    <row r="33842">
      <c r="A33842" s="4" t="s">
        <v>42586</v>
      </c>
      <c r="B33842" s="4" t="s">
        <v>42587</v>
      </c>
      <c r="C33842" s="5" t="str">
        <f>IFERROR(__xludf.DUMMYFUNCTION("GOOGLETRANSLATE(B33842,""en"",""zh-CN"")"),"一个人割草在树上。")</f>
        <v>一个人割草在树上。</v>
      </c>
    </row>
    <row r="33843">
      <c r="A33843" s="4" t="s">
        <v>42586</v>
      </c>
      <c r="B33843" s="4" t="s">
        <v>42588</v>
      </c>
      <c r="C33843" s="5" t="str">
        <f>IFERROR(__xludf.DUMMYFUNCTION("GOOGLETRANSLATE(B33843,""en"",""zh-CN"")"),"这个男人被卡住了，割草机关闭了，那个男人不得不拉动点火器。")</f>
        <v>这个男人被卡住了，割草机关闭了，那个男人不得不拉动点火器。</v>
      </c>
    </row>
    <row r="33844">
      <c r="A33844" s="4" t="s">
        <v>42586</v>
      </c>
      <c r="B33844" s="4" t="s">
        <v>42589</v>
      </c>
      <c r="C33844" s="5" t="str">
        <f>IFERROR(__xludf.DUMMYFUNCTION("GOOGLETRANSLATE(B33844,""en"",""zh-CN"")"),"然后，那个男人继续割草在树周围。")</f>
        <v>然后，那个男人继续割草在树周围。</v>
      </c>
    </row>
    <row r="33845">
      <c r="A33845" s="4" t="s">
        <v>42590</v>
      </c>
      <c r="B33845" s="4" t="s">
        <v>42591</v>
      </c>
      <c r="C33845" s="5" t="str">
        <f>IFERROR(__xludf.DUMMYFUNCTION("GOOGLETRANSLATE(B33845,""en"",""zh-CN"")"),"一个男人坐在大门的公牛上。")</f>
        <v>一个男人坐在大门的公牛上。</v>
      </c>
    </row>
    <row r="33846">
      <c r="A33846" s="4" t="s">
        <v>42590</v>
      </c>
      <c r="B33846" s="4" t="s">
        <v>42592</v>
      </c>
      <c r="C33846" s="5" t="str">
        <f>IFERROR(__xludf.DUMMYFUNCTION("GOOGLETRANSLATE(B33846,""en"",""zh-CN"")"),"公牛被释放，一个男人追赶它。")</f>
        <v>公牛被释放，一个男人追赶它。</v>
      </c>
    </row>
    <row r="33847">
      <c r="A33847" s="4" t="s">
        <v>42590</v>
      </c>
      <c r="B33847" s="4" t="s">
        <v>42593</v>
      </c>
      <c r="C33847" s="5" t="str">
        <f>IFERROR(__xludf.DUMMYFUNCTION("GOOGLETRANSLATE(B33847,""en"",""zh-CN"")"),"该男子跳下马，将公牛绑起来。")</f>
        <v>该男子跳下马，将公牛绑起来。</v>
      </c>
    </row>
    <row r="33848">
      <c r="A33848" s="4" t="s">
        <v>42590</v>
      </c>
      <c r="B33848" s="4" t="s">
        <v>42594</v>
      </c>
      <c r="C33848" s="5" t="str">
        <f>IFERROR(__xludf.DUMMYFUNCTION("GOOGLETRANSLATE(B33848,""en"",""zh-CN"")"),"该男子站起来，回到他的马上。")</f>
        <v>该男子站起来，回到他的马上。</v>
      </c>
    </row>
    <row r="33849">
      <c r="A33849" s="4" t="s">
        <v>42595</v>
      </c>
      <c r="B33849" s="4" t="s">
        <v>42596</v>
      </c>
      <c r="C33849" s="5" t="str">
        <f>IFERROR(__xludf.DUMMYFUNCTION("GOOGLETRANSLATE(B33849,""en"",""zh-CN"")"),"当他的父亲拿着绳子附着在木筏上时，一个男孩正在漂浮在木筏上。")</f>
        <v>当他的父亲拿着绳子附着在木筏上时，一个男孩正在漂浮在木筏上。</v>
      </c>
    </row>
    <row r="33850">
      <c r="A33850" s="4" t="s">
        <v>42595</v>
      </c>
      <c r="B33850" s="4" t="s">
        <v>42597</v>
      </c>
      <c r="C33850" s="5" t="str">
        <f>IFERROR(__xludf.DUMMYFUNCTION("GOOGLETRANSLATE(B33850,""en"",""zh-CN"")"),"船慢慢漂浮着，当孩子站在木筏上时拉了。")</f>
        <v>船慢慢漂浮着，当孩子站在木筏上时拉了。</v>
      </c>
    </row>
    <row r="33851">
      <c r="A33851" s="4" t="s">
        <v>42595</v>
      </c>
      <c r="B33851" s="4" t="s">
        <v>42598</v>
      </c>
      <c r="C33851" s="5" t="str">
        <f>IFERROR(__xludf.DUMMYFUNCTION("GOOGLETRANSLATE(B33851,""en"",""zh-CN"")"),"然后，他被拉向船上的两个人。")</f>
        <v>然后，他被拉向船上的两个人。</v>
      </c>
    </row>
    <row r="33852">
      <c r="A33852" s="4" t="s">
        <v>42599</v>
      </c>
      <c r="B33852" s="4" t="s">
        <v>42600</v>
      </c>
      <c r="C33852" s="5" t="str">
        <f>IFERROR(__xludf.DUMMYFUNCTION("GOOGLETRANSLATE(B33852,""en"",""zh-CN"")"),"一个男孩和另一个男孩站在树林里。")</f>
        <v>一个男孩和另一个男孩站在树林里。</v>
      </c>
    </row>
    <row r="33853">
      <c r="A33853" s="4" t="s">
        <v>42599</v>
      </c>
      <c r="B33853" s="4" t="s">
        <v>42601</v>
      </c>
      <c r="C33853" s="5" t="str">
        <f>IFERROR(__xludf.DUMMYFUNCTION("GOOGLETRANSLATE(B33853,""en"",""zh-CN"")"),"他点燃火，然后将其扔到一堆。")</f>
        <v>他点燃火，然后将其扔到一堆。</v>
      </c>
    </row>
    <row r="33854">
      <c r="A33854" s="4" t="s">
        <v>42599</v>
      </c>
      <c r="B33854" s="4" t="s">
        <v>42602</v>
      </c>
      <c r="C33854" s="5" t="str">
        <f>IFERROR(__xludf.DUMMYFUNCTION("GOOGLETRANSLATE(B33854,""en"",""zh-CN"")"),"两个男孩在燃烧时凝视着堆。")</f>
        <v>两个男孩在燃烧时凝视着堆。</v>
      </c>
    </row>
    <row r="33855">
      <c r="A33855" s="4" t="s">
        <v>42603</v>
      </c>
      <c r="B33855" s="4" t="s">
        <v>42604</v>
      </c>
      <c r="C33855" s="5" t="str">
        <f>IFERROR(__xludf.DUMMYFUNCTION("GOOGLETRANSLATE(B33855,""en"",""zh-CN"")"),"蔬菜在桌子上放在碗里。")</f>
        <v>蔬菜在桌子上放在碗里。</v>
      </c>
    </row>
    <row r="33856">
      <c r="A33856" s="4" t="s">
        <v>42603</v>
      </c>
      <c r="B33856" s="4" t="s">
        <v>42605</v>
      </c>
      <c r="C33856" s="5" t="str">
        <f>IFERROR(__xludf.DUMMYFUNCTION("GOOGLETRANSLATE(B33856,""en"",""zh-CN"")"),"成分与油，胡椒粉和蛋黄酱混合在碗中。")</f>
        <v>成分与油，胡椒粉和蛋黄酱混合在碗中。</v>
      </c>
    </row>
    <row r="33857">
      <c r="A33857" s="4" t="s">
        <v>42606</v>
      </c>
      <c r="B33857" s="6" t="s">
        <v>42607</v>
      </c>
      <c r="C33857" s="5" t="str">
        <f>IFERROR(__xludf.DUMMYFUNCTION("GOOGLETRANSLATE(B33857,""en"",""zh-CN"")"),"一个男人在室外区域进行锤击，笼罩在笼子里，周围有很多人看着。")</f>
        <v>一个男人在室外区域进行锤击，笼罩在笼子里，周围有很多人看着。</v>
      </c>
    </row>
    <row r="33858">
      <c r="A33858" s="4" t="s">
        <v>42606</v>
      </c>
      <c r="B33858" s="6" t="s">
        <v>42608</v>
      </c>
      <c r="C33858" s="5" t="str">
        <f>IFERROR(__xludf.DUMMYFUNCTION("GOOGLETRANSLATE(B33858,""en"",""zh-CN"")"),"穿着红色T恤的男人接近一个玩家在封闭的金属围栏区域内的地面上圈出的。")</f>
        <v>穿着红色T恤的男人接近一个玩家在封闭的金属围栏区域内的地面上圈出的。</v>
      </c>
    </row>
    <row r="33859">
      <c r="A33859" s="4" t="s">
        <v>42606</v>
      </c>
      <c r="B33859" s="4" t="s">
        <v>42609</v>
      </c>
      <c r="C33859" s="5" t="str">
        <f>IFERROR(__xludf.DUMMYFUNCTION("GOOGLETRANSLATE(B33859,""en"",""zh-CN"")"),"该男子旋转一个球，附着在绳索上，周围和周围。")</f>
        <v>该男子旋转一个球，附着在绳索上，周围和周围。</v>
      </c>
    </row>
    <row r="33860">
      <c r="A33860" s="4" t="s">
        <v>42606</v>
      </c>
      <c r="B33860" s="4" t="s">
        <v>42610</v>
      </c>
      <c r="C33860" s="5" t="str">
        <f>IFERROR(__xludf.DUMMYFUNCTION("GOOGLETRANSLATE(B33860,""en"",""zh-CN"")"),"该男子让球走去看着它落在屏幕上。")</f>
        <v>该男子让球走去看着它落在屏幕上。</v>
      </c>
    </row>
    <row r="33861">
      <c r="A33861" s="4" t="s">
        <v>42611</v>
      </c>
      <c r="B33861" s="6" t="s">
        <v>42612</v>
      </c>
      <c r="C33861" s="5" t="str">
        <f>IFERROR(__xludf.DUMMYFUNCTION("GOOGLETRANSLATE(B33861,""en"",""zh-CN"")"),"一个年轻女子正在田径田径上练习，冲刺和跳高在高的酒吧上，落在她的脚上，而三名男子在后台看着她的练习。")</f>
        <v>一个年轻女子正在田径田径上练习，冲刺和跳高在高的酒吧上，落在她的脚上，而三名男子在后台看着她的练习。</v>
      </c>
    </row>
    <row r="33862">
      <c r="A33862" s="4" t="s">
        <v>42611</v>
      </c>
      <c r="B33862" s="4" t="s">
        <v>42613</v>
      </c>
      <c r="C33862" s="5" t="str">
        <f>IFERROR(__xludf.DUMMYFUNCTION("GOOGLETRANSLATE(B33862,""en"",""zh-CN"")"),"女人再次跳跃，这次冲刺速度更快。")</f>
        <v>女人再次跳跃，这次冲刺速度更快。</v>
      </c>
    </row>
    <row r="33863">
      <c r="A33863" s="4" t="s">
        <v>42611</v>
      </c>
      <c r="B33863" s="4" t="s">
        <v>42614</v>
      </c>
      <c r="C33863" s="5" t="str">
        <f>IFERROR(__xludf.DUMMYFUNCTION("GOOGLETRANSLATE(B33863,""en"",""zh-CN"")"),"女人再次跳跃。")</f>
        <v>女人再次跳跃。</v>
      </c>
    </row>
    <row r="33864">
      <c r="A33864" s="4" t="s">
        <v>42611</v>
      </c>
      <c r="B33864" s="4" t="s">
        <v>42615</v>
      </c>
      <c r="C33864" s="5" t="str">
        <f>IFERROR(__xludf.DUMMYFUNCTION("GOOGLETRANSLATE(B33864,""en"",""zh-CN"")"),"背景中的另一个年轻女子正在慢跑。")</f>
        <v>背景中的另一个年轻女子正在慢跑。</v>
      </c>
    </row>
    <row r="33865">
      <c r="A33865" s="4" t="s">
        <v>42611</v>
      </c>
      <c r="B33865" s="4" t="s">
        <v>42616</v>
      </c>
      <c r="C33865" s="5" t="str">
        <f>IFERROR(__xludf.DUMMYFUNCTION("GOOGLETRANSLATE(B33865,""en"",""zh-CN"")"),"该名女子再次跑得更长地跳跃，并在她的初始跑步中增加了一个小的跳过/跳。")</f>
        <v>该名女子再次跑得更长地跳跃，并在她的初始跑步中增加了一个小的跳过/跳。</v>
      </c>
    </row>
    <row r="33866">
      <c r="A33866" s="4" t="s">
        <v>42611</v>
      </c>
      <c r="B33866" s="4" t="s">
        <v>42617</v>
      </c>
      <c r="C33866" s="5" t="str">
        <f>IFERROR(__xludf.DUMMYFUNCTION("GOOGLETRANSLATE(B33866,""en"",""zh-CN"")"),"一个背景中的男人在田野上慢跑，而另一个男人站着伸展腿。")</f>
        <v>一个背景中的男人在田野上慢跑，而另一个男人站着伸展腿。</v>
      </c>
    </row>
    <row r="33867">
      <c r="A33867" s="4" t="s">
        <v>42611</v>
      </c>
      <c r="B33867" s="4" t="s">
        <v>42618</v>
      </c>
      <c r="C33867" s="5" t="str">
        <f>IFERROR(__xludf.DUMMYFUNCTION("GOOGLETRANSLATE(B33867,""en"",""zh-CN"")"),"女人没有完美清理杠铃，它掉下了杆子。")</f>
        <v>女人没有完美清理杠铃，它掉下了杆子。</v>
      </c>
    </row>
    <row r="33868">
      <c r="A33868" s="4" t="s">
        <v>42611</v>
      </c>
      <c r="B33868" s="6" t="s">
        <v>42619</v>
      </c>
      <c r="C33868" s="5" t="str">
        <f>IFERROR(__xludf.DUMMYFUNCTION("GOOGLETRANSLATE(B33868,""en"",""zh-CN"")"),"该名女子再次跑得更长的跑步，更强大的跳动/跳跃开始她的跑步。")</f>
        <v>该名女子再次跑得更长的跑步，更强大的跳动/跳跃开始她的跑步。</v>
      </c>
    </row>
    <row r="33869">
      <c r="A33869" s="4" t="s">
        <v>42611</v>
      </c>
      <c r="B33869" s="4" t="s">
        <v>42620</v>
      </c>
      <c r="C33869" s="5" t="str">
        <f>IFERROR(__xludf.DUMMYFUNCTION("GOOGLETRANSLATE(B33869,""en"",""zh-CN"")"),"该女子长期以来再次跳跃，一开始有强大的跳跃。")</f>
        <v>该女子长期以来再次跳跃，一开始有强大的跳跃。</v>
      </c>
    </row>
    <row r="33870">
      <c r="A33870" s="4" t="s">
        <v>42621</v>
      </c>
      <c r="B33870" s="4" t="s">
        <v>42622</v>
      </c>
      <c r="C33870" s="5" t="str">
        <f>IFERROR(__xludf.DUMMYFUNCTION("GOOGLETRANSLATE(B33870,""en"",""zh-CN"")"),"几个人在室内网球场上。")</f>
        <v>几个人在室内网球场上。</v>
      </c>
    </row>
    <row r="33871">
      <c r="A33871" s="4" t="s">
        <v>42621</v>
      </c>
      <c r="B33871" s="4" t="s">
        <v>42623</v>
      </c>
      <c r="C33871" s="5" t="str">
        <f>IFERROR(__xludf.DUMMYFUNCTION("GOOGLETRANSLATE(B33871,""en"",""zh-CN"")"),"他们来回弹球，打网球比赛。")</f>
        <v>他们来回弹球，打网球比赛。</v>
      </c>
    </row>
    <row r="33872">
      <c r="A33872" s="4" t="s">
        <v>42621</v>
      </c>
      <c r="B33872" s="4" t="s">
        <v>42624</v>
      </c>
      <c r="C33872" s="5" t="str">
        <f>IFERROR(__xludf.DUMMYFUNCTION("GOOGLETRANSLATE(B33872,""en"",""zh-CN"")"),"他们继续玩，试图赢得比赛。")</f>
        <v>他们继续玩，试图赢得比赛。</v>
      </c>
    </row>
    <row r="33873">
      <c r="A33873" s="4" t="s">
        <v>42625</v>
      </c>
      <c r="B33873" s="4" t="s">
        <v>42626</v>
      </c>
      <c r="C33873" s="5" t="str">
        <f>IFERROR(__xludf.DUMMYFUNCTION("GOOGLETRANSLATE(B33873,""en"",""zh-CN"")"),"屏幕上充满了白色的气泡和单词，而一对手则弹钢琴。")</f>
        <v>屏幕上充满了白色的气泡和单词，而一对手则弹钢琴。</v>
      </c>
    </row>
    <row r="33874">
      <c r="A33874" s="4" t="s">
        <v>42625</v>
      </c>
      <c r="B33874" s="4" t="s">
        <v>42627</v>
      </c>
      <c r="C33874" s="5" t="str">
        <f>IFERROR(__xludf.DUMMYFUNCTION("GOOGLETRANSLATE(B33874,""en"",""zh-CN"")"),"气泡和单词消失了，只是手在键盘上移动。")</f>
        <v>气泡和单词消失了，只是手在键盘上移动。</v>
      </c>
    </row>
    <row r="33875">
      <c r="A33875" s="4" t="s">
        <v>42625</v>
      </c>
      <c r="B33875" s="4" t="s">
        <v>42628</v>
      </c>
      <c r="C33875" s="5" t="str">
        <f>IFERROR(__xludf.DUMMYFUNCTION("GOOGLETRANSLATE(B33875,""en"",""zh-CN"")"),"手消失了，只是键盘。")</f>
        <v>手消失了，只是键盘。</v>
      </c>
    </row>
    <row r="33876">
      <c r="A33876" s="4" t="s">
        <v>42625</v>
      </c>
      <c r="B33876" s="4" t="s">
        <v>34352</v>
      </c>
      <c r="C33876" s="5" t="str">
        <f>IFERROR(__xludf.DUMMYFUNCTION("GOOGLETRANSLATE(B33876,""en"",""zh-CN"")"),"屏幕淡入黑色。")</f>
        <v>屏幕淡入黑色。</v>
      </c>
    </row>
    <row r="33877">
      <c r="A33877" s="4" t="s">
        <v>42629</v>
      </c>
      <c r="B33877" s="4" t="s">
        <v>42630</v>
      </c>
      <c r="C33877" s="5" t="str">
        <f>IFERROR(__xludf.DUMMYFUNCTION("GOOGLETRANSLATE(B33877,""en"",""zh-CN"")"),"一个人出现在后墙上的几个目标面前。")</f>
        <v>一个人出现在后墙上的几个目标面前。</v>
      </c>
    </row>
    <row r="33878">
      <c r="A33878" s="4" t="s">
        <v>42629</v>
      </c>
      <c r="B33878" s="4" t="s">
        <v>42631</v>
      </c>
      <c r="C33878" s="5" t="str">
        <f>IFERROR(__xludf.DUMMYFUNCTION("GOOGLETRANSLATE(B33878,""en"",""zh-CN"")"),"他谈到了射箭的基础。")</f>
        <v>他谈到了射箭的基础。</v>
      </c>
    </row>
    <row r="33879">
      <c r="A33879" s="4" t="s">
        <v>42629</v>
      </c>
      <c r="B33879" s="4" t="s">
        <v>42632</v>
      </c>
      <c r="C33879" s="5" t="str">
        <f>IFERROR(__xludf.DUMMYFUNCTION("GOOGLETRANSLATE(B33879,""en"",""zh-CN"")"),"一个女人被射箭套装。")</f>
        <v>一个女人被射箭套装。</v>
      </c>
    </row>
    <row r="33880">
      <c r="A33880" s="4" t="s">
        <v>42629</v>
      </c>
      <c r="B33880" s="4" t="s">
        <v>42633</v>
      </c>
      <c r="C33880" s="5" t="str">
        <f>IFERROR(__xludf.DUMMYFUNCTION("GOOGLETRANSLATE(B33880,""en"",""zh-CN"")"),"她向后拉箭，然后在他说话时向目标射击。")</f>
        <v>她向后拉箭，然后在他说话时向目标射击。</v>
      </c>
    </row>
    <row r="33881">
      <c r="A33881" s="4" t="s">
        <v>42634</v>
      </c>
      <c r="B33881" s="4" t="s">
        <v>42635</v>
      </c>
      <c r="C33881" s="5" t="str">
        <f>IFERROR(__xludf.DUMMYFUNCTION("GOOGLETRANSLATE(B33881,""en"",""zh-CN"")"),"显示了一堆五颜六色的花朵，包括它们的识别标签。")</f>
        <v>显示了一堆五颜六色的花朵，包括它们的识别标签。</v>
      </c>
    </row>
    <row r="33882">
      <c r="A33882" s="4" t="s">
        <v>42634</v>
      </c>
      <c r="B33882" s="4" t="s">
        <v>42636</v>
      </c>
      <c r="C33882" s="5" t="str">
        <f>IFERROR(__xludf.DUMMYFUNCTION("GOOGLETRANSLATE(B33882,""en"",""zh-CN"")"),"一个人展示蜜蜂和不同的品种，包括一棵树。")</f>
        <v>一个人展示蜜蜂和不同的品种，包括一棵树。</v>
      </c>
    </row>
    <row r="33883">
      <c r="A33883" s="4" t="s">
        <v>42634</v>
      </c>
      <c r="B33883" s="4" t="s">
        <v>42637</v>
      </c>
      <c r="C33883" s="5" t="str">
        <f>IFERROR(__xludf.DUMMYFUNCTION("GOOGLETRANSLATE(B33883,""en"",""zh-CN"")"),"他教我们如何正确覆盖树。")</f>
        <v>他教我们如何正确覆盖树。</v>
      </c>
    </row>
    <row r="33884">
      <c r="A33884" s="4" t="s">
        <v>42638</v>
      </c>
      <c r="B33884" s="4" t="s">
        <v>42639</v>
      </c>
      <c r="C33884" s="5" t="str">
        <f>IFERROR(__xludf.DUMMYFUNCTION("GOOGLETRANSLATE(B33884,""en"",""zh-CN"")"),"显示了一瓶清晰的洗涤剂，一个人开始用布清洁杯子。")</f>
        <v>显示了一瓶清晰的洗涤剂，一个人开始用布清洁杯子。</v>
      </c>
    </row>
    <row r="33885">
      <c r="A33885" s="4" t="s">
        <v>42638</v>
      </c>
      <c r="B33885" s="6" t="s">
        <v>42640</v>
      </c>
      <c r="C33885" s="5" t="str">
        <f>IFERROR(__xludf.DUMMYFUNCTION("GOOGLETRANSLATE(B33885,""en"",""zh-CN"")"),"该人表明自己戴着手套，然后回去洗杯子，然后最终向产品展示了她的书。")</f>
        <v>该人表明自己戴着手套，然后回去洗杯子，然后最终向产品展示了她的书。</v>
      </c>
    </row>
    <row r="33886">
      <c r="A33886" s="4" t="s">
        <v>42641</v>
      </c>
      <c r="B33886" s="6" t="s">
        <v>42642</v>
      </c>
      <c r="C33886" s="5" t="str">
        <f>IFERROR(__xludf.DUMMYFUNCTION("GOOGLETRANSLATE(B33886,""en"",""zh-CN"")"),"在显示一对萨克斯管之前，就显示了有关萨克斯管的杂志。")</f>
        <v>在显示一对萨克斯管之前，就显示了有关萨克斯管的杂志。</v>
      </c>
    </row>
    <row r="33887">
      <c r="A33887" s="4" t="s">
        <v>42641</v>
      </c>
      <c r="B33887" s="4" t="s">
        <v>42643</v>
      </c>
      <c r="C33887" s="5" t="str">
        <f>IFERROR(__xludf.DUMMYFUNCTION("GOOGLETRANSLATE(B33887,""en"",""zh-CN"")"),"多个屏幕开始出现，显示手在屏幕上播放各种音符。")</f>
        <v>多个屏幕开始出现，显示手在屏幕上播放各种音符。</v>
      </c>
    </row>
    <row r="33888">
      <c r="A33888" s="4" t="s">
        <v>42641</v>
      </c>
      <c r="B33888" s="4" t="s">
        <v>42644</v>
      </c>
      <c r="C33888" s="5" t="str">
        <f>IFERROR(__xludf.DUMMYFUNCTION("GOOGLETRANSLATE(B33888,""en"",""zh-CN"")"),"屏幕向后直到视频结束。")</f>
        <v>屏幕向后直到视频结束。</v>
      </c>
    </row>
    <row r="33889">
      <c r="A33889" s="4" t="s">
        <v>42645</v>
      </c>
      <c r="B33889" s="4" t="s">
        <v>42646</v>
      </c>
      <c r="C33889" s="5" t="str">
        <f>IFERROR(__xludf.DUMMYFUNCTION("GOOGLETRANSLATE(B33889,""en"",""zh-CN"")"),"标题屏幕显示在视频中。")</f>
        <v>标题屏幕显示在视频中。</v>
      </c>
    </row>
    <row r="33890">
      <c r="A33890" s="4" t="s">
        <v>42645</v>
      </c>
      <c r="B33890" s="4" t="s">
        <v>42647</v>
      </c>
      <c r="C33890" s="5" t="str">
        <f>IFERROR(__xludf.DUMMYFUNCTION("GOOGLETRANSLATE(B33890,""en"",""zh-CN"")"),"一个女人在厨房里拿着一块布。")</f>
        <v>一个女人在厨房里拿着一块布。</v>
      </c>
    </row>
    <row r="33891">
      <c r="A33891" s="4" t="s">
        <v>42645</v>
      </c>
      <c r="B33891" s="4" t="s">
        <v>42648</v>
      </c>
      <c r="C33891" s="5" t="str">
        <f>IFERROR(__xludf.DUMMYFUNCTION("GOOGLETRANSLATE(B33891,""en"",""zh-CN"")"),"女人开始在浴缸和水槽中自来水。")</f>
        <v>女人开始在浴缸和水槽中自来水。</v>
      </c>
    </row>
    <row r="33892">
      <c r="A33892" s="4" t="s">
        <v>42645</v>
      </c>
      <c r="B33892" s="4" t="s">
        <v>42649</v>
      </c>
      <c r="C33892" s="5" t="str">
        <f>IFERROR(__xludf.DUMMYFUNCTION("GOOGLETRANSLATE(B33892,""en"",""zh-CN"")"),"那个女人在水槽里洗了一块布。")</f>
        <v>那个女人在水槽里洗了一块布。</v>
      </c>
    </row>
    <row r="33893">
      <c r="A33893" s="4" t="s">
        <v>42645</v>
      </c>
      <c r="B33893" s="4" t="s">
        <v>42650</v>
      </c>
      <c r="C33893" s="5" t="str">
        <f>IFERROR(__xludf.DUMMYFUNCTION("GOOGLETRANSLATE(B33893,""en"",""zh-CN"")"),"那个女人将湿布放在干燥的布上，然后将其干燥。")</f>
        <v>那个女人将湿布放在干燥的布上，然后将其干燥。</v>
      </c>
    </row>
    <row r="33894">
      <c r="A33894" s="4" t="s">
        <v>42645</v>
      </c>
      <c r="B33894" s="4" t="s">
        <v>42651</v>
      </c>
      <c r="C33894" s="5" t="str">
        <f>IFERROR(__xludf.DUMMYFUNCTION("GOOGLETRANSLATE(B33894,""en"",""zh-CN"")"),"那个女人把一条裤子放在熨衣板上。")</f>
        <v>那个女人把一条裤子放在熨衣板上。</v>
      </c>
    </row>
    <row r="33895">
      <c r="A33895" s="4" t="s">
        <v>42645</v>
      </c>
      <c r="B33895" s="4" t="s">
        <v>42652</v>
      </c>
      <c r="C33895" s="5" t="str">
        <f>IFERROR(__xludf.DUMMYFUNCTION("GOOGLETRANSLATE(B33895,""en"",""zh-CN"")"),"出现结局。")</f>
        <v>出现结局。</v>
      </c>
    </row>
    <row r="33896">
      <c r="A33896" s="4" t="s">
        <v>42653</v>
      </c>
      <c r="B33896" s="6" t="s">
        <v>42654</v>
      </c>
      <c r="C33896" s="5" t="str">
        <f>IFERROR(__xludf.DUMMYFUNCTION("GOOGLETRANSLATE(B33896,""en"",""zh-CN"")"),"看到一名体操运动员站起来，双臂抬起头来，导致她的奔跑并沿着轨道向下翻转。")</f>
        <v>看到一名体操运动员站起来，双臂抬起头来，导致她的奔跑并沿着轨道向下翻转。</v>
      </c>
    </row>
    <row r="33897">
      <c r="A33897" s="4" t="s">
        <v>42653</v>
      </c>
      <c r="B33897" s="4" t="s">
        <v>42655</v>
      </c>
      <c r="C33897" s="5" t="str">
        <f>IFERROR(__xludf.DUMMYFUNCTION("GOOGLETRANSLATE(B33897,""en"",""zh-CN"")"),"她将手臂抬起头，跳跃慢动作几次。")</f>
        <v>她将手臂抬起头，跳跃慢动作几次。</v>
      </c>
    </row>
    <row r="33898">
      <c r="A33898" s="4" t="s">
        <v>42656</v>
      </c>
      <c r="B33898" s="6" t="s">
        <v>42657</v>
      </c>
      <c r="C33898" s="5" t="str">
        <f>IFERROR(__xludf.DUMMYFUNCTION("GOOGLETRANSLATE(B33898,""en"",""zh-CN"")"),"有几个剪辑显示了许多人站在冲浪板上，并用桨将自己推到水中。")</f>
        <v>有几个剪辑显示了许多人站在冲浪板上，并用桨将自己推到水中。</v>
      </c>
    </row>
    <row r="33899">
      <c r="A33899" s="4" t="s">
        <v>42656</v>
      </c>
      <c r="B33899" s="4" t="s">
        <v>42658</v>
      </c>
      <c r="C33899" s="5" t="str">
        <f>IFERROR(__xludf.DUMMYFUNCTION("GOOGLETRANSLATE(B33899,""en"",""zh-CN"")"),"人们继续在水中划船，而看到许多人坐着。")</f>
        <v>人们继续在水中划船，而看到许多人坐着。</v>
      </c>
    </row>
    <row r="33900">
      <c r="A33900" s="4" t="s">
        <v>42659</v>
      </c>
      <c r="B33900" s="4" t="s">
        <v>42660</v>
      </c>
      <c r="C33900" s="5" t="str">
        <f>IFERROR(__xludf.DUMMYFUNCTION("GOOGLETRANSLATE(B33900,""en"",""zh-CN"")"),"我们看到一个人骑滑雪缆车。")</f>
        <v>我们看到一个人骑滑雪缆车。</v>
      </c>
    </row>
    <row r="33901">
      <c r="A33901" s="4" t="s">
        <v>42659</v>
      </c>
      <c r="B33901" s="4" t="s">
        <v>42661</v>
      </c>
      <c r="C33901" s="5" t="str">
        <f>IFERROR(__xludf.DUMMYFUNCTION("GOOGLETRANSLATE(B33901,""en"",""zh-CN"")"),"该人抬起椅子上的酒吧。")</f>
        <v>该人抬起椅子上的酒吧。</v>
      </c>
    </row>
    <row r="33902">
      <c r="A33902" s="4" t="s">
        <v>42659</v>
      </c>
      <c r="B33902" s="4" t="s">
        <v>42662</v>
      </c>
      <c r="C33902" s="5" t="str">
        <f>IFERROR(__xludf.DUMMYFUNCTION("GOOGLETRANSLATE(B33902,""en"",""zh-CN"")"),"该人从电梯上跳下坡度。")</f>
        <v>该人从电梯上跳下坡度。</v>
      </c>
    </row>
    <row r="33903">
      <c r="A33903" s="4" t="s">
        <v>42659</v>
      </c>
      <c r="B33903" s="4" t="s">
        <v>42663</v>
      </c>
      <c r="C33903" s="5" t="str">
        <f>IFERROR(__xludf.DUMMYFUNCTION("GOOGLETRANSLATE(B33903,""en"",""zh-CN"")"),"该人穿上滑雪杆。")</f>
        <v>该人穿上滑雪杆。</v>
      </c>
    </row>
    <row r="33904">
      <c r="A33904" s="4" t="s">
        <v>42659</v>
      </c>
      <c r="B33904" s="4" t="s">
        <v>42664</v>
      </c>
      <c r="C33904" s="5" t="str">
        <f>IFERROR(__xludf.DUMMYFUNCTION("GOOGLETRANSLATE(B33904,""en"",""zh-CN"")"),"这个人的滑雪板迅速沿着滑雪坡道。")</f>
        <v>这个人的滑雪板迅速沿着滑雪坡道。</v>
      </c>
    </row>
    <row r="33905">
      <c r="A33905" s="4" t="s">
        <v>42659</v>
      </c>
      <c r="B33905" s="4" t="s">
        <v>42665</v>
      </c>
      <c r="C33905" s="5" t="str">
        <f>IFERROR(__xludf.DUMMYFUNCTION("GOOGLETRANSLATE(B33905,""en"",""zh-CN"")"),"该人到达斜坡的底部并抬头。")</f>
        <v>该人到达斜坡的底部并抬头。</v>
      </c>
    </row>
    <row r="33906">
      <c r="A33906" s="4" t="s">
        <v>42659</v>
      </c>
      <c r="B33906" s="4" t="s">
        <v>42666</v>
      </c>
      <c r="C33906" s="5" t="str">
        <f>IFERROR(__xludf.DUMMYFUNCTION("GOOGLETRANSLATE(B33906,""en"",""zh-CN"")"),"320该人的手来到屏幕上以关闭相机。")</f>
        <v>320该人的手来到屏幕上以关闭相机。</v>
      </c>
    </row>
    <row r="33907">
      <c r="A33907" s="4" t="s">
        <v>42667</v>
      </c>
      <c r="B33907" s="4" t="s">
        <v>42668</v>
      </c>
      <c r="C33907" s="5" t="str">
        <f>IFERROR(__xludf.DUMMYFUNCTION("GOOGLETRANSLATE(B33907,""en"",""zh-CN"")"),"一个男人站在滑板上。")</f>
        <v>一个男人站在滑板上。</v>
      </c>
    </row>
    <row r="33908">
      <c r="A33908" s="4" t="s">
        <v>42667</v>
      </c>
      <c r="B33908" s="4" t="s">
        <v>42669</v>
      </c>
      <c r="C33908" s="5" t="str">
        <f>IFERROR(__xludf.DUMMYFUNCTION("GOOGLETRANSLATE(B33908,""en"",""zh-CN"")"),"他拿起滑板，握住它。")</f>
        <v>他拿起滑板，握住它。</v>
      </c>
    </row>
    <row r="33909">
      <c r="A33909" s="4" t="s">
        <v>42667</v>
      </c>
      <c r="B33909" s="4" t="s">
        <v>42670</v>
      </c>
      <c r="C33909" s="5" t="str">
        <f>IFERROR(__xludf.DUMMYFUNCTION("GOOGLETRANSLATE(B33909,""en"",""zh-CN"")"),"他放下滑板并继续滑板。")</f>
        <v>他放下滑板并继续滑板。</v>
      </c>
    </row>
    <row r="33910">
      <c r="A33910" s="4" t="s">
        <v>42671</v>
      </c>
      <c r="B33910" s="4" t="s">
        <v>42672</v>
      </c>
      <c r="C33910" s="5" t="str">
        <f>IFERROR(__xludf.DUMMYFUNCTION("GOOGLETRANSLATE(B33910,""en"",""zh-CN"")"),"人们穿着潜水西装，大和大鱼在潜水员附近游泳。")</f>
        <v>人们穿着潜水西装，大和大鱼在潜水员附近游泳。</v>
      </c>
    </row>
    <row r="33911">
      <c r="A33911" s="4" t="s">
        <v>42671</v>
      </c>
      <c r="B33911" s="4" t="s">
        <v>42673</v>
      </c>
      <c r="C33911" s="5" t="str">
        <f>IFERROR(__xludf.DUMMYFUNCTION("GOOGLETRANSLATE(B33911,""en"",""zh-CN"")"),"潜水员跪在海底挥舞着他们的手。")</f>
        <v>潜水员跪在海底挥舞着他们的手。</v>
      </c>
    </row>
    <row r="33912">
      <c r="A33912" s="4" t="s">
        <v>42671</v>
      </c>
      <c r="B33912" s="4" t="s">
        <v>42674</v>
      </c>
      <c r="C33912" s="5" t="str">
        <f>IFERROR(__xludf.DUMMYFUNCTION("GOOGLETRANSLATE(B33912,""en"",""zh-CN"")"),"蝠ta鱼和一条大鱼在水中游泳。")</f>
        <v>蝠ta鱼和一条大鱼在水中游泳。</v>
      </c>
    </row>
    <row r="33913">
      <c r="A33913" s="4" t="s">
        <v>42671</v>
      </c>
      <c r="B33913" s="4" t="s">
        <v>42675</v>
      </c>
      <c r="C33913" s="5" t="str">
        <f>IFERROR(__xludf.DUMMYFUNCTION("GOOGLETRANSLATE(B33913,""en"",""zh-CN"")"),"潜水员站着，继续在水中游泳。")</f>
        <v>潜水员站着，继续在水中游泳。</v>
      </c>
    </row>
    <row r="33914">
      <c r="A33914" s="4" t="s">
        <v>42676</v>
      </c>
      <c r="B33914" s="4" t="s">
        <v>42677</v>
      </c>
      <c r="C33914" s="5" t="str">
        <f>IFERROR(__xludf.DUMMYFUNCTION("GOOGLETRANSLATE(B33914,""en"",""zh-CN"")"),"男人从押金中拿着雪裂。")</f>
        <v>男人从押金中拿着雪裂。</v>
      </c>
    </row>
    <row r="33915">
      <c r="A33915" s="4" t="s">
        <v>42676</v>
      </c>
      <c r="B33915" s="4" t="s">
        <v>42678</v>
      </c>
      <c r="C33915" s="5" t="str">
        <f>IFERROR(__xludf.DUMMYFUNCTION("GOOGLETRANSLATE(B33915,""en"",""zh-CN"")"),"老妇人坐在Snowslide上，下雪了。")</f>
        <v>老妇人坐在Snowslide上，下雪了。</v>
      </c>
    </row>
    <row r="33916">
      <c r="A33916" s="4" t="s">
        <v>42676</v>
      </c>
      <c r="B33916" s="4" t="s">
        <v>42679</v>
      </c>
      <c r="C33916" s="5" t="str">
        <f>IFERROR(__xludf.DUMMYFUNCTION("GOOGLETRANSLATE(B33916,""en"",""zh-CN"")"),"老妇人在雪轨道上沿着雪道。")</f>
        <v>老妇人在雪轨道上沿着雪道。</v>
      </c>
    </row>
    <row r="33917">
      <c r="A33917" s="4" t="s">
        <v>42676</v>
      </c>
      <c r="B33917" s="4" t="s">
        <v>42680</v>
      </c>
      <c r="C33917" s="5" t="str">
        <f>IFERROR(__xludf.DUMMYFUNCTION("GOOGLETRANSLATE(B33917,""en"",""zh-CN"")"),"一个男人和一个女人在幻灯片上抓住老太太。")</f>
        <v>一个男人和一个女人在幻灯片上抓住老太太。</v>
      </c>
    </row>
    <row r="33918">
      <c r="A33918" s="4" t="s">
        <v>42676</v>
      </c>
      <c r="B33918" s="4" t="s">
        <v>42681</v>
      </c>
      <c r="C33918" s="5" t="str">
        <f>IFERROR(__xludf.DUMMYFUNCTION("GOOGLETRANSLATE(B33918,""en"",""zh-CN"")"),"不同的人沿着斜坡沿着绳索绳子沿着斜坡。")</f>
        <v>不同的人沿着斜坡沿着绳索绳子沿着斜坡。</v>
      </c>
    </row>
    <row r="33919">
      <c r="A33919" s="4" t="s">
        <v>42676</v>
      </c>
      <c r="B33919" s="4" t="s">
        <v>42682</v>
      </c>
      <c r="C33919" s="5" t="str">
        <f>IFERROR(__xludf.DUMMYFUNCTION("GOOGLETRANSLATE(B33919,""en"",""zh-CN"")"),"老妇人坐在伍德长凳上与镜头说话。")</f>
        <v>老妇人坐在伍德长凳上与镜头说话。</v>
      </c>
    </row>
    <row r="33920">
      <c r="A33920" s="4" t="s">
        <v>42676</v>
      </c>
      <c r="B33920" s="4" t="s">
        <v>42683</v>
      </c>
      <c r="C33920" s="5" t="str">
        <f>IFERROR(__xludf.DUMMYFUNCTION("GOOGLETRANSLATE(B33920,""en"",""zh-CN"")"),"老年人坐在镜头前，站在姿势拍照的相机前。")</f>
        <v>老年人坐在镜头前，站在姿势拍照的相机前。</v>
      </c>
    </row>
    <row r="33921">
      <c r="A33921" s="4" t="s">
        <v>42684</v>
      </c>
      <c r="B33921" s="4" t="s">
        <v>42685</v>
      </c>
      <c r="C33921" s="5" t="str">
        <f>IFERROR(__xludf.DUMMYFUNCTION("GOOGLETRANSLATE(B33921,""en"",""zh-CN"")"),"文字出现在屏幕上，上面有链接。")</f>
        <v>文字出现在屏幕上，上面有链接。</v>
      </c>
    </row>
    <row r="33922">
      <c r="A33922" s="4" t="s">
        <v>42684</v>
      </c>
      <c r="B33922" s="4" t="s">
        <v>42686</v>
      </c>
      <c r="C33922" s="5" t="str">
        <f>IFERROR(__xludf.DUMMYFUNCTION("GOOGLETRANSLATE(B33922,""en"",""zh-CN"")"),"穿着制服的人在街上行进。")</f>
        <v>穿着制服的人在街上行进。</v>
      </c>
    </row>
    <row r="33923">
      <c r="A33923" s="4" t="s">
        <v>42684</v>
      </c>
      <c r="B33923" s="4" t="s">
        <v>42687</v>
      </c>
      <c r="C33923" s="5" t="str">
        <f>IFERROR(__xludf.DUMMYFUNCTION("GOOGLETRANSLATE(B33923,""en"",""zh-CN"")"),"它使人群看着。")</f>
        <v>它使人群看着。</v>
      </c>
    </row>
    <row r="33924">
      <c r="A33924" s="4" t="s">
        <v>42684</v>
      </c>
      <c r="B33924" s="4" t="s">
        <v>42688</v>
      </c>
      <c r="C33924" s="5" t="str">
        <f>IFERROR(__xludf.DUMMYFUNCTION("GOOGLETRANSLATE(B33924,""en"",""zh-CN"")"),"一支游行乐队开始沿着街道行走。")</f>
        <v>一支游行乐队开始沿着街道行走。</v>
      </c>
    </row>
    <row r="33925">
      <c r="A33925" s="4" t="s">
        <v>42684</v>
      </c>
      <c r="B33925" s="4" t="s">
        <v>42689</v>
      </c>
      <c r="C33925" s="5" t="str">
        <f>IFERROR(__xludf.DUMMYFUNCTION("GOOGLETRANSLATE(B33925,""en"",""zh-CN"")"),"另一组穿制服的人走在街上。")</f>
        <v>另一组穿制服的人走在街上。</v>
      </c>
    </row>
    <row r="33926">
      <c r="A33926" s="4" t="s">
        <v>42684</v>
      </c>
      <c r="B33926" s="4" t="s">
        <v>42690</v>
      </c>
      <c r="C33926" s="5" t="str">
        <f>IFERROR(__xludf.DUMMYFUNCTION("GOOGLETRANSLATE(B33926,""en"",""zh-CN"")"),"他们停下来向人群挥手。")</f>
        <v>他们停下来向人群挥手。</v>
      </c>
    </row>
    <row r="33927">
      <c r="A33927" s="4" t="s">
        <v>42684</v>
      </c>
      <c r="B33927" s="4" t="s">
        <v>42691</v>
      </c>
      <c r="C33927" s="5" t="str">
        <f>IFERROR(__xludf.DUMMYFUNCTION("GOOGLETRANSLATE(B33927,""en"",""zh-CN"")"),"它可以追溯到游行乐队。")</f>
        <v>它可以追溯到游行乐队。</v>
      </c>
    </row>
    <row r="33928">
      <c r="A33928" s="4" t="s">
        <v>42684</v>
      </c>
      <c r="B33928" s="4" t="s">
        <v>42692</v>
      </c>
      <c r="C33928" s="5" t="str">
        <f>IFERROR(__xludf.DUMMYFUNCTION("GOOGLETRANSLATE(B33928,""en"",""zh-CN"")"),"一匹马和马车在街上行走，然后穿着制服的人们。")</f>
        <v>一匹马和马车在街上行走，然后穿着制服的人们。</v>
      </c>
    </row>
    <row r="33929">
      <c r="A33929" s="4" t="s">
        <v>42684</v>
      </c>
      <c r="B33929" s="4" t="s">
        <v>42693</v>
      </c>
      <c r="C33929" s="5" t="str">
        <f>IFERROR(__xludf.DUMMYFUNCTION("GOOGLETRANSLATE(B33929,""en"",""zh-CN"")"),"两个女人挥舞着旗帜。")</f>
        <v>两个女人挥舞着旗帜。</v>
      </c>
    </row>
    <row r="33930">
      <c r="A33930" s="4" t="s">
        <v>42684</v>
      </c>
      <c r="B33930" s="4" t="s">
        <v>42694</v>
      </c>
      <c r="C33930" s="5" t="str">
        <f>IFERROR(__xludf.DUMMYFUNCTION("GOOGLETRANSLATE(B33930,""en"",""zh-CN"")"),"其余的人继续沿着街上行进。")</f>
        <v>其余的人继续沿着街上行进。</v>
      </c>
    </row>
    <row r="33931">
      <c r="A33931" s="4" t="s">
        <v>42695</v>
      </c>
      <c r="B33931" s="4" t="s">
        <v>42696</v>
      </c>
      <c r="C33931" s="5" t="str">
        <f>IFERROR(__xludf.DUMMYFUNCTION("GOOGLETRANSLATE(B33931,""en"",""zh-CN"")"),"一个女孩在操场上穿过猴子酒吧。")</f>
        <v>一个女孩在操场上穿过猴子酒吧。</v>
      </c>
    </row>
    <row r="33932">
      <c r="A33932" s="4" t="s">
        <v>42695</v>
      </c>
      <c r="B33932" s="4" t="s">
        <v>42697</v>
      </c>
      <c r="C33932" s="5" t="str">
        <f>IFERROR(__xludf.DUMMYFUNCTION("GOOGLETRANSLATE(B33932,""en"",""zh-CN"")"),"她走到尽头，跳到地上。")</f>
        <v>她走到尽头，跳到地上。</v>
      </c>
    </row>
    <row r="33933">
      <c r="A33933" s="4" t="s">
        <v>42695</v>
      </c>
      <c r="B33933" s="4" t="s">
        <v>42698</v>
      </c>
      <c r="C33933" s="5" t="str">
        <f>IFERROR(__xludf.DUMMYFUNCTION("GOOGLETRANSLATE(B33933,""en"",""zh-CN"")"),"她把手放在空中。")</f>
        <v>她把手放在空中。</v>
      </c>
    </row>
    <row r="33934">
      <c r="A33934" s="4" t="s">
        <v>42699</v>
      </c>
      <c r="B33934" s="4" t="s">
        <v>42700</v>
      </c>
      <c r="C33934" s="5" t="str">
        <f>IFERROR(__xludf.DUMMYFUNCTION("GOOGLETRANSLATE(B33934,""en"",""zh-CN"")"),"一些妇女正在船上试图弄清楚如何打沙芬板。")</f>
        <v>一些妇女正在船上试图弄清楚如何打沙芬板。</v>
      </c>
    </row>
    <row r="33935">
      <c r="A33935" s="4" t="s">
        <v>42699</v>
      </c>
      <c r="B33935" s="4" t="s">
        <v>42701</v>
      </c>
      <c r="C33935" s="5" t="str">
        <f>IFERROR(__xludf.DUMMYFUNCTION("GOOGLETRANSLATE(B33935,""en"",""zh-CN"")"),"这个女孩让洗礼板吹来，女孩们都开始庆祝。")</f>
        <v>这个女孩让洗礼板吹来，女孩们都开始庆祝。</v>
      </c>
    </row>
    <row r="33936">
      <c r="A33936" s="4" t="s">
        <v>42699</v>
      </c>
      <c r="B33936" s="4" t="s">
        <v>42702</v>
      </c>
      <c r="C33936" s="5" t="str">
        <f>IFERROR(__xludf.DUMMYFUNCTION("GOOGLETRANSLATE(B33936,""en"",""zh-CN"")"),"她继续尝试拍摄并愚蠢。")</f>
        <v>她继续尝试拍摄并愚蠢。</v>
      </c>
    </row>
    <row r="33937">
      <c r="A33937" s="4" t="s">
        <v>42699</v>
      </c>
      <c r="B33937" s="4" t="s">
        <v>42703</v>
      </c>
      <c r="C33937" s="5" t="str">
        <f>IFERROR(__xludf.DUMMYFUNCTION("GOOGLETRANSLATE(B33937,""en"",""zh-CN"")"),"她放下了洗牌板棒，视频结束了。")</f>
        <v>她放下了洗牌板棒，视频结束了。</v>
      </c>
    </row>
    <row r="33938">
      <c r="A33938" s="4" t="s">
        <v>42704</v>
      </c>
      <c r="B33938" s="6" t="s">
        <v>42705</v>
      </c>
      <c r="C33938" s="5" t="str">
        <f>IFERROR(__xludf.DUMMYFUNCTION("GOOGLETRANSLATE(B33938,""en"",""zh-CN"")"),"依次显示了几名男子投掷铁饼的视频，被观众和法官看着这些人，然后罚球以慢动作重播。")</f>
        <v>依次显示了几名男子投掷铁饼的视频，被观众和法官看着这些人，然后罚球以慢动作重播。</v>
      </c>
    </row>
    <row r="33939">
      <c r="A33939" s="4" t="s">
        <v>42704</v>
      </c>
      <c r="B33939" s="4" t="s">
        <v>42706</v>
      </c>
      <c r="C33939" s="5" t="str">
        <f>IFERROR(__xludf.DUMMYFUNCTION("GOOGLETRANSLATE(B33939,""en"",""zh-CN"")"),"显示法官评估其中一杆的距离。")</f>
        <v>显示法官评估其中一杆的距离。</v>
      </c>
    </row>
    <row r="33940">
      <c r="A33940" s="4" t="s">
        <v>42704</v>
      </c>
      <c r="B33940" s="4" t="s">
        <v>42707</v>
      </c>
      <c r="C33940" s="5" t="str">
        <f>IFERROR(__xludf.DUMMYFUNCTION("GOOGLETRANSLATE(B33940,""en"",""zh-CN"")"),"再次显示法官评估其中一杆的距离。")</f>
        <v>再次显示法官评估其中一杆的距离。</v>
      </c>
    </row>
    <row r="33941">
      <c r="A33941" s="4" t="s">
        <v>42708</v>
      </c>
      <c r="B33941" s="4" t="s">
        <v>42709</v>
      </c>
      <c r="C33941" s="5" t="str">
        <f>IFERROR(__xludf.DUMMYFUNCTION("GOOGLETRANSLATE(B33941,""en"",""zh-CN"")"),"一个穿着黑色衬衫的男人站在带红色和黑色手风琴的客厅里。")</f>
        <v>一个穿着黑色衬衫的男人站在带红色和黑色手风琴的客厅里。</v>
      </c>
    </row>
    <row r="33942">
      <c r="A33942" s="4" t="s">
        <v>42708</v>
      </c>
      <c r="B33942" s="6" t="s">
        <v>42710</v>
      </c>
      <c r="C33942" s="5" t="str">
        <f>IFERROR(__xludf.DUMMYFUNCTION("GOOGLETRANSLATE(B33942,""en"",""zh-CN"")"),"这位音乐家坐在椅子上拿着黑色手风琴，准备演示如何播放手风琴。")</f>
        <v>这位音乐家坐在椅子上拿着黑色手风琴，准备演示如何播放手风琴。</v>
      </c>
    </row>
    <row r="33943">
      <c r="A33943" s="4" t="s">
        <v>42708</v>
      </c>
      <c r="B33943" s="4" t="s">
        <v>42711</v>
      </c>
      <c r="C33943" s="5" t="str">
        <f>IFERROR(__xludf.DUMMYFUNCTION("GOOGLETRANSLATE(B33943,""en"",""zh-CN"")"),"然后，该男子用棕色手风琴演示了演奏手风琴。")</f>
        <v>然后，该男子用棕色手风琴演示了演奏手风琴。</v>
      </c>
    </row>
    <row r="33944">
      <c r="A33944" s="4" t="s">
        <v>42712</v>
      </c>
      <c r="B33944" s="4" t="s">
        <v>42713</v>
      </c>
      <c r="C33944" s="5" t="str">
        <f>IFERROR(__xludf.DUMMYFUNCTION("GOOGLETRANSLATE(B33944,""en"",""zh-CN"")"),"看到风筝在空中飞来飞去，一个人骑着风筝在沙滩上骑着风筝。")</f>
        <v>看到风筝在空中飞来飞去，一个人骑着风筝在沙滩上骑着风筝。</v>
      </c>
    </row>
    <row r="33945">
      <c r="A33945" s="4" t="s">
        <v>42712</v>
      </c>
      <c r="B33945" s="6" t="s">
        <v>42714</v>
      </c>
      <c r="C33945" s="5" t="str">
        <f>IFERROR(__xludf.DUMMYFUNCTION("GOOGLETRANSLATE(B33945,""en"",""zh-CN"")"),"摄像机继续在海滩上闲逛，捕捉了一个风筝，他骑着风筝并抱着它。")</f>
        <v>摄像机继续在海滩上闲逛，捕捉了一个风筝，他骑着风筝并抱着它。</v>
      </c>
    </row>
    <row r="33946">
      <c r="A33946" s="4" t="s">
        <v>42715</v>
      </c>
      <c r="B33946" s="6" t="s">
        <v>42716</v>
      </c>
      <c r="C33946" s="5" t="str">
        <f>IFERROR(__xludf.DUMMYFUNCTION("GOOGLETRANSLATE(B33946,""en"",""zh-CN"")"),"一个有疯狂头发的人出现了，并在重力的太空飞船上引入她。")</f>
        <v>一个有疯狂头发的人出现了，并在重力的太空飞船上引入她。</v>
      </c>
    </row>
    <row r="33947">
      <c r="A33947" s="4" t="s">
        <v>42715</v>
      </c>
      <c r="B33947" s="4" t="s">
        <v>42717</v>
      </c>
      <c r="C33947" s="5" t="str">
        <f>IFERROR(__xludf.DUMMYFUNCTION("GOOGLETRANSLATE(B33947,""en"",""zh-CN"")"),"她展示了在太空飞船上携带的各种物品，并将乳液放入头发上。")</f>
        <v>她展示了在太空飞船上携带的各种物品，并将乳液放入头发上。</v>
      </c>
    </row>
    <row r="33948">
      <c r="A33948" s="4" t="s">
        <v>42715</v>
      </c>
      <c r="B33948" s="4" t="s">
        <v>42718</v>
      </c>
      <c r="C33948" s="5" t="str">
        <f>IFERROR(__xludf.DUMMYFUNCTION("GOOGLETRANSLATE(B33948,""en"",""zh-CN"")"),"她彻底梳理了乳液，并用毛巾干了头。")</f>
        <v>她彻底梳理了乳液，并用毛巾干了头。</v>
      </c>
    </row>
    <row r="33949">
      <c r="A33949" s="4" t="s">
        <v>42715</v>
      </c>
      <c r="B33949" s="4" t="s">
        <v>42719</v>
      </c>
      <c r="C33949" s="5" t="str">
        <f>IFERROR(__xludf.DUMMYFUNCTION("GOOGLETRANSLATE(B33949,""en"",""zh-CN"")"),"她指向相机，最后一次梳理头发。")</f>
        <v>她指向相机，最后一次梳理头发。</v>
      </c>
    </row>
    <row r="33950">
      <c r="A33950" s="4" t="s">
        <v>42720</v>
      </c>
      <c r="B33950" s="6" t="s">
        <v>42721</v>
      </c>
      <c r="C33950" s="5" t="str">
        <f>IFERROR(__xludf.DUMMYFUNCTION("GOOGLETRANSLATE(B33950,""en"",""zh-CN"")"),"这个男人坐在户外抛光另一个男人的鞋子，他们的脸都没有显示出来。")</f>
        <v>这个男人坐在户外抛光另一个男人的鞋子，他们的脸都没有显示出来。</v>
      </c>
    </row>
    <row r="33951">
      <c r="A33951" s="4" t="s">
        <v>42720</v>
      </c>
      <c r="B33951" s="4" t="s">
        <v>42722</v>
      </c>
      <c r="C33951" s="5" t="str">
        <f>IFERROR(__xludf.DUMMYFUNCTION("GOOGLETRANSLATE(B33951,""en"",""zh-CN"")"),"该男子坐在地上，他正在用棕色毛巾擦洗男人的鞋子。")</f>
        <v>该男子坐在地上，他正在用棕色毛巾擦洗男人的鞋子。</v>
      </c>
    </row>
    <row r="33952">
      <c r="A33952" s="4" t="s">
        <v>42720</v>
      </c>
      <c r="B33952" s="4" t="s">
        <v>42723</v>
      </c>
      <c r="C33952" s="5" t="str">
        <f>IFERROR(__xludf.DUMMYFUNCTION("GOOGLETRANSLATE(B33952,""en"",""zh-CN"")"),"他还将液体放在小刷子上，并将其放在男人的鞋子上。")</f>
        <v>他还将液体放在小刷子上，并将其放在男人的鞋子上。</v>
      </c>
    </row>
    <row r="33953">
      <c r="A33953" s="4" t="s">
        <v>42724</v>
      </c>
      <c r="B33953" s="4" t="s">
        <v>42725</v>
      </c>
      <c r="C33953" s="5" t="str">
        <f>IFERROR(__xludf.DUMMYFUNCTION("GOOGLETRANSLATE(B33953,""en"",""zh-CN"")"),"一个女孩确实在一个充满孩子的房间前翻转。")</f>
        <v>一个女孩确实在一个充满孩子的房间前翻转。</v>
      </c>
    </row>
    <row r="33954">
      <c r="A33954" s="4" t="s">
        <v>42724</v>
      </c>
      <c r="B33954" s="4" t="s">
        <v>42726</v>
      </c>
      <c r="C33954" s="5" t="str">
        <f>IFERROR(__xludf.DUMMYFUNCTION("GOOGLETRANSLATE(B33954,""en"",""zh-CN"")"),"她用呼啦圈绕圈。")</f>
        <v>她用呼啦圈绕圈。</v>
      </c>
    </row>
    <row r="33955">
      <c r="A33955" s="4" t="s">
        <v>42724</v>
      </c>
      <c r="B33955" s="4" t="s">
        <v>42727</v>
      </c>
      <c r="C33955" s="5" t="str">
        <f>IFERROR(__xludf.DUMMYFUNCTION("GOOGLETRANSLATE(B33955,""en"",""zh-CN"")"),"当她演示如何使用呼啦圈时，她的举止很愚蠢。")</f>
        <v>当她演示如何使用呼啦圈时，她的举止很愚蠢。</v>
      </c>
    </row>
    <row r="33956">
      <c r="A33956" s="4" t="s">
        <v>42728</v>
      </c>
      <c r="B33956" s="4" t="s">
        <v>42729</v>
      </c>
      <c r="C33956" s="5" t="str">
        <f>IFERROR(__xludf.DUMMYFUNCTION("GOOGLETRANSLATE(B33956,""en"",""zh-CN"")"),"几个球员在溜冰场上。")</f>
        <v>几个球员在溜冰场上。</v>
      </c>
    </row>
    <row r="33957">
      <c r="A33957" s="4" t="s">
        <v>42728</v>
      </c>
      <c r="B33957" s="4" t="s">
        <v>42730</v>
      </c>
      <c r="C33957" s="5" t="str">
        <f>IFERROR(__xludf.DUMMYFUNCTION("GOOGLETRANSLATE(B33957,""en"",""zh-CN"")"),"他们互相打曲棍球。")</f>
        <v>他们互相打曲棍球。</v>
      </c>
    </row>
    <row r="33958">
      <c r="A33958" s="4" t="s">
        <v>42728</v>
      </c>
      <c r="B33958" s="4" t="s">
        <v>42731</v>
      </c>
      <c r="C33958" s="5" t="str">
        <f>IFERROR(__xludf.DUMMYFUNCTION("GOOGLETRANSLATE(B33958,""en"",""zh-CN"")"),"一个团队得分。")</f>
        <v>一个团队得分。</v>
      </c>
    </row>
    <row r="33959">
      <c r="A33959" s="4" t="s">
        <v>42728</v>
      </c>
      <c r="B33959" s="4" t="s">
        <v>42732</v>
      </c>
      <c r="C33959" s="5" t="str">
        <f>IFERROR(__xludf.DUMMYFUNCTION("GOOGLETRANSLATE(B33959,""en"",""zh-CN"")"),"每个人都为目标欢呼。")</f>
        <v>每个人都为目标欢呼。</v>
      </c>
    </row>
    <row r="33960">
      <c r="A33960" s="4" t="s">
        <v>42733</v>
      </c>
      <c r="B33960" s="4" t="s">
        <v>42734</v>
      </c>
      <c r="C33960" s="5" t="str">
        <f>IFERROR(__xludf.DUMMYFUNCTION("GOOGLETRANSLATE(B33960,""en"",""zh-CN"")"),"我们看到一个男人开始骑叶子。")</f>
        <v>我们看到一个男人开始骑叶子。</v>
      </c>
    </row>
    <row r="33961">
      <c r="A33961" s="4" t="s">
        <v>42733</v>
      </c>
      <c r="B33961" s="4" t="s">
        <v>42735</v>
      </c>
      <c r="C33961" s="5" t="str">
        <f>IFERROR(__xludf.DUMMYFUNCTION("GOOGLETRANSLATE(B33961,""en"",""zh-CN"")"),"我们看到叶子被吹在地上。")</f>
        <v>我们看到叶子被吹在地上。</v>
      </c>
    </row>
    <row r="33962">
      <c r="A33962" s="4" t="s">
        <v>42733</v>
      </c>
      <c r="B33962" s="4" t="s">
        <v>42736</v>
      </c>
      <c r="C33962" s="5" t="str">
        <f>IFERROR(__xludf.DUMMYFUNCTION("GOOGLETRANSLATE(B33962,""en"",""zh-CN"")"),"我们在机器上看到管道。")</f>
        <v>我们在机器上看到管道。</v>
      </c>
    </row>
    <row r="33963">
      <c r="A33963" s="4" t="s">
        <v>42733</v>
      </c>
      <c r="B33963" s="4" t="s">
        <v>42737</v>
      </c>
      <c r="C33963" s="5" t="str">
        <f>IFERROR(__xludf.DUMMYFUNCTION("GOOGLETRANSLATE(B33963,""en"",""zh-CN"")"),"我们回到看到叶子被吹了。")</f>
        <v>我们回到看到叶子被吹了。</v>
      </c>
    </row>
    <row r="33964">
      <c r="A33964" s="4" t="s">
        <v>42733</v>
      </c>
      <c r="B33964" s="4" t="s">
        <v>42738</v>
      </c>
      <c r="C33964" s="5" t="str">
        <f>IFERROR(__xludf.DUMMYFUNCTION("GOOGLETRANSLATE(B33964,""en"",""zh-CN"")"),"我们看到叶子在街上吹了。")</f>
        <v>我们看到叶子在街上吹了。</v>
      </c>
    </row>
    <row r="33965">
      <c r="A33965" s="4" t="s">
        <v>42733</v>
      </c>
      <c r="B33965" s="4" t="s">
        <v>777</v>
      </c>
      <c r="C33965" s="5" t="str">
        <f>IFERROR(__xludf.DUMMYFUNCTION("GOOGLETRANSLATE(B33965,""en"",""zh-CN"")"),"我们看到结尾标题屏幕。")</f>
        <v>我们看到结尾标题屏幕。</v>
      </c>
    </row>
    <row r="33966">
      <c r="A33966" s="4" t="s">
        <v>42739</v>
      </c>
      <c r="B33966" s="6" t="s">
        <v>42740</v>
      </c>
      <c r="C33966" s="5" t="str">
        <f>IFERROR(__xludf.DUMMYFUNCTION("GOOGLETRANSLATE(B33966,""en"",""zh-CN"")"),"从屋顶上，我们看到了一辆汽车停放的街道，一个人站在房间里，男人开始撬开屋顶瓦。")</f>
        <v>从屋顶上，我们看到了一辆汽车停放的街道，一个人站在房间里，男人开始撬开屋顶瓦。</v>
      </c>
    </row>
    <row r="33967">
      <c r="A33967" s="4" t="s">
        <v>42739</v>
      </c>
      <c r="B33967" s="4" t="s">
        <v>42741</v>
      </c>
      <c r="C33967" s="5" t="str">
        <f>IFERROR(__xludf.DUMMYFUNCTION("GOOGLETRANSLATE(B33967,""en"",""zh-CN"")"),"该男子在固定的带状疱疹和指甲下摆向下添加。")</f>
        <v>该男子在固定的带状疱疹和指甲下摆向下添加。</v>
      </c>
    </row>
    <row r="33968">
      <c r="A33968" s="4" t="s">
        <v>42739</v>
      </c>
      <c r="B33968" s="4" t="s">
        <v>42742</v>
      </c>
      <c r="C33968" s="5" t="str">
        <f>IFERROR(__xludf.DUMMYFUNCTION("GOOGLETRANSLATE(B33968,""en"",""zh-CN"")"),"那个人结束了，走开了。")</f>
        <v>那个人结束了，走开了。</v>
      </c>
    </row>
    <row r="33969">
      <c r="A33969" s="4" t="s">
        <v>42739</v>
      </c>
      <c r="B33969" s="4" t="s">
        <v>42743</v>
      </c>
      <c r="C33969" s="5" t="str">
        <f>IFERROR(__xludf.DUMMYFUNCTION("GOOGLETRANSLATE(B33969,""en"",""zh-CN"")"),"我们看到屋顶公司的街道上的障碍。")</f>
        <v>我们看到屋顶公司的街道上的障碍。</v>
      </c>
    </row>
    <row r="33970">
      <c r="A33970" s="4" t="s">
        <v>42744</v>
      </c>
      <c r="B33970" s="6" t="s">
        <v>42745</v>
      </c>
      <c r="C33970" s="5" t="str">
        <f>IFERROR(__xludf.DUMMYFUNCTION("GOOGLETRANSLATE(B33970,""en"",""zh-CN"")"),"这个男人戴着泳池帽站在水中，看着他的护目镜在他的额头上。")</f>
        <v>这个男人戴着泳池帽站在水中，看着他的护目镜在他的额头上。</v>
      </c>
    </row>
    <row r="33971">
      <c r="A33971" s="4" t="s">
        <v>42744</v>
      </c>
      <c r="B33971" s="6" t="s">
        <v>42746</v>
      </c>
      <c r="C33971" s="5" t="str">
        <f>IFERROR(__xludf.DUMMYFUNCTION("GOOGLETRANSLATE(B33971,""en"",""zh-CN"")"),"然后，他戴上护目镜，向我们展示了水中的几种游泳技巧，然后回去说话。")</f>
        <v>然后，他戴上护目镜，向我们展示了水中的几种游泳技巧，然后回去说话。</v>
      </c>
    </row>
    <row r="33972">
      <c r="A33972" s="4" t="s">
        <v>42747</v>
      </c>
      <c r="B33972" s="4" t="s">
        <v>42748</v>
      </c>
      <c r="C33972" s="5" t="str">
        <f>IFERROR(__xludf.DUMMYFUNCTION("GOOGLETRANSLATE(B33972,""en"",""zh-CN"")"),"一个女人穿着宽松的衣服在后院说话。")</f>
        <v>一个女人穿着宽松的衣服在后院说话。</v>
      </c>
    </row>
    <row r="33973">
      <c r="A33973" s="4" t="s">
        <v>42747</v>
      </c>
      <c r="B33973" s="4" t="s">
        <v>42749</v>
      </c>
      <c r="C33973" s="5" t="str">
        <f>IFERROR(__xludf.DUMMYFUNCTION("GOOGLETRANSLATE(B33973,""en"",""zh-CN"")"),"女人运动踩在垫子上。")</f>
        <v>女人运动踩在垫子上。</v>
      </c>
    </row>
    <row r="33974">
      <c r="A33974" s="4" t="s">
        <v>42750</v>
      </c>
      <c r="B33974" s="4" t="s">
        <v>42751</v>
      </c>
      <c r="C33974" s="5" t="str">
        <f>IFERROR(__xludf.DUMMYFUNCTION("GOOGLETRANSLATE(B33974,""en"",""zh-CN"")"),"两个人坐在厨房的柜台前。")</f>
        <v>两个人坐在厨房的柜台前。</v>
      </c>
    </row>
    <row r="33975">
      <c r="A33975" s="4" t="s">
        <v>42750</v>
      </c>
      <c r="B33975" s="4" t="s">
        <v>42752</v>
      </c>
      <c r="C33975" s="5" t="str">
        <f>IFERROR(__xludf.DUMMYFUNCTION("GOOGLETRANSLATE(B33975,""en"",""zh-CN"")"),"男人开始混合蛋糕。")</f>
        <v>男人开始混合蛋糕。</v>
      </c>
    </row>
    <row r="33976">
      <c r="A33976" s="4" t="s">
        <v>42750</v>
      </c>
      <c r="B33976" s="6" t="s">
        <v>42753</v>
      </c>
      <c r="C33976" s="5" t="str">
        <f>IFERROR(__xludf.DUMMYFUNCTION("GOOGLETRANSLATE(B33976,""en"",""zh-CN"")"),"人在厨房里，将一些食材倒入烹饪锅中，然后将它们混合在沸水时，然后将锅放在沸水的顶部。")</f>
        <v>人在厨房里，将一些食材倒入烹饪锅中，然后将它们混合在沸水时，然后将锅放在沸水的顶部。</v>
      </c>
    </row>
    <row r="33977">
      <c r="A33977" s="4" t="s">
        <v>42750</v>
      </c>
      <c r="B33977" s="4" t="s">
        <v>42754</v>
      </c>
      <c r="C33977" s="5" t="str">
        <f>IFERROR(__xludf.DUMMYFUNCTION("GOOGLETRANSLATE(B33977,""en"",""zh-CN"")"),"男人开始在厨房辅助工具中混合，然后制造白色奶油。")</f>
        <v>男人开始在厨房辅助工具中混合，然后制造白色奶油。</v>
      </c>
    </row>
    <row r="33978">
      <c r="A33978" s="4" t="s">
        <v>42755</v>
      </c>
      <c r="B33978" s="6" t="s">
        <v>42756</v>
      </c>
      <c r="C33978" s="5" t="str">
        <f>IFERROR(__xludf.DUMMYFUNCTION("GOOGLETRANSLATE(B33978,""en"",""zh-CN"")"),"看到一大批人站在海滩周围，还有几张汽车和骑公牛的人。")</f>
        <v>看到一大批人站在海滩周围，还有几张汽车和骑公牛的人。</v>
      </c>
    </row>
    <row r="33979">
      <c r="A33979" s="4" t="s">
        <v>42755</v>
      </c>
      <c r="B33979" s="6" t="s">
        <v>42757</v>
      </c>
      <c r="C33979" s="5" t="str">
        <f>IFERROR(__xludf.DUMMYFUNCTION("GOOGLETRANSLATE(B33979,""en"",""zh-CN"")"),"各种各样的人骑公牛，坐在汽车上，并以排球和庆祝的比赛结束。")</f>
        <v>各种各样的人骑公牛，坐在汽车上，并以排球和庆祝的比赛结束。</v>
      </c>
    </row>
    <row r="33980">
      <c r="A33980" s="4" t="s">
        <v>42758</v>
      </c>
      <c r="B33980" s="4" t="s">
        <v>42759</v>
      </c>
      <c r="C33980" s="5" t="str">
        <f>IFERROR(__xludf.DUMMYFUNCTION("GOOGLETRANSLATE(B33980,""en"",""zh-CN"")"),"一辆带有温度轮胎的自行车穿过泥土。")</f>
        <v>一辆带有温度轮胎的自行车穿过泥土。</v>
      </c>
    </row>
    <row r="33981">
      <c r="A33981" s="4" t="s">
        <v>42758</v>
      </c>
      <c r="B33981" s="4" t="s">
        <v>42760</v>
      </c>
      <c r="C33981" s="5" t="str">
        <f>IFERROR(__xludf.DUMMYFUNCTION("GOOGLETRANSLATE(B33981,""en"",""zh-CN"")"),"一个男人脱下自行车去看它。")</f>
        <v>一个男人脱下自行车去看它。</v>
      </c>
    </row>
    <row r="33982">
      <c r="A33982" s="4" t="s">
        <v>42758</v>
      </c>
      <c r="B33982" s="4" t="s">
        <v>42761</v>
      </c>
      <c r="C33982" s="5" t="str">
        <f>IFERROR(__xludf.DUMMYFUNCTION("GOOGLETRANSLATE(B33982,""en"",""zh-CN"")"),"他从自行车上取出轮胎。")</f>
        <v>他从自行车上取出轮胎。</v>
      </c>
    </row>
    <row r="33983">
      <c r="A33983" s="4" t="s">
        <v>42758</v>
      </c>
      <c r="B33983" s="4" t="s">
        <v>42762</v>
      </c>
      <c r="C33983" s="5" t="str">
        <f>IFERROR(__xludf.DUMMYFUNCTION("GOOGLETRANSLATE(B33983,""en"",""zh-CN"")"),"他取代了轮胎的管子，并修理了自行车。")</f>
        <v>他取代了轮胎的管子，并修理了自行车。</v>
      </c>
    </row>
    <row r="33984">
      <c r="A33984" s="4" t="s">
        <v>42763</v>
      </c>
      <c r="B33984" s="4" t="s">
        <v>42764</v>
      </c>
      <c r="C33984" s="5" t="str">
        <f>IFERROR(__xludf.DUMMYFUNCTION("GOOGLETRANSLATE(B33984,""en"",""zh-CN"")"),"一个穿着红色湿式西装的男人坐在花车上随便说话。")</f>
        <v>一个穿着红色湿式西装的男人坐在花车上随便说话。</v>
      </c>
    </row>
    <row r="33985">
      <c r="A33985" s="4" t="s">
        <v>42763</v>
      </c>
      <c r="B33985" s="4" t="s">
        <v>42765</v>
      </c>
      <c r="C33985" s="5" t="str">
        <f>IFERROR(__xludf.DUMMYFUNCTION("GOOGLETRANSLATE(B33985,""en"",""zh-CN"")"),"在山上旁边是许多其他人，他们自己的浮标，只是放松。")</f>
        <v>在山上旁边是许多其他人，他们自己的浮标，只是放松。</v>
      </c>
    </row>
    <row r="33986">
      <c r="A33986" s="4" t="s">
        <v>42763</v>
      </c>
      <c r="B33986" s="4" t="s">
        <v>42766</v>
      </c>
      <c r="C33986" s="5" t="str">
        <f>IFERROR(__xludf.DUMMYFUNCTION("GOOGLETRANSLATE(B33986,""en"",""zh-CN"")"),"他们漂浮在河中，穿过所有绿色的风景。")</f>
        <v>他们漂浮在河中，穿过所有绿色的风景。</v>
      </c>
    </row>
    <row r="33987">
      <c r="A33987" s="4" t="s">
        <v>42763</v>
      </c>
      <c r="B33987" s="4" t="s">
        <v>42767</v>
      </c>
      <c r="C33987" s="5" t="str">
        <f>IFERROR(__xludf.DUMMYFUNCTION("GOOGLETRANSLATE(B33987,""en"",""zh-CN"")"),"穿着红色湿式西装的男人正处于领先地位。")</f>
        <v>穿着红色湿式西装的男人正处于领先地位。</v>
      </c>
    </row>
    <row r="33988">
      <c r="A33988" s="4" t="s">
        <v>42768</v>
      </c>
      <c r="B33988" s="4" t="s">
        <v>42769</v>
      </c>
      <c r="C33988" s="5" t="str">
        <f>IFERROR(__xludf.DUMMYFUNCTION("GOOGLETRANSLATE(B33988,""en"",""zh-CN"")"),"一个男孩大浪冲浪。")</f>
        <v>一个男孩大浪冲浪。</v>
      </c>
    </row>
    <row r="33989">
      <c r="A33989" s="4" t="s">
        <v>42768</v>
      </c>
      <c r="B33989" s="4" t="s">
        <v>42770</v>
      </c>
      <c r="C33989" s="5" t="str">
        <f>IFERROR(__xludf.DUMMYFUNCTION("GOOGLETRANSLATE(B33989,""en"",""zh-CN"")"),"一群人在波浪中溜走在冲浪板上。")</f>
        <v>一群人在波浪中溜走在冲浪板上。</v>
      </c>
    </row>
    <row r="33990">
      <c r="A33990" s="4" t="s">
        <v>42768</v>
      </c>
      <c r="B33990" s="4" t="s">
        <v>42771</v>
      </c>
      <c r="C33990" s="5" t="str">
        <f>IFERROR(__xludf.DUMMYFUNCTION("GOOGLETRANSLATE(B33990,""en"",""zh-CN"")"),"突然，一个男孩站在海浪下面的冲浪。")</f>
        <v>突然，一个男孩站在海浪下面的冲浪。</v>
      </c>
    </row>
    <row r="33991">
      <c r="A33991" s="4" t="s">
        <v>42768</v>
      </c>
      <c r="B33991" s="4" t="s">
        <v>42772</v>
      </c>
      <c r="C33991" s="5" t="str">
        <f>IFERROR(__xludf.DUMMYFUNCTION("GOOGLETRANSLATE(B33991,""en"",""zh-CN"")"),"男人站在海滩上拿着冲浪板。")</f>
        <v>男人站在海滩上拿着冲浪板。</v>
      </c>
    </row>
    <row r="33992">
      <c r="A33992" s="4" t="s">
        <v>42773</v>
      </c>
      <c r="B33992" s="4" t="s">
        <v>42774</v>
      </c>
      <c r="C33992" s="5" t="str">
        <f>IFERROR(__xludf.DUMMYFUNCTION("GOOGLETRANSLATE(B33992,""en"",""zh-CN"")"),"显示了一个小姐的面包的照片，然后那位女士出现了。")</f>
        <v>显示了一个小姐的面包的照片，然后那位女士出现了。</v>
      </c>
    </row>
    <row r="33993">
      <c r="A33993" s="4" t="s">
        <v>42773</v>
      </c>
      <c r="B33993" s="6" t="s">
        <v>42775</v>
      </c>
      <c r="C33993" s="5" t="str">
        <f>IFERROR(__xludf.DUMMYFUNCTION("GOOGLETRANSLATE(B33993,""en"",""zh-CN"")"),"她首先将头发的一侧编织起来，然后扭曲，在另一侧做同样的事情。")</f>
        <v>她首先将头发的一侧编织起来，然后扭曲，在另一侧做同样的事情。</v>
      </c>
    </row>
    <row r="33994">
      <c r="A33994" s="4" t="s">
        <v>42773</v>
      </c>
      <c r="B33994" s="4" t="s">
        <v>42776</v>
      </c>
      <c r="C33994" s="5" t="str">
        <f>IFERROR(__xludf.DUMMYFUNCTION("GOOGLETRANSLATE(B33994,""en"",""zh-CN"")"),"有一个扭曲，她将其拉起，Bobby将其与另一侧固定在一起。")</f>
        <v>有一个扭曲，她将其拉起，Bobby将其与另一侧固定在一起。</v>
      </c>
    </row>
    <row r="33995">
      <c r="A33995" s="4" t="s">
        <v>42773</v>
      </c>
      <c r="B33995" s="4" t="s">
        <v>42777</v>
      </c>
      <c r="C33995" s="5" t="str">
        <f>IFERROR(__xludf.DUMMYFUNCTION("GOOGLETRANSLATE(B33995,""en"",""zh-CN"")"),"然后，发型完成，她再次显示了饰面产品的更多图片。")</f>
        <v>然后，发型完成，她再次显示了饰面产品的更多图片。</v>
      </c>
    </row>
    <row r="33996">
      <c r="A33996" s="4" t="s">
        <v>42778</v>
      </c>
      <c r="B33996" s="4" t="s">
        <v>42779</v>
      </c>
      <c r="C33996" s="5" t="str">
        <f>IFERROR(__xludf.DUMMYFUNCTION("GOOGLETRANSLATE(B33996,""en"",""zh-CN"")"),"当女士剃光腿时，女性左腿和脚在浴缸里。")</f>
        <v>当女士剃光腿时，女性左腿和脚在浴缸里。</v>
      </c>
    </row>
    <row r="33997">
      <c r="A33997" s="4" t="s">
        <v>42778</v>
      </c>
      <c r="B33997" s="6" t="s">
        <v>42780</v>
      </c>
      <c r="C33997" s="5" t="str">
        <f>IFERROR(__xludf.DUMMYFUNCTION("GOOGLETRANSLATE(B33997,""en"",""zh-CN"")"),"一旦她完成了前面，她就将双腿向左和右转，并以向上的运动剃光侧面。")</f>
        <v>一旦她完成了前面，她就将双腿向左和右转，并以向上的运动剃光侧面。</v>
      </c>
    </row>
    <row r="33998">
      <c r="A33998" s="4" t="s">
        <v>42781</v>
      </c>
      <c r="B33998" s="4" t="s">
        <v>42782</v>
      </c>
      <c r="C33998" s="5" t="str">
        <f>IFERROR(__xludf.DUMMYFUNCTION("GOOGLETRANSLATE(B33998,""en"",""zh-CN"")"),"一大批穿着制服的男人聚集在一起玩一些彩弹。")</f>
        <v>一大批穿着制服的男人聚集在一起玩一些彩弹。</v>
      </c>
    </row>
    <row r="33999">
      <c r="A33999" s="4" t="s">
        <v>42781</v>
      </c>
      <c r="B33999" s="6" t="s">
        <v>42783</v>
      </c>
      <c r="C33999" s="5" t="str">
        <f>IFERROR(__xludf.DUMMYFUNCTION("GOOGLETRANSLATE(B33999,""en"",""zh-CN"")"),"他们开始逃跑，每个人都在偷偷摸摸地试图抓住和射击其他人而不被抓住。")</f>
        <v>他们开始逃跑，每个人都在偷偷摸摸地试图抓住和射击其他人而不被抓住。</v>
      </c>
    </row>
    <row r="34000">
      <c r="A34000" s="4" t="s">
        <v>42781</v>
      </c>
      <c r="B34000" s="4" t="s">
        <v>42784</v>
      </c>
      <c r="C34000" s="5" t="str">
        <f>IFERROR(__xludf.DUMMYFUNCTION("GOOGLETRANSLATE(B34000,""en"",""zh-CN"")"),"他们正在玩的领域非常酷，它有许多不同的藏身之处。")</f>
        <v>他们正在玩的领域非常酷，它有许多不同的藏身之处。</v>
      </c>
    </row>
    <row r="34001">
      <c r="A34001" s="4" t="s">
        <v>42781</v>
      </c>
      <c r="B34001" s="4" t="s">
        <v>42785</v>
      </c>
      <c r="C34001" s="5" t="str">
        <f>IFERROR(__xludf.DUMMYFUNCTION("GOOGLETRANSLATE(B34001,""en"",""zh-CN"")"),"最后，他们都掌握了大部分头齿轮，然后开始回去。")</f>
        <v>最后，他们都掌握了大部分头齿轮，然后开始回去。</v>
      </c>
    </row>
    <row r="34002">
      <c r="A34002" s="4" t="s">
        <v>42786</v>
      </c>
      <c r="B34002" s="4" t="s">
        <v>42787</v>
      </c>
      <c r="C34002" s="5" t="str">
        <f>IFERROR(__xludf.DUMMYFUNCTION("GOOGLETRANSLATE(B34002,""en"",""zh-CN"")"),"一个男人在后院的篱笆前面涂一个软管。")</f>
        <v>一个男人在后院的篱笆前面涂一个软管。</v>
      </c>
    </row>
    <row r="34003">
      <c r="A34003" s="4" t="s">
        <v>42786</v>
      </c>
      <c r="B34003" s="4" t="s">
        <v>42788</v>
      </c>
      <c r="C34003" s="5" t="str">
        <f>IFERROR(__xludf.DUMMYFUNCTION("GOOGLETRANSLATE(B34003,""en"",""zh-CN"")"),"那个男人从上到向下画篱笆。")</f>
        <v>那个男人从上到向下画篱笆。</v>
      </c>
    </row>
    <row r="34004">
      <c r="A34004" s="4" t="s">
        <v>42789</v>
      </c>
      <c r="B34004" s="6" t="s">
        <v>42790</v>
      </c>
      <c r="C34004" s="5" t="str">
        <f>IFERROR(__xludf.DUMMYFUNCTION("GOOGLETRANSLATE(B34004,""en"",""zh-CN"")"),"有一个穿着闪闪发光的金色连衣裙的女人正在吃一个大酒瓶巧克力松露冰淇淋吧。")</f>
        <v>有一个穿着闪闪发光的金色连衣裙的女人正在吃一个大酒瓶巧克力松露冰淇淋吧。</v>
      </c>
    </row>
    <row r="34005">
      <c r="A34005" s="4" t="s">
        <v>42789</v>
      </c>
      <c r="B34005" s="4" t="s">
        <v>42791</v>
      </c>
      <c r="C34005" s="5" t="str">
        <f>IFERROR(__xludf.DUMMYFUNCTION("GOOGLETRANSLATE(B34005,""en"",""zh-CN"")"),"她谈论自己最喜欢的味道是巧克力。")</f>
        <v>她谈论自己最喜欢的味道是巧克力。</v>
      </c>
    </row>
    <row r="34006">
      <c r="A34006" s="4" t="s">
        <v>42789</v>
      </c>
      <c r="B34006" s="4" t="s">
        <v>42792</v>
      </c>
      <c r="C34006" s="5" t="str">
        <f>IFERROR(__xludf.DUMMYFUNCTION("GOOGLETRANSLATE(B34006,""en"",""zh-CN"")"),"当她节省了丰富的风味时，她从冰淇淋棒上咬了一口。")</f>
        <v>当她节省了丰富的风味时，她从冰淇淋棒上咬了一口。</v>
      </c>
    </row>
    <row r="34007">
      <c r="A34007" s="4" t="s">
        <v>42789</v>
      </c>
      <c r="B34007" s="6" t="s">
        <v>42793</v>
      </c>
      <c r="C34007" s="5" t="str">
        <f>IFERROR(__xludf.DUMMYFUNCTION("GOOGLETRANSLATE(B34007,""en"",""zh-CN"")"),"她回答了需要有演员休息时间并享受她最喜欢的冰淇淋吧的问题。")</f>
        <v>她回答了需要有演员休息时间并享受她最喜欢的冰淇淋吧的问题。</v>
      </c>
    </row>
    <row r="34008">
      <c r="A34008" s="4" t="s">
        <v>42789</v>
      </c>
      <c r="B34008" s="4" t="s">
        <v>42794</v>
      </c>
      <c r="C34008" s="5" t="str">
        <f>IFERROR(__xludf.DUMMYFUNCTION("GOOGLETRANSLATE(B34008,""en"",""zh-CN"")"),"视频以decade废的巧克力冰淇淋棒的结尾，上面淋上了丰富的巧克力。")</f>
        <v>视频以decade废的巧克力冰淇淋棒的结尾，上面淋上了丰富的巧克力。</v>
      </c>
    </row>
    <row r="34009">
      <c r="A34009" s="4" t="s">
        <v>42795</v>
      </c>
      <c r="B34009" s="4" t="s">
        <v>42796</v>
      </c>
      <c r="C34009" s="5" t="str">
        <f>IFERROR(__xludf.DUMMYFUNCTION("GOOGLETRANSLATE(B34009,""en"",""zh-CN"")"),"看到一个年长的男人在笑着笑着演奏大量的邦戈鼓。")</f>
        <v>看到一个年长的男人在笑着笑着演奏大量的邦戈鼓。</v>
      </c>
    </row>
    <row r="34010">
      <c r="A34010" s="4" t="s">
        <v>42795</v>
      </c>
      <c r="B34010" s="4" t="s">
        <v>42797</v>
      </c>
      <c r="C34010" s="5" t="str">
        <f>IFERROR(__xludf.DUMMYFUNCTION("GOOGLETRANSLATE(B34010,""en"",""zh-CN"")"),"他继续越来越快地演奏，并通过最后一次拍打鼓来结束。")</f>
        <v>他继续越来越快地演奏，并通过最后一次拍打鼓来结束。</v>
      </c>
    </row>
    <row r="34011">
      <c r="A34011" s="4" t="s">
        <v>42798</v>
      </c>
      <c r="B34011" s="4" t="s">
        <v>42799</v>
      </c>
      <c r="C34011" s="5" t="str">
        <f>IFERROR(__xludf.DUMMYFUNCTION("GOOGLETRANSLATE(B34011,""en"",""zh-CN"")"),"看到一个人在自行车的背面骑着近距离，将油漆球射入远处。")</f>
        <v>看到一个人在自行车的背面骑着近距离，将油漆球射入远处。</v>
      </c>
    </row>
    <row r="34012">
      <c r="A34012" s="4" t="s">
        <v>42798</v>
      </c>
      <c r="B34012" s="4" t="s">
        <v>42800</v>
      </c>
      <c r="C34012" s="5" t="str">
        <f>IFERROR(__xludf.DUMMYFUNCTION("GOOGLETRANSLATE(B34012,""en"",""zh-CN"")"),"显示了几张镜头，人们在汽车上骑车互相射击。")</f>
        <v>显示了几张镜头，人们在汽车上骑车互相射击。</v>
      </c>
    </row>
    <row r="34013">
      <c r="A34013" s="4" t="s">
        <v>42798</v>
      </c>
      <c r="B34013" s="4" t="s">
        <v>42801</v>
      </c>
      <c r="C34013" s="5" t="str">
        <f>IFERROR(__xludf.DUMMYFUNCTION("GOOGLETRANSLATE(B34013,""en"",""zh-CN"")"),"人们继续在机器上骑行，跳过障碍。")</f>
        <v>人们继续在机器上骑行，跳过障碍。</v>
      </c>
    </row>
    <row r="34014">
      <c r="A34014" s="4" t="s">
        <v>42802</v>
      </c>
      <c r="B34014" s="4" t="s">
        <v>42803</v>
      </c>
      <c r="C34014" s="5" t="str">
        <f>IFERROR(__xludf.DUMMYFUNCTION("GOOGLETRANSLATE(B34014,""en"",""zh-CN"")"),"一个摄像头在汽车内部周围抬头，望着其他汽车在行驶。")</f>
        <v>一个摄像头在汽车内部周围抬头，望着其他汽车在行驶。</v>
      </c>
    </row>
    <row r="34015">
      <c r="A34015" s="4" t="s">
        <v>42802</v>
      </c>
      <c r="B34015" s="4" t="s">
        <v>42804</v>
      </c>
      <c r="C34015" s="5" t="str">
        <f>IFERROR(__xludf.DUMMYFUNCTION("GOOGLETRANSLATE(B34015,""en"",""zh-CN"")"),"汽车在环顾沙地时开始移动，并向汽车内的人们展示。")</f>
        <v>汽车在环顾沙地时开始移动，并向汽车内的人们展示。</v>
      </c>
    </row>
    <row r="34016">
      <c r="A34016" s="4" t="s">
        <v>42802</v>
      </c>
      <c r="B34016" s="6" t="s">
        <v>42805</v>
      </c>
      <c r="C34016" s="5" t="str">
        <f>IFERROR(__xludf.DUMMYFUNCTION("GOOGLETRANSLATE(B34016,""en"",""zh-CN"")"),"相机导致骑在骆驼上的人们的镜头，并导致骑在骆驼上的人们的镜头。")</f>
        <v>相机导致骑在骆驼上的人们的镜头，并导致骑在骆驼上的人们的镜头。</v>
      </c>
    </row>
    <row r="34017">
      <c r="A34017" s="4" t="s">
        <v>42806</v>
      </c>
      <c r="B34017" s="4" t="s">
        <v>42807</v>
      </c>
      <c r="C34017" s="5" t="str">
        <f>IFERROR(__xludf.DUMMYFUNCTION("GOOGLETRANSLATE(B34017,""en"",""zh-CN"")"),"一个人滑板到坡道上，一个女人在手机的屏幕上，然后是男人。")</f>
        <v>一个人滑板到坡道上，一个女人在手机的屏幕上，然后是男人。</v>
      </c>
    </row>
    <row r="34018">
      <c r="A34018" s="4" t="s">
        <v>42806</v>
      </c>
      <c r="B34018" s="6" t="s">
        <v>42808</v>
      </c>
      <c r="C34018" s="5" t="str">
        <f>IFERROR(__xludf.DUMMYFUNCTION("GOOGLETRANSLATE(B34018,""en"",""zh-CN"")"),"当另外两个男人走到他身边给他五岁时，一个男孩的钢筋沿着白色的栏杆沿着白色栏杆。")</f>
        <v>当另外两个男人走到他身边给他五岁时，一个男孩的钢筋沿着白色的栏杆沿着白色栏杆。</v>
      </c>
    </row>
    <row r="34019">
      <c r="A34019" s="4" t="s">
        <v>42806</v>
      </c>
      <c r="B34019" s="4" t="s">
        <v>42809</v>
      </c>
      <c r="C34019" s="5" t="str">
        <f>IFERROR(__xludf.DUMMYFUNCTION("GOOGLETRANSLATE(B34019,""en"",""zh-CN"")"),"一个戴着蓝色顶部滚筒的年轻人在栏杆上，给同龄人高。")</f>
        <v>一个戴着蓝色顶部滚筒的年轻人在栏杆上，给同龄人高。</v>
      </c>
    </row>
    <row r="34020">
      <c r="A34020" s="4" t="s">
        <v>42810</v>
      </c>
      <c r="B34020" s="4" t="s">
        <v>42811</v>
      </c>
      <c r="C34020" s="5" t="str">
        <f>IFERROR(__xludf.DUMMYFUNCTION("GOOGLETRANSLATE(B34020,""en"",""zh-CN"")"),"看到一小群人站在桌子上，彼此笑着。")</f>
        <v>看到一小群人站在桌子上，彼此笑着。</v>
      </c>
    </row>
    <row r="34021">
      <c r="A34021" s="4" t="s">
        <v>42810</v>
      </c>
      <c r="B34021" s="6" t="s">
        <v>42812</v>
      </c>
      <c r="C34021" s="5" t="str">
        <f>IFERROR(__xludf.DUMMYFUNCTION("GOOGLETRANSLATE(B34021,""en"",""zh-CN"")"),"然后，两个人从冰容器中喝酒，并导致更多的人从容器中喝酒。")</f>
        <v>然后，两个人从冰容器中喝酒，并导致更多的人从容器中喝酒。</v>
      </c>
    </row>
    <row r="34022">
      <c r="A34022" s="4" t="s">
        <v>42810</v>
      </c>
      <c r="B34022" s="4" t="s">
        <v>42813</v>
      </c>
      <c r="C34022" s="5" t="str">
        <f>IFERROR(__xludf.DUMMYFUNCTION("GOOGLETRANSLATE(B34022,""en"",""zh-CN"")"),"一支团队在另一个团队中结束，每个人都在庆祝。")</f>
        <v>一支团队在另一个团队中结束，每个人都在庆祝。</v>
      </c>
    </row>
    <row r="34023">
      <c r="A34023" s="4" t="s">
        <v>42814</v>
      </c>
      <c r="B34023" s="6" t="s">
        <v>42815</v>
      </c>
      <c r="C34023" s="5" t="str">
        <f>IFERROR(__xludf.DUMMYFUNCTION("GOOGLETRANSLATE(B34023,""en"",""zh-CN"")"),"健身房里有很多女性，戴着拳击手套和运动式装备在吊袋上打孔。")</f>
        <v>健身房里有很多女性，戴着拳击手套和运动式装备在吊袋上打孔。</v>
      </c>
    </row>
    <row r="34024">
      <c r="A34024" s="4" t="s">
        <v>42814</v>
      </c>
      <c r="B34024" s="6" t="s">
        <v>42816</v>
      </c>
      <c r="C34024" s="5" t="str">
        <f>IFERROR(__xludf.DUMMYFUNCTION("GOOGLETRANSLATE(B34024,""en"",""zh-CN"")"),"相机盘以显示墙壁，墙壁上有“ ilovekickboxing dot com”，其中包括一个徽标，其中包括带有翅膀和拳击手套的心脏，从右翼的底部悬挂着拳击手套。")</f>
        <v>相机盘以显示墙壁，墙壁上有“ ilovekickboxing dot com”，其中包括一个徽标，其中包括带有翅膀和拳击手套的心脏，从右翼的底部悬挂着拳击手套。</v>
      </c>
    </row>
    <row r="34025">
      <c r="A34025" s="4" t="s">
        <v>42814</v>
      </c>
      <c r="B34025" s="6" t="s">
        <v>42817</v>
      </c>
      <c r="C34025" s="5" t="str">
        <f>IFERROR(__xludf.DUMMYFUNCTION("GOOGLETRANSLATE(B34025,""en"",""zh-CN"")"),"房间倒回房间的其余部分，并继续显示许多妇女仍在打孔袋。")</f>
        <v>房间倒回房间的其余部分，并继续显示许多妇女仍在打孔袋。</v>
      </c>
    </row>
    <row r="34026">
      <c r="A34026" s="4" t="s">
        <v>42818</v>
      </c>
      <c r="B34026" s="4" t="s">
        <v>42819</v>
      </c>
      <c r="C34026" s="5" t="str">
        <f>IFERROR(__xludf.DUMMYFUNCTION("GOOGLETRANSLATE(B34026,""en"",""zh-CN"")"),"孩子们在后院的皮纳塔（Pinata）挥动扫帚手柄。")</f>
        <v>孩子们在后院的皮纳塔（Pinata）挥动扫帚手柄。</v>
      </c>
    </row>
    <row r="34027">
      <c r="A34027" s="4" t="s">
        <v>42818</v>
      </c>
      <c r="B34027" s="4" t="s">
        <v>42820</v>
      </c>
      <c r="C34027" s="5" t="str">
        <f>IFERROR(__xludf.DUMMYFUNCTION("GOOGLETRANSLATE(B34027,""en"",""zh-CN"")"),"男孩打破了皮纳塔，糖果洒在地面上。")</f>
        <v>男孩打破了皮纳塔，糖果洒在地面上。</v>
      </c>
    </row>
    <row r="34028">
      <c r="A34028" s="4" t="s">
        <v>42818</v>
      </c>
      <c r="B34028" s="4" t="s">
        <v>42821</v>
      </c>
      <c r="C34028" s="5" t="str">
        <f>IFERROR(__xludf.DUMMYFUNCTION("GOOGLETRANSLATE(B34028,""en"",""zh-CN"")"),"一个女人跑起来并调整皮纳塔。")</f>
        <v>一个女人跑起来并调整皮纳塔。</v>
      </c>
    </row>
    <row r="34029">
      <c r="A34029" s="4" t="s">
        <v>42818</v>
      </c>
      <c r="B34029" s="4" t="s">
        <v>42822</v>
      </c>
      <c r="C34029" s="5" t="str">
        <f>IFERROR(__xludf.DUMMYFUNCTION("GOOGLETRANSLATE(B34029,""en"",""zh-CN"")"),"一个女人跑起来拿起扫帚棍，但躲避不会被蒙住眼睛的孩子击中。")</f>
        <v>一个女人跑起来拿起扫帚棍，但躲避不会被蒙住眼睛的孩子击中。</v>
      </c>
    </row>
    <row r="34030">
      <c r="A34030" s="4" t="s">
        <v>42818</v>
      </c>
      <c r="B34030" s="4" t="s">
        <v>42823</v>
      </c>
      <c r="C34030" s="5" t="str">
        <f>IFERROR(__xludf.DUMMYFUNCTION("GOOGLETRANSLATE(B34030,""en"",""zh-CN"")"),"女人引导那个被蒙住眼睛的男孩。")</f>
        <v>女人引导那个被蒙住眼睛的男孩。</v>
      </c>
    </row>
    <row r="34031">
      <c r="A34031" s="4" t="s">
        <v>42824</v>
      </c>
      <c r="B34031" s="4" t="s">
        <v>42825</v>
      </c>
      <c r="C34031" s="5" t="str">
        <f>IFERROR(__xludf.DUMMYFUNCTION("GOOGLETRANSLATE(B34031,""en"",""zh-CN"")"),"看到一个女人站在另一个坐在椅子上的女人后面，开始造型头发。")</f>
        <v>看到一个女人站在另一个坐在椅子上的女人后面，开始造型头发。</v>
      </c>
    </row>
    <row r="34032">
      <c r="A34032" s="4" t="s">
        <v>42824</v>
      </c>
      <c r="B34032" s="6" t="s">
        <v>42826</v>
      </c>
      <c r="C34032" s="5" t="str">
        <f>IFERROR(__xludf.DUMMYFUNCTION("GOOGLETRANSLATE(B34032,""en"",""zh-CN"")"),"女人刷和零件，她的头发广告开始编织头发，并将其固定在多个位置。")</f>
        <v>女人刷和零件，她的头发广告开始编织头发，并将其固定在多个位置。</v>
      </c>
    </row>
    <row r="34033">
      <c r="A34033" s="4" t="s">
        <v>42824</v>
      </c>
      <c r="B34033" s="4" t="s">
        <v>42827</v>
      </c>
      <c r="C34033" s="5" t="str">
        <f>IFERROR(__xludf.DUMMYFUNCTION("GOOGLETRANSLATE(B34033,""en"",""zh-CN"")"),"那个女人在看着相机时炫耀她的头发。")</f>
        <v>那个女人在看着相机时炫耀她的头发。</v>
      </c>
    </row>
    <row r="34034">
      <c r="A34034" s="4" t="s">
        <v>42828</v>
      </c>
      <c r="B34034" s="6" t="s">
        <v>42829</v>
      </c>
      <c r="C34034" s="5" t="str">
        <f>IFERROR(__xludf.DUMMYFUNCTION("GOOGLETRANSLATE(B34034,""en"",""zh-CN"")"),"一个年轻的女孩在公园里，抓住并挂在悬挂的三角形上，前进，穿过7个三角形。")</f>
        <v>一个年轻的女孩在公园里，抓住并挂在悬挂的三角形上，前进，穿过7个三角形。</v>
      </c>
    </row>
    <row r="34035">
      <c r="A34035" s="4" t="s">
        <v>42828</v>
      </c>
      <c r="B34035" s="6" t="s">
        <v>42830</v>
      </c>
      <c r="C34035" s="5" t="str">
        <f>IFERROR(__xludf.DUMMYFUNCTION("GOOGLETRANSLATE(B34035,""en"",""zh-CN"")"),"一旦她到达末尾，她就回到了3个三角形的情况下，没有转过身，然后在第四个三角形上转身，然后继续回到她开始的地方。")</f>
        <v>一旦她到达末尾，她就回到了3个三角形的情况下，没有转过身，然后在第四个三角形上转身，然后继续回到她开始的地方。</v>
      </c>
    </row>
    <row r="34036">
      <c r="A34036" s="4" t="s">
        <v>42828</v>
      </c>
      <c r="B34036" s="4" t="s">
        <v>42831</v>
      </c>
      <c r="C34036" s="5" t="str">
        <f>IFERROR(__xludf.DUMMYFUNCTION("GOOGLETRANSLATE(B34036,""en"",""zh-CN"")"),"这个年轻的女孩在平台上跳下来，微笑着。")</f>
        <v>这个年轻的女孩在平台上跳下来，微笑着。</v>
      </c>
    </row>
    <row r="34037">
      <c r="A34037" s="4" t="s">
        <v>42832</v>
      </c>
      <c r="B34037" s="4" t="s">
        <v>42833</v>
      </c>
      <c r="C34037" s="5" t="str">
        <f>IFERROR(__xludf.DUMMYFUNCTION("GOOGLETRANSLATE(B34037,""en"",""zh-CN"")"),"一个带有两个辫子的女孩从她的背上站在外面。")</f>
        <v>一个带有两个辫子的女孩从她的背上站在外面。</v>
      </c>
    </row>
    <row r="34038">
      <c r="A34038" s="4" t="s">
        <v>42832</v>
      </c>
      <c r="B34038" s="4" t="s">
        <v>42834</v>
      </c>
      <c r="C34038" s="5" t="str">
        <f>IFERROR(__xludf.DUMMYFUNCTION("GOOGLETRANSLATE(B34038,""en"",""zh-CN"")"),"她转向相机，现在的头发已经掉下来了。")</f>
        <v>她转向相机，现在的头发已经掉下来了。</v>
      </c>
    </row>
    <row r="34039">
      <c r="A34039" s="4" t="s">
        <v>42832</v>
      </c>
      <c r="B34039" s="4" t="s">
        <v>42835</v>
      </c>
      <c r="C34039" s="5" t="str">
        <f>IFERROR(__xludf.DUMMYFUNCTION("GOOGLETRANSLATE(B34039,""en"",""zh-CN"")"),"她躺在造型师椅子上，展示了样式的完成方式。")</f>
        <v>她躺在造型师椅子上，展示了样式的完成方式。</v>
      </c>
    </row>
    <row r="34040">
      <c r="A34040" s="4" t="s">
        <v>42836</v>
      </c>
      <c r="B34040" s="4" t="s">
        <v>42837</v>
      </c>
      <c r="C34040" s="5" t="str">
        <f>IFERROR(__xludf.DUMMYFUNCTION("GOOGLETRANSLATE(B34040,""en"",""zh-CN"")"),"这个女人正在向观众展示她如何制作芝士蛋糕。")</f>
        <v>这个女人正在向观众展示她如何制作芝士蛋糕。</v>
      </c>
    </row>
    <row r="34041">
      <c r="A34041" s="4" t="s">
        <v>42836</v>
      </c>
      <c r="B34041" s="4" t="s">
        <v>42838</v>
      </c>
      <c r="C34041" s="5" t="str">
        <f>IFERROR(__xludf.DUMMYFUNCTION("GOOGLETRANSLATE(B34041,""en"",""zh-CN"")"),"首先，她放了四分之三的贝莱和相同数量的菠萝汁。")</f>
        <v>首先，她放了四分之三的贝莱和相同数量的菠萝汁。</v>
      </c>
    </row>
    <row r="34042">
      <c r="A34042" s="4" t="s">
        <v>42836</v>
      </c>
      <c r="B34042" s="6" t="s">
        <v>42839</v>
      </c>
      <c r="C34042" s="5" t="str">
        <f>IFERROR(__xludf.DUMMYFUNCTION("GOOGLETRANSLATE(B34042,""en"",""zh-CN"")"),"然后，她将另一种液体倒入四分之一盎司，然后获得了2盎司的射击玻璃，并从振动器中的冰中加油，将其放入玻璃杯中。")</f>
        <v>然后，她将另一种液体倒入四分之一盎司，然后获得了2盎司的射击玻璃，并从振动器中的冰中加油，将其放入玻璃杯中。</v>
      </c>
    </row>
    <row r="34043">
      <c r="A34043" s="4" t="s">
        <v>42840</v>
      </c>
      <c r="B34043" s="4" t="s">
        <v>42841</v>
      </c>
      <c r="C34043" s="5" t="str">
        <f>IFERROR(__xludf.DUMMYFUNCTION("GOOGLETRANSLATE(B34043,""en"",""zh-CN"")"),"两名男子站在录音室演奏乐器中。")</f>
        <v>两名男子站在录音室演奏乐器中。</v>
      </c>
    </row>
    <row r="34044">
      <c r="A34044" s="4" t="s">
        <v>42840</v>
      </c>
      <c r="B34044" s="4" t="s">
        <v>42842</v>
      </c>
      <c r="C34044" s="5" t="str">
        <f>IFERROR(__xludf.DUMMYFUNCTION("GOOGLETRANSLATE(B34044,""en"",""zh-CN"")"),"一个是弹吉他，另一个是一起弹笛。")</f>
        <v>一个是弹吉他，另一个是一起弹笛。</v>
      </c>
    </row>
    <row r="34045">
      <c r="A34045" s="4" t="s">
        <v>42840</v>
      </c>
      <c r="B34045" s="4" t="s">
        <v>42843</v>
      </c>
      <c r="C34045" s="5" t="str">
        <f>IFERROR(__xludf.DUMMYFUNCTION("GOOGLETRANSLATE(B34045,""en"",""zh-CN"")"),"他们完成了自己的歌曲，另一个人给了相机手势，而另一个微笑。")</f>
        <v>他们完成了自己的歌曲，另一个人给了相机手势，而另一个微笑。</v>
      </c>
    </row>
    <row r="34046">
      <c r="A34046" s="4" t="s">
        <v>42844</v>
      </c>
      <c r="B34046" s="4" t="s">
        <v>42845</v>
      </c>
      <c r="C34046" s="5" t="str">
        <f>IFERROR(__xludf.DUMMYFUNCTION("GOOGLETRANSLATE(B34046,""en"",""zh-CN"")"),"一个男人拿着魔方。")</f>
        <v>一个男人拿着魔方。</v>
      </c>
    </row>
    <row r="34047">
      <c r="A34047" s="4" t="s">
        <v>42844</v>
      </c>
      <c r="B34047" s="4" t="s">
        <v>42846</v>
      </c>
      <c r="C34047" s="5" t="str">
        <f>IFERROR(__xludf.DUMMYFUNCTION("GOOGLETRANSLATE(B34047,""en"",""zh-CN"")"),"然后，他开始转动它。")</f>
        <v>然后，他开始转动它。</v>
      </c>
    </row>
    <row r="34048">
      <c r="A34048" s="4" t="s">
        <v>42844</v>
      </c>
      <c r="B34048" s="4" t="s">
        <v>42847</v>
      </c>
      <c r="C34048" s="5" t="str">
        <f>IFERROR(__xludf.DUMMYFUNCTION("GOOGLETRANSLATE(B34048,""en"",""zh-CN"")"),"他停下来看看。")</f>
        <v>他停下来看看。</v>
      </c>
    </row>
    <row r="34049">
      <c r="A34049" s="4" t="s">
        <v>42844</v>
      </c>
      <c r="B34049" s="4" t="s">
        <v>42848</v>
      </c>
      <c r="C34049" s="5" t="str">
        <f>IFERROR(__xludf.DUMMYFUNCTION("GOOGLETRANSLATE(B34049,""en"",""zh-CN"")"),"最终，他解决了这一点，并展示了他的时间。")</f>
        <v>最终，他解决了这一点，并展示了他的时间。</v>
      </c>
    </row>
    <row r="34050">
      <c r="A34050" s="4" t="s">
        <v>42849</v>
      </c>
      <c r="B34050" s="4" t="s">
        <v>42850</v>
      </c>
      <c r="C34050" s="5" t="str">
        <f>IFERROR(__xludf.DUMMYFUNCTION("GOOGLETRANSLATE(B34050,""en"",""zh-CN"")"),"一个男孩出现在屏幕上，得到一杯水并吞噬它。")</f>
        <v>一个男孩出现在屏幕上，得到一杯水并吞噬它。</v>
      </c>
    </row>
    <row r="34051">
      <c r="A34051" s="4" t="s">
        <v>42849</v>
      </c>
      <c r="B34051" s="4" t="s">
        <v>42851</v>
      </c>
      <c r="C34051" s="5" t="str">
        <f>IFERROR(__xludf.DUMMYFUNCTION("GOOGLETRANSLATE(B34051,""en"",""zh-CN"")"),"他微笑着走下屏幕。")</f>
        <v>他微笑着走下屏幕。</v>
      </c>
    </row>
    <row r="34052">
      <c r="A34052" s="4" t="s">
        <v>42849</v>
      </c>
      <c r="B34052" s="4" t="s">
        <v>42852</v>
      </c>
      <c r="C34052" s="5" t="str">
        <f>IFERROR(__xludf.DUMMYFUNCTION("GOOGLETRANSLATE(B34052,""en"",""zh-CN"")"),"他返回并继续抓紧和笑。")</f>
        <v>他返回并继续抓紧和笑。</v>
      </c>
    </row>
    <row r="34053">
      <c r="A34053" s="4" t="s">
        <v>42849</v>
      </c>
      <c r="B34053" s="4" t="s">
        <v>42853</v>
      </c>
      <c r="C34053" s="5" t="str">
        <f>IFERROR(__xludf.DUMMYFUNCTION("GOOGLETRANSLATE(B34053,""en"",""zh-CN"")"),"一个人来到屏幕上，邀请人们订阅他的视频。")</f>
        <v>一个人来到屏幕上，邀请人们订阅他的视频。</v>
      </c>
    </row>
    <row r="34054">
      <c r="A34054" s="4" t="s">
        <v>42854</v>
      </c>
      <c r="B34054" s="4" t="s">
        <v>42855</v>
      </c>
      <c r="C34054" s="5" t="str">
        <f>IFERROR(__xludf.DUMMYFUNCTION("GOOGLETRANSLATE(B34054,""en"",""zh-CN"")"),"女人在和镜头说话。")</f>
        <v>女人在和镜头说话。</v>
      </c>
    </row>
    <row r="34055">
      <c r="A34055" s="4" t="s">
        <v>42854</v>
      </c>
      <c r="B34055" s="4" t="s">
        <v>42856</v>
      </c>
      <c r="C34055" s="5" t="str">
        <f>IFERROR(__xludf.DUMMYFUNCTION("GOOGLETRANSLATE(B34055,""en"",""zh-CN"")"),"孩子们在舞台上奔跑并跳绳。")</f>
        <v>孩子们在舞台上奔跑并跳绳。</v>
      </c>
    </row>
    <row r="34056">
      <c r="A34056" s="4" t="s">
        <v>42854</v>
      </c>
      <c r="B34056" s="4" t="s">
        <v>42857</v>
      </c>
      <c r="C34056" s="5" t="str">
        <f>IFERROR(__xludf.DUMMYFUNCTION("GOOGLETRANSLATE(B34056,""en"",""zh-CN"")"),"孩子们在法庭上观看跳过的绳索比赛。")</f>
        <v>孩子们在法庭上观看跳过的绳索比赛。</v>
      </c>
    </row>
    <row r="34057">
      <c r="A34057" s="4" t="s">
        <v>42858</v>
      </c>
      <c r="B34057" s="4" t="s">
        <v>42859</v>
      </c>
      <c r="C34057" s="5" t="str">
        <f>IFERROR(__xludf.DUMMYFUNCTION("GOOGLETRANSLATE(B34057,""en"",""zh-CN"")"),"一个女人把冰放在玻璃杯里。")</f>
        <v>一个女人把冰放在玻璃杯里。</v>
      </c>
    </row>
    <row r="34058">
      <c r="A34058" s="4" t="s">
        <v>42858</v>
      </c>
      <c r="B34058" s="4" t="s">
        <v>42860</v>
      </c>
      <c r="C34058" s="5" t="str">
        <f>IFERROR(__xludf.DUMMYFUNCTION("GOOGLETRANSLATE(B34058,""en"",""zh-CN"")"),"她将瓶子倒入玻璃杯中，并加入果汁。")</f>
        <v>她将瓶子倒入玻璃杯中，并加入果汁。</v>
      </c>
    </row>
    <row r="34059">
      <c r="A34059" s="4" t="s">
        <v>42858</v>
      </c>
      <c r="B34059" s="4" t="s">
        <v>42861</v>
      </c>
      <c r="C34059" s="5" t="str">
        <f>IFERROR(__xludf.DUMMYFUNCTION("GOOGLETRANSLATE(B34059,""en"",""zh-CN"")"),"她搅拌饮料，将其放在柜台上。")</f>
        <v>她搅拌饮料，将其放在柜台上。</v>
      </c>
    </row>
    <row r="34060">
      <c r="A34060" s="4" t="s">
        <v>42862</v>
      </c>
      <c r="B34060" s="4" t="s">
        <v>42863</v>
      </c>
      <c r="C34060" s="5" t="str">
        <f>IFERROR(__xludf.DUMMYFUNCTION("GOOGLETRANSLATE(B34060,""en"",""zh-CN"")"),"一个戴着绿色帽子的男人坐在汽车上，拿着咖啡杯说话。")</f>
        <v>一个戴着绿色帽子的男人坐在汽车上，拿着咖啡杯说话。</v>
      </c>
    </row>
    <row r="34061">
      <c r="A34061" s="4" t="s">
        <v>42862</v>
      </c>
      <c r="B34061" s="4" t="s">
        <v>42864</v>
      </c>
      <c r="C34061" s="5" t="str">
        <f>IFERROR(__xludf.DUMMYFUNCTION("GOOGLETRANSLATE(B34061,""en"",""zh-CN"")"),"他在仪表板上设置了相机，然后继续说话。")</f>
        <v>他在仪表板上设置了相机，然后继续说话。</v>
      </c>
    </row>
    <row r="34062">
      <c r="A34062" s="4" t="s">
        <v>42862</v>
      </c>
      <c r="B34062" s="4" t="s">
        <v>42865</v>
      </c>
      <c r="C34062" s="5" t="str">
        <f>IFERROR(__xludf.DUMMYFUNCTION("GOOGLETRANSLATE(B34062,""en"",""zh-CN"")"),"他拿着咖啡，喝了几滴。")</f>
        <v>他拿着咖啡，喝了几滴。</v>
      </c>
    </row>
    <row r="34063">
      <c r="A34063" s="4" t="s">
        <v>42862</v>
      </c>
      <c r="B34063" s="4" t="s">
        <v>42866</v>
      </c>
      <c r="C34063" s="5" t="str">
        <f>IFERROR(__xludf.DUMMYFUNCTION("GOOGLETRANSLATE(B34063,""en"",""zh-CN"")"),"他继续握住杯子时继续说话。")</f>
        <v>他继续握住杯子时继续说话。</v>
      </c>
    </row>
    <row r="34064">
      <c r="A34064" s="4" t="s">
        <v>42867</v>
      </c>
      <c r="B34064" s="6" t="s">
        <v>42868</v>
      </c>
      <c r="C34064" s="5" t="str">
        <f>IFERROR(__xludf.DUMMYFUNCTION("GOOGLETRANSLATE(B34064,""en"",""zh-CN"")"),"当一个男人带着礁石鼓风机走进去时，一匹马的特写被绑在篱笆上。")</f>
        <v>当一个男人带着礁石鼓风机走进去时，一匹马的特写被绑在篱笆上。</v>
      </c>
    </row>
    <row r="34065">
      <c r="A34065" s="4" t="s">
        <v>42867</v>
      </c>
      <c r="B34065" s="4" t="s">
        <v>42869</v>
      </c>
      <c r="C34065" s="5" t="str">
        <f>IFERROR(__xludf.DUMMYFUNCTION("GOOGLETRANSLATE(B34065,""en"",""zh-CN"")"),"随着马的移动，他四处移动在动物上，在它们的皮毛上流动。")</f>
        <v>随着马的移动，他四处移动在动物上，在它们的皮毛上流动。</v>
      </c>
    </row>
    <row r="34066">
      <c r="A34066" s="4" t="s">
        <v>42870</v>
      </c>
      <c r="B34066" s="6" t="s">
        <v>42871</v>
      </c>
      <c r="C34066" s="5" t="str">
        <f>IFERROR(__xludf.DUMMYFUNCTION("GOOGLETRANSLATE(B34066,""en"",""zh-CN"")"),"当汽车经过时，一个穿着苏格兰短裙和白色T恤的男人站在购物带停车场的外面时扮演风笛。")</f>
        <v>当汽车经过时，一个穿着苏格兰短裙和白色T恤的男人站在购物带停车场的外面时扮演风笛。</v>
      </c>
    </row>
    <row r="34067">
      <c r="A34067" s="4" t="s">
        <v>42870</v>
      </c>
      <c r="B34067" s="4" t="s">
        <v>42872</v>
      </c>
      <c r="C34067" s="5" t="str">
        <f>IFERROR(__xludf.DUMMYFUNCTION("GOOGLETRANSLATE(B34067,""en"",""zh-CN"")"),"一个人站在黄色消防栓旁边，随着汽车的通行证播放风笛。")</f>
        <v>一个人站在黄色消防栓旁边，随着汽车的通行证播放风笛。</v>
      </c>
    </row>
    <row r="34068">
      <c r="A34068" s="4" t="s">
        <v>42870</v>
      </c>
      <c r="B34068" s="4" t="s">
        <v>42873</v>
      </c>
      <c r="C34068" s="5" t="str">
        <f>IFERROR(__xludf.DUMMYFUNCTION("GOOGLETRANSLATE(B34068,""en"",""zh-CN"")"),"该人在玩耍时靠近汽车或人行道的边缘。")</f>
        <v>该人在玩耍时靠近汽车或人行道的边缘。</v>
      </c>
    </row>
    <row r="34069">
      <c r="A34069" s="4" t="s">
        <v>42870</v>
      </c>
      <c r="B34069" s="4" t="s">
        <v>42874</v>
      </c>
      <c r="C34069" s="5" t="str">
        <f>IFERROR(__xludf.DUMMYFUNCTION("GOOGLETRANSLATE(B34069,""en"",""zh-CN"")"),"该男子继续在人行道上玩风笛，直到场景逐渐消失为黑色。")</f>
        <v>该男子继续在人行道上玩风笛，直到场景逐渐消失为黑色。</v>
      </c>
    </row>
    <row r="34070">
      <c r="A34070" s="4" t="s">
        <v>42875</v>
      </c>
      <c r="B34070" s="4" t="s">
        <v>42876</v>
      </c>
      <c r="C34070" s="5" t="str">
        <f>IFERROR(__xludf.DUMMYFUNCTION("GOOGLETRANSLATE(B34070,""en"",""zh-CN"")"),"一个女人看着相机时正在梳理头发。")</f>
        <v>一个女人看着相机时正在梳理头发。</v>
      </c>
    </row>
    <row r="34071">
      <c r="A34071" s="4" t="s">
        <v>42875</v>
      </c>
      <c r="B34071" s="4" t="s">
        <v>42877</v>
      </c>
      <c r="C34071" s="5" t="str">
        <f>IFERROR(__xludf.DUMMYFUNCTION("GOOGLETRANSLATE(B34071,""en"",""zh-CN"")"),"然后，她直截了当地刷刘海。")</f>
        <v>然后，她直截了当地刷刘海。</v>
      </c>
    </row>
    <row r="34072">
      <c r="A34072" s="4" t="s">
        <v>42875</v>
      </c>
      <c r="B34072" s="4" t="s">
        <v>42878</v>
      </c>
      <c r="C34072" s="5" t="str">
        <f>IFERROR(__xludf.DUMMYFUNCTION("GOOGLETRANSLATE(B34072,""en"",""zh-CN"")"),"她继续用梳子和手刷牙。")</f>
        <v>她继续用梳子和手刷牙。</v>
      </c>
    </row>
    <row r="34073">
      <c r="A34073" s="4" t="s">
        <v>42879</v>
      </c>
      <c r="B34073" s="4" t="s">
        <v>42880</v>
      </c>
      <c r="C34073" s="5" t="str">
        <f>IFERROR(__xludf.DUMMYFUNCTION("GOOGLETRANSLATE(B34073,""en"",""zh-CN"")"),"一个人用某种机器站在墙外，开始说话。")</f>
        <v>一个人用某种机器站在墙外，开始说话。</v>
      </c>
    </row>
    <row r="34074">
      <c r="A34074" s="4" t="s">
        <v>42879</v>
      </c>
      <c r="B34074" s="4" t="s">
        <v>42881</v>
      </c>
      <c r="C34074" s="5" t="str">
        <f>IFERROR(__xludf.DUMMYFUNCTION("GOOGLETRANSLATE(B34074,""en"",""zh-CN"")"),"该男子拿起软管，压力在将围栏填入围栏之前洗涤。")</f>
        <v>该男子拿起软管，压力在将围栏填入围栏之前洗涤。</v>
      </c>
    </row>
    <row r="34075">
      <c r="A34075" s="4" t="s">
        <v>42879</v>
      </c>
      <c r="B34075" s="4" t="s">
        <v>42882</v>
      </c>
      <c r="C34075" s="5" t="str">
        <f>IFERROR(__xludf.DUMMYFUNCTION("GOOGLETRANSLATE(B34075,""en"",""zh-CN"")"),"然后，他跪下来，向机器上添加喷漆并涂上墙壁。")</f>
        <v>然后，他跪下来，向机器上添加喷漆并涂上墙壁。</v>
      </c>
    </row>
    <row r="34076">
      <c r="A34076" s="4" t="s">
        <v>42879</v>
      </c>
      <c r="B34076" s="4" t="s">
        <v>42883</v>
      </c>
      <c r="C34076" s="5" t="str">
        <f>IFERROR(__xludf.DUMMYFUNCTION("GOOGLETRANSLATE(B34076,""en"",""zh-CN"")"),"最后，他用油漆刷回到墙上，填补了缺失的空间。")</f>
        <v>最后，他用油漆刷回到墙上，填补了缺失的空间。</v>
      </c>
    </row>
    <row r="34077">
      <c r="A34077" s="4" t="s">
        <v>42884</v>
      </c>
      <c r="B34077" s="4" t="s">
        <v>42885</v>
      </c>
      <c r="C34077" s="5" t="str">
        <f>IFERROR(__xludf.DUMMYFUNCTION("GOOGLETRANSLATE(B34077,""en"",""zh-CN"")"),"看到一个女人通过五颜六色的横幅潜入。")</f>
        <v>看到一个女人通过五颜六色的横幅潜入。</v>
      </c>
    </row>
    <row r="34078">
      <c r="A34078" s="4" t="s">
        <v>42884</v>
      </c>
      <c r="B34078" s="4" t="s">
        <v>42886</v>
      </c>
      <c r="C34078" s="5" t="str">
        <f>IFERROR(__xludf.DUMMYFUNCTION("GOOGLETRANSLATE(B34078,""en"",""zh-CN"")"),"显示了建筑物的外部。")</f>
        <v>显示了建筑物的外部。</v>
      </c>
    </row>
    <row r="34079">
      <c r="A34079" s="4" t="s">
        <v>42884</v>
      </c>
      <c r="B34079" s="4" t="s">
        <v>42887</v>
      </c>
      <c r="C34079" s="5" t="str">
        <f>IFERROR(__xludf.DUMMYFUNCTION("GOOGLETRANSLATE(B34079,""en"",""zh-CN"")"),"我们看到一个记分牌，然后是女教练为游泳做准备的。")</f>
        <v>我们看到一个记分牌，然后是女教练为游泳做准备的。</v>
      </c>
    </row>
    <row r="34080">
      <c r="A34080" s="4" t="s">
        <v>42884</v>
      </c>
      <c r="B34080" s="4" t="s">
        <v>42888</v>
      </c>
      <c r="C34080" s="5" t="str">
        <f>IFERROR(__xludf.DUMMYFUNCTION("GOOGLETRANSLATE(B34080,""en"",""zh-CN"")"),"妇女轮流从高高的板上跳下来，随后翻转。")</f>
        <v>妇女轮流从高高的板上跳下来，随后翻转。</v>
      </c>
    </row>
    <row r="34081">
      <c r="A34081" s="4" t="s">
        <v>42884</v>
      </c>
      <c r="B34081" s="4" t="s">
        <v>42889</v>
      </c>
      <c r="C34081" s="5" t="str">
        <f>IFERROR(__xludf.DUMMYFUNCTION("GOOGLETRANSLATE(B34081,""en"",""zh-CN"")"),"当每个人都拍手时，获胜者将获得奖牌。")</f>
        <v>当每个人都拍手时，获胜者将获得奖牌。</v>
      </c>
    </row>
    <row r="34082">
      <c r="A34082" s="4" t="s">
        <v>42890</v>
      </c>
      <c r="B34082" s="4" t="s">
        <v>42891</v>
      </c>
      <c r="C34082" s="5" t="str">
        <f>IFERROR(__xludf.DUMMYFUNCTION("GOOGLETRANSLATE(B34082,""en"",""zh-CN"")"),"一个女人得到她的肚脐用白色夹具夹住。")</f>
        <v>一个女人得到她的肚脐用白色夹具夹住。</v>
      </c>
    </row>
    <row r="34083">
      <c r="A34083" s="4" t="s">
        <v>42890</v>
      </c>
      <c r="B34083" s="4" t="s">
        <v>42892</v>
      </c>
      <c r="C34083" s="5" t="str">
        <f>IFERROR(__xludf.DUMMYFUNCTION("GOOGLETRANSLATE(B34083,""en"",""zh-CN"")"),"然后，她刺穿了肚脐。")</f>
        <v>然后，她刺穿了肚脐。</v>
      </c>
    </row>
    <row r="34084">
      <c r="A34084" s="4" t="s">
        <v>42890</v>
      </c>
      <c r="B34084" s="4" t="s">
        <v>42893</v>
      </c>
      <c r="C34084" s="5" t="str">
        <f>IFERROR(__xludf.DUMMYFUNCTION("GOOGLETRANSLATE(B34084,""en"",""zh-CN"")"),"该人将夹具移开并用毛巾擦拭。")</f>
        <v>该人将夹具移开并用毛巾擦拭。</v>
      </c>
    </row>
    <row r="34085">
      <c r="A34085" s="4" t="s">
        <v>42894</v>
      </c>
      <c r="B34085" s="4" t="s">
        <v>38202</v>
      </c>
      <c r="C34085" s="5" t="str">
        <f>IFERROR(__xludf.DUMMYFUNCTION("GOOGLETRANSLATE(B34085,""en"",""zh-CN"")"),"一群人在健身房。")</f>
        <v>一群人在健身房。</v>
      </c>
    </row>
    <row r="34086">
      <c r="A34086" s="4" t="s">
        <v>42894</v>
      </c>
      <c r="B34086" s="4" t="s">
        <v>42895</v>
      </c>
      <c r="C34086" s="5" t="str">
        <f>IFERROR(__xludf.DUMMYFUNCTION("GOOGLETRANSLATE(B34086,""en"",""zh-CN"")"),"他们正在使用草干进行锻炼。")</f>
        <v>他们正在使用草干进行锻炼。</v>
      </c>
    </row>
    <row r="34087">
      <c r="A34087" s="4" t="s">
        <v>42894</v>
      </c>
      <c r="B34087" s="4" t="s">
        <v>42896</v>
      </c>
      <c r="C34087" s="5" t="str">
        <f>IFERROR(__xludf.DUMMYFUNCTION("GOOGLETRANSLATE(B34087,""en"",""zh-CN"")"),"他们跳过草原。")</f>
        <v>他们跳过草原。</v>
      </c>
    </row>
    <row r="34088">
      <c r="A34088" s="4" t="s">
        <v>42897</v>
      </c>
      <c r="B34088" s="4" t="s">
        <v>42898</v>
      </c>
      <c r="C34088" s="5" t="str">
        <f>IFERROR(__xludf.DUMMYFUNCTION("GOOGLETRANSLATE(B34088,""en"",""zh-CN"")"),"穿着白衬衫的女人在跳舞。")</f>
        <v>穿着白衬衫的女人在跳舞。</v>
      </c>
    </row>
    <row r="34089">
      <c r="A34089" s="4" t="s">
        <v>42897</v>
      </c>
      <c r="B34089" s="4" t="s">
        <v>42899</v>
      </c>
      <c r="C34089" s="5" t="str">
        <f>IFERROR(__xludf.DUMMYFUNCTION("GOOGLETRANSLATE(B34089,""en"",""zh-CN"")"),"她的头发握着卷曲的铁。")</f>
        <v>她的头发握着卷曲的铁。</v>
      </c>
    </row>
    <row r="34090">
      <c r="A34090" s="4" t="s">
        <v>42897</v>
      </c>
      <c r="B34090" s="4" t="s">
        <v>42900</v>
      </c>
      <c r="C34090" s="5" t="str">
        <f>IFERROR(__xludf.DUMMYFUNCTION("GOOGLETRANSLATE(B34090,""en"",""zh-CN"")"),"她从头发上摘下卷发。")</f>
        <v>她从头发上摘下卷发。</v>
      </c>
    </row>
    <row r="34091">
      <c r="A34091" s="4" t="s">
        <v>42901</v>
      </c>
      <c r="B34091" s="4" t="s">
        <v>42902</v>
      </c>
      <c r="C34091" s="5" t="str">
        <f>IFERROR(__xludf.DUMMYFUNCTION("GOOGLETRANSLATE(B34091,""en"",""zh-CN"")"),"该视频显示了Howcast中有关如何在理发中创建音量的教程。")</f>
        <v>该视频显示了Howcast中有关如何在理发中创建音量的教程。</v>
      </c>
    </row>
    <row r="34092">
      <c r="A34092" s="4" t="s">
        <v>42901</v>
      </c>
      <c r="B34092" s="6" t="s">
        <v>42903</v>
      </c>
      <c r="C34092" s="5" t="str">
        <f>IFERROR(__xludf.DUMMYFUNCTION("GOOGLETRANSLATE(B34092,""en"",""zh-CN"")"),"一位穿着绿色衬衫和裤子的女士梳妆台正在戴着黑色背心的模特上展示一张理发。")</f>
        <v>一位穿着绿色衬衫和裤子的女士梳妆台正在戴着黑色背心的模特上展示一张理发。</v>
      </c>
    </row>
    <row r="34093">
      <c r="A34093" s="4" t="s">
        <v>42901</v>
      </c>
      <c r="B34093" s="4" t="s">
        <v>42904</v>
      </c>
      <c r="C34093" s="5" t="str">
        <f>IFERROR(__xludf.DUMMYFUNCTION("GOOGLETRANSLATE(B34093,""en"",""zh-CN"")"),"她展示了如何将女士的头发隔开，并以倾斜的方式剪头发。")</f>
        <v>她展示了如何将女士的头发隔开，并以倾斜的方式剪头发。</v>
      </c>
    </row>
    <row r="34094">
      <c r="A34094" s="4" t="s">
        <v>42901</v>
      </c>
      <c r="B34094" s="4" t="s">
        <v>42905</v>
      </c>
      <c r="C34094" s="5" t="str">
        <f>IFERROR(__xludf.DUMMYFUNCTION("GOOGLETRANSLATE(B34094,""en"",""zh-CN"")"),"她解释了这种技术如何有助于在头部冠上创建额外的音量。")</f>
        <v>她解释了这种技术如何有助于在头部冠上创建额外的音量。</v>
      </c>
    </row>
    <row r="34095">
      <c r="A34095" s="4" t="s">
        <v>42906</v>
      </c>
      <c r="B34095" s="6" t="s">
        <v>42907</v>
      </c>
      <c r="C34095" s="5" t="str">
        <f>IFERROR(__xludf.DUMMYFUNCTION("GOOGLETRANSLATE(B34095,""en"",""zh-CN"")"),"一名年轻女孩和体操运动员在许多摄影师和看台上的观众面前在平衡梁上进行体操运动。")</f>
        <v>一名年轻女孩和体操运动员在许多摄影师和看台上的观众面前在平衡梁上进行体操运动。</v>
      </c>
    </row>
    <row r="34096">
      <c r="A34096" s="4" t="s">
        <v>42906</v>
      </c>
      <c r="B34096" s="6" t="s">
        <v>42908</v>
      </c>
      <c r="C34096" s="5" t="str">
        <f>IFERROR(__xludf.DUMMYFUNCTION("GOOGLETRANSLATE(B34096,""en"",""zh-CN"")"),"一名蓝色服装的年轻体操运动员站在平衡束前，跳上它，开始进行涉及翻转的例行程序。")</f>
        <v>一名蓝色服装的年轻体操运动员站在平衡束前，跳上它，开始进行涉及翻转的例行程序。</v>
      </c>
    </row>
    <row r="34097">
      <c r="A34097" s="4" t="s">
        <v>42906</v>
      </c>
      <c r="B34097" s="6" t="s">
        <v>42909</v>
      </c>
      <c r="C34097" s="5" t="str">
        <f>IFERROR(__xludf.DUMMYFUNCTION("GOOGLETRANSLATE(B34097,""en"",""zh-CN"")"),"这个女孩在平衡梁上进行了几次翻转，并用手臂跳高跳高，以平衡自己的立场，然后再进行一次束缚，然后粘住着陆，然后她走路后拥抱了一名教练，然后看着记分牌并与一个男人短暂交谈坐在白色椅子上。")</f>
        <v>这个女孩在平衡梁上进行了几次翻转，并用手臂跳高跳高，以平衡自己的立场，然后再进行一次束缚，然后粘住着陆，然后她走路后拥抱了一名教练，然后看着记分牌并与一个男人短暂交谈坐在白色椅子上。</v>
      </c>
    </row>
    <row r="34098">
      <c r="A34098" s="4" t="s">
        <v>42910</v>
      </c>
      <c r="B34098" s="6" t="s">
        <v>42911</v>
      </c>
      <c r="C34098" s="5" t="str">
        <f>IFERROR(__xludf.DUMMYFUNCTION("GOOGLETRANSLATE(B34098,""en"",""zh-CN"")"),"有几个人在大型充气筏和皮划艇上白色水筏和皮划艇，在猛烈的，狭窄的水中被大岩石包围。")</f>
        <v>有几个人在大型充气筏和皮划艇上白色水筏和皮划艇，在猛烈的，狭窄的水中被大岩石包围。</v>
      </c>
    </row>
    <row r="34099">
      <c r="A34099" s="4" t="s">
        <v>42910</v>
      </c>
      <c r="B34099" s="4" t="s">
        <v>42912</v>
      </c>
      <c r="C34099" s="5" t="str">
        <f>IFERROR(__xludf.DUMMYFUNCTION("GOOGLETRANSLATE(B34099,""en"",""zh-CN"")"),"一群人在蓝色水筏上划着剧烈的水/水体。")</f>
        <v>一群人在蓝色水筏上划着剧烈的水/水体。</v>
      </c>
    </row>
    <row r="34100">
      <c r="A34100" s="4" t="s">
        <v>42910</v>
      </c>
      <c r="B34100" s="4" t="s">
        <v>42913</v>
      </c>
      <c r="C34100" s="5" t="str">
        <f>IFERROR(__xludf.DUMMYFUNCTION("GOOGLETRANSLATE(B34100,""en"",""zh-CN"")"),"几个孤独的人在小皮划艇上划着相同的暴力水。")</f>
        <v>几个孤独的人在小皮划艇上划着相同的暴力水。</v>
      </c>
    </row>
    <row r="34101">
      <c r="A34101" s="4" t="s">
        <v>42910</v>
      </c>
      <c r="B34101" s="4" t="s">
        <v>42914</v>
      </c>
      <c r="C34101" s="5" t="str">
        <f>IFERROR(__xludf.DUMMYFUNCTION("GOOGLETRANSLATE(B34101,""en"",""zh-CN"")"),"一个人在大型水筏中导航岩石波。")</f>
        <v>一个人在大型水筏中导航岩石波。</v>
      </c>
    </row>
    <row r="34102">
      <c r="A34102" s="4" t="s">
        <v>42910</v>
      </c>
      <c r="B34102" s="6" t="s">
        <v>42915</v>
      </c>
      <c r="C34102" s="5" t="str">
        <f>IFERROR(__xludf.DUMMYFUNCTION("GOOGLETRANSLATE(B34102,""en"",""zh-CN"")"),"当场景面对积极的口头禅，然后是黑色时，afters和皮划艇运动员继续与水的力量作斗争。")</f>
        <v>当场景面对积极的口头禅，然后是黑色时，afters和皮划艇运动员继续与水的力量作斗争。</v>
      </c>
    </row>
    <row r="34103">
      <c r="A34103" s="4" t="s">
        <v>42916</v>
      </c>
      <c r="B34103" s="4" t="s">
        <v>42917</v>
      </c>
      <c r="C34103" s="5" t="str">
        <f>IFERROR(__xludf.DUMMYFUNCTION("GOOGLETRANSLATE(B34103,""en"",""zh-CN"")"),"一辆充满朋友的SUV驱车从停车场开车去度假村。")</f>
        <v>一辆充满朋友的SUV驱车从停车场开车去度假村。</v>
      </c>
    </row>
    <row r="34104">
      <c r="A34104" s="4" t="s">
        <v>42916</v>
      </c>
      <c r="B34104" s="4" t="s">
        <v>42918</v>
      </c>
      <c r="C34104" s="5" t="str">
        <f>IFERROR(__xludf.DUMMYFUNCTION("GOOGLETRANSLATE(B34104,""en"",""zh-CN"")"),"一个在车里的年轻女孩走出车。")</f>
        <v>一个在车里的年轻女孩走出车。</v>
      </c>
    </row>
    <row r="34105">
      <c r="A34105" s="4" t="s">
        <v>42916</v>
      </c>
      <c r="B34105" s="4" t="s">
        <v>42919</v>
      </c>
      <c r="C34105" s="5" t="str">
        <f>IFERROR(__xludf.DUMMYFUNCTION("GOOGLETRANSLATE(B34105,""en"",""zh-CN"")"),"一群朋友在大游泳池中的鱼类中潜水。")</f>
        <v>一群朋友在大游泳池中的鱼类中潜水。</v>
      </c>
    </row>
    <row r="34106">
      <c r="A34106" s="4" t="s">
        <v>42916</v>
      </c>
      <c r="B34106" s="4" t="s">
        <v>42920</v>
      </c>
      <c r="C34106" s="5" t="str">
        <f>IFERROR(__xludf.DUMMYFUNCTION("GOOGLETRANSLATE(B34106,""en"",""zh-CN"")"),"他们让游泳池兴奋和快乐。")</f>
        <v>他们让游泳池兴奋和快乐。</v>
      </c>
    </row>
    <row r="34107">
      <c r="A34107" s="4" t="s">
        <v>42916</v>
      </c>
      <c r="B34107" s="4" t="s">
        <v>42921</v>
      </c>
      <c r="C34107" s="5" t="str">
        <f>IFERROR(__xludf.DUMMYFUNCTION("GOOGLETRANSLATE(B34107,""en"",""zh-CN"")"),"旅行中的一个女孩让旅途大拇指。")</f>
        <v>旅行中的一个女孩让旅途大拇指。</v>
      </c>
    </row>
    <row r="34108">
      <c r="A34108" s="4" t="s">
        <v>42922</v>
      </c>
      <c r="B34108" s="6" t="s">
        <v>42923</v>
      </c>
      <c r="C34108" s="5" t="str">
        <f>IFERROR(__xludf.DUMMYFUNCTION("GOOGLETRANSLATE(B34108,""en"",""zh-CN"")"),"看到一个男人主持一个新的细分市场，导致一大批人站在一个田野周围。")</f>
        <v>看到一个男人主持一个新的细分市场，导致一大批人站在一个田野周围。</v>
      </c>
    </row>
    <row r="34109">
      <c r="A34109" s="4" t="s">
        <v>42922</v>
      </c>
      <c r="B34109" s="4" t="s">
        <v>42924</v>
      </c>
      <c r="C34109" s="5" t="str">
        <f>IFERROR(__xludf.DUMMYFUNCTION("GOOGLETRANSLATE(B34109,""en"",""zh-CN"")"),"然后，看到人们骑马骑着彼此玩游戏。")</f>
        <v>然后，看到人们骑马骑着彼此玩游戏。</v>
      </c>
    </row>
    <row r="34110">
      <c r="A34110" s="4" t="s">
        <v>42922</v>
      </c>
      <c r="B34110" s="4" t="s">
        <v>42925</v>
      </c>
      <c r="C34110" s="5" t="str">
        <f>IFERROR(__xludf.DUMMYFUNCTION("GOOGLETRANSLATE(B34110,""en"",""zh-CN"")"),"玩家对摄像机和观众说话，最后一个团队站在一起。")</f>
        <v>玩家对摄像机和观众说话，最后一个团队站在一起。</v>
      </c>
    </row>
    <row r="34111">
      <c r="A34111" s="4" t="s">
        <v>42926</v>
      </c>
      <c r="B34111" s="4" t="s">
        <v>42927</v>
      </c>
      <c r="C34111" s="5" t="str">
        <f>IFERROR(__xludf.DUMMYFUNCTION("GOOGLETRANSLATE(B34111,""en"",""zh-CN"")"),"一个人将鸡蛋倒入一个小锅中。")</f>
        <v>一个人将鸡蛋倒入一个小锅中。</v>
      </c>
    </row>
    <row r="34112">
      <c r="A34112" s="4" t="s">
        <v>42926</v>
      </c>
      <c r="B34112" s="4" t="s">
        <v>42928</v>
      </c>
      <c r="C34112" s="5" t="str">
        <f>IFERROR(__xludf.DUMMYFUNCTION("GOOGLETRANSLATE(B34112,""en"",""zh-CN"")"),"他把锅放在炉子上。")</f>
        <v>他把锅放在炉子上。</v>
      </c>
    </row>
    <row r="34113">
      <c r="A34113" s="4" t="s">
        <v>42926</v>
      </c>
      <c r="B34113" s="4" t="s">
        <v>42929</v>
      </c>
      <c r="C34113" s="5" t="str">
        <f>IFERROR(__xludf.DUMMYFUNCTION("GOOGLETRANSLATE(B34113,""en"",""zh-CN"")"),"他将食物倒在盘子上。")</f>
        <v>他将食物倒在盘子上。</v>
      </c>
    </row>
    <row r="34114">
      <c r="A34114" s="4" t="s">
        <v>42930</v>
      </c>
      <c r="B34114" s="4" t="s">
        <v>42931</v>
      </c>
      <c r="C34114" s="5" t="str">
        <f>IFERROR(__xludf.DUMMYFUNCTION("GOOGLETRANSLATE(B34114,""en"",""zh-CN"")"),"一个人的撑杆跳在体育场的轨道上的绳索上。")</f>
        <v>一个人的撑杆跳在体育场的轨道上的绳索上。</v>
      </c>
    </row>
    <row r="34115">
      <c r="A34115" s="4" t="s">
        <v>42930</v>
      </c>
      <c r="B34115" s="4" t="s">
        <v>42932</v>
      </c>
      <c r="C34115" s="5" t="str">
        <f>IFERROR(__xludf.DUMMYFUNCTION("GOOGLETRANSLATE(B34115,""en"",""zh-CN"")"),"这个男人几乎没有使他的身体越过绳子。")</f>
        <v>这个男人几乎没有使他的身体越过绳子。</v>
      </c>
    </row>
    <row r="34116">
      <c r="A34116" s="4" t="s">
        <v>42933</v>
      </c>
      <c r="B34116" s="4" t="s">
        <v>42934</v>
      </c>
      <c r="C34116" s="5" t="str">
        <f>IFERROR(__xludf.DUMMYFUNCTION("GOOGLETRANSLATE(B34116,""en"",""zh-CN"")"),"一个戴着眼镜的男人正在停车场说话。")</f>
        <v>一个戴着眼镜的男人正在停车场说话。</v>
      </c>
    </row>
    <row r="34117">
      <c r="A34117" s="4" t="s">
        <v>42933</v>
      </c>
      <c r="B34117" s="4" t="s">
        <v>42935</v>
      </c>
      <c r="C34117" s="5" t="str">
        <f>IFERROR(__xludf.DUMMYFUNCTION("GOOGLETRANSLATE(B34117,""en"",""zh-CN"")"),"他走进洗车，在汽车上喷洒了绿色物质。")</f>
        <v>他走进洗车，在汽车上喷洒了绿色物质。</v>
      </c>
    </row>
    <row r="34118">
      <c r="A34118" s="4" t="s">
        <v>42933</v>
      </c>
      <c r="B34118" s="4" t="s">
        <v>42936</v>
      </c>
      <c r="C34118" s="5" t="str">
        <f>IFERROR(__xludf.DUMMYFUNCTION("GOOGLETRANSLATE(B34118,""en"",""zh-CN"")"),"然后，肥皂用软管冲洗掉。")</f>
        <v>然后，肥皂用软管冲洗掉。</v>
      </c>
    </row>
    <row r="34119">
      <c r="A34119" s="4" t="s">
        <v>42937</v>
      </c>
      <c r="B34119" s="6" t="s">
        <v>42938</v>
      </c>
      <c r="C34119" s="5" t="str">
        <f>IFERROR(__xludf.DUMMYFUNCTION("GOOGLETRANSLATE(B34119,""en"",""zh-CN"")"),"看到一支大型游行乐队沿着一条街走，一群人站着看着。")</f>
        <v>看到一支大型游行乐队沿着一条街走，一群人站着看着。</v>
      </c>
    </row>
    <row r="34120">
      <c r="A34120" s="4" t="s">
        <v>42937</v>
      </c>
      <c r="B34120" s="4" t="s">
        <v>42939</v>
      </c>
      <c r="C34120" s="5" t="str">
        <f>IFERROR(__xludf.DUMMYFUNCTION("GOOGLETRANSLATE(B34120,""en"",""zh-CN"")"),"人们继续游行，相机以信用场景结束。")</f>
        <v>人们继续游行，相机以信用场景结束。</v>
      </c>
    </row>
    <row r="34121">
      <c r="A34121" s="4" t="s">
        <v>42940</v>
      </c>
      <c r="B34121" s="4" t="s">
        <v>42941</v>
      </c>
      <c r="C34121" s="5" t="str">
        <f>IFERROR(__xludf.DUMMYFUNCTION("GOOGLETRANSLATE(B34121,""en"",""zh-CN"")"),"看到一个小孩的头上戴着耳朵，在草地上吹来。")</f>
        <v>看到一个小孩的头上戴着耳朵，在草地上吹来。</v>
      </c>
    </row>
    <row r="34122">
      <c r="A34122" s="4" t="s">
        <v>42940</v>
      </c>
      <c r="B34122" s="4" t="s">
        <v>42942</v>
      </c>
      <c r="C34122" s="5" t="str">
        <f>IFERROR(__xludf.DUMMYFUNCTION("GOOGLETRANSLATE(B34122,""en"",""zh-CN"")"),"他拿着一台大型机器，被看到将其推到院子周围。")</f>
        <v>他拿着一台大型机器，被看到将其推到院子周围。</v>
      </c>
    </row>
    <row r="34123">
      <c r="A34123" s="4" t="s">
        <v>42940</v>
      </c>
      <c r="B34123" s="4" t="s">
        <v>42943</v>
      </c>
      <c r="C34123" s="5" t="str">
        <f>IFERROR(__xludf.DUMMYFUNCTION("GOOGLETRANSLATE(B34123,""en"",""zh-CN"")"),"他停下来片刻玩草，然后他工作更多。")</f>
        <v>他停下来片刻玩草，然后他工作更多。</v>
      </c>
    </row>
    <row r="34124">
      <c r="A34124" s="4" t="s">
        <v>42944</v>
      </c>
      <c r="B34124" s="4" t="s">
        <v>42945</v>
      </c>
      <c r="C34124" s="5" t="str">
        <f>IFERROR(__xludf.DUMMYFUNCTION("GOOGLETRANSLATE(B34124,""en"",""zh-CN"")"),"一群女孩聚集在一个房间里。")</f>
        <v>一群女孩聚集在一个房间里。</v>
      </c>
    </row>
    <row r="34125">
      <c r="A34125" s="4" t="s">
        <v>42944</v>
      </c>
      <c r="B34125" s="4" t="s">
        <v>42946</v>
      </c>
      <c r="C34125" s="5" t="str">
        <f>IFERROR(__xludf.DUMMYFUNCTION("GOOGLETRANSLATE(B34125,""en"",""zh-CN"")"),"它们以一系列摆姿势的图像显示。")</f>
        <v>它们以一系列摆姿势的图像显示。</v>
      </c>
    </row>
    <row r="34126">
      <c r="A34126" s="4" t="s">
        <v>42944</v>
      </c>
      <c r="B34126" s="4" t="s">
        <v>42947</v>
      </c>
      <c r="C34126" s="5" t="str">
        <f>IFERROR(__xludf.DUMMYFUNCTION("GOOGLETRANSLATE(B34126,""en"",""zh-CN"")"),"在打桌上的比赛之前，我们还有几个男孩摆姿势。")</f>
        <v>在打桌上的比赛之前，我们还有几个男孩摆姿势。</v>
      </c>
    </row>
    <row r="34127">
      <c r="A34127" s="4" t="s">
        <v>42948</v>
      </c>
      <c r="B34127" s="4" t="s">
        <v>42949</v>
      </c>
      <c r="C34127" s="5" t="str">
        <f>IFERROR(__xludf.DUMMYFUNCTION("GOOGLETRANSLATE(B34127,""en"",""zh-CN"")"),"一个男人在演奏萨克斯时走到麦克风上。")</f>
        <v>一个男人在演奏萨克斯时走到麦克风上。</v>
      </c>
    </row>
    <row r="34128">
      <c r="A34128" s="4" t="s">
        <v>42948</v>
      </c>
      <c r="B34128" s="4" t="s">
        <v>42950</v>
      </c>
      <c r="C34128" s="5" t="str">
        <f>IFERROR(__xludf.DUMMYFUNCTION("GOOGLETRANSLATE(B34128,""en"",""zh-CN"")"),"一群棒球运动员在场上等待。")</f>
        <v>一群棒球运动员在场上等待。</v>
      </c>
    </row>
    <row r="34129">
      <c r="A34129" s="4" t="s">
        <v>42948</v>
      </c>
      <c r="B34129" s="4" t="s">
        <v>42951</v>
      </c>
      <c r="C34129" s="5" t="str">
        <f>IFERROR(__xludf.DUMMYFUNCTION("GOOGLETRANSLATE(B34129,""en"",""zh-CN"")"),"该男子继续为人群演奏萨克斯管。")</f>
        <v>该男子继续为人群演奏萨克斯管。</v>
      </c>
    </row>
    <row r="34130">
      <c r="A34130" s="4" t="s">
        <v>42952</v>
      </c>
      <c r="B34130" s="6" t="s">
        <v>42953</v>
      </c>
      <c r="C34130" s="5" t="str">
        <f>IFERROR(__xludf.DUMMYFUNCTION("GOOGLETRANSLATE(B34130,""en"",""zh-CN"")"),"白色背心有一个年轻的主流，米色短裤与一个穿着灰色衬衫和蓝色短裤的女人练习跳舞。")</f>
        <v>白色背心有一个年轻的主流，米色短裤与一个穿着灰色衬衫和蓝色短裤的女人练习跳舞。</v>
      </c>
    </row>
    <row r="34131">
      <c r="A34131" s="4" t="s">
        <v>42952</v>
      </c>
      <c r="B34131" s="4" t="s">
        <v>42954</v>
      </c>
      <c r="C34131" s="5" t="str">
        <f>IFERROR(__xludf.DUMMYFUNCTION("GOOGLETRANSLATE(B34131,""en"",""zh-CN"")"),"他们正在客厅里练习跳舞，墙上挂着平板电视。")</f>
        <v>他们正在客厅里练习跳舞，墙上挂着平板电视。</v>
      </c>
    </row>
    <row r="34132">
      <c r="A34132" s="4" t="s">
        <v>42952</v>
      </c>
      <c r="B34132" s="4" t="s">
        <v>42955</v>
      </c>
      <c r="C34132" s="5" t="str">
        <f>IFERROR(__xludf.DUMMYFUNCTION("GOOGLETRANSLATE(B34132,""en"",""zh-CN"")"),"当他们旋转和跳舞时，他们牵着手。")</f>
        <v>当他们旋转和跳舞时，他们牵着手。</v>
      </c>
    </row>
    <row r="34133">
      <c r="A34133" s="4" t="s">
        <v>42956</v>
      </c>
      <c r="B34133" s="4" t="s">
        <v>16179</v>
      </c>
      <c r="C34133" s="5" t="str">
        <f>IFERROR(__xludf.DUMMYFUNCTION("GOOGLETRANSLATE(B34133,""en"",""zh-CN"")"),"女人在舞台上跳舞。")</f>
        <v>女人在舞台上跳舞。</v>
      </c>
    </row>
    <row r="34134">
      <c r="A34134" s="4" t="s">
        <v>42956</v>
      </c>
      <c r="B34134" s="4" t="s">
        <v>42957</v>
      </c>
      <c r="C34134" s="5" t="str">
        <f>IFERROR(__xludf.DUMMYFUNCTION("GOOGLETRANSLATE(B34134,""en"",""zh-CN"")"),"他们从一侧到另一侧摆动臀部。")</f>
        <v>他们从一侧到另一侧摆动臀部。</v>
      </c>
    </row>
    <row r="34135">
      <c r="A34135" s="4" t="s">
        <v>42956</v>
      </c>
      <c r="B34135" s="4" t="s">
        <v>42958</v>
      </c>
      <c r="C34135" s="5" t="str">
        <f>IFERROR(__xludf.DUMMYFUNCTION("GOOGLETRANSLATE(B34135,""en"",""zh-CN"")"),"舞蹈应该是性感的。")</f>
        <v>舞蹈应该是性感的。</v>
      </c>
    </row>
    <row r="34136">
      <c r="A34136" s="4" t="s">
        <v>42956</v>
      </c>
      <c r="B34136" s="4" t="s">
        <v>42959</v>
      </c>
      <c r="C34136" s="5" t="str">
        <f>IFERROR(__xludf.DUMMYFUNCTION("GOOGLETRANSLATE(B34136,""en"",""zh-CN"")"),"他们在跳舞时形成一条线。")</f>
        <v>他们在跳舞时形成一条线。</v>
      </c>
    </row>
    <row r="34137">
      <c r="A34137" s="4" t="s">
        <v>42956</v>
      </c>
      <c r="B34137" s="4" t="s">
        <v>42960</v>
      </c>
      <c r="C34137" s="5" t="str">
        <f>IFERROR(__xludf.DUMMYFUNCTION("GOOGLETRANSLATE(B34137,""en"",""zh-CN"")"),"他们反向听众跳舞。")</f>
        <v>他们反向听众跳舞。</v>
      </c>
    </row>
    <row r="34138">
      <c r="A34138" s="4" t="s">
        <v>42956</v>
      </c>
      <c r="B34138" s="4" t="s">
        <v>42961</v>
      </c>
      <c r="C34138" s="5" t="str">
        <f>IFERROR(__xludf.DUMMYFUNCTION("GOOGLETRANSLATE(B34138,""en"",""zh-CN"")"),"灯向下。")</f>
        <v>灯向下。</v>
      </c>
    </row>
    <row r="34139">
      <c r="A34139" s="4" t="s">
        <v>42956</v>
      </c>
      <c r="B34139" s="4" t="s">
        <v>42962</v>
      </c>
      <c r="C34139" s="5" t="str">
        <f>IFERROR(__xludf.DUMMYFUNCTION("GOOGLETRANSLATE(B34139,""en"",""zh-CN"")"),"舞蹈结束了。")</f>
        <v>舞蹈结束了。</v>
      </c>
    </row>
    <row r="34140">
      <c r="A34140" s="4" t="s">
        <v>42963</v>
      </c>
      <c r="B34140" s="4" t="s">
        <v>42964</v>
      </c>
      <c r="C34140" s="5" t="str">
        <f>IFERROR(__xludf.DUMMYFUNCTION("GOOGLETRANSLATE(B34140,""en"",""zh-CN"")"),"人们站在桌子上说话。")</f>
        <v>人们站在桌子上说话。</v>
      </c>
    </row>
    <row r="34141">
      <c r="A34141" s="4" t="s">
        <v>42963</v>
      </c>
      <c r="B34141" s="4" t="s">
        <v>42965</v>
      </c>
      <c r="C34141" s="5" t="str">
        <f>IFERROR(__xludf.DUMMYFUNCTION("GOOGLETRANSLATE(B34141,""en"",""zh-CN"")"),"球员队踢球足球。")</f>
        <v>球员队踢球足球。</v>
      </c>
    </row>
    <row r="34142">
      <c r="A34142" s="4" t="s">
        <v>42963</v>
      </c>
      <c r="B34142" s="4" t="s">
        <v>42966</v>
      </c>
      <c r="C34142" s="5" t="str">
        <f>IFERROR(__xludf.DUMMYFUNCTION("GOOGLETRANSLATE(B34142,""en"",""zh-CN"")"),"球员在足球比赛中得分。")</f>
        <v>球员在足球比赛中得分。</v>
      </c>
    </row>
    <row r="34143">
      <c r="A34143" s="4" t="s">
        <v>42967</v>
      </c>
      <c r="B34143" s="4" t="s">
        <v>42968</v>
      </c>
      <c r="C34143" s="5" t="str">
        <f>IFERROR(__xludf.DUMMYFUNCTION("GOOGLETRANSLATE(B34143,""en"",""zh-CN"")"),"屏幕是黑色的，我们看到舞台上的芭蕾舞演员跳舞。")</f>
        <v>屏幕是黑色的，我们看到舞台上的芭蕾舞演员跳舞。</v>
      </c>
    </row>
    <row r="34144">
      <c r="A34144" s="4" t="s">
        <v>42967</v>
      </c>
      <c r="B34144" s="4" t="s">
        <v>42969</v>
      </c>
      <c r="C34144" s="5" t="str">
        <f>IFERROR(__xludf.DUMMYFUNCTION("GOOGLETRANSLATE(B34144,""en"",""zh-CN"")"),"这个人像鸡一样移动它的头。")</f>
        <v>这个人像鸡一样移动它的头。</v>
      </c>
    </row>
    <row r="34145">
      <c r="A34145" s="4" t="s">
        <v>42967</v>
      </c>
      <c r="B34145" s="4" t="s">
        <v>42970</v>
      </c>
      <c r="C34145" s="5" t="str">
        <f>IFERROR(__xludf.DUMMYFUNCTION("GOOGLETRANSLATE(B34145,""en"",""zh-CN"")"),"然后，该人洗个不见，然后跳舞，然后落在地上，然后起床跳舞。")</f>
        <v>然后，该人洗个不见，然后跳舞，然后落在地上，然后起床跳舞。</v>
      </c>
    </row>
    <row r="34146">
      <c r="A34146" s="4" t="s">
        <v>42967</v>
      </c>
      <c r="B34146" s="4" t="s">
        <v>42971</v>
      </c>
      <c r="C34146" s="5" t="str">
        <f>IFERROR(__xludf.DUMMYFUNCTION("GOOGLETRANSLATE(B34146,""en"",""zh-CN"")"),"该人把手放在祈祷姿势上。")</f>
        <v>该人把手放在祈祷姿势上。</v>
      </c>
    </row>
    <row r="34147">
      <c r="A34147" s="4" t="s">
        <v>42967</v>
      </c>
      <c r="B34147" s="6" t="s">
        <v>42972</v>
      </c>
      <c r="C34147" s="5" t="str">
        <f>IFERROR(__xludf.DUMMYFUNCTION("GOOGLETRANSLATE(B34147,""en"",""zh-CN"")"),"该人从地面上捡起羽毛，然后将它们撒在周围，然后跳舞并跌落到地面，场景结束。")</f>
        <v>该人从地面上捡起羽毛，然后将它们撒在周围，然后跳舞并跌落到地面，场景结束。</v>
      </c>
    </row>
    <row r="34148">
      <c r="A34148" s="4" t="s">
        <v>42973</v>
      </c>
      <c r="B34148" s="4" t="s">
        <v>42974</v>
      </c>
      <c r="C34148" s="5" t="str">
        <f>IFERROR(__xludf.DUMMYFUNCTION("GOOGLETRANSLATE(B34148,""en"",""zh-CN"")"),"看到一个人坐在桌子后面解决rubix立方体，而计时器记录了她。")</f>
        <v>看到一个人坐在桌子后面解决rubix立方体，而计时器记录了她。</v>
      </c>
    </row>
    <row r="34149">
      <c r="A34149" s="4" t="s">
        <v>42973</v>
      </c>
      <c r="B34149" s="4" t="s">
        <v>42975</v>
      </c>
      <c r="C34149" s="5" t="str">
        <f>IFERROR(__xludf.DUMMYFUNCTION("GOOGLETRANSLATE(B34149,""en"",""zh-CN"")"),"当女孩最终结束时，看到两个男人站在她周围，写下东西。")</f>
        <v>当女孩最终结束时，看到两个男人站在她周围，写下东西。</v>
      </c>
    </row>
    <row r="34150">
      <c r="A34150" s="4" t="s">
        <v>42976</v>
      </c>
      <c r="B34150" s="4" t="s">
        <v>42977</v>
      </c>
      <c r="C34150" s="5" t="str">
        <f>IFERROR(__xludf.DUMMYFUNCTION("GOOGLETRANSLATE(B34150,""en"",""zh-CN"")"),"人们在赛道上坐在一堆保险杠上行驶。")</f>
        <v>人们在赛道上坐在一堆保险杠上行驶。</v>
      </c>
    </row>
    <row r="34151">
      <c r="A34151" s="4" t="s">
        <v>42976</v>
      </c>
      <c r="B34151" s="4" t="s">
        <v>42978</v>
      </c>
      <c r="C34151" s="5" t="str">
        <f>IFERROR(__xludf.DUMMYFUNCTION("GOOGLETRANSLATE(B34151,""en"",""zh-CN"")"),"他们猛烈地碰到彼此，玩得开心。")</f>
        <v>他们猛烈地碰到彼此，玩得开心。</v>
      </c>
    </row>
    <row r="34152">
      <c r="A34152" s="4" t="s">
        <v>42979</v>
      </c>
      <c r="B34152" s="4" t="s">
        <v>42980</v>
      </c>
      <c r="C34152" s="5" t="str">
        <f>IFERROR(__xludf.DUMMYFUNCTION("GOOGLETRANSLATE(B34152,""en"",""zh-CN"")"),"可见一座被雪覆盖着雪的大山。")</f>
        <v>可见一座被雪覆盖着雪的大山。</v>
      </c>
    </row>
    <row r="34153">
      <c r="A34153" s="4" t="s">
        <v>42979</v>
      </c>
      <c r="B34153" s="4" t="s">
        <v>42981</v>
      </c>
      <c r="C34153" s="5" t="str">
        <f>IFERROR(__xludf.DUMMYFUNCTION("GOOGLETRANSLATE(B34153,""en"",""zh-CN"")"),"有人开始滑雪，然后一个穿着橙雪服的男人开始说话。")</f>
        <v>有人开始滑雪，然后一个穿着橙雪服的男人开始说话。</v>
      </c>
    </row>
    <row r="34154">
      <c r="A34154" s="4" t="s">
        <v>42979</v>
      </c>
      <c r="B34154" s="4" t="s">
        <v>42982</v>
      </c>
      <c r="C34154" s="5" t="str">
        <f>IFERROR(__xludf.DUMMYFUNCTION("GOOGLETRANSLATE(B34154,""en"",""zh-CN"")"),"该人继续滑雪，然后两名男性互相交谈。")</f>
        <v>该人继续滑雪，然后两名男性互相交谈。</v>
      </c>
    </row>
    <row r="34155">
      <c r="A34155" s="4" t="s">
        <v>42979</v>
      </c>
      <c r="B34155" s="6" t="s">
        <v>42983</v>
      </c>
      <c r="C34155" s="5" t="str">
        <f>IFERROR(__xludf.DUMMYFUNCTION("GOOGLETRANSLATE(B34155,""en"",""zh-CN"")"),"然后，该人滑雪从山顶到底部，然后躲在一块冰块后面。")</f>
        <v>然后，该人滑雪从山顶到底部，然后躲在一块冰块后面。</v>
      </c>
    </row>
    <row r="34156">
      <c r="A34156" s="4" t="s">
        <v>42984</v>
      </c>
      <c r="B34156" s="4" t="s">
        <v>42985</v>
      </c>
      <c r="C34156" s="5" t="str">
        <f>IFERROR(__xludf.DUMMYFUNCTION("GOOGLETRANSLATE(B34156,""en"",""zh-CN"")"),"两名记者报道了一个关于在现场新闻电视转播中喝太多咖啡的故事。")</f>
        <v>两名记者报道了一个关于在现场新闻电视转播中喝太多咖啡的故事。</v>
      </c>
    </row>
    <row r="34157">
      <c r="A34157" s="4" t="s">
        <v>42984</v>
      </c>
      <c r="B34157" s="6" t="s">
        <v>42986</v>
      </c>
      <c r="C34157" s="5" t="str">
        <f>IFERROR(__xludf.DUMMYFUNCTION("GOOGLETRANSLATE(B34157,""en"",""zh-CN"")"),"一位黑发女记者在相机上进行了交谈，然后摄像机切成金发的记者也在相机上说话。")</f>
        <v>一位黑发女记者在相机上进行了交谈，然后摄像机切成金发的记者也在相机上说话。</v>
      </c>
    </row>
    <row r="34158">
      <c r="A34158" s="4" t="s">
        <v>42984</v>
      </c>
      <c r="B34158" s="6" t="s">
        <v>42987</v>
      </c>
      <c r="C34158" s="5" t="str">
        <f>IFERROR(__xludf.DUMMYFUNCTION("GOOGLETRANSLATE(B34158,""en"",""zh-CN"")"),"摄像机剪切到咖啡杯中充满咖啡的视频，而书面模板解释了故事的出现在杯子下面。")</f>
        <v>摄像机剪切到咖啡杯中充满咖啡的视频，而书面模板解释了故事的出现在杯子下面。</v>
      </c>
    </row>
    <row r="34159">
      <c r="A34159" s="4" t="s">
        <v>42984</v>
      </c>
      <c r="B34159" s="4" t="s">
        <v>42988</v>
      </c>
      <c r="C34159" s="5" t="str">
        <f>IFERROR(__xludf.DUMMYFUNCTION("GOOGLETRANSLATE(B34159,""en"",""zh-CN"")"),"然后，摄像机切成一个四人新闻小组，其中的人在摄像机上说话。")</f>
        <v>然后，摄像机切成一个四人新闻小组，其中的人在摄像机上说话。</v>
      </c>
    </row>
    <row r="34160">
      <c r="A34160" s="4" t="s">
        <v>42989</v>
      </c>
      <c r="B34160" s="4" t="s">
        <v>42990</v>
      </c>
      <c r="C34160" s="5" t="str">
        <f>IFERROR(__xludf.DUMMYFUNCTION("GOOGLETRANSLATE(B34160,""en"",""zh-CN"")"),"帆船在公海，有些人站在上面。")</f>
        <v>帆船在公海，有些人站在上面。</v>
      </c>
    </row>
    <row r="34161">
      <c r="A34161" s="4" t="s">
        <v>42989</v>
      </c>
      <c r="B34161" s="4" t="s">
        <v>42991</v>
      </c>
      <c r="C34161" s="5" t="str">
        <f>IFERROR(__xludf.DUMMYFUNCTION("GOOGLETRANSLATE(B34161,""en"",""zh-CN"")"),"男人正在乘坐Te帆船，并正在开车并互相交谈。")</f>
        <v>男人正在乘坐Te帆船，并正在开车并互相交谈。</v>
      </c>
    </row>
    <row r="34162">
      <c r="A34162" s="4" t="s">
        <v>42992</v>
      </c>
      <c r="B34162" s="6" t="s">
        <v>42993</v>
      </c>
      <c r="C34162" s="5" t="str">
        <f>IFERROR(__xludf.DUMMYFUNCTION("GOOGLETRANSLATE(B34162,""en"",""zh-CN"")"),"一群孩子在教练和其他孩子面前的室内体育馆里打篮球和技巧。")</f>
        <v>一群孩子在教练和其他孩子面前的室内体育馆里打篮球和技巧。</v>
      </c>
    </row>
    <row r="34163">
      <c r="A34163" s="4" t="s">
        <v>42992</v>
      </c>
      <c r="B34163" s="6" t="s">
        <v>42994</v>
      </c>
      <c r="C34163" s="5" t="str">
        <f>IFERROR(__xludf.DUMMYFUNCTION("GOOGLETRANSLATE(B34163,""en"",""zh-CN"")"),"一群孩子轮流将橙色和白球扔在网上，也跑到网上。")</f>
        <v>一群孩子轮流将橙色和白球扔在网上，也跑到网上。</v>
      </c>
    </row>
    <row r="34164">
      <c r="A34164" s="4" t="s">
        <v>42992</v>
      </c>
      <c r="B34164" s="4" t="s">
        <v>42995</v>
      </c>
      <c r="C34164" s="5" t="str">
        <f>IFERROR(__xludf.DUMMYFUNCTION("GOOGLETRANSLATE(B34164,""en"",""zh-CN"")"),"教练在比赛时拖着他们的脚步，试图用手阻止投掷。")</f>
        <v>教练在比赛时拖着他们的脚步，试图用手阻止投掷。</v>
      </c>
    </row>
    <row r="34165">
      <c r="A34165" s="4" t="s">
        <v>42996</v>
      </c>
      <c r="B34165" s="6" t="s">
        <v>42997</v>
      </c>
      <c r="C34165" s="5" t="str">
        <f>IFERROR(__xludf.DUMMYFUNCTION("GOOGLETRANSLATE(B34165,""en"",""zh-CN"")"),"看到一个男人在镜头周围朝相机说话，他爬上机器。")</f>
        <v>看到一个男人在镜头周围朝相机说话，他爬上机器。</v>
      </c>
    </row>
    <row r="34166">
      <c r="A34166" s="4" t="s">
        <v>42996</v>
      </c>
      <c r="B34166" s="4" t="s">
        <v>42998</v>
      </c>
      <c r="C34166" s="5" t="str">
        <f>IFERROR(__xludf.DUMMYFUNCTION("GOOGLETRANSLATE(B34166,""en"",""zh-CN"")"),"他使用机器撕开屋顶，并以机器的特写结束。")</f>
        <v>他使用机器撕开屋顶，并以机器的特写结束。</v>
      </c>
    </row>
    <row r="34167">
      <c r="A34167" s="4" t="s">
        <v>42999</v>
      </c>
      <c r="B34167" s="6" t="s">
        <v>43000</v>
      </c>
      <c r="C34167" s="5" t="str">
        <f>IFERROR(__xludf.DUMMYFUNCTION("GOOGLETRANSLATE(B34167,""en"",""zh-CN"")"),"有几个剪辑显示了人们在水中游泳的人，导致一个女人看着相机，仍在水下移动。")</f>
        <v>有几个剪辑显示了人们在水中游泳的人，导致一个女人看着相机，仍在水下移动。</v>
      </c>
    </row>
    <row r="34168">
      <c r="A34168" s="4" t="s">
        <v>42999</v>
      </c>
      <c r="B34168" s="6" t="s">
        <v>43001</v>
      </c>
      <c r="C34168" s="5" t="str">
        <f>IFERROR(__xludf.DUMMYFUNCTION("GOOGLETRANSLATE(B34168,""en"",""zh-CN"")"),"该名女子继续漂浮在水中，然后抓住一个布吉板并在水周围进行各种动作。")</f>
        <v>该名女子继续漂浮在水中，然后抓住一个布吉板并在水周围进行各种动作。</v>
      </c>
    </row>
    <row r="34169">
      <c r="A34169" s="4" t="s">
        <v>43002</v>
      </c>
      <c r="B34169" s="4" t="s">
        <v>43003</v>
      </c>
      <c r="C34169" s="5" t="str">
        <f>IFERROR(__xludf.DUMMYFUNCTION("GOOGLETRANSLATE(B34169,""en"",""zh-CN"")"),"几张景观的镜头显示出站在桥上的人们回来的。")</f>
        <v>几张景观的镜头显示出站在桥上的人们回来的。</v>
      </c>
    </row>
    <row r="34170">
      <c r="A34170" s="4" t="s">
        <v>43002</v>
      </c>
      <c r="B34170" s="6" t="s">
        <v>43004</v>
      </c>
      <c r="C34170" s="5" t="str">
        <f>IFERROR(__xludf.DUMMYFUNCTION("GOOGLETRANSLATE(B34170,""en"",""zh-CN"")"),"镜头显示了人们从桥侧跳下的，而相机捕获了更多的风景。")</f>
        <v>镜头显示了人们从桥侧跳下的，而相机捕获了更多的风景。</v>
      </c>
    </row>
    <row r="34171">
      <c r="A34171" s="4" t="s">
        <v>43002</v>
      </c>
      <c r="B34171" s="4" t="s">
        <v>43005</v>
      </c>
      <c r="C34171" s="5" t="str">
        <f>IFERROR(__xludf.DUMMYFUNCTION("GOOGLETRANSLATE(B34171,""en"",""zh-CN"")"),"看到更多的人排队观看，这会导致更多的人跳下来。")</f>
        <v>看到更多的人排队观看，这会导致更多的人跳下来。</v>
      </c>
    </row>
    <row r="34172">
      <c r="A34172" s="4" t="s">
        <v>43006</v>
      </c>
      <c r="B34172" s="4" t="s">
        <v>43007</v>
      </c>
      <c r="C34172" s="5" t="str">
        <f>IFERROR(__xludf.DUMMYFUNCTION("GOOGLETRANSLATE(B34172,""en"",""zh-CN"")"),"一个小女孩闭着眼睛坐在床上。")</f>
        <v>一个小女孩闭着眼睛坐在床上。</v>
      </c>
    </row>
    <row r="34173">
      <c r="A34173" s="4" t="s">
        <v>43006</v>
      </c>
      <c r="B34173" s="4" t="s">
        <v>43008</v>
      </c>
      <c r="C34173" s="5" t="str">
        <f>IFERROR(__xludf.DUMMYFUNCTION("GOOGLETRANSLATE(B34173,""en"",""zh-CN"")"),"一个女人跪下，将眼线笔放在女孩身上。")</f>
        <v>一个女人跪下，将眼线笔放在女孩身上。</v>
      </c>
    </row>
    <row r="34174">
      <c r="A34174" s="4" t="s">
        <v>43006</v>
      </c>
      <c r="B34174" s="4" t="s">
        <v>43009</v>
      </c>
      <c r="C34174" s="5" t="str">
        <f>IFERROR(__xludf.DUMMYFUNCTION("GOOGLETRANSLATE(B34174,""en"",""zh-CN"")"),"女孩睁开眼睛，微笑。")</f>
        <v>女孩睁开眼睛，微笑。</v>
      </c>
    </row>
    <row r="34175">
      <c r="A34175" s="4" t="s">
        <v>43010</v>
      </c>
      <c r="B34175" s="6" t="s">
        <v>43011</v>
      </c>
      <c r="C34175" s="5" t="str">
        <f>IFERROR(__xludf.DUMMYFUNCTION("GOOGLETRANSLATE(B34175,""en"",""zh-CN"")"),"一个人修理自行车链，并将链条安装在带有女人说话图像的自行车上。")</f>
        <v>一个人修理自行车链，并将链条安装在带有女人说话图像的自行车上。</v>
      </c>
    </row>
    <row r="34176">
      <c r="A34176" s="4" t="s">
        <v>43010</v>
      </c>
      <c r="B34176" s="6" t="s">
        <v>43012</v>
      </c>
      <c r="C34176" s="5" t="str">
        <f>IFERROR(__xludf.DUMMYFUNCTION("GOOGLETRANSLATE(B34176,""en"",""zh-CN"")"),"一个女人看着相机看着相机，微笑着说话，然后在现场切开一对在自行车链上工作的手。")</f>
        <v>一个女人看着相机看着相机，微笑着说话，然后在现场切开一对在自行车链上工作的手。</v>
      </c>
    </row>
    <row r="34177">
      <c r="A34177" s="4" t="s">
        <v>43010</v>
      </c>
      <c r="B34177" s="4" t="s">
        <v>43013</v>
      </c>
      <c r="C34177" s="5" t="str">
        <f>IFERROR(__xludf.DUMMYFUNCTION("GOOGLETRANSLATE(B34177,""en"",""zh-CN"")"),"一对手用工具和螺栓在自行车链上工作。")</f>
        <v>一对手用工具和螺栓在自行车链上工作。</v>
      </c>
    </row>
    <row r="34178">
      <c r="A34178" s="4" t="s">
        <v>43010</v>
      </c>
      <c r="B34178" s="4" t="s">
        <v>43014</v>
      </c>
      <c r="C34178" s="5" t="str">
        <f>IFERROR(__xludf.DUMMYFUNCTION("GOOGLETRANSLATE(B34178,""en"",""zh-CN"")"),"手将链条安装在泥土表面上的蓝色自行车上。")</f>
        <v>手将链条安装在泥土表面上的蓝色自行车上。</v>
      </c>
    </row>
    <row r="34179">
      <c r="A34179" s="4" t="s">
        <v>43015</v>
      </c>
      <c r="B34179" s="4" t="s">
        <v>43016</v>
      </c>
      <c r="C34179" s="5" t="str">
        <f>IFERROR(__xludf.DUMMYFUNCTION("GOOGLETRANSLATE(B34179,""en"",""zh-CN"")"),"一名拿着毛巾的女人会和镜头说话。")</f>
        <v>一名拿着毛巾的女人会和镜头说话。</v>
      </c>
    </row>
    <row r="34180">
      <c r="A34180" s="4" t="s">
        <v>43015</v>
      </c>
      <c r="B34180" s="4" t="s">
        <v>43017</v>
      </c>
      <c r="C34180" s="5" t="str">
        <f>IFERROR(__xludf.DUMMYFUNCTION("GOOGLETRANSLATE(B34180,""en"",""zh-CN"")"),"女人用毛巾擦窗户。")</f>
        <v>女人用毛巾擦窗户。</v>
      </c>
    </row>
    <row r="34181">
      <c r="A34181" s="4" t="s">
        <v>43015</v>
      </c>
      <c r="B34181" s="4" t="s">
        <v>43018</v>
      </c>
      <c r="C34181" s="5" t="str">
        <f>IFERROR(__xludf.DUMMYFUNCTION("GOOGLETRANSLATE(B34181,""en"",""zh-CN"")"),"女人在窗户上喷洒了液体。")</f>
        <v>女人在窗户上喷洒了液体。</v>
      </c>
    </row>
    <row r="34182">
      <c r="A34182" s="4" t="s">
        <v>43015</v>
      </c>
      <c r="B34182" s="4" t="s">
        <v>43019</v>
      </c>
      <c r="C34182" s="5" t="str">
        <f>IFERROR(__xludf.DUMMYFUNCTION("GOOGLETRANSLATE(B34182,""en"",""zh-CN"")"),"女人继续擦窗户。")</f>
        <v>女人继续擦窗户。</v>
      </c>
    </row>
    <row r="34183">
      <c r="A34183" s="4" t="s">
        <v>43015</v>
      </c>
      <c r="B34183" s="4" t="s">
        <v>43020</v>
      </c>
      <c r="C34183" s="5" t="str">
        <f>IFERROR(__xludf.DUMMYFUNCTION("GOOGLETRANSLATE(B34183,""en"",""zh-CN"")"),"女人回到与镜头说话。")</f>
        <v>女人回到与镜头说话。</v>
      </c>
    </row>
    <row r="34184">
      <c r="A34184" s="4" t="s">
        <v>43021</v>
      </c>
      <c r="B34184" s="4" t="s">
        <v>43022</v>
      </c>
      <c r="C34184" s="5" t="str">
        <f>IFERROR(__xludf.DUMMYFUNCTION("GOOGLETRANSLATE(B34184,""en"",""zh-CN"")"),"当人们看着时，两个男孩表演手臂摔跤，突然男孩释放了双手。")</f>
        <v>当人们看着时，两个男孩表演手臂摔跤，突然男孩释放了双手。</v>
      </c>
    </row>
    <row r="34185">
      <c r="A34185" s="4" t="s">
        <v>43021</v>
      </c>
      <c r="B34185" s="4" t="s">
        <v>43023</v>
      </c>
      <c r="C34185" s="5" t="str">
        <f>IFERROR(__xludf.DUMMYFUNCTION("GOOGLETRANSLATE(B34185,""en"",""zh-CN"")"),"之后，他们继续参加比赛，然后男孩穿着紫色的T恤折叠了他的对手的手。")</f>
        <v>之后，他们继续参加比赛，然后男孩穿着紫色的T恤折叠了他的对手的手。</v>
      </c>
    </row>
    <row r="34186">
      <c r="A34186" s="4" t="s">
        <v>43021</v>
      </c>
      <c r="B34186" s="4" t="s">
        <v>43024</v>
      </c>
      <c r="C34186" s="5" t="str">
        <f>IFERROR(__xludf.DUMMYFUNCTION("GOOGLETRANSLATE(B34186,""en"",""zh-CN"")"),"之后，继续进行手臂摔跤，然后再次释放手。")</f>
        <v>之后，继续进行手臂摔跤，然后再次释放手。</v>
      </c>
    </row>
    <row r="34187">
      <c r="A34187" s="4" t="s">
        <v>43025</v>
      </c>
      <c r="B34187" s="4" t="s">
        <v>43026</v>
      </c>
      <c r="C34187" s="5" t="str">
        <f>IFERROR(__xludf.DUMMYFUNCTION("GOOGLETRANSLATE(B34187,""en"",""zh-CN"")"),"一个蓝色的男人站在礼堂里。")</f>
        <v>一个蓝色的男人站在礼堂里。</v>
      </c>
    </row>
    <row r="34188">
      <c r="A34188" s="4" t="s">
        <v>43025</v>
      </c>
      <c r="B34188" s="4" t="s">
        <v>43027</v>
      </c>
      <c r="C34188" s="5" t="str">
        <f>IFERROR(__xludf.DUMMYFUNCTION("GOOGLETRANSLATE(B34188,""en"",""zh-CN"")"),"他在某些设备上做体操。")</f>
        <v>他在某些设备上做体操。</v>
      </c>
    </row>
    <row r="34189">
      <c r="A34189" s="4" t="s">
        <v>43025</v>
      </c>
      <c r="B34189" s="4" t="s">
        <v>43028</v>
      </c>
      <c r="C34189" s="5" t="str">
        <f>IFERROR(__xludf.DUMMYFUNCTION("GOOGLETRANSLATE(B34189,""en"",""zh-CN"")"),"人们在看台上观看。")</f>
        <v>人们在看台上观看。</v>
      </c>
    </row>
    <row r="34190">
      <c r="A34190" s="4" t="s">
        <v>43025</v>
      </c>
      <c r="B34190" s="4" t="s">
        <v>43029</v>
      </c>
      <c r="C34190" s="5" t="str">
        <f>IFERROR(__xludf.DUMMYFUNCTION("GOOGLETRANSLATE(B34190,""en"",""zh-CN"")"),"他旋转身体。")</f>
        <v>他旋转身体。</v>
      </c>
    </row>
    <row r="34191">
      <c r="A34191" s="4" t="s">
        <v>43030</v>
      </c>
      <c r="B34191" s="6" t="s">
        <v>43031</v>
      </c>
      <c r="C34191" s="5" t="str">
        <f>IFERROR(__xludf.DUMMYFUNCTION("GOOGLETRANSLATE(B34191,""en"",""zh-CN"")"),"两个人在狭窄的独木舟和桨上的岩石，高潮的水上白色水筏。")</f>
        <v>两个人在狭窄的独木舟和桨上的岩石，高潮的水上白色水筏。</v>
      </c>
    </row>
    <row r="34192">
      <c r="A34192" s="4" t="s">
        <v>43030</v>
      </c>
      <c r="B34192" s="6" t="s">
        <v>43032</v>
      </c>
      <c r="C34192" s="5" t="str">
        <f>IFERROR(__xludf.DUMMYFUNCTION("GOOGLETRANSLATE(B34192,""en"",""zh-CN"")"),"一个穿着红色和黑色服装的人用红色的独木舟架起，开始放上一块黑色设备。")</f>
        <v>一个穿着红色和黑色服装的人用红色的独木舟架起，开始放上一块黑色设备。</v>
      </c>
    </row>
    <row r="34193">
      <c r="A34193" s="4" t="s">
        <v>43030</v>
      </c>
      <c r="B34193" s="6" t="s">
        <v>43033</v>
      </c>
      <c r="C34193" s="5" t="str">
        <f>IFERROR(__xludf.DUMMYFUNCTION("GOOGLETRANSLATE(B34193,""en"",""zh-CN"")"),"穿着红色和黑色服装的人开始在红色的独木舟上漂流，在充满大岩石的水中动荡。")</f>
        <v>穿着红色和黑色服装的人开始在红色的独木舟上漂流，在充满大岩石的水中动荡。</v>
      </c>
    </row>
    <row r="34194">
      <c r="A34194" s="4" t="s">
        <v>43030</v>
      </c>
      <c r="B34194" s="6" t="s">
        <v>43034</v>
      </c>
      <c r="C34194" s="5" t="str">
        <f>IFERROR(__xludf.DUMMYFUNCTION("GOOGLETRANSLATE(B34194,""en"",""zh-CN"")"),"红色独木舟中的人接近水中的另一个独木舟，这是蓝色，红色独木舟和蓝色的独木舟，穿过彼此背后的水域，随着场景逐渐消失。")</f>
        <v>红色独木舟中的人接近水中的另一个独木舟，这是蓝色，红色独木舟和蓝色的独木舟，穿过彼此背后的水域，随着场景逐渐消失。</v>
      </c>
    </row>
    <row r="34195">
      <c r="A34195" s="4" t="s">
        <v>43035</v>
      </c>
      <c r="B34195" s="4" t="s">
        <v>43036</v>
      </c>
      <c r="C34195" s="5" t="str">
        <f>IFERROR(__xludf.DUMMYFUNCTION("GOOGLETRANSLATE(B34195,""en"",""zh-CN"")"),"人们在一条颠簸的道路上竞争自行车交叉。")</f>
        <v>人们在一条颠簸的道路上竞争自行车交叉。</v>
      </c>
    </row>
    <row r="34196">
      <c r="A34196" s="4" t="s">
        <v>43035</v>
      </c>
      <c r="B34196" s="4" t="s">
        <v>43037</v>
      </c>
      <c r="C34196" s="5" t="str">
        <f>IFERROR(__xludf.DUMMYFUNCTION("GOOGLETRANSLATE(B34196,""en"",""zh-CN"")"),"一个人在骑自行车的人经过的崎the道路上喷水。")</f>
        <v>一个人在骑自行车的人经过的崎the道路上喷水。</v>
      </c>
    </row>
    <row r="34197">
      <c r="A34197" s="4" t="s">
        <v>43035</v>
      </c>
      <c r="B34197" s="6" t="s">
        <v>43038</v>
      </c>
      <c r="C34197" s="5" t="str">
        <f>IFERROR(__xludf.DUMMYFUNCTION("GOOGLETRANSLATE(B34197,""en"",""zh-CN"")"),"一群骑自行车的人离开起跑线开始越野摩托车比赛，而其他团队开始骑自行车。")</f>
        <v>一群骑自行车的人离开起跑线开始越野摩托车比赛，而其他团队开始骑自行车。</v>
      </c>
    </row>
    <row r="34198">
      <c r="A34198" s="4" t="s">
        <v>43035</v>
      </c>
      <c r="B34198" s="4" t="s">
        <v>43039</v>
      </c>
      <c r="C34198" s="5" t="str">
        <f>IFERROR(__xludf.DUMMYFUNCTION("GOOGLETRANSLATE(B34198,""en"",""zh-CN"")"),"穿着白色上衣的人给骑自行车的人拍照。")</f>
        <v>穿着白色上衣的人给骑自行车的人拍照。</v>
      </c>
    </row>
    <row r="34199">
      <c r="A34199" s="4" t="s">
        <v>43035</v>
      </c>
      <c r="B34199" s="4" t="s">
        <v>43040</v>
      </c>
      <c r="C34199" s="5" t="str">
        <f>IFERROR(__xludf.DUMMYFUNCTION("GOOGLETRANSLATE(B34199,""en"",""zh-CN"")"),"新的骑自行车的人开始在颠簸的道路上奔跑，竞争自行车交叉。")</f>
        <v>新的骑自行车的人开始在颠簸的道路上奔跑，竞争自行车交叉。</v>
      </c>
    </row>
    <row r="34200">
      <c r="A34200" s="4" t="s">
        <v>43041</v>
      </c>
      <c r="B34200" s="4" t="s">
        <v>43042</v>
      </c>
      <c r="C34200" s="5" t="str">
        <f>IFERROR(__xludf.DUMMYFUNCTION("GOOGLETRANSLATE(B34200,""en"",""zh-CN"")"),"一个男孩穿着跳鞋在建筑物和操场上弹跳。")</f>
        <v>一个男孩穿着跳鞋在建筑物和操场上弹跳。</v>
      </c>
    </row>
    <row r="34201">
      <c r="A34201" s="4" t="s">
        <v>43041</v>
      </c>
      <c r="B34201" s="4" t="s">
        <v>43043</v>
      </c>
      <c r="C34201" s="5" t="str">
        <f>IFERROR(__xludf.DUMMYFUNCTION("GOOGLETRANSLATE(B34201,""en"",""zh-CN"")"),"然后，男孩站起来，建筑物的台阶，然后迈出大台阶并高高地跳下。")</f>
        <v>然后，男孩站起来，建筑物的台阶，然后迈出大台阶并高高地跳下。</v>
      </c>
    </row>
    <row r="34202">
      <c r="A34202" s="4" t="s">
        <v>43041</v>
      </c>
      <c r="B34202" s="4" t="s">
        <v>43044</v>
      </c>
      <c r="C34202" s="5" t="str">
        <f>IFERROR(__xludf.DUMMYFUNCTION("GOOGLETRANSLATE(B34202,""en"",""zh-CN"")"),"一个四口之家等着男孩穿过街道。")</f>
        <v>一个四口之家等着男孩穿过街道。</v>
      </c>
    </row>
    <row r="34203">
      <c r="A34203" s="4" t="s">
        <v>43041</v>
      </c>
      <c r="B34203" s="4" t="s">
        <v>43045</v>
      </c>
      <c r="C34203" s="5" t="str">
        <f>IFERROR(__xludf.DUMMYFUNCTION("GOOGLETRANSLATE(B34203,""en"",""zh-CN"")"),"然后，男孩回到操场上，跳过一块石头。")</f>
        <v>然后，男孩回到操场上，跳过一块石头。</v>
      </c>
    </row>
    <row r="34204">
      <c r="A34204" s="4" t="s">
        <v>43041</v>
      </c>
      <c r="B34204" s="4" t="s">
        <v>43046</v>
      </c>
      <c r="C34204" s="5" t="str">
        <f>IFERROR(__xludf.DUMMYFUNCTION("GOOGLETRANSLATE(B34204,""en"",""zh-CN"")"),"之后，男孩跳高街上，直到他到达停车场。")</f>
        <v>之后，男孩跳高街上，直到他到达停车场。</v>
      </c>
    </row>
    <row r="34205">
      <c r="A34205" s="4" t="s">
        <v>43047</v>
      </c>
      <c r="B34205" s="4" t="s">
        <v>20672</v>
      </c>
      <c r="C34205" s="5" t="str">
        <f>IFERROR(__xludf.DUMMYFUNCTION("GOOGLETRANSLATE(B34205,""en"",""zh-CN"")"),"一个女孩跳到平衡梁上。")</f>
        <v>一个女孩跳到平衡梁上。</v>
      </c>
    </row>
    <row r="34206">
      <c r="A34206" s="4" t="s">
        <v>43047</v>
      </c>
      <c r="B34206" s="4" t="s">
        <v>32035</v>
      </c>
      <c r="C34206" s="5" t="str">
        <f>IFERROR(__xludf.DUMMYFUNCTION("GOOGLETRANSLATE(B34206,""en"",""zh-CN"")"),"她在平衡梁上做体操例程。")</f>
        <v>她在平衡梁上做体操例程。</v>
      </c>
    </row>
    <row r="34207">
      <c r="A34207" s="4" t="s">
        <v>43047</v>
      </c>
      <c r="B34207" s="4" t="s">
        <v>43048</v>
      </c>
      <c r="C34207" s="5" t="str">
        <f>IFERROR(__xludf.DUMMYFUNCTION("GOOGLETRANSLATE(B34207,""en"",""zh-CN"")"),"她抬起手臂卸下并降落在垫子上。")</f>
        <v>她抬起手臂卸下并降落在垫子上。</v>
      </c>
    </row>
    <row r="34208">
      <c r="A34208" s="4" t="s">
        <v>43049</v>
      </c>
      <c r="B34208" s="4" t="s">
        <v>43050</v>
      </c>
      <c r="C34208" s="5" t="str">
        <f>IFERROR(__xludf.DUMMYFUNCTION("GOOGLETRANSLATE(B34208,""en"",""zh-CN"")"),"我们看到一个女孩踢坐下。")</f>
        <v>我们看到一个女孩踢坐下。</v>
      </c>
    </row>
    <row r="34209">
      <c r="A34209" s="4" t="s">
        <v>43049</v>
      </c>
      <c r="B34209" s="4" t="s">
        <v>43051</v>
      </c>
      <c r="C34209" s="5" t="str">
        <f>IFERROR(__xludf.DUMMYFUNCTION("GOOGLETRANSLATE(B34209,""en"",""zh-CN"")"),"一个男孩加入她，他们吃冰淇淋。")</f>
        <v>一个男孩加入她，他们吃冰淇淋。</v>
      </c>
    </row>
    <row r="34210">
      <c r="A34210" s="4" t="s">
        <v>43049</v>
      </c>
      <c r="B34210" s="4" t="s">
        <v>43052</v>
      </c>
      <c r="C34210" s="5" t="str">
        <f>IFERROR(__xludf.DUMMYFUNCTION("GOOGLETRANSLATE(B34210,""en"",""zh-CN"")"),"这个男孩把他的圆锥体放在镜头前。")</f>
        <v>这个男孩把他的圆锥体放在镜头前。</v>
      </c>
    </row>
    <row r="34211">
      <c r="A34211" s="4" t="s">
        <v>43049</v>
      </c>
      <c r="B34211" s="4" t="s">
        <v>43053</v>
      </c>
      <c r="C34211" s="5" t="str">
        <f>IFERROR(__xludf.DUMMYFUNCTION("GOOGLETRANSLATE(B34211,""en"",""zh-CN"")"),"男孩疯狂地舔他的冰淇淋。")</f>
        <v>男孩疯狂地舔他的冰淇淋。</v>
      </c>
    </row>
    <row r="34212">
      <c r="A34212" s="4" t="s">
        <v>43049</v>
      </c>
      <c r="B34212" s="4" t="s">
        <v>43054</v>
      </c>
      <c r="C34212" s="5" t="str">
        <f>IFERROR(__xludf.DUMMYFUNCTION("GOOGLETRANSLATE(B34212,""en"",""zh-CN"")"),"一个男孩用冰淇淋向男孩扔东西。")</f>
        <v>一个男孩用冰淇淋向男孩扔东西。</v>
      </c>
    </row>
    <row r="34213">
      <c r="A34213" s="4" t="s">
        <v>43055</v>
      </c>
      <c r="B34213" s="4" t="s">
        <v>43056</v>
      </c>
      <c r="C34213" s="5" t="str">
        <f>IFERROR(__xludf.DUMMYFUNCTION("GOOGLETRANSLATE(B34213,""en"",""zh-CN"")"),"一个男孩从浴室里的小杯子里喝点东西。")</f>
        <v>一个男孩从浴室里的小杯子里喝点东西。</v>
      </c>
    </row>
    <row r="34214">
      <c r="A34214" s="4" t="s">
        <v>43055</v>
      </c>
      <c r="B34214" s="4" t="s">
        <v>43057</v>
      </c>
      <c r="C34214" s="5" t="str">
        <f>IFERROR(__xludf.DUMMYFUNCTION("GOOGLETRANSLATE(B34214,""en"",""zh-CN"")"),"男孩跑进房间，跳到床上。")</f>
        <v>男孩跑进房间，跳到床上。</v>
      </c>
    </row>
    <row r="34215">
      <c r="A34215" s="4" t="s">
        <v>43055</v>
      </c>
      <c r="B34215" s="4" t="s">
        <v>43058</v>
      </c>
      <c r="C34215" s="5" t="str">
        <f>IFERROR(__xludf.DUMMYFUNCTION("GOOGLETRANSLATE(B34215,""en"",""zh-CN"")"),"这个男孩吞下了他的嘴里的物品，用手遮住了嘴。")</f>
        <v>这个男孩吞下了他的嘴里的物品，用手遮住了嘴。</v>
      </c>
    </row>
    <row r="34216">
      <c r="A34216" s="4" t="s">
        <v>43059</v>
      </c>
      <c r="B34216" s="4" t="s">
        <v>43060</v>
      </c>
      <c r="C34216" s="5" t="str">
        <f>IFERROR(__xludf.DUMMYFUNCTION("GOOGLETRANSLATE(B34216,""en"",""zh-CN"")"),"看到一个人坐在皮划艇上坐着桨的人。")</f>
        <v>看到一个人坐在皮划艇上坐着桨的人。</v>
      </c>
    </row>
    <row r="34217">
      <c r="A34217" s="4" t="s">
        <v>43059</v>
      </c>
      <c r="B34217" s="4" t="s">
        <v>43061</v>
      </c>
      <c r="C34217" s="5" t="str">
        <f>IFERROR(__xludf.DUMMYFUNCTION("GOOGLETRANSLATE(B34217,""en"",""zh-CN"")"),"然后，该人开始沿着皮划艇中的水移动。")</f>
        <v>然后，该人开始沿着皮划艇中的水移动。</v>
      </c>
    </row>
    <row r="34218">
      <c r="A34218" s="4" t="s">
        <v>43059</v>
      </c>
      <c r="B34218" s="4" t="s">
        <v>43062</v>
      </c>
      <c r="C34218" s="5" t="str">
        <f>IFERROR(__xludf.DUMMYFUNCTION("GOOGLETRANSLATE(B34218,""en"",""zh-CN"")"),"该人继续划桨，然后用绳子向后拉，双臂欢呼。")</f>
        <v>该人继续划桨，然后用绳子向后拉，双臂欢呼。</v>
      </c>
    </row>
    <row r="34219">
      <c r="A34219" s="4" t="s">
        <v>43063</v>
      </c>
      <c r="B34219" s="6" t="s">
        <v>43064</v>
      </c>
      <c r="C34219" s="5" t="str">
        <f>IFERROR(__xludf.DUMMYFUNCTION("GOOGLETRANSLATE(B34219,""en"",""zh-CN"")"),"在建筑物的各个领域看到了一大批人，而有些人正在参加比赛。")</f>
        <v>在建筑物的各个领域看到了一大批人，而有些人正在参加比赛。</v>
      </c>
    </row>
    <row r="34220">
      <c r="A34220" s="4" t="s">
        <v>43063</v>
      </c>
      <c r="B34220" s="4" t="s">
        <v>43065</v>
      </c>
      <c r="C34220" s="5" t="str">
        <f>IFERROR(__xludf.DUMMYFUNCTION("GOOGLETRANSLATE(B34220,""en"",""zh-CN"")"),"人们坐在轨道上，导致小孩表演几次跳远。")</f>
        <v>人们坐在轨道上，导致小孩表演几次跳远。</v>
      </c>
    </row>
    <row r="34221">
      <c r="A34221" s="4" t="s">
        <v>43063</v>
      </c>
      <c r="B34221" s="4" t="s">
        <v>43066</v>
      </c>
      <c r="C34221" s="5" t="str">
        <f>IFERROR(__xludf.DUMMYFUNCTION("GOOGLETRANSLATE(B34221,""en"",""zh-CN"")"),"一名年长的男子最终宣布奖项，获奖者站在并获得丝带。")</f>
        <v>一名年长的男子最终宣布奖项，获奖者站在并获得丝带。</v>
      </c>
    </row>
    <row r="34222">
      <c r="A34222" s="4" t="s">
        <v>43067</v>
      </c>
      <c r="B34222" s="4" t="s">
        <v>43068</v>
      </c>
      <c r="C34222" s="5" t="str">
        <f>IFERROR(__xludf.DUMMYFUNCTION("GOOGLETRANSLATE(B34222,""en"",""zh-CN"")"),"白色的布雷维尔烤面包机正坐在被塞满的柜台上。")</f>
        <v>白色的布雷维尔烤面包机正坐在被塞满的柜台上。</v>
      </c>
    </row>
    <row r="34223">
      <c r="A34223" s="4" t="s">
        <v>43067</v>
      </c>
      <c r="B34223" s="4" t="s">
        <v>43069</v>
      </c>
      <c r="C34223" s="5" t="str">
        <f>IFERROR(__xludf.DUMMYFUNCTION("GOOGLETRANSLATE(B34223,""en"",""zh-CN"")"),"在烤面包机的前面，一块白奶油和香蕉坐在白板上。")</f>
        <v>在烤面包机的前面，一块白奶油和香蕉坐在白板上。</v>
      </c>
    </row>
    <row r="34224">
      <c r="A34224" s="4" t="s">
        <v>43067</v>
      </c>
      <c r="B34224" s="4" t="s">
        <v>43070</v>
      </c>
      <c r="C34224" s="5" t="str">
        <f>IFERROR(__xludf.DUMMYFUNCTION("GOOGLETRANSLATE(B34224,""en"",""zh-CN"")"),"接下来，在烤面包机上上下上下两片面包。")</f>
        <v>接下来，在烤面包机上上下上下两片面包。</v>
      </c>
    </row>
    <row r="34225">
      <c r="A34225" s="4" t="s">
        <v>43067</v>
      </c>
      <c r="B34225" s="6" t="s">
        <v>43071</v>
      </c>
      <c r="C34225" s="5" t="str">
        <f>IFERROR(__xludf.DUMMYFUNCTION("GOOGLETRANSLATE(B34225,""en"",""zh-CN"")"),"面包完成后，将其放在盘子上，然后将涂抹酱放在布拉德的两个切片上，然后将香蕉切成薄片，然后将面包放在香蕉上。")</f>
        <v>面包完成后，将其放在盘子上，然后将涂抹酱放在布拉德的两个切片上，然后将香蕉切成薄片，然后将面包放在香蕉上。</v>
      </c>
    </row>
    <row r="34226">
      <c r="A34226" s="4" t="s">
        <v>43067</v>
      </c>
      <c r="B34226" s="4" t="s">
        <v>43072</v>
      </c>
      <c r="C34226" s="5" t="str">
        <f>IFERROR(__xludf.DUMMYFUNCTION("GOOGLETRANSLATE(B34226,""en"",""zh-CN"")"),"现在，三明治被切成一半，人开始吃它。")</f>
        <v>现在，三明治被切成一半，人开始吃它。</v>
      </c>
    </row>
    <row r="34227">
      <c r="A34227" s="4" t="s">
        <v>43073</v>
      </c>
      <c r="B34227" s="4" t="s">
        <v>43074</v>
      </c>
      <c r="C34227" s="5" t="str">
        <f>IFERROR(__xludf.DUMMYFUNCTION("GOOGLETRANSLATE(B34227,""en"",""zh-CN"")"),"看到一个年长的男人跪在健身房中间，周围有几个人。")</f>
        <v>看到一个年长的男人跪在健身房中间，周围有几个人。</v>
      </c>
    </row>
    <row r="34228">
      <c r="A34228" s="4" t="s">
        <v>43073</v>
      </c>
      <c r="B34228" s="4" t="s">
        <v>43075</v>
      </c>
      <c r="C34228" s="5" t="str">
        <f>IFERROR(__xludf.DUMMYFUNCTION("GOOGLETRANSLATE(B34228,""en"",""zh-CN"")"),"该男子拉动了一块运动设备，将他的上臂向后和第四杆。")</f>
        <v>该男子拉动了一块运动设备，将他的上臂向后和第四杆。</v>
      </c>
    </row>
    <row r="34229">
      <c r="A34229" s="4" t="s">
        <v>43076</v>
      </c>
      <c r="B34229" s="4" t="s">
        <v>43077</v>
      </c>
      <c r="C34229" s="5" t="str">
        <f>IFERROR(__xludf.DUMMYFUNCTION("GOOGLETRANSLATE(B34229,""en"",""zh-CN"")"),"看到一个女人坐在医生的办公室里，医生对她和相机说话。")</f>
        <v>看到一个女人坐在医生的办公室里，医生对她和相机说话。</v>
      </c>
    </row>
    <row r="34230">
      <c r="A34230" s="4" t="s">
        <v>43076</v>
      </c>
      <c r="B34230" s="4" t="s">
        <v>43078</v>
      </c>
      <c r="C34230" s="5" t="str">
        <f>IFERROR(__xludf.DUMMYFUNCTION("GOOGLETRANSLATE(B34230,""en"",""zh-CN"")"),"然后，医生将物体握在女孩的嘴唇上。")</f>
        <v>然后，医生将物体握在女孩的嘴唇上。</v>
      </c>
    </row>
    <row r="34231">
      <c r="A34231" s="4" t="s">
        <v>43076</v>
      </c>
      <c r="B34231" s="4" t="s">
        <v>43079</v>
      </c>
      <c r="C34231" s="5" t="str">
        <f>IFERROR(__xludf.DUMMYFUNCTION("GOOGLETRANSLATE(B34231,""en"",""zh-CN"")"),"最后，男人刺穿了女孩的嘴唇，向她微笑。")</f>
        <v>最后，男人刺穿了女孩的嘴唇，向她微笑。</v>
      </c>
    </row>
    <row r="34232">
      <c r="A34232" s="4" t="s">
        <v>43080</v>
      </c>
      <c r="B34232" s="4" t="s">
        <v>43081</v>
      </c>
      <c r="C34232" s="5" t="str">
        <f>IFERROR(__xludf.DUMMYFUNCTION("GOOGLETRANSLATE(B34232,""en"",""zh-CN"")"),"一个男孩站在讲台上，说话成麦克风。")</f>
        <v>一个男孩站在讲台上，说话成麦克风。</v>
      </c>
    </row>
    <row r="34233">
      <c r="A34233" s="4" t="s">
        <v>43080</v>
      </c>
      <c r="B34233" s="4" t="s">
        <v>43082</v>
      </c>
      <c r="C34233" s="5" t="str">
        <f>IFERROR(__xludf.DUMMYFUNCTION("GOOGLETRANSLATE(B34233,""en"",""zh-CN"")"),"一群女孩一起登上舞台。")</f>
        <v>一群女孩一起登上舞台。</v>
      </c>
    </row>
    <row r="34234">
      <c r="A34234" s="4" t="s">
        <v>43080</v>
      </c>
      <c r="B34234" s="4" t="s">
        <v>43083</v>
      </c>
      <c r="C34234" s="5" t="str">
        <f>IFERROR(__xludf.DUMMYFUNCTION("GOOGLETRANSLATE(B34234,""en"",""zh-CN"")"),"他们在使用呼啦圈时开始跳舞。")</f>
        <v>他们在使用呼啦圈时开始跳舞。</v>
      </c>
    </row>
    <row r="34235">
      <c r="A34235" s="4" t="s">
        <v>43080</v>
      </c>
      <c r="B34235" s="4" t="s">
        <v>43084</v>
      </c>
      <c r="C34235" s="5" t="str">
        <f>IFERROR(__xludf.DUMMYFUNCTION("GOOGLETRANSLATE(B34235,""en"",""zh-CN"")"),"当他们结束时，一个女孩聚集了篮筐，当窗帘关闭时，人群拍了拍。")</f>
        <v>当他们结束时，一个女孩聚集了篮筐，当窗帘关闭时，人群拍了拍。</v>
      </c>
    </row>
    <row r="34236">
      <c r="A34236" s="4" t="s">
        <v>43085</v>
      </c>
      <c r="B34236" s="4" t="s">
        <v>43086</v>
      </c>
      <c r="C34236" s="5" t="str">
        <f>IFERROR(__xludf.DUMMYFUNCTION("GOOGLETRANSLATE(B34236,""en"",""zh-CN"")"),"看到一个女人坐在地板上，一边拿着猫并切割爪子。")</f>
        <v>看到一个女人坐在地板上，一边拿着猫并切割爪子。</v>
      </c>
    </row>
    <row r="34237">
      <c r="A34237" s="4" t="s">
        <v>43085</v>
      </c>
      <c r="B34237" s="6" t="s">
        <v>43087</v>
      </c>
      <c r="C34237" s="5" t="str">
        <f>IFERROR(__xludf.DUMMYFUNCTION("GOOGLETRANSLATE(B34237,""en"",""zh-CN"")"),"该名女子继续握住猫割伤爪子，然后起身逃跑。")</f>
        <v>该名女子继续握住猫割伤爪子，然后起身逃跑。</v>
      </c>
    </row>
    <row r="34238">
      <c r="A34238" s="4" t="s">
        <v>43088</v>
      </c>
      <c r="B34238" s="4" t="s">
        <v>43089</v>
      </c>
      <c r="C34238" s="5" t="str">
        <f>IFERROR(__xludf.DUMMYFUNCTION("GOOGLETRANSLATE(B34238,""en"",""zh-CN"")"),"“女性艺术体操（WAG）”一词出现在红屏上。")</f>
        <v>“女性艺术体操（WAG）”一词出现在红屏上。</v>
      </c>
    </row>
    <row r="34239">
      <c r="A34239" s="4" t="s">
        <v>43088</v>
      </c>
      <c r="B34239" s="4" t="s">
        <v>43090</v>
      </c>
      <c r="C34239" s="5" t="str">
        <f>IFERROR(__xludf.DUMMYFUNCTION("GOOGLETRANSLATE(B34239,""en"",""zh-CN"")"),"“ 2013-2016点代码”简短出现。")</f>
        <v>“ 2013-2016点代码”简短出现。</v>
      </c>
    </row>
    <row r="34240">
      <c r="A34240" s="4" t="s">
        <v>43088</v>
      </c>
      <c r="B34240" s="4" t="s">
        <v>43091</v>
      </c>
      <c r="C34240" s="5" t="str">
        <f>IFERROR(__xludf.DUMMYFUNCTION("GOOGLETRANSLATE(B34240,""en"",""zh-CN"")"),"显示了Chellsie Memmel表演体操奥运会试验的片段。")</f>
        <v>显示了Chellsie Memmel表演体操奥运会试验的片段。</v>
      </c>
    </row>
    <row r="34241">
      <c r="A34241" s="4" t="s">
        <v>43088</v>
      </c>
      <c r="B34241" s="4" t="s">
        <v>43092</v>
      </c>
      <c r="C34241" s="5" t="str">
        <f>IFERROR(__xludf.DUMMYFUNCTION("GOOGLETRANSLATE(B34241,""en"",""zh-CN"")"),"她的性能的各种统计数据显示在屏幕上。")</f>
        <v>她的性能的各种统计数据显示在屏幕上。</v>
      </c>
    </row>
    <row r="34242">
      <c r="A34242" s="4" t="s">
        <v>43093</v>
      </c>
      <c r="B34242" s="4" t="s">
        <v>43094</v>
      </c>
      <c r="C34242" s="5" t="str">
        <f>IFERROR(__xludf.DUMMYFUNCTION("GOOGLETRANSLATE(B34242,""en"",""zh-CN"")"),"这个女人正在做一个关于如何创建Nyan Cat Nails的指甲教程。")</f>
        <v>这个女人正在做一个关于如何创建Nyan Cat Nails的指甲教程。</v>
      </c>
    </row>
    <row r="34243">
      <c r="A34243" s="4" t="s">
        <v>43093</v>
      </c>
      <c r="B34243" s="4" t="s">
        <v>43095</v>
      </c>
      <c r="C34243" s="5" t="str">
        <f>IFERROR(__xludf.DUMMYFUNCTION("GOOGLETRANSLATE(B34243,""en"",""zh-CN"")"),"首先将所有指甲涂成蓝色，并在它们上划一条大的白色条纹，并点点小星星。")</f>
        <v>首先将所有指甲涂成蓝色，并在它们上划一条大的白色条纹，并点点小星星。</v>
      </c>
    </row>
    <row r="34244">
      <c r="A34244" s="4" t="s">
        <v>43093</v>
      </c>
      <c r="B34244" s="6" t="s">
        <v>43096</v>
      </c>
      <c r="C34244" s="5" t="str">
        <f>IFERROR(__xludf.DUMMYFUNCTION("GOOGLETRANSLATE(B34244,""en"",""zh-CN"")"),"然后用微小的画笔涂上彩虹颜色，然后使用一个塑料三明治袋制作Nyan Cat，然后将其推到指甲上。")</f>
        <v>然后用微小的画笔涂上彩虹颜色，然后使用一个塑料三明治袋制作Nyan Cat，然后将其推到指甲上。</v>
      </c>
    </row>
    <row r="34245">
      <c r="A34245" s="4" t="s">
        <v>43097</v>
      </c>
      <c r="B34245" s="4" t="s">
        <v>43098</v>
      </c>
      <c r="C34245" s="5" t="str">
        <f>IFERROR(__xludf.DUMMYFUNCTION("GOOGLETRANSLATE(B34245,""en"",""zh-CN"")"),"一位女士讨论并折叠毛巾。")</f>
        <v>一位女士讨论并折叠毛巾。</v>
      </c>
    </row>
    <row r="34246">
      <c r="A34246" s="4" t="s">
        <v>43097</v>
      </c>
      <c r="B34246" s="4" t="s">
        <v>43099</v>
      </c>
      <c r="C34246" s="5" t="str">
        <f>IFERROR(__xludf.DUMMYFUNCTION("GOOGLETRANSLATE(B34246,""en"",""zh-CN"")"),"那位女士用盒子从盒子里洗脸。")</f>
        <v>那位女士用盒子从盒子里洗脸。</v>
      </c>
    </row>
    <row r="34247">
      <c r="A34247" s="4" t="s">
        <v>43097</v>
      </c>
      <c r="B34247" s="4" t="s">
        <v>43100</v>
      </c>
      <c r="C34247" s="5" t="str">
        <f>IFERROR(__xludf.DUMMYFUNCTION("GOOGLETRANSLATE(B34247,""en"",""zh-CN"")"),"那位女士冲洗脸，用毛巾干燥。")</f>
        <v>那位女士冲洗脸，用毛巾干燥。</v>
      </c>
    </row>
    <row r="34248">
      <c r="A34248" s="4" t="s">
        <v>43101</v>
      </c>
      <c r="B34248" s="4" t="s">
        <v>43102</v>
      </c>
      <c r="C34248" s="5" t="str">
        <f>IFERROR(__xludf.DUMMYFUNCTION("GOOGLETRANSLATE(B34248,""en"",""zh-CN"")"),"一个试图指导大爆炸理论演奏岩石剪刀蜥蜴Spock的女人。")</f>
        <v>一个试图指导大爆炸理论演奏岩石剪刀蜥蜴Spock的女人。</v>
      </c>
    </row>
    <row r="34249">
      <c r="A34249" s="4" t="s">
        <v>43101</v>
      </c>
      <c r="B34249" s="4" t="s">
        <v>43103</v>
      </c>
      <c r="C34249" s="5" t="str">
        <f>IFERROR(__xludf.DUMMYFUNCTION("GOOGLETRANSLATE(B34249,""en"",""zh-CN"")"),"它显示了大爆炸理论的快速剪辑，实际上是这样做的。")</f>
        <v>它显示了大爆炸理论的快速剪辑，实际上是这样做的。</v>
      </c>
    </row>
    <row r="34250">
      <c r="A34250" s="4" t="s">
        <v>43101</v>
      </c>
      <c r="B34250" s="4" t="s">
        <v>43104</v>
      </c>
      <c r="C34250" s="5" t="str">
        <f>IFERROR(__xludf.DUMMYFUNCTION("GOOGLETRANSLATE(B34250,""en"",""zh-CN"")"),"然后，她试图为观众展示几次。")</f>
        <v>然后，她试图为观众展示几次。</v>
      </c>
    </row>
    <row r="34251">
      <c r="A34251" s="4" t="s">
        <v>43101</v>
      </c>
      <c r="B34251" s="4" t="s">
        <v>43105</v>
      </c>
      <c r="C34251" s="5" t="str">
        <f>IFERROR(__xludf.DUMMYFUNCTION("GOOGLETRANSLATE(B34251,""en"",""zh-CN"")"),"最后，她微笑着以另一张大爆炸理论图片结尾。")</f>
        <v>最后，她微笑着以另一张大爆炸理论图片结尾。</v>
      </c>
    </row>
    <row r="34252">
      <c r="A34252" s="4" t="s">
        <v>43106</v>
      </c>
      <c r="B34252" s="4" t="s">
        <v>1251</v>
      </c>
      <c r="C34252" s="5" t="str">
        <f>IFERROR(__xludf.DUMMYFUNCTION("GOOGLETRANSLATE(B34252,""en"",""zh-CN"")"),"显示了剪辑的信用。")</f>
        <v>显示了剪辑的信用。</v>
      </c>
    </row>
    <row r="34253">
      <c r="A34253" s="4" t="s">
        <v>43106</v>
      </c>
      <c r="B34253" s="4" t="s">
        <v>43107</v>
      </c>
      <c r="C34253" s="5" t="str">
        <f>IFERROR(__xludf.DUMMYFUNCTION("GOOGLETRANSLATE(B34253,""en"",""zh-CN"")"),"一个人从手挥动金属物体。")</f>
        <v>一个人从手挥动金属物体。</v>
      </c>
    </row>
    <row r="34254">
      <c r="A34254" s="4" t="s">
        <v>43106</v>
      </c>
      <c r="B34254" s="4" t="s">
        <v>43108</v>
      </c>
      <c r="C34254" s="5" t="str">
        <f>IFERROR(__xludf.DUMMYFUNCTION("GOOGLETRANSLATE(B34254,""en"",""zh-CN"")"),"该男子在他身后旋转并释放一个物体，并显示了视频的荣誉。")</f>
        <v>该男子在他身后旋转并释放一个物体，并显示了视频的荣誉。</v>
      </c>
    </row>
    <row r="34255">
      <c r="A34255" s="4" t="s">
        <v>43109</v>
      </c>
      <c r="B34255" s="4" t="s">
        <v>43110</v>
      </c>
      <c r="C34255" s="5" t="str">
        <f>IFERROR(__xludf.DUMMYFUNCTION("GOOGLETRANSLATE(B34255,""en"",""zh-CN"")"),"一个男人和一个女人站在一个岛后面的厨房里，上面有水果。")</f>
        <v>一个男人和一个女人站在一个岛后面的厨房里，上面有水果。</v>
      </c>
    </row>
    <row r="34256">
      <c r="A34256" s="4" t="s">
        <v>43109</v>
      </c>
      <c r="B34256" s="6" t="s">
        <v>43111</v>
      </c>
      <c r="C34256" s="5" t="str">
        <f>IFERROR(__xludf.DUMMYFUNCTION("GOOGLETRANSLATE(B34256,""en"",""zh-CN"")"),"一旦男性结束说话，女人就会开始擦拭蔬菜并将橙色切成两半。")</f>
        <v>一旦男性结束说话，女人就会开始擦拭蔬菜并将橙色切成两半。</v>
      </c>
    </row>
    <row r="34257">
      <c r="A34257" s="4" t="s">
        <v>43109</v>
      </c>
      <c r="B34257" s="6" t="s">
        <v>43112</v>
      </c>
      <c r="C34257" s="5" t="str">
        <f>IFERROR(__xludf.DUMMYFUNCTION("GOOGLETRANSLATE(B34257,""en"",""zh-CN"")"),"然后，她将橙色挤入一个透明的玻璃碗中，然后将其调味，并将其与先前切割的成分混合在一起。")</f>
        <v>然后，她将橙色挤入一个透明的玻璃碗中，然后将其调味，并将其与先前切割的成分混合在一起。</v>
      </c>
    </row>
    <row r="34258">
      <c r="A34258" s="4" t="s">
        <v>43113</v>
      </c>
      <c r="B34258" s="4" t="s">
        <v>43114</v>
      </c>
      <c r="C34258" s="5" t="str">
        <f>IFERROR(__xludf.DUMMYFUNCTION("GOOGLETRANSLATE(B34258,""en"",""zh-CN"")"),"看到一个人看着相机几镜头以及越野自行车的特写。")</f>
        <v>看到一个人看着相机几镜头以及越野自行车的特写。</v>
      </c>
    </row>
    <row r="34259">
      <c r="A34259" s="4" t="s">
        <v>43113</v>
      </c>
      <c r="B34259" s="4" t="s">
        <v>43115</v>
      </c>
      <c r="C34259" s="5" t="str">
        <f>IFERROR(__xludf.DUMMYFUNCTION("GOOGLETRANSLATE(B34259,""en"",""zh-CN"")"),"然后，人们在赛道和表演技巧上骑着几张镜头显示了人们。")</f>
        <v>然后，人们在赛道和表演技巧上骑着几张镜头显示了人们。</v>
      </c>
    </row>
    <row r="34260">
      <c r="A34260" s="4" t="s">
        <v>43113</v>
      </c>
      <c r="B34260" s="4" t="s">
        <v>43116</v>
      </c>
      <c r="C34260" s="5" t="str">
        <f>IFERROR(__xludf.DUMMYFUNCTION("GOOGLETRANSLATE(B34260,""en"",""zh-CN"")"),"这些人在林区骑行，并在许多镜头中骑行。")</f>
        <v>这些人在林区骑行，并在许多镜头中骑行。</v>
      </c>
    </row>
    <row r="34261">
      <c r="A34261" s="4" t="s">
        <v>43117</v>
      </c>
      <c r="B34261" s="6" t="s">
        <v>43118</v>
      </c>
      <c r="C34261" s="5" t="str">
        <f>IFERROR(__xludf.DUMMYFUNCTION("GOOGLETRANSLATE(B34261,""en"",""zh-CN"")"),"游泳池游泳中有许多不同的人，屏幕上出现了“ Speedo如何指导系列如何呼吸”。")</f>
        <v>游泳池游泳中有许多不同的人，屏幕上出现了“ Speedo如何指导系列如何呼吸”。</v>
      </c>
    </row>
    <row r="34262">
      <c r="A34262" s="4" t="s">
        <v>43117</v>
      </c>
      <c r="B34262" s="6" t="s">
        <v>43119</v>
      </c>
      <c r="C34262" s="5" t="str">
        <f>IFERROR(__xludf.DUMMYFUNCTION("GOOGLETRANSLATE(B34262,""en"",""zh-CN"")"),"一位穿着泳衣和淋浴帽的年轻女士坐在游泳池的旁边，而她的游泳夹子则显示出来，她的名字叫Keri-Anne Payne，是10公里的开放水上水银奥运会奖牌获得者。")</f>
        <v>一位穿着泳衣和淋浴帽的年轻女士坐在游泳池的旁边，而她的游泳夹子则显示出来，她的名字叫Keri-Anne Payne，是10公里的开放水上水银奥运会奖牌获得者。</v>
      </c>
    </row>
    <row r="34263">
      <c r="A34263" s="4" t="s">
        <v>43117</v>
      </c>
      <c r="B34263" s="4" t="s">
        <v>43120</v>
      </c>
      <c r="C34263" s="5" t="str">
        <f>IFERROR(__xludf.DUMMYFUNCTION("GOOGLETRANSLATE(B34263,""en"",""zh-CN"")"),"出现了，这是一个带有Speedo徽标和Speedo一词的黑屏。")</f>
        <v>出现了，这是一个带有Speedo徽标和Speedo一词的黑屏。</v>
      </c>
    </row>
    <row r="34264">
      <c r="A34264" s="4" t="s">
        <v>43121</v>
      </c>
      <c r="B34264" s="6" t="s">
        <v>43122</v>
      </c>
      <c r="C34264" s="5" t="str">
        <f>IFERROR(__xludf.DUMMYFUNCTION("GOOGLETRANSLATE(B34264,""en"",""zh-CN"")"),"一个简介导致几个人骑着马骑着绳子，在坑中抓住小牛的剪辑。")</f>
        <v>一个简介导致几个人骑着马骑着绳子，在坑中抓住小牛的剪辑。</v>
      </c>
    </row>
    <row r="34265">
      <c r="A34265" s="4" t="s">
        <v>43121</v>
      </c>
      <c r="B34265" s="6" t="s">
        <v>43123</v>
      </c>
      <c r="C34265" s="5" t="str">
        <f>IFERROR(__xludf.DUMMYFUNCTION("GOOGLETRANSLATE(B34265,""en"",""zh-CN"")"),"有更多的剪辑显示了人们将小牛绑在坑里，并以表演的人的照片结尾。")</f>
        <v>有更多的剪辑显示了人们将小牛绑在坑里，并以表演的人的照片结尾。</v>
      </c>
    </row>
    <row r="34266">
      <c r="A34266" s="4" t="s">
        <v>43124</v>
      </c>
      <c r="B34266" s="4" t="s">
        <v>43125</v>
      </c>
      <c r="C34266" s="5" t="str">
        <f>IFERROR(__xludf.DUMMYFUNCTION("GOOGLETRANSLATE(B34266,""en"",""zh-CN"")"),"一群妇女和一个男人在海滩上的沙滩上打排球。")</f>
        <v>一群妇女和一个男人在海滩上的沙滩上打排球。</v>
      </c>
    </row>
    <row r="34267">
      <c r="A34267" s="4" t="s">
        <v>43124</v>
      </c>
      <c r="B34267" s="4" t="s">
        <v>43126</v>
      </c>
      <c r="C34267" s="5" t="str">
        <f>IFERROR(__xludf.DUMMYFUNCTION("GOOGLETRANSLATE(B34267,""en"",""zh-CN"")"),"他们将粉红色的球弹出在网上。")</f>
        <v>他们将粉红色的球弹出在网上。</v>
      </c>
    </row>
    <row r="34268">
      <c r="A34268" s="4" t="s">
        <v>43124</v>
      </c>
      <c r="B34268" s="4" t="s">
        <v>43127</v>
      </c>
      <c r="C34268" s="5" t="str">
        <f>IFERROR(__xludf.DUMMYFUNCTION("GOOGLETRANSLATE(B34268,""en"",""zh-CN"")"),"一个女人走在一块设备后面抓住球。")</f>
        <v>一个女人走在一块设备后面抓住球。</v>
      </c>
    </row>
    <row r="34269">
      <c r="A34269" s="4" t="s">
        <v>43128</v>
      </c>
      <c r="B34269" s="6" t="s">
        <v>43129</v>
      </c>
      <c r="C34269" s="5" t="str">
        <f>IFERROR(__xludf.DUMMYFUNCTION("GOOGLETRANSLATE(B34269,""en"",""zh-CN"")"),"看到一大批妇女在舞台上移动，并从两名女性进行腹部舞蹈常规开始。")</f>
        <v>看到一大批妇女在舞台上移动，并从两名女性进行腹部舞蹈常规开始。</v>
      </c>
    </row>
    <row r="34270">
      <c r="A34270" s="4" t="s">
        <v>43128</v>
      </c>
      <c r="B34270" s="6" t="s">
        <v>43130</v>
      </c>
      <c r="C34270" s="5" t="str">
        <f>IFERROR(__xludf.DUMMYFUNCTION("GOOGLETRANSLATE(B34270,""en"",""zh-CN"")"),"妇女继续在舞台上跳舞，结束姿势并互相碰撞。")</f>
        <v>妇女继续在舞台上跳舞，结束姿势并互相碰撞。</v>
      </c>
    </row>
    <row r="34271">
      <c r="A34271" s="4" t="s">
        <v>43131</v>
      </c>
      <c r="B34271" s="4" t="s">
        <v>43132</v>
      </c>
      <c r="C34271" s="5" t="str">
        <f>IFERROR(__xludf.DUMMYFUNCTION("GOOGLETRANSLATE(B34271,""en"",""zh-CN"")"),"几个瓶子和指甲工具坐在桌子上。")</f>
        <v>几个瓶子和指甲工具坐在桌子上。</v>
      </c>
    </row>
    <row r="34272">
      <c r="A34272" s="4" t="s">
        <v>43131</v>
      </c>
      <c r="B34272" s="4" t="s">
        <v>43133</v>
      </c>
      <c r="C34272" s="5" t="str">
        <f>IFERROR(__xludf.DUMMYFUNCTION("GOOGLETRANSLATE(B34272,""en"",""zh-CN"")"),"一个女人用白色的酒吧将指甲提交桌子。")</f>
        <v>一个女人用白色的酒吧将指甲提交桌子。</v>
      </c>
    </row>
    <row r="34273">
      <c r="A34273" s="4" t="s">
        <v>43131</v>
      </c>
      <c r="B34273" s="4" t="s">
        <v>43134</v>
      </c>
      <c r="C34273" s="5" t="str">
        <f>IFERROR(__xludf.DUMMYFUNCTION("GOOGLETRANSLATE(B34273,""en"",""zh-CN"")"),"然后，她将指甲涂成清晰。")</f>
        <v>然后，她将指甲涂成清晰。</v>
      </c>
    </row>
    <row r="34274">
      <c r="A34274" s="4" t="s">
        <v>43131</v>
      </c>
      <c r="B34274" s="4" t="s">
        <v>43135</v>
      </c>
      <c r="C34274" s="5" t="str">
        <f>IFERROR(__xludf.DUMMYFUNCTION("GOOGLETRANSLATE(B34274,""en"",""zh-CN"")"),"然后，她将手指指甲放入一个被点亮的白盒子中。")</f>
        <v>然后，她将手指指甲放入一个被点亮的白盒子中。</v>
      </c>
    </row>
    <row r="34275">
      <c r="A34275" s="4" t="s">
        <v>43131</v>
      </c>
      <c r="B34275" s="4" t="s">
        <v>43136</v>
      </c>
      <c r="C34275" s="5" t="str">
        <f>IFERROR(__xludf.DUMMYFUNCTION("GOOGLETRANSLATE(B34275,""en"",""zh-CN"")"),"灯熄灭，她伸出手，将其放在桌子上。")</f>
        <v>灯熄灭，她伸出手，将其放在桌子上。</v>
      </c>
    </row>
    <row r="34276">
      <c r="A34276" s="4" t="s">
        <v>43131</v>
      </c>
      <c r="B34276" s="4" t="s">
        <v>43137</v>
      </c>
      <c r="C34276" s="5" t="str">
        <f>IFERROR(__xludf.DUMMYFUNCTION("GOOGLETRANSLATE(B34276,""en"",""zh-CN"")"),"屏幕上显示了指甲油瓶。")</f>
        <v>屏幕上显示了指甲油瓶。</v>
      </c>
    </row>
    <row r="34277">
      <c r="A34277" s="4" t="s">
        <v>43131</v>
      </c>
      <c r="B34277" s="4" t="s">
        <v>43138</v>
      </c>
      <c r="C34277" s="5" t="str">
        <f>IFERROR(__xludf.DUMMYFUNCTION("GOOGLETRANSLATE(B34277,""en"",""zh-CN"")"),"她用那种抛光剂画指甲。")</f>
        <v>她用那种抛光剂画指甲。</v>
      </c>
    </row>
    <row r="34278">
      <c r="A34278" s="4" t="s">
        <v>43131</v>
      </c>
      <c r="B34278" s="4" t="s">
        <v>43139</v>
      </c>
      <c r="C34278" s="5" t="str">
        <f>IFERROR(__xludf.DUMMYFUNCTION("GOOGLETRANSLATE(B34278,""en"",""zh-CN"")"),"她把手放回桌子上的点亮盒子里。")</f>
        <v>她把手放回桌子上的点亮盒子里。</v>
      </c>
    </row>
    <row r="34279">
      <c r="A34279" s="4" t="s">
        <v>43131</v>
      </c>
      <c r="B34279" s="4" t="s">
        <v>43140</v>
      </c>
      <c r="C34279" s="5" t="str">
        <f>IFERROR(__xludf.DUMMYFUNCTION("GOOGLETRANSLATE(B34279,""en"",""zh-CN"")"),"她再做一件指甲油的外套。")</f>
        <v>她再做一件指甲油的外套。</v>
      </c>
    </row>
    <row r="34280">
      <c r="A34280" s="4" t="s">
        <v>43131</v>
      </c>
      <c r="B34280" s="4" t="s">
        <v>43141</v>
      </c>
      <c r="C34280" s="5" t="str">
        <f>IFERROR(__xludf.DUMMYFUNCTION("GOOGLETRANSLATE(B34280,""en"",""zh-CN"")"),"她把手放回点亮的盒子里。")</f>
        <v>她把手放回点亮的盒子里。</v>
      </c>
    </row>
    <row r="34281">
      <c r="A34281" s="4" t="s">
        <v>43131</v>
      </c>
      <c r="B34281" s="4" t="s">
        <v>43142</v>
      </c>
      <c r="C34281" s="5" t="str">
        <f>IFERROR(__xludf.DUMMYFUNCTION("GOOGLETRANSLATE(B34281,""en"",""zh-CN"")"),"桌子上显示了一个瓶子。")</f>
        <v>桌子上显示了一个瓶子。</v>
      </c>
    </row>
    <row r="34282">
      <c r="A34282" s="4" t="s">
        <v>43131</v>
      </c>
      <c r="B34282" s="4" t="s">
        <v>43143</v>
      </c>
      <c r="C34282" s="5" t="str">
        <f>IFERROR(__xludf.DUMMYFUNCTION("GOOGLETRANSLATE(B34282,""en"",""zh-CN"")"),"她的手平放在桌子上。")</f>
        <v>她的手平放在桌子上。</v>
      </c>
    </row>
    <row r="34283">
      <c r="A34283" s="4" t="s">
        <v>43144</v>
      </c>
      <c r="B34283" s="6" t="s">
        <v>43145</v>
      </c>
      <c r="C34283" s="5" t="str">
        <f>IFERROR(__xludf.DUMMYFUNCTION("GOOGLETRANSLATE(B34283,""en"",""zh-CN"")"),"柠檬被扔到柜台上，柠檬艾滋病杯也出现在柜台上的梅森罐子里。")</f>
        <v>柠檬被扔到柜台上，柠檬艾滋病杯也出现在柜台上的梅森罐子里。</v>
      </c>
    </row>
    <row r="34284">
      <c r="A34284" s="4" t="s">
        <v>43144</v>
      </c>
      <c r="B34284" s="6" t="s">
        <v>43146</v>
      </c>
      <c r="C34284" s="5" t="str">
        <f>IFERROR(__xludf.DUMMYFUNCTION("GOOGLETRANSLATE(B34284,""en"",""zh-CN"")"),"然后用坚固的压力用手的手掌将柠檬卷在柜台上来回弯曲。")</f>
        <v>然后用坚固的压力用手的手掌将柠檬卷在柜台上来回弯曲。</v>
      </c>
    </row>
    <row r="34285">
      <c r="A34285" s="4" t="s">
        <v>43144</v>
      </c>
      <c r="B34285" s="6" t="s">
        <v>43147</v>
      </c>
      <c r="C34285" s="5" t="str">
        <f>IFERROR(__xludf.DUMMYFUNCTION("GOOGLETRANSLATE(B34285,""en"",""zh-CN"")"),"柠檬在金属食品刨丝机上来回刮擦，使他们的皮肤使柠檬的皮肤放在碗中。")</f>
        <v>柠檬在金属食品刨丝机上来回刮擦，使他们的皮肤使柠檬的皮肤放在碗中。</v>
      </c>
    </row>
    <row r="34286">
      <c r="A34286" s="4" t="s">
        <v>43144</v>
      </c>
      <c r="B34286" s="6" t="s">
        <v>43148</v>
      </c>
      <c r="C34286" s="5" t="str">
        <f>IFERROR(__xludf.DUMMYFUNCTION("GOOGLETRANSLATE(B34286,""en"",""zh-CN"")"),"将水与糖一起加入锅中，然后将用金属碎屑器提取的柠檬皮也加入水中。")</f>
        <v>将水与糖一起加入锅中，然后将用金属碎屑器提取的柠檬皮也加入水中。</v>
      </c>
    </row>
    <row r="34287">
      <c r="A34287" s="4" t="s">
        <v>43144</v>
      </c>
      <c r="B34287" s="6" t="s">
        <v>43149</v>
      </c>
      <c r="C34287" s="5" t="str">
        <f>IFERROR(__xludf.DUMMYFUNCTION("GOOGLETRANSLATE(B34287,""en"",""zh-CN"")"),"柠檬在玻璃碗上切成薄片，然后将果汁与糖水一起倒入过滤器中，并带有热情的热水，这些热水先前混合在锅中。")</f>
        <v>柠檬在玻璃碗上切成薄片，然后将果汁与糖水一起倒入过滤器中，并带有热情的热水，这些热水先前混合在锅中。</v>
      </c>
    </row>
    <row r="34288">
      <c r="A34288" s="4" t="s">
        <v>43144</v>
      </c>
      <c r="B34288" s="4" t="s">
        <v>43150</v>
      </c>
      <c r="C34288" s="5" t="str">
        <f>IFERROR(__xludf.DUMMYFUNCTION("GOOGLETRANSLATE(B34288,""en"",""zh-CN"")"),"将混合物用添加的水搅拌，然后加入冰。")</f>
        <v>将混合物用添加的水搅拌，然后加入冰。</v>
      </c>
    </row>
    <row r="34289">
      <c r="A34289" s="4" t="s">
        <v>43151</v>
      </c>
      <c r="B34289" s="4" t="s">
        <v>43152</v>
      </c>
      <c r="C34289" s="5" t="str">
        <f>IFERROR(__xludf.DUMMYFUNCTION("GOOGLETRANSLATE(B34289,""en"",""zh-CN"")"),"看到一个男人和一个男人站在卧室里。")</f>
        <v>看到一个男人和一个男人站在卧室里。</v>
      </c>
    </row>
    <row r="34290">
      <c r="A34290" s="4" t="s">
        <v>43151</v>
      </c>
      <c r="B34290" s="4" t="s">
        <v>43153</v>
      </c>
      <c r="C34290" s="5" t="str">
        <f>IFERROR(__xludf.DUMMYFUNCTION("GOOGLETRANSLATE(B34290,""en"",""zh-CN"")"),"他弯下腰​​，开始捡起另一个男人。")</f>
        <v>他弯下腰​​，开始捡起另一个男人。</v>
      </c>
    </row>
    <row r="34291">
      <c r="A34291" s="4" t="s">
        <v>43151</v>
      </c>
      <c r="B34291" s="4" t="s">
        <v>43154</v>
      </c>
      <c r="C34291" s="5" t="str">
        <f>IFERROR(__xludf.DUMMYFUNCTION("GOOGLETRANSLATE(B34291,""en"",""zh-CN"")"),"他终于把男人扔到床上。")</f>
        <v>他终于把男人扔到床上。</v>
      </c>
    </row>
    <row r="34292">
      <c r="A34292" s="4" t="s">
        <v>43155</v>
      </c>
      <c r="B34292" s="6" t="s">
        <v>43156</v>
      </c>
      <c r="C34292" s="5" t="str">
        <f>IFERROR(__xludf.DUMMYFUNCTION("GOOGLETRANSLATE(B34292,""en"",""zh-CN"")"),"两组男孩竞争拔河绳，而一名男子则监督游戏和其他人观看。")</f>
        <v>两组男孩竞争拔河绳，而一名男子则监督游戏和其他人观看。</v>
      </c>
    </row>
    <row r="34293">
      <c r="A34293" s="4" t="s">
        <v>43155</v>
      </c>
      <c r="B34293" s="4" t="s">
        <v>43157</v>
      </c>
      <c r="C34293" s="5" t="str">
        <f>IFERROR(__xludf.DUMMYFUNCTION("GOOGLETRANSLATE(B34293,""en"",""zh-CN"")"),"一个人拍照。")</f>
        <v>一个人拍照。</v>
      </c>
    </row>
    <row r="34294">
      <c r="A34294" s="4" t="s">
        <v>43155</v>
      </c>
      <c r="B34294" s="4" t="s">
        <v>43158</v>
      </c>
      <c r="C34294" s="5" t="str">
        <f>IFERROR(__xludf.DUMMYFUNCTION("GOOGLETRANSLATE(B34294,""en"",""zh-CN"")"),"左边的球队赢得了比赛。")</f>
        <v>左边的球队赢得了比赛。</v>
      </c>
    </row>
    <row r="34295">
      <c r="A34295" s="4" t="s">
        <v>43159</v>
      </c>
      <c r="B34295" s="4" t="s">
        <v>43160</v>
      </c>
      <c r="C34295" s="5" t="str">
        <f>IFERROR(__xludf.DUMMYFUNCTION("GOOGLETRANSLATE(B34295,""en"",""zh-CN"")"),"该视频导致了几个人站在海滩上以及在沙滩上玩耍的镜头。")</f>
        <v>该视频导致了几个人站在海滩上以及在沙滩上玩耍的镜头。</v>
      </c>
    </row>
    <row r="34296">
      <c r="A34296" s="4" t="s">
        <v>43159</v>
      </c>
      <c r="B34296" s="6" t="s">
        <v>43161</v>
      </c>
      <c r="C34296" s="5" t="str">
        <f>IFERROR(__xludf.DUMMYFUNCTION("GOOGLETRANSLATE(B34296,""en"",""zh-CN"")"),"还有几张照片显示了人们沿着海滩移动以及帮助他人和风景镜头的照片。")</f>
        <v>还有几张照片显示了人们沿着海滩移动以及帮助他人和风景镜头的照片。</v>
      </c>
    </row>
    <row r="34297">
      <c r="A34297" s="4" t="s">
        <v>43162</v>
      </c>
      <c r="B34297" s="4" t="s">
        <v>43163</v>
      </c>
      <c r="C34297" s="5" t="str">
        <f>IFERROR(__xludf.DUMMYFUNCTION("GOOGLETRANSLATE(B34297,""en"",""zh-CN"")"),"我们看到滚动的积分上升了屏幕。")</f>
        <v>我们看到滚动的积分上升了屏幕。</v>
      </c>
    </row>
    <row r="34298">
      <c r="A34298" s="4" t="s">
        <v>43162</v>
      </c>
      <c r="B34298" s="4" t="s">
        <v>43164</v>
      </c>
      <c r="C34298" s="5" t="str">
        <f>IFERROR(__xludf.DUMMYFUNCTION("GOOGLETRANSLATE(B34298,""en"",""zh-CN"")"),"我们看到三个人在健身房骑着固定的自行车。")</f>
        <v>我们看到三个人在健身房骑着固定的自行车。</v>
      </c>
    </row>
    <row r="34299">
      <c r="A34299" s="4" t="s">
        <v>43162</v>
      </c>
      <c r="B34299" s="4" t="s">
        <v>43165</v>
      </c>
      <c r="C34299" s="5" t="str">
        <f>IFERROR(__xludf.DUMMYFUNCTION("GOOGLETRANSLATE(B34299,""en"",""zh-CN"")"),"相机移到骑自行车的人。")</f>
        <v>相机移到骑自行车的人。</v>
      </c>
    </row>
    <row r="34300">
      <c r="A34300" s="4" t="s">
        <v>43162</v>
      </c>
      <c r="B34300" s="4" t="s">
        <v>43166</v>
      </c>
      <c r="C34300" s="5" t="str">
        <f>IFERROR(__xludf.DUMMYFUNCTION("GOOGLETRANSLATE(B34300,""en"",""zh-CN"")"),"女士停下来调整她的自行车上的东西。")</f>
        <v>女士停下来调整她的自行车上的东西。</v>
      </c>
    </row>
    <row r="34301">
      <c r="A34301" s="4" t="s">
        <v>43162</v>
      </c>
      <c r="B34301" s="4" t="s">
        <v>43167</v>
      </c>
      <c r="C34301" s="5" t="str">
        <f>IFERROR(__xludf.DUMMYFUNCTION("GOOGLETRANSLATE(B34301,""en"",""zh-CN"")"),"我们在场景中尤其是第四个骑手。")</f>
        <v>我们在场景中尤其是第四个骑手。</v>
      </c>
    </row>
    <row r="34302">
      <c r="A34302" s="4" t="s">
        <v>43162</v>
      </c>
      <c r="B34302" s="4" t="s">
        <v>43168</v>
      </c>
      <c r="C34302" s="5" t="str">
        <f>IFERROR(__xludf.DUMMYFUNCTION("GOOGLETRANSLATE(B34302,""en"",""zh-CN"")"),"这位女士骑自行车慢慢。")</f>
        <v>这位女士骑自行车慢慢。</v>
      </c>
    </row>
    <row r="34303">
      <c r="A34303" s="4" t="s">
        <v>43162</v>
      </c>
      <c r="B34303" s="4" t="s">
        <v>43169</v>
      </c>
      <c r="C34303" s="5" t="str">
        <f>IFERROR(__xludf.DUMMYFUNCTION("GOOGLETRANSLATE(B34303,""en"",""zh-CN"")"),"那位女士慢慢骑自行车。")</f>
        <v>那位女士慢慢骑自行车。</v>
      </c>
    </row>
    <row r="34304">
      <c r="A34304" s="4" t="s">
        <v>43162</v>
      </c>
      <c r="B34304" s="4" t="s">
        <v>43170</v>
      </c>
      <c r="C34304" s="5" t="str">
        <f>IFERROR(__xludf.DUMMYFUNCTION("GOOGLETRANSLATE(B34304,""en"",""zh-CN"")"),"我们在蓝色背景上看到关闭屏幕。")</f>
        <v>我们在蓝色背景上看到关闭屏幕。</v>
      </c>
    </row>
    <row r="34305">
      <c r="A34305" s="4" t="s">
        <v>43171</v>
      </c>
      <c r="B34305" s="4" t="s">
        <v>43172</v>
      </c>
      <c r="C34305" s="5" t="str">
        <f>IFERROR(__xludf.DUMMYFUNCTION("GOOGLETRANSLATE(B34305,""en"",""zh-CN"")"),"有一个小男孩坐在卧室的床上。")</f>
        <v>有一个小男孩坐在卧室的床上。</v>
      </c>
    </row>
    <row r="34306">
      <c r="A34306" s="4" t="s">
        <v>43171</v>
      </c>
      <c r="B34306" s="4" t="s">
        <v>43173</v>
      </c>
      <c r="C34306" s="5" t="str">
        <f>IFERROR(__xludf.DUMMYFUNCTION("GOOGLETRANSLATE(B34306,""en"",""zh-CN"")"),"床上有一个洗衣篮和很多衣服。")</f>
        <v>床上有一个洗衣篮和很多衣服。</v>
      </c>
    </row>
    <row r="34307">
      <c r="A34307" s="4" t="s">
        <v>43171</v>
      </c>
      <c r="B34307" s="4" t="s">
        <v>43174</v>
      </c>
      <c r="C34307" s="5" t="str">
        <f>IFERROR(__xludf.DUMMYFUNCTION("GOOGLETRANSLATE(B34307,""en"",""zh-CN"")"),"拍摄视频的男孩的母亲显示了一个真空吸尘器。")</f>
        <v>拍摄视频的男孩的母亲显示了一个真空吸尘器。</v>
      </c>
    </row>
    <row r="34308">
      <c r="A34308" s="4" t="s">
        <v>43171</v>
      </c>
      <c r="B34308" s="4" t="s">
        <v>43175</v>
      </c>
      <c r="C34308" s="5" t="str">
        <f>IFERROR(__xludf.DUMMYFUNCTION("GOOGLETRANSLATE(B34308,""en"",""zh-CN"")"),"然后，她打开真空吸尘器，开始对卧室地板进行吸尘。")</f>
        <v>然后，她打开真空吸尘器，开始对卧室地板进行吸尘。</v>
      </c>
    </row>
    <row r="34309">
      <c r="A34309" s="4" t="s">
        <v>43171</v>
      </c>
      <c r="B34309" s="4" t="s">
        <v>43176</v>
      </c>
      <c r="C34309" s="5" t="str">
        <f>IFERROR(__xludf.DUMMYFUNCTION("GOOGLETRANSLATE(B34309,""en"",""zh-CN"")"),"这个男孩在床上跳下去时看着妈妈真空吸尘器。")</f>
        <v>这个男孩在床上跳下去时看着妈妈真空吸尘器。</v>
      </c>
    </row>
    <row r="34310">
      <c r="A34310" s="4" t="s">
        <v>43171</v>
      </c>
      <c r="B34310" s="4" t="s">
        <v>43177</v>
      </c>
      <c r="C34310" s="5" t="str">
        <f>IFERROR(__xludf.DUMMYFUNCTION("GOOGLETRANSLATE(B34310,""en"",""zh-CN"")"),"然后，男孩看到母亲完成工作时躺在床上。")</f>
        <v>然后，男孩看到母亲完成工作时躺在床上。</v>
      </c>
    </row>
    <row r="34311">
      <c r="A34311" s="4" t="s">
        <v>43171</v>
      </c>
      <c r="B34311" s="4" t="s">
        <v>43178</v>
      </c>
      <c r="C34311" s="5" t="str">
        <f>IFERROR(__xludf.DUMMYFUNCTION("GOOGLETRANSLATE(B34311,""en"",""zh-CN"")"),"然后男孩下床，跳到地面上，看着床头柜。")</f>
        <v>然后男孩下床，跳到地面上，看着床头柜。</v>
      </c>
    </row>
    <row r="34312">
      <c r="A34312" s="4" t="s">
        <v>43179</v>
      </c>
      <c r="B34312" s="4" t="s">
        <v>43180</v>
      </c>
      <c r="C34312" s="5" t="str">
        <f>IFERROR(__xludf.DUMMYFUNCTION("GOOGLETRANSLATE(B34312,""en"",""zh-CN"")"),"一个男人在泳池健身房里说话。")</f>
        <v>一个男人在泳池健身房里说话。</v>
      </c>
    </row>
    <row r="34313">
      <c r="A34313" s="4" t="s">
        <v>43179</v>
      </c>
      <c r="B34313" s="4" t="s">
        <v>43181</v>
      </c>
      <c r="C34313" s="5" t="str">
        <f>IFERROR(__xludf.DUMMYFUNCTION("GOOGLETRANSLATE(B34313,""en"",""zh-CN"")"),"在水下显示了视图，然后向他介绍。")</f>
        <v>在水下显示了视图，然后向他介绍。</v>
      </c>
    </row>
    <row r="34314">
      <c r="A34314" s="4" t="s">
        <v>43182</v>
      </c>
      <c r="B34314" s="4" t="s">
        <v>43183</v>
      </c>
      <c r="C34314" s="5" t="str">
        <f>IFERROR(__xludf.DUMMYFUNCTION("GOOGLETRANSLATE(B34314,""en"",""zh-CN"")"),"一个人准备举重。")</f>
        <v>一个人准备举重。</v>
      </c>
    </row>
    <row r="34315">
      <c r="A34315" s="4" t="s">
        <v>43182</v>
      </c>
      <c r="B34315" s="4" t="s">
        <v>43184</v>
      </c>
      <c r="C34315" s="5" t="str">
        <f>IFERROR(__xludf.DUMMYFUNCTION("GOOGLETRANSLATE(B34315,""en"",""zh-CN"")"),"那家伙举重。")</f>
        <v>那家伙举重。</v>
      </c>
    </row>
    <row r="34316">
      <c r="A34316" s="4" t="s">
        <v>43182</v>
      </c>
      <c r="B34316" s="4" t="s">
        <v>43185</v>
      </c>
      <c r="C34316" s="5" t="str">
        <f>IFERROR(__xludf.DUMMYFUNCTION("GOOGLETRANSLATE(B34316,""en"",""zh-CN"")"),"那个家伙跳舞，然后离开舞台。")</f>
        <v>那个家伙跳舞，然后离开舞台。</v>
      </c>
    </row>
    <row r="34317">
      <c r="A34317" s="4" t="s">
        <v>43182</v>
      </c>
      <c r="B34317" s="4" t="s">
        <v>43186</v>
      </c>
      <c r="C34317" s="5" t="str">
        <f>IFERROR(__xludf.DUMMYFUNCTION("GOOGLETRANSLATE(B34317,""en"",""zh-CN"")"),"一个人把盒子带到舞台上。")</f>
        <v>一个人把盒子带到舞台上。</v>
      </c>
    </row>
    <row r="34318">
      <c r="A34318" s="4" t="s">
        <v>43187</v>
      </c>
      <c r="B34318" s="4" t="s">
        <v>43188</v>
      </c>
      <c r="C34318" s="5" t="str">
        <f>IFERROR(__xludf.DUMMYFUNCTION("GOOGLETRANSLATE(B34318,""en"",""zh-CN"")"),"一个男孩对那个他闪闪发光的鞋子微笑。")</f>
        <v>一个男孩对那个他闪闪发光的鞋子微笑。</v>
      </c>
    </row>
    <row r="34319">
      <c r="A34319" s="4" t="s">
        <v>43187</v>
      </c>
      <c r="B34319" s="4" t="s">
        <v>43189</v>
      </c>
      <c r="C34319" s="5" t="str">
        <f>IFERROR(__xludf.DUMMYFUNCTION("GOOGLETRANSLATE(B34319,""en"",""zh-CN"")"),"这个男人低头看着男孩。")</f>
        <v>这个男人低头看着男孩。</v>
      </c>
    </row>
    <row r="34320">
      <c r="A34320" s="4" t="s">
        <v>43187</v>
      </c>
      <c r="B34320" s="4" t="s">
        <v>43190</v>
      </c>
      <c r="C34320" s="5" t="str">
        <f>IFERROR(__xludf.DUMMYFUNCTION("GOOGLETRANSLATE(B34320,""en"",""zh-CN"")"),"这个男孩正在照亮芒鞋。")</f>
        <v>这个男孩正在照亮芒鞋。</v>
      </c>
    </row>
    <row r="34321">
      <c r="A34321" s="4" t="s">
        <v>43187</v>
      </c>
      <c r="B34321" s="4" t="s">
        <v>43191</v>
      </c>
      <c r="C34321" s="5" t="str">
        <f>IFERROR(__xludf.DUMMYFUNCTION("GOOGLETRANSLATE(B34321,""en"",""zh-CN"")"),"这个男孩正在与Passerbys交谈并指向。")</f>
        <v>这个男孩正在与Passerbys交谈并指向。</v>
      </c>
    </row>
    <row r="34322">
      <c r="A34322" s="4" t="s">
        <v>43187</v>
      </c>
      <c r="B34322" s="4" t="s">
        <v>43192</v>
      </c>
      <c r="C34322" s="5" t="str">
        <f>IFERROR(__xludf.DUMMYFUNCTION("GOOGLETRANSLATE(B34322,""en"",""zh-CN"")"),"一个小孩从墙壁走开。")</f>
        <v>一个小孩从墙壁走开。</v>
      </c>
    </row>
    <row r="34323">
      <c r="A34323" s="4" t="s">
        <v>43187</v>
      </c>
      <c r="B34323" s="4" t="s">
        <v>43193</v>
      </c>
      <c r="C34323" s="5" t="str">
        <f>IFERROR(__xludf.DUMMYFUNCTION("GOOGLETRANSLATE(B34323,""en"",""zh-CN"")"),"这个男孩正在用毛巾擦拭男人鞋。")</f>
        <v>这个男孩正在用毛巾擦拭男人鞋。</v>
      </c>
    </row>
    <row r="34324">
      <c r="A34324" s="4" t="s">
        <v>43187</v>
      </c>
      <c r="B34324" s="4" t="s">
        <v>43194</v>
      </c>
      <c r="C34324" s="5" t="str">
        <f>IFERROR(__xludf.DUMMYFUNCTION("GOOGLETRANSLATE(B34324,""en"",""zh-CN"")"),"他已经开始用块摩擦。")</f>
        <v>他已经开始用块摩擦。</v>
      </c>
    </row>
    <row r="34325">
      <c r="A34325" s="4" t="s">
        <v>43187</v>
      </c>
      <c r="B34325" s="4" t="s">
        <v>43195</v>
      </c>
      <c r="C34325" s="5" t="str">
        <f>IFERROR(__xludf.DUMMYFUNCTION("GOOGLETRANSLATE(B34325,""en"",""zh-CN"")"),"这个男孩给出了一个和平的标志，笑了。")</f>
        <v>这个男孩给出了一个和平的标志，笑了。</v>
      </c>
    </row>
    <row r="34326">
      <c r="A34326" s="4" t="s">
        <v>43196</v>
      </c>
      <c r="B34326" s="6" t="s">
        <v>43197</v>
      </c>
      <c r="C34326" s="5" t="str">
        <f>IFERROR(__xludf.DUMMYFUNCTION("GOOGLETRANSLATE(B34326,""en"",""zh-CN"")"),"一位女士躺在一张黑床上，一位穿着黑色毛衣的女人戴着黑色的手套在女士的肚脐上擦白色棉花。")</f>
        <v>一位女士躺在一张黑床上，一位穿着黑色毛衣的女人戴着黑色的手套在女士的肚脐上擦白色棉花。</v>
      </c>
    </row>
    <row r="34327">
      <c r="A34327" s="4" t="s">
        <v>43196</v>
      </c>
      <c r="B34327" s="6" t="s">
        <v>43198</v>
      </c>
      <c r="C34327" s="5" t="str">
        <f>IFERROR(__xludf.DUMMYFUNCTION("GOOGLETRANSLATE(B34327,""en"",""zh-CN"")"),"然后，女人在肚脐上画了一个点，用丁字裤刺穿了肚脐，然后女人插入了金属棒，然后清洁了刺穿，然后女人插入了肚脐附件，然后拧紧了它，然后清理了穿孔。")</f>
        <v>然后，女人在肚脐上画了一个点，用丁字裤刺穿了肚脐，然后女人插入了金属棒，然后清洁了刺穿，然后女人插入了肚脐附件，然后拧紧了它，然后清理了穿孔。</v>
      </c>
    </row>
    <row r="34328">
      <c r="A34328" s="4" t="s">
        <v>43199</v>
      </c>
      <c r="B34328" s="4" t="s">
        <v>43200</v>
      </c>
      <c r="C34328" s="5" t="str">
        <f>IFERROR(__xludf.DUMMYFUNCTION("GOOGLETRANSLATE(B34328,""en"",""zh-CN"")"),"有几个人在圆形的雪管中雪橇雪橇。")</f>
        <v>有几个人在圆形的雪管中雪橇雪橇。</v>
      </c>
    </row>
    <row r="34329">
      <c r="A34329" s="4" t="s">
        <v>43199</v>
      </c>
      <c r="B34329" s="4" t="s">
        <v>43201</v>
      </c>
      <c r="C34329" s="5" t="str">
        <f>IFERROR(__xludf.DUMMYFUNCTION("GOOGLETRANSLATE(B34329,""en"",""zh-CN"")"),"他们以高速沿着陡峭的雪坡行驶。")</f>
        <v>他们以高速沿着陡峭的雪坡行驶。</v>
      </c>
    </row>
    <row r="34330">
      <c r="A34330" s="4" t="s">
        <v>43199</v>
      </c>
      <c r="B34330" s="4" t="s">
        <v>43202</v>
      </c>
      <c r="C34330" s="5" t="str">
        <f>IFERROR(__xludf.DUMMYFUNCTION("GOOGLETRANSLATE(B34330,""en"",""zh-CN"")"),"走下坡路的一个人在下坡时向他的朋友举手。")</f>
        <v>走下坡路的一个人在下坡时向他的朋友举手。</v>
      </c>
    </row>
    <row r="34331">
      <c r="A34331" s="4" t="s">
        <v>43203</v>
      </c>
      <c r="B34331" s="4" t="s">
        <v>43204</v>
      </c>
      <c r="C34331" s="5" t="str">
        <f>IFERROR(__xludf.DUMMYFUNCTION("GOOGLETRANSLATE(B34331,""en"",""zh-CN"")"),"一个人用长手柄挤压清洁一个大窗户。")</f>
        <v>一个人用长手柄挤压清洁一个大窗户。</v>
      </c>
    </row>
    <row r="34332">
      <c r="A34332" s="4" t="s">
        <v>43203</v>
      </c>
      <c r="B34332" s="4" t="s">
        <v>43205</v>
      </c>
      <c r="C34332" s="5" t="str">
        <f>IFERROR(__xludf.DUMMYFUNCTION("GOOGLETRANSLATE(B34332,""en"",""zh-CN"")"),"然后，该男子使用长钢刮水器从右到左清洁窗户。")</f>
        <v>然后，该男子使用长钢刮水器从右到左清洁窗户。</v>
      </c>
    </row>
    <row r="34333">
      <c r="A34333" s="4" t="s">
        <v>43203</v>
      </c>
      <c r="B34333" s="6" t="s">
        <v>43206</v>
      </c>
      <c r="C34333" s="5" t="str">
        <f>IFERROR(__xludf.DUMMYFUNCTION("GOOGLETRANSLATE(B34333,""en"",""zh-CN"")"),"之后，该男子拿起一块布并清洁窗户的下部，然后继续用挤压和钢制擦拭来清洁。")</f>
        <v>之后，该男子拿起一块布并清洁窗户的下部，然后继续用挤压和钢制擦拭来清洁。</v>
      </c>
    </row>
    <row r="34334">
      <c r="A34334" s="4" t="s">
        <v>43207</v>
      </c>
      <c r="B34334" s="4" t="s">
        <v>43208</v>
      </c>
      <c r="C34334" s="5" t="str">
        <f>IFERROR(__xludf.DUMMYFUNCTION("GOOGLETRANSLATE(B34334,""en"",""zh-CN"")"),"一个秃头的男人带领乐团。")</f>
        <v>一个秃头的男人带领乐团。</v>
      </c>
    </row>
    <row r="34335">
      <c r="A34335" s="4" t="s">
        <v>43207</v>
      </c>
      <c r="B34335" s="4" t="s">
        <v>43209</v>
      </c>
      <c r="C34335" s="5" t="str">
        <f>IFERROR(__xludf.DUMMYFUNCTION("GOOGLETRANSLATE(B34335,""en"",""zh-CN"")"),"几位女歌手在唱歌，而年轻人合唱团则唱歌。")</f>
        <v>几位女歌手在唱歌，而年轻人合唱团则唱歌。</v>
      </c>
    </row>
    <row r="34336">
      <c r="A34336" s="4" t="s">
        <v>43207</v>
      </c>
      <c r="B34336" s="6" t="s">
        <v>43210</v>
      </c>
      <c r="C34336" s="5" t="str">
        <f>IFERROR(__xludf.DUMMYFUNCTION("GOOGLETRANSLATE(B34336,""en"",""zh-CN"")"),"当小男孩环顾四周时，一个年轻的鼓手和一个弹钢琴的男人彼此靠近。")</f>
        <v>当小男孩环顾四周时，一个年轻的鼓手和一个弹钢琴的男人彼此靠近。</v>
      </c>
    </row>
    <row r="34337">
      <c r="A34337" s="4" t="s">
        <v>43207</v>
      </c>
      <c r="B34337" s="4" t="s">
        <v>43211</v>
      </c>
      <c r="C34337" s="5" t="str">
        <f>IFERROR(__xludf.DUMMYFUNCTION("GOOGLETRANSLATE(B34337,""en"",""zh-CN"")"),"歌手和音乐家完成歌曲时，指挥家挥舞着魔杖来结束音乐。")</f>
        <v>歌手和音乐家完成歌曲时，指挥家挥舞着魔杖来结束音乐。</v>
      </c>
    </row>
    <row r="34338">
      <c r="A34338" s="4" t="s">
        <v>43212</v>
      </c>
      <c r="B34338" s="4" t="s">
        <v>43213</v>
      </c>
      <c r="C34338" s="5" t="str">
        <f>IFERROR(__xludf.DUMMYFUNCTION("GOOGLETRANSLATE(B34338,""en"",""zh-CN"")"),"我们看到穿着红色服装健身房的女孩表演了跟随的例行活动。")</f>
        <v>我们看到穿着红色服装健身房的女孩表演了跟随的例行活动。</v>
      </c>
    </row>
    <row r="34339">
      <c r="A34339" s="4" t="s">
        <v>43212</v>
      </c>
      <c r="B34339" s="4" t="s">
        <v>43214</v>
      </c>
      <c r="C34339" s="5" t="str">
        <f>IFERROR(__xludf.DUMMYFUNCTION("GOOGLETRANSLATE(B34339,""en"",""zh-CN"")"),"三个女孩在后台走过。")</f>
        <v>三个女孩在后台走过。</v>
      </c>
    </row>
    <row r="34340">
      <c r="A34340" s="4" t="s">
        <v>43212</v>
      </c>
      <c r="B34340" s="4" t="s">
        <v>43215</v>
      </c>
      <c r="C34340" s="5" t="str">
        <f>IFERROR(__xludf.DUMMYFUNCTION("GOOGLETRANSLATE(B34340,""en"",""zh-CN"")"),"粉红色的女孩旁边表演了日常活动。")</f>
        <v>粉红色的女孩旁边表演了日常活动。</v>
      </c>
    </row>
    <row r="34341">
      <c r="A34341" s="4" t="s">
        <v>43212</v>
      </c>
      <c r="B34341" s="4" t="s">
        <v>43216</v>
      </c>
      <c r="C34341" s="5" t="str">
        <f>IFERROR(__xludf.DUMMYFUNCTION("GOOGLETRANSLATE(B34341,""en"",""zh-CN"")"),"穿着红色制服的女孩结束并走开。")</f>
        <v>穿着红色制服的女孩结束并走开。</v>
      </c>
    </row>
    <row r="34342">
      <c r="A34342" s="4" t="s">
        <v>43212</v>
      </c>
      <c r="B34342" s="4" t="s">
        <v>43217</v>
      </c>
      <c r="C34342" s="5" t="str">
        <f>IFERROR(__xludf.DUMMYFUNCTION("GOOGLETRANSLATE(B34342,""en"",""zh-CN"")"),"一群黑色和霓虹灯的女孩走过女孩。")</f>
        <v>一群黑色和霓虹灯的女孩走过女孩。</v>
      </c>
    </row>
    <row r="34343">
      <c r="A34343" s="4" t="s">
        <v>43212</v>
      </c>
      <c r="B34343" s="4" t="s">
        <v>43218</v>
      </c>
      <c r="C34343" s="5" t="str">
        <f>IFERROR(__xludf.DUMMYFUNCTION("GOOGLETRANSLATE(B34343,""en"",""zh-CN"")"),"穿着粉红色的女孩完成了日常工作。")</f>
        <v>穿着粉红色的女孩完成了日常工作。</v>
      </c>
    </row>
    <row r="34344">
      <c r="A34344" s="4" t="s">
        <v>43219</v>
      </c>
      <c r="B34344" s="4" t="s">
        <v>43220</v>
      </c>
      <c r="C34344" s="5" t="str">
        <f>IFERROR(__xludf.DUMMYFUNCTION("GOOGLETRANSLATE(B34344,""en"",""zh-CN"")"),"介绍导致了几个试图与许多世代战斗的公牛的人。")</f>
        <v>介绍导致了几个试图与许多世代战斗的公牛的人。</v>
      </c>
    </row>
    <row r="34345">
      <c r="A34345" s="4" t="s">
        <v>43219</v>
      </c>
      <c r="B34345" s="6" t="s">
        <v>43221</v>
      </c>
      <c r="C34345" s="5" t="str">
        <f>IFERROR(__xludf.DUMMYFUNCTION("GOOGLETRANSLATE(B34345,""en"",""zh-CN"")"),"显示了几个剪辑，这些剪辑与公牛互动以及四处奔波和人们观看。")</f>
        <v>显示了几个剪辑，这些剪辑与公牛互动以及四处奔波和人们观看。</v>
      </c>
    </row>
    <row r="34346">
      <c r="A34346" s="4" t="s">
        <v>43222</v>
      </c>
      <c r="B34346" s="4" t="s">
        <v>43223</v>
      </c>
      <c r="C34346" s="5" t="str">
        <f>IFERROR(__xludf.DUMMYFUNCTION("GOOGLETRANSLATE(B34346,""en"",""zh-CN"")"),"看到一个女人跪在一个旧电视节目中的水桶上。")</f>
        <v>看到一个女人跪在一个旧电视节目中的水桶上。</v>
      </c>
    </row>
    <row r="34347">
      <c r="A34347" s="4" t="s">
        <v>43222</v>
      </c>
      <c r="B34347" s="4" t="s">
        <v>43224</v>
      </c>
      <c r="C34347" s="5" t="str">
        <f>IFERROR(__xludf.DUMMYFUNCTION("GOOGLETRANSLATE(B34347,""en"",""zh-CN"")"),"看到她在远处看时在水桶里洗衣服。")</f>
        <v>看到她在远处看时在水桶里洗衣服。</v>
      </c>
    </row>
    <row r="34348">
      <c r="A34348" s="4" t="s">
        <v>43222</v>
      </c>
      <c r="B34348" s="6" t="s">
        <v>43225</v>
      </c>
      <c r="C34348" s="5" t="str">
        <f>IFERROR(__xludf.DUMMYFUNCTION("GOOGLETRANSLATE(B34348,""en"",""zh-CN"")"),"她筋疲力尽地叹了口气，并在展示了洗衣机的镜头时继续洗衣服。")</f>
        <v>她筋疲力尽地叹了口气，并在展示了洗衣机的镜头时继续洗衣服。</v>
      </c>
    </row>
    <row r="34349">
      <c r="A34349" s="4" t="s">
        <v>43226</v>
      </c>
      <c r="B34349" s="4" t="s">
        <v>43227</v>
      </c>
      <c r="C34349" s="5" t="str">
        <f>IFERROR(__xludf.DUMMYFUNCTION("GOOGLETRANSLATE(B34349,""en"",""zh-CN"")"),"一个人站在鞋子柜台后面，描述了如何清洁它们。")</f>
        <v>一个人站在鞋子柜台后面，描述了如何清洁它们。</v>
      </c>
    </row>
    <row r="34350">
      <c r="A34350" s="4" t="s">
        <v>43226</v>
      </c>
      <c r="B34350" s="4" t="s">
        <v>43228</v>
      </c>
      <c r="C34350" s="5" t="str">
        <f>IFERROR(__xludf.DUMMYFUNCTION("GOOGLETRANSLATE(B34350,""en"",""zh-CN"")"),"该男子谈论了三个步骤计划和答案常见问题。")</f>
        <v>该男子谈论了三个步骤计划和答案常见问题。</v>
      </c>
    </row>
    <row r="34351">
      <c r="A34351" s="4" t="s">
        <v>43226</v>
      </c>
      <c r="B34351" s="4" t="s">
        <v>43229</v>
      </c>
      <c r="C34351" s="5" t="str">
        <f>IFERROR(__xludf.DUMMYFUNCTION("GOOGLETRANSLATE(B34351,""en"",""zh-CN"")"),"该男子擦洗鞋子，添加一些抛光剂，然后喷洒。")</f>
        <v>该男子擦洗鞋子，添加一些抛光剂，然后喷洒。</v>
      </c>
    </row>
    <row r="34352">
      <c r="A34352" s="4" t="s">
        <v>43230</v>
      </c>
      <c r="B34352" s="4" t="s">
        <v>43231</v>
      </c>
      <c r="C34352" s="5" t="str">
        <f>IFERROR(__xludf.DUMMYFUNCTION("GOOGLETRANSLATE(B34352,""en"",""zh-CN"")"),"看到一个人沿着粗糙的河骑着皮划艇，四处旋转。")</f>
        <v>看到一个人沿着粗糙的河骑着皮划艇，四处旋转。</v>
      </c>
    </row>
    <row r="34353">
      <c r="A34353" s="4" t="s">
        <v>43230</v>
      </c>
      <c r="B34353" s="4" t="s">
        <v>43232</v>
      </c>
      <c r="C34353" s="5" t="str">
        <f>IFERROR(__xludf.DUMMYFUNCTION("GOOGLETRANSLATE(B34353,""en"",""zh-CN"")"),"他周围骑行的更多镜头显示出来，他继续在水中翻转。")</f>
        <v>他周围骑行的更多镜头显示出来，他继续在水中翻转。</v>
      </c>
    </row>
    <row r="34354">
      <c r="A34354" s="4" t="s">
        <v>43233</v>
      </c>
      <c r="B34354" s="4" t="s">
        <v>43234</v>
      </c>
      <c r="C34354" s="5" t="str">
        <f>IFERROR(__xludf.DUMMYFUNCTION("GOOGLETRANSLATE(B34354,""en"",""zh-CN"")"),"一群人在旁边的桌子上聊天，里面有红色的独奏杯和啤酒罐。")</f>
        <v>一群人在旁边的桌子上聊天，里面有红色的独奏杯和啤酒罐。</v>
      </c>
    </row>
    <row r="34355">
      <c r="A34355" s="4" t="s">
        <v>43233</v>
      </c>
      <c r="B34355" s="4" t="s">
        <v>43235</v>
      </c>
      <c r="C34355" s="5" t="str">
        <f>IFERROR(__xludf.DUMMYFUNCTION("GOOGLETRANSLATE(B34355,""en"",""zh-CN"")"),"一个女人将红色的独奏杯放在男人的鼻子下。")</f>
        <v>一个女人将红色的独奏杯放在男人的鼻子下。</v>
      </c>
    </row>
    <row r="34356">
      <c r="A34356" s="4" t="s">
        <v>43233</v>
      </c>
      <c r="B34356" s="4" t="s">
        <v>43236</v>
      </c>
      <c r="C34356" s="5" t="str">
        <f>IFERROR(__xludf.DUMMYFUNCTION("GOOGLETRANSLATE(B34356,""en"",""zh-CN"")"),"一个人将一个乒乓球扔进红色的独奏杯中。")</f>
        <v>一个人将一个乒乓球扔进红色的独奏杯中。</v>
      </c>
    </row>
    <row r="34357">
      <c r="A34357" s="4" t="s">
        <v>43233</v>
      </c>
      <c r="B34357" s="4" t="s">
        <v>43237</v>
      </c>
      <c r="C34357" s="5" t="str">
        <f>IFERROR(__xludf.DUMMYFUNCTION("GOOGLETRANSLATE(B34357,""en"",""zh-CN"")"),"地板与一个人的脚一起显示。")</f>
        <v>地板与一个人的脚一起显示。</v>
      </c>
    </row>
    <row r="34358">
      <c r="A34358" s="4" t="s">
        <v>43238</v>
      </c>
      <c r="B34358" s="6" t="s">
        <v>43239</v>
      </c>
      <c r="C34358" s="5" t="str">
        <f>IFERROR(__xludf.DUMMYFUNCTION("GOOGLETRANSLATE(B34358,""en"",""zh-CN"")"),"显示了自行车的特写镜头，后面是一个人拧开自行车上的手柄并调整侧面。")</f>
        <v>显示了自行车的特写镜头，后面是一个人拧开自行车上的手柄并调整侧面。</v>
      </c>
    </row>
    <row r="34359">
      <c r="A34359" s="4" t="s">
        <v>43238</v>
      </c>
      <c r="B34359" s="4" t="s">
        <v>43240</v>
      </c>
      <c r="C34359" s="5" t="str">
        <f>IFERROR(__xludf.DUMMYFUNCTION("GOOGLETRANSLATE(B34359,""en"",""zh-CN"")"),"然后，该人将其拧在车把的前面，并将其固定在适当的位置。")</f>
        <v>然后，该人将其拧在车把的前面，并将其固定在适当的位置。</v>
      </c>
    </row>
    <row r="34360">
      <c r="A34360" s="4" t="s">
        <v>43241</v>
      </c>
      <c r="B34360" s="4" t="s">
        <v>43242</v>
      </c>
      <c r="C34360" s="5" t="str">
        <f>IFERROR(__xludf.DUMMYFUNCTION("GOOGLETRANSLATE(B34360,""en"",""zh-CN"")"),"男人沿着轨道跑来跑去，向后跳过酒吧。")</f>
        <v>男人沿着轨道跑来跑去，向后跳过酒吧。</v>
      </c>
    </row>
    <row r="34361">
      <c r="A34361" s="4" t="s">
        <v>43241</v>
      </c>
      <c r="B34361" s="4" t="s">
        <v>43243</v>
      </c>
      <c r="C34361" s="5" t="str">
        <f>IFERROR(__xludf.DUMMYFUNCTION("GOOGLETRANSLATE(B34361,""en"",""zh-CN"")"),"一旦土地，一个人挥舞着白旗。")</f>
        <v>一旦土地，一个人挥舞着白旗。</v>
      </c>
    </row>
    <row r="34362">
      <c r="A34362" s="4" t="s">
        <v>43241</v>
      </c>
      <c r="B34362" s="4" t="s">
        <v>43244</v>
      </c>
      <c r="C34362" s="5" t="str">
        <f>IFERROR(__xludf.DUMMYFUNCTION("GOOGLETRANSLATE(B34362,""en"",""zh-CN"")"),"观众看着他们跳。")</f>
        <v>观众看着他们跳。</v>
      </c>
    </row>
    <row r="34363">
      <c r="A34363" s="4" t="s">
        <v>43245</v>
      </c>
      <c r="B34363" s="4" t="s">
        <v>43246</v>
      </c>
      <c r="C34363" s="5" t="str">
        <f>IFERROR(__xludf.DUMMYFUNCTION("GOOGLETRANSLATE(B34363,""en"",""zh-CN"")"),"一个人用软管将油漆放在墙上，而一个人则使用平坦的拖把散布油漆。")</f>
        <v>一个人用软管将油漆放在墙上，而一个人则使用平坦的拖把散布油漆。</v>
      </c>
    </row>
    <row r="34364">
      <c r="A34364" s="4" t="s">
        <v>43245</v>
      </c>
      <c r="B34364" s="4" t="s">
        <v>43247</v>
      </c>
      <c r="C34364" s="5" t="str">
        <f>IFERROR(__xludf.DUMMYFUNCTION("GOOGLETRANSLATE(B34364,""en"",""zh-CN"")"),"然后，那个男人在窗户上涂油漆。")</f>
        <v>然后，那个男人在窗户上涂油漆。</v>
      </c>
    </row>
    <row r="34365">
      <c r="A34365" s="4" t="s">
        <v>43248</v>
      </c>
      <c r="B34365" s="4" t="s">
        <v>43249</v>
      </c>
      <c r="C34365" s="5" t="str">
        <f>IFERROR(__xludf.DUMMYFUNCTION("GOOGLETRANSLATE(B34365,""en"",""zh-CN"")"),"一个女人从轮胎上卸下螺栓。")</f>
        <v>一个女人从轮胎上卸下螺栓。</v>
      </c>
    </row>
    <row r="34366">
      <c r="A34366" s="4" t="s">
        <v>43248</v>
      </c>
      <c r="B34366" s="4" t="s">
        <v>43250</v>
      </c>
      <c r="C34366" s="5" t="str">
        <f>IFERROR(__xludf.DUMMYFUNCTION("GOOGLETRANSLATE(B34366,""en"",""zh-CN"")"),"女人拆下了第二个螺栓。")</f>
        <v>女人拆下了第二个螺栓。</v>
      </c>
    </row>
    <row r="34367">
      <c r="A34367" s="4" t="s">
        <v>43248</v>
      </c>
      <c r="B34367" s="4" t="s">
        <v>43251</v>
      </c>
      <c r="C34367" s="5" t="str">
        <f>IFERROR(__xludf.DUMMYFUNCTION("GOOGLETRANSLATE(B34367,""en"",""zh-CN"")"),"女人去除第三个螺栓。")</f>
        <v>女人去除第三个螺栓。</v>
      </c>
    </row>
    <row r="34368">
      <c r="A34368" s="4" t="s">
        <v>43248</v>
      </c>
      <c r="B34368" s="4" t="s">
        <v>43252</v>
      </c>
      <c r="C34368" s="5" t="str">
        <f>IFERROR(__xludf.DUMMYFUNCTION("GOOGLETRANSLATE(B34368,""en"",""zh-CN"")"),"最后，女人去除了第四个螺栓。")</f>
        <v>最后，女人去除了第四个螺栓。</v>
      </c>
    </row>
    <row r="34369">
      <c r="A34369" s="4" t="s">
        <v>43248</v>
      </c>
      <c r="B34369" s="4" t="s">
        <v>43253</v>
      </c>
      <c r="C34369" s="5" t="str">
        <f>IFERROR(__xludf.DUMMYFUNCTION("GOOGLETRANSLATE(B34369,""en"",""zh-CN"")"),"那个女人把轮胎从车上拿走。")</f>
        <v>那个女人把轮胎从车上拿走。</v>
      </c>
    </row>
    <row r="34370">
      <c r="A34370" s="4" t="s">
        <v>43254</v>
      </c>
      <c r="B34370" s="6" t="s">
        <v>43255</v>
      </c>
      <c r="C34370" s="5" t="str">
        <f>IFERROR(__xludf.DUMMYFUNCTION("GOOGLETRANSLATE(B34370,""en"",""zh-CN"")"),"一个穿着蓝色和格子校服的女孩站在学校的浴室里，刷牙并在镜子里拔出。")</f>
        <v>一个穿着蓝色和格子校服的女孩站在学校的浴室里，刷牙并在镜子里拔出。</v>
      </c>
    </row>
    <row r="34371">
      <c r="A34371" s="4" t="s">
        <v>43254</v>
      </c>
      <c r="B34371" s="6" t="s">
        <v>43256</v>
      </c>
      <c r="C34371" s="5" t="str">
        <f>IFERROR(__xludf.DUMMYFUNCTION("GOOGLETRANSLATE(B34371,""en"",""zh-CN"")"),"女孩开始面对相机并刷牙，一点点倾斜到相机上，然后向后倾斜以继续刷牙。")</f>
        <v>女孩开始面对相机并刷牙，一点点倾斜到相机上，然后向后倾斜以继续刷牙。</v>
      </c>
    </row>
    <row r="34372">
      <c r="A34372" s="4" t="s">
        <v>43254</v>
      </c>
      <c r="B34372" s="6" t="s">
        <v>43257</v>
      </c>
      <c r="C34372" s="5" t="str">
        <f>IFERROR(__xludf.DUMMYFUNCTION("GOOGLETRANSLATE(B34372,""en"",""zh-CN"")"),"然后，女孩转向浴室镜子，吐入浴室水槽，然后返回刷牙并再次面对相机。")</f>
        <v>然后，女孩转向浴室镜子，吐入浴室水槽，然后返回刷牙并再次面对相机。</v>
      </c>
    </row>
    <row r="34373">
      <c r="A34373" s="4" t="s">
        <v>43254</v>
      </c>
      <c r="B34373" s="6" t="s">
        <v>43258</v>
      </c>
      <c r="C34373" s="5" t="str">
        <f>IFERROR(__xludf.DUMMYFUNCTION("GOOGLETRANSLATE(B34373,""en"",""zh-CN"")"),"然后，这个女孩移到另一个靠在浴室里的水槽，戴着头发，镜子里的底漆，而校服的另一个女孩进入浴室，走进浴室摊。")</f>
        <v>然后，这个女孩移到另一个靠在浴室里的水槽，戴着头发，镜子里的底漆，而校服的另一个女孩进入浴室，走进浴室摊。</v>
      </c>
    </row>
    <row r="34374">
      <c r="A34374" s="4" t="s">
        <v>43259</v>
      </c>
      <c r="B34374" s="4" t="s">
        <v>43260</v>
      </c>
      <c r="C34374" s="5" t="str">
        <f>IFERROR(__xludf.DUMMYFUNCTION("GOOGLETRANSLATE(B34374,""en"",""zh-CN"")"),"两个人热烈地说话，直到一个男人来分开。")</f>
        <v>两个人热烈地说话，直到一个男人来分开。</v>
      </c>
    </row>
    <row r="34375">
      <c r="A34375" s="4" t="s">
        <v>43259</v>
      </c>
      <c r="B34375" s="4" t="s">
        <v>43261</v>
      </c>
      <c r="C34375" s="5" t="str">
        <f>IFERROR(__xludf.DUMMYFUNCTION("GOOGLETRANSLATE(B34375,""en"",""zh-CN"")"),"99叶子然后回到结束说话。")</f>
        <v>99叶子然后回到结束说话。</v>
      </c>
    </row>
    <row r="34376">
      <c r="A34376" s="4" t="s">
        <v>43259</v>
      </c>
      <c r="B34376" s="4" t="s">
        <v>43262</v>
      </c>
      <c r="C34376" s="5" t="str">
        <f>IFERROR(__xludf.DUMMYFUNCTION("GOOGLETRANSLATE(B34376,""en"",""zh-CN"")"),"数字69走过田野。")</f>
        <v>数字69走过田野。</v>
      </c>
    </row>
    <row r="34377">
      <c r="A34377" s="4" t="s">
        <v>43259</v>
      </c>
      <c r="B34377" s="4" t="s">
        <v>43263</v>
      </c>
      <c r="C34377" s="5" t="str">
        <f>IFERROR(__xludf.DUMMYFUNCTION("GOOGLETRANSLATE(B34377,""en"",""zh-CN"")"),"我们看到69击球。")</f>
        <v>我们看到69击球。</v>
      </c>
    </row>
    <row r="34378">
      <c r="A34378" s="4" t="s">
        <v>43259</v>
      </c>
      <c r="B34378" s="4" t="s">
        <v>43264</v>
      </c>
      <c r="C34378" s="5" t="str">
        <f>IFERROR(__xludf.DUMMYFUNCTION("GOOGLETRANSLATE(B34378,""en"",""zh-CN"")"),"然后，他与捕手争吵。")</f>
        <v>然后，他与捕手争吵。</v>
      </c>
    </row>
    <row r="34379">
      <c r="A34379" s="4" t="s">
        <v>43259</v>
      </c>
      <c r="B34379" s="4" t="s">
        <v>43265</v>
      </c>
      <c r="C34379" s="5" t="str">
        <f>IFERROR(__xludf.DUMMYFUNCTION("GOOGLETRANSLATE(B34379,""en"",""zh-CN"")"),"投手开始投球。")</f>
        <v>投手开始投球。</v>
      </c>
    </row>
    <row r="34380">
      <c r="A34380" s="4" t="s">
        <v>43266</v>
      </c>
      <c r="B34380" s="4" t="s">
        <v>43267</v>
      </c>
      <c r="C34380" s="5" t="str">
        <f>IFERROR(__xludf.DUMMYFUNCTION("GOOGLETRANSLATE(B34380,""en"",""zh-CN"")"),"一个小男孩走向水槽。")</f>
        <v>一个小男孩走向水槽。</v>
      </c>
    </row>
    <row r="34381">
      <c r="A34381" s="4" t="s">
        <v>43266</v>
      </c>
      <c r="B34381" s="4" t="s">
        <v>43268</v>
      </c>
      <c r="C34381" s="5" t="str">
        <f>IFERROR(__xludf.DUMMYFUNCTION("GOOGLETRANSLATE(B34381,""en"",""zh-CN"")"),"男孩站在水槽的前面，将牙膏放在刷子上，然后刷牙。")</f>
        <v>男孩站在水槽的前面，将牙膏放在刷子上，然后刷牙。</v>
      </c>
    </row>
    <row r="34382">
      <c r="A34382" s="4" t="s">
        <v>43266</v>
      </c>
      <c r="B34382" s="4" t="s">
        <v>43269</v>
      </c>
      <c r="C34382" s="5" t="str">
        <f>IFERROR(__xludf.DUMMYFUNCTION("GOOGLETRANSLATE(B34382,""en"",""zh-CN"")"),"然后，男孩冲洗嘴，然后露出牙齿和干嘴。")</f>
        <v>然后，男孩冲洗嘴，然后露出牙齿和干嘴。</v>
      </c>
    </row>
    <row r="34383">
      <c r="A34383" s="4" t="s">
        <v>43270</v>
      </c>
      <c r="B34383" s="4" t="s">
        <v>43271</v>
      </c>
      <c r="C34383" s="5" t="str">
        <f>IFERROR(__xludf.DUMMYFUNCTION("GOOGLETRANSLATE(B34383,""en"",""zh-CN"")"),"一个人在人们面前的舞台上进行翻转。")</f>
        <v>一个人在人们面前的舞台上进行翻转。</v>
      </c>
    </row>
    <row r="34384">
      <c r="A34384" s="4" t="s">
        <v>43270</v>
      </c>
      <c r="B34384" s="4" t="s">
        <v>43272</v>
      </c>
      <c r="C34384" s="5" t="str">
        <f>IFERROR(__xludf.DUMMYFUNCTION("GOOGLETRANSLATE(B34384,""en"",""zh-CN"")"),"人们站在拐角处打鼓。")</f>
        <v>人们站在拐角处打鼓。</v>
      </c>
    </row>
    <row r="34385">
      <c r="A34385" s="4" t="s">
        <v>43270</v>
      </c>
      <c r="B34385" s="4" t="s">
        <v>43273</v>
      </c>
      <c r="C34385" s="5" t="str">
        <f>IFERROR(__xludf.DUMMYFUNCTION("GOOGLETRANSLATE(B34385,""en"",""zh-CN"")"),"一个人伸手站在舞台上。")</f>
        <v>一个人伸手站在舞台上。</v>
      </c>
    </row>
    <row r="34386">
      <c r="A34386" s="4" t="s">
        <v>43274</v>
      </c>
      <c r="B34386" s="6" t="s">
        <v>43275</v>
      </c>
      <c r="C34386" s="5" t="str">
        <f>IFERROR(__xludf.DUMMYFUNCTION("GOOGLETRANSLATE(B34386,""en"",""zh-CN"")"),"几名穿着越野摩托车和戴头盔的自行车赛车手在起跑线上排队，等待比赛。")</f>
        <v>几名穿着越野摩托车和戴头盔的自行车赛车手在起跑线上排队，等待比赛。</v>
      </c>
    </row>
    <row r="34387">
      <c r="A34387" s="4" t="s">
        <v>43274</v>
      </c>
      <c r="B34387" s="4" t="s">
        <v>43276</v>
      </c>
      <c r="C34387" s="5" t="str">
        <f>IFERROR(__xludf.DUMMYFUNCTION("GOOGLETRANSLATE(B34387,""en"",""zh-CN"")"),"比赛开始了，所有骑自行车的人都沿着山坡奔向跳跃。")</f>
        <v>比赛开始了，所有骑自行车的人都沿着山坡奔向跳跃。</v>
      </c>
    </row>
    <row r="34388">
      <c r="A34388" s="4" t="s">
        <v>43274</v>
      </c>
      <c r="B34388" s="4" t="s">
        <v>43277</v>
      </c>
      <c r="C34388" s="5" t="str">
        <f>IFERROR(__xludf.DUMMYFUNCTION("GOOGLETRANSLATE(B34388,""en"",""zh-CN"")"),"骑自行车的人从山上跳下来，但其中一名骑自行车的人穿着红色和黑色，跌落在地面上。")</f>
        <v>骑自行车的人从山上跳下来，但其中一名骑自行车的人穿着红色和黑色，跌落在地面上。</v>
      </c>
    </row>
    <row r="34389">
      <c r="A34389" s="4" t="s">
        <v>43274</v>
      </c>
      <c r="B34389" s="6" t="s">
        <v>43278</v>
      </c>
      <c r="C34389" s="5" t="str">
        <f>IFERROR(__xludf.DUMMYFUNCTION("GOOGLETRANSLATE(B34389,""en"",""zh-CN"")"),"骑自行车的人立即穿着红色，白色和蓝色，试图避免倒下的骑自行车的人，也掉到了地上。")</f>
        <v>骑自行车的人立即穿着红色，白色和蓝色，试图避免倒下的骑自行车的人，也掉到了地上。</v>
      </c>
    </row>
    <row r="34390">
      <c r="A34390" s="4" t="s">
        <v>43274</v>
      </c>
      <c r="B34390" s="4" t="s">
        <v>43279</v>
      </c>
      <c r="C34390" s="5" t="str">
        <f>IFERROR(__xludf.DUMMYFUNCTION("GOOGLETRANSLATE(B34390,""en"",""zh-CN"")"),"其他骑自行车的人比赛。")</f>
        <v>其他骑自行车的人比赛。</v>
      </c>
    </row>
    <row r="34391">
      <c r="A34391" s="4" t="s">
        <v>43274</v>
      </c>
      <c r="B34391" s="6" t="s">
        <v>43280</v>
      </c>
      <c r="C34391" s="5" t="str">
        <f>IFERROR(__xludf.DUMMYFUNCTION("GOOGLETRANSLATE(B34391,""en"",""zh-CN"")"),"穿着黑色和红色的骑自行车的人立即从赛道上行驶，而骑自行车的人则是红色，白色和蓝色的，显然受伤了，并努力屈膝。")</f>
        <v>穿着黑色和红色的骑自行车的人立即从赛道上行驶，而骑自行车的人则是红色，白色和蓝色的，显然受伤了，并努力屈膝。</v>
      </c>
    </row>
    <row r="34392">
      <c r="A34392" s="4" t="s">
        <v>43274</v>
      </c>
      <c r="B34392" s="4" t="s">
        <v>43281</v>
      </c>
      <c r="C34392" s="5" t="str">
        <f>IFERROR(__xludf.DUMMYFUNCTION("GOOGLETRANSLATE(B34392,""en"",""zh-CN"")"),"三个穿着黑色夹克的男人来到了第一辆骑自行车的人的帮助。")</f>
        <v>三个穿着黑色夹克的男人来到了第一辆骑自行车的人的帮助。</v>
      </c>
    </row>
    <row r="34393">
      <c r="A34393" s="4" t="s">
        <v>43282</v>
      </c>
      <c r="B34393" s="6" t="s">
        <v>43283</v>
      </c>
      <c r="C34393" s="5" t="str">
        <f>IFERROR(__xludf.DUMMYFUNCTION("GOOGLETRANSLATE(B34393,""en"",""zh-CN"")"),"图为娱乐大楼，并显示了从篮球到游泳的各种活动的孩子。")</f>
        <v>图为娱乐大楼，并显示了从篮球到游泳的各种活动的孩子。</v>
      </c>
    </row>
    <row r="34394">
      <c r="A34394" s="4" t="s">
        <v>43282</v>
      </c>
      <c r="B34394" s="6" t="s">
        <v>43284</v>
      </c>
      <c r="C34394" s="5" t="str">
        <f>IFERROR(__xludf.DUMMYFUNCTION("GOOGLETRANSLATE(B34394,""en"",""zh-CN"")"),"一组年轻的男孩是din the din，他们的背上的水拿着一个绿色的球，然后将其扔进了进球。")</f>
        <v>一组年轻的男孩是din the din，他们的背上的水拿着一个绿色的球，然后将其扔进了进球。</v>
      </c>
    </row>
    <row r="34395">
      <c r="A34395" s="4" t="s">
        <v>43282</v>
      </c>
      <c r="B34395" s="6" t="s">
        <v>43285</v>
      </c>
      <c r="C34395" s="5" t="str">
        <f>IFERROR(__xludf.DUMMYFUNCTION("GOOGLETRANSLATE(B34395,""en"",""zh-CN"")"),"再次显示建筑物的外部，并出现了停在停车场外面的一辆汽车。")</f>
        <v>再次显示建筑物的外部，并出现了停在停车场外面的一辆汽车。</v>
      </c>
    </row>
    <row r="34396">
      <c r="A34396" s="4" t="s">
        <v>43286</v>
      </c>
      <c r="B34396" s="4" t="s">
        <v>43287</v>
      </c>
      <c r="C34396" s="5" t="str">
        <f>IFERROR(__xludf.DUMMYFUNCTION("GOOGLETRANSLATE(B34396,""en"",""zh-CN"")"),"一个工作服的男人坐在大金属轮前。")</f>
        <v>一个工作服的男人坐在大金属轮前。</v>
      </c>
    </row>
    <row r="34397">
      <c r="A34397" s="4" t="s">
        <v>43286</v>
      </c>
      <c r="B34397" s="4" t="s">
        <v>43288</v>
      </c>
      <c r="C34397" s="5" t="str">
        <f>IFERROR(__xludf.DUMMYFUNCTION("GOOGLETRANSLATE(B34397,""en"",""zh-CN"")"),"他拿起火炬，开始焊接。")</f>
        <v>他拿起火炬，开始焊接。</v>
      </c>
    </row>
    <row r="34398">
      <c r="A34398" s="4" t="s">
        <v>43286</v>
      </c>
      <c r="B34398" s="4" t="s">
        <v>43289</v>
      </c>
      <c r="C34398" s="5" t="str">
        <f>IFERROR(__xludf.DUMMYFUNCTION("GOOGLETRANSLATE(B34398,""en"",""zh-CN"")"),"火花戴着面具，焊接设备时，火花飞了起来。")</f>
        <v>火花戴着面具，焊接设备时，火花飞了起来。</v>
      </c>
    </row>
    <row r="34399">
      <c r="A34399" s="4" t="s">
        <v>43290</v>
      </c>
      <c r="B34399" s="4" t="s">
        <v>43291</v>
      </c>
      <c r="C34399" s="5" t="str">
        <f>IFERROR(__xludf.DUMMYFUNCTION("GOOGLETRANSLATE(B34399,""en"",""zh-CN"")"),"该视频导致了标枪运动员的几镜头，将两极扔向一条大轨道。")</f>
        <v>该视频导致了标枪运动员的几镜头，将两极扔向一条大轨道。</v>
      </c>
    </row>
    <row r="34400">
      <c r="A34400" s="4" t="s">
        <v>43290</v>
      </c>
      <c r="B34400" s="6" t="s">
        <v>43292</v>
      </c>
      <c r="C34400" s="5" t="str">
        <f>IFERROR(__xludf.DUMMYFUNCTION("GOOGLETRANSLATE(B34400,""en"",""zh-CN"")"),"显示许多人在赛道上奔跑，投掷标枪，看着杆子的地点。")</f>
        <v>显示许多人在赛道上奔跑，投掷标枪，看着杆子的地点。</v>
      </c>
    </row>
    <row r="34401">
      <c r="A34401" s="4" t="s">
        <v>43293</v>
      </c>
      <c r="B34401" s="4" t="s">
        <v>43294</v>
      </c>
      <c r="C34401" s="5" t="str">
        <f>IFERROR(__xludf.DUMMYFUNCTION("GOOGLETRANSLATE(B34401,""en"",""zh-CN"")"),"男人正在健身房做空手道动作。")</f>
        <v>男人正在健身房做空手道动作。</v>
      </c>
    </row>
    <row r="34402">
      <c r="A34402" s="4" t="s">
        <v>43293</v>
      </c>
      <c r="B34402" s="4" t="s">
        <v>43295</v>
      </c>
      <c r="C34402" s="5" t="str">
        <f>IFERROR(__xludf.DUMMYFUNCTION("GOOGLETRANSLATE(B34402,""en"",""zh-CN"")"),"人们在他们旁边演奏乐器。")</f>
        <v>人们在他们旁边演奏乐器。</v>
      </c>
    </row>
    <row r="34403">
      <c r="A34403" s="4" t="s">
        <v>43293</v>
      </c>
      <c r="B34403" s="4" t="s">
        <v>43296</v>
      </c>
      <c r="C34403" s="5" t="str">
        <f>IFERROR(__xludf.DUMMYFUNCTION("GOOGLETRANSLATE(B34403,""en"",""zh-CN"")"),"一个穿着白衬衫的男人在他面前弹鼓。")</f>
        <v>一个穿着白衬衫的男人在他面前弹鼓。</v>
      </c>
    </row>
    <row r="34404">
      <c r="A34404" s="4" t="s">
        <v>43297</v>
      </c>
      <c r="B34404" s="4" t="s">
        <v>43298</v>
      </c>
      <c r="C34404" s="5" t="str">
        <f>IFERROR(__xludf.DUMMYFUNCTION("GOOGLETRANSLATE(B34404,""en"",""zh-CN"")"),"屏幕上显示了一个男人表演巴西武术的介绍屏幕。")</f>
        <v>屏幕上显示了一个男人表演巴西武术的介绍屏幕。</v>
      </c>
    </row>
    <row r="34405">
      <c r="A34405" s="4" t="s">
        <v>43297</v>
      </c>
      <c r="B34405" s="6" t="s">
        <v>43299</v>
      </c>
      <c r="C34405" s="5" t="str">
        <f>IFERROR(__xludf.DUMMYFUNCTION("GOOGLETRANSLATE(B34405,""en"",""zh-CN"")"),"然后，它显示了一个男人在看上去像公园的草地上以慢动作的慢动作进行同样的武术。")</f>
        <v>然后，它显示了一个男人在看上去像公园的草地上以慢动作的慢动作进行同样的武术。</v>
      </c>
    </row>
    <row r="34406">
      <c r="A34406" s="4" t="s">
        <v>43297</v>
      </c>
      <c r="B34406" s="4" t="s">
        <v>43300</v>
      </c>
      <c r="C34406" s="5" t="str">
        <f>IFERROR(__xludf.DUMMYFUNCTION("GOOGLETRANSLATE(B34406,""en"",""zh-CN"")"),"该男子连续旋转并踢，而且技术熟练。")</f>
        <v>该男子连续旋转并踢，而且技术熟练。</v>
      </c>
    </row>
    <row r="34407">
      <c r="A34407" s="4" t="s">
        <v>43297</v>
      </c>
      <c r="B34407" s="6" t="s">
        <v>43301</v>
      </c>
      <c r="C34407" s="5" t="str">
        <f>IFERROR(__xludf.DUMMYFUNCTION("GOOGLETRANSLATE(B34407,""en"",""zh-CN"")"),"然后，该视频显示了另一个男人在室内竖起大拇指，然后跳到另外两个男人在舞台上表演。")</f>
        <v>然后，该视频显示了另一个男人在室内竖起大拇指，然后跳到另外两个男人在舞台上表演。</v>
      </c>
    </row>
    <row r="34408">
      <c r="A34408" s="4" t="s">
        <v>43297</v>
      </c>
      <c r="B34408" s="6" t="s">
        <v>43302</v>
      </c>
      <c r="C34408" s="5" t="str">
        <f>IFERROR(__xludf.DUMMYFUNCTION("GOOGLETRANSLATE(B34408,""en"",""zh-CN"")"),"其他一群男人在体育馆和教室里表演武术，而另一个男人则在相机上说话。")</f>
        <v>其他一群男人在体育馆和教室里表演武术，而另一个男人则在相机上说话。</v>
      </c>
    </row>
    <row r="34409">
      <c r="A34409" s="4" t="s">
        <v>43303</v>
      </c>
      <c r="B34409" s="4" t="s">
        <v>43304</v>
      </c>
      <c r="C34409" s="5" t="str">
        <f>IFERROR(__xludf.DUMMYFUNCTION("GOOGLETRANSLATE(B34409,""en"",""zh-CN"")"),"看到一个男人坐在相机前，手里拿着口琴。")</f>
        <v>看到一个男人坐在相机前，手里拿着口琴。</v>
      </c>
    </row>
    <row r="34410">
      <c r="A34410" s="4" t="s">
        <v>43303</v>
      </c>
      <c r="B34410" s="4" t="s">
        <v>43305</v>
      </c>
      <c r="C34410" s="5" t="str">
        <f>IFERROR(__xludf.DUMMYFUNCTION("GOOGLETRANSLATE(B34410,""en"",""zh-CN"")"),"然后，该男子开始播放几首歌曲，同时停下来。")</f>
        <v>然后，该男子开始播放几首歌曲，同时停下来。</v>
      </c>
    </row>
    <row r="34411">
      <c r="A34411" s="4" t="s">
        <v>43303</v>
      </c>
      <c r="B34411" s="4" t="s">
        <v>43306</v>
      </c>
      <c r="C34411" s="5" t="str">
        <f>IFERROR(__xludf.DUMMYFUNCTION("GOOGLETRANSLATE(B34411,""en"",""zh-CN"")"),"他在远处时继续演奏乐器。")</f>
        <v>他在远处时继续演奏乐器。</v>
      </c>
    </row>
    <row r="34412">
      <c r="A34412" s="4" t="s">
        <v>43307</v>
      </c>
      <c r="B34412" s="4" t="s">
        <v>43308</v>
      </c>
      <c r="C34412" s="5" t="str">
        <f>IFERROR(__xludf.DUMMYFUNCTION("GOOGLETRANSLATE(B34412,""en"",""zh-CN"")"),"一个人从船上跳入水中的照片。")</f>
        <v>一个人从船上跳入水中的照片。</v>
      </c>
    </row>
    <row r="34413">
      <c r="A34413" s="4" t="s">
        <v>43307</v>
      </c>
      <c r="B34413" s="4" t="s">
        <v>24164</v>
      </c>
      <c r="C34413" s="5" t="str">
        <f>IFERROR(__xludf.DUMMYFUNCTION("GOOGLETRANSLATE(B34413,""en"",""zh-CN"")"),"一条船在水中。")</f>
        <v>一条船在水中。</v>
      </c>
    </row>
    <row r="34414">
      <c r="A34414" s="4" t="s">
        <v>43307</v>
      </c>
      <c r="B34414" s="4" t="s">
        <v>43309</v>
      </c>
      <c r="C34414" s="5" t="str">
        <f>IFERROR(__xludf.DUMMYFUNCTION("GOOGLETRANSLATE(B34414,""en"",""zh-CN"")"),"一艘帆船在水中，上面有人。")</f>
        <v>一艘帆船在水中，上面有人。</v>
      </c>
    </row>
    <row r="34415">
      <c r="A34415" s="4" t="s">
        <v>43307</v>
      </c>
      <c r="B34415" s="4" t="s">
        <v>43310</v>
      </c>
      <c r="C34415" s="5" t="str">
        <f>IFERROR(__xludf.DUMMYFUNCTION("GOOGLETRANSLATE(B34415,""en"",""zh-CN"")"),"人们坐在船上说话。")</f>
        <v>人们坐在船上说话。</v>
      </c>
    </row>
    <row r="34416">
      <c r="A34416" s="4" t="s">
        <v>43307</v>
      </c>
      <c r="B34416" s="4" t="s">
        <v>43311</v>
      </c>
      <c r="C34416" s="5" t="str">
        <f>IFERROR(__xludf.DUMMYFUNCTION("GOOGLETRANSLATE(B34416,""en"",""zh-CN"")"),"一个穿着白色比基尼的女人站在船的弓上，一个男人站在她身后。")</f>
        <v>一个穿着白色比基尼的女人站在船的弓上，一个男人站在她身后。</v>
      </c>
    </row>
    <row r="34417">
      <c r="A34417" s="4" t="s">
        <v>43307</v>
      </c>
      <c r="B34417" s="4" t="s">
        <v>43312</v>
      </c>
      <c r="C34417" s="5" t="str">
        <f>IFERROR(__xludf.DUMMYFUNCTION("GOOGLETRANSLATE(B34417,""en"",""zh-CN"")"),"人们坐在船的弓上。")</f>
        <v>人们坐在船的弓上。</v>
      </c>
    </row>
    <row r="34418">
      <c r="A34418" s="4" t="s">
        <v>43307</v>
      </c>
      <c r="B34418" s="4" t="s">
        <v>43313</v>
      </c>
      <c r="C34418" s="5" t="str">
        <f>IFERROR(__xludf.DUMMYFUNCTION("GOOGLETRANSLATE(B34418,""en"",""zh-CN"")"),"一个女人躺在她的背上，穿着比基尼在船上。")</f>
        <v>一个女人躺在她的背上，穿着比基尼在船上。</v>
      </c>
    </row>
    <row r="34419">
      <c r="A34419" s="4" t="s">
        <v>43307</v>
      </c>
      <c r="B34419" s="4" t="s">
        <v>43314</v>
      </c>
      <c r="C34419" s="5" t="str">
        <f>IFERROR(__xludf.DUMMYFUNCTION("GOOGLETRANSLATE(B34419,""en"",""zh-CN"")"),"人们在镜头前的沙滩上行走。")</f>
        <v>人们在镜头前的沙滩上行走。</v>
      </c>
    </row>
    <row r="34420">
      <c r="A34420" s="4" t="s">
        <v>43307</v>
      </c>
      <c r="B34420" s="4" t="s">
        <v>43315</v>
      </c>
      <c r="C34420" s="5" t="str">
        <f>IFERROR(__xludf.DUMMYFUNCTION("GOOGLETRANSLATE(B34420,""en"",""zh-CN"")"),"显示了水和海滩的景色。")</f>
        <v>显示了水和海滩的景色。</v>
      </c>
    </row>
    <row r="34421">
      <c r="A34421" s="4" t="s">
        <v>43307</v>
      </c>
      <c r="B34421" s="4" t="s">
        <v>43316</v>
      </c>
      <c r="C34421" s="5" t="str">
        <f>IFERROR(__xludf.DUMMYFUNCTION("GOOGLETRANSLATE(B34421,""en"",""zh-CN"")"),"人们在海滩的沙滩上行走。")</f>
        <v>人们在海滩的沙滩上行走。</v>
      </c>
    </row>
    <row r="34422">
      <c r="A34422" s="4" t="s">
        <v>43307</v>
      </c>
      <c r="B34422" s="4" t="s">
        <v>43317</v>
      </c>
      <c r="C34422" s="5" t="str">
        <f>IFERROR(__xludf.DUMMYFUNCTION("GOOGLETRANSLATE(B34422,""en"",""zh-CN"")"),"一群人摆姿势拍照。")</f>
        <v>一群人摆姿势拍照。</v>
      </c>
    </row>
    <row r="34423">
      <c r="A34423" s="4" t="s">
        <v>43307</v>
      </c>
      <c r="B34423" s="4" t="s">
        <v>43318</v>
      </c>
      <c r="C34423" s="5" t="str">
        <f>IFERROR(__xludf.DUMMYFUNCTION("GOOGLETRANSLATE(B34423,""en"",""zh-CN"")"),"人们正在船上拍照。")</f>
        <v>人们正在船上拍照。</v>
      </c>
    </row>
    <row r="34424">
      <c r="A34424" s="4" t="s">
        <v>43319</v>
      </c>
      <c r="B34424" s="4" t="s">
        <v>43320</v>
      </c>
      <c r="C34424" s="5" t="str">
        <f>IFERROR(__xludf.DUMMYFUNCTION("GOOGLETRANSLATE(B34424,""en"",""zh-CN"")"),"显示一个女人的特写镜头在与摄像机上说话，拿着冰淇淋在她的脸前。")</f>
        <v>显示一个女人的特写镜头在与摄像机上说话，拿着冰淇淋在她的脸前。</v>
      </c>
    </row>
    <row r="34425">
      <c r="A34425" s="4" t="s">
        <v>43319</v>
      </c>
      <c r="B34425" s="6" t="s">
        <v>43321</v>
      </c>
      <c r="C34425" s="5" t="str">
        <f>IFERROR(__xludf.DUMMYFUNCTION("GOOGLETRANSLATE(B34425,""en"",""zh-CN"")"),"当摄像头绕着她的身体锅，其他几个人围绕着她，她会服用多咬冰淇淋。")</f>
        <v>当摄像头绕着她的身体锅，其他几个人围绕着她，她会服用多咬冰淇淋。</v>
      </c>
    </row>
    <row r="34426">
      <c r="A34426" s="4" t="s">
        <v>43322</v>
      </c>
      <c r="B34426" s="4" t="s">
        <v>43323</v>
      </c>
      <c r="C34426" s="5" t="str">
        <f>IFERROR(__xludf.DUMMYFUNCTION("GOOGLETRANSLATE(B34426,""en"",""zh-CN"")"),"一个女孩在人行道上跳动。")</f>
        <v>一个女孩在人行道上跳动。</v>
      </c>
    </row>
    <row r="34427">
      <c r="A34427" s="4" t="s">
        <v>43322</v>
      </c>
      <c r="B34427" s="4" t="s">
        <v>43324</v>
      </c>
      <c r="C34427" s="5" t="str">
        <f>IFERROR(__xludf.DUMMYFUNCTION("GOOGLETRANSLATE(B34427,""en"",""zh-CN"")"),"一个年轻的女孩看着她。")</f>
        <v>一个年轻的女孩看着她。</v>
      </c>
    </row>
    <row r="34428">
      <c r="A34428" s="4" t="s">
        <v>43322</v>
      </c>
      <c r="B34428" s="4" t="s">
        <v>43325</v>
      </c>
      <c r="C34428" s="5" t="str">
        <f>IFERROR(__xludf.DUMMYFUNCTION("GOOGLETRANSLATE(B34428,""en"",""zh-CN"")"),"曼斯的手臂在前景。")</f>
        <v>曼斯的手臂在前景。</v>
      </c>
    </row>
    <row r="34429">
      <c r="A34429" s="4" t="s">
        <v>43322</v>
      </c>
      <c r="B34429" s="4" t="s">
        <v>43326</v>
      </c>
      <c r="C34429" s="5" t="str">
        <f>IFERROR(__xludf.DUMMYFUNCTION("GOOGLETRANSLATE(B34429,""en"",""zh-CN"")"),"还有一个木制甲板。")</f>
        <v>还有一个木制甲板。</v>
      </c>
    </row>
    <row r="34430">
      <c r="A34430" s="4" t="s">
        <v>43327</v>
      </c>
      <c r="B34430" s="4" t="s">
        <v>43328</v>
      </c>
      <c r="C34430" s="5" t="str">
        <f>IFERROR(__xludf.DUMMYFUNCTION("GOOGLETRANSLATE(B34430,""en"",""zh-CN"")"),"白色文字说该视频是关于如何制作腹部蛋糕的。")</f>
        <v>白色文字说该视频是关于如何制作腹部蛋糕的。</v>
      </c>
    </row>
    <row r="34431">
      <c r="A34431" s="4" t="s">
        <v>43327</v>
      </c>
      <c r="B34431" s="4" t="s">
        <v>43329</v>
      </c>
      <c r="C34431" s="5" t="str">
        <f>IFERROR(__xludf.DUMMYFUNCTION("GOOGLETRANSLATE(B34431,""en"",""zh-CN"")"),"两块包裹的巧克力蛋糕显示为手动调整并触摸它们。")</f>
        <v>两块包裹的巧克力蛋糕显示为手动调整并触摸它们。</v>
      </c>
    </row>
    <row r="34432">
      <c r="A34432" s="4" t="s">
        <v>43327</v>
      </c>
      <c r="B34432" s="6" t="s">
        <v>43330</v>
      </c>
      <c r="C34432" s="5" t="str">
        <f>IFERROR(__xludf.DUMMYFUNCTION("GOOGLETRANSLATE(B34432,""en"",""zh-CN"")"),"在蛋糕磨砂后显示软糖婴儿零件之前，说明出现在屏幕的底部。")</f>
        <v>在蛋糕磨砂后显示软糖婴儿零件之前，说明出现在屏幕的底部。</v>
      </c>
    </row>
    <row r="34433">
      <c r="A34433" s="4" t="s">
        <v>43327</v>
      </c>
      <c r="B34433" s="4" t="s">
        <v>43331</v>
      </c>
      <c r="C34433" s="5" t="str">
        <f>IFERROR(__xludf.DUMMYFUNCTION("GOOGLETRANSLATE(B34433,""en"",""zh-CN"")"),"蛋糕是一个女人的肚子完整的，婴儿的脚从她的衣服上伸出。")</f>
        <v>蛋糕是一个女人的肚子完整的，婴儿的脚从她的衣服上伸出。</v>
      </c>
    </row>
    <row r="34434">
      <c r="A34434" s="4" t="s">
        <v>43332</v>
      </c>
      <c r="B34434" s="6" t="s">
        <v>43333</v>
      </c>
      <c r="C34434" s="5" t="str">
        <f>IFERROR(__xludf.DUMMYFUNCTION("GOOGLETRANSLATE(B34434,""en"",""zh-CN"")"),"看到一名妇女主持了一个新闻部分，该新闻部门会导致几个人衡量自己并与镜头交谈。")</f>
        <v>看到一名妇女主持了一个新闻部分，该新闻部门会导致几个人衡量自己并与镜头交谈。</v>
      </c>
    </row>
    <row r="34435">
      <c r="A34435" s="4" t="s">
        <v>43332</v>
      </c>
      <c r="B34435" s="6" t="s">
        <v>43334</v>
      </c>
      <c r="C34435" s="5" t="str">
        <f>IFERROR(__xludf.DUMMYFUNCTION("GOOGLETRANSLATE(B34435,""en"",""zh-CN"")"),"许多人在举起较大的裤子并炫耀自己的体重失去的同时，显示了许多人喝咖啡。")</f>
        <v>许多人在举起较大的裤子并炫耀自己的体重失去的同时，显示了许多人喝咖啡。</v>
      </c>
    </row>
    <row r="34436">
      <c r="A34436" s="4" t="s">
        <v>43332</v>
      </c>
      <c r="B34436" s="6" t="s">
        <v>43335</v>
      </c>
      <c r="C34436" s="5" t="str">
        <f>IFERROR(__xludf.DUMMYFUNCTION("GOOGLETRANSLATE(B34436,""en"",""zh-CN"")"),"看到更多的人在相机上说话，同时显示了更多产品以及展示食物，还有一个女人炫耀她的壁橱。")</f>
        <v>看到更多的人在相机上说话，同时显示了更多产品以及展示食物，还有一个女人炫耀她的壁橱。</v>
      </c>
    </row>
    <row r="34437">
      <c r="A34437" s="4" t="s">
        <v>43336</v>
      </c>
      <c r="B34437" s="4" t="s">
        <v>43337</v>
      </c>
      <c r="C34437" s="5" t="str">
        <f>IFERROR(__xludf.DUMMYFUNCTION("GOOGLETRANSLATE(B34437,""en"",""zh-CN"")"),"一个穿着白色T恤的男孩将他的兄弟抬起头，身体将他猛撞到床上。")</f>
        <v>一个穿着白色T恤的男孩将他的兄弟抬起头，身体将他猛撞到床上。</v>
      </c>
    </row>
    <row r="34438">
      <c r="A34438" s="4" t="s">
        <v>43336</v>
      </c>
      <c r="B34438" s="4" t="s">
        <v>43338</v>
      </c>
      <c r="C34438" s="5" t="str">
        <f>IFERROR(__xludf.DUMMYFUNCTION("GOOGLETRANSLATE(B34438,""en"",""zh-CN"")"),"军队彩色衬衫的兄弟从床上起床。")</f>
        <v>军队彩色衬衫的兄弟从床上起床。</v>
      </c>
    </row>
    <row r="34439">
      <c r="A34439" s="4" t="s">
        <v>43339</v>
      </c>
      <c r="B34439" s="4" t="s">
        <v>43340</v>
      </c>
      <c r="C34439" s="5" t="str">
        <f>IFERROR(__xludf.DUMMYFUNCTION("GOOGLETRANSLATE(B34439,""en"",""zh-CN"")"),"我们看到一名滑板手和他的董事会一起走。")</f>
        <v>我们看到一名滑板手和他的董事会一起走。</v>
      </c>
    </row>
    <row r="34440">
      <c r="A34440" s="4" t="s">
        <v>43339</v>
      </c>
      <c r="B34440" s="4" t="s">
        <v>43341</v>
      </c>
      <c r="C34440" s="5" t="str">
        <f>IFERROR(__xludf.DUMMYFUNCTION("GOOGLETRANSLATE(B34440,""en"",""zh-CN"")"),"然后，该名男子在一条繁忙的街道上滑行。")</f>
        <v>然后，该名男子在一条繁忙的街道上滑行。</v>
      </c>
    </row>
    <row r="34441">
      <c r="A34441" s="4" t="s">
        <v>43339</v>
      </c>
      <c r="B34441" s="4" t="s">
        <v>43342</v>
      </c>
      <c r="C34441" s="5" t="str">
        <f>IFERROR(__xludf.DUMMYFUNCTION("GOOGLETRANSLATE(B34441,""en"",""zh-CN"")"),"寄宿者滑冰时，他的手放在地上。")</f>
        <v>寄宿者滑冰时，他的手放在地上。</v>
      </c>
    </row>
    <row r="34442">
      <c r="A34442" s="4" t="s">
        <v>43339</v>
      </c>
      <c r="B34442" s="4" t="s">
        <v>43343</v>
      </c>
      <c r="C34442" s="5" t="str">
        <f>IFERROR(__xludf.DUMMYFUNCTION("GOOGLETRANSLATE(B34442,""en"",""zh-CN"")"),"寄宿生向右转。")</f>
        <v>寄宿生向右转。</v>
      </c>
    </row>
    <row r="34443">
      <c r="A34443" s="4" t="s">
        <v>43339</v>
      </c>
      <c r="B34443" s="4" t="s">
        <v>43344</v>
      </c>
      <c r="C34443" s="5" t="str">
        <f>IFERROR(__xludf.DUMMYFUNCTION("GOOGLETRANSLATE(B34443,""en"",""zh-CN"")"),"汽车驶过，场景结束。")</f>
        <v>汽车驶过，场景结束。</v>
      </c>
    </row>
    <row r="34444">
      <c r="A34444" s="4" t="s">
        <v>43345</v>
      </c>
      <c r="B34444" s="4" t="s">
        <v>43346</v>
      </c>
      <c r="C34444" s="5" t="str">
        <f>IFERROR(__xludf.DUMMYFUNCTION("GOOGLETRANSLATE(B34444,""en"",""zh-CN"")"),"摩托车比赛在泥土上显示。")</f>
        <v>摩托车比赛在泥土上显示。</v>
      </c>
    </row>
    <row r="34445">
      <c r="A34445" s="4" t="s">
        <v>43345</v>
      </c>
      <c r="B34445" s="4" t="s">
        <v>43347</v>
      </c>
      <c r="C34445" s="5" t="str">
        <f>IFERROR(__xludf.DUMMYFUNCTION("GOOGLETRANSLATE(B34445,""en"",""zh-CN"")"),"准备工作包括较少的外壳妇女。")</f>
        <v>准备工作包括较少的外壳妇女。</v>
      </c>
    </row>
    <row r="34446">
      <c r="A34446" s="4" t="s">
        <v>43345</v>
      </c>
      <c r="B34446" s="4" t="s">
        <v>43348</v>
      </c>
      <c r="C34446" s="5" t="str">
        <f>IFERROR(__xludf.DUMMYFUNCTION("GOOGLETRANSLATE(B34446,""en"",""zh-CN"")"),"然后显示摩托车跳跃并做敏捷性。")</f>
        <v>然后显示摩托车跳跃并做敏捷性。</v>
      </c>
    </row>
    <row r="34447">
      <c r="A34447" s="4" t="s">
        <v>43349</v>
      </c>
      <c r="B34447" s="4" t="s">
        <v>43350</v>
      </c>
      <c r="C34447" s="5" t="str">
        <f>IFERROR(__xludf.DUMMYFUNCTION("GOOGLETRANSLATE(B34447,""en"",""zh-CN"")"),"一个男人乘坐红色机器。")</f>
        <v>一个男人乘坐红色机器。</v>
      </c>
    </row>
    <row r="34448">
      <c r="A34448" s="4" t="s">
        <v>43349</v>
      </c>
      <c r="B34448" s="4" t="s">
        <v>43351</v>
      </c>
      <c r="C34448" s="5" t="str">
        <f>IFERROR(__xludf.DUMMYFUNCTION("GOOGLETRANSLATE(B34448,""en"",""zh-CN"")"),"然后，他退缩，开始用它吹叶子。")</f>
        <v>然后，他退缩，开始用它吹叶子。</v>
      </c>
    </row>
    <row r="34449">
      <c r="A34449" s="4" t="s">
        <v>43349</v>
      </c>
      <c r="B34449" s="4" t="s">
        <v>43352</v>
      </c>
      <c r="C34449" s="5" t="str">
        <f>IFERROR(__xludf.DUMMYFUNCTION("GOOGLETRANSLATE(B34449,""en"",""zh-CN"")"),"叶子在整个车道上吹了。")</f>
        <v>叶子在整个车道上吹了。</v>
      </c>
    </row>
    <row r="34450">
      <c r="A34450" s="4" t="s">
        <v>43349</v>
      </c>
      <c r="B34450" s="4" t="s">
        <v>43353</v>
      </c>
      <c r="C34450" s="5" t="str">
        <f>IFERROR(__xludf.DUMMYFUNCTION("GOOGLETRANSLATE(B34450,""en"",""zh-CN"")"),"最后，车道清除了叶子。")</f>
        <v>最后，车道清除了叶子。</v>
      </c>
    </row>
    <row r="34451">
      <c r="A34451" s="4" t="s">
        <v>43354</v>
      </c>
      <c r="B34451" s="4" t="s">
        <v>20672</v>
      </c>
      <c r="C34451" s="5" t="str">
        <f>IFERROR(__xludf.DUMMYFUNCTION("GOOGLETRANSLATE(B34451,""en"",""zh-CN"")"),"一个女孩跳到平衡梁上。")</f>
        <v>一个女孩跳到平衡梁上。</v>
      </c>
    </row>
    <row r="34452">
      <c r="A34452" s="4" t="s">
        <v>43354</v>
      </c>
      <c r="B34452" s="4" t="s">
        <v>32035</v>
      </c>
      <c r="C34452" s="5" t="str">
        <f>IFERROR(__xludf.DUMMYFUNCTION("GOOGLETRANSLATE(B34452,""en"",""zh-CN"")"),"她在平衡梁上做体操例程。")</f>
        <v>她在平衡梁上做体操例程。</v>
      </c>
    </row>
    <row r="34453">
      <c r="A34453" s="4" t="s">
        <v>43354</v>
      </c>
      <c r="B34453" s="4" t="s">
        <v>43355</v>
      </c>
      <c r="C34453" s="5" t="str">
        <f>IFERROR(__xludf.DUMMYFUNCTION("GOOGLETRANSLATE(B34453,""en"",""zh-CN"")"),"她卸下并降落在光束旁边的垫子上。")</f>
        <v>她卸下并降落在光束旁边的垫子上。</v>
      </c>
    </row>
    <row r="34454">
      <c r="A34454" s="4" t="s">
        <v>43356</v>
      </c>
      <c r="B34454" s="4" t="s">
        <v>43357</v>
      </c>
      <c r="C34454" s="5" t="str">
        <f>IFERROR(__xludf.DUMMYFUNCTION("GOOGLETRANSLATE(B34454,""en"",""zh-CN"")"),"一个男人坐在骆驼上。")</f>
        <v>一个男人坐在骆驼上。</v>
      </c>
    </row>
    <row r="34455">
      <c r="A34455" s="4" t="s">
        <v>43356</v>
      </c>
      <c r="B34455" s="4" t="s">
        <v>43358</v>
      </c>
      <c r="C34455" s="5" t="str">
        <f>IFERROR(__xludf.DUMMYFUNCTION("GOOGLETRANSLATE(B34455,""en"",""zh-CN"")"),"骆驼站起来，一个男人在前面。")</f>
        <v>骆驼站起来，一个男人在前面。</v>
      </c>
    </row>
    <row r="34456">
      <c r="A34456" s="4" t="s">
        <v>43356</v>
      </c>
      <c r="B34456" s="4" t="s">
        <v>43359</v>
      </c>
      <c r="C34456" s="5" t="str">
        <f>IFERROR(__xludf.DUMMYFUNCTION("GOOGLETRANSLATE(B34456,""en"",""zh-CN"")"),"在他们身后看到一个红色谷仓。")</f>
        <v>在他们身后看到一个红色谷仓。</v>
      </c>
    </row>
    <row r="34457">
      <c r="A34457" s="4" t="s">
        <v>43356</v>
      </c>
      <c r="B34457" s="4" t="s">
        <v>43360</v>
      </c>
      <c r="C34457" s="5" t="str">
        <f>IFERROR(__xludf.DUMMYFUNCTION("GOOGLETRANSLATE(B34457,""en"",""zh-CN"")"),"骆驼坐下来，男人下车。")</f>
        <v>骆驼坐下来，男人下车。</v>
      </c>
    </row>
    <row r="34458">
      <c r="A34458" s="4" t="s">
        <v>43361</v>
      </c>
      <c r="B34458" s="4" t="s">
        <v>43362</v>
      </c>
      <c r="C34458" s="5" t="str">
        <f>IFERROR(__xludf.DUMMYFUNCTION("GOOGLETRANSLATE(B34458,""en"",""zh-CN"")"),"看到一个女人站在水桶前，与镜头说话。")</f>
        <v>看到一个女人站在水桶前，与镜头说话。</v>
      </c>
    </row>
    <row r="34459">
      <c r="A34459" s="4" t="s">
        <v>43361</v>
      </c>
      <c r="B34459" s="6" t="s">
        <v>43363</v>
      </c>
      <c r="C34459" s="5" t="str">
        <f>IFERROR(__xludf.DUMMYFUNCTION("GOOGLETRANSLATE(B34459,""en"",""zh-CN"")"),"她将水倒入水桶中，同时将其拖到水桶中，并将清洁混合到其中并开始倒入衣服。")</f>
        <v>她将水倒入水桶中，同时将其拖到水桶中，并将清洁混合到其中并开始倒入衣服。</v>
      </c>
    </row>
    <row r="34460">
      <c r="A34460" s="4" t="s">
        <v>43361</v>
      </c>
      <c r="B34460" s="6" t="s">
        <v>43364</v>
      </c>
      <c r="C34460" s="5" t="str">
        <f>IFERROR(__xludf.DUMMYFUNCTION("GOOGLETRANSLATE(B34460,""en"",""zh-CN"")"),"女人将衣服浸入水桶中，展示她将它们悬挂在哪里并挥手向相机挥手。")</f>
        <v>女人将衣服浸入水桶中，展示她将它们悬挂在哪里并挥手向相机挥手。</v>
      </c>
    </row>
    <row r="34461">
      <c r="A34461" s="4" t="s">
        <v>43365</v>
      </c>
      <c r="B34461" s="4" t="s">
        <v>43366</v>
      </c>
      <c r="C34461" s="5" t="str">
        <f>IFERROR(__xludf.DUMMYFUNCTION("GOOGLETRANSLATE(B34461,""en"",""zh-CN"")"),"一个男人用海绵小心地洗过汽车的侧面。")</f>
        <v>一个男人用海绵小心地洗过汽车的侧面。</v>
      </c>
    </row>
    <row r="34462">
      <c r="A34462" s="4" t="s">
        <v>43365</v>
      </c>
      <c r="B34462" s="4" t="s">
        <v>43367</v>
      </c>
      <c r="C34462" s="5" t="str">
        <f>IFERROR(__xludf.DUMMYFUNCTION("GOOGLETRANSLATE(B34462,""en"",""zh-CN"")"),"该男子站起来洗挡风玻璃。")</f>
        <v>该男子站起来洗挡风玻璃。</v>
      </c>
    </row>
    <row r="34463">
      <c r="A34463" s="4" t="s">
        <v>43365</v>
      </c>
      <c r="B34463" s="4" t="s">
        <v>43368</v>
      </c>
      <c r="C34463" s="5" t="str">
        <f>IFERROR(__xludf.DUMMYFUNCTION("GOOGLETRANSLATE(B34463,""en"",""zh-CN"")"),"然后，他沿着汽车的后部移动，洗了扰流板。")</f>
        <v>然后，他沿着汽车的后部移动，洗了扰流板。</v>
      </c>
    </row>
    <row r="34464">
      <c r="A34464" s="4" t="s">
        <v>43369</v>
      </c>
      <c r="B34464" s="6" t="s">
        <v>43370</v>
      </c>
      <c r="C34464" s="5" t="str">
        <f>IFERROR(__xludf.DUMMYFUNCTION("GOOGLETRANSLATE(B34464,""en"",""zh-CN"")"),"一名既有的亚洲女性都穿着化妆，正在与一群没有化妆的亚洲妇女交谈。")</f>
        <v>一名既有的亚洲女性都穿着化妆，正在与一群没有化妆的亚洲妇女交谈。</v>
      </c>
    </row>
    <row r="34465">
      <c r="A34465" s="4" t="s">
        <v>43369</v>
      </c>
      <c r="B34465" s="4" t="s">
        <v>43371</v>
      </c>
      <c r="C34465" s="5" t="str">
        <f>IFERROR(__xludf.DUMMYFUNCTION("GOOGLETRANSLATE(B34465,""en"",""zh-CN"")"),"带有化妆的亚洲女人拍手，然后击中一个有10秒计时器的时钟。")</f>
        <v>带有化妆的亚洲女人拍手，然后击中一个有10秒计时器的时钟。</v>
      </c>
    </row>
    <row r="34466">
      <c r="A34466" s="4" t="s">
        <v>43369</v>
      </c>
      <c r="B34466" s="4" t="s">
        <v>43372</v>
      </c>
      <c r="C34466" s="5" t="str">
        <f>IFERROR(__xludf.DUMMYFUNCTION("GOOGLETRANSLATE(B34466,""en"",""zh-CN"")"),"没有化​​妆的女性在时间用完之前迅速开始化妆。")</f>
        <v>没有化​​妆的女性在时间用完之前迅速开始化妆。</v>
      </c>
    </row>
    <row r="34467">
      <c r="A34467" s="4" t="s">
        <v>43369</v>
      </c>
      <c r="B34467" s="6" t="s">
        <v>43373</v>
      </c>
      <c r="C34467" s="5" t="str">
        <f>IFERROR(__xludf.DUMMYFUNCTION("GOOGLETRANSLATE(B34467,""en"",""zh-CN"")"),"两名妇女迅速将化妆品涂在脸上，但是当他们完成时，他们的脸上的表情很沮丧。")</f>
        <v>两名妇女迅速将化妆品涂在脸上，但是当他们完成时，他们的脸上的表情很沮丧。</v>
      </c>
    </row>
    <row r="34468">
      <c r="A34468" s="4" t="s">
        <v>43369</v>
      </c>
      <c r="B34468" s="6" t="s">
        <v>43374</v>
      </c>
      <c r="C34468" s="5" t="str">
        <f>IFERROR(__xludf.DUMMYFUNCTION("GOOGLETRANSLATE(B34468,""en"",""zh-CN"")"),"第三个女人将化妆和假睫毛放在她面前的托盘上，然后将她的脸猛撞到托盘中，然后将其滚到一边。")</f>
        <v>第三个女人将化妆和假睫毛放在她面前的托盘上，然后将她的脸猛撞到托盘中，然后将其滚到一边。</v>
      </c>
    </row>
    <row r="34469">
      <c r="A34469" s="4" t="s">
        <v>43369</v>
      </c>
      <c r="B34469" s="6" t="s">
        <v>43375</v>
      </c>
      <c r="C34469" s="5" t="str">
        <f>IFERROR(__xludf.DUMMYFUNCTION("GOOGLETRANSLATE(B34469,""en"",""zh-CN"")"),"当她抬起头上的妆容时，她的妆容是完美的，与此同时，她将头发从马尾辫中拉出，释放头发。")</f>
        <v>当她抬起头上的妆容时，她的妆容是完美的，与此同时，她将头发从马尾辫中拉出，释放头发。</v>
      </c>
    </row>
    <row r="34470">
      <c r="A34470" s="4" t="s">
        <v>43369</v>
      </c>
      <c r="B34470" s="6" t="s">
        <v>43376</v>
      </c>
      <c r="C34470" s="5" t="str">
        <f>IFERROR(__xludf.DUMMYFUNCTION("GOOGLETRANSLATE(B34470,""en"",""zh-CN"")"),"Outro视频是一个紫色的屏幕，上面有白色单词，上面写着“美丽而快速”，并以紫色单词读取“ Windows 8”和Microsoft徽标结尾。")</f>
        <v>Outro视频是一个紫色的屏幕，上面有白色单词，上面写着“美丽而快速”，并以紫色单词读取“ Windows 8”和Microsoft徽标结尾。</v>
      </c>
    </row>
    <row r="34471">
      <c r="A34471" s="4" t="s">
        <v>43377</v>
      </c>
      <c r="B34471" s="4" t="s">
        <v>43378</v>
      </c>
      <c r="C34471" s="5" t="str">
        <f>IFERROR(__xludf.DUMMYFUNCTION("GOOGLETRANSLATE(B34471,""en"",""zh-CN"")"),"一个男人在壁球法庭上说话。")</f>
        <v>一个男人在壁球法庭上说话。</v>
      </c>
    </row>
    <row r="34472">
      <c r="A34472" s="4" t="s">
        <v>43377</v>
      </c>
      <c r="B34472" s="4" t="s">
        <v>43379</v>
      </c>
      <c r="C34472" s="5" t="str">
        <f>IFERROR(__xludf.DUMMYFUNCTION("GOOGLETRANSLATE(B34472,""en"",""zh-CN"")"),"他谈到了如何摆姿势和摆动球拍。")</f>
        <v>他谈到了如何摆姿势和摆动球拍。</v>
      </c>
    </row>
    <row r="34473">
      <c r="A34473" s="4" t="s">
        <v>43377</v>
      </c>
      <c r="B34473" s="4" t="s">
        <v>43380</v>
      </c>
      <c r="C34473" s="5" t="str">
        <f>IFERROR(__xludf.DUMMYFUNCTION("GOOGLETRANSLATE(B34473,""en"",""zh-CN"")"),"他通过来回撞到墙壁来证明。")</f>
        <v>他通过来回撞到墙壁来证明。</v>
      </c>
    </row>
    <row r="34474">
      <c r="A34474" s="4" t="s">
        <v>43381</v>
      </c>
      <c r="B34474" s="4" t="s">
        <v>43382</v>
      </c>
      <c r="C34474" s="5" t="str">
        <f>IFERROR(__xludf.DUMMYFUNCTION("GOOGLETRANSLATE(B34474,""en"",""zh-CN"")"),"一个男人和女人骑自行车的人站在活动外。")</f>
        <v>一个男人和女人骑自行车的人站在活动外。</v>
      </c>
    </row>
    <row r="34475">
      <c r="A34475" s="4" t="s">
        <v>43381</v>
      </c>
      <c r="B34475" s="4" t="s">
        <v>43383</v>
      </c>
      <c r="C34475" s="5" t="str">
        <f>IFERROR(__xludf.DUMMYFUNCTION("GOOGLETRANSLATE(B34475,""en"",""zh-CN"")"),"他们进入筏子，将其推入河流。")</f>
        <v>他们进入筏子，将其推入河流。</v>
      </c>
    </row>
    <row r="34476">
      <c r="A34476" s="4" t="s">
        <v>43381</v>
      </c>
      <c r="B34476" s="4" t="s">
        <v>43384</v>
      </c>
      <c r="C34476" s="5" t="str">
        <f>IFERROR(__xludf.DUMMYFUNCTION("GOOGLETRANSLATE(B34476,""en"",""zh-CN"")"),"他们骑着急流，走过瀑布和划船。")</f>
        <v>他们骑着急流，走过瀑布和划船。</v>
      </c>
    </row>
    <row r="34477">
      <c r="A34477" s="4" t="s">
        <v>43385</v>
      </c>
      <c r="B34477" s="4" t="s">
        <v>43386</v>
      </c>
      <c r="C34477" s="5" t="str">
        <f>IFERROR(__xludf.DUMMYFUNCTION("GOOGLETRANSLATE(B34477,""en"",""zh-CN"")"),"男人站在一个挥舞着长笛的房间里。")</f>
        <v>男人站在一个挥舞着长笛的房间里。</v>
      </c>
    </row>
    <row r="34478">
      <c r="A34478" s="4" t="s">
        <v>43385</v>
      </c>
      <c r="B34478" s="4" t="s">
        <v>43387</v>
      </c>
      <c r="C34478" s="5" t="str">
        <f>IFERROR(__xludf.DUMMYFUNCTION("GOOGLETRANSLATE(B34478,""en"",""zh-CN"")"),"该男子结束了笑声和笑，并感谢公众。")</f>
        <v>该男子结束了笑声和笑，并感谢公众。</v>
      </c>
    </row>
    <row r="34479">
      <c r="A34479" s="4" t="s">
        <v>43385</v>
      </c>
      <c r="B34479" s="4" t="s">
        <v>43388</v>
      </c>
      <c r="C34479" s="5" t="str">
        <f>IFERROR(__xludf.DUMMYFUNCTION("GOOGLETRANSLATE(B34479,""en"",""zh-CN"")"),"男人穿着蓝色衬衫，正坐在那个扮演长笛的男人后面。")</f>
        <v>男人穿着蓝色衬衫，正坐在那个扮演长笛的男人后面。</v>
      </c>
    </row>
    <row r="34480">
      <c r="A34480" s="4" t="s">
        <v>43389</v>
      </c>
      <c r="B34480" s="4" t="s">
        <v>43390</v>
      </c>
      <c r="C34480" s="5" t="str">
        <f>IFERROR(__xludf.DUMMYFUNCTION("GOOGLETRANSLATE(B34480,""en"",""zh-CN"")"),"一个男人通过斜坡从户外场景中与摄像机进行交谈。")</f>
        <v>一个男人通过斜坡从户外场景中与摄像机进行交谈。</v>
      </c>
    </row>
    <row r="34481">
      <c r="A34481" s="4" t="s">
        <v>43389</v>
      </c>
      <c r="B34481" s="4" t="s">
        <v>43391</v>
      </c>
      <c r="C34481" s="5" t="str">
        <f>IFERROR(__xludf.DUMMYFUNCTION("GOOGLETRANSLATE(B34481,""en"",""zh-CN"")"),"显示了几次快速切割，以解释在攀爬背景下设计的术语。")</f>
        <v>显示了几次快速切割，以解释在攀爬背景下设计的术语。</v>
      </c>
    </row>
    <row r="34482">
      <c r="A34482" s="4" t="s">
        <v>43389</v>
      </c>
      <c r="B34482" s="4" t="s">
        <v>22880</v>
      </c>
      <c r="C34482" s="5" t="str">
        <f>IFERROR(__xludf.DUMMYFUNCTION("GOOGLETRANSLATE(B34482,""en"",""zh-CN"")"),"该男子再次与相机交谈。")</f>
        <v>该男子再次与相机交谈。</v>
      </c>
    </row>
    <row r="34483">
      <c r="A34483" s="4" t="s">
        <v>43389</v>
      </c>
      <c r="B34483" s="4" t="s">
        <v>43392</v>
      </c>
      <c r="C34483" s="5" t="str">
        <f>IFERROR(__xludf.DUMMYFUNCTION("GOOGLETRANSLATE(B34483,""en"",""zh-CN"")"),"显示了更快速的场景，以解释在攀登背景下设计的过程。")</f>
        <v>显示了更快速的场景，以解释在攀登背景下设计的过程。</v>
      </c>
    </row>
    <row r="34484">
      <c r="A34484" s="4" t="s">
        <v>43389</v>
      </c>
      <c r="B34484" s="4" t="s">
        <v>43393</v>
      </c>
      <c r="C34484" s="5" t="str">
        <f>IFERROR(__xludf.DUMMYFUNCTION("GOOGLETRANSLATE(B34484,""en"",""zh-CN"")"),"该男子再次与相机交谈。")</f>
        <v>该男子再次与相机交谈。</v>
      </c>
    </row>
    <row r="34485">
      <c r="A34485" s="4" t="s">
        <v>43394</v>
      </c>
      <c r="B34485" s="4" t="s">
        <v>43395</v>
      </c>
      <c r="C34485" s="5" t="str">
        <f>IFERROR(__xludf.DUMMYFUNCTION("GOOGLETRANSLATE(B34485,""en"",""zh-CN"")"),"体操运动员以飞跃接近酒吧。")</f>
        <v>体操运动员以飞跃接近酒吧。</v>
      </c>
    </row>
    <row r="34486">
      <c r="A34486" s="4" t="s">
        <v>43394</v>
      </c>
      <c r="B34486" s="6" t="s">
        <v>43396</v>
      </c>
      <c r="C34486" s="5" t="str">
        <f>IFERROR(__xludf.DUMMYFUNCTION("GOOGLETRANSLATE(B34486,""en"",""zh-CN"")"),"她抓住了酒吧，开始在酒吧周围翻转自己，然后跳到下一个酒吧并反复推动自己。")</f>
        <v>她抓住了酒吧，开始在酒吧周围翻转自己，然后跳到下一个酒吧并反复推动自己。</v>
      </c>
    </row>
    <row r="34487">
      <c r="A34487" s="4" t="s">
        <v>43394</v>
      </c>
      <c r="B34487" s="4" t="s">
        <v>43397</v>
      </c>
      <c r="C34487" s="5" t="str">
        <f>IFERROR(__xludf.DUMMYFUNCTION("GOOGLETRANSLATE(B34487,""en"",""zh-CN"")"),"她在空中发射并登陆垫子。")</f>
        <v>她在空中发射并登陆垫子。</v>
      </c>
    </row>
    <row r="34488">
      <c r="A34488" s="4" t="s">
        <v>43398</v>
      </c>
      <c r="B34488" s="4" t="s">
        <v>43399</v>
      </c>
      <c r="C34488" s="5" t="str">
        <f>IFERROR(__xludf.DUMMYFUNCTION("GOOGLETRANSLATE(B34488,""en"",""zh-CN"")"),"一堆汽车在一侧倾斜时开车。")</f>
        <v>一堆汽车在一侧倾斜时开车。</v>
      </c>
    </row>
    <row r="34489">
      <c r="A34489" s="4" t="s">
        <v>43398</v>
      </c>
      <c r="B34489" s="4" t="s">
        <v>43400</v>
      </c>
      <c r="C34489" s="5" t="str">
        <f>IFERROR(__xludf.DUMMYFUNCTION("GOOGLETRANSLATE(B34489,""en"",""zh-CN"")"),"轮胎被从其中一辆汽车上取下。")</f>
        <v>轮胎被从其中一辆汽车上取下。</v>
      </c>
    </row>
    <row r="34490">
      <c r="A34490" s="4" t="s">
        <v>43401</v>
      </c>
      <c r="B34490" s="6" t="s">
        <v>43402</v>
      </c>
      <c r="C34490" s="5" t="str">
        <f>IFERROR(__xludf.DUMMYFUNCTION("GOOGLETRANSLATE(B34490,""en"",""zh-CN"")"),"看到一个男人在与他的相机上说话，并导致他的卡车驾驶和骑车后面的人。")</f>
        <v>看到一个男人在与他的相机上说话，并导致他的卡车驾驶和骑车后面的人。</v>
      </c>
    </row>
    <row r="34491">
      <c r="A34491" s="4" t="s">
        <v>43401</v>
      </c>
      <c r="B34491" s="6" t="s">
        <v>43403</v>
      </c>
      <c r="C34491" s="5" t="str">
        <f>IFERROR(__xludf.DUMMYFUNCTION("GOOGLETRANSLATE(B34491,""en"",""zh-CN"")"),"一个男人在荒芜的地区徘徊，炫耀该地区的各种植物和野生动植物，用棍棒在地上说话。")</f>
        <v>一个男人在荒芜的地区徘徊，炫耀该地区的各种植物和野生动植物，用棍棒在地上说话。</v>
      </c>
    </row>
    <row r="34492">
      <c r="A34492" s="4" t="s">
        <v>43401</v>
      </c>
      <c r="B34492" s="6" t="s">
        <v>43404</v>
      </c>
      <c r="C34492" s="5" t="str">
        <f>IFERROR(__xludf.DUMMYFUNCTION("GOOGLETRANSLATE(B34492,""en"",""zh-CN"")"),"他把白色的衣服和其他几个衣服都放在身上，并带领人们与前面的其他人一起骑骆驼。")</f>
        <v>他把白色的衣服和其他几个衣服都放在身上，并带领人们与前面的其他人一起骑骆驼。</v>
      </c>
    </row>
    <row r="34493">
      <c r="A34493" s="4" t="s">
        <v>43405</v>
      </c>
      <c r="B34493" s="4" t="s">
        <v>43406</v>
      </c>
      <c r="C34493" s="5" t="str">
        <f>IFERROR(__xludf.DUMMYFUNCTION("GOOGLETRANSLATE(B34493,""en"",""zh-CN"")"),"旗帜显示在地面上的地方挥舞着旗帜。")</f>
        <v>旗帜显示在地面上的地方挥舞着旗帜。</v>
      </c>
    </row>
    <row r="34494">
      <c r="A34494" s="4" t="s">
        <v>43405</v>
      </c>
      <c r="B34494" s="4" t="s">
        <v>43407</v>
      </c>
      <c r="C34494" s="5" t="str">
        <f>IFERROR(__xludf.DUMMYFUNCTION("GOOGLETRANSLATE(B34494,""en"",""zh-CN"")"),"一群人站在大楼外面，有些人在吃饭。")</f>
        <v>一群人站在大楼外面，有些人在吃饭。</v>
      </c>
    </row>
    <row r="34495">
      <c r="A34495" s="4" t="s">
        <v>43405</v>
      </c>
      <c r="B34495" s="4" t="s">
        <v>43408</v>
      </c>
      <c r="C34495" s="5" t="str">
        <f>IFERROR(__xludf.DUMMYFUNCTION("GOOGLETRANSLATE(B34495,""en"",""zh-CN"")"),"一名男子在游戏开始时在镜头前。")</f>
        <v>一名男子在游戏开始时在镜头前。</v>
      </c>
    </row>
    <row r="34496">
      <c r="A34496" s="4" t="s">
        <v>43409</v>
      </c>
      <c r="B34496" s="4" t="s">
        <v>43410</v>
      </c>
      <c r="C34496" s="5" t="str">
        <f>IFERROR(__xludf.DUMMYFUNCTION("GOOGLETRANSLATE(B34496,""en"",""zh-CN"")"),"一个小男孩环顾四周时浸入泳池水中。")</f>
        <v>一个小男孩环顾四周时浸入泳池水中。</v>
      </c>
    </row>
    <row r="34497">
      <c r="A34497" s="4" t="s">
        <v>43409</v>
      </c>
      <c r="B34497" s="4" t="s">
        <v>43411</v>
      </c>
      <c r="C34497" s="5" t="str">
        <f>IFERROR(__xludf.DUMMYFUNCTION("GOOGLETRANSLATE(B34497,""en"",""zh-CN"")"),"他在母亲的帮助下漂浮和游泳。")</f>
        <v>他在母亲的帮助下漂浮和游泳。</v>
      </c>
    </row>
    <row r="34498">
      <c r="A34498" s="4" t="s">
        <v>43409</v>
      </c>
      <c r="B34498" s="4" t="s">
        <v>43412</v>
      </c>
      <c r="C34498" s="5" t="str">
        <f>IFERROR(__xludf.DUMMYFUNCTION("GOOGLETRANSLATE(B34498,""en"",""zh-CN"")"),"他吹了泡泡，她把他从水中移开。")</f>
        <v>他吹了泡泡，她把他从水中移开。</v>
      </c>
    </row>
    <row r="34499">
      <c r="A34499" s="4" t="s">
        <v>43413</v>
      </c>
      <c r="B34499" s="4" t="s">
        <v>43414</v>
      </c>
      <c r="C34499" s="5" t="str">
        <f>IFERROR(__xludf.DUMMYFUNCTION("GOOGLETRANSLATE(B34499,""en"",""zh-CN"")"),"一个女人坐在相机前。")</f>
        <v>一个女人坐在相机前。</v>
      </c>
    </row>
    <row r="34500">
      <c r="A34500" s="4" t="s">
        <v>43413</v>
      </c>
      <c r="B34500" s="4" t="s">
        <v>43415</v>
      </c>
      <c r="C34500" s="5" t="str">
        <f>IFERROR(__xludf.DUMMYFUNCTION("GOOGLETRANSLATE(B34500,""en"",""zh-CN"")"),"她开始梳理部分湿的头发。")</f>
        <v>她开始梳理部分湿的头发。</v>
      </c>
    </row>
    <row r="34501">
      <c r="A34501" s="4" t="s">
        <v>43413</v>
      </c>
      <c r="B34501" s="4" t="s">
        <v>43416</v>
      </c>
      <c r="C34501" s="5" t="str">
        <f>IFERROR(__xludf.DUMMYFUNCTION("GOOGLETRANSLATE(B34501,""en"",""zh-CN"")"),"她继续刷牙，然后停下来凝视着相机。")</f>
        <v>她继续刷牙，然后停下来凝视着相机。</v>
      </c>
    </row>
    <row r="34502">
      <c r="A34502" s="4" t="s">
        <v>43417</v>
      </c>
      <c r="B34502" s="4" t="s">
        <v>43418</v>
      </c>
      <c r="C34502" s="5" t="str">
        <f>IFERROR(__xludf.DUMMYFUNCTION("GOOGLETRANSLATE(B34502,""en"",""zh-CN"")"),"看到一个人站在篱笆一侧的网球场上。")</f>
        <v>看到一个人站在篱笆一侧的网球场上。</v>
      </c>
    </row>
    <row r="34503">
      <c r="A34503" s="4" t="s">
        <v>43417</v>
      </c>
      <c r="B34503" s="4" t="s">
        <v>43419</v>
      </c>
      <c r="C34503" s="5" t="str">
        <f>IFERROR(__xludf.DUMMYFUNCTION("GOOGLETRANSLATE(B34503,""en"",""zh-CN"")"),"看到另一个人站在另一侧，然后互相击球。")</f>
        <v>看到另一个人站在另一侧，然后互相击球。</v>
      </c>
    </row>
    <row r="34504">
      <c r="A34504" s="4" t="s">
        <v>43417</v>
      </c>
      <c r="B34504" s="4" t="s">
        <v>43420</v>
      </c>
      <c r="C34504" s="5" t="str">
        <f>IFERROR(__xludf.DUMMYFUNCTION("GOOGLETRANSLATE(B34504,""en"",""zh-CN"")"),"该人错过了小鸟，走向它。")</f>
        <v>该人错过了小鸟，走向它。</v>
      </c>
    </row>
    <row r="34505">
      <c r="A34505" s="4" t="s">
        <v>43421</v>
      </c>
      <c r="B34505" s="4" t="s">
        <v>43422</v>
      </c>
      <c r="C34505" s="5" t="str">
        <f>IFERROR(__xludf.DUMMYFUNCTION("GOOGLETRANSLATE(B34505,""en"",""zh-CN"")"),"一个男人戴着绿色衬衫站在码头上。")</f>
        <v>一个男人戴着绿色衬衫站在码头上。</v>
      </c>
    </row>
    <row r="34506">
      <c r="A34506" s="4" t="s">
        <v>43421</v>
      </c>
      <c r="B34506" s="4" t="s">
        <v>43423</v>
      </c>
      <c r="C34506" s="5" t="str">
        <f>IFERROR(__xludf.DUMMYFUNCTION("GOOGLETRANSLATE(B34506,""en"",""zh-CN"")"),"然后，他乘船乘船。")</f>
        <v>然后，他乘船乘船。</v>
      </c>
    </row>
    <row r="34507">
      <c r="A34507" s="4" t="s">
        <v>43421</v>
      </c>
      <c r="B34507" s="4" t="s">
        <v>43424</v>
      </c>
      <c r="C34507" s="5" t="str">
        <f>IFERROR(__xludf.DUMMYFUNCTION("GOOGLETRANSLATE(B34507,""en"",""zh-CN"")"),"他将其引导在湖中。")</f>
        <v>他将其引导在湖中。</v>
      </c>
    </row>
    <row r="34508">
      <c r="A34508" s="4" t="s">
        <v>43421</v>
      </c>
      <c r="B34508" s="4" t="s">
        <v>43425</v>
      </c>
      <c r="C34508" s="5" t="str">
        <f>IFERROR(__xludf.DUMMYFUNCTION("GOOGLETRANSLATE(B34508,""en"",""zh-CN"")"),"最后，他再次站在码头上。")</f>
        <v>最后，他再次站在码头上。</v>
      </c>
    </row>
    <row r="34509">
      <c r="A34509" s="4" t="s">
        <v>43426</v>
      </c>
      <c r="B34509" s="4" t="s">
        <v>43427</v>
      </c>
      <c r="C34509" s="5" t="str">
        <f>IFERROR(__xludf.DUMMYFUNCTION("GOOGLETRANSLATE(B34509,""en"",""zh-CN"")"),"一对夫妇站在一个白雪皑皑的山坡上。")</f>
        <v>一对夫妇站在一个白雪皑皑的山坡上。</v>
      </c>
    </row>
    <row r="34510">
      <c r="A34510" s="4" t="s">
        <v>43426</v>
      </c>
      <c r="B34510" s="4" t="s">
        <v>43428</v>
      </c>
      <c r="C34510" s="5" t="str">
        <f>IFERROR(__xludf.DUMMYFUNCTION("GOOGLETRANSLATE(B34510,""en"",""zh-CN"")"),"一个男人走到一个小危险中。")</f>
        <v>一个男人走到一个小危险中。</v>
      </c>
    </row>
    <row r="34511">
      <c r="A34511" s="4" t="s">
        <v>43426</v>
      </c>
      <c r="B34511" s="4" t="s">
        <v>43429</v>
      </c>
      <c r="C34511" s="5" t="str">
        <f>IFERROR(__xludf.DUMMYFUNCTION("GOOGLETRANSLATE(B34511,""en"",""zh-CN"")"),"他卸下旗帜，然后从地面上拉出一条线。")</f>
        <v>他卸下旗帜，然后从地面上拉出一条线。</v>
      </c>
    </row>
    <row r="34512">
      <c r="A34512" s="4" t="s">
        <v>43426</v>
      </c>
      <c r="B34512" s="4" t="s">
        <v>43430</v>
      </c>
      <c r="C34512" s="5" t="str">
        <f>IFERROR(__xludf.DUMMYFUNCTION("GOOGLETRANSLATE(B34512,""en"",""zh-CN"")"),"他拉了一条他捕获的巨型鱼。")</f>
        <v>他拉了一条他捕获的巨型鱼。</v>
      </c>
    </row>
    <row r="34513">
      <c r="A34513" s="4" t="s">
        <v>43431</v>
      </c>
      <c r="B34513" s="4" t="s">
        <v>43432</v>
      </c>
      <c r="C34513" s="5" t="str">
        <f>IFERROR(__xludf.DUMMYFUNCTION("GOOGLETRANSLATE(B34513,""en"",""zh-CN"")"),"我们看到人们和狗在沙滩上打排球。")</f>
        <v>我们看到人们和狗在沙滩上打排球。</v>
      </c>
    </row>
    <row r="34514">
      <c r="A34514" s="4" t="s">
        <v>43431</v>
      </c>
      <c r="B34514" s="4" t="s">
        <v>43433</v>
      </c>
      <c r="C34514" s="5" t="str">
        <f>IFERROR(__xludf.DUMMYFUNCTION("GOOGLETRANSLATE(B34514,""en"",""zh-CN"")"),"我们看到一个男人躺在沙滩上。")</f>
        <v>我们看到一个男人躺在沙滩上。</v>
      </c>
    </row>
    <row r="34515">
      <c r="A34515" s="4" t="s">
        <v>43431</v>
      </c>
      <c r="B34515" s="4" t="s">
        <v>43434</v>
      </c>
      <c r="C34515" s="5" t="str">
        <f>IFERROR(__xludf.DUMMYFUNCTION("GOOGLETRANSLATE(B34515,""en"",""zh-CN"")"),"狗奔向球。")</f>
        <v>狗奔向球。</v>
      </c>
    </row>
    <row r="34516">
      <c r="A34516" s="4" t="s">
        <v>43431</v>
      </c>
      <c r="B34516" s="4" t="s">
        <v>43435</v>
      </c>
      <c r="C34516" s="5" t="str">
        <f>IFERROR(__xludf.DUMMYFUNCTION("GOOGLETRANSLATE(B34516,""en"",""zh-CN"")"),"一个人将球扔回去，狗返回。")</f>
        <v>一个人将球扔回去，狗返回。</v>
      </c>
    </row>
    <row r="34517">
      <c r="A34517" s="4" t="s">
        <v>43431</v>
      </c>
      <c r="B34517" s="4" t="s">
        <v>43436</v>
      </c>
      <c r="C34517" s="5" t="str">
        <f>IFERROR(__xludf.DUMMYFUNCTION("GOOGLETRANSLATE(B34517,""en"",""zh-CN"")"),"狗试图接球。")</f>
        <v>狗试图接球。</v>
      </c>
    </row>
    <row r="34518">
      <c r="A34518" s="4" t="s">
        <v>43431</v>
      </c>
      <c r="B34518" s="4" t="s">
        <v>43437</v>
      </c>
      <c r="C34518" s="5" t="str">
        <f>IFERROR(__xludf.DUMMYFUNCTION("GOOGLETRANSLATE(B34518,""en"",""zh-CN"")"),"一个男人踢沙子，然后sho狗。")</f>
        <v>一个男人踢沙子，然后sho狗。</v>
      </c>
    </row>
    <row r="34519">
      <c r="A34519" s="4" t="s">
        <v>43438</v>
      </c>
      <c r="B34519" s="4" t="s">
        <v>43439</v>
      </c>
      <c r="C34519" s="5" t="str">
        <f>IFERROR(__xludf.DUMMYFUNCTION("GOOGLETRANSLATE(B34519,""en"",""zh-CN"")"),"一个男人在街上划伤鞋，而另一个人则坐着看。")</f>
        <v>一个男人在街上划伤鞋，而另一个人则坐着看。</v>
      </c>
    </row>
    <row r="34520">
      <c r="A34520" s="4" t="s">
        <v>43438</v>
      </c>
      <c r="B34520" s="4" t="s">
        <v>43440</v>
      </c>
      <c r="C34520" s="5" t="str">
        <f>IFERROR(__xludf.DUMMYFUNCTION("GOOGLETRANSLATE(B34520,""en"",""zh-CN"")"),"她与男人说话，然后移动双手跟随他的运动。")</f>
        <v>她与男人说话，然后移动双手跟随他的运动。</v>
      </c>
    </row>
    <row r="34521">
      <c r="A34521" s="4" t="s">
        <v>43441</v>
      </c>
      <c r="B34521" s="4" t="s">
        <v>23870</v>
      </c>
      <c r="C34521" s="5" t="str">
        <f>IFERROR(__xludf.DUMMYFUNCTION("GOOGLETRANSLATE(B34521,""en"",""zh-CN"")"),"一个男人站在一个房间里说话。")</f>
        <v>一个男人站在一个房间里说话。</v>
      </c>
    </row>
    <row r="34522">
      <c r="A34522" s="4" t="s">
        <v>43441</v>
      </c>
      <c r="B34522" s="4" t="s">
        <v>43442</v>
      </c>
      <c r="C34522" s="5" t="str">
        <f>IFERROR(__xludf.DUMMYFUNCTION("GOOGLETRANSLATE(B34522,""en"",""zh-CN"")"),"他正在展示沙芬板。")</f>
        <v>他正在展示沙芬板。</v>
      </c>
    </row>
    <row r="34523">
      <c r="A34523" s="4" t="s">
        <v>43441</v>
      </c>
      <c r="B34523" s="4" t="s">
        <v>43443</v>
      </c>
      <c r="C34523" s="5" t="str">
        <f>IFERROR(__xludf.DUMMYFUNCTION("GOOGLETRANSLATE(B34523,""en"",""zh-CN"")"),"他走到沙芬板的尽头，另一个男人在另一侧。")</f>
        <v>他走到沙芬板的尽头，另一个男人在另一侧。</v>
      </c>
    </row>
    <row r="34524">
      <c r="A34524" s="4" t="s">
        <v>43441</v>
      </c>
      <c r="B34524" s="4" t="s">
        <v>43444</v>
      </c>
      <c r="C34524" s="5" t="str">
        <f>IFERROR(__xludf.DUMMYFUNCTION("GOOGLETRANSLATE(B34524,""en"",""zh-CN"")"),"他开始扔下董事会。")</f>
        <v>他开始扔下董事会。</v>
      </c>
    </row>
    <row r="34525">
      <c r="A34525" s="4" t="s">
        <v>43445</v>
      </c>
      <c r="B34525" s="4" t="s">
        <v>43446</v>
      </c>
      <c r="C34525" s="5" t="str">
        <f>IFERROR(__xludf.DUMMYFUNCTION("GOOGLETRANSLATE(B34525,""en"",""zh-CN"")"),"我们看到了一些开放屏幕。")</f>
        <v>我们看到了一些开放屏幕。</v>
      </c>
    </row>
    <row r="34526">
      <c r="A34526" s="4" t="s">
        <v>43445</v>
      </c>
      <c r="B34526" s="4" t="s">
        <v>43447</v>
      </c>
      <c r="C34526" s="5" t="str">
        <f>IFERROR(__xludf.DUMMYFUNCTION("GOOGLETRANSLATE(B34526,""en"",""zh-CN"")"),"我们看到一位女士在竞技场上表演了警棍的例行程序。")</f>
        <v>我们看到一位女士在竞技场上表演了警棍的例行程序。</v>
      </c>
    </row>
    <row r="34527">
      <c r="A34527" s="4" t="s">
        <v>43445</v>
      </c>
      <c r="B34527" s="4" t="s">
        <v>43448</v>
      </c>
      <c r="C34527" s="5" t="str">
        <f>IFERROR(__xludf.DUMMYFUNCTION("GOOGLETRANSLATE(B34527,""en"",""zh-CN"")"),"女士旋转并抓住了她的指挥棒。")</f>
        <v>女士旋转并抓住了她的指挥棒。</v>
      </c>
    </row>
    <row r="34528">
      <c r="A34528" s="4" t="s">
        <v>43445</v>
      </c>
      <c r="B34528" s="4" t="s">
        <v>43449</v>
      </c>
      <c r="C34528" s="5" t="str">
        <f>IFERROR(__xludf.DUMMYFUNCTION("GOOGLETRANSLATE(B34528,""en"",""zh-CN"")"),"这位女士向前和向后翻转，抓住了她的指挥棒。")</f>
        <v>这位女士向前和向后翻转，抓住了她的指挥棒。</v>
      </c>
    </row>
    <row r="34529">
      <c r="A34529" s="4" t="s">
        <v>43445</v>
      </c>
      <c r="B34529" s="4" t="s">
        <v>43450</v>
      </c>
      <c r="C34529" s="5" t="str">
        <f>IFERROR(__xludf.DUMMYFUNCTION("GOOGLETRANSLATE(B34529,""en"",""zh-CN"")"),"女士旋转并再次抓住了她的指挥棒。")</f>
        <v>女士旋转并再次抓住了她的指挥棒。</v>
      </c>
    </row>
    <row r="34530">
      <c r="A34530" s="4" t="s">
        <v>43445</v>
      </c>
      <c r="B34530" s="4" t="s">
        <v>43451</v>
      </c>
      <c r="C34530" s="5" t="str">
        <f>IFERROR(__xludf.DUMMYFUNCTION("GOOGLETRANSLATE(B34530,""en"",""zh-CN"")"),"这位女士多次翻转，抓住了她的警棍，然后摆姿势。")</f>
        <v>这位女士多次翻转，抓住了她的警棍，然后摆姿势。</v>
      </c>
    </row>
    <row r="34531">
      <c r="A34531" s="4" t="s">
        <v>43445</v>
      </c>
      <c r="B34531" s="4" t="s">
        <v>43452</v>
      </c>
      <c r="C34531" s="5" t="str">
        <f>IFERROR(__xludf.DUMMYFUNCTION("GOOGLETRANSLATE(B34531,""en"",""zh-CN"")"),"人群鼓掌，女士挥手。")</f>
        <v>人群鼓掌，女士挥手。</v>
      </c>
    </row>
    <row r="34532">
      <c r="A34532" s="4" t="s">
        <v>43453</v>
      </c>
      <c r="B34532" s="4" t="s">
        <v>43454</v>
      </c>
      <c r="C34532" s="5" t="str">
        <f>IFERROR(__xludf.DUMMYFUNCTION("GOOGLETRANSLATE(B34532,""en"",""zh-CN"")"),"该视频始于标题屏幕和一个展示各种艺术品的介绍。")</f>
        <v>该视频始于标题屏幕和一个展示各种艺术品的介绍。</v>
      </c>
    </row>
    <row r="34533">
      <c r="A34533" s="4" t="s">
        <v>43453</v>
      </c>
      <c r="B34533" s="4" t="s">
        <v>43455</v>
      </c>
      <c r="C34533" s="5" t="str">
        <f>IFERROR(__xludf.DUMMYFUNCTION("GOOGLETRANSLATE(B34533,""en"",""zh-CN"")"),"主题是关于中国瀑布和岩石的绘画。")</f>
        <v>主题是关于中国瀑布和岩石的绘画。</v>
      </c>
    </row>
    <row r="34534">
      <c r="A34534" s="4" t="s">
        <v>43453</v>
      </c>
      <c r="B34534" s="4" t="s">
        <v>43456</v>
      </c>
      <c r="C34534" s="5" t="str">
        <f>IFERROR(__xludf.DUMMYFUNCTION("GOOGLETRANSLATE(B34534,""en"",""zh-CN"")"),"一个年长的中国男子在相机上说话。")</f>
        <v>一个年长的中国男子在相机上说话。</v>
      </c>
    </row>
    <row r="34535">
      <c r="A34535" s="4" t="s">
        <v>43453</v>
      </c>
      <c r="B34535" s="4" t="s">
        <v>43457</v>
      </c>
      <c r="C34535" s="5" t="str">
        <f>IFERROR(__xludf.DUMMYFUNCTION("GOOGLETRANSLATE(B34535,""en"",""zh-CN"")"),"然后，他开始绘画，因为摄像机向下晃动以查看他的工作方式。")</f>
        <v>然后，他开始绘画，因为摄像机向下晃动以查看他的工作方式。</v>
      </c>
    </row>
    <row r="34536">
      <c r="A34536" s="4" t="s">
        <v>43453</v>
      </c>
      <c r="B34536" s="4" t="s">
        <v>43458</v>
      </c>
      <c r="C34536" s="5" t="str">
        <f>IFERROR(__xludf.DUMMYFUNCTION("GOOGLETRANSLATE(B34536,""en"",""zh-CN"")"),"有一次，相机将重点放在他的脸上。")</f>
        <v>有一次，相机将重点放在他的脸上。</v>
      </c>
    </row>
    <row r="34537">
      <c r="A34537" s="4" t="s">
        <v>43453</v>
      </c>
      <c r="B34537" s="4" t="s">
        <v>43459</v>
      </c>
      <c r="C34537" s="5" t="str">
        <f>IFERROR(__xludf.DUMMYFUNCTION("GOOGLETRANSLATE(B34537,""en"",""zh-CN"")"),"视频以另一个标题屏幕结束。")</f>
        <v>视频以另一个标题屏幕结束。</v>
      </c>
    </row>
    <row r="34538">
      <c r="A34538" s="4" t="s">
        <v>43460</v>
      </c>
      <c r="B34538" s="4" t="s">
        <v>43461</v>
      </c>
      <c r="C34538" s="5" t="str">
        <f>IFERROR(__xludf.DUMMYFUNCTION("GOOGLETRANSLATE(B34538,""en"",""zh-CN"")"),"风筝在海滩上飞行。")</f>
        <v>风筝在海滩上飞行。</v>
      </c>
    </row>
    <row r="34539">
      <c r="A34539" s="4" t="s">
        <v>43460</v>
      </c>
      <c r="B34539" s="4" t="s">
        <v>43462</v>
      </c>
      <c r="C34539" s="5" t="str">
        <f>IFERROR(__xludf.DUMMYFUNCTION("GOOGLETRANSLATE(B34539,""en"",""zh-CN"")"),"几个人坐在海滩上。")</f>
        <v>几个人坐在海滩上。</v>
      </c>
    </row>
    <row r="34540">
      <c r="A34540" s="4" t="s">
        <v>43460</v>
      </c>
      <c r="B34540" s="4" t="s">
        <v>43463</v>
      </c>
      <c r="C34540" s="5" t="str">
        <f>IFERROR(__xludf.DUMMYFUNCTION("GOOGLETRANSLATE(B34540,""en"",""zh-CN"")"),"风筝在天空中飙升。")</f>
        <v>风筝在天空中飙升。</v>
      </c>
    </row>
    <row r="34541">
      <c r="A34541" s="4" t="s">
        <v>43460</v>
      </c>
      <c r="B34541" s="4" t="s">
        <v>43464</v>
      </c>
      <c r="C34541" s="5" t="str">
        <f>IFERROR(__xludf.DUMMYFUNCTION("GOOGLETRANSLATE(B34541,""en"",""zh-CN"")"),"几个人在水中。")</f>
        <v>几个人在水中。</v>
      </c>
    </row>
    <row r="34542">
      <c r="A34542" s="4" t="s">
        <v>43465</v>
      </c>
      <c r="B34542" s="4" t="s">
        <v>43466</v>
      </c>
      <c r="C34542" s="5" t="str">
        <f>IFERROR(__xludf.DUMMYFUNCTION("GOOGLETRANSLATE(B34542,""en"",""zh-CN"")"),"一名老人扮演夏威夷四弦琴，一个男孩在街上扮演塔姆 - 塔姆斯。")</f>
        <v>一名老人扮演夏威夷四弦琴，一个男孩在街上扮演塔姆 - 塔姆斯。</v>
      </c>
    </row>
    <row r="34543">
      <c r="A34543" s="4" t="s">
        <v>43465</v>
      </c>
      <c r="B34543" s="4" t="s">
        <v>43467</v>
      </c>
      <c r="C34543" s="5" t="str">
        <f>IFERROR(__xludf.DUMMYFUNCTION("GOOGLETRANSLATE(B34543,""en"",""zh-CN"")"),"一个人在球员的前面传递。")</f>
        <v>一个人在球员的前面传递。</v>
      </c>
    </row>
    <row r="34544">
      <c r="A34544" s="4" t="s">
        <v>43468</v>
      </c>
      <c r="B34544" s="6" t="s">
        <v>43469</v>
      </c>
      <c r="C34544" s="5" t="str">
        <f>IFERROR(__xludf.DUMMYFUNCTION("GOOGLETRANSLATE(B34544,""en"",""zh-CN"")"),"一组指示显示了向后过渡，在一个楼梯上铺设地毯的人之间的转换和第四个指令。")</f>
        <v>一组指示显示了向后过渡，在一个楼梯上铺设地毯的人之间的转换和第四个指令。</v>
      </c>
    </row>
    <row r="34545">
      <c r="A34545" s="4" t="s">
        <v>43468</v>
      </c>
      <c r="B34545" s="4" t="s">
        <v>43470</v>
      </c>
      <c r="C34545" s="5" t="str">
        <f>IFERROR(__xludf.DUMMYFUNCTION("GOOGLETRANSLATE(B34545,""en"",""zh-CN"")"),"文字继续显示，当该男子将纸张全部放下楼梯上时。")</f>
        <v>文字继续显示，当该男子将纸张全部放下楼梯上时。</v>
      </c>
    </row>
    <row r="34546">
      <c r="A34546" s="4" t="s">
        <v>43471</v>
      </c>
      <c r="B34546" s="4" t="s">
        <v>43472</v>
      </c>
      <c r="C34546" s="5" t="str">
        <f>IFERROR(__xludf.DUMMYFUNCTION("GOOGLETRANSLATE(B34546,""en"",""zh-CN"")"),"看到一个女人沿着田野行走，将跳绳扔向另一个。")</f>
        <v>看到一个女人沿着田野行走，将跳绳扔向另一个。</v>
      </c>
    </row>
    <row r="34547">
      <c r="A34547" s="4" t="s">
        <v>43471</v>
      </c>
      <c r="B34547" s="4" t="s">
        <v>43473</v>
      </c>
      <c r="C34547" s="5" t="str">
        <f>IFERROR(__xludf.DUMMYFUNCTION("GOOGLETRANSLATE(B34547,""en"",""zh-CN"")"),"接着几个剪辑，人们在各个位置和彼此之间跳绳。")</f>
        <v>接着几个剪辑，人们在各个位置和彼此之间跳绳。</v>
      </c>
    </row>
    <row r="34548">
      <c r="A34548" s="4" t="s">
        <v>43471</v>
      </c>
      <c r="B34548" s="6" t="s">
        <v>43474</v>
      </c>
      <c r="C34548" s="5" t="str">
        <f>IFERROR(__xludf.DUMMYFUNCTION("GOOGLETRANSLATE(B34548,""en"",""zh-CN"")"),"该小组继续在公共场所跳舞和跳舞，并以一个握住绳索的婴儿结束。")</f>
        <v>该小组继续在公共场所跳舞和跳舞，并以一个握住绳索的婴儿结束。</v>
      </c>
    </row>
    <row r="34549">
      <c r="A34549" s="4" t="s">
        <v>43475</v>
      </c>
      <c r="B34549" s="4" t="s">
        <v>43476</v>
      </c>
      <c r="C34549" s="5" t="str">
        <f>IFERROR(__xludf.DUMMYFUNCTION("GOOGLETRANSLATE(B34549,""en"",""zh-CN"")"),"我们在一条城市街上看到两个男人和标题负担。")</f>
        <v>我们在一条城市街上看到两个男人和标题负担。</v>
      </c>
    </row>
    <row r="34550">
      <c r="A34550" s="4" t="s">
        <v>43475</v>
      </c>
      <c r="B34550" s="4" t="s">
        <v>43477</v>
      </c>
      <c r="C34550" s="5" t="str">
        <f>IFERROR(__xludf.DUMMYFUNCTION("GOOGLETRANSLATE(B34550,""en"",""zh-CN"")"),"一个男人脱下引擎盖，与镜头交谈。")</f>
        <v>一个男人脱下引擎盖，与镜头交谈。</v>
      </c>
    </row>
    <row r="34551">
      <c r="A34551" s="4" t="s">
        <v>43475</v>
      </c>
      <c r="B34551" s="4" t="s">
        <v>43478</v>
      </c>
      <c r="C34551" s="5" t="str">
        <f>IFERROR(__xludf.DUMMYFUNCTION("GOOGLETRANSLATE(B34551,""en"",""zh-CN"")"),"我们看到滚筒中的男人掉落，然后滑下栏杆。")</f>
        <v>我们看到滚筒中的男人掉落，然后滑下栏杆。</v>
      </c>
    </row>
    <row r="34552">
      <c r="A34552" s="4" t="s">
        <v>43475</v>
      </c>
      <c r="B34552" s="4" t="s">
        <v>43479</v>
      </c>
      <c r="C34552" s="5" t="str">
        <f>IFERROR(__xludf.DUMMYFUNCTION("GOOGLETRANSLATE(B34552,""en"",""zh-CN"")"),"一个人在相机上闪烁灯光。")</f>
        <v>一个人在相机上闪烁灯光。</v>
      </c>
    </row>
    <row r="34553">
      <c r="A34553" s="4" t="s">
        <v>43475</v>
      </c>
      <c r="B34553" s="4" t="s">
        <v>43480</v>
      </c>
      <c r="C34553" s="5" t="str">
        <f>IFERROR(__xludf.DUMMYFUNCTION("GOOGLETRANSLATE(B34553,""en"",""zh-CN"")"),"一个人落在栏杆上。")</f>
        <v>一个人落在栏杆上。</v>
      </c>
    </row>
    <row r="34554">
      <c r="A34554" s="4" t="s">
        <v>43475</v>
      </c>
      <c r="B34554" s="4" t="s">
        <v>43481</v>
      </c>
      <c r="C34554" s="5" t="str">
        <f>IFERROR(__xludf.DUMMYFUNCTION("GOOGLETRANSLATE(B34554,""en"",""zh-CN"")"),"一个人跌落在楼梯的底部，然后灯再次闪烁。")</f>
        <v>一个人跌落在楼梯的底部，然后灯再次闪烁。</v>
      </c>
    </row>
    <row r="34555">
      <c r="A34555" s="4" t="s">
        <v>43475</v>
      </c>
      <c r="B34555" s="4" t="s">
        <v>43482</v>
      </c>
      <c r="C34555" s="5" t="str">
        <f>IFERROR(__xludf.DUMMYFUNCTION("GOOGLETRANSLATE(B34555,""en"",""zh-CN"")"),"我们看到一个男人跌倒了三遍。")</f>
        <v>我们看到一个男人跌倒了三遍。</v>
      </c>
    </row>
    <row r="34556">
      <c r="A34556" s="4" t="s">
        <v>43475</v>
      </c>
      <c r="B34556" s="4" t="s">
        <v>43483</v>
      </c>
      <c r="C34556" s="5" t="str">
        <f>IFERROR(__xludf.DUMMYFUNCTION("GOOGLETRANSLATE(B34556,""en"",""zh-CN"")"),"我们看到男人在看到终屏幕之前说话并握手。")</f>
        <v>我们看到男人在看到终屏幕之前说话并握手。</v>
      </c>
    </row>
    <row r="34557">
      <c r="A34557" s="4" t="s">
        <v>43484</v>
      </c>
      <c r="B34557" s="4" t="s">
        <v>43485</v>
      </c>
      <c r="C34557" s="5" t="str">
        <f>IFERROR(__xludf.DUMMYFUNCTION("GOOGLETRANSLATE(B34557,""en"",""zh-CN"")"),"一个男人用网球球拍击球。")</f>
        <v>一个男人用网球球拍击球。</v>
      </c>
    </row>
    <row r="34558">
      <c r="A34558" s="4" t="s">
        <v>43484</v>
      </c>
      <c r="B34558" s="4" t="s">
        <v>43486</v>
      </c>
      <c r="C34558" s="5" t="str">
        <f>IFERROR(__xludf.DUMMYFUNCTION("GOOGLETRANSLATE(B34558,""en"",""zh-CN"")"),"不久之后，另一个男人加入了他。")</f>
        <v>不久之后，另一个男人加入了他。</v>
      </c>
    </row>
    <row r="34559">
      <c r="A34559" s="4" t="s">
        <v>43484</v>
      </c>
      <c r="B34559" s="6" t="s">
        <v>43487</v>
      </c>
      <c r="C34559" s="5" t="str">
        <f>IFERROR(__xludf.DUMMYFUNCTION("GOOGLETRANSLATE(B34559,""en"",""zh-CN"")"),"在观众面前的四场比赛中，显示了几个不同的角度，迅速来回击球。")</f>
        <v>在观众面前的四场比赛中，显示了几个不同的角度，迅速来回击球。</v>
      </c>
    </row>
    <row r="34560">
      <c r="A34560" s="4" t="s">
        <v>43484</v>
      </c>
      <c r="B34560" s="4" t="s">
        <v>43488</v>
      </c>
      <c r="C34560" s="5" t="str">
        <f>IFERROR(__xludf.DUMMYFUNCTION("GOOGLETRANSLATE(B34560,""en"",""zh-CN"")"),"完成后，男人走开，互相拍打在后面。")</f>
        <v>完成后，男人走开，互相拍打在后面。</v>
      </c>
    </row>
    <row r="34561">
      <c r="A34561" s="4" t="s">
        <v>43489</v>
      </c>
      <c r="B34561" s="4" t="s">
        <v>43490</v>
      </c>
      <c r="C34561" s="5" t="str">
        <f>IFERROR(__xludf.DUMMYFUNCTION("GOOGLETRANSLATE(B34561,""en"",""zh-CN"")"),"一群女性在健身室内的一组有氧运动中跳舞。")</f>
        <v>一群女性在健身室内的一组有氧运动中跳舞。</v>
      </c>
    </row>
    <row r="34562">
      <c r="A34562" s="4" t="s">
        <v>43489</v>
      </c>
      <c r="B34562" s="4" t="s">
        <v>43491</v>
      </c>
      <c r="C34562" s="5" t="str">
        <f>IFERROR(__xludf.DUMMYFUNCTION("GOOGLETRANSLATE(B34562,""en"",""zh-CN"")"),"女人在交替的脚上跳来跳去。")</f>
        <v>女人在交替的脚上跳来跳去。</v>
      </c>
    </row>
    <row r="34563">
      <c r="A34563" s="4" t="s">
        <v>43489</v>
      </c>
      <c r="B34563" s="4" t="s">
        <v>43492</v>
      </c>
      <c r="C34563" s="5" t="str">
        <f>IFERROR(__xludf.DUMMYFUNCTION("GOOGLETRANSLATE(B34563,""en"",""zh-CN"")"),"女人走几步，然后在例行过程中以另一种方式走路。")</f>
        <v>女人走几步，然后在例行过程中以另一种方式走路。</v>
      </c>
    </row>
    <row r="34564">
      <c r="A34564" s="4" t="s">
        <v>43493</v>
      </c>
      <c r="B34564" s="4" t="s">
        <v>43494</v>
      </c>
      <c r="C34564" s="5" t="str">
        <f>IFERROR(__xludf.DUMMYFUNCTION("GOOGLETRANSLATE(B34564,""en"",""zh-CN"")"),"一个男人站在酒吧里与镜头说话。")</f>
        <v>一个男人站在酒吧里与镜头说话。</v>
      </c>
    </row>
    <row r="34565">
      <c r="A34565" s="4" t="s">
        <v>43493</v>
      </c>
      <c r="B34565" s="4" t="s">
        <v>43495</v>
      </c>
      <c r="C34565" s="5" t="str">
        <f>IFERROR(__xludf.DUMMYFUNCTION("GOOGLETRANSLATE(B34565,""en"",""zh-CN"")"),"该男子拿起一杯饮料，放下它。")</f>
        <v>该男子拿起一杯饮料，放下它。</v>
      </c>
    </row>
    <row r="34566">
      <c r="A34566" s="4" t="s">
        <v>43493</v>
      </c>
      <c r="B34566" s="4" t="s">
        <v>43496</v>
      </c>
      <c r="C34566" s="5" t="str">
        <f>IFERROR(__xludf.DUMMYFUNCTION("GOOGLETRANSLATE(B34566,""en"",""zh-CN"")"),"该名男子将冰添加到玻璃杯中，然后再加两次红酒。")</f>
        <v>该名男子将冰添加到玻璃杯中，然后再加两次红酒。</v>
      </c>
    </row>
    <row r="34567">
      <c r="A34567" s="4" t="s">
        <v>43493</v>
      </c>
      <c r="B34567" s="4" t="s">
        <v>43497</v>
      </c>
      <c r="C34567" s="5" t="str">
        <f>IFERROR(__xludf.DUMMYFUNCTION("GOOGLETRANSLATE(B34567,""en"",""zh-CN"")"),"该男子将滤网放在玻璃上，并用一根长的金属棒搅拌玻璃。")</f>
        <v>该男子将滤网放在玻璃上，并用一根长的金属棒搅拌玻璃。</v>
      </c>
    </row>
    <row r="34568">
      <c r="A34568" s="4" t="s">
        <v>43493</v>
      </c>
      <c r="B34568" s="4" t="s">
        <v>43498</v>
      </c>
      <c r="C34568" s="5" t="str">
        <f>IFERROR(__xludf.DUMMYFUNCTION("GOOGLETRANSLATE(B34568,""en"",""zh-CN"")"),"该男子将其倒入马提尼酒杯中。")</f>
        <v>该男子将其倒入马提尼酒杯中。</v>
      </c>
    </row>
    <row r="34569">
      <c r="A34569" s="4" t="s">
        <v>43493</v>
      </c>
      <c r="B34569" s="4" t="s">
        <v>43499</v>
      </c>
      <c r="C34569" s="5" t="str">
        <f>IFERROR(__xludf.DUMMYFUNCTION("GOOGLETRANSLATE(B34569,""en"",""zh-CN"")"),"该男子微笑着，将饮料握在空中。")</f>
        <v>该男子微笑着，将饮料握在空中。</v>
      </c>
    </row>
    <row r="34570">
      <c r="A34570" s="4" t="s">
        <v>43500</v>
      </c>
      <c r="B34570" s="4" t="s">
        <v>43501</v>
      </c>
      <c r="C34570" s="5" t="str">
        <f>IFERROR(__xludf.DUMMYFUNCTION("GOOGLETRANSLATE(B34570,""en"",""zh-CN"")"),"一个女孩在极端的近距离视频中展示了将隐形眼镜应用于她的眼睛。")</f>
        <v>一个女孩在极端的近距离视频中展示了将隐形眼镜应用于她的眼睛。</v>
      </c>
    </row>
    <row r="34571">
      <c r="A34571" s="4" t="s">
        <v>43500</v>
      </c>
      <c r="B34571" s="4" t="s">
        <v>43502</v>
      </c>
      <c r="C34571" s="5" t="str">
        <f>IFERROR(__xludf.DUMMYFUNCTION("GOOGLETRANSLATE(B34571,""en"",""zh-CN"")"),"粉红色的幻灯片似乎建议一个人不擅长应用隐形眼镜。")</f>
        <v>粉红色的幻灯片似乎建议一个人不擅长应用隐形眼镜。</v>
      </c>
    </row>
    <row r="34572">
      <c r="A34572" s="4" t="s">
        <v>43500</v>
      </c>
      <c r="B34572" s="6" t="s">
        <v>43503</v>
      </c>
      <c r="C34572" s="5" t="str">
        <f>IFERROR(__xludf.DUMMYFUNCTION("GOOGLETRANSLATE(B34572,""en"",""zh-CN"")"),"一个金色的头发和长粉红色指甲的女孩继续在近距离视频中将隐形眼镜涂在她的眼睛上，该视频捕捉了前后的镜头和眼睛。")</f>
        <v>一个金色的头发和长粉红色指甲的女孩继续在近距离视频中将隐形眼镜涂在她的眼睛上，该视频捕捉了前后的镜头和眼睛。</v>
      </c>
    </row>
    <row r="34573">
      <c r="A34573" s="4" t="s">
        <v>43504</v>
      </c>
      <c r="B34573" s="4" t="s">
        <v>43505</v>
      </c>
      <c r="C34573" s="5" t="str">
        <f>IFERROR(__xludf.DUMMYFUNCTION("GOOGLETRANSLATE(B34573,""en"",""zh-CN"")"),"看到两个年轻女孩在镜头讲话并互相玩耍。")</f>
        <v>看到两个年轻女孩在镜头讲话并互相玩耍。</v>
      </c>
    </row>
    <row r="34574">
      <c r="A34574" s="4" t="s">
        <v>43504</v>
      </c>
      <c r="B34574" s="4" t="s">
        <v>43506</v>
      </c>
      <c r="C34574" s="5" t="str">
        <f>IFERROR(__xludf.DUMMYFUNCTION("GOOGLETRANSLATE(B34574,""en"",""zh-CN"")"),"然后，一个女孩拔出一瓶指甲油，另一个女孩向相机挥手。")</f>
        <v>然后，一个女孩拔出一瓶指甲油，另一个女孩向相机挥手。</v>
      </c>
    </row>
    <row r="34575">
      <c r="A34575" s="4" t="s">
        <v>43504</v>
      </c>
      <c r="B34575" s="6" t="s">
        <v>43507</v>
      </c>
      <c r="C34575" s="5" t="str">
        <f>IFERROR(__xludf.DUMMYFUNCTION("GOOGLETRANSLATE(B34575,""en"",""zh-CN"")"),"有更多的剪辑显示了一个女孩试图绘画另一个女孩的剪辑，并通过向相机挥手来结束。")</f>
        <v>有更多的剪辑显示了一个女孩试图绘画另一个女孩的剪辑，并通过向相机挥手来结束。</v>
      </c>
    </row>
    <row r="34576">
      <c r="A34576" s="4" t="s">
        <v>43508</v>
      </c>
      <c r="B34576" s="4" t="s">
        <v>43509</v>
      </c>
      <c r="C34576" s="5" t="str">
        <f>IFERROR(__xludf.DUMMYFUNCTION("GOOGLETRANSLATE(B34576,""en"",""zh-CN"")"),"显示了一个快速动作的视频，显示了院子周围各种耙树叶。")</f>
        <v>显示了一个快速动作的视频，显示了院子周围各种耙树叶。</v>
      </c>
    </row>
    <row r="34577">
      <c r="A34577" s="4" t="s">
        <v>43508</v>
      </c>
      <c r="B34577" s="4" t="s">
        <v>43510</v>
      </c>
      <c r="C34577" s="5" t="str">
        <f>IFERROR(__xludf.DUMMYFUNCTION("GOOGLETRANSLATE(B34577,""en"",""zh-CN"")"),"两个男孩互相看着彼此，继续泄露泄漏，直到院子里完成。")</f>
        <v>两个男孩互相看着彼此，继续泄露泄漏，直到院子里完成。</v>
      </c>
    </row>
    <row r="34578">
      <c r="A34578" s="4" t="s">
        <v>43511</v>
      </c>
      <c r="B34578" s="4" t="s">
        <v>43512</v>
      </c>
      <c r="C34578" s="5" t="str">
        <f>IFERROR(__xludf.DUMMYFUNCTION("GOOGLETRANSLATE(B34578,""en"",""zh-CN"")"),"一个男人转过身，准备扔铁饼。")</f>
        <v>一个男人转过身，准备扔铁饼。</v>
      </c>
    </row>
    <row r="34579">
      <c r="A34579" s="4" t="s">
        <v>43511</v>
      </c>
      <c r="B34579" s="4" t="s">
        <v>43513</v>
      </c>
      <c r="C34579" s="5" t="str">
        <f>IFERROR(__xludf.DUMMYFUNCTION("GOOGLETRANSLATE(B34579,""en"",""zh-CN"")"),"这个人真的很难扔铁饼。")</f>
        <v>这个人真的很难扔铁饼。</v>
      </c>
    </row>
    <row r="34580">
      <c r="A34580" s="4" t="s">
        <v>43511</v>
      </c>
      <c r="B34580" s="4" t="s">
        <v>43514</v>
      </c>
      <c r="C34580" s="5" t="str">
        <f>IFERROR(__xludf.DUMMYFUNCTION("GOOGLETRANSLATE(B34580,""en"",""zh-CN"")"),"那个男人在他的铁饼后面看着。")</f>
        <v>那个男人在他的铁饼后面看着。</v>
      </c>
    </row>
    <row r="34581">
      <c r="A34581" s="4" t="s">
        <v>43515</v>
      </c>
      <c r="B34581" s="6" t="s">
        <v>43516</v>
      </c>
      <c r="C34581" s="5" t="str">
        <f>IFERROR(__xludf.DUMMYFUNCTION("GOOGLETRANSLATE(B34581,""en"",""zh-CN"")"),"看到一个年轻人戴着护目镜，然后在相机上说话，然后他跳入游泳池。")</f>
        <v>看到一个年轻人戴着护目镜，然后在相机上说话，然后他跳入游泳池。</v>
      </c>
    </row>
    <row r="34582">
      <c r="A34582" s="4" t="s">
        <v>43515</v>
      </c>
      <c r="B34582" s="6" t="s">
        <v>43517</v>
      </c>
      <c r="C34582" s="5" t="str">
        <f>IFERROR(__xludf.DUMMYFUNCTION("GOOGLETRANSLATE(B34582,""en"",""zh-CN"")"),"这个男孩走了出来，再次看到跳入游泳池，游泳到侧面展示一个物体。")</f>
        <v>这个男孩走了出来，再次看到跳入游泳池，游泳到侧面展示一个物体。</v>
      </c>
    </row>
    <row r="34583">
      <c r="A34583" s="4" t="s">
        <v>43518</v>
      </c>
      <c r="B34583" s="4" t="s">
        <v>43519</v>
      </c>
      <c r="C34583" s="5" t="str">
        <f>IFERROR(__xludf.DUMMYFUNCTION("GOOGLETRANSLATE(B34583,""en"",""zh-CN"")"),"一个人将视频的篮球概念介绍给相机。")</f>
        <v>一个人将视频的篮球概念介绍给相机。</v>
      </c>
    </row>
    <row r="34584">
      <c r="A34584" s="4" t="s">
        <v>43518</v>
      </c>
      <c r="B34584" s="4" t="s">
        <v>43520</v>
      </c>
      <c r="C34584" s="5" t="str">
        <f>IFERROR(__xludf.DUMMYFUNCTION("GOOGLETRANSLATE(B34584,""en"",""zh-CN"")"),"球员从球场的一侧开始，跑起来，将篮球放入网中。")</f>
        <v>球员从球场的一侧开始，跑起来，将篮球放入网中。</v>
      </c>
    </row>
    <row r="34585">
      <c r="A34585" s="4" t="s">
        <v>43518</v>
      </c>
      <c r="B34585" s="4" t="s">
        <v>43521</v>
      </c>
      <c r="C34585" s="5" t="str">
        <f>IFERROR(__xludf.DUMMYFUNCTION("GOOGLETRANSLATE(B34585,""en"",""zh-CN"")"),"他从各个角度在球场上重复。")</f>
        <v>他从各个角度在球场上重复。</v>
      </c>
    </row>
    <row r="34586">
      <c r="A34586" s="4" t="s">
        <v>43518</v>
      </c>
      <c r="B34586" s="4" t="s">
        <v>43522</v>
      </c>
      <c r="C34586" s="5" t="str">
        <f>IFERROR(__xludf.DUMMYFUNCTION("GOOGLETRANSLATE(B34586,""en"",""zh-CN"")"),"当视频关闭时，该男子再次返回概念。")</f>
        <v>当视频关闭时，该男子再次返回概念。</v>
      </c>
    </row>
    <row r="34587">
      <c r="A34587" s="4" t="s">
        <v>43523</v>
      </c>
      <c r="B34587" s="4" t="s">
        <v>43524</v>
      </c>
      <c r="C34587" s="5" t="str">
        <f>IFERROR(__xludf.DUMMYFUNCTION("GOOGLETRANSLATE(B34587,""en"",""zh-CN"")"),"当男人拿出春天的跳线时，运动员在豆子中保持平衡。")</f>
        <v>当男人拿出春天的跳线时，运动员在豆子中保持平衡。</v>
      </c>
    </row>
    <row r="34588">
      <c r="A34588" s="4" t="s">
        <v>43523</v>
      </c>
      <c r="B34588" s="4" t="s">
        <v>43525</v>
      </c>
      <c r="C34588" s="5" t="str">
        <f>IFERROR(__xludf.DUMMYFUNCTION("GOOGLETRANSLATE(B34588,""en"",""zh-CN"")"),"当人群鼓掌时，运动员在横梁上进行了手推车。")</f>
        <v>当人群鼓掌时，运动员在横梁上进行了手推车。</v>
      </c>
    </row>
    <row r="34589">
      <c r="A34589" s="4" t="s">
        <v>43523</v>
      </c>
      <c r="B34589" s="6" t="s">
        <v>43526</v>
      </c>
      <c r="C34589" s="5" t="str">
        <f>IFERROR(__xludf.DUMMYFUNCTION("GOOGLETRANSLATE(B34589,""en"",""zh-CN"")"),"当女运动员完成她的电话号码时，她从蓝色垫子上跳下了梁车。")</f>
        <v>当女运动员完成她的电话号码时，她从蓝色垫子上跳下了梁车。</v>
      </c>
    </row>
    <row r="34590">
      <c r="A34590" s="4" t="s">
        <v>43527</v>
      </c>
      <c r="B34590" s="6" t="s">
        <v>43528</v>
      </c>
      <c r="C34590" s="5" t="str">
        <f>IFERROR(__xludf.DUMMYFUNCTION("GOOGLETRANSLATE(B34590,""en"",""zh-CN"")"),"该视频显示，体操玩家的剪辑沿着衬垫区域进行技巧，而评委和观众则看着并为之欢呼。")</f>
        <v>该视频显示，体操玩家的剪辑沿着衬垫区域进行技巧，而评委和观众则看着并为之欢呼。</v>
      </c>
    </row>
    <row r="34591">
      <c r="A34591" s="4" t="s">
        <v>43527</v>
      </c>
      <c r="B34591" s="4" t="s">
        <v>43529</v>
      </c>
      <c r="C34591" s="5" t="str">
        <f>IFERROR(__xludf.DUMMYFUNCTION("GOOGLETRANSLATE(B34591,""en"",""zh-CN"")"),"第一位球员在表演结束时击中了她的头。")</f>
        <v>第一位球员在表演结束时击中了她的头。</v>
      </c>
    </row>
    <row r="34592">
      <c r="A34592" s="4" t="s">
        <v>43527</v>
      </c>
      <c r="B34592" s="6" t="s">
        <v>43530</v>
      </c>
      <c r="C34592" s="5" t="str">
        <f>IFERROR(__xludf.DUMMYFUNCTION("GOOGLETRANSLATE(B34592,""en"",""zh-CN"")"),"该视频继续显示许多其他体操运动员的竞争，每次演出完成后，观众欢呼雀跃。")</f>
        <v>该视频继续显示许多其他体操运动员的竞争，每次演出完成后，观众欢呼雀跃。</v>
      </c>
    </row>
    <row r="34593">
      <c r="A34593" s="4" t="s">
        <v>43527</v>
      </c>
      <c r="B34593" s="4" t="s">
        <v>43531</v>
      </c>
      <c r="C34593" s="5" t="str">
        <f>IFERROR(__xludf.DUMMYFUNCTION("GOOGLETRANSLATE(B34593,""en"",""zh-CN"")"),"视频以男性表演者结尾。")</f>
        <v>视频以男性表演者结尾。</v>
      </c>
    </row>
    <row r="34594">
      <c r="A34594" s="4" t="s">
        <v>43532</v>
      </c>
      <c r="B34594" s="4" t="s">
        <v>43533</v>
      </c>
      <c r="C34594" s="5" t="str">
        <f>IFERROR(__xludf.DUMMYFUNCTION("GOOGLETRANSLATE(B34594,""en"",""zh-CN"")"),"当她在奥林匹克大小的游泳池中游泳时，一个女人出现并消失在水下。")</f>
        <v>当她在奥林匹克大小的游泳池中游泳时，一个女人出现并消失在水下。</v>
      </c>
    </row>
    <row r="34595">
      <c r="A34595" s="4" t="s">
        <v>43532</v>
      </c>
      <c r="B34595" s="4" t="s">
        <v>43534</v>
      </c>
      <c r="C34595" s="5" t="str">
        <f>IFERROR(__xludf.DUMMYFUNCTION("GOOGLETRANSLATE(B34595,""en"",""zh-CN"")"),"看到她在水下以鱼状的方式游泳。")</f>
        <v>看到她在水下以鱼状的方式游泳。</v>
      </c>
    </row>
    <row r="34596">
      <c r="A34596" s="4" t="s">
        <v>43532</v>
      </c>
      <c r="B34596" s="4" t="s">
        <v>43535</v>
      </c>
      <c r="C34596" s="5" t="str">
        <f>IFERROR(__xludf.DUMMYFUNCTION("GOOGLETRANSLATE(B34596,""en"",""zh-CN"")"),"她展示了几种不同的游泳风格和动作。")</f>
        <v>她展示了几种不同的游泳风格和动作。</v>
      </c>
    </row>
    <row r="34597">
      <c r="A34597" s="4" t="s">
        <v>43536</v>
      </c>
      <c r="B34597" s="6" t="s">
        <v>43537</v>
      </c>
      <c r="C34597" s="5" t="str">
        <f>IFERROR(__xludf.DUMMYFUNCTION("GOOGLETRANSLATE(B34597,""en"",""zh-CN"")"),"一个特殊效果的介绍，看起来像木头上的粉笔板，上面的单词在左上角说滑雪学校，中间字是“滑雪技巧：脚旋转”以及底部的网站和蓝色圆圈图标在右上方。")</f>
        <v>一个特殊效果的介绍，看起来像木头上的粉笔板，上面的单词在左上角说滑雪学校，中间字是“滑雪技巧：脚旋转”以及底部的网站和蓝色圆圈图标在右上方。</v>
      </c>
    </row>
    <row r="34598">
      <c r="A34598" s="4" t="s">
        <v>43536</v>
      </c>
      <c r="B34598" s="6" t="s">
        <v>43538</v>
      </c>
      <c r="C34598" s="5" t="str">
        <f>IFERROR(__xludf.DUMMYFUNCTION("GOOGLETRANSLATE(B34598,""en"",""zh-CN"")"),"一个人的滑雪板进入视线，他站在一座有很多树木的雪山上，他在说话，看起来他在给他进行滑雪的提示，因为他在身体上展示并一直在谈论整个过程。")</f>
        <v>一个人的滑雪板进入视线，他站在一座有很多树木的雪山上，他在说话，看起来他在给他进行滑雪的提示，因为他在身体上展示并一直在谈论整个过程。</v>
      </c>
    </row>
    <row r="34599">
      <c r="A34599" s="4" t="s">
        <v>43536</v>
      </c>
      <c r="B34599" s="4" t="s">
        <v>43539</v>
      </c>
      <c r="C34599" s="5" t="str">
        <f>IFERROR(__xludf.DUMMYFUNCTION("GOOGLETRANSLATE(B34599,""en"",""zh-CN"")"),"这个男人现在回到了他最初站着的起点，他又在说话。")</f>
        <v>这个男人现在回到了他最初站着的起点，他又在说话。</v>
      </c>
    </row>
    <row r="34600">
      <c r="A34600" s="4" t="s">
        <v>43536</v>
      </c>
      <c r="B34600" s="6" t="s">
        <v>43540</v>
      </c>
      <c r="C34600" s="5" t="str">
        <f>IFERROR(__xludf.DUMMYFUNCTION("GOOGLETRANSLATE(B34600,""en"",""zh-CN"")"),"特殊的情感屏幕带有木制背景和屏幕上有4个不同的图片，其中有单词。")</f>
        <v>特殊的情感屏幕带有木制背景和屏幕上有4个不同的图片，其中有单词。</v>
      </c>
    </row>
    <row r="34601">
      <c r="A34601" s="4" t="s">
        <v>43541</v>
      </c>
      <c r="B34601" s="4" t="s">
        <v>43542</v>
      </c>
      <c r="C34601" s="5" t="str">
        <f>IFERROR(__xludf.DUMMYFUNCTION("GOOGLETRANSLATE(B34601,""en"",""zh-CN"")"),"两个人站在篮球目标上。")</f>
        <v>两个人站在篮球目标上。</v>
      </c>
    </row>
    <row r="34602">
      <c r="A34602" s="4" t="s">
        <v>43541</v>
      </c>
      <c r="B34602" s="4" t="s">
        <v>43543</v>
      </c>
      <c r="C34602" s="5" t="str">
        <f>IFERROR(__xludf.DUMMYFUNCTION("GOOGLETRANSLATE(B34602,""en"",""zh-CN"")"),"他们开始上篮，然后再次与相机交谈。")</f>
        <v>他们开始上篮，然后再次与相机交谈。</v>
      </c>
    </row>
    <row r="34603">
      <c r="A34603" s="4" t="s">
        <v>43544</v>
      </c>
      <c r="B34603" s="4" t="s">
        <v>43545</v>
      </c>
      <c r="C34603" s="5" t="str">
        <f>IFERROR(__xludf.DUMMYFUNCTION("GOOGLETRANSLATE(B34603,""en"",""zh-CN"")"),"男人与相机拍摄视频交谈。")</f>
        <v>男人与相机拍摄视频交谈。</v>
      </c>
    </row>
    <row r="34604">
      <c r="A34604" s="4" t="s">
        <v>43544</v>
      </c>
      <c r="B34604" s="4" t="s">
        <v>43546</v>
      </c>
      <c r="C34604" s="5" t="str">
        <f>IFERROR(__xludf.DUMMYFUNCTION("GOOGLETRANSLATE(B34604,""en"",""zh-CN"")"),"足球运动员正在练习自己的举动。")</f>
        <v>足球运动员正在练习自己的举动。</v>
      </c>
    </row>
    <row r="34605">
      <c r="A34605" s="4" t="s">
        <v>43544</v>
      </c>
      <c r="B34605" s="4" t="s">
        <v>43547</v>
      </c>
      <c r="C34605" s="5" t="str">
        <f>IFERROR(__xludf.DUMMYFUNCTION("GOOGLETRANSLATE(B34605,""en"",""zh-CN"")"),"足球运动员投篮。")</f>
        <v>足球运动员投篮。</v>
      </c>
    </row>
    <row r="34606">
      <c r="A34606" s="4" t="s">
        <v>43544</v>
      </c>
      <c r="B34606" s="4" t="s">
        <v>43548</v>
      </c>
      <c r="C34606" s="5" t="str">
        <f>IFERROR(__xludf.DUMMYFUNCTION("GOOGLETRANSLATE(B34606,""en"",""zh-CN"")"),"男子被赶出法院。")</f>
        <v>男子被赶出法院。</v>
      </c>
    </row>
    <row r="34607">
      <c r="A34607" s="4" t="s">
        <v>43544</v>
      </c>
      <c r="B34607" s="4" t="s">
        <v>43549</v>
      </c>
      <c r="C34607" s="5" t="str">
        <f>IFERROR(__xludf.DUMMYFUNCTION("GOOGLETRANSLATE(B34607,""en"",""zh-CN"")"),"男人的目标表示祝贺。")</f>
        <v>男人的目标表示祝贺。</v>
      </c>
    </row>
    <row r="34608">
      <c r="A34608" s="4" t="s">
        <v>43544</v>
      </c>
      <c r="B34608" s="4" t="s">
        <v>43550</v>
      </c>
      <c r="C34608" s="5" t="str">
        <f>IFERROR(__xludf.DUMMYFUNCTION("GOOGLETRANSLATE(B34608,""en"",""zh-CN"")"),"人握手在镜头前。")</f>
        <v>人握手在镜头前。</v>
      </c>
    </row>
    <row r="34609">
      <c r="A34609" s="4" t="s">
        <v>43551</v>
      </c>
      <c r="B34609" s="6" t="s">
        <v>43552</v>
      </c>
      <c r="C34609" s="5" t="str">
        <f>IFERROR(__xludf.DUMMYFUNCTION("GOOGLETRANSLATE(B34609,""en"",""zh-CN"")"),"这些人正在与Sumo Wrestler进行战争，他们的身材超过四倍，小人物击败了他们。")</f>
        <v>这些人正在与Sumo Wrestler进行战争，他们的身材超过四倍，小人物击败了他们。</v>
      </c>
    </row>
    <row r="34610">
      <c r="A34610" s="4" t="s">
        <v>43551</v>
      </c>
      <c r="B34610" s="6" t="s">
        <v>43553</v>
      </c>
      <c r="C34610" s="5" t="str">
        <f>IFERROR(__xludf.DUMMYFUNCTION("GOOGLETRANSLATE(B34610,""en"",""zh-CN"")"),"最终，人们和相扑摔跤手拍照，相扑摔跤手打开了幻想曲，并互相扔了。")</f>
        <v>最终，人们和相扑摔跤手拍照，相扑摔跤手打开了幻想曲，并互相扔了。</v>
      </c>
    </row>
    <row r="34611">
      <c r="A34611" s="4" t="s">
        <v>43554</v>
      </c>
      <c r="B34611" s="4" t="s">
        <v>43555</v>
      </c>
      <c r="C34611" s="5" t="str">
        <f>IFERROR(__xludf.DUMMYFUNCTION("GOOGLETRANSLATE(B34611,""en"",""zh-CN"")"),"一个戴着黑帽子的男人在说话。")</f>
        <v>一个戴着黑帽子的男人在说话。</v>
      </c>
    </row>
    <row r="34612">
      <c r="A34612" s="4" t="s">
        <v>43554</v>
      </c>
      <c r="B34612" s="4" t="s">
        <v>43556</v>
      </c>
      <c r="C34612" s="5" t="str">
        <f>IFERROR(__xludf.DUMMYFUNCTION("GOOGLETRANSLATE(B34612,""en"",""zh-CN"")"),"一个男人在一些锥体周围运球并射门。")</f>
        <v>一个男人在一些锥体周围运球并射门。</v>
      </c>
    </row>
    <row r="34613">
      <c r="A34613" s="4" t="s">
        <v>43554</v>
      </c>
      <c r="B34613" s="4" t="s">
        <v>43557</v>
      </c>
      <c r="C34613" s="5" t="str">
        <f>IFERROR(__xludf.DUMMYFUNCTION("GOOGLETRANSLATE(B34613,""en"",""zh-CN"")"),"两个人在打篮球。")</f>
        <v>两个人在打篮球。</v>
      </c>
    </row>
    <row r="34614">
      <c r="A34614" s="4" t="s">
        <v>43554</v>
      </c>
      <c r="B34614" s="4" t="s">
        <v>43558</v>
      </c>
      <c r="C34614" s="5" t="str">
        <f>IFERROR(__xludf.DUMMYFUNCTION("GOOGLETRANSLATE(B34614,""en"",""zh-CN"")"),"一个男人正在法庭上运球。")</f>
        <v>一个男人正在法庭上运球。</v>
      </c>
    </row>
    <row r="34615">
      <c r="A34615" s="4" t="s">
        <v>43559</v>
      </c>
      <c r="B34615" s="4" t="s">
        <v>43560</v>
      </c>
      <c r="C34615" s="5" t="str">
        <f>IFERROR(__xludf.DUMMYFUNCTION("GOOGLETRANSLATE(B34615,""en"",""zh-CN"")"),"当狗在他面前时，一个男人坐在凳子上，狗穿着红色的皮带。")</f>
        <v>当狗在他面前时，一个男人坐在凳子上，狗穿着红色的皮带。</v>
      </c>
    </row>
    <row r="34616">
      <c r="A34616" s="4" t="s">
        <v>43559</v>
      </c>
      <c r="B34616" s="4" t="s">
        <v>43561</v>
      </c>
      <c r="C34616" s="5" t="str">
        <f>IFERROR(__xludf.DUMMYFUNCTION("GOOGLETRANSLATE(B34616,""en"",""zh-CN"")"),"一只白狗躲在墙后。")</f>
        <v>一只白狗躲在墙后。</v>
      </c>
    </row>
    <row r="34617">
      <c r="A34617" s="4" t="s">
        <v>43559</v>
      </c>
      <c r="B34617" s="4" t="s">
        <v>43562</v>
      </c>
      <c r="C34617" s="5" t="str">
        <f>IFERROR(__xludf.DUMMYFUNCTION("GOOGLETRANSLATE(B34617,""en"",""zh-CN"")"),"一个男人首先在后面刷狗的皮毛。")</f>
        <v>一个男人首先在后面刷狗的皮毛。</v>
      </c>
    </row>
    <row r="34618">
      <c r="A34618" s="4" t="s">
        <v>43559</v>
      </c>
      <c r="B34618" s="4" t="s">
        <v>43563</v>
      </c>
      <c r="C34618" s="5" t="str">
        <f>IFERROR(__xludf.DUMMYFUNCTION("GOOGLETRANSLATE(B34618,""en"",""zh-CN"")"),"该男子开始剃光狗的前腿。")</f>
        <v>该男子开始剃光狗的前腿。</v>
      </c>
    </row>
    <row r="34619">
      <c r="A34619" s="4" t="s">
        <v>43559</v>
      </c>
      <c r="B34619" s="4" t="s">
        <v>43564</v>
      </c>
      <c r="C34619" s="5" t="str">
        <f>IFERROR(__xludf.DUMMYFUNCTION("GOOGLETRANSLATE(B34619,""en"",""zh-CN"")"),"一只白狗躺在棕色的床上。")</f>
        <v>一只白狗躺在棕色的床上。</v>
      </c>
    </row>
    <row r="34620">
      <c r="A34620" s="4" t="s">
        <v>43559</v>
      </c>
      <c r="B34620" s="4" t="s">
        <v>43565</v>
      </c>
      <c r="C34620" s="5" t="str">
        <f>IFERROR(__xludf.DUMMYFUNCTION("GOOGLETRANSLATE(B34620,""en"",""zh-CN"")"),"当男人剃光米色时，米色狗正在地毯上躺在地毯上。")</f>
        <v>当男人剃光米色时，米色狗正在地毯上躺在地毯上。</v>
      </c>
    </row>
    <row r="34621">
      <c r="A34621" s="4" t="s">
        <v>43559</v>
      </c>
      <c r="B34621" s="6" t="s">
        <v>43566</v>
      </c>
      <c r="C34621" s="5" t="str">
        <f>IFERROR(__xludf.DUMMYFUNCTION("GOOGLETRANSLATE(B34621,""en"",""zh-CN"")"),"白狗在玻璃桌上摩擦脸，然后米色狗站在玻璃上，然后坐在桌子上，然后白狗站在米色狗旁边。")</f>
        <v>白狗在玻璃桌上摩擦脸，然后米色狗站在玻璃上，然后坐在桌子上，然后白狗站在米色狗旁边。</v>
      </c>
    </row>
    <row r="34622">
      <c r="A34622" s="4" t="s">
        <v>43567</v>
      </c>
      <c r="B34622" s="4" t="s">
        <v>43568</v>
      </c>
      <c r="C34622" s="5" t="str">
        <f>IFERROR(__xludf.DUMMYFUNCTION("GOOGLETRANSLATE(B34622,""en"",""zh-CN"")"),"我们看到一个穿着曲棍球齿轮滑冰的人在冰上。")</f>
        <v>我们看到一个穿着曲棍球齿轮滑冰的人在冰上。</v>
      </c>
    </row>
    <row r="34623">
      <c r="A34623" s="4" t="s">
        <v>43567</v>
      </c>
      <c r="B34623" s="4" t="s">
        <v>43569</v>
      </c>
      <c r="C34623" s="5" t="str">
        <f>IFERROR(__xludf.DUMMYFUNCTION("GOOGLETRANSLATE(B34623,""en"",""zh-CN"")"),"另一个人进入，我们看着两个人打曲棍球。")</f>
        <v>另一个人进入，我们看着两个人打曲棍球。</v>
      </c>
    </row>
    <row r="34624">
      <c r="A34624" s="4" t="s">
        <v>43567</v>
      </c>
      <c r="B34624" s="4" t="s">
        <v>43570</v>
      </c>
      <c r="C34624" s="5" t="str">
        <f>IFERROR(__xludf.DUMMYFUNCTION("GOOGLETRANSLATE(B34624,""en"",""zh-CN"")"),"我们看到冰球在相机的前面掉落。")</f>
        <v>我们看到冰球在相机的前面掉落。</v>
      </c>
    </row>
    <row r="34625">
      <c r="A34625" s="4" t="s">
        <v>43567</v>
      </c>
      <c r="B34625" s="4" t="s">
        <v>43571</v>
      </c>
      <c r="C34625" s="5" t="str">
        <f>IFERROR(__xludf.DUMMYFUNCTION("GOOGLETRANSLATE(B34625,""en"",""zh-CN"")"),"该人将守门员击倒。")</f>
        <v>该人将守门员击倒。</v>
      </c>
    </row>
    <row r="34626">
      <c r="A34626" s="4" t="s">
        <v>43567</v>
      </c>
      <c r="B34626" s="4" t="s">
        <v>43572</v>
      </c>
      <c r="C34626" s="5" t="str">
        <f>IFERROR(__xludf.DUMMYFUNCTION("GOOGLETRANSLATE(B34626,""en"",""zh-CN"")"),"守门员滑到相机上。")</f>
        <v>守门员滑到相机上。</v>
      </c>
    </row>
    <row r="34627">
      <c r="A34627" s="4" t="s">
        <v>43573</v>
      </c>
      <c r="B34627" s="6" t="s">
        <v>43574</v>
      </c>
      <c r="C34627" s="5" t="str">
        <f>IFERROR(__xludf.DUMMYFUNCTION("GOOGLETRANSLATE(B34627,""en"",""zh-CN"")"),"一个人正在上一个关于雪板的课程，他在板上放了一个大型摩擦品牌，以将脚垫固定在适当的位置。")</f>
        <v>一个人正在上一个关于雪板的课程，他在板上放了一个大型摩擦品牌，以将脚垫固定在适当的位置。</v>
      </c>
    </row>
    <row r="34628">
      <c r="A34628" s="4" t="s">
        <v>43573</v>
      </c>
      <c r="B34628" s="6" t="s">
        <v>43575</v>
      </c>
      <c r="C34628" s="5" t="str">
        <f>IFERROR(__xludf.DUMMYFUNCTION("GOOGLETRANSLATE(B34628,""en"",""zh-CN"")"),"这个家伙展示了雪板之间的区别，并将它们放在一个物体上，以使板的底部平滑以获得更好的滑雪。")</f>
        <v>这个家伙展示了雪板之间的区别，并将它们放在一个物体上，以使板的底部平滑以获得更好的滑雪。</v>
      </c>
    </row>
    <row r="34629">
      <c r="A34629" s="4" t="s">
        <v>43576</v>
      </c>
      <c r="B34629" s="4" t="s">
        <v>43577</v>
      </c>
      <c r="C34629" s="5" t="str">
        <f>IFERROR(__xludf.DUMMYFUNCTION("GOOGLETRANSLATE(B34629,""en"",""zh-CN"")"),"一名妇女正在粉笔上的地面上画一个霍普斯板。")</f>
        <v>一名妇女正在粉笔上的地面上画一个霍普斯板。</v>
      </c>
    </row>
    <row r="34630">
      <c r="A34630" s="4" t="s">
        <v>43576</v>
      </c>
      <c r="B34630" s="4" t="s">
        <v>43578</v>
      </c>
      <c r="C34630" s="5" t="str">
        <f>IFERROR(__xludf.DUMMYFUNCTION("GOOGLETRANSLATE(B34630,""en"",""zh-CN"")"),"她站起来，走到霍普奇板的前面。")</f>
        <v>她站起来，走到霍普奇板的前面。</v>
      </c>
    </row>
    <row r="34631">
      <c r="A34631" s="4" t="s">
        <v>43576</v>
      </c>
      <c r="B34631" s="4" t="s">
        <v>43579</v>
      </c>
      <c r="C34631" s="5" t="str">
        <f>IFERROR(__xludf.DUMMYFUNCTION("GOOGLETRANSLATE(B34631,""en"",""zh-CN"")"),"她开始跳上董事会。")</f>
        <v>她开始跳上董事会。</v>
      </c>
    </row>
    <row r="34632">
      <c r="A34632" s="4" t="s">
        <v>43580</v>
      </c>
      <c r="B34632" s="4" t="s">
        <v>43581</v>
      </c>
      <c r="C34632" s="5" t="str">
        <f>IFERROR(__xludf.DUMMYFUNCTION("GOOGLETRANSLATE(B34632,""en"",""zh-CN"")"),"人们在篮球场上走来走去。")</f>
        <v>人们在篮球场上走来走去。</v>
      </c>
    </row>
    <row r="34633">
      <c r="A34633" s="4" t="s">
        <v>43580</v>
      </c>
      <c r="B34633" s="4" t="s">
        <v>43582</v>
      </c>
      <c r="C34633" s="5" t="str">
        <f>IFERROR(__xludf.DUMMYFUNCTION("GOOGLETRANSLATE(B34633,""en"",""zh-CN"")"),"一群舞者走进篮球场并引起人们的注意。")</f>
        <v>一群舞者走进篮球场并引起人们的注意。</v>
      </c>
    </row>
    <row r="34634">
      <c r="A34634" s="4" t="s">
        <v>43580</v>
      </c>
      <c r="B34634" s="4" t="s">
        <v>43583</v>
      </c>
      <c r="C34634" s="5" t="str">
        <f>IFERROR(__xludf.DUMMYFUNCTION("GOOGLETRANSLATE(B34634,""en"",""zh-CN"")"),"当围观者拍手时，小队一致转身。")</f>
        <v>当围观者拍手时，小队一致转身。</v>
      </c>
    </row>
    <row r="34635">
      <c r="A34635" s="4" t="s">
        <v>43580</v>
      </c>
      <c r="B34635" s="4" t="s">
        <v>43584</v>
      </c>
      <c r="C34635" s="5" t="str">
        <f>IFERROR(__xludf.DUMMYFUNCTION("GOOGLETRANSLATE(B34635,""en"",""zh-CN"")"),"小队做他们的日常工作。")</f>
        <v>小队做他们的日常工作。</v>
      </c>
    </row>
    <row r="34636">
      <c r="A34636" s="4" t="s">
        <v>43580</v>
      </c>
      <c r="B34636" s="4" t="s">
        <v>43585</v>
      </c>
      <c r="C34636" s="5" t="str">
        <f>IFERROR(__xludf.DUMMYFUNCTION("GOOGLETRANSLATE(B34636,""en"",""zh-CN"")"),"小队结束了他们的日常工作，然后退出地板。")</f>
        <v>小队结束了他们的日常工作，然后退出地板。</v>
      </c>
    </row>
    <row r="34637">
      <c r="A34637" s="4" t="s">
        <v>43586</v>
      </c>
      <c r="B34637" s="4" t="s">
        <v>43587</v>
      </c>
      <c r="C34637" s="5" t="str">
        <f>IFERROR(__xludf.DUMMYFUNCTION("GOOGLETRANSLATE(B34637,""en"",""zh-CN"")"),"一个人把腿支撑在浴缸的侧面。")</f>
        <v>一个人把腿支撑在浴缸的侧面。</v>
      </c>
    </row>
    <row r="34638">
      <c r="A34638" s="4" t="s">
        <v>43586</v>
      </c>
      <c r="B34638" s="4" t="s">
        <v>43588</v>
      </c>
      <c r="C34638" s="5" t="str">
        <f>IFERROR(__xludf.DUMMYFUNCTION("GOOGLETRANSLATE(B34638,""en"",""zh-CN"")"),"他用剃刀剃了腿，露出下面的纹身。")</f>
        <v>他用剃刀剃了腿，露出下面的纹身。</v>
      </c>
    </row>
    <row r="34639">
      <c r="A34639" s="4" t="s">
        <v>43586</v>
      </c>
      <c r="B34639" s="4" t="s">
        <v>43589</v>
      </c>
      <c r="C34639" s="5" t="str">
        <f>IFERROR(__xludf.DUMMYFUNCTION("GOOGLETRANSLATE(B34639,""en"",""zh-CN"")"),"完成后，他擦去头发，并显示荷马·辛普森（Homer Simpson）的纹身为死神。")</f>
        <v>完成后，他擦去头发，并显示荷马·辛普森（Homer Simpson）的纹身为死神。</v>
      </c>
    </row>
    <row r="34640">
      <c r="A34640" s="4" t="s">
        <v>43590</v>
      </c>
      <c r="B34640" s="4" t="s">
        <v>43591</v>
      </c>
      <c r="C34640" s="5" t="str">
        <f>IFERROR(__xludf.DUMMYFUNCTION("GOOGLETRANSLATE(B34640,""en"",""zh-CN"")"),"屏幕上有一个管道广告。")</f>
        <v>屏幕上有一个管道广告。</v>
      </c>
    </row>
    <row r="34641">
      <c r="A34641" s="4" t="s">
        <v>43590</v>
      </c>
      <c r="B34641" s="4" t="s">
        <v>43592</v>
      </c>
      <c r="C34641" s="5" t="str">
        <f>IFERROR(__xludf.DUMMYFUNCTION("GOOGLETRANSLATE(B34641,""en"",""zh-CN"")"),"块茎沿着河走。")</f>
        <v>块茎沿着河走。</v>
      </c>
    </row>
    <row r="34642">
      <c r="A34642" s="4" t="s">
        <v>43590</v>
      </c>
      <c r="B34642" s="4" t="s">
        <v>43593</v>
      </c>
      <c r="C34642" s="5" t="str">
        <f>IFERROR(__xludf.DUMMYFUNCTION("GOOGLETRANSLATE(B34642,""en"",""zh-CN"")"),"西弗吉尼亚州的广告在屏幕上。")</f>
        <v>西弗吉尼亚州的广告在屏幕上。</v>
      </c>
    </row>
    <row r="34643">
      <c r="A34643" s="4" t="s">
        <v>43590</v>
      </c>
      <c r="B34643" s="4" t="s">
        <v>43594</v>
      </c>
      <c r="C34643" s="5" t="str">
        <f>IFERROR(__xludf.DUMMYFUNCTION("GOOGLETRANSLATE(B34643,""en"",""zh-CN"")"),"块茎在木板下面带着狗。")</f>
        <v>块茎在木板下面带着狗。</v>
      </c>
    </row>
    <row r="34644">
      <c r="A34644" s="4" t="s">
        <v>43590</v>
      </c>
      <c r="B34644" s="4" t="s">
        <v>43595</v>
      </c>
      <c r="C34644" s="5" t="str">
        <f>IFERROR(__xludf.DUMMYFUNCTION("GOOGLETRANSLATE(B34644,""en"",""zh-CN"")"),"相机指向天空和树木。")</f>
        <v>相机指向天空和树木。</v>
      </c>
    </row>
    <row r="34645">
      <c r="A34645" s="4" t="s">
        <v>43590</v>
      </c>
      <c r="B34645" s="4" t="s">
        <v>43596</v>
      </c>
      <c r="C34645" s="5" t="str">
        <f>IFERROR(__xludf.DUMMYFUNCTION("GOOGLETRANSLATE(B34645,""en"",""zh-CN"")"),"一个块茎撞到树枝上，一个站起来，跌倒了。")</f>
        <v>一个块茎撞到树枝上，一个站起来，跌倒了。</v>
      </c>
    </row>
    <row r="34646">
      <c r="A34646" s="4" t="s">
        <v>43590</v>
      </c>
      <c r="B34646" s="4" t="s">
        <v>43597</v>
      </c>
      <c r="C34646" s="5" t="str">
        <f>IFERROR(__xludf.DUMMYFUNCTION("GOOGLETRANSLATE(B34646,""en"",""zh-CN"")"),"摄影师在他的管子里转动圆圈，然后有零食。")</f>
        <v>摄影师在他的管子里转动圆圈，然后有零食。</v>
      </c>
    </row>
    <row r="34647">
      <c r="A34647" s="4" t="s">
        <v>43590</v>
      </c>
      <c r="B34647" s="4" t="s">
        <v>43598</v>
      </c>
      <c r="C34647" s="5" t="str">
        <f>IFERROR(__xludf.DUMMYFUNCTION("GOOGLETRANSLATE(B34647,""en"",""zh-CN"")"),"一个人把头缠在树枝上。")</f>
        <v>一个人把头缠在树枝上。</v>
      </c>
    </row>
    <row r="34648">
      <c r="A34648" s="4" t="s">
        <v>43590</v>
      </c>
      <c r="B34648" s="4" t="s">
        <v>43599</v>
      </c>
      <c r="C34648" s="5" t="str">
        <f>IFERROR(__xludf.DUMMYFUNCTION("GOOGLETRANSLATE(B34648,""en"",""zh-CN"")"),"视频以广告结尾。")</f>
        <v>视频以广告结尾。</v>
      </c>
    </row>
    <row r="34649">
      <c r="A34649" s="4" t="s">
        <v>43600</v>
      </c>
      <c r="B34649" s="4" t="s">
        <v>43601</v>
      </c>
      <c r="C34649" s="5" t="str">
        <f>IFERROR(__xludf.DUMMYFUNCTION("GOOGLETRANSLATE(B34649,""en"",""zh-CN"")"),"屏幕上的运动徽标闪烁。")</f>
        <v>屏幕上的运动徽标闪烁。</v>
      </c>
    </row>
    <row r="34650">
      <c r="A34650" s="4" t="s">
        <v>43600</v>
      </c>
      <c r="B34650" s="4" t="s">
        <v>43602</v>
      </c>
      <c r="C34650" s="5" t="str">
        <f>IFERROR(__xludf.DUMMYFUNCTION("GOOGLETRANSLATE(B34650,""en"",""zh-CN"")"),"一个女人穿着白衬衫在麦克风上说话。")</f>
        <v>一个女人穿着白衬衫在麦克风上说话。</v>
      </c>
    </row>
    <row r="34651">
      <c r="A34651" s="4" t="s">
        <v>43600</v>
      </c>
      <c r="B34651" s="4" t="s">
        <v>43603</v>
      </c>
      <c r="C34651" s="5" t="str">
        <f>IFERROR(__xludf.DUMMYFUNCTION("GOOGLETRANSLATE(B34651,""en"",""zh-CN"")"),"一个男人正在蓝色泳池桌后面玩游泳池。")</f>
        <v>一个男人正在蓝色泳池桌后面玩游泳池。</v>
      </c>
    </row>
    <row r="34652">
      <c r="A34652" s="4" t="s">
        <v>43600</v>
      </c>
      <c r="B34652" s="4" t="s">
        <v>43604</v>
      </c>
      <c r="C34652" s="5" t="str">
        <f>IFERROR(__xludf.DUMMYFUNCTION("GOOGLETRANSLATE(B34652,""en"",""zh-CN"")"),"女人继续在台球桌前说话。")</f>
        <v>女人继续在台球桌前说话。</v>
      </c>
    </row>
    <row r="34653">
      <c r="A34653" s="4" t="s">
        <v>43600</v>
      </c>
      <c r="B34653" s="4" t="s">
        <v>43605</v>
      </c>
      <c r="C34653" s="5" t="str">
        <f>IFERROR(__xludf.DUMMYFUNCTION("GOOGLETRANSLATE(B34653,""en"",""zh-CN"")"),"女人和男人互相交谈。")</f>
        <v>女人和男人互相交谈。</v>
      </c>
    </row>
    <row r="34654">
      <c r="A34654" s="4" t="s">
        <v>43600</v>
      </c>
      <c r="B34654" s="4" t="s">
        <v>43606</v>
      </c>
      <c r="C34654" s="5" t="str">
        <f>IFERROR(__xludf.DUMMYFUNCTION("GOOGLETRANSLATE(B34654,""en"",""zh-CN"")"),"奖杯在屏幕上闪烁。")</f>
        <v>奖杯在屏幕上闪烁。</v>
      </c>
    </row>
    <row r="34655">
      <c r="A34655" s="4" t="s">
        <v>43600</v>
      </c>
      <c r="B34655" s="4" t="s">
        <v>43607</v>
      </c>
      <c r="C34655" s="5" t="str">
        <f>IFERROR(__xludf.DUMMYFUNCTION("GOOGLETRANSLATE(B34655,""en"",""zh-CN"")"),"男人和女人继续说话。")</f>
        <v>男人和女人继续说话。</v>
      </c>
    </row>
    <row r="34656">
      <c r="A34656" s="4" t="s">
        <v>43600</v>
      </c>
      <c r="B34656" s="4" t="s">
        <v>43608</v>
      </c>
      <c r="C34656" s="5" t="str">
        <f>IFERROR(__xludf.DUMMYFUNCTION("GOOGLETRANSLATE(B34656,""en"",""zh-CN"")"),"该男子再次打球。")</f>
        <v>该男子再次打球。</v>
      </c>
    </row>
    <row r="34657">
      <c r="A34657" s="4" t="s">
        <v>43600</v>
      </c>
      <c r="B34657" s="4" t="s">
        <v>43609</v>
      </c>
      <c r="C34657" s="5" t="str">
        <f>IFERROR(__xludf.DUMMYFUNCTION("GOOGLETRANSLATE(B34657,""en"",""zh-CN"")"),"男人和女人继续互相交谈。")</f>
        <v>男人和女人继续互相交谈。</v>
      </c>
    </row>
    <row r="34658">
      <c r="A34658" s="4" t="s">
        <v>43600</v>
      </c>
      <c r="B34658" s="4" t="s">
        <v>43610</v>
      </c>
      <c r="C34658" s="5" t="str">
        <f>IFERROR(__xludf.DUMMYFUNCTION("GOOGLETRANSLATE(B34658,""en"",""zh-CN"")"),"它闪回泳池桌。")</f>
        <v>它闪回泳池桌。</v>
      </c>
    </row>
    <row r="34659">
      <c r="A34659" s="4" t="s">
        <v>43600</v>
      </c>
      <c r="B34659" s="4" t="s">
        <v>43611</v>
      </c>
      <c r="C34659" s="5" t="str">
        <f>IFERROR(__xludf.DUMMYFUNCTION("GOOGLETRANSLATE(B34659,""en"",""zh-CN"")"),"男人和女人继续说话，女人嘲笑男人在说什么。")</f>
        <v>男人和女人继续说话，女人嘲笑男人在说什么。</v>
      </c>
    </row>
    <row r="34660">
      <c r="A34660" s="4" t="s">
        <v>43600</v>
      </c>
      <c r="B34660" s="4" t="s">
        <v>43612</v>
      </c>
      <c r="C34660" s="5" t="str">
        <f>IFERROR(__xludf.DUMMYFUNCTION("GOOGLETRANSLATE(B34660,""en"",""zh-CN"")"),"这个男人现在正在教女子如何在她身后射击泳池球。")</f>
        <v>这个男人现在正在教女子如何在她身后射击泳池球。</v>
      </c>
    </row>
    <row r="34661">
      <c r="A34661" s="4" t="s">
        <v>43600</v>
      </c>
      <c r="B34661" s="4" t="s">
        <v>43613</v>
      </c>
      <c r="C34661" s="5" t="str">
        <f>IFERROR(__xludf.DUMMYFUNCTION("GOOGLETRANSLATE(B34661,""en"",""zh-CN"")"),"那个女人开枪，他们以高五分庆祝。")</f>
        <v>那个女人开枪，他们以高五分庆祝。</v>
      </c>
    </row>
    <row r="34662">
      <c r="A34662" s="4" t="s">
        <v>43600</v>
      </c>
      <c r="B34662" s="4" t="s">
        <v>43614</v>
      </c>
      <c r="C34662" s="5" t="str">
        <f>IFERROR(__xludf.DUMMYFUNCTION("GOOGLETRANSLATE(B34662,""en"",""zh-CN"")"),"该男子告诉女人如何开枪。")</f>
        <v>该男子告诉女人如何开枪。</v>
      </c>
    </row>
    <row r="34663">
      <c r="A34663" s="4" t="s">
        <v>43600</v>
      </c>
      <c r="B34663" s="4" t="s">
        <v>43615</v>
      </c>
      <c r="C34663" s="5" t="str">
        <f>IFERROR(__xludf.DUMMYFUNCTION("GOOGLETRANSLATE(B34663,""en"",""zh-CN"")"),"她尝试了射门，并再次获得射击，他们又高五个。")</f>
        <v>她尝试了射门，并再次获得射击，他们又高五个。</v>
      </c>
    </row>
    <row r="34664">
      <c r="A34664" s="4" t="s">
        <v>43600</v>
      </c>
      <c r="B34664" s="4" t="s">
        <v>43616</v>
      </c>
      <c r="C34664" s="5" t="str">
        <f>IFERROR(__xludf.DUMMYFUNCTION("GOOGLETRANSLATE(B34664,""en"",""zh-CN"")"),"他们继续说话和笑。")</f>
        <v>他们继续说话和笑。</v>
      </c>
    </row>
    <row r="34665">
      <c r="A34665" s="4" t="s">
        <v>43600</v>
      </c>
      <c r="B34665" s="4" t="s">
        <v>43617</v>
      </c>
      <c r="C34665" s="5" t="str">
        <f>IFERROR(__xludf.DUMMYFUNCTION("GOOGLETRANSLATE(B34665,""en"",""zh-CN"")"),"那个女人躺在台球桌上，他从嘴里射出了一个球。")</f>
        <v>那个女人躺在台球桌上，他从嘴里射出了一个球。</v>
      </c>
    </row>
    <row r="34666">
      <c r="A34666" s="4" t="s">
        <v>43600</v>
      </c>
      <c r="B34666" s="4" t="s">
        <v>43618</v>
      </c>
      <c r="C34666" s="5" t="str">
        <f>IFERROR(__xludf.DUMMYFUNCTION("GOOGLETRANSLATE(B34666,""en"",""zh-CN"")"),"该名女子正坐在台球桌旁边的椅子上，说话麦克风。")</f>
        <v>该名女子正坐在台球桌旁边的椅子上，说话麦克风。</v>
      </c>
    </row>
    <row r="34667">
      <c r="A34667" s="4" t="s">
        <v>43600</v>
      </c>
      <c r="B34667" s="4" t="s">
        <v>43619</v>
      </c>
      <c r="C34667" s="5" t="str">
        <f>IFERROR(__xludf.DUMMYFUNCTION("GOOGLETRANSLATE(B34667,""en"",""zh-CN"")"),"Maxim徽标在屏幕上闪烁。")</f>
        <v>Maxim徽标在屏幕上闪烁。</v>
      </c>
    </row>
    <row r="34668">
      <c r="A34668" s="4" t="s">
        <v>43620</v>
      </c>
      <c r="B34668" s="6" t="s">
        <v>43621</v>
      </c>
      <c r="C34668" s="5" t="str">
        <f>IFERROR(__xludf.DUMMYFUNCTION("GOOGLETRANSLATE(B34668,""en"",""zh-CN"")"),"一个男人通过在相机中涂上自己的脸来演示如何涂抹脸部。")</f>
        <v>一个男人通过在相机中涂上自己的脸来演示如何涂抹脸部。</v>
      </c>
    </row>
    <row r="34669">
      <c r="A34669" s="4" t="s">
        <v>43620</v>
      </c>
      <c r="B34669" s="4" t="s">
        <v>43622</v>
      </c>
      <c r="C34669" s="5" t="str">
        <f>IFERROR(__xludf.DUMMYFUNCTION("GOOGLETRANSLATE(B34669,""en"",""zh-CN"")"),"一个男人站在镜子前，与相机交谈，关闭。")</f>
        <v>一个男人站在镜子前，与相机交谈，关闭。</v>
      </c>
    </row>
    <row r="34670">
      <c r="A34670" s="4" t="s">
        <v>43620</v>
      </c>
      <c r="B34670" s="6" t="s">
        <v>43623</v>
      </c>
      <c r="C34670" s="5" t="str">
        <f>IFERROR(__xludf.DUMMYFUNCTION("GOOGLETRANSLATE(B34670,""en"",""zh-CN"")"),"该男子开始使用刷子涂在脸颊的苹果上刷子脸红。")</f>
        <v>该男子开始使用刷子涂在脸颊的苹果上刷子脸红。</v>
      </c>
    </row>
    <row r="34671">
      <c r="A34671" s="4" t="s">
        <v>43620</v>
      </c>
      <c r="B34671" s="6" t="s">
        <v>43624</v>
      </c>
      <c r="C34671" s="5" t="str">
        <f>IFERROR(__xludf.DUMMYFUNCTION("GOOGLETRANSLATE(B34671,""en"",""zh-CN"")"),"然后，该男子在他的脸颊上穿过蜡笔像化妆工具，然后返回将脸红涂在他的脸颊和额头上。")</f>
        <v>然后，该男子在他的脸颊上穿过蜡笔像化妆工具，然后返回将脸红涂在他的脸颊和额头上。</v>
      </c>
    </row>
    <row r="34672">
      <c r="A34672" s="4" t="s">
        <v>43620</v>
      </c>
      <c r="B34672" s="6" t="s">
        <v>43625</v>
      </c>
      <c r="C34672" s="5" t="str">
        <f>IFERROR(__xludf.DUMMYFUNCTION("GOOGLETRANSLATE(B34672,""en"",""zh-CN"")"),"然后，该名男子在他的脸颊上使用狭窄而宽阔的刷子，然后回到常规刷，以与脸部相同的区域。")</f>
        <v>然后，该名男子在他的脸颊上使用狭窄而宽阔的刷子，然后回到常规刷，以与脸部相同的区域。</v>
      </c>
    </row>
    <row r="34673">
      <c r="A34673" s="4" t="s">
        <v>43626</v>
      </c>
      <c r="B34673" s="4" t="s">
        <v>43627</v>
      </c>
      <c r="C34673" s="5" t="str">
        <f>IFERROR(__xludf.DUMMYFUNCTION("GOOGLETRANSLATE(B34673,""en"",""zh-CN"")"),"一个简介导致一个拿着小提琴的男人并用手玩耍。")</f>
        <v>一个简介导致一个拿着小提琴的男人并用手玩耍。</v>
      </c>
    </row>
    <row r="34674">
      <c r="A34674" s="4" t="s">
        <v>43626</v>
      </c>
      <c r="B34674" s="6" t="s">
        <v>43628</v>
      </c>
      <c r="C34674" s="5" t="str">
        <f>IFERROR(__xludf.DUMMYFUNCTION("GOOGLETRANSLATE(B34674,""en"",""zh-CN"")"),"该男子继续玩耍，然后停下来与相机说话，同时还展示了如何正确演奏。")</f>
        <v>该男子继续玩耍，然后停下来与相机说话，同时还展示了如何正确演奏。</v>
      </c>
    </row>
    <row r="34675">
      <c r="A34675" s="4" t="s">
        <v>43629</v>
      </c>
      <c r="B34675" s="4" t="s">
        <v>43630</v>
      </c>
      <c r="C34675" s="5" t="str">
        <f>IFERROR(__xludf.DUMMYFUNCTION("GOOGLETRANSLATE(B34675,""en"",""zh-CN"")"),"一个人用软管的薄金属端清洁运动鞋的鞋底。")</f>
        <v>一个人用软管的薄金属端清洁运动鞋的鞋底。</v>
      </c>
    </row>
    <row r="34676">
      <c r="A34676" s="4" t="s">
        <v>43629</v>
      </c>
      <c r="B34676" s="4" t="s">
        <v>43631</v>
      </c>
      <c r="C34676" s="5" t="str">
        <f>IFERROR(__xludf.DUMMYFUNCTION("GOOGLETRANSLATE(B34676,""en"",""zh-CN"")"),"该男子将软管放回原处，开始离开。")</f>
        <v>该男子将软管放回原处，开始离开。</v>
      </c>
    </row>
    <row r="34677">
      <c r="A34677" s="4" t="s">
        <v>43632</v>
      </c>
      <c r="B34677" s="4" t="s">
        <v>43633</v>
      </c>
      <c r="C34677" s="5" t="str">
        <f>IFERROR(__xludf.DUMMYFUNCTION("GOOGLETRANSLATE(B34677,""en"",""zh-CN"")"),"一个男人正在穿着白色裤子的舞台上跳舞。")</f>
        <v>一个男人正在穿着白色裤子的舞台上跳舞。</v>
      </c>
    </row>
    <row r="34678">
      <c r="A34678" s="4" t="s">
        <v>43632</v>
      </c>
      <c r="B34678" s="4" t="s">
        <v>43634</v>
      </c>
      <c r="C34678" s="5" t="str">
        <f>IFERROR(__xludf.DUMMYFUNCTION("GOOGLETRANSLATE(B34678,""en"",""zh-CN"")"),"两个人开始在舞台上一起跳舞。")</f>
        <v>两个人开始在舞台上一起跳舞。</v>
      </c>
    </row>
    <row r="34679">
      <c r="A34679" s="4" t="s">
        <v>43632</v>
      </c>
      <c r="B34679" s="4" t="s">
        <v>43635</v>
      </c>
      <c r="C34679" s="5" t="str">
        <f>IFERROR(__xludf.DUMMYFUNCTION("GOOGLETRANSLATE(B34679,""en"",""zh-CN"")"),"一个男人在舞台上进行了几次反转。")</f>
        <v>一个男人在舞台上进行了几次反转。</v>
      </c>
    </row>
    <row r="34680">
      <c r="A34680" s="4" t="s">
        <v>43632</v>
      </c>
      <c r="B34680" s="4" t="s">
        <v>43636</v>
      </c>
      <c r="C34680" s="5" t="str">
        <f>IFERROR(__xludf.DUMMYFUNCTION("GOOGLETRANSLATE(B34680,""en"",""zh-CN"")"),"一个人在打鼓。")</f>
        <v>一个人在打鼓。</v>
      </c>
    </row>
    <row r="34681">
      <c r="A34681" s="4" t="s">
        <v>43637</v>
      </c>
      <c r="B34681" s="6" t="s">
        <v>43638</v>
      </c>
      <c r="C34681" s="5" t="str">
        <f>IFERROR(__xludf.DUMMYFUNCTION("GOOGLETRANSLATE(B34681,""en"",""zh-CN"")"),"看到几个人骑着滚子叶片骑着山坡，而一个人骑着警察自行车骑在前面。")</f>
        <v>看到几个人骑着滚子叶片骑着山坡，而一个人骑着警察自行车骑在前面。</v>
      </c>
    </row>
    <row r="34682">
      <c r="A34682" s="4" t="s">
        <v>43637</v>
      </c>
      <c r="B34682" s="4" t="s">
        <v>43639</v>
      </c>
      <c r="C34682" s="5" t="str">
        <f>IFERROR(__xludf.DUMMYFUNCTION("GOOGLETRANSLATE(B34682,""en"",""zh-CN"")"),"在某一时刻，几个人跌倒了，彼此绊倒，但继续骑着刀片。")</f>
        <v>在某一时刻，几个人跌倒了，彼此绊倒，但继续骑着刀片。</v>
      </c>
    </row>
    <row r="34683">
      <c r="A34683" s="4" t="s">
        <v>43640</v>
      </c>
      <c r="B34683" s="4" t="s">
        <v>43641</v>
      </c>
      <c r="C34683" s="5" t="str">
        <f>IFERROR(__xludf.DUMMYFUNCTION("GOOGLETRANSLATE(B34683,""en"",""zh-CN"")"),"一个男人骑着马追着牛。")</f>
        <v>一个男人骑着马追着牛。</v>
      </c>
    </row>
    <row r="34684">
      <c r="A34684" s="4" t="s">
        <v>43640</v>
      </c>
      <c r="B34684" s="4" t="s">
        <v>43642</v>
      </c>
      <c r="C34684" s="5" t="str">
        <f>IFERROR(__xludf.DUMMYFUNCTION("GOOGLETRANSLATE(B34684,""en"",""zh-CN"")"),"他用绳子抓住了牛。")</f>
        <v>他用绳子抓住了牛。</v>
      </c>
    </row>
    <row r="34685">
      <c r="A34685" s="4" t="s">
        <v>43640</v>
      </c>
      <c r="B34685" s="4" t="s">
        <v>43643</v>
      </c>
      <c r="C34685" s="5" t="str">
        <f>IFERROR(__xludf.DUMMYFUNCTION("GOOGLETRANSLATE(B34685,""en"",""zh-CN"")"),"他坐下马，打了几次牛。")</f>
        <v>他坐下马，打了几次牛。</v>
      </c>
    </row>
    <row r="34686">
      <c r="A34686" s="4" t="s">
        <v>43644</v>
      </c>
      <c r="B34686" s="4" t="s">
        <v>43645</v>
      </c>
      <c r="C34686" s="5" t="str">
        <f>IFERROR(__xludf.DUMMYFUNCTION("GOOGLETRANSLATE(B34686,""en"",""zh-CN"")"),"一个人站在火坑里说话。")</f>
        <v>一个人站在火坑里说话。</v>
      </c>
    </row>
    <row r="34687">
      <c r="A34687" s="4" t="s">
        <v>43644</v>
      </c>
      <c r="B34687" s="4" t="s">
        <v>43646</v>
      </c>
      <c r="C34687" s="5" t="str">
        <f>IFERROR(__xludf.DUMMYFUNCTION("GOOGLETRANSLATE(B34687,""en"",""zh-CN"")"),"那个男人点燃了火炬。")</f>
        <v>那个男人点燃了火炬。</v>
      </c>
    </row>
    <row r="34688">
      <c r="A34688" s="4" t="s">
        <v>43644</v>
      </c>
      <c r="B34688" s="4" t="s">
        <v>43647</v>
      </c>
      <c r="C34688" s="5" t="str">
        <f>IFERROR(__xludf.DUMMYFUNCTION("GOOGLETRANSLATE(B34688,""en"",""zh-CN"")"),"该男子用火炬点燃火坑中的木头。")</f>
        <v>该男子用火炬点燃火坑中的木头。</v>
      </c>
    </row>
    <row r="34689">
      <c r="A34689" s="4" t="s">
        <v>43644</v>
      </c>
      <c r="B34689" s="4" t="s">
        <v>43648</v>
      </c>
      <c r="C34689" s="5" t="str">
        <f>IFERROR(__xludf.DUMMYFUNCTION("GOOGLETRANSLATE(B34689,""en"",""zh-CN"")"),"那个男人坐在火坑里，享受温暖。")</f>
        <v>那个男人坐在火坑里，享受温暖。</v>
      </c>
    </row>
    <row r="34690">
      <c r="A34690" s="4" t="s">
        <v>43649</v>
      </c>
      <c r="B34690" s="4" t="s">
        <v>43650</v>
      </c>
      <c r="C34690" s="5" t="str">
        <f>IFERROR(__xludf.DUMMYFUNCTION("GOOGLETRANSLATE(B34690,""en"",""zh-CN"")"),"穿着黑色衬衫的男人正在三明治店里检查食物。")</f>
        <v>穿着黑色衬衫的男人正在三明治店里检查食物。</v>
      </c>
    </row>
    <row r="34691">
      <c r="A34691" s="4" t="s">
        <v>43649</v>
      </c>
      <c r="B34691" s="4" t="s">
        <v>43651</v>
      </c>
      <c r="C34691" s="5" t="str">
        <f>IFERROR(__xludf.DUMMYFUNCTION("GOOGLETRANSLATE(B34691,""en"",""zh-CN"")"),"然后，该男子快速移动以制作hoagie三明治，从垃圾箱中添加成分。")</f>
        <v>然后，该男子快速移动以制作hoagie三明治，从垃圾箱中添加成分。</v>
      </c>
    </row>
    <row r="34692">
      <c r="A34692" s="4" t="s">
        <v>43649</v>
      </c>
      <c r="B34692" s="4" t="s">
        <v>43652</v>
      </c>
      <c r="C34692" s="5" t="str">
        <f>IFERROR(__xludf.DUMMYFUNCTION("GOOGLETRANSLATE(B34692,""en"",""zh-CN"")"),"该男子将三明治包裹在纸上，然后将其放入塑料袋中。")</f>
        <v>该男子将三明治包裹在纸上，然后将其放入塑料袋中。</v>
      </c>
    </row>
    <row r="34693">
      <c r="A34693" s="4" t="s">
        <v>43649</v>
      </c>
      <c r="B34693" s="4" t="s">
        <v>43653</v>
      </c>
      <c r="C34693" s="5" t="str">
        <f>IFERROR(__xludf.DUMMYFUNCTION("GOOGLETRANSLATE(B34693,""en"",""zh-CN"")"),"我们在电话上看到该男子在41秒内制作了三明治。")</f>
        <v>我们在电话上看到该男子在41秒内制作了三明治。</v>
      </c>
    </row>
    <row r="34694">
      <c r="A34694" s="4" t="s">
        <v>43649</v>
      </c>
      <c r="B34694" s="4" t="s">
        <v>43654</v>
      </c>
      <c r="C34694" s="5" t="str">
        <f>IFERROR(__xludf.DUMMYFUNCTION("GOOGLETRANSLATE(B34694,""en"",""zh-CN"")"),"然后，该男子将三明治在后面分开。")</f>
        <v>然后，该男子将三明治在后面分开。</v>
      </c>
    </row>
    <row r="34695">
      <c r="A34695" s="4" t="s">
        <v>43655</v>
      </c>
      <c r="B34695" s="4" t="s">
        <v>6935</v>
      </c>
      <c r="C34695" s="5" t="str">
        <f>IFERROR(__xludf.DUMMYFUNCTION("GOOGLETRANSLATE(B34695,""en"",""zh-CN"")"),"短暂出现在屏幕上。")</f>
        <v>短暂出现在屏幕上。</v>
      </c>
    </row>
    <row r="34696">
      <c r="A34696" s="4" t="s">
        <v>43655</v>
      </c>
      <c r="B34696" s="4" t="s">
        <v>43656</v>
      </c>
      <c r="C34696" s="5" t="str">
        <f>IFERROR(__xludf.DUMMYFUNCTION("GOOGLETRANSLATE(B34696,""en"",""zh-CN"")"),"摄像机朝栅栏的侧面竖起。")</f>
        <v>摄像机朝栅栏的侧面竖起。</v>
      </c>
    </row>
    <row r="34697">
      <c r="A34697" s="4" t="s">
        <v>43655</v>
      </c>
      <c r="B34697" s="4" t="s">
        <v>43657</v>
      </c>
      <c r="C34697" s="5" t="str">
        <f>IFERROR(__xludf.DUMMYFUNCTION("GOOGLETRANSLATE(B34697,""en"",""zh-CN"")"),"它停在破损的部分。")</f>
        <v>它停在破损的部分。</v>
      </c>
    </row>
    <row r="34698">
      <c r="A34698" s="4" t="s">
        <v>43655</v>
      </c>
      <c r="B34698" s="4" t="s">
        <v>43658</v>
      </c>
      <c r="C34698" s="5" t="str">
        <f>IFERROR(__xludf.DUMMYFUNCTION("GOOGLETRANSLATE(B34698,""en"",""zh-CN"")"),"它继续摇摆篱笆。")</f>
        <v>它继续摇摆篱笆。</v>
      </c>
    </row>
    <row r="34699">
      <c r="A34699" s="4" t="s">
        <v>43655</v>
      </c>
      <c r="B34699" s="4" t="s">
        <v>43659</v>
      </c>
      <c r="C34699" s="5" t="str">
        <f>IFERROR(__xludf.DUMMYFUNCTION("GOOGLETRANSLATE(B34699,""en"",""zh-CN"")"),"指甲被锤入篱笆上。")</f>
        <v>指甲被锤入篱笆上。</v>
      </c>
    </row>
    <row r="34700">
      <c r="A34700" s="4" t="s">
        <v>43655</v>
      </c>
      <c r="B34700" s="4" t="s">
        <v>43660</v>
      </c>
      <c r="C34700" s="5" t="str">
        <f>IFERROR(__xludf.DUMMYFUNCTION("GOOGLETRANSLATE(B34700,""en"",""zh-CN"")"),"他们继续沿着篱笆沿着篱笆拆除一些死亡的植物。")</f>
        <v>他们继续沿着篱笆沿着篱笆拆除一些死亡的植物。</v>
      </c>
    </row>
    <row r="34701">
      <c r="A34701" s="4" t="s">
        <v>43655</v>
      </c>
      <c r="B34701" s="4" t="s">
        <v>43661</v>
      </c>
      <c r="C34701" s="5" t="str">
        <f>IFERROR(__xludf.DUMMYFUNCTION("GOOGLETRANSLATE(B34701,""en"",""zh-CN"")"),"他们显示了用于清洁围栏的产品。")</f>
        <v>他们显示了用于清洁围栏的产品。</v>
      </c>
    </row>
    <row r="34702">
      <c r="A34702" s="4" t="s">
        <v>43655</v>
      </c>
      <c r="B34702" s="4" t="s">
        <v>43662</v>
      </c>
      <c r="C34702" s="5" t="str">
        <f>IFERROR(__xludf.DUMMYFUNCTION("GOOGLETRANSLATE(B34702,""en"",""zh-CN"")"),"一个人用产品喷洒篱笆。")</f>
        <v>一个人用产品喷洒篱笆。</v>
      </c>
    </row>
    <row r="34703">
      <c r="A34703" s="4" t="s">
        <v>43655</v>
      </c>
      <c r="B34703" s="4" t="s">
        <v>43663</v>
      </c>
      <c r="C34703" s="5" t="str">
        <f>IFERROR(__xludf.DUMMYFUNCTION("GOOGLETRANSLATE(B34703,""en"",""zh-CN"")"),"他丢下了它，得到了一些油漆。")</f>
        <v>他丢下了它，得到了一些油漆。</v>
      </c>
    </row>
    <row r="34704">
      <c r="A34704" s="4" t="s">
        <v>43655</v>
      </c>
      <c r="B34704" s="4" t="s">
        <v>43664</v>
      </c>
      <c r="C34704" s="5" t="str">
        <f>IFERROR(__xludf.DUMMYFUNCTION("GOOGLETRANSLATE(B34704,""en"",""zh-CN"")"),"显示了围栏的彩绘部分。")</f>
        <v>显示了围栏的彩绘部分。</v>
      </c>
    </row>
    <row r="34705">
      <c r="A34705" s="4" t="s">
        <v>43665</v>
      </c>
      <c r="B34705" s="4" t="s">
        <v>43666</v>
      </c>
      <c r="C34705" s="5" t="str">
        <f>IFERROR(__xludf.DUMMYFUNCTION("GOOGLETRANSLATE(B34705,""en"",""zh-CN"")"),"一件粉红色衬衫的一点点越过猴子酒吧。")</f>
        <v>一件粉红色衬衫的一点点越过猴子酒吧。</v>
      </c>
    </row>
    <row r="34706">
      <c r="A34706" s="4" t="s">
        <v>43665</v>
      </c>
      <c r="B34706" s="4" t="s">
        <v>43667</v>
      </c>
      <c r="C34706" s="5" t="str">
        <f>IFERROR(__xludf.DUMMYFUNCTION("GOOGLETRANSLATE(B34706,""en"",""zh-CN"")"),"她从酒吧倒挂。")</f>
        <v>她从酒吧倒挂。</v>
      </c>
    </row>
    <row r="34707">
      <c r="A34707" s="4" t="s">
        <v>43665</v>
      </c>
      <c r="B34707" s="4" t="s">
        <v>43668</v>
      </c>
      <c r="C34707" s="5" t="str">
        <f>IFERROR(__xludf.DUMMYFUNCTION("GOOGLETRANSLATE(B34707,""en"",""zh-CN"")"),"她对镜头微笑。")</f>
        <v>她对镜头微笑。</v>
      </c>
    </row>
    <row r="34708">
      <c r="A34708" s="4" t="s">
        <v>43669</v>
      </c>
      <c r="B34708" s="4" t="s">
        <v>43670</v>
      </c>
      <c r="C34708" s="5" t="str">
        <f>IFERROR(__xludf.DUMMYFUNCTION("GOOGLETRANSLATE(B34708,""en"",""zh-CN"")"),"出现了曲棍球敏捷教程的标题屏幕。")</f>
        <v>出现了曲棍球敏捷教程的标题屏幕。</v>
      </c>
    </row>
    <row r="34709">
      <c r="A34709" s="4" t="s">
        <v>43669</v>
      </c>
      <c r="B34709" s="6" t="s">
        <v>43671</v>
      </c>
      <c r="C34709" s="5" t="str">
        <f>IFERROR(__xludf.DUMMYFUNCTION("GOOGLETRANSLATE(B34709,""en"",""zh-CN"")"),"一名曲棍球运动员经历了几个例程，显示了曲棍球棒和冰球和轮胎，小锥的钻孔。")</f>
        <v>一名曲棍球运动员经历了几个例程，显示了曲棍球棒和冰球和轮胎，小锥的钻孔。</v>
      </c>
    </row>
    <row r="34710">
      <c r="A34710" s="4" t="s">
        <v>43669</v>
      </c>
      <c r="B34710" s="4" t="s">
        <v>43672</v>
      </c>
      <c r="C34710" s="5" t="str">
        <f>IFERROR(__xludf.DUMMYFUNCTION("GOOGLETRANSLATE(B34710,""en"",""zh-CN"")"),"另一个标题屏幕出现在其下方的网站上。")</f>
        <v>另一个标题屏幕出现在其下方的网站上。</v>
      </c>
    </row>
    <row r="34711">
      <c r="A34711" s="4" t="s">
        <v>43673</v>
      </c>
      <c r="B34711" s="4" t="s">
        <v>43674</v>
      </c>
      <c r="C34711" s="5" t="str">
        <f>IFERROR(__xludf.DUMMYFUNCTION("GOOGLETRANSLATE(B34711,""en"",""zh-CN"")"),"一个人看着另一个人从高架窗户的院子里用叶吹制。")</f>
        <v>一个人看着另一个人从高架窗户的院子里用叶吹制。</v>
      </c>
    </row>
    <row r="34712">
      <c r="A34712" s="4" t="s">
        <v>43673</v>
      </c>
      <c r="B34712" s="4" t="s">
        <v>43675</v>
      </c>
      <c r="C34712" s="5" t="str">
        <f>IFERROR(__xludf.DUMMYFUNCTION("GOOGLETRANSLATE(B34712,""en"",""zh-CN"")"),"一个穿着深色衣服的人在两个敞开的车库门前的一块财产上散发出叶子。")</f>
        <v>一个穿着深色衣服的人在两个敞开的车库门前的一块财产上散发出叶子。</v>
      </c>
    </row>
    <row r="34713">
      <c r="A34713" s="4" t="s">
        <v>43673</v>
      </c>
      <c r="B34713" s="6" t="s">
        <v>43676</v>
      </c>
      <c r="C34713" s="5" t="str">
        <f>IFERROR(__xludf.DUMMYFUNCTION("GOOGLETRANSLATE(B34713,""en"",""zh-CN"")"),"另一个人用相机从高架房间的窗户看着白色窗台上的窗户移动。")</f>
        <v>另一个人用相机从高架房间的窗户看着白色窗台上的窗户移动。</v>
      </c>
    </row>
    <row r="34714">
      <c r="A34714" s="4" t="s">
        <v>43673</v>
      </c>
      <c r="B34714" s="4" t="s">
        <v>43677</v>
      </c>
      <c r="C34714" s="5" t="str">
        <f>IFERROR(__xludf.DUMMYFUNCTION("GOOGLETRANSLATE(B34714,""en"",""zh-CN"")"),"吹叶子的人在院子里移动，并继续进行草坪维护。")</f>
        <v>吹叶子的人在院子里移动，并继续进行草坪维护。</v>
      </c>
    </row>
    <row r="34715">
      <c r="A34715" s="4" t="s">
        <v>43678</v>
      </c>
      <c r="B34715" s="4" t="s">
        <v>43679</v>
      </c>
      <c r="C34715" s="5" t="str">
        <f>IFERROR(__xludf.DUMMYFUNCTION("GOOGLETRANSLATE(B34715,""en"",""zh-CN"")"),"一个女人在健身房的楼梯机上说话，并显示出适当的立足点。")</f>
        <v>一个女人在健身房的楼梯机上说话，并显示出适当的立足点。</v>
      </c>
    </row>
    <row r="34716">
      <c r="A34716" s="4" t="s">
        <v>43678</v>
      </c>
      <c r="B34716" s="4" t="s">
        <v>43680</v>
      </c>
      <c r="C34716" s="5" t="str">
        <f>IFERROR(__xludf.DUMMYFUNCTION("GOOGLETRANSLATE(B34716,""en"",""zh-CN"")"),"女人没有手柄在健身房的有氧机器上行走。")</f>
        <v>女人没有手柄在健身房的有氧机器上行走。</v>
      </c>
    </row>
    <row r="34717">
      <c r="A34717" s="4" t="s">
        <v>43678</v>
      </c>
      <c r="B34717" s="4" t="s">
        <v>43681</v>
      </c>
      <c r="C34717" s="5" t="str">
        <f>IFERROR(__xludf.DUMMYFUNCTION("GOOGLETRANSLATE(B34717,""en"",""zh-CN"")"),"该女士在有氧机器上行走时使用手臂杆。")</f>
        <v>该女士在有氧机器上行走时使用手臂杆。</v>
      </c>
    </row>
    <row r="34718">
      <c r="A34718" s="4" t="s">
        <v>43678</v>
      </c>
      <c r="B34718" s="4" t="s">
        <v>43682</v>
      </c>
      <c r="C34718" s="5" t="str">
        <f>IFERROR(__xludf.DUMMYFUNCTION("GOOGLETRANSLATE(B34718,""en"",""zh-CN"")"),"女人握着手臂握住机器。")</f>
        <v>女人握着手臂握住机器。</v>
      </c>
    </row>
    <row r="34719">
      <c r="A34719" s="4" t="s">
        <v>43683</v>
      </c>
      <c r="B34719" s="4" t="s">
        <v>43684</v>
      </c>
      <c r="C34719" s="5" t="str">
        <f>IFERROR(__xludf.DUMMYFUNCTION("GOOGLETRANSLATE(B34719,""en"",""zh-CN"")"),"看到一个人的手握着油漆刷。")</f>
        <v>看到一个人的手握着油漆刷。</v>
      </c>
    </row>
    <row r="34720">
      <c r="A34720" s="4" t="s">
        <v>43683</v>
      </c>
      <c r="B34720" s="4" t="s">
        <v>43685</v>
      </c>
      <c r="C34720" s="5" t="str">
        <f>IFERROR(__xludf.DUMMYFUNCTION("GOOGLETRANSLATE(B34720,""en"",""zh-CN"")"),"然后，手将墨水滴在纸上。")</f>
        <v>然后，手将墨水滴在纸上。</v>
      </c>
    </row>
    <row r="34721">
      <c r="A34721" s="4" t="s">
        <v>43683</v>
      </c>
      <c r="B34721" s="4" t="s">
        <v>43686</v>
      </c>
      <c r="C34721" s="5" t="str">
        <f>IFERROR(__xludf.DUMMYFUNCTION("GOOGLETRANSLATE(B34721,""en"",""zh-CN"")"),"用油漆刷再次看到该人的手。")</f>
        <v>用油漆刷再次看到该人的手。</v>
      </c>
    </row>
    <row r="34722">
      <c r="A34722" s="4" t="s">
        <v>43683</v>
      </c>
      <c r="B34722" s="4" t="s">
        <v>43687</v>
      </c>
      <c r="C34722" s="5" t="str">
        <f>IFERROR(__xludf.DUMMYFUNCTION("GOOGLETRANSLATE(B34722,""en"",""zh-CN"")"),"手用墨水滴管返回，并用墨水创建图片。")</f>
        <v>手用墨水滴管返回，并用墨水创建图片。</v>
      </c>
    </row>
    <row r="34723">
      <c r="A34723" s="4" t="s">
        <v>43683</v>
      </c>
      <c r="B34723" s="4" t="s">
        <v>43688</v>
      </c>
      <c r="C34723" s="5" t="str">
        <f>IFERROR(__xludf.DUMMYFUNCTION("GOOGLETRANSLATE(B34723,""en"",""zh-CN"")"),"手用纸巾轻轻触摸图片。")</f>
        <v>手用纸巾轻轻触摸图片。</v>
      </c>
    </row>
    <row r="34724">
      <c r="A34724" s="4" t="s">
        <v>43689</v>
      </c>
      <c r="B34724" s="4" t="s">
        <v>43690</v>
      </c>
      <c r="C34724" s="5" t="str">
        <f>IFERROR(__xludf.DUMMYFUNCTION("GOOGLETRANSLATE(B34724,""en"",""zh-CN"")"),"穿着黑色衬衫的女人弯腰，用槌槌击中球。")</f>
        <v>穿着黑色衬衫的女人弯腰，用槌槌击中球。</v>
      </c>
    </row>
    <row r="34725">
      <c r="A34725" s="4" t="s">
        <v>43689</v>
      </c>
      <c r="B34725" s="4" t="s">
        <v>43691</v>
      </c>
      <c r="C34725" s="5" t="str">
        <f>IFERROR(__xludf.DUMMYFUNCTION("GOOGLETRANSLATE(B34725,""en"",""zh-CN"")"),"那个女人再次击中了绿球，使其击中了小杆。")</f>
        <v>那个女人再次击中了绿球，使其击中了小杆。</v>
      </c>
    </row>
    <row r="34726">
      <c r="A34726" s="4" t="s">
        <v>43689</v>
      </c>
      <c r="B34726" s="4" t="s">
        <v>43692</v>
      </c>
      <c r="C34726" s="5" t="str">
        <f>IFERROR(__xludf.DUMMYFUNCTION("GOOGLETRANSLATE(B34726,""en"",""zh-CN"")"),"黑色的女人欢呼雀跃，开始走路。")</f>
        <v>黑色的女人欢呼雀跃，开始走路。</v>
      </c>
    </row>
    <row r="34727">
      <c r="A34727" s="4" t="s">
        <v>43693</v>
      </c>
      <c r="B34727" s="4" t="s">
        <v>43694</v>
      </c>
      <c r="C34727" s="5" t="str">
        <f>IFERROR(__xludf.DUMMYFUNCTION("GOOGLETRANSLATE(B34727,""en"",""zh-CN"")"),"显示了秒表，人群聚集了一场曲棍球比赛。")</f>
        <v>显示了秒表，人群聚集了一场曲棍球比赛。</v>
      </c>
    </row>
    <row r="34728">
      <c r="A34728" s="4" t="s">
        <v>43693</v>
      </c>
      <c r="B34728" s="4" t="s">
        <v>43695</v>
      </c>
      <c r="C34728" s="5" t="str">
        <f>IFERROR(__xludf.DUMMYFUNCTION("GOOGLETRANSLATE(B34728,""en"",""zh-CN"")"),"该纪录片以前玩家的声音为特色，因为彩色显示了档案录像。")</f>
        <v>该纪录片以前玩家的声音为特色，因为彩色显示了档案录像。</v>
      </c>
    </row>
    <row r="34729">
      <c r="A34729" s="4" t="s">
        <v>43693</v>
      </c>
      <c r="B34729" s="4" t="s">
        <v>43696</v>
      </c>
      <c r="C34729" s="5" t="str">
        <f>IFERROR(__xludf.DUMMYFUNCTION("GOOGLETRANSLATE(B34729,""en"",""zh-CN"")"),"黑白的照片和视频描绘了游戏的历史。")</f>
        <v>黑白的照片和视频描绘了游戏的历史。</v>
      </c>
    </row>
    <row r="34730">
      <c r="A34730" s="4" t="s">
        <v>43693</v>
      </c>
      <c r="B34730" s="4" t="s">
        <v>43697</v>
      </c>
      <c r="C34730" s="5" t="str">
        <f>IFERROR(__xludf.DUMMYFUNCTION("GOOGLETRANSLATE(B34730,""en"",""zh-CN"")"),"然后，纪录片专注于著名的球员。")</f>
        <v>然后，纪录片专注于著名的球员。</v>
      </c>
    </row>
    <row r="34731">
      <c r="A34731" s="4" t="s">
        <v>43693</v>
      </c>
      <c r="B34731" s="4" t="s">
        <v>43698</v>
      </c>
      <c r="C34731" s="5" t="str">
        <f>IFERROR(__xludf.DUMMYFUNCTION("GOOGLETRANSLATE(B34731,""en"",""zh-CN"")"),"之后，一位著名的经理被强调，前球员谈论他。")</f>
        <v>之后，一位著名的经理被强调，前球员谈论他。</v>
      </c>
    </row>
    <row r="34732">
      <c r="A34732" s="4" t="s">
        <v>43699</v>
      </c>
      <c r="B34732" s="6" t="s">
        <v>43700</v>
      </c>
      <c r="C34732" s="5" t="str">
        <f>IFERROR(__xludf.DUMMYFUNCTION("GOOGLETRANSLATE(B34732,""en"",""zh-CN"")"),"一个女人与相机交谈，然后演示可以使用游乐场设备在操场上进行的练习，包括猴子酒吧。")</f>
        <v>一个女人与相机交谈，然后演示可以使用游乐场设备在操场上进行的练习，包括猴子酒吧。</v>
      </c>
    </row>
    <row r="34733">
      <c r="A34733" s="4" t="s">
        <v>43699</v>
      </c>
      <c r="B34733" s="6" t="s">
        <v>43701</v>
      </c>
      <c r="C34733" s="5" t="str">
        <f>IFERROR(__xludf.DUMMYFUNCTION("GOOGLETRANSLATE(B34733,""en"",""zh-CN"")"),"一个穿着红色短袖衬衫的女人站在操场上的沙子上，面对相机，一边站在一些猴子酒吧旁边。")</f>
        <v>一个穿着红色短袖衬衫的女人站在操场上的沙子上，面对相机，一边站在一些猴子酒吧旁边。</v>
      </c>
    </row>
    <row r="34734">
      <c r="A34734" s="4" t="s">
        <v>43699</v>
      </c>
      <c r="B34734" s="6" t="s">
        <v>43702</v>
      </c>
      <c r="C34734" s="5" t="str">
        <f>IFERROR(__xludf.DUMMYFUNCTION("GOOGLETRANSLATE(B34734,""en"",""zh-CN"")"),"该名女子开始使用猴子杆，并在整个酒吧的整个宽阔的宽面上拉动自己，而无需使用脚从杆到杆的推进，只使用上臂和核心强度将其拉过杆。")</f>
        <v>该名女子开始使用猴子杆，并在整个酒吧的整个宽阔的宽面上拉动自己，而无需使用脚从杆到杆的推进，只使用上臂和核心强度将其拉过杆。</v>
      </c>
    </row>
    <row r="34735">
      <c r="A34735" s="4" t="s">
        <v>43699</v>
      </c>
      <c r="B34735" s="6" t="s">
        <v>43703</v>
      </c>
      <c r="C34735" s="5" t="str">
        <f>IFERROR(__xludf.DUMMYFUNCTION("GOOGLETRANSLATE(B34735,""en"",""zh-CN"")"),"然后，该名女子爬上一堵墙，然后在体操上跳下它，然后开始与镜头交谈。")</f>
        <v>然后，该名女子爬上一堵墙，然后在体操上跳下它，然后开始与镜头交谈。</v>
      </c>
    </row>
    <row r="34736">
      <c r="A34736" s="4" t="s">
        <v>43704</v>
      </c>
      <c r="B34736" s="4" t="s">
        <v>43705</v>
      </c>
      <c r="C34736" s="5" t="str">
        <f>IFERROR(__xludf.DUMMYFUNCTION("GOOGLETRANSLATE(B34736,""en"",""zh-CN"")"),"看到一个男人坐在场边，然后是一群玩曲棍球的人。")</f>
        <v>看到一个男人坐在场边，然后是一群玩曲棍球的人。</v>
      </c>
    </row>
    <row r="34737">
      <c r="A34737" s="4" t="s">
        <v>43704</v>
      </c>
      <c r="B34737" s="6" t="s">
        <v>43706</v>
      </c>
      <c r="C34737" s="5" t="str">
        <f>IFERROR(__xludf.DUMMYFUNCTION("GOOGLETRANSLATE(B34737,""en"",""zh-CN"")"),"球员们继续在彼此的比赛中上下移动，并在侧面观看许多人。")</f>
        <v>球员们继续在彼此的比赛中上下移动，并在侧面观看许多人。</v>
      </c>
    </row>
    <row r="34738">
      <c r="A34738" s="4" t="s">
        <v>43704</v>
      </c>
      <c r="B34738" s="4" t="s">
        <v>43707</v>
      </c>
      <c r="C34738" s="5" t="str">
        <f>IFERROR(__xludf.DUMMYFUNCTION("GOOGLETRANSLATE(B34738,""en"",""zh-CN"")"),"小组继续打球并结束进球和裁判做出反应。")</f>
        <v>小组继续打球并结束进球和裁判做出反应。</v>
      </c>
    </row>
    <row r="34739">
      <c r="A34739" s="4" t="s">
        <v>43708</v>
      </c>
      <c r="B34739" s="6" t="s">
        <v>43709</v>
      </c>
      <c r="C34739" s="5" t="str">
        <f>IFERROR(__xludf.DUMMYFUNCTION("GOOGLETRANSLATE(B34739,""en"",""zh-CN"")"),"一群穿着深色衣服的学员在看来是市区广场的一群。")</f>
        <v>一群穿着深色衣服的学员在看来是市区广场的一群。</v>
      </c>
    </row>
    <row r="34740">
      <c r="A34740" s="4" t="s">
        <v>43708</v>
      </c>
      <c r="B34740" s="4" t="s">
        <v>43710</v>
      </c>
      <c r="C34740" s="5" t="str">
        <f>IFERROR(__xludf.DUMMYFUNCTION("GOOGLETRANSLATE(B34740,""en"",""zh-CN"")"),"当学员在街上行进时，听到鼓乐队鼓出鼓声。")</f>
        <v>当学员在街上行进时，听到鼓乐队鼓出鼓声。</v>
      </c>
    </row>
    <row r="34741">
      <c r="A34741" s="4" t="s">
        <v>43708</v>
      </c>
      <c r="B34741" s="4" t="s">
        <v>43711</v>
      </c>
      <c r="C34741" s="5" t="str">
        <f>IFERROR(__xludf.DUMMYFUNCTION("GOOGLETRANSLATE(B34741,""en"",""zh-CN"")"),"游行者开始向人群挥手，向围观者打招呼。")</f>
        <v>游行者开始向人群挥手，向围观者打招呼。</v>
      </c>
    </row>
    <row r="34742">
      <c r="A34742" s="4" t="s">
        <v>43708</v>
      </c>
      <c r="B34742" s="4" t="s">
        <v>43712</v>
      </c>
      <c r="C34742" s="5" t="str">
        <f>IFERROR(__xludf.DUMMYFUNCTION("GOOGLETRANSLATE(B34742,""en"",""zh-CN"")"),"当学员继续向人群挥手时，听到一条长火车的声音。")</f>
        <v>当学员继续向人群挥手时，听到一条长火车的声音。</v>
      </c>
    </row>
    <row r="34743">
      <c r="A34743" s="4" t="s">
        <v>43708</v>
      </c>
      <c r="B34743" s="4" t="s">
        <v>43713</v>
      </c>
      <c r="C34743" s="5" t="str">
        <f>IFERROR(__xludf.DUMMYFUNCTION("GOOGLETRANSLATE(B34743,""en"",""zh-CN"")"),"在学员后面，一支游行乐队穿着白色。")</f>
        <v>在学员后面，一支游行乐队穿着白色。</v>
      </c>
    </row>
    <row r="34744">
      <c r="A34744" s="4" t="s">
        <v>43708</v>
      </c>
      <c r="B34744" s="4" t="s">
        <v>43714</v>
      </c>
      <c r="C34744" s="5" t="str">
        <f>IFERROR(__xludf.DUMMYFUNCTION("GOOGLETRANSLATE(B34744,""en"",""zh-CN"")"),"乐队在播放学员歌曲时逐渐发展。")</f>
        <v>乐队在播放学员歌曲时逐渐发展。</v>
      </c>
    </row>
    <row r="34745">
      <c r="A34745" s="4" t="s">
        <v>43715</v>
      </c>
      <c r="B34745" s="4" t="s">
        <v>43716</v>
      </c>
      <c r="C34745" s="5" t="str">
        <f>IFERROR(__xludf.DUMMYFUNCTION("GOOGLETRANSLATE(B34745,""en"",""zh-CN"")"),"视频中显示了西班牙字母。")</f>
        <v>视频中显示了西班牙字母。</v>
      </c>
    </row>
    <row r="34746">
      <c r="A34746" s="4" t="s">
        <v>43715</v>
      </c>
      <c r="B34746" s="6" t="s">
        <v>43717</v>
      </c>
      <c r="C34746" s="5" t="str">
        <f>IFERROR(__xludf.DUMMYFUNCTION("GOOGLETRANSLATE(B34746,""en"",""zh-CN"")"),"小孩子在桌子的顶部跳舞，厨房里戴着白色尿布，一个女人正在拍摄它。")</f>
        <v>小孩子在桌子的顶部跳舞，厨房里戴着白色尿布，一个女人正在拍摄它。</v>
      </c>
    </row>
    <row r="34747">
      <c r="A34747" s="4" t="s">
        <v>43718</v>
      </c>
      <c r="B34747" s="4" t="s">
        <v>43719</v>
      </c>
      <c r="C34747" s="5" t="str">
        <f>IFERROR(__xludf.DUMMYFUNCTION("GOOGLETRANSLATE(B34747,""en"",""zh-CN"")"),"一名体操运动员弯腰在他的头顶上升，而其他男人坐在健身房看着他。")</f>
        <v>一名体操运动员弯腰在他的头顶上升，而其他男人坐在健身房看着他。</v>
      </c>
    </row>
    <row r="34748">
      <c r="A34748" s="4" t="s">
        <v>43718</v>
      </c>
      <c r="B34748" s="4" t="s">
        <v>43720</v>
      </c>
      <c r="C34748" s="5" t="str">
        <f>IFERROR(__xludf.DUMMYFUNCTION("GOOGLETRANSLATE(B34748,""en"",""zh-CN"")"),"体操运动员将重量放到地板上。")</f>
        <v>体操运动员将重量放到地板上。</v>
      </c>
    </row>
    <row r="34749">
      <c r="A34749" s="4" t="s">
        <v>43721</v>
      </c>
      <c r="B34749" s="4" t="s">
        <v>43722</v>
      </c>
      <c r="C34749" s="5" t="str">
        <f>IFERROR(__xludf.DUMMYFUNCTION("GOOGLETRANSLATE(B34749,""en"",""zh-CN"")"),"一个男人坐在栅栏上，同时指出马匹，并与镜头交谈。")</f>
        <v>一个男人坐在栅栏上，同时指出马匹，并与镜头交谈。</v>
      </c>
    </row>
    <row r="34750">
      <c r="A34750" s="4" t="s">
        <v>43721</v>
      </c>
      <c r="B34750" s="4" t="s">
        <v>43723</v>
      </c>
      <c r="C34750" s="5" t="str">
        <f>IFERROR(__xludf.DUMMYFUNCTION("GOOGLETRANSLATE(B34750,""en"",""zh-CN"")"),"一个女孩骑着马显示出一个女孩，而另外三只则抓住马并提供帮助。")</f>
        <v>一个女孩骑着马显示出一个女孩，而另外三只则抓住马并提供帮助。</v>
      </c>
    </row>
    <row r="34751">
      <c r="A34751" s="4" t="s">
        <v>43721</v>
      </c>
      <c r="B34751" s="4" t="s">
        <v>43724</v>
      </c>
      <c r="C34751" s="5" t="str">
        <f>IFERROR(__xludf.DUMMYFUNCTION("GOOGLETRANSLATE(B34751,""en"",""zh-CN"")"),"这些人帮助各种马匹的各种人。")</f>
        <v>这些人帮助各种马匹的各种人。</v>
      </c>
    </row>
    <row r="34752">
      <c r="A34752" s="4" t="s">
        <v>43721</v>
      </c>
      <c r="B34752" s="4" t="s">
        <v>43725</v>
      </c>
      <c r="C34752" s="5" t="str">
        <f>IFERROR(__xludf.DUMMYFUNCTION("GOOGLETRANSLATE(B34752,""en"",""zh-CN"")"),"人们还与马一起穿过障碍课程，并始终保持一只手。")</f>
        <v>人们还与马一起穿过障碍课程，并始终保持一只手。</v>
      </c>
    </row>
    <row r="34753">
      <c r="A34753" s="4" t="s">
        <v>43721</v>
      </c>
      <c r="B34753" s="4" t="s">
        <v>43726</v>
      </c>
      <c r="C34753" s="5" t="str">
        <f>IFERROR(__xludf.DUMMYFUNCTION("GOOGLETRANSLATE(B34753,""en"",""zh-CN"")"),"该男子站在中间，鼓掌骑手并给予马方向。")</f>
        <v>该男子站在中间，鼓掌骑手并给予马方向。</v>
      </c>
    </row>
    <row r="34754">
      <c r="A34754" s="4" t="s">
        <v>43721</v>
      </c>
      <c r="B34754" s="4" t="s">
        <v>43727</v>
      </c>
      <c r="C34754" s="5" t="str">
        <f>IFERROR(__xludf.DUMMYFUNCTION("GOOGLETRANSLATE(B34754,""en"",""zh-CN"")"),"当他脱下马时，一个男孩微笑着，几个人祝贺他。")</f>
        <v>当他脱下马时，一个男孩微笑着，几个人祝贺他。</v>
      </c>
    </row>
    <row r="34755">
      <c r="A34755" s="4" t="s">
        <v>43721</v>
      </c>
      <c r="B34755" s="4" t="s">
        <v>43728</v>
      </c>
      <c r="C34755" s="5" t="str">
        <f>IFERROR(__xludf.DUMMYFUNCTION("GOOGLETRANSLATE(B34755,""en"",""zh-CN"")"),"该男子通过谈论他的营地以及为什么要加入来结束。")</f>
        <v>该男子通过谈论他的营地以及为什么要加入来结束。</v>
      </c>
    </row>
    <row r="34756">
      <c r="A34756" s="4" t="s">
        <v>43729</v>
      </c>
      <c r="B34756" s="6" t="s">
        <v>43730</v>
      </c>
      <c r="C34756" s="5" t="str">
        <f>IFERROR(__xludf.DUMMYFUNCTION("GOOGLETRANSLATE(B34756,""en"",""zh-CN"")"),"看到两个孩子在院子里互相钩针编织，并在侧面大笑。")</f>
        <v>看到两个孩子在院子里互相钩针编织，并在侧面大笑。</v>
      </c>
    </row>
    <row r="34757">
      <c r="A34757" s="4" t="s">
        <v>43729</v>
      </c>
      <c r="B34757" s="4" t="s">
        <v>43731</v>
      </c>
      <c r="C34757" s="5" t="str">
        <f>IFERROR(__xludf.DUMMYFUNCTION("GOOGLETRANSLATE(B34757,""en"",""zh-CN"")"),"孩子们继续互相玩耍，而相机的动作到处都是。")</f>
        <v>孩子们继续互相玩耍，而相机的动作到处都是。</v>
      </c>
    </row>
    <row r="34758">
      <c r="A34758" s="4" t="s">
        <v>43732</v>
      </c>
      <c r="B34758" s="4" t="s">
        <v>43733</v>
      </c>
      <c r="C34758" s="5" t="str">
        <f>IFERROR(__xludf.DUMMYFUNCTION("GOOGLETRANSLATE(B34758,""en"",""zh-CN"")"),"显示了一个大院子，后面是一个年幼的孩子，将割草机推到周围。")</f>
        <v>显示了一个大院子，后面是一个年幼的孩子，将割草机推到周围。</v>
      </c>
    </row>
    <row r="34759">
      <c r="A34759" s="4" t="s">
        <v>43732</v>
      </c>
      <c r="B34759" s="4" t="s">
        <v>43734</v>
      </c>
      <c r="C34759" s="5" t="str">
        <f>IFERROR(__xludf.DUMMYFUNCTION("GOOGLETRANSLATE(B34759,""en"",""zh-CN"")"),"当相机从侧面看时，男孩继续将割草机推到四处。")</f>
        <v>当相机从侧面看时，男孩继续将割草机推到四处。</v>
      </c>
    </row>
    <row r="34760">
      <c r="A34760" s="4" t="s">
        <v>43732</v>
      </c>
      <c r="B34760" s="4" t="s">
        <v>43735</v>
      </c>
      <c r="C34760" s="5" t="str">
        <f>IFERROR(__xludf.DUMMYFUNCTION("GOOGLETRANSLATE(B34760,""en"",""zh-CN"")"),"这个男孩沿着院子里移动割草机。")</f>
        <v>这个男孩沿着院子里移动割草机。</v>
      </c>
    </row>
    <row r="34761">
      <c r="A34761" s="4" t="s">
        <v>43736</v>
      </c>
      <c r="B34761" s="6" t="s">
        <v>43737</v>
      </c>
      <c r="C34761" s="5" t="str">
        <f>IFERROR(__xludf.DUMMYFUNCTION("GOOGLETRANSLATE(B34761,""en"",""zh-CN"")"),"看到一个女人在镜头上说话，并导致她握住各种指甲油，并开始使用一套假指甲。")</f>
        <v>看到一个女人在镜头上说话，并导致她握住各种指甲油，并开始使用一套假指甲。</v>
      </c>
    </row>
    <row r="34762">
      <c r="A34762" s="4" t="s">
        <v>43736</v>
      </c>
      <c r="B34762" s="6" t="s">
        <v>43738</v>
      </c>
      <c r="C34762" s="5" t="str">
        <f>IFERROR(__xludf.DUMMYFUNCTION("GOOGLETRANSLATE(B34762,""en"",""zh-CN"")"),"她继续在指甲上绘画使用几种不同的颜色，并最终将指甲展示给相机。")</f>
        <v>她继续在指甲上绘画使用几种不同的颜色，并最终将指甲展示给相机。</v>
      </c>
    </row>
    <row r="34763">
      <c r="A34763" s="4" t="s">
        <v>43739</v>
      </c>
      <c r="B34763" s="4" t="s">
        <v>43740</v>
      </c>
      <c r="C34763" s="5" t="str">
        <f>IFERROR(__xludf.DUMMYFUNCTION("GOOGLETRANSLATE(B34763,""en"",""zh-CN"")"),"一群女孩抬头看着游乐园的骑行，并在那里挥舞着恐惧和期待。")</f>
        <v>一群女孩抬头看着游乐园的骑行，并在那里挥舞着恐惧和期待。</v>
      </c>
    </row>
    <row r="34764">
      <c r="A34764" s="4" t="s">
        <v>43739</v>
      </c>
      <c r="B34764" s="4" t="s">
        <v>43741</v>
      </c>
      <c r="C34764" s="5" t="str">
        <f>IFERROR(__xludf.DUMMYFUNCTION("GOOGLETRANSLATE(B34764,""en"",""zh-CN"")"),"女孩穿着安全带。")</f>
        <v>女孩穿着安全带。</v>
      </c>
    </row>
    <row r="34765">
      <c r="A34765" s="4" t="s">
        <v>43739</v>
      </c>
      <c r="B34765" s="4" t="s">
        <v>43742</v>
      </c>
      <c r="C34765" s="5" t="str">
        <f>IFERROR(__xludf.DUMMYFUNCTION("GOOGLETRANSLATE(B34765,""en"",""zh-CN"")"),"小组将楼梯爬到平台的顶部。")</f>
        <v>小组将楼梯爬到平台的顶部。</v>
      </c>
    </row>
    <row r="34766">
      <c r="A34766" s="4" t="s">
        <v>43739</v>
      </c>
      <c r="B34766" s="4" t="s">
        <v>43743</v>
      </c>
      <c r="C34766" s="5" t="str">
        <f>IFERROR(__xludf.DUMMYFUNCTION("GOOGLETRANSLATE(B34766,""en"",""zh-CN"")"),"一个女孩站在平台的顶部，绳子和安全带准备跳跃。")</f>
        <v>一个女孩站在平台的顶部，绳子和安全带准备跳跃。</v>
      </c>
    </row>
    <row r="34767">
      <c r="A34767" s="4" t="s">
        <v>43739</v>
      </c>
      <c r="B34767" s="4" t="s">
        <v>43744</v>
      </c>
      <c r="C34767" s="5" t="str">
        <f>IFERROR(__xludf.DUMMYFUNCTION("GOOGLETRANSLATE(B34767,""en"",""zh-CN"")"),"看到流行乐队在唱歌和跳舞。")</f>
        <v>看到流行乐队在唱歌和跳舞。</v>
      </c>
    </row>
    <row r="34768">
      <c r="A34768" s="4" t="s">
        <v>43739</v>
      </c>
      <c r="B34768" s="4" t="s">
        <v>43745</v>
      </c>
      <c r="C34768" s="5" t="str">
        <f>IFERROR(__xludf.DUMMYFUNCTION("GOOGLETRANSLATE(B34768,""en"",""zh-CN"")"),"女孩从平台上跳下来，在空中蹦极绳上弹跳。")</f>
        <v>女孩从平台上跳下来，在空中蹦极绳上弹跳。</v>
      </c>
    </row>
    <row r="34769">
      <c r="A34769" s="4" t="s">
        <v>43739</v>
      </c>
      <c r="B34769" s="4" t="s">
        <v>43746</v>
      </c>
      <c r="C34769" s="5" t="str">
        <f>IFERROR(__xludf.DUMMYFUNCTION("GOOGLETRANSLATE(B34769,""en"",""zh-CN"")"),"小组成员遇到了这个女孩，他们祝贺她的跳跃。")</f>
        <v>小组成员遇到了这个女孩，他们祝贺她的跳跃。</v>
      </c>
    </row>
    <row r="34770">
      <c r="A34770" s="4" t="s">
        <v>43747</v>
      </c>
      <c r="B34770" s="4" t="s">
        <v>43748</v>
      </c>
      <c r="C34770" s="5" t="str">
        <f>IFERROR(__xludf.DUMMYFUNCTION("GOOGLETRANSLATE(B34770,""en"",""zh-CN"")"),"穿着蓝色衬衫的男人正在健身房里扫地。")</f>
        <v>穿着蓝色衬衫的男人正在健身房里扫地。</v>
      </c>
    </row>
    <row r="34771">
      <c r="A34771" s="4" t="s">
        <v>43747</v>
      </c>
      <c r="B34771" s="4" t="s">
        <v>43749</v>
      </c>
      <c r="C34771" s="5" t="str">
        <f>IFERROR(__xludf.DUMMYFUNCTION("GOOGLETRANSLATE(B34771,""en"",""zh-CN"")"),"他将扫帚翻转过来，将其平放在地板上。")</f>
        <v>他将扫帚翻转过来，将其平放在地板上。</v>
      </c>
    </row>
    <row r="34772">
      <c r="A34772" s="4" t="s">
        <v>43747</v>
      </c>
      <c r="B34772" s="4" t="s">
        <v>43750</v>
      </c>
      <c r="C34772" s="5" t="str">
        <f>IFERROR(__xludf.DUMMYFUNCTION("GOOGLETRANSLATE(B34772,""en"",""zh-CN"")"),"他开始在地板上吸尘。")</f>
        <v>他开始在地板上吸尘。</v>
      </c>
    </row>
    <row r="34773">
      <c r="A34773" s="4" t="s">
        <v>43747</v>
      </c>
      <c r="B34773" s="4" t="s">
        <v>43751</v>
      </c>
      <c r="C34773" s="5" t="str">
        <f>IFERROR(__xludf.DUMMYFUNCTION("GOOGLETRANSLATE(B34773,""en"",""zh-CN"")"),"他吸尘了扫帚的底部。")</f>
        <v>他吸尘了扫帚的底部。</v>
      </c>
    </row>
    <row r="34774">
      <c r="A34774" s="4" t="s">
        <v>43752</v>
      </c>
      <c r="B34774" s="4" t="s">
        <v>43753</v>
      </c>
      <c r="C34774" s="5" t="str">
        <f>IFERROR(__xludf.DUMMYFUNCTION("GOOGLETRANSLATE(B34774,""en"",""zh-CN"")"),"两个男人在前面的人群上玩乒乓球。")</f>
        <v>两个男人在前面的人群上玩乒乓球。</v>
      </c>
    </row>
    <row r="34775">
      <c r="A34775" s="4" t="s">
        <v>43752</v>
      </c>
      <c r="B34775" s="6" t="s">
        <v>43754</v>
      </c>
      <c r="C34775" s="5" t="str">
        <f>IFERROR(__xludf.DUMMYFUNCTION("GOOGLETRANSLATE(B34775,""en"",""zh-CN"")"),"当穿着黑色夹克的人提供服务时，球降落在网上，年轻人也无法很好地服务，球落在桌子外面。")</f>
        <v>当穿着黑色夹克的人提供服务时，球降落在网上，年轻人也无法很好地服务，球落在桌子外面。</v>
      </c>
    </row>
    <row r="34776">
      <c r="A34776" s="4" t="s">
        <v>43752</v>
      </c>
      <c r="B34776" s="4" t="s">
        <v>43755</v>
      </c>
      <c r="C34776" s="5" t="str">
        <f>IFERROR(__xludf.DUMMYFUNCTION("GOOGLETRANSLATE(B34776,""en"",""zh-CN"")"),"这位年轻人赢得并举手，而对手拥抱他。")</f>
        <v>这位年轻人赢得并举手，而对手拥抱他。</v>
      </c>
    </row>
    <row r="34777">
      <c r="A34777" s="4" t="s">
        <v>43752</v>
      </c>
      <c r="B34777" s="4" t="s">
        <v>43756</v>
      </c>
      <c r="C34777" s="5" t="str">
        <f>IFERROR(__xludf.DUMMYFUNCTION("GOOGLETRANSLATE(B34777,""en"",""zh-CN"")"),"人们给男人拍照。")</f>
        <v>人们给男人拍照。</v>
      </c>
    </row>
    <row r="34778">
      <c r="A34778" s="4" t="s">
        <v>43757</v>
      </c>
      <c r="B34778" s="6" t="s">
        <v>43758</v>
      </c>
      <c r="C34778" s="5" t="str">
        <f>IFERROR(__xludf.DUMMYFUNCTION("GOOGLETRANSLATE(B34778,""en"",""zh-CN"")"),"摄像头显示在桌子上放置的几种不同成分，然后有人将成分混合在一起。")</f>
        <v>摄像头显示在桌子上放置的几种不同成分，然后有人将成分混合在一起。</v>
      </c>
    </row>
    <row r="34779">
      <c r="A34779" s="4" t="s">
        <v>43757</v>
      </c>
      <c r="B34779" s="4" t="s">
        <v>43759</v>
      </c>
      <c r="C34779" s="5" t="str">
        <f>IFERROR(__xludf.DUMMYFUNCTION("GOOGLETRANSLATE(B34779,""en"",""zh-CN"")"),"他们将混合物放在锅上，以在烤箱中制作饼干，并展示最终结果。")</f>
        <v>他们将混合物放在锅上，以在烤箱中制作饼干，并展示最终结果。</v>
      </c>
    </row>
    <row r="34780">
      <c r="A34780" s="4" t="s">
        <v>43760</v>
      </c>
      <c r="B34780" s="6" t="s">
        <v>43761</v>
      </c>
      <c r="C34780" s="5" t="str">
        <f>IFERROR(__xludf.DUMMYFUNCTION("GOOGLETRANSLATE(B34780,""en"",""zh-CN"")"),"看到两个人在一个被人包围和表演武术动作的圈子周围奔跑。")</f>
        <v>看到两个人在一个被人包围和表演武术动作的圈子周围奔跑。</v>
      </c>
    </row>
    <row r="34781">
      <c r="A34781" s="4" t="s">
        <v>43760</v>
      </c>
      <c r="B34781" s="6" t="s">
        <v>43762</v>
      </c>
      <c r="C34781" s="5" t="str">
        <f>IFERROR(__xludf.DUMMYFUNCTION("GOOGLETRANSLATE(B34781,""en"",""zh-CN"")"),"越来越多的人来了圈子，人们继续互相旋转并彼此战斗。")</f>
        <v>越来越多的人来了圈子，人们继续互相旋转并彼此战斗。</v>
      </c>
    </row>
    <row r="34782">
      <c r="A34782" s="4" t="s">
        <v>43763</v>
      </c>
      <c r="B34782" s="4" t="s">
        <v>43764</v>
      </c>
      <c r="C34782" s="5" t="str">
        <f>IFERROR(__xludf.DUMMYFUNCTION("GOOGLETRANSLATE(B34782,""en"",""zh-CN"")"),"四个家伙在桌子上投掷高尔夫球，以击中塑料杯。")</f>
        <v>四个家伙在桌子上投掷高尔夫球，以击中塑料杯。</v>
      </c>
    </row>
    <row r="34783">
      <c r="A34783" s="4" t="s">
        <v>43763</v>
      </c>
      <c r="B34783" s="4" t="s">
        <v>43765</v>
      </c>
      <c r="C34783" s="5" t="str">
        <f>IFERROR(__xludf.DUMMYFUNCTION("GOOGLETRANSLATE(B34783,""en"",""zh-CN"")"),"两个家伙在一个家伙将高尔夫球送入塑料杯中。")</f>
        <v>两个家伙在一个家伙将高尔夫球送入塑料杯中。</v>
      </c>
    </row>
    <row r="34784">
      <c r="A34784" s="4" t="s">
        <v>43763</v>
      </c>
      <c r="B34784" s="4" t="s">
        <v>43766</v>
      </c>
      <c r="C34784" s="5" t="str">
        <f>IFERROR(__xludf.DUMMYFUNCTION("GOOGLETRANSLATE(B34784,""en"",""zh-CN"")"),"伙计们指着相机笑。")</f>
        <v>伙计们指着相机笑。</v>
      </c>
    </row>
    <row r="34785">
      <c r="A34785" s="4" t="s">
        <v>43763</v>
      </c>
      <c r="B34785" s="4" t="s">
        <v>43767</v>
      </c>
      <c r="C34785" s="5" t="str">
        <f>IFERROR(__xludf.DUMMYFUNCTION("GOOGLETRANSLATE(B34785,""en"",""zh-CN"")"),"一个人将高尔夫球从杯子中拿出来，试图喝液体。")</f>
        <v>一个人将高尔夫球从杯子中拿出来，试图喝液体。</v>
      </c>
    </row>
    <row r="34786">
      <c r="A34786" s="4" t="s">
        <v>43763</v>
      </c>
      <c r="B34786" s="6" t="s">
        <v>43768</v>
      </c>
      <c r="C34786" s="5" t="str">
        <f>IFERROR(__xludf.DUMMYFUNCTION("GOOGLETRANSLATE(B34786,""en"",""zh-CN"")"),"一个家伙向桌子扔了一个高尔夫球，将其放在杯子里，然后离开房间。")</f>
        <v>一个家伙向桌子扔了一个高尔夫球，将其放在杯子里，然后离开房间。</v>
      </c>
    </row>
    <row r="34787">
      <c r="A34787" s="4" t="s">
        <v>43763</v>
      </c>
      <c r="B34787" s="4" t="s">
        <v>43769</v>
      </c>
      <c r="C34787" s="5" t="str">
        <f>IFERROR(__xludf.DUMMYFUNCTION("GOOGLETRANSLATE(B34787,""en"",""zh-CN"")"),"伙计们庆祝并给予高击球。")</f>
        <v>伙计们庆祝并给予高击球。</v>
      </c>
    </row>
    <row r="34788">
      <c r="A34788" s="4" t="s">
        <v>43770</v>
      </c>
      <c r="B34788" s="4" t="s">
        <v>43771</v>
      </c>
      <c r="C34788" s="5" t="str">
        <f>IFERROR(__xludf.DUMMYFUNCTION("GOOGLETRANSLATE(B34788,""en"",""zh-CN"")"),"看到一个人在南瓜的侧面绘画，然后导致切断轮廓。")</f>
        <v>看到一个人在南瓜的侧面绘画，然后导致切断轮廓。</v>
      </c>
    </row>
    <row r="34789">
      <c r="A34789" s="4" t="s">
        <v>43770</v>
      </c>
      <c r="B34789" s="4" t="s">
        <v>43772</v>
      </c>
      <c r="C34789" s="5" t="str">
        <f>IFERROR(__xludf.DUMMYFUNCTION("GOOGLETRANSLATE(B34789,""en"",""zh-CN"")"),"然后，该人将抹布擦去整个南瓜的侧​​面。")</f>
        <v>然后，该人将抹布擦去整个南瓜的侧​​面。</v>
      </c>
    </row>
    <row r="34790">
      <c r="A34790" s="4" t="s">
        <v>43773</v>
      </c>
      <c r="B34790" s="4" t="s">
        <v>43774</v>
      </c>
      <c r="C34790" s="5" t="str">
        <f>IFERROR(__xludf.DUMMYFUNCTION("GOOGLETRANSLATE(B34790,""en"",""zh-CN"")"),"当一些戏剧性的音乐播放时，一个男人慢慢走过去，从墙上拿出一些设备。")</f>
        <v>当一些戏剧性的音乐播放时，一个男人慢慢走过去，从墙上拿出一些设备。</v>
      </c>
    </row>
    <row r="34791">
      <c r="A34791" s="4" t="s">
        <v>43773</v>
      </c>
      <c r="B34791" s="4" t="s">
        <v>43775</v>
      </c>
      <c r="C34791" s="5" t="str">
        <f>IFERROR(__xludf.DUMMYFUNCTION("GOOGLETRANSLATE(B34791,""en"",""zh-CN"")"),"他设置了弓并得到箭。")</f>
        <v>他设置了弓并得到箭。</v>
      </c>
    </row>
    <row r="34792">
      <c r="A34792" s="4" t="s">
        <v>43773</v>
      </c>
      <c r="B34792" s="4" t="s">
        <v>43776</v>
      </c>
      <c r="C34792" s="5" t="str">
        <f>IFERROR(__xludf.DUMMYFUNCTION("GOOGLETRANSLATE(B34792,""en"",""zh-CN"")"),"接下来，我们在户外看到他朝着目标走去时。")</f>
        <v>接下来，我们在户外看到他朝着目标走去时。</v>
      </c>
    </row>
    <row r="34793">
      <c r="A34793" s="4" t="s">
        <v>43773</v>
      </c>
      <c r="B34793" s="4" t="s">
        <v>43777</v>
      </c>
      <c r="C34793" s="5" t="str">
        <f>IFERROR(__xludf.DUMMYFUNCTION("GOOGLETRANSLATE(B34793,""en"",""zh-CN"")"),"他拔出箭，并将其放在弓上。")</f>
        <v>他拔出箭，并将其放在弓上。</v>
      </c>
    </row>
    <row r="34794">
      <c r="A34794" s="4" t="s">
        <v>43773</v>
      </c>
      <c r="B34794" s="4" t="s">
        <v>43778</v>
      </c>
      <c r="C34794" s="5" t="str">
        <f>IFERROR(__xludf.DUMMYFUNCTION("GOOGLETRANSLATE(B34794,""en"",""zh-CN"")"),"几次尝试后，他得到了公牛眼。")</f>
        <v>几次尝试后，他得到了公牛眼。</v>
      </c>
    </row>
    <row r="34795">
      <c r="A34795" s="4" t="s">
        <v>43773</v>
      </c>
      <c r="B34795" s="4" t="s">
        <v>43779</v>
      </c>
      <c r="C34795" s="5" t="str">
        <f>IFERROR(__xludf.DUMMYFUNCTION("GOOGLETRANSLATE(B34795,""en"",""zh-CN"")"),"他将弓和箭头放到木制平台上。")</f>
        <v>他将弓和箭头放到木制平台上。</v>
      </c>
    </row>
    <row r="34796">
      <c r="A34796" s="4" t="s">
        <v>43780</v>
      </c>
      <c r="B34796" s="4" t="s">
        <v>43781</v>
      </c>
      <c r="C34796" s="5" t="str">
        <f>IFERROR(__xludf.DUMMYFUNCTION("GOOGLETRANSLATE(B34796,""en"",""zh-CN"")"),"四个人在室内踢足球桌。")</f>
        <v>四个人在室内踢足球桌。</v>
      </c>
    </row>
    <row r="34797">
      <c r="A34797" s="4" t="s">
        <v>43780</v>
      </c>
      <c r="B34797" s="4" t="s">
        <v>43782</v>
      </c>
      <c r="C34797" s="5" t="str">
        <f>IFERROR(__xludf.DUMMYFUNCTION("GOOGLETRANSLATE(B34797,""en"",""zh-CN"")"),"一个人在棍子上展示一个球，并在足球桌上展示球的运动。")</f>
        <v>一个人在棍子上展示一个球，并在足球桌上展示球的运动。</v>
      </c>
    </row>
    <row r="34798">
      <c r="A34798" s="4" t="s">
        <v>43780</v>
      </c>
      <c r="B34798" s="4" t="s">
        <v>43783</v>
      </c>
      <c r="C34798" s="5" t="str">
        <f>IFERROR(__xludf.DUMMYFUNCTION("GOOGLETRANSLATE(B34798,""en"",""zh-CN"")"),"然后，男人向球员展示球，其中一个抓住球，其他球打。")</f>
        <v>然后，男人向球员展示球，其中一个抓住球，其他球打。</v>
      </c>
    </row>
    <row r="34799">
      <c r="A34799" s="4" t="s">
        <v>43784</v>
      </c>
      <c r="B34799" s="4" t="s">
        <v>43785</v>
      </c>
      <c r="C34799" s="5" t="str">
        <f>IFERROR(__xludf.DUMMYFUNCTION("GOOGLETRANSLATE(B34799,""en"",""zh-CN"")"),"看到一个男人坐在长凳上，其他人用清洁的人擦了擦耳朵。")</f>
        <v>看到一个男人坐在长凳上，其他人用清洁的人擦了擦耳朵。</v>
      </c>
    </row>
    <row r="34800">
      <c r="A34800" s="4" t="s">
        <v>43784</v>
      </c>
      <c r="B34800" s="4" t="s">
        <v>43786</v>
      </c>
      <c r="C34800" s="5" t="str">
        <f>IFERROR(__xludf.DUMMYFUNCTION("GOOGLETRANSLATE(B34800,""en"",""zh-CN"")"),"该男子看着他的手机，而另一个人开始刺耳。")</f>
        <v>该男子看着他的手机，而另一个人开始刺耳。</v>
      </c>
    </row>
    <row r="34801">
      <c r="A34801" s="4" t="s">
        <v>43784</v>
      </c>
      <c r="B34801" s="4" t="s">
        <v>43787</v>
      </c>
      <c r="C34801" s="5" t="str">
        <f>IFERROR(__xludf.DUMMYFUNCTION("GOOGLETRANSLATE(B34801,""en"",""zh-CN"")"),"该男子在每个洞中戴上耳环，同时仍与男人说话并推开耳环。")</f>
        <v>该男子在每个洞中戴上耳环，同时仍与男人说话并推开耳环。</v>
      </c>
    </row>
    <row r="34802">
      <c r="A34802" s="4" t="s">
        <v>43788</v>
      </c>
      <c r="B34802" s="4" t="s">
        <v>43789</v>
      </c>
      <c r="C34802" s="5" t="str">
        <f>IFERROR(__xludf.DUMMYFUNCTION("GOOGLETRANSLATE(B34802,""en"",""zh-CN"")"),"一个男人用双臂庆祝。")</f>
        <v>一个男人用双臂庆祝。</v>
      </c>
    </row>
    <row r="34803">
      <c r="A34803" s="4" t="s">
        <v>43788</v>
      </c>
      <c r="B34803" s="4" t="s">
        <v>43790</v>
      </c>
      <c r="C34803" s="5" t="str">
        <f>IFERROR(__xludf.DUMMYFUNCTION("GOOGLETRANSLATE(B34803,""en"",""zh-CN"")"),"他显示在一个领域旋转。")</f>
        <v>他显示在一个领域旋转。</v>
      </c>
    </row>
    <row r="34804">
      <c r="A34804" s="4" t="s">
        <v>43788</v>
      </c>
      <c r="B34804" s="4" t="s">
        <v>43791</v>
      </c>
      <c r="C34804" s="5" t="str">
        <f>IFERROR(__xludf.DUMMYFUNCTION("GOOGLETRANSLATE(B34804,""en"",""zh-CN"")"),"然后，他将球扔到很远的地方，并进行测量。")</f>
        <v>然后，他将球扔到很远的地方，并进行测量。</v>
      </c>
    </row>
    <row r="34805">
      <c r="A34805" s="4" t="s">
        <v>43792</v>
      </c>
      <c r="B34805" s="4" t="s">
        <v>43793</v>
      </c>
      <c r="C34805" s="5" t="str">
        <f>IFERROR(__xludf.DUMMYFUNCTION("GOOGLETRANSLATE(B34805,""en"",""zh-CN"")"),"中年女性谈论清洁产品。")</f>
        <v>中年女性谈论清洁产品。</v>
      </c>
    </row>
    <row r="34806">
      <c r="A34806" s="4" t="s">
        <v>43792</v>
      </c>
      <c r="B34806" s="4" t="s">
        <v>43794</v>
      </c>
      <c r="C34806" s="5" t="str">
        <f>IFERROR(__xludf.DUMMYFUNCTION("GOOGLETRANSLATE(B34806,""en"",""zh-CN"")"),"雌性打开一个清洁剂的容器，并将其放在抹布上。")</f>
        <v>雌性打开一个清洁剂的容器，并将其放在抹布上。</v>
      </c>
    </row>
    <row r="34807">
      <c r="A34807" s="4" t="s">
        <v>43792</v>
      </c>
      <c r="B34807" s="4" t="s">
        <v>43795</v>
      </c>
      <c r="C34807" s="5" t="str">
        <f>IFERROR(__xludf.DUMMYFUNCTION("GOOGLETRANSLATE(B34807,""en"",""zh-CN"")"),"然后，雌性用抹布擦槽的内部。")</f>
        <v>然后，雌性用抹布擦槽的内部。</v>
      </c>
    </row>
    <row r="34808">
      <c r="A34808" s="4" t="s">
        <v>43792</v>
      </c>
      <c r="B34808" s="4" t="s">
        <v>43796</v>
      </c>
      <c r="C34808" s="5" t="str">
        <f>IFERROR(__xludf.DUMMYFUNCTION("GOOGLETRANSLATE(B34808,""en"",""zh-CN"")"),"然后，同一位雌性使用不同的抹布摩擦水槽表面。")</f>
        <v>然后，同一位雌性使用不同的抹布摩擦水槽表面。</v>
      </c>
    </row>
    <row r="34809">
      <c r="A34809" s="4" t="s">
        <v>43792</v>
      </c>
      <c r="B34809" s="4" t="s">
        <v>43797</v>
      </c>
      <c r="C34809" s="5" t="str">
        <f>IFERROR(__xludf.DUMMYFUNCTION("GOOGLETRANSLATE(B34809,""en"",""zh-CN"")"),"雌性在抹布上更加清洁，并清洁柜台顶部。")</f>
        <v>雌性在抹布上更加清洁，并清洁柜台顶部。</v>
      </c>
    </row>
    <row r="34810">
      <c r="A34810" s="4" t="s">
        <v>43798</v>
      </c>
      <c r="B34810" s="6" t="s">
        <v>43799</v>
      </c>
      <c r="C34810" s="5" t="str">
        <f>IFERROR(__xludf.DUMMYFUNCTION("GOOGLETRANSLATE(B34810,""en"",""zh-CN"")"),"看到一个男人对镜头说话，并导致他介绍各种物体并在木板上锐化刀。")</f>
        <v>看到一个男人对镜头说话，并导致他介绍各种物体并在木板上锐化刀。</v>
      </c>
    </row>
    <row r="34811">
      <c r="A34811" s="4" t="s">
        <v>43798</v>
      </c>
      <c r="B34811" s="6" t="s">
        <v>43800</v>
      </c>
      <c r="C34811" s="5" t="str">
        <f>IFERROR(__xludf.DUMMYFUNCTION("GOOGLETRANSLATE(B34811,""en"",""zh-CN"")"),"该男子演示了如何使用工具和手来正确锐化刀，同时继续锐化刀具上的刀。")</f>
        <v>该男子演示了如何使用工具和手来正确锐化刀，同时继续锐化刀具上的刀。</v>
      </c>
    </row>
    <row r="34812">
      <c r="A34812" s="4" t="s">
        <v>43801</v>
      </c>
      <c r="B34812" s="4" t="s">
        <v>43802</v>
      </c>
      <c r="C34812" s="5" t="str">
        <f>IFERROR(__xludf.DUMMYFUNCTION("GOOGLETRANSLATE(B34812,""en"",""zh-CN"")"),"一个女人说话并展示一瓶。")</f>
        <v>一个女人说话并展示一瓶。</v>
      </c>
    </row>
    <row r="34813">
      <c r="A34813" s="4" t="s">
        <v>43801</v>
      </c>
      <c r="B34813" s="4" t="s">
        <v>43803</v>
      </c>
      <c r="C34813" s="5" t="str">
        <f>IFERROR(__xludf.DUMMYFUNCTION("GOOGLETRANSLATE(B34813,""en"",""zh-CN"")"),"然后，女人戴着白色隐形眼镜，继续解释。")</f>
        <v>然后，女人戴着白色隐形眼镜，继续解释。</v>
      </c>
    </row>
    <row r="34814">
      <c r="A34814" s="4" t="s">
        <v>43804</v>
      </c>
      <c r="B34814" s="4" t="s">
        <v>43805</v>
      </c>
      <c r="C34814" s="5" t="str">
        <f>IFERROR(__xludf.DUMMYFUNCTION("GOOGLETRANSLATE(B34814,""en"",""zh-CN"")"),"几个玩具在桌子旁边的DVD旁边的桌子上摔跤。")</f>
        <v>几个玩具在桌子旁边的DVD旁边的桌子上摔跤。</v>
      </c>
    </row>
    <row r="34815">
      <c r="A34815" s="4" t="s">
        <v>43804</v>
      </c>
      <c r="B34815" s="4" t="s">
        <v>43806</v>
      </c>
      <c r="C34815" s="5" t="str">
        <f>IFERROR(__xludf.DUMMYFUNCTION("GOOGLETRANSLATE(B34815,""en"",""zh-CN"")"),"他们踢彼此。")</f>
        <v>他们踢彼此。</v>
      </c>
    </row>
    <row r="34816">
      <c r="A34816" s="4" t="s">
        <v>43804</v>
      </c>
      <c r="B34816" s="4" t="s">
        <v>43807</v>
      </c>
      <c r="C34816" s="5" t="str">
        <f>IFERROR(__xludf.DUMMYFUNCTION("GOOGLETRANSLATE(B34816,""en"",""zh-CN"")"),"显示了黑色天空中星星的屏幕。")</f>
        <v>显示了黑色天空中星星的屏幕。</v>
      </c>
    </row>
    <row r="34817">
      <c r="A34817" s="4" t="s">
        <v>43808</v>
      </c>
      <c r="B34817" s="4" t="s">
        <v>43809</v>
      </c>
      <c r="C34817" s="5" t="str">
        <f>IFERROR(__xludf.DUMMYFUNCTION("GOOGLETRANSLATE(B34817,""en"",""zh-CN"")"),"小腿和马耗尽了大门。")</f>
        <v>小腿和马耗尽了大门。</v>
      </c>
    </row>
    <row r="34818">
      <c r="A34818" s="4" t="s">
        <v>43808</v>
      </c>
      <c r="B34818" s="4" t="s">
        <v>43810</v>
      </c>
      <c r="C34818" s="5" t="str">
        <f>IFERROR(__xludf.DUMMYFUNCTION("GOOGLETRANSLATE(B34818,""en"",""zh-CN"")"),"该男子抓住小牛并将其绑起来。")</f>
        <v>该男子抓住小牛并将其绑起来。</v>
      </c>
    </row>
    <row r="34819">
      <c r="A34819" s="4" t="s">
        <v>43811</v>
      </c>
      <c r="B34819" s="6" t="s">
        <v>43812</v>
      </c>
      <c r="C34819" s="5" t="str">
        <f>IFERROR(__xludf.DUMMYFUNCTION("GOOGLETRANSLATE(B34819,""en"",""zh-CN"")"),"一个穿着黑色衬衫的男人正在展示如何使用液体抛光剂和白色柔软的布来抛光木材和其他表面。")</f>
        <v>一个穿着黑色衬衫的男人正在展示如何使用液体抛光剂和白色柔软的布来抛光木材和其他表面。</v>
      </c>
    </row>
    <row r="34820">
      <c r="A34820" s="4" t="s">
        <v>43811</v>
      </c>
      <c r="B34820" s="6" t="s">
        <v>43813</v>
      </c>
      <c r="C34820" s="5" t="str">
        <f>IFERROR(__xludf.DUMMYFUNCTION("GOOGLETRANSLATE(B34820,""en"",""zh-CN"")"),"他将瓶子中的一些抛光剂倒在布上，并用它在家具和桌面上轻轻擦洗广告。")</f>
        <v>他将瓶子中的一些抛光剂倒在布上，并用它在家具和桌面上轻轻擦洗广告。</v>
      </c>
    </row>
    <row r="34821">
      <c r="A34821" s="4" t="s">
        <v>43811</v>
      </c>
      <c r="B34821" s="4" t="s">
        <v>43814</v>
      </c>
      <c r="C34821" s="5" t="str">
        <f>IFERROR(__xludf.DUMMYFUNCTION("GOOGLETRANSLATE(B34821,""en"",""zh-CN"")"),"他在各种表面上使用它清洁和抛光木材，乙烯基和皮革的表面。")</f>
        <v>他在各种表面上使用它清洁和抛光木材，乙烯基和皮革的表面。</v>
      </c>
    </row>
    <row r="34822">
      <c r="A34822" s="4" t="s">
        <v>43815</v>
      </c>
      <c r="B34822" s="4" t="s">
        <v>43816</v>
      </c>
      <c r="C34822" s="5" t="str">
        <f>IFERROR(__xludf.DUMMYFUNCTION("GOOGLETRANSLATE(B34822,""en"",""zh-CN"")"),"孩子们聚集在厨房里的木桌上。")</f>
        <v>孩子们聚集在厨房里的木桌上。</v>
      </c>
    </row>
    <row r="34823">
      <c r="A34823" s="4" t="s">
        <v>43815</v>
      </c>
      <c r="B34823" s="4" t="s">
        <v>43817</v>
      </c>
      <c r="C34823" s="5" t="str">
        <f>IFERROR(__xludf.DUMMYFUNCTION("GOOGLETRANSLATE(B34823,""en"",""zh-CN"")"),"女人正在切割橙子，并将其展示给孩子们，然后将其挤在桌子上的杯子里。")</f>
        <v>女人正在切割橙子，并将其展示给孩子们，然后将其挤在桌子上的杯子里。</v>
      </c>
    </row>
    <row r="34824">
      <c r="A34824" s="4" t="s">
        <v>43818</v>
      </c>
      <c r="B34824" s="4" t="s">
        <v>43819</v>
      </c>
      <c r="C34824" s="5" t="str">
        <f>IFERROR(__xludf.DUMMYFUNCTION("GOOGLETRANSLATE(B34824,""en"",""zh-CN"")"),"一个人在红色垫子上进行几次反转。")</f>
        <v>一个人在红色垫子上进行几次反转。</v>
      </c>
    </row>
    <row r="34825">
      <c r="A34825" s="4" t="s">
        <v>43818</v>
      </c>
      <c r="B34825" s="4" t="s">
        <v>43820</v>
      </c>
      <c r="C34825" s="5" t="str">
        <f>IFERROR(__xludf.DUMMYFUNCTION("GOOGLETRANSLATE(B34825,""en"",""zh-CN"")"),"一件黑色衬衫的女人看着他走过去。")</f>
        <v>一件黑色衬衫的女人看着他走过去。</v>
      </c>
    </row>
    <row r="34826">
      <c r="A34826" s="4" t="s">
        <v>43818</v>
      </c>
      <c r="B34826" s="4" t="s">
        <v>43821</v>
      </c>
      <c r="C34826" s="5" t="str">
        <f>IFERROR(__xludf.DUMMYFUNCTION("GOOGLETRANSLATE(B34826,""en"",""zh-CN"")"),"他站起来走开。")</f>
        <v>他站起来走开。</v>
      </c>
    </row>
    <row r="34827">
      <c r="A34827" s="4" t="s">
        <v>43822</v>
      </c>
      <c r="B34827" s="4" t="s">
        <v>43823</v>
      </c>
      <c r="C34827" s="5" t="str">
        <f>IFERROR(__xludf.DUMMYFUNCTION("GOOGLETRANSLATE(B34827,""en"",""zh-CN"")"),"屏幕上显示了各种文本，该文本导致一个人托管新闻片段。")</f>
        <v>屏幕上显示了各种文本，该文本导致一个人托管新闻片段。</v>
      </c>
    </row>
    <row r="34828">
      <c r="A34828" s="4" t="s">
        <v>43822</v>
      </c>
      <c r="B34828" s="4" t="s">
        <v>43824</v>
      </c>
      <c r="C34828" s="5" t="str">
        <f>IFERROR(__xludf.DUMMYFUNCTION("GOOGLETRANSLATE(B34828,""en"",""zh-CN"")"),"然后看到一名运动员在圆圈中旋转，将物体扔到远处。")</f>
        <v>然后看到一名运动员在圆圈中旋转，将物体扔到远处。</v>
      </c>
    </row>
    <row r="34829">
      <c r="A34829" s="4" t="s">
        <v>43822</v>
      </c>
      <c r="B34829" s="4" t="s">
        <v>43825</v>
      </c>
      <c r="C34829" s="5" t="str">
        <f>IFERROR(__xludf.DUMMYFUNCTION("GOOGLETRANSLATE(B34829,""en"",""zh-CN"")"),"屏幕上显示了更多文本。")</f>
        <v>屏幕上显示了更多文本。</v>
      </c>
    </row>
    <row r="34830">
      <c r="A34830" s="4" t="s">
        <v>43826</v>
      </c>
      <c r="B34830" s="4" t="s">
        <v>43827</v>
      </c>
      <c r="C34830" s="5" t="str">
        <f>IFERROR(__xludf.DUMMYFUNCTION("GOOGLETRANSLATE(B34830,""en"",""zh-CN"")"),"一个频道正在显示一些很酷且令人难以置信的视频。")</f>
        <v>一个频道正在显示一些很酷且令人难以置信的视频。</v>
      </c>
    </row>
    <row r="34831">
      <c r="A34831" s="4" t="s">
        <v>43826</v>
      </c>
      <c r="B34831" s="6" t="s">
        <v>43828</v>
      </c>
      <c r="C34831" s="5" t="str">
        <f>IFERROR(__xludf.DUMMYFUNCTION("GOOGLETRANSLATE(B34831,""en"",""zh-CN"")"),"一个小男孩正坐在户外木凳上，在鼓盘上鼓声，该鼓组由钢板，罐头和锅制成。")</f>
        <v>一个小男孩正坐在户外木凳上，在鼓盘上鼓声，该鼓组由钢板，罐头和锅制成。</v>
      </c>
    </row>
    <row r="34832">
      <c r="A34832" s="4" t="s">
        <v>43826</v>
      </c>
      <c r="B34832" s="4" t="s">
        <v>43829</v>
      </c>
      <c r="C34832" s="5" t="str">
        <f>IFERROR(__xludf.DUMMYFUNCTION("GOOGLETRANSLATE(B34832,""en"",""zh-CN"")"),"当男孩大声敲打时，一个男人刚走过他。")</f>
        <v>当男孩大声敲打时，一个男人刚走过他。</v>
      </c>
    </row>
    <row r="34833">
      <c r="A34833" s="4" t="s">
        <v>43826</v>
      </c>
      <c r="B34833" s="4" t="s">
        <v>43830</v>
      </c>
      <c r="C34833" s="5" t="str">
        <f>IFERROR(__xludf.DUMMYFUNCTION("GOOGLETRANSLATE(B34833,""en"",""zh-CN"")"),"他继续在节奏上打鼓。")</f>
        <v>他继续在节奏上打鼓。</v>
      </c>
    </row>
    <row r="34834">
      <c r="A34834" s="4" t="s">
        <v>43826</v>
      </c>
      <c r="B34834" s="4" t="s">
        <v>43831</v>
      </c>
      <c r="C34834" s="5" t="str">
        <f>IFERROR(__xludf.DUMMYFUNCTION("GOOGLETRANSLATE(B34834,""en"",""zh-CN"")"),"他以快速的方式不停地打球。")</f>
        <v>他以快速的方式不停地打球。</v>
      </c>
    </row>
    <row r="34835">
      <c r="A34835" s="4" t="s">
        <v>43826</v>
      </c>
      <c r="B34835" s="4" t="s">
        <v>43832</v>
      </c>
      <c r="C34835" s="5" t="str">
        <f>IFERROR(__xludf.DUMMYFUNCTION("GOOGLETRANSLATE(B34835,""en"",""zh-CN"")"),"屏幕显示了如何订阅频道的详细信息。")</f>
        <v>屏幕显示了如何订阅频道的详细信息。</v>
      </c>
    </row>
    <row r="34836">
      <c r="A34836" s="4" t="s">
        <v>43833</v>
      </c>
      <c r="B34836" s="6" t="s">
        <v>43834</v>
      </c>
      <c r="C34836" s="5" t="str">
        <f>IFERROR(__xludf.DUMMYFUNCTION("GOOGLETRANSLATE(B34836,""en"",""zh-CN"")"),"匈牙利铁饼扔奥林匹亚人的汇编/致敬视频始于他在行动中的一些照片。")</f>
        <v>匈牙利铁饼扔奥林匹亚人的汇编/致敬视频始于他在行动中的一些照片。</v>
      </c>
    </row>
    <row r="34837">
      <c r="A34837" s="4" t="s">
        <v>43833</v>
      </c>
      <c r="B34837" s="4" t="s">
        <v>43835</v>
      </c>
      <c r="C34837" s="5" t="str">
        <f>IFERROR(__xludf.DUMMYFUNCTION("GOOGLETRANSLATE(B34837,""en"",""zh-CN"")"),"与他一起旋转的尝试迅速开始，铁饼发起了。")</f>
        <v>与他一起旋转的尝试迅速开始，铁饼发起了。</v>
      </c>
    </row>
    <row r="34838">
      <c r="A34838" s="4" t="s">
        <v>43833</v>
      </c>
      <c r="B34838" s="4" t="s">
        <v>43836</v>
      </c>
      <c r="C34838" s="5" t="str">
        <f>IFERROR(__xludf.DUMMYFUNCTION("GOOGLETRANSLATE(B34838,""en"",""zh-CN"")"),"更多的照片播放，显示竞争对手处于不同位置。")</f>
        <v>更多的照片播放，显示竞争对手处于不同位置。</v>
      </c>
    </row>
    <row r="34839">
      <c r="A34839" s="4" t="s">
        <v>43833</v>
      </c>
      <c r="B34839" s="4" t="s">
        <v>43837</v>
      </c>
      <c r="C34839" s="5" t="str">
        <f>IFERROR(__xludf.DUMMYFUNCTION("GOOGLETRANSLATE(B34839,""en"",""zh-CN"")"),"两次连续的尝试，具有强大的旋转结果，两次都在铁饼中飞行。")</f>
        <v>两次连续的尝试，具有强大的旋转结果，两次都在铁饼中飞行。</v>
      </c>
    </row>
    <row r="34840">
      <c r="A34840" s="4" t="s">
        <v>43833</v>
      </c>
      <c r="B34840" s="4" t="s">
        <v>43838</v>
      </c>
      <c r="C34840" s="5" t="str">
        <f>IFERROR(__xludf.DUMMYFUNCTION("GOOGLETRANSLATE(B34840,""en"",""zh-CN"")"),"随后是更多照片。")</f>
        <v>随后是更多照片。</v>
      </c>
    </row>
    <row r="34841">
      <c r="A34841" s="4" t="s">
        <v>43833</v>
      </c>
      <c r="B34841" s="4" t="s">
        <v>43839</v>
      </c>
      <c r="C34841" s="5" t="str">
        <f>IFERROR(__xludf.DUMMYFUNCTION("GOOGLETRANSLATE(B34841,""en"",""zh-CN"")"),"另一次尝试播放，然后是另一张照片。")</f>
        <v>另一次尝试播放，然后是另一张照片。</v>
      </c>
    </row>
    <row r="34842">
      <c r="A34842" s="4" t="s">
        <v>43833</v>
      </c>
      <c r="B34842" s="6" t="s">
        <v>43840</v>
      </c>
      <c r="C34842" s="5" t="str">
        <f>IFERROR(__xludf.DUMMYFUNCTION("GOOGLETRANSLATE(B34842,""en"",""zh-CN"")"),"下一个尝试发生在大型绿网前，铁饼像火箭一样发射，投掷者庆祝。")</f>
        <v>下一个尝试发生在大型绿网前，铁饼像火箭一样发射，投掷者庆祝。</v>
      </c>
    </row>
    <row r="34843">
      <c r="A34843" s="4" t="s">
        <v>43833</v>
      </c>
      <c r="B34843" s="4" t="s">
        <v>43841</v>
      </c>
      <c r="C34843" s="5" t="str">
        <f>IFERROR(__xludf.DUMMYFUNCTION("GOOGLETRANSLATE(B34843,""en"",""zh-CN"")"),"另一组照片关闭了蒙太奇。")</f>
        <v>另一组照片关闭了蒙太奇。</v>
      </c>
    </row>
    <row r="34844">
      <c r="A34844" s="4" t="s">
        <v>43842</v>
      </c>
      <c r="B34844" s="6" t="s">
        <v>43843</v>
      </c>
      <c r="C34844" s="5" t="str">
        <f>IFERROR(__xludf.DUMMYFUNCTION("GOOGLETRANSLATE(B34844,""en"",""zh-CN"")"),"一个人站在绿草院子里，向草坪割草，当他完成时，他的手交给了一笔一美元的账单。")</f>
        <v>一个人站在绿草院子里，向草坪割草，当他完成时，他的手交给了一笔一美元的账单。</v>
      </c>
    </row>
    <row r="34845">
      <c r="A34845" s="4" t="s">
        <v>43842</v>
      </c>
      <c r="B34845" s="6" t="s">
        <v>43844</v>
      </c>
      <c r="C34845" s="5" t="str">
        <f>IFERROR(__xludf.DUMMYFUNCTION("GOOGLETRANSLATE(B34845,""en"",""zh-CN"")"),"然后显示该男子再次移动草，当他完成后，他再次在室内，这次把三美元的账单交给了他。")</f>
        <v>然后显示该男子再次移动草，当他完成后，他再次在室内，这次把三美元的账单交给了他。</v>
      </c>
    </row>
    <row r="34846">
      <c r="A34846" s="4" t="s">
        <v>43842</v>
      </c>
      <c r="B34846" s="6" t="s">
        <v>43845</v>
      </c>
      <c r="C34846" s="5" t="str">
        <f>IFERROR(__xludf.DUMMYFUNCTION("GOOGLETRANSLATE(B34846,""en"",""zh-CN"")"),"他再次回到院子里，但这次他的容器上装满了割草，特殊效果使得割草看起来像是在他的容器中跳入他的容器中。")</f>
        <v>他再次回到院子里，但这次他的容器上装满了割草，特殊效果使得割草看起来像是在他的容器中跳入他的容器中。</v>
      </c>
    </row>
    <row r="34847">
      <c r="A34847" s="4" t="s">
        <v>43842</v>
      </c>
      <c r="B34847" s="6" t="s">
        <v>43846</v>
      </c>
      <c r="C34847" s="5" t="str">
        <f>IFERROR(__xludf.DUMMYFUNCTION("GOOGLETRANSLATE(B34847,""en"",""zh-CN"")"),"一个特殊效果显示了这个人在一个地方迅速显示，然后在整个院子的另一个地方都有很大的变化。")</f>
        <v>一个特殊效果显示了这个人在一个地方迅速显示，然后在整个院子的另一个地方都有很大的变化。</v>
      </c>
    </row>
    <row r="34848">
      <c r="A34848" s="4" t="s">
        <v>43842</v>
      </c>
      <c r="B34848" s="6" t="s">
        <v>43847</v>
      </c>
      <c r="C34848" s="5" t="str">
        <f>IFERROR(__xludf.DUMMYFUNCTION("GOOGLETRANSLATE(B34848,""en"",""zh-CN"")"),"该男子回到割草院子，然后在室内返回，再把一美元交给他。")</f>
        <v>该男子回到割草院子，然后在室内返回，再把一美元交给他。</v>
      </c>
    </row>
    <row r="34849">
      <c r="A34849" s="4" t="s">
        <v>43842</v>
      </c>
      <c r="B34849" s="6" t="s">
        <v>43848</v>
      </c>
      <c r="C34849" s="5" t="str">
        <f>IFERROR(__xludf.DUMMYFUNCTION("GOOGLETRANSLATE(B34849,""en"",""zh-CN"")"),"这个男人对此感到非常高兴，他回到院子里，通过跳跃和割草院子来庆祝。")</f>
        <v>这个男人对此感到非常高兴，他回到院子里，通过跳跃和割草院子来庆祝。</v>
      </c>
    </row>
    <row r="34850">
      <c r="A34850" s="4" t="s">
        <v>43842</v>
      </c>
      <c r="B34850" s="6" t="s">
        <v>43849</v>
      </c>
      <c r="C34850" s="5" t="str">
        <f>IFERROR(__xludf.DUMMYFUNCTION("GOOGLETRANSLATE(B34850,""en"",""zh-CN"")"),"然后，这个男人在室内后退，特殊效果显示出一堆钱飞向空中，直接伸入他的手中，然后以一个男人的手握在手中的那个男人。")</f>
        <v>然后，这个男人在室内后退，特殊效果显示出一堆钱飞向空中，直接伸入他的手中，然后以一个男人的手握在手中的那个男人。</v>
      </c>
    </row>
    <row r="34851">
      <c r="A34851" s="4" t="s">
        <v>43850</v>
      </c>
      <c r="B34851" s="4" t="s">
        <v>43851</v>
      </c>
      <c r="C34851" s="5" t="str">
        <f>IFERROR(__xludf.DUMMYFUNCTION("GOOGLETRANSLATE(B34851,""en"",""zh-CN"")"),"我们看到一个男人在骑自行车的船上说话。")</f>
        <v>我们看到一个男人在骑自行车的船上说话。</v>
      </c>
    </row>
    <row r="34852">
      <c r="A34852" s="4" t="s">
        <v>43850</v>
      </c>
      <c r="B34852" s="4" t="s">
        <v>43852</v>
      </c>
      <c r="C34852" s="5" t="str">
        <f>IFERROR(__xludf.DUMMYFUNCTION("GOOGLETRANSLATE(B34852,""en"",""zh-CN"")"),"这个人指着自行车。")</f>
        <v>这个人指着自行车。</v>
      </c>
    </row>
    <row r="34853">
      <c r="A34853" s="4" t="s">
        <v>43850</v>
      </c>
      <c r="B34853" s="4" t="s">
        <v>43853</v>
      </c>
      <c r="C34853" s="5" t="str">
        <f>IFERROR(__xludf.DUMMYFUNCTION("GOOGLETRANSLATE(B34853,""en"",""zh-CN"")"),"该男子骑自行车脱下车把并调整它们。")</f>
        <v>该男子骑自行车脱下车把并调整它们。</v>
      </c>
    </row>
    <row r="34854">
      <c r="A34854" s="4" t="s">
        <v>43850</v>
      </c>
      <c r="B34854" s="4" t="s">
        <v>43854</v>
      </c>
      <c r="C34854" s="5" t="str">
        <f>IFERROR(__xludf.DUMMYFUNCTION("GOOGLETRANSLATE(B34854,""en"",""zh-CN"")"),"该男子把车把放回原处。")</f>
        <v>该男子把车把放回原处。</v>
      </c>
    </row>
    <row r="34855">
      <c r="A34855" s="4" t="s">
        <v>43850</v>
      </c>
      <c r="B34855" s="4" t="s">
        <v>43855</v>
      </c>
      <c r="C34855" s="5" t="str">
        <f>IFERROR(__xludf.DUMMYFUNCTION("GOOGLETRANSLATE(B34855,""en"",""zh-CN"")"),"该人移到自行车的前部以调整车把。")</f>
        <v>该人移到自行车的前部以调整车把。</v>
      </c>
    </row>
    <row r="34856">
      <c r="A34856" s="4" t="s">
        <v>43850</v>
      </c>
      <c r="B34856" s="4" t="s">
        <v>43856</v>
      </c>
      <c r="C34856" s="5" t="str">
        <f>IFERROR(__xludf.DUMMYFUNCTION("GOOGLETRANSLATE(B34856,""en"",""zh-CN"")"),"然后，该男子完成了拧紧车把上的螺栓。")</f>
        <v>然后，该男子完成了拧紧车把上的螺栓。</v>
      </c>
    </row>
    <row r="34857">
      <c r="A34857" s="4" t="s">
        <v>43850</v>
      </c>
      <c r="B34857" s="4" t="s">
        <v>43857</v>
      </c>
      <c r="C34857" s="5" t="str">
        <f>IFERROR(__xludf.DUMMYFUNCTION("GOOGLETRANSLATE(B34857,""en"",""zh-CN"")"),"完成后退后一步。")</f>
        <v>完成后退后一步。</v>
      </c>
    </row>
    <row r="34858">
      <c r="A34858" s="4" t="s">
        <v>43858</v>
      </c>
      <c r="B34858" s="4" t="s">
        <v>43859</v>
      </c>
      <c r="C34858" s="5" t="str">
        <f>IFERROR(__xludf.DUMMYFUNCTION("GOOGLETRANSLATE(B34858,""en"",""zh-CN"")"),"两个男人和相机交谈，散布着他们演奏曲棍球的动作镜头。")</f>
        <v>两个男人和相机交谈，散布着他们演奏曲棍球的动作镜头。</v>
      </c>
    </row>
    <row r="34859">
      <c r="A34859" s="4" t="s">
        <v>43858</v>
      </c>
      <c r="B34859" s="4" t="s">
        <v>43860</v>
      </c>
      <c r="C34859" s="5" t="str">
        <f>IFERROR(__xludf.DUMMYFUNCTION("GOOGLETRANSLATE(B34859,""en"",""zh-CN"")"),"那个穿着橙色的男人在镜头讲话。")</f>
        <v>那个穿着橙色的男人在镜头讲话。</v>
      </c>
    </row>
    <row r="34860">
      <c r="A34860" s="4" t="s">
        <v>43858</v>
      </c>
      <c r="B34860" s="4" t="s">
        <v>43861</v>
      </c>
      <c r="C34860" s="5" t="str">
        <f>IFERROR(__xludf.DUMMYFUNCTION("GOOGLETRANSLATE(B34860,""en"",""zh-CN"")"),"橙色的那个人展示了将曲棍网兜球靠在墙上。")</f>
        <v>橙色的那个人展示了将曲棍网兜球靠在墙上。</v>
      </c>
    </row>
    <row r="34861">
      <c r="A34861" s="4" t="s">
        <v>43858</v>
      </c>
      <c r="B34861" s="4" t="s">
        <v>43862</v>
      </c>
      <c r="C34861" s="5" t="str">
        <f>IFERROR(__xludf.DUMMYFUNCTION("GOOGLETRANSLATE(B34861,""en"",""zh-CN"")"),"橙色的男人再次与镜头交谈。")</f>
        <v>橙色的男人再次与镜头交谈。</v>
      </c>
    </row>
    <row r="34862">
      <c r="A34862" s="4" t="s">
        <v>43858</v>
      </c>
      <c r="B34862" s="4" t="s">
        <v>43863</v>
      </c>
      <c r="C34862" s="5" t="str">
        <f>IFERROR(__xludf.DUMMYFUNCTION("GOOGLETRANSLATE(B34862,""en"",""zh-CN"")"),"两人都表现出将曲棍球球撞在墙上。")</f>
        <v>两人都表现出将曲棍球球撞在墙上。</v>
      </c>
    </row>
    <row r="34863">
      <c r="A34863" s="4" t="s">
        <v>43858</v>
      </c>
      <c r="B34863" s="4" t="s">
        <v>43864</v>
      </c>
      <c r="C34863" s="5" t="str">
        <f>IFERROR(__xludf.DUMMYFUNCTION("GOOGLETRANSLATE(B34863,""en"",""zh-CN"")"),"橙色的男人第三次用曲棍球棒展示了相机。")</f>
        <v>橙色的男人第三次用曲棍球棒展示了相机。</v>
      </c>
    </row>
    <row r="34864">
      <c r="A34864" s="4" t="s">
        <v>43858</v>
      </c>
      <c r="B34864" s="4" t="s">
        <v>43865</v>
      </c>
      <c r="C34864" s="5" t="str">
        <f>IFERROR(__xludf.DUMMYFUNCTION("GOOGLETRANSLATE(B34864,""en"",""zh-CN"")"),"这个男人被一个场景短暂地打断了，他将球传给墙壁。")</f>
        <v>这个男人被一个场景短暂地打断了，他将球传给墙壁。</v>
      </c>
    </row>
    <row r="34865">
      <c r="A34865" s="4" t="s">
        <v>43858</v>
      </c>
      <c r="B34865" s="4" t="s">
        <v>43866</v>
      </c>
      <c r="C34865" s="5" t="str">
        <f>IFERROR(__xludf.DUMMYFUNCTION("GOOGLETRANSLATE(B34865,""en"",""zh-CN"")"),"这两个人练习将球与墙壁互相传递。")</f>
        <v>这两个人练习将球与墙壁互相传递。</v>
      </c>
    </row>
    <row r="34866">
      <c r="A34866" s="4" t="s">
        <v>43858</v>
      </c>
      <c r="B34866" s="4" t="s">
        <v>43867</v>
      </c>
      <c r="C34866" s="5" t="str">
        <f>IFERROR(__xludf.DUMMYFUNCTION("GOOGLETRANSLATE(B34866,""en"",""zh-CN"")"),"橙色的男人最后一次与镜头交谈。")</f>
        <v>橙色的男人最后一次与镜头交谈。</v>
      </c>
    </row>
    <row r="34867">
      <c r="A34867" s="4" t="s">
        <v>43868</v>
      </c>
      <c r="B34867" s="4" t="s">
        <v>43869</v>
      </c>
      <c r="C34867" s="5" t="str">
        <f>IFERROR(__xludf.DUMMYFUNCTION("GOOGLETRANSLATE(B34867,""en"",""zh-CN"")"),"看到一个女人坐在绳子上，而其他人则在她周围看着。")</f>
        <v>看到一个女人坐在绳子上，而其他人则在她周围看着。</v>
      </c>
    </row>
    <row r="34868">
      <c r="A34868" s="4" t="s">
        <v>43868</v>
      </c>
      <c r="B34868" s="4" t="s">
        <v>43870</v>
      </c>
      <c r="C34868" s="5" t="str">
        <f>IFERROR(__xludf.DUMMYFUNCTION("GOOGLETRANSLATE(B34868,""en"",""zh-CN"")"),"一个人向相机说话，而其他人则轮流在绳索上平衡。")</f>
        <v>一个人向相机说话，而其他人则轮流在绳索上平衡。</v>
      </c>
    </row>
    <row r="34869">
      <c r="A34869" s="4" t="s">
        <v>43868</v>
      </c>
      <c r="B34869" s="4" t="s">
        <v>43871</v>
      </c>
      <c r="C34869" s="5" t="str">
        <f>IFERROR(__xludf.DUMMYFUNCTION("GOOGLETRANSLATE(B34869,""en"",""zh-CN"")"),"显示了更多人相互行走的人。")</f>
        <v>显示了更多人相互行走的人。</v>
      </c>
    </row>
    <row r="34870">
      <c r="A34870" s="4" t="s">
        <v>43872</v>
      </c>
      <c r="B34870" s="4" t="s">
        <v>43873</v>
      </c>
      <c r="C34870" s="5" t="str">
        <f>IFERROR(__xludf.DUMMYFUNCTION("GOOGLETRANSLATE(B34870,""en"",""zh-CN"")"),"看到一个女人走到门上，挂上外套时微笑着镜头。")</f>
        <v>看到一个女人走到门上，挂上外套时微笑着镜头。</v>
      </c>
    </row>
    <row r="34871">
      <c r="A34871" s="4" t="s">
        <v>43872</v>
      </c>
      <c r="B34871" s="4" t="s">
        <v>43874</v>
      </c>
      <c r="C34871" s="5" t="str">
        <f>IFERROR(__xludf.DUMMYFUNCTION("GOOGLETRANSLATE(B34871,""en"",""zh-CN"")"),"她穿上围裙，在与镜头说话时将油漆倒入水桶中。")</f>
        <v>她穿上围裙，在与镜头说话时将油漆倒入水桶中。</v>
      </c>
    </row>
    <row r="34872">
      <c r="A34872" s="4" t="s">
        <v>43872</v>
      </c>
      <c r="B34872" s="4" t="s">
        <v>43875</v>
      </c>
      <c r="C34872" s="5" t="str">
        <f>IFERROR(__xludf.DUMMYFUNCTION("GOOGLETRANSLATE(B34872,""en"",""zh-CN"")"),"她被证明绘画了各种家具，并最终展示了它。")</f>
        <v>她被证明绘画了各种家具，并最终展示了它。</v>
      </c>
    </row>
    <row r="34873">
      <c r="A34873" s="4" t="s">
        <v>43876</v>
      </c>
      <c r="B34873" s="6" t="s">
        <v>43877</v>
      </c>
      <c r="C34873" s="5" t="str">
        <f>IFERROR(__xludf.DUMMYFUNCTION("GOOGLETRANSLATE(B34873,""en"",""zh-CN"")"),"看到一个女人坐在椅子上，一边坐在椅子上，并通往一棵树的特写，女人戴着装饰品。")</f>
        <v>看到一个女人坐在椅子上，一边坐在椅子上，并通往一棵树的特写，女人戴着装饰品。</v>
      </c>
    </row>
    <row r="34874">
      <c r="A34874" s="4" t="s">
        <v>43876</v>
      </c>
      <c r="B34874" s="6" t="s">
        <v>43878</v>
      </c>
      <c r="C34874" s="5" t="str">
        <f>IFERROR(__xludf.DUMMYFUNCTION("GOOGLETRANSLATE(B34874,""en"",""zh-CN"")"),"那个女人整个树上都绑着绳子，而相机则在漫步，最后她炫耀最终结果并与相机说话。")</f>
        <v>那个女人整个树上都绑着绳子，而相机则在漫步，最后她炫耀最终结果并与相机说话。</v>
      </c>
    </row>
    <row r="34875">
      <c r="A34875" s="4" t="s">
        <v>43879</v>
      </c>
      <c r="B34875" s="4" t="s">
        <v>43880</v>
      </c>
      <c r="C34875" s="5" t="str">
        <f>IFERROR(__xludf.DUMMYFUNCTION("GOOGLETRANSLATE(B34875,""en"",""zh-CN"")"),"一个男孩坐在坡道上，围着他的越野骑行，等待上车。")</f>
        <v>一个男孩坐在坡道上，围着他的越野骑行，等待上车。</v>
      </c>
    </row>
    <row r="34876">
      <c r="A34876" s="4" t="s">
        <v>43879</v>
      </c>
      <c r="B34876" s="6" t="s">
        <v>43881</v>
      </c>
      <c r="C34876" s="5" t="str">
        <f>IFERROR(__xludf.DUMMYFUNCTION("GOOGLETRANSLATE(B34876,""en"",""zh-CN"")"),"然后，男孩回来了，开始在自行车上移动踏板，然后站起来。")</f>
        <v>然后，男孩回来了，开始在自行车上移动踏板，然后站起来。</v>
      </c>
    </row>
    <row r="34877">
      <c r="A34877" s="4" t="s">
        <v>43879</v>
      </c>
      <c r="B34877" s="6" t="s">
        <v>43882</v>
      </c>
      <c r="C34877" s="5" t="str">
        <f>IFERROR(__xludf.DUMMYFUNCTION("GOOGLETRANSLATE(B34877,""en"",""zh-CN"")"),"显示了另一个角度，坡道被放下，男孩开始骑行。")</f>
        <v>显示了另一个角度，坡道被放下，男孩开始骑行。</v>
      </c>
    </row>
    <row r="34878">
      <c r="A34878" s="4" t="s">
        <v>43883</v>
      </c>
      <c r="B34878" s="4" t="s">
        <v>43884</v>
      </c>
      <c r="C34878" s="5" t="str">
        <f>IFERROR(__xludf.DUMMYFUNCTION("GOOGLETRANSLATE(B34878,""en"",""zh-CN"")"),"一个少年坐在椅子上。")</f>
        <v>一个少年坐在椅子上。</v>
      </c>
    </row>
    <row r="34879">
      <c r="A34879" s="4" t="s">
        <v>43883</v>
      </c>
      <c r="B34879" s="4" t="s">
        <v>43885</v>
      </c>
      <c r="C34879" s="5" t="str">
        <f>IFERROR(__xludf.DUMMYFUNCTION("GOOGLETRANSLATE(B34879,""en"",""zh-CN"")"),"这个男孩站着，我们看到他在各个地方的松弛线上弹跳。")</f>
        <v>这个男孩站着，我们看到他在各个地方的松弛线上弹跳。</v>
      </c>
    </row>
    <row r="34880">
      <c r="A34880" s="4" t="s">
        <v>43883</v>
      </c>
      <c r="B34880" s="4" t="s">
        <v>43886</v>
      </c>
      <c r="C34880" s="5" t="str">
        <f>IFERROR(__xludf.DUMMYFUNCTION("GOOGLETRANSLATE(B34880,""en"",""zh-CN"")"),"有一个在另一条线上的第二个男孩走开。")</f>
        <v>有一个在另一条线上的第二个男孩走开。</v>
      </c>
    </row>
    <row r="34881">
      <c r="A34881" s="4" t="s">
        <v>43883</v>
      </c>
      <c r="B34881" s="4" t="s">
        <v>43887</v>
      </c>
      <c r="C34881" s="5" t="str">
        <f>IFERROR(__xludf.DUMMYFUNCTION("GOOGLETRANSLATE(B34881,""en"",""zh-CN"")"),"这个男孩差点跌倒并稳定自己。")</f>
        <v>这个男孩差点跌倒并稳定自己。</v>
      </c>
    </row>
    <row r="34882">
      <c r="A34882" s="4" t="s">
        <v>43883</v>
      </c>
      <c r="B34882" s="4" t="s">
        <v>43888</v>
      </c>
      <c r="C34882" s="5" t="str">
        <f>IFERROR(__xludf.DUMMYFUNCTION("GOOGLETRANSLATE(B34882,""en"",""zh-CN"")"),"男孩下车走开。")</f>
        <v>男孩下车走开。</v>
      </c>
    </row>
    <row r="34883">
      <c r="A34883" s="4" t="s">
        <v>43883</v>
      </c>
      <c r="B34883" s="4" t="s">
        <v>43889</v>
      </c>
      <c r="C34883" s="5" t="str">
        <f>IFERROR(__xludf.DUMMYFUNCTION("GOOGLETRANSLATE(B34883,""en"",""zh-CN"")"),"这个男孩走到镜头前，用手手势。")</f>
        <v>这个男孩走到镜头前，用手手势。</v>
      </c>
    </row>
    <row r="34884">
      <c r="A34884" s="4" t="s">
        <v>43890</v>
      </c>
      <c r="B34884" s="6" t="s">
        <v>43891</v>
      </c>
      <c r="C34884" s="5" t="str">
        <f>IFERROR(__xludf.DUMMYFUNCTION("GOOGLETRANSLATE(B34884,""en"",""zh-CN"")"),"黑色介绍屏幕上出现了白色单词和字母，上面写着“埃里克·布里斯托（Eric Bristow）独特的电视'罗宾汉（Robin Hood）飞镖1983 vs J Wilson”。")</f>
        <v>黑色介绍屏幕上出现了白色单词和字母，上面写着“埃里克·布里斯托（Eric Bristow）独特的电视'罗宾汉（Robin Hood）飞镖1983 vs J Wilson”。</v>
      </c>
    </row>
    <row r="34885">
      <c r="A34885" s="4" t="s">
        <v>43890</v>
      </c>
      <c r="B34885" s="4" t="s">
        <v>43892</v>
      </c>
      <c r="C34885" s="5" t="str">
        <f>IFERROR(__xludf.DUMMYFUNCTION("GOOGLETRANSLATE(B34885,""en"",""zh-CN"")"),"一个较旧的视频开始，两个不同的人在飞镖板上投掷飞镖。")</f>
        <v>一个较旧的视频开始，两个不同的人在飞镖板上投掷飞镖。</v>
      </c>
    </row>
    <row r="34886">
      <c r="A34886" s="4" t="s">
        <v>43890</v>
      </c>
      <c r="B34886" s="6" t="s">
        <v>43893</v>
      </c>
      <c r="C34886" s="5" t="str">
        <f>IFERROR(__xludf.DUMMYFUNCTION("GOOGLETRANSLATE(B34886,""en"",""zh-CN"")"),"当男人们扔飞镖时，将显示一个飞镖，蓝色字母从底部到顶部向上滚动。")</f>
        <v>当男人们扔飞镖时，将显示一个飞镖，蓝色字母从底部到顶部向上滚动。</v>
      </c>
    </row>
    <row r="34887">
      <c r="A34887" s="4" t="s">
        <v>43894</v>
      </c>
      <c r="B34887" s="4" t="s">
        <v>43895</v>
      </c>
      <c r="C34887" s="5" t="str">
        <f>IFERROR(__xludf.DUMMYFUNCTION("GOOGLETRANSLATE(B34887,""en"",""zh-CN"")"),"介绍出现在屏幕上，以获取有关如何用蛤酱制作扁面条的视频。")</f>
        <v>介绍出现在屏幕上，以获取有关如何用蛤酱制作扁面条的视频。</v>
      </c>
    </row>
    <row r="34888">
      <c r="A34888" s="4" t="s">
        <v>43894</v>
      </c>
      <c r="B34888" s="4" t="s">
        <v>43896</v>
      </c>
      <c r="C34888" s="5" t="str">
        <f>IFERROR(__xludf.DUMMYFUNCTION("GOOGLETRANSLATE(B34888,""en"",""zh-CN"")"),"将水煮沸，然后将面食添加到锅中。")</f>
        <v>将水煮沸，然后将面食添加到锅中。</v>
      </c>
    </row>
    <row r="34889">
      <c r="A34889" s="4" t="s">
        <v>43894</v>
      </c>
      <c r="B34889" s="6" t="s">
        <v>43897</v>
      </c>
      <c r="C34889" s="5" t="str">
        <f>IFERROR(__xludf.DUMMYFUNCTION("GOOGLETRANSLATE(B34889,""en"",""zh-CN"")"),"欧芹与一些大蒜一起切碎，蛤s将其排入碗中，将它们与果汁分开。")</f>
        <v>欧芹与一些大蒜一起切碎，蛤s将其排入碗中，将它们与果汁分开。</v>
      </c>
    </row>
    <row r="34890">
      <c r="A34890" s="4" t="s">
        <v>43894</v>
      </c>
      <c r="B34890" s="6" t="s">
        <v>43898</v>
      </c>
      <c r="C34890" s="5" t="str">
        <f>IFERROR(__xludf.DUMMYFUNCTION("GOOGLETRANSLATE(B34890,""en"",""zh-CN"")"),"橄榄油与大蒜，红辣椒，香菜，白葡萄酒，罗勒，盐和蛤nater汁进入锅中，然后将蛤lam添加到混合物中。")</f>
        <v>橄榄油与大蒜，红辣椒，香菜，白葡萄酒，罗勒，盐和蛤nater汁进入锅中，然后将蛤lam添加到混合物中。</v>
      </c>
    </row>
    <row r="34891">
      <c r="A34891" s="4" t="s">
        <v>43894</v>
      </c>
      <c r="B34891" s="4" t="s">
        <v>43899</v>
      </c>
      <c r="C34891" s="5" t="str">
        <f>IFERROR(__xludf.DUMMYFUNCTION("GOOGLETRANSLATE(B34891,""en"",""zh-CN"")"),"面食被排干，并加入酱汁中。")</f>
        <v>面食被排干，并加入酱汁中。</v>
      </c>
    </row>
    <row r="34892">
      <c r="A34892" s="4" t="s">
        <v>43894</v>
      </c>
      <c r="B34892" s="4" t="s">
        <v>43900</v>
      </c>
      <c r="C34892" s="5" t="str">
        <f>IFERROR(__xludf.DUMMYFUNCTION("GOOGLETRANSLATE(B34892,""en"",""zh-CN"")"),"然后，面食在上面供应切碎的奶酪。")</f>
        <v>然后，面食在上面供应切碎的奶酪。</v>
      </c>
    </row>
    <row r="34893">
      <c r="A34893" s="4" t="s">
        <v>43901</v>
      </c>
      <c r="B34893" s="6" t="s">
        <v>43902</v>
      </c>
      <c r="C34893" s="5" t="str">
        <f>IFERROR(__xludf.DUMMYFUNCTION("GOOGLETRANSLATE(B34893,""en"",""zh-CN"")"),"看到一个长发的女人在讲话时向相机说话，一边说话时微笑着。")</f>
        <v>看到一个长发的女人在讲话时向相机说话，一边说话时微笑着。</v>
      </c>
    </row>
    <row r="34894">
      <c r="A34894" s="4" t="s">
        <v>43901</v>
      </c>
      <c r="B34894" s="4" t="s">
        <v>43903</v>
      </c>
      <c r="C34894" s="5" t="str">
        <f>IFERROR(__xludf.DUMMYFUNCTION("GOOGLETRANSLATE(B34894,""en"",""zh-CN"")"),"然后，她开始梳理长发，然后向相机微笑，挥手。")</f>
        <v>然后，她开始梳理长发，然后向相机微笑，挥手。</v>
      </c>
    </row>
    <row r="34895">
      <c r="A34895" s="4" t="s">
        <v>43904</v>
      </c>
      <c r="B34895" s="4" t="s">
        <v>43905</v>
      </c>
      <c r="C34895" s="5" t="str">
        <f>IFERROR(__xludf.DUMMYFUNCTION("GOOGLETRANSLATE(B34895,""en"",""zh-CN"")"),"一个女孩走到舞台的中央，用脚弄乱，坐在原地。")</f>
        <v>一个女孩走到舞台的中央，用脚弄乱，坐在原地。</v>
      </c>
    </row>
    <row r="34896">
      <c r="A34896" s="4" t="s">
        <v>43904</v>
      </c>
      <c r="B34896" s="4" t="s">
        <v>43906</v>
      </c>
      <c r="C34896" s="5" t="str">
        <f>IFERROR(__xludf.DUMMYFUNCTION("GOOGLETRANSLATE(B34896,""en"",""zh-CN"")"),"在开始跳舞之前，她停在那个位置。")</f>
        <v>在开始跳舞之前，她停在那个位置。</v>
      </c>
    </row>
    <row r="34897">
      <c r="A34897" s="4" t="s">
        <v>43904</v>
      </c>
      <c r="B34897" s="4" t="s">
        <v>43907</v>
      </c>
      <c r="C34897" s="5" t="str">
        <f>IFERROR(__xludf.DUMMYFUNCTION("GOOGLETRANSLATE(B34897,""en"",""zh-CN"")"),"她进行了分裂，周围有一些姿势。")</f>
        <v>她进行了分裂，周围有一些姿势。</v>
      </c>
    </row>
    <row r="34898">
      <c r="A34898" s="4" t="s">
        <v>43904</v>
      </c>
      <c r="B34898" s="4" t="s">
        <v>43908</v>
      </c>
      <c r="C34898" s="5" t="str">
        <f>IFERROR(__xludf.DUMMYFUNCTION("GOOGLETRANSLATE(B34898,""en"",""zh-CN"")"),"她在球场各处做一些车轮和更多的跳舞，最后她完成了。")</f>
        <v>她在球场各处做一些车轮和更多的跳舞，最后她完成了。</v>
      </c>
    </row>
    <row r="34899">
      <c r="A34899" s="4" t="s">
        <v>43909</v>
      </c>
      <c r="B34899" s="4" t="s">
        <v>43910</v>
      </c>
      <c r="C34899" s="5" t="str">
        <f>IFERROR(__xludf.DUMMYFUNCTION("GOOGLETRANSLATE(B34899,""en"",""zh-CN"")"),"一大批人在握着弓箭和箭头中行走。")</f>
        <v>一大批人在握着弓箭和箭头中行走。</v>
      </c>
    </row>
    <row r="34900">
      <c r="A34900" s="4" t="s">
        <v>43909</v>
      </c>
      <c r="B34900" s="6" t="s">
        <v>43911</v>
      </c>
      <c r="C34900" s="5" t="str">
        <f>IFERROR(__xludf.DUMMYFUNCTION("GOOGLETRANSLATE(B34900,""en"",""zh-CN"")"),"还显示了更多的人用弓箭和箭进行投篮，最后庆祝，站在讲台上挥舞着。")</f>
        <v>还显示了更多的人用弓箭和箭进行投篮，最后庆祝，站在讲台上挥舞着。</v>
      </c>
    </row>
    <row r="34901">
      <c r="A34901" s="4" t="s">
        <v>43912</v>
      </c>
      <c r="B34901" s="4" t="s">
        <v>43913</v>
      </c>
      <c r="C34901" s="5" t="str">
        <f>IFERROR(__xludf.DUMMYFUNCTION("GOOGLETRANSLATE(B34901,""en"",""zh-CN"")"),"我们看到一个人滑雪。")</f>
        <v>我们看到一个人滑雪。</v>
      </c>
    </row>
    <row r="34902">
      <c r="A34902" s="4" t="s">
        <v>43912</v>
      </c>
      <c r="B34902" s="4" t="s">
        <v>43914</v>
      </c>
      <c r="C34902" s="5" t="str">
        <f>IFERROR(__xludf.DUMMYFUNCTION("GOOGLETRANSLATE(B34902,""en"",""zh-CN"")"),"我们看到左侧喷水。")</f>
        <v>我们看到左侧喷水。</v>
      </c>
    </row>
    <row r="34903">
      <c r="A34903" s="4" t="s">
        <v>43912</v>
      </c>
      <c r="B34903" s="4" t="s">
        <v>43915</v>
      </c>
      <c r="C34903" s="5" t="str">
        <f>IFERROR(__xludf.DUMMYFUNCTION("GOOGLETRANSLATE(B34903,""en"",""zh-CN"")"),"该男子跳到右边。")</f>
        <v>该男子跳到右边。</v>
      </c>
    </row>
    <row r="34904">
      <c r="A34904" s="4" t="s">
        <v>43912</v>
      </c>
      <c r="B34904" s="4" t="s">
        <v>43916</v>
      </c>
      <c r="C34904" s="5" t="str">
        <f>IFERROR(__xludf.DUMMYFUNCTION("GOOGLETRANSLATE(B34904,""en"",""zh-CN"")"),"该男子正在冲浪板上弯曲。")</f>
        <v>该男子正在冲浪板上弯曲。</v>
      </c>
    </row>
    <row r="34905">
      <c r="A34905" s="4" t="s">
        <v>43912</v>
      </c>
      <c r="B34905" s="4" t="s">
        <v>43917</v>
      </c>
      <c r="C34905" s="5" t="str">
        <f>IFERROR(__xludf.DUMMYFUNCTION("GOOGLETRANSLATE(B34905,""en"",""zh-CN"")"),"该男子进行翻转。")</f>
        <v>该男子进行翻转。</v>
      </c>
    </row>
    <row r="34906">
      <c r="A34906" s="4" t="s">
        <v>43918</v>
      </c>
      <c r="B34906" s="4" t="s">
        <v>43919</v>
      </c>
      <c r="C34906" s="5" t="str">
        <f>IFERROR(__xludf.DUMMYFUNCTION("GOOGLETRANSLATE(B34906,""en"",""zh-CN"")"),"一对雌性手在一件婴儿服装上使用铁。")</f>
        <v>一对雌性手在一件婴儿服装上使用铁。</v>
      </c>
    </row>
    <row r="34907">
      <c r="A34907" s="4" t="s">
        <v>43918</v>
      </c>
      <c r="B34907" s="4" t="s">
        <v>43920</v>
      </c>
      <c r="C34907" s="5" t="str">
        <f>IFERROR(__xludf.DUMMYFUNCTION("GOOGLETRANSLATE(B34907,""en"",""zh-CN"")"),"女人把铁放在一边，翻转衣服。")</f>
        <v>女人把铁放在一边，翻转衣服。</v>
      </c>
    </row>
    <row r="34908">
      <c r="A34908" s="4" t="s">
        <v>43918</v>
      </c>
      <c r="B34908" s="4" t="s">
        <v>43921</v>
      </c>
      <c r="C34908" s="5" t="str">
        <f>IFERROR(__xludf.DUMMYFUNCTION("GOOGLETRANSLATE(B34908,""en"",""zh-CN"")"),"女人在衣服的另一侧使用铁。")</f>
        <v>女人在衣服的另一侧使用铁。</v>
      </c>
    </row>
    <row r="34909">
      <c r="A34909" s="4" t="s">
        <v>43918</v>
      </c>
      <c r="B34909" s="4" t="s">
        <v>43922</v>
      </c>
      <c r="C34909" s="5" t="str">
        <f>IFERROR(__xludf.DUMMYFUNCTION("GOOGLETRANSLATE(B34909,""en"",""zh-CN"")"),"女人把铁搁置一旁。")</f>
        <v>女人把铁搁置一旁。</v>
      </c>
    </row>
    <row r="34910">
      <c r="A34910" s="4" t="s">
        <v>43923</v>
      </c>
      <c r="B34910" s="4" t="s">
        <v>43924</v>
      </c>
      <c r="C34910" s="5" t="str">
        <f>IFERROR(__xludf.DUMMYFUNCTION("GOOGLETRANSLATE(B34910,""en"",""zh-CN"")"),"一个男人在海滩上喝一杯。")</f>
        <v>一个男人在海滩上喝一杯。</v>
      </c>
    </row>
    <row r="34911">
      <c r="A34911" s="4" t="s">
        <v>43923</v>
      </c>
      <c r="B34911" s="4" t="s">
        <v>43925</v>
      </c>
      <c r="C34911" s="5" t="str">
        <f>IFERROR(__xludf.DUMMYFUNCTION("GOOGLETRANSLATE(B34911,""en"",""zh-CN"")"),"一个女孩在自己的身体上涂抹晒黑乳液。")</f>
        <v>一个女孩在自己的身体上涂抹晒黑乳液。</v>
      </c>
    </row>
    <row r="34912">
      <c r="A34912" s="4" t="s">
        <v>43923</v>
      </c>
      <c r="B34912" s="4" t="s">
        <v>43926</v>
      </c>
      <c r="C34912" s="5" t="str">
        <f>IFERROR(__xludf.DUMMYFUNCTION("GOOGLETRANSLATE(B34912,""en"",""zh-CN"")"),"然后进入水中，游泳并在冲浪中行走。")</f>
        <v>然后进入水中，游泳并在冲浪中行走。</v>
      </c>
    </row>
    <row r="34913">
      <c r="A34913" s="4" t="s">
        <v>43927</v>
      </c>
      <c r="B34913" s="4" t="s">
        <v>43928</v>
      </c>
      <c r="C34913" s="5" t="str">
        <f>IFERROR(__xludf.DUMMYFUNCTION("GOOGLETRANSLATE(B34913,""en"",""zh-CN"")"),"看到一个男人在举起泡沫橡胶垫的同时，在相机上说话。")</f>
        <v>看到一个男人在举起泡沫橡胶垫的同时，在相机上说话。</v>
      </c>
    </row>
    <row r="34914">
      <c r="A34914" s="4" t="s">
        <v>43927</v>
      </c>
      <c r="B34914" s="4" t="s">
        <v>43929</v>
      </c>
      <c r="C34914" s="5" t="str">
        <f>IFERROR(__xludf.DUMMYFUNCTION("GOOGLETRANSLATE(B34914,""en"",""zh-CN"")"),"当男人仍然在相机上说话时，摄像机周围有更多的垫子。")</f>
        <v>当男人仍然在相机上说话时，摄像机周围有更多的垫子。</v>
      </c>
    </row>
    <row r="34915">
      <c r="A34915" s="4" t="s">
        <v>43930</v>
      </c>
      <c r="B34915" s="4" t="s">
        <v>43931</v>
      </c>
      <c r="C34915" s="5" t="str">
        <f>IFERROR(__xludf.DUMMYFUNCTION("GOOGLETRANSLATE(B34915,""en"",""zh-CN"")"),"一个女人开始与镜头微笑着说话，并导致她来了另一个女人的头发。")</f>
        <v>一个女人开始与镜头微笑着说话，并导致她来了另一个女人的头发。</v>
      </c>
    </row>
    <row r="34916">
      <c r="A34916" s="4" t="s">
        <v>43930</v>
      </c>
      <c r="B34916" s="6" t="s">
        <v>43932</v>
      </c>
      <c r="C34916" s="5" t="str">
        <f>IFERROR(__xludf.DUMMYFUNCTION("GOOGLETRANSLATE(B34916,""en"",""zh-CN"")"),"她将头发分成部分，然后将滚筒放入女人的头发中，然后与相机交谈。")</f>
        <v>她将头发分成部分，然后将滚筒放入女人的头发中，然后与相机交谈。</v>
      </c>
    </row>
    <row r="34917">
      <c r="A34917" s="4" t="s">
        <v>43933</v>
      </c>
      <c r="B34917" s="4" t="s">
        <v>43934</v>
      </c>
      <c r="C34917" s="5" t="str">
        <f>IFERROR(__xludf.DUMMYFUNCTION("GOOGLETRANSLATE(B34917,""en"",""zh-CN"")"),"两个人在头上举重。")</f>
        <v>两个人在头上举重。</v>
      </c>
    </row>
    <row r="34918">
      <c r="A34918" s="4" t="s">
        <v>43933</v>
      </c>
      <c r="B34918" s="4" t="s">
        <v>43935</v>
      </c>
      <c r="C34918" s="5" t="str">
        <f>IFERROR(__xludf.DUMMYFUNCTION("GOOGLETRANSLATE(B34918,""en"",""zh-CN"")"),"他们将重量放到地面上。")</f>
        <v>他们将重量放到地面上。</v>
      </c>
    </row>
    <row r="34919">
      <c r="A34919" s="4" t="s">
        <v>43933</v>
      </c>
      <c r="B34919" s="4" t="s">
        <v>43936</v>
      </c>
      <c r="C34919" s="5" t="str">
        <f>IFERROR(__xludf.DUMMYFUNCTION("GOOGLETRANSLATE(B34919,""en"",""zh-CN"")"),"权重显示在两侧。")</f>
        <v>权重显示在两侧。</v>
      </c>
    </row>
    <row r="34920">
      <c r="A34920" s="4" t="s">
        <v>43937</v>
      </c>
      <c r="B34920" s="4" t="s">
        <v>43938</v>
      </c>
      <c r="C34920" s="5" t="str">
        <f>IFERROR(__xludf.DUMMYFUNCTION("GOOGLETRANSLATE(B34920,""en"",""zh-CN"")"),"当一个人聚焦相机时，看到两辆车停在车库外面。")</f>
        <v>当一个人聚焦相机时，看到两辆车停在车库外面。</v>
      </c>
    </row>
    <row r="34921">
      <c r="A34921" s="4" t="s">
        <v>43937</v>
      </c>
      <c r="B34921" s="6" t="s">
        <v>43939</v>
      </c>
      <c r="C34921" s="5" t="str">
        <f>IFERROR(__xludf.DUMMYFUNCTION("GOOGLETRANSLATE(B34921,""en"",""zh-CN"")"),"一旦相机是罪恶的位置，一个人将在混凝土上击败一块钢面具。")</f>
        <v>一旦相机是罪恶的位置，一个人将在混凝土上击败一块钢面具。</v>
      </c>
    </row>
    <row r="34922">
      <c r="A34922" s="4" t="s">
        <v>43937</v>
      </c>
      <c r="B34922" s="6" t="s">
        <v>43940</v>
      </c>
      <c r="C34922" s="5" t="str">
        <f>IFERROR(__xludf.DUMMYFUNCTION("GOOGLETRANSLATE(B34922,""en"",""zh-CN"")"),"这件作品在混凝土上，他将面具的底部放在戴上，开始燃烧金属。")</f>
        <v>这件作品在混凝土上，他将面具的底部放在戴上，开始燃烧金属。</v>
      </c>
    </row>
    <row r="34923">
      <c r="A34923" s="4" t="s">
        <v>43941</v>
      </c>
      <c r="B34923" s="4" t="s">
        <v>43942</v>
      </c>
      <c r="C34923" s="5" t="str">
        <f>IFERROR(__xludf.DUMMYFUNCTION("GOOGLETRANSLATE(B34923,""en"",""zh-CN"")"),"肚皮舞者服装的一个女人在舞台上。")</f>
        <v>肚皮舞者服装的一个女人在舞台上。</v>
      </c>
    </row>
    <row r="34924">
      <c r="A34924" s="4" t="s">
        <v>43941</v>
      </c>
      <c r="B34924" s="4" t="s">
        <v>43943</v>
      </c>
      <c r="C34924" s="5" t="str">
        <f>IFERROR(__xludf.DUMMYFUNCTION("GOOGLETRANSLATE(B34924,""en"",""zh-CN"")"),"她跳舞和唱歌时走下车道。")</f>
        <v>她跳舞和唱歌时走下车道。</v>
      </c>
    </row>
    <row r="34925">
      <c r="A34925" s="4" t="s">
        <v>43941</v>
      </c>
      <c r="B34925" s="4" t="s">
        <v>43944</v>
      </c>
      <c r="C34925" s="5" t="str">
        <f>IFERROR(__xludf.DUMMYFUNCTION("GOOGLETRANSLATE(B34925,""en"",""zh-CN"")"),"她表演时，她回旋臀部和手臂。")</f>
        <v>她表演时，她回旋臀部和手臂。</v>
      </c>
    </row>
    <row r="34926">
      <c r="A34926" s="4" t="s">
        <v>43945</v>
      </c>
      <c r="B34926" s="4" t="s">
        <v>43946</v>
      </c>
      <c r="C34926" s="5" t="str">
        <f>IFERROR(__xludf.DUMMYFUNCTION("GOOGLETRANSLATE(B34926,""en"",""zh-CN"")"),"显示了有关如何进行毛躁免费井喷的视频。")</f>
        <v>显示了有关如何进行毛躁免费井喷的视频。</v>
      </c>
    </row>
    <row r="34927">
      <c r="A34927" s="4" t="s">
        <v>43945</v>
      </c>
      <c r="B34927" s="4" t="s">
        <v>43947</v>
      </c>
      <c r="C34927" s="5" t="str">
        <f>IFERROR(__xludf.DUMMYFUNCTION("GOOGLETRANSLATE(B34927,""en"",""zh-CN"")"),"洗涤和调理后，使用产品并吹干。")</f>
        <v>洗涤和调理后，使用产品并吹干。</v>
      </c>
    </row>
    <row r="34928">
      <c r="A34928" s="4" t="s">
        <v>43945</v>
      </c>
      <c r="B34928" s="4" t="s">
        <v>43948</v>
      </c>
      <c r="C34928" s="5" t="str">
        <f>IFERROR(__xludf.DUMMYFUNCTION("GOOGLETRANSLATE(B34928,""en"",""zh-CN"")"),"然后，该过程的其余部分完成。")</f>
        <v>然后，该过程的其余部分完成。</v>
      </c>
    </row>
    <row r="34929">
      <c r="A34929" s="4" t="s">
        <v>43949</v>
      </c>
      <c r="B34929" s="4" t="s">
        <v>43950</v>
      </c>
      <c r="C34929" s="5" t="str">
        <f>IFERROR(__xludf.DUMMYFUNCTION("GOOGLETRANSLATE(B34929,""en"",""zh-CN"")"),"一个男人正在帮助一个小女孩滑下来。")</f>
        <v>一个男人正在帮助一个小女孩滑下来。</v>
      </c>
    </row>
    <row r="34930">
      <c r="A34930" s="4" t="s">
        <v>43949</v>
      </c>
      <c r="B34930" s="4" t="s">
        <v>43951</v>
      </c>
      <c r="C34930" s="5" t="str">
        <f>IFERROR(__xludf.DUMMYFUNCTION("GOOGLETRANSLATE(B34930,""en"",""zh-CN"")"),"她沿着腹部滑落。")</f>
        <v>她沿着腹部滑落。</v>
      </c>
    </row>
    <row r="34931">
      <c r="A34931" s="4" t="s">
        <v>43949</v>
      </c>
      <c r="B34931" s="4" t="s">
        <v>43952</v>
      </c>
      <c r="C34931" s="5" t="str">
        <f>IFERROR(__xludf.DUMMYFUNCTION("GOOGLETRANSLATE(B34931,""en"",""zh-CN"")"),"她爬上操场的侧面，再次沿着滑梯往下走。")</f>
        <v>她爬上操场的侧面，再次沿着滑梯往下走。</v>
      </c>
    </row>
    <row r="34932">
      <c r="A34932" s="4" t="s">
        <v>43953</v>
      </c>
      <c r="B34932" s="6" t="s">
        <v>43954</v>
      </c>
      <c r="C34932" s="5" t="str">
        <f>IFERROR(__xludf.DUMMYFUNCTION("GOOGLETRANSLATE(B34932,""en"",""zh-CN"")"),"看到一大批运动员站在轨道上，有些人则伸出手臂。")</f>
        <v>看到一大批运动员站在轨道上，有些人则伸出手臂。</v>
      </c>
    </row>
    <row r="34933">
      <c r="A34933" s="4" t="s">
        <v>43953</v>
      </c>
      <c r="B34933" s="4" t="s">
        <v>43955</v>
      </c>
      <c r="C34933" s="5" t="str">
        <f>IFERROR(__xludf.DUMMYFUNCTION("GOOGLETRANSLATE(B34933,""en"",""zh-CN"")"),"一位跑步者沿着赛道走去，跳入一个大沙坑，走开。")</f>
        <v>一位跑步者沿着赛道走去，跳入一个大沙坑，走开。</v>
      </c>
    </row>
    <row r="34934">
      <c r="A34934" s="4" t="s">
        <v>43956</v>
      </c>
      <c r="B34934" s="4" t="s">
        <v>43957</v>
      </c>
      <c r="C34934" s="5" t="str">
        <f>IFERROR(__xludf.DUMMYFUNCTION("GOOGLETRANSLATE(B34934,""en"",""zh-CN"")"),"一个红色奔跑的人跳跃并翻转障碍物。")</f>
        <v>一个红色奔跑的人跳跃并翻转障碍物。</v>
      </c>
    </row>
    <row r="34935">
      <c r="A34935" s="4" t="s">
        <v>43956</v>
      </c>
      <c r="B34935" s="4" t="s">
        <v>43958</v>
      </c>
      <c r="C34935" s="5" t="str">
        <f>IFERROR(__xludf.DUMMYFUNCTION("GOOGLETRANSLATE(B34935,""en"",""zh-CN"")"),"它以慢动作一遍又一遍地完成。")</f>
        <v>它以慢动作一遍又一遍地完成。</v>
      </c>
    </row>
    <row r="34936">
      <c r="A34936" s="4" t="s">
        <v>43956</v>
      </c>
      <c r="B34936" s="4" t="s">
        <v>43959</v>
      </c>
      <c r="C34936" s="5" t="str">
        <f>IFERROR(__xludf.DUMMYFUNCTION("GOOGLETRANSLATE(B34936,""en"",""zh-CN"")"),"然后，他最后一次再做一次。")</f>
        <v>然后，他最后一次再做一次。</v>
      </c>
    </row>
    <row r="34937">
      <c r="A34937" s="4" t="s">
        <v>43956</v>
      </c>
      <c r="B34937" s="4" t="s">
        <v>43960</v>
      </c>
      <c r="C34937" s="5" t="str">
        <f>IFERROR(__xludf.DUMMYFUNCTION("GOOGLETRANSLATE(B34937,""en"",""zh-CN"")"),"最后，他们在一个穿着黑色的男人首先穿越终点线的田野上开始比赛。")</f>
        <v>最后，他们在一个穿着黑色的男人首先穿越终点线的田野上开始比赛。</v>
      </c>
    </row>
    <row r="34938">
      <c r="A34938" s="4" t="s">
        <v>43961</v>
      </c>
      <c r="B34938" s="4" t="s">
        <v>43962</v>
      </c>
      <c r="C34938" s="5" t="str">
        <f>IFERROR(__xludf.DUMMYFUNCTION("GOOGLETRANSLATE(B34938,""en"",""zh-CN"")"),"一名戴着177号的女人站在适当的位置，她心脏紧张，准备奔跑。")</f>
        <v>一名戴着177号的女人站在适当的位置，她心脏紧张，准备奔跑。</v>
      </c>
    </row>
    <row r="34939">
      <c r="A34939" s="4" t="s">
        <v>43961</v>
      </c>
      <c r="B34939" s="4" t="s">
        <v>43963</v>
      </c>
      <c r="C34939" s="5" t="str">
        <f>IFERROR(__xludf.DUMMYFUNCTION("GOOGLETRANSLATE(B34939,""en"",""zh-CN"")"),"她深入呼吸，开始在场地上非常快。")</f>
        <v>她深入呼吸，开始在场地上非常快。</v>
      </c>
    </row>
    <row r="34940">
      <c r="A34940" s="4" t="s">
        <v>43961</v>
      </c>
      <c r="B34940" s="6" t="s">
        <v>43964</v>
      </c>
      <c r="C34940" s="5" t="str">
        <f>IFERROR(__xludf.DUMMYFUNCTION("GOOGLETRANSLATE(B34940,""en"",""zh-CN"")"),"她高高地跳了起来，在沙滩上降落在她的屁股上，他们表现出了轻微的表演重播。")</f>
        <v>她高高地跳了起来，在沙滩上降落在她的屁股上，他们表现出了轻微的表演重播。</v>
      </c>
    </row>
    <row r="34941">
      <c r="A34941" s="4" t="s">
        <v>43961</v>
      </c>
      <c r="B34941" s="4" t="s">
        <v>43965</v>
      </c>
      <c r="C34941" s="5" t="str">
        <f>IFERROR(__xludf.DUMMYFUNCTION("GOOGLETRANSLATE(B34941,""en"",""zh-CN"")"),"她弯腰修理制服，走开时将她的底部除尘。")</f>
        <v>她弯腰修理制服，走开时将她的底部除尘。</v>
      </c>
    </row>
    <row r="34942">
      <c r="A34942" s="4" t="s">
        <v>43966</v>
      </c>
      <c r="B34942" s="4" t="s">
        <v>43967</v>
      </c>
      <c r="C34942" s="5" t="str">
        <f>IFERROR(__xludf.DUMMYFUNCTION("GOOGLETRANSLATE(B34942,""en"",""zh-CN"")"),"人们在建筑物面前垂下叶片。")</f>
        <v>人们在建筑物面前垂下叶片。</v>
      </c>
    </row>
    <row r="34943">
      <c r="A34943" s="4" t="s">
        <v>43966</v>
      </c>
      <c r="B34943" s="4" t="s">
        <v>43968</v>
      </c>
      <c r="C34943" s="5" t="str">
        <f>IFERROR(__xludf.DUMMYFUNCTION("GOOGLETRANSLATE(B34943,""en"",""zh-CN"")"),"一个人滚子叶片很快。")</f>
        <v>一个人滚子叶片很快。</v>
      </c>
    </row>
    <row r="34944">
      <c r="A34944" s="4" t="s">
        <v>43966</v>
      </c>
      <c r="B34944" s="4" t="s">
        <v>43969</v>
      </c>
      <c r="C34944" s="5" t="str">
        <f>IFERROR(__xludf.DUMMYFUNCTION("GOOGLETRANSLATE(B34944,""en"",""zh-CN"")"),"该男子将手抬起空中，开始停止滚子叶片。")</f>
        <v>该男子将手抬起空中，开始停止滚子叶片。</v>
      </c>
    </row>
    <row r="34945">
      <c r="A34945" s="4" t="s">
        <v>43970</v>
      </c>
      <c r="B34945" s="4" t="s">
        <v>43971</v>
      </c>
      <c r="C34945" s="5" t="str">
        <f>IFERROR(__xludf.DUMMYFUNCTION("GOOGLETRANSLATE(B34945,""en"",""zh-CN"")"),"人们在大量的水上蜿蜒曲折。")</f>
        <v>人们在大量的水上蜿蜒曲折。</v>
      </c>
    </row>
    <row r="34946">
      <c r="A34946" s="4" t="s">
        <v>43970</v>
      </c>
      <c r="B34946" s="4" t="s">
        <v>43972</v>
      </c>
      <c r="C34946" s="5" t="str">
        <f>IFERROR(__xludf.DUMMYFUNCTION("GOOGLETRANSLATE(B34946,""en"",""zh-CN"")"),"显示了一个公园标志，显示“欢迎来到卡纳哈海滩公园”。")</f>
        <v>显示了一个公园标志，显示“欢迎来到卡纳哈海滩公园”。</v>
      </c>
    </row>
    <row r="34947">
      <c r="A34947" s="4" t="s">
        <v>43970</v>
      </c>
      <c r="B34947" s="4" t="s">
        <v>43973</v>
      </c>
      <c r="C34947" s="5" t="str">
        <f>IFERROR(__xludf.DUMMYFUNCTION("GOOGLETRANSLATE(B34947,""en"",""zh-CN"")"),"越来越多的风冲浪者在水面上赛车。")</f>
        <v>越来越多的风冲浪者在水面上赛车。</v>
      </c>
    </row>
    <row r="34948">
      <c r="A34948" s="4" t="s">
        <v>43974</v>
      </c>
      <c r="B34948" s="4" t="s">
        <v>43975</v>
      </c>
      <c r="C34948" s="5" t="str">
        <f>IFERROR(__xludf.DUMMYFUNCTION("GOOGLETRANSLATE(B34948,""en"",""zh-CN"")"),"角落里的那个人将球直接踢入网。")</f>
        <v>角落里的那个人将球直接踢入网。</v>
      </c>
    </row>
    <row r="34949">
      <c r="A34949" s="4" t="s">
        <v>43974</v>
      </c>
      <c r="B34949" s="4" t="s">
        <v>43976</v>
      </c>
      <c r="C34949" s="5" t="str">
        <f>IFERROR(__xludf.DUMMYFUNCTION("GOOGLETRANSLATE(B34949,""en"",""zh-CN"")"),"团队在法庭上庆祝。")</f>
        <v>团队在法庭上庆祝。</v>
      </c>
    </row>
    <row r="34950">
      <c r="A34950" s="4" t="s">
        <v>43974</v>
      </c>
      <c r="B34950" s="4" t="s">
        <v>43977</v>
      </c>
      <c r="C34950" s="5" t="str">
        <f>IFERROR(__xludf.DUMMYFUNCTION("GOOGLETRANSLATE(B34950,""en"",""zh-CN"")"),"看台上的一个人爬过栏杆，奔向法院庆祝。")</f>
        <v>看台上的一个人爬过栏杆，奔向法院庆祝。</v>
      </c>
    </row>
    <row r="34951">
      <c r="A34951" s="4" t="s">
        <v>43974</v>
      </c>
      <c r="B34951" s="4" t="s">
        <v>43978</v>
      </c>
      <c r="C34951" s="5" t="str">
        <f>IFERROR(__xludf.DUMMYFUNCTION("GOOGLETRANSLATE(B34951,""en"",""zh-CN"")"),"该小组正在法庭上庆祝。")</f>
        <v>该小组正在法庭上庆祝。</v>
      </c>
    </row>
    <row r="34952">
      <c r="A34952" s="4" t="s">
        <v>43974</v>
      </c>
      <c r="B34952" s="4" t="s">
        <v>43979</v>
      </c>
      <c r="C34952" s="5" t="str">
        <f>IFERROR(__xludf.DUMMYFUNCTION("GOOGLETRANSLATE(B34952,""en"",""zh-CN"")"),"其中一名球员将球踢入了看台，并以他的头向下走去。")</f>
        <v>其中一名球员将球踢入了看台，并以他的头向下走去。</v>
      </c>
    </row>
    <row r="34953">
      <c r="A34953" s="4" t="s">
        <v>43974</v>
      </c>
      <c r="B34953" s="4" t="s">
        <v>43980</v>
      </c>
      <c r="C34953" s="5" t="str">
        <f>IFERROR(__xludf.DUMMYFUNCTION("GOOGLETRANSLATE(B34953,""en"",""zh-CN"")"),"一些球员正站在角落里，就像他们在争论。")</f>
        <v>一些球员正站在角落里，就像他们在争论。</v>
      </c>
    </row>
    <row r="34954">
      <c r="A34954" s="4" t="s">
        <v>43974</v>
      </c>
      <c r="B34954" s="4" t="s">
        <v>43981</v>
      </c>
      <c r="C34954" s="5" t="str">
        <f>IFERROR(__xludf.DUMMYFUNCTION("GOOGLETRANSLATE(B34954,""en"",""zh-CN"")"),"一群球员和观众向近战行动。")</f>
        <v>一群球员和观众向近战行动。</v>
      </c>
    </row>
    <row r="34955">
      <c r="A34955" s="4" t="s">
        <v>43974</v>
      </c>
      <c r="B34955" s="4" t="s">
        <v>43982</v>
      </c>
      <c r="C34955" s="5" t="str">
        <f>IFERROR(__xludf.DUMMYFUNCTION("GOOGLETRANSLATE(B34955,""en"",""zh-CN"")"),"人们沿着球场的边缘奔跑。")</f>
        <v>人们沿着球场的边缘奔跑。</v>
      </c>
    </row>
    <row r="34956">
      <c r="A34956" s="4" t="s">
        <v>43974</v>
      </c>
      <c r="B34956" s="4" t="s">
        <v>43983</v>
      </c>
      <c r="C34956" s="5" t="str">
        <f>IFERROR(__xludf.DUMMYFUNCTION("GOOGLETRANSLATE(B34956,""en"",""zh-CN"")"),"小组仍在争论并阻止战斗。")</f>
        <v>小组仍在争论并阻止战斗。</v>
      </c>
    </row>
    <row r="34957">
      <c r="A34957" s="4" t="s">
        <v>43974</v>
      </c>
      <c r="B34957" s="4" t="s">
        <v>43984</v>
      </c>
      <c r="C34957" s="5" t="str">
        <f>IFERROR(__xludf.DUMMYFUNCTION("GOOGLETRANSLATE(B34957,""en"",""zh-CN"")"),"一个小组正在进行动画讨论。")</f>
        <v>一个小组正在进行动画讨论。</v>
      </c>
    </row>
    <row r="34958">
      <c r="A34958" s="4" t="s">
        <v>43974</v>
      </c>
      <c r="B34958" s="6" t="s">
        <v>43985</v>
      </c>
      <c r="C34958" s="5" t="str">
        <f>IFERROR(__xludf.DUMMYFUNCTION("GOOGLETRANSLATE(B34958,""en"",""zh-CN"")"),"当小组再次在法院的地板和边缘周围开始交谈时，这两个人回到了球场上。")</f>
        <v>当小组再次在法院的地板和边缘周围开始交谈时，这两个人回到了球场上。</v>
      </c>
    </row>
    <row r="34959">
      <c r="A34959" s="4" t="s">
        <v>43986</v>
      </c>
      <c r="B34959" s="4" t="s">
        <v>43987</v>
      </c>
      <c r="C34959" s="5" t="str">
        <f>IFERROR(__xludf.DUMMYFUNCTION("GOOGLETRANSLATE(B34959,""en"",""zh-CN"")"),"一个女人坐在地上时说话。")</f>
        <v>一个女人坐在地上时说话。</v>
      </c>
    </row>
    <row r="34960">
      <c r="A34960" s="4" t="s">
        <v>43986</v>
      </c>
      <c r="B34960" s="4" t="s">
        <v>43988</v>
      </c>
      <c r="C34960" s="5" t="str">
        <f>IFERROR(__xludf.DUMMYFUNCTION("GOOGLETRANSLATE(B34960,""en"",""zh-CN"")"),"她炫耀一对剪刀。")</f>
        <v>她炫耀一对剪刀。</v>
      </c>
    </row>
    <row r="34961">
      <c r="A34961" s="4" t="s">
        <v>43986</v>
      </c>
      <c r="B34961" s="4" t="s">
        <v>43989</v>
      </c>
      <c r="C34961" s="5" t="str">
        <f>IFERROR(__xludf.DUMMYFUNCTION("GOOGLETRANSLATE(B34961,""en"",""zh-CN"")"),"然后，她用它们轻轻但迅速修剪猫的指甲，而另一个女人则协助她。")</f>
        <v>然后，她用它们轻轻但迅速修剪猫的指甲，而另一个女人则协助她。</v>
      </c>
    </row>
    <row r="34962">
      <c r="A34962" s="4" t="s">
        <v>43990</v>
      </c>
      <c r="B34962" s="4" t="s">
        <v>43991</v>
      </c>
      <c r="C34962" s="5" t="str">
        <f>IFERROR(__xludf.DUMMYFUNCTION("GOOGLETRANSLATE(B34962,""en"",""zh-CN"")"),"人们沿着两座山之间的一条狭窄的河流筏。")</f>
        <v>人们沿着两座山之间的一条狭窄的河流筏。</v>
      </c>
    </row>
    <row r="34963">
      <c r="A34963" s="4" t="s">
        <v>43990</v>
      </c>
      <c r="B34963" s="4" t="s">
        <v>43992</v>
      </c>
      <c r="C34963" s="5" t="str">
        <f>IFERROR(__xludf.DUMMYFUNCTION("GOOGLETRANSLATE(B34963,""en"",""zh-CN"")"),"人们漂流在狭窄的河流中经过陷入困境的水域。")</f>
        <v>人们漂流在狭窄的河流中经过陷入困境的水域。</v>
      </c>
    </row>
    <row r="34964">
      <c r="A34964" s="4" t="s">
        <v>43990</v>
      </c>
      <c r="B34964" s="4" t="s">
        <v>43993</v>
      </c>
      <c r="C34964" s="5" t="str">
        <f>IFERROR(__xludf.DUMMYFUNCTION("GOOGLETRANSLATE(B34964,""en"",""zh-CN"")"),"人们沿着岩石河沿着开放的空间航行。")</f>
        <v>人们沿着岩石河沿着开放的空间航行。</v>
      </c>
    </row>
    <row r="34965">
      <c r="A34965" s="4" t="s">
        <v>43994</v>
      </c>
      <c r="B34965" s="4" t="s">
        <v>43995</v>
      </c>
      <c r="C34965" s="5" t="str">
        <f>IFERROR(__xludf.DUMMYFUNCTION("GOOGLETRANSLATE(B34965,""en"",""zh-CN"")"),"一个男人坐在教堂的前面，在手风琴上播放一首歌。")</f>
        <v>一个男人坐在教堂的前面，在手风琴上播放一首歌。</v>
      </c>
    </row>
    <row r="34966">
      <c r="A34966" s="4" t="s">
        <v>43994</v>
      </c>
      <c r="B34966" s="4" t="s">
        <v>43996</v>
      </c>
      <c r="C34966" s="5" t="str">
        <f>IFERROR(__xludf.DUMMYFUNCTION("GOOGLETRANSLATE(B34966,""en"",""zh-CN"")"),"这个人一直沿着秤上的范围比在歌曲结尾处备份。")</f>
        <v>这个人一直沿着秤上的范围比在歌曲结尾处备份。</v>
      </c>
    </row>
    <row r="34967">
      <c r="A34967" s="4" t="s">
        <v>43994</v>
      </c>
      <c r="B34967" s="4" t="s">
        <v>43997</v>
      </c>
      <c r="C34967" s="5" t="str">
        <f>IFERROR(__xludf.DUMMYFUNCTION("GOOGLETRANSLATE(B34967,""en"",""zh-CN"")"),"男人完成了歌曲并微笑。")</f>
        <v>男人完成了歌曲并微笑。</v>
      </c>
    </row>
    <row r="34968">
      <c r="A34968" s="4" t="s">
        <v>43998</v>
      </c>
      <c r="B34968" s="4" t="s">
        <v>43999</v>
      </c>
      <c r="C34968" s="5" t="str">
        <f>IFERROR(__xludf.DUMMYFUNCTION("GOOGLETRANSLATE(B34968,""en"",""zh-CN"")"),"看到一个男人骑着滑板骑在他头上的山上。")</f>
        <v>看到一个男人骑着滑板骑在他头上的山上。</v>
      </c>
    </row>
    <row r="34969">
      <c r="A34969" s="4" t="s">
        <v>43998</v>
      </c>
      <c r="B34969" s="4" t="s">
        <v>44000</v>
      </c>
      <c r="C34969" s="5" t="str">
        <f>IFERROR(__xludf.DUMMYFUNCTION("GOOGLETRANSLATE(B34969,""en"",""zh-CN"")"),"显示了更多人在区域周围的滑板上表演技巧的更多镜头。")</f>
        <v>显示了更多人在区域周围的滑板上表演技巧的更多镜头。</v>
      </c>
    </row>
    <row r="34970">
      <c r="A34970" s="4" t="s">
        <v>43998</v>
      </c>
      <c r="B34970" s="4" t="s">
        <v>44001</v>
      </c>
      <c r="C34970" s="5" t="str">
        <f>IFERROR(__xludf.DUMMYFUNCTION("GOOGLETRANSLATE(B34970,""en"",""zh-CN"")"),"人们继续执行技巧和骑行，而其他人则在旁边看。")</f>
        <v>人们继续执行技巧和骑行，而其他人则在旁边看。</v>
      </c>
    </row>
    <row r="34971">
      <c r="A34971" s="4" t="s">
        <v>44002</v>
      </c>
      <c r="B34971" s="4" t="s">
        <v>44003</v>
      </c>
      <c r="C34971" s="5" t="str">
        <f>IFERROR(__xludf.DUMMYFUNCTION("GOOGLETRANSLATE(B34971,""en"",""zh-CN"")"),"一群乐队的队友在公园外面。")</f>
        <v>一群乐队的队友在公园外面。</v>
      </c>
    </row>
    <row r="34972">
      <c r="A34972" s="4" t="s">
        <v>44002</v>
      </c>
      <c r="B34972" s="4" t="s">
        <v>44004</v>
      </c>
      <c r="C34972" s="5" t="str">
        <f>IFERROR(__xludf.DUMMYFUNCTION("GOOGLETRANSLATE(B34972,""en"",""zh-CN"")"),"他们穿着革命战争时代的服装。")</f>
        <v>他们穿着革命战争时代的服装。</v>
      </c>
    </row>
    <row r="34973">
      <c r="A34973" s="4" t="s">
        <v>44002</v>
      </c>
      <c r="B34973" s="4" t="s">
        <v>44005</v>
      </c>
      <c r="C34973" s="5" t="str">
        <f>IFERROR(__xludf.DUMMYFUNCTION("GOOGLETRANSLATE(B34973,""en"",""zh-CN"")"),"他们一致演奏鼓。")</f>
        <v>他们一致演奏鼓。</v>
      </c>
    </row>
    <row r="34974">
      <c r="A34974" s="4" t="s">
        <v>44006</v>
      </c>
      <c r="B34974" s="4" t="s">
        <v>44007</v>
      </c>
      <c r="C34974" s="5" t="str">
        <f>IFERROR(__xludf.DUMMYFUNCTION("GOOGLETRANSLATE(B34974,""en"",""zh-CN"")"),"看到一个男人跪在地板上，拿着一块地毯并与镜头说话。")</f>
        <v>看到一个男人跪在地板上，拿着一块地毯并与镜头说话。</v>
      </c>
    </row>
    <row r="34975">
      <c r="A34975" s="4" t="s">
        <v>44006</v>
      </c>
      <c r="B34975" s="4" t="s">
        <v>44008</v>
      </c>
      <c r="C34975" s="5" t="str">
        <f>IFERROR(__xludf.DUMMYFUNCTION("GOOGLETRANSLATE(B34975,""en"",""zh-CN"")"),"他剥离了层，开始擦地毯。")</f>
        <v>他剥离了层，开始擦地毯。</v>
      </c>
    </row>
    <row r="34976">
      <c r="A34976" s="4" t="s">
        <v>44006</v>
      </c>
      <c r="B34976" s="4" t="s">
        <v>44009</v>
      </c>
      <c r="C34976" s="5" t="str">
        <f>IFERROR(__xludf.DUMMYFUNCTION("GOOGLETRANSLATE(B34976,""en"",""zh-CN"")"),"他将液体倒在地毯上，然后用纸巾拍拍它。")</f>
        <v>他将液体倒在地毯上，然后用纸巾拍拍它。</v>
      </c>
    </row>
    <row r="34977">
      <c r="A34977" s="4" t="s">
        <v>44006</v>
      </c>
      <c r="B34977" s="4" t="s">
        <v>44010</v>
      </c>
      <c r="C34977" s="5" t="str">
        <f>IFERROR(__xludf.DUMMYFUNCTION("GOOGLETRANSLATE(B34977,""en"",""zh-CN"")"),"最终，该人真空地毯上的真空吸尘器旁边被真空吸尘器旁边。")</f>
        <v>最终，该人真空地毯上的真空吸尘器旁边被真空吸尘器旁边。</v>
      </c>
    </row>
    <row r="34978">
      <c r="A34978" s="4" t="s">
        <v>44011</v>
      </c>
      <c r="B34978" s="6" t="s">
        <v>44012</v>
      </c>
      <c r="C34978" s="5" t="str">
        <f>IFERROR(__xludf.DUMMYFUNCTION("GOOGLETRANSLATE(B34978,""en"",""zh-CN"")"),"三个人在健身房，其中一名男性跪下，抽搐酒吧，另一个男性正在向女人做按摩。")</f>
        <v>三个人在健身房，其中一名男性跪下，抽搐酒吧，另一个男性正在向女人做按摩。</v>
      </c>
    </row>
    <row r="34979">
      <c r="A34979" s="4" t="s">
        <v>44011</v>
      </c>
      <c r="B34979" s="6" t="s">
        <v>44013</v>
      </c>
      <c r="C34979" s="5" t="str">
        <f>IFERROR(__xludf.DUMMYFUNCTION("GOOGLETRANSLATE(B34979,""en"",""zh-CN"")"),"带有酒吧的雄性将举重，放下重物，然后高兴地跳起了自己的举重，掉下了腰带并走开了。")</f>
        <v>带有酒吧的雄性将举重，放下重物，然后高兴地跳起了自己的举重，掉下了腰带并走开了。</v>
      </c>
    </row>
    <row r="34980">
      <c r="A34980" s="4" t="s">
        <v>44014</v>
      </c>
      <c r="B34980" s="4" t="s">
        <v>44015</v>
      </c>
      <c r="C34980" s="5" t="str">
        <f>IFERROR(__xludf.DUMMYFUNCTION("GOOGLETRANSLATE(B34980,""en"",""zh-CN"")"),"看到一个小孩调整相机并炫耀她的脸。")</f>
        <v>看到一个小孩调整相机并炫耀她的脸。</v>
      </c>
    </row>
    <row r="34981">
      <c r="A34981" s="4" t="s">
        <v>44014</v>
      </c>
      <c r="B34981" s="4" t="s">
        <v>44016</v>
      </c>
      <c r="C34981" s="5" t="str">
        <f>IFERROR(__xludf.DUMMYFUNCTION("GOOGLETRANSLATE(B34981,""en"",""zh-CN"")"),"她拿起一些化妆，开始将其整个脸上放在脸上。")</f>
        <v>她拿起一些化妆，开始将其整个脸上放在脸上。</v>
      </c>
    </row>
    <row r="34982">
      <c r="A34982" s="4" t="s">
        <v>44014</v>
      </c>
      <c r="B34982" s="4" t="s">
        <v>44017</v>
      </c>
      <c r="C34982" s="5" t="str">
        <f>IFERROR(__xludf.DUMMYFUNCTION("GOOGLETRANSLATE(B34982,""en"",""zh-CN"")"),"她继续化妆，并将其涂在相机上。")</f>
        <v>她继续化妆，并将其涂在相机上。</v>
      </c>
    </row>
    <row r="34983">
      <c r="A34983" s="4" t="s">
        <v>44018</v>
      </c>
      <c r="B34983" s="4" t="s">
        <v>44019</v>
      </c>
      <c r="C34983" s="5" t="str">
        <f>IFERROR(__xludf.DUMMYFUNCTION("GOOGLETRANSLATE(B34983,""en"",""zh-CN"")"),"一个男人冲向轨道。")</f>
        <v>一个男人冲向轨道。</v>
      </c>
    </row>
    <row r="34984">
      <c r="A34984" s="4" t="s">
        <v>44018</v>
      </c>
      <c r="B34984" s="4" t="s">
        <v>44020</v>
      </c>
      <c r="C34984" s="5" t="str">
        <f>IFERROR(__xludf.DUMMYFUNCTION("GOOGLETRANSLATE(B34984,""en"",""zh-CN"")"),"该男子跳到赛道的尽头。")</f>
        <v>该男子跳到赛道的尽头。</v>
      </c>
    </row>
    <row r="34985">
      <c r="A34985" s="4" t="s">
        <v>44018</v>
      </c>
      <c r="B34985" s="4" t="s">
        <v>44021</v>
      </c>
      <c r="C34985" s="5" t="str">
        <f>IFERROR(__xludf.DUMMYFUNCTION("GOOGLETRANSLATE(B34985,""en"",""zh-CN"")"),"该男子的跳跃是从不同角度显示的。")</f>
        <v>该男子的跳跃是从不同角度显示的。</v>
      </c>
    </row>
    <row r="34986">
      <c r="A34986" s="4" t="s">
        <v>44022</v>
      </c>
      <c r="B34986" s="4" t="s">
        <v>44023</v>
      </c>
      <c r="C34986" s="5" t="str">
        <f>IFERROR(__xludf.DUMMYFUNCTION("GOOGLETRANSLATE(B34986,""en"",""zh-CN"")"),"一个摄像头在大型城市建筑物周围，并引向骑越野摩托车的人。")</f>
        <v>一个摄像头在大型城市建筑物周围，并引向骑越野摩托车的人。</v>
      </c>
    </row>
    <row r="34987">
      <c r="A34987" s="4" t="s">
        <v>44022</v>
      </c>
      <c r="B34987" s="6" t="s">
        <v>44024</v>
      </c>
      <c r="C34987" s="5" t="str">
        <f>IFERROR(__xludf.DUMMYFUNCTION("GOOGLETRANSLATE(B34987,""en"",""zh-CN"")"),"看到人们在自行车上表演技巧的更多剪辑，而数百人在场边看。")</f>
        <v>看到人们在自行车上表演技巧的更多剪辑，而数百人在场边看。</v>
      </c>
    </row>
    <row r="34988">
      <c r="A34988" s="4" t="s">
        <v>44022</v>
      </c>
      <c r="B34988" s="4" t="s">
        <v>44025</v>
      </c>
      <c r="C34988" s="5" t="str">
        <f>IFERROR(__xludf.DUMMYFUNCTION("GOOGLETRANSLATE(B34988,""en"",""zh-CN"")"),"最终，看到更多的人四处奔波，挥舞着双手。")</f>
        <v>最终，看到更多的人四处奔波，挥舞着双手。</v>
      </c>
    </row>
    <row r="34989">
      <c r="A34989" s="4" t="s">
        <v>44026</v>
      </c>
      <c r="B34989" s="4" t="s">
        <v>44027</v>
      </c>
      <c r="C34989" s="5" t="str">
        <f>IFERROR(__xludf.DUMMYFUNCTION("GOOGLETRANSLATE(B34989,""en"",""zh-CN"")"),"人们开始玩泳池游戏。")</f>
        <v>人们开始玩泳池游戏。</v>
      </c>
    </row>
    <row r="34990">
      <c r="A34990" s="4" t="s">
        <v>44026</v>
      </c>
      <c r="B34990" s="4" t="s">
        <v>44028</v>
      </c>
      <c r="C34990" s="5" t="str">
        <f>IFERROR(__xludf.DUMMYFUNCTION("GOOGLETRANSLATE(B34990,""en"",""zh-CN"")"),"一个男人和镜头说话并笑了。")</f>
        <v>一个男人和镜头说话并笑了。</v>
      </c>
    </row>
    <row r="34991">
      <c r="A34991" s="4" t="s">
        <v>44026</v>
      </c>
      <c r="B34991" s="4" t="s">
        <v>1599</v>
      </c>
      <c r="C34991" s="5" t="str">
        <f>IFERROR(__xludf.DUMMYFUNCTION("GOOGLETRANSLATE(B34991,""en"",""zh-CN"")"),"单词显示在屏幕上。")</f>
        <v>单词显示在屏幕上。</v>
      </c>
    </row>
    <row r="34992">
      <c r="A34992" s="4" t="s">
        <v>44029</v>
      </c>
      <c r="B34992" s="4" t="s">
        <v>44030</v>
      </c>
      <c r="C34992" s="5" t="str">
        <f>IFERROR(__xludf.DUMMYFUNCTION("GOOGLETRANSLATE(B34992,""en"",""zh-CN"")"),"四个人在地面上静坐。")</f>
        <v>四个人在地面上静坐。</v>
      </c>
    </row>
    <row r="34993">
      <c r="A34993" s="4" t="s">
        <v>44029</v>
      </c>
      <c r="B34993" s="4" t="s">
        <v>44031</v>
      </c>
      <c r="C34993" s="5" t="str">
        <f>IFERROR(__xludf.DUMMYFUNCTION("GOOGLETRANSLATE(B34993,""en"",""zh-CN"")"),"第三人被暂停。")</f>
        <v>第三人被暂停。</v>
      </c>
    </row>
    <row r="34994">
      <c r="A34994" s="4" t="s">
        <v>44029</v>
      </c>
      <c r="B34994" s="4" t="s">
        <v>44032</v>
      </c>
      <c r="C34994" s="5" t="str">
        <f>IFERROR(__xludf.DUMMYFUNCTION("GOOGLETRANSLATE(B34994,""en"",""zh-CN"")"),"最远的人几乎看不见。")</f>
        <v>最远的人几乎看不见。</v>
      </c>
    </row>
    <row r="34995">
      <c r="A34995" s="4" t="s">
        <v>44033</v>
      </c>
      <c r="B34995" s="4" t="s">
        <v>44034</v>
      </c>
      <c r="C34995" s="5" t="str">
        <f>IFERROR(__xludf.DUMMYFUNCTION("GOOGLETRANSLATE(B34995,""en"",""zh-CN"")"),"人们正戴着牛仔帽站在舞台上。")</f>
        <v>人们正戴着牛仔帽站在舞台上。</v>
      </c>
    </row>
    <row r="34996">
      <c r="A34996" s="4" t="s">
        <v>44033</v>
      </c>
      <c r="B34996" s="4" t="s">
        <v>44035</v>
      </c>
      <c r="C34996" s="5" t="str">
        <f>IFERROR(__xludf.DUMMYFUNCTION("GOOGLETRANSLATE(B34996,""en"",""zh-CN"")"),"他们从盒子里释放小牛。")</f>
        <v>他们从盒子里释放小牛。</v>
      </c>
    </row>
    <row r="34997">
      <c r="A34997" s="4" t="s">
        <v>44033</v>
      </c>
      <c r="B34997" s="4" t="s">
        <v>44036</v>
      </c>
      <c r="C34997" s="5" t="str">
        <f>IFERROR(__xludf.DUMMYFUNCTION("GOOGLETRANSLATE(B34997,""en"",""zh-CN"")"),"一匹马的男人跟随小牛奔跑。")</f>
        <v>一匹马的男人跟随小牛奔跑。</v>
      </c>
    </row>
    <row r="34998">
      <c r="A34998" s="4" t="s">
        <v>44033</v>
      </c>
      <c r="B34998" s="4" t="s">
        <v>44037</v>
      </c>
      <c r="C34998" s="5" t="str">
        <f>IFERROR(__xludf.DUMMYFUNCTION("GOOGLETRANSLATE(B34998,""en"",""zh-CN"")"),"他绑着小腿的腿，站起来走开。")</f>
        <v>他绑着小腿的腿，站起来走开。</v>
      </c>
    </row>
    <row r="34999">
      <c r="A34999" s="4" t="s">
        <v>44038</v>
      </c>
      <c r="B34999" s="6" t="s">
        <v>44039</v>
      </c>
      <c r="C34999" s="5" t="str">
        <f>IFERROR(__xludf.DUMMYFUNCTION("GOOGLETRANSLATE(B34999,""en"",""zh-CN"")"),"一个男人站在水槽上，用右手握着一个钻头，该钻头在其末端附有马铃薯，右手在钻头移动土豆和剥皮时握住手皮。")</f>
        <v>一个男人站在水槽上，用右手握着一个钻头，该钻头在其末端附有马铃薯，右手在钻头移动土豆和剥皮时握住手皮。</v>
      </c>
    </row>
    <row r="35000">
      <c r="A35000" s="4" t="s">
        <v>44038</v>
      </c>
      <c r="B35000" s="6" t="s">
        <v>44040</v>
      </c>
      <c r="C35000" s="5" t="str">
        <f>IFERROR(__xludf.DUMMYFUNCTION("GOOGLETRANSLATE(B35000,""en"",""zh-CN"")"),"该男子暂时停止钻头，以拉下一小块土豆，并显示了一块长的金属，从钻头上伸出来。")</f>
        <v>该男子暂时停止钻头，以拉下一小块土豆，并显示了一块长的金属，从钻头上伸出来。</v>
      </c>
    </row>
    <row r="35001">
      <c r="A35001" s="4" t="s">
        <v>44038</v>
      </c>
      <c r="B35001" s="4" t="s">
        <v>44041</v>
      </c>
      <c r="C35001" s="5" t="str">
        <f>IFERROR(__xludf.DUMMYFUNCTION("GOOGLETRANSLATE(B35001,""en"",""zh-CN"")"),"然后，该名男子将另一个土豆放在尖的金属片上，并继续剥土豆。")</f>
        <v>然后，该名男子将另一个土豆放在尖的金属片上，并继续剥土豆。</v>
      </c>
    </row>
    <row r="35002">
      <c r="A35002" s="4" t="s">
        <v>44038</v>
      </c>
      <c r="B35002" s="6" t="s">
        <v>44042</v>
      </c>
      <c r="C35002" s="5" t="str">
        <f>IFERROR(__xludf.DUMMYFUNCTION("GOOGLETRANSLATE(B35002,""en"",""zh-CN"")"),"他再次停下来，然后清理剥皮器，然后返回去剥土豆的其余部分。")</f>
        <v>他再次停下来，然后清理剥皮器，然后返回去剥土豆的其余部分。</v>
      </c>
    </row>
    <row r="35003">
      <c r="A35003" s="4" t="s">
        <v>44038</v>
      </c>
      <c r="B35003" s="6" t="s">
        <v>44043</v>
      </c>
      <c r="C35003" s="5" t="str">
        <f>IFERROR(__xludf.DUMMYFUNCTION("GOOGLETRANSLATE(B35003,""en"",""zh-CN"")"),"该男子最后一次停止钻头，放开它，然后用双手将内容物扔进水槽和水槽时，再次用双手清洁去皮。")</f>
        <v>该男子最后一次停止钻头，放开它，然后用双手将内容物扔进水槽和水槽时，再次用双手清洁去皮。</v>
      </c>
    </row>
    <row r="35004">
      <c r="A35004" s="4" t="s">
        <v>44044</v>
      </c>
      <c r="B35004" s="4" t="s">
        <v>44045</v>
      </c>
      <c r="C35004" s="5" t="str">
        <f>IFERROR(__xludf.DUMMYFUNCTION("GOOGLETRANSLATE(B35004,""en"",""zh-CN"")"),"一位女士从她的座位上站起来，我们看到乐团播放音乐。")</f>
        <v>一位女士从她的座位上站起来，我们看到乐团播放音乐。</v>
      </c>
    </row>
    <row r="35005">
      <c r="A35005" s="4" t="s">
        <v>44044</v>
      </c>
      <c r="B35005" s="4" t="s">
        <v>44046</v>
      </c>
      <c r="C35005" s="5" t="str">
        <f>IFERROR(__xludf.DUMMYFUNCTION("GOOGLETRANSLATE(B35005,""en"",""zh-CN"")"),"女人在舞台上做一个肚皮舞。")</f>
        <v>女人在舞台上做一个肚皮舞。</v>
      </c>
    </row>
    <row r="35006">
      <c r="A35006" s="4" t="s">
        <v>44044</v>
      </c>
      <c r="B35006" s="4" t="s">
        <v>44047</v>
      </c>
      <c r="C35006" s="5" t="str">
        <f>IFERROR(__xludf.DUMMYFUNCTION("GOOGLETRANSLATE(B35006,""en"",""zh-CN"")"),"我们看到一台相机进入右侧的场景。")</f>
        <v>我们看到一台相机进入右侧的场景。</v>
      </c>
    </row>
    <row r="35007">
      <c r="A35007" s="4" t="s">
        <v>44044</v>
      </c>
      <c r="B35007" s="4" t="s">
        <v>44048</v>
      </c>
      <c r="C35007" s="5" t="str">
        <f>IFERROR(__xludf.DUMMYFUNCTION("GOOGLETRANSLATE(B35007,""en"",""zh-CN"")"),"我们看到了一个男人的脑后。")</f>
        <v>我们看到了一个男人的脑后。</v>
      </c>
    </row>
    <row r="35008">
      <c r="A35008" s="4" t="s">
        <v>44044</v>
      </c>
      <c r="B35008" s="4" t="s">
        <v>44049</v>
      </c>
      <c r="C35008" s="5" t="str">
        <f>IFERROR(__xludf.DUMMYFUNCTION("GOOGLETRANSLATE(B35008,""en"",""zh-CN"")"),"然后，我们看到那个男人旁边的女人。")</f>
        <v>然后，我们看到那个男人旁边的女人。</v>
      </c>
    </row>
    <row r="35009">
      <c r="A35009" s="4" t="s">
        <v>44044</v>
      </c>
      <c r="B35009" s="4" t="s">
        <v>44050</v>
      </c>
      <c r="C35009" s="5" t="str">
        <f>IFERROR(__xludf.DUMMYFUNCTION("GOOGLETRANSLATE(B35009,""en"",""zh-CN"")"),"那个女人结束了舞蹈，拿起了她的包裹。")</f>
        <v>那个女人结束了舞蹈，拿起了她的包裹。</v>
      </c>
    </row>
    <row r="35010">
      <c r="A35010" s="4" t="s">
        <v>44044</v>
      </c>
      <c r="B35010" s="4" t="s">
        <v>44051</v>
      </c>
      <c r="C35010" s="5" t="str">
        <f>IFERROR(__xludf.DUMMYFUNCTION("GOOGLETRANSLATE(B35010,""en"",""zh-CN"")"),"我们看到一位阴沉的女士拿着麦克风。")</f>
        <v>我们看到一位阴沉的女士拿着麦克风。</v>
      </c>
    </row>
    <row r="35011">
      <c r="A35011" s="4" t="s">
        <v>44052</v>
      </c>
      <c r="B35011" s="4" t="s">
        <v>44053</v>
      </c>
      <c r="C35011" s="5" t="str">
        <f>IFERROR(__xludf.DUMMYFUNCTION("GOOGLETRANSLATE(B35011,""en"",""zh-CN"")"),"一个男人正在擦肮脏的公共浴室地板。")</f>
        <v>一个男人正在擦肮脏的公共浴室地板。</v>
      </c>
    </row>
    <row r="35012">
      <c r="A35012" s="4" t="s">
        <v>44052</v>
      </c>
      <c r="B35012" s="4" t="s">
        <v>44054</v>
      </c>
      <c r="C35012" s="5" t="str">
        <f>IFERROR(__xludf.DUMMYFUNCTION("GOOGLETRANSLATE(B35012,""en"",""zh-CN"")"),"他来回推动拖把，使地板清洁有光泽。")</f>
        <v>他来回推动拖把，使地板清洁有光泽。</v>
      </c>
    </row>
    <row r="35013">
      <c r="A35013" s="4" t="s">
        <v>44055</v>
      </c>
      <c r="B35013" s="4" t="s">
        <v>44056</v>
      </c>
      <c r="C35013" s="5" t="str">
        <f>IFERROR(__xludf.DUMMYFUNCTION("GOOGLETRANSLATE(B35013,""en"",""zh-CN"")"),"一个穿着蝙蝠侠的大个子在做奇怪的荒谬的事情。")</f>
        <v>一个穿着蝙蝠侠的大个子在做奇怪的荒谬的事情。</v>
      </c>
    </row>
    <row r="35014">
      <c r="A35014" s="4" t="s">
        <v>44055</v>
      </c>
      <c r="B35014" s="6" t="s">
        <v>44057</v>
      </c>
      <c r="C35014" s="5" t="str">
        <f>IFERROR(__xludf.DUMMYFUNCTION("GOOGLETRANSLATE(B35014,""en"",""zh-CN"")"),"他跑到房子里，开始开始提供有关如何制作完美蝙蝠侠三明治的指示。")</f>
        <v>他跑到房子里，开始开始提供有关如何制作完美蝙蝠侠三明治的指示。</v>
      </c>
    </row>
    <row r="35015">
      <c r="A35015" s="4" t="s">
        <v>44055</v>
      </c>
      <c r="B35015" s="4" t="s">
        <v>44058</v>
      </c>
      <c r="C35015" s="5" t="str">
        <f>IFERROR(__xludf.DUMMYFUNCTION("GOOGLETRANSLATE(B35015,""en"",""zh-CN"")"),"他正在切奶酪，并在三明治中添加火腿。")</f>
        <v>他正在切奶酪，并在三明治中添加火腿。</v>
      </c>
    </row>
    <row r="35016">
      <c r="A35016" s="4" t="s">
        <v>44055</v>
      </c>
      <c r="B35016" s="4" t="s">
        <v>44059</v>
      </c>
      <c r="C35016" s="5" t="str">
        <f>IFERROR(__xludf.DUMMYFUNCTION("GOOGLETRANSLATE(B35016,""en"",""zh-CN"")"),"他甚至将面包切成蝙蝠侠的形状，然后才能完成。")</f>
        <v>他甚至将面包切成蝙蝠侠的形状，然后才能完成。</v>
      </c>
    </row>
    <row r="35017">
      <c r="A35017" s="4" t="s">
        <v>44060</v>
      </c>
      <c r="B35017" s="4" t="s">
        <v>44061</v>
      </c>
      <c r="C35017" s="5" t="str">
        <f>IFERROR(__xludf.DUMMYFUNCTION("GOOGLETRANSLATE(B35017,""en"",""zh-CN"")"),"两个人在一个小的健身房拳击中，互相战斗。")</f>
        <v>两个人在一个小的健身房拳击中，互相战斗。</v>
      </c>
    </row>
    <row r="35018">
      <c r="A35018" s="4" t="s">
        <v>44060</v>
      </c>
      <c r="B35018" s="4" t="s">
        <v>44062</v>
      </c>
      <c r="C35018" s="5" t="str">
        <f>IFERROR(__xludf.DUMMYFUNCTION("GOOGLETRANSLATE(B35018,""en"",""zh-CN"")"),"当一个人站在角落里，他们继续战斗并互相打击。")</f>
        <v>当一个人站在角落里，他们继续战斗并互相打击。</v>
      </c>
    </row>
    <row r="35019">
      <c r="A35019" s="4" t="s">
        <v>44060</v>
      </c>
      <c r="B35019" s="4" t="s">
        <v>44063</v>
      </c>
      <c r="C35019" s="5" t="str">
        <f>IFERROR(__xludf.DUMMYFUNCTION("GOOGLETRANSLATE(B35019,""en"",""zh-CN"")"),"一段时间后，他们结束了战斗，在健身房彼此之间站着。")</f>
        <v>一段时间后，他们结束了战斗，在健身房彼此之间站着。</v>
      </c>
    </row>
    <row r="35020">
      <c r="A35020" s="4" t="s">
        <v>44064</v>
      </c>
      <c r="B35020" s="4" t="s">
        <v>44065</v>
      </c>
      <c r="C35020" s="5" t="str">
        <f>IFERROR(__xludf.DUMMYFUNCTION("GOOGLETRANSLATE(B35020,""en"",""zh-CN"")"),"一个穿着西装的男人从纸上读出。")</f>
        <v>一个穿着西装的男人从纸上读出。</v>
      </c>
    </row>
    <row r="35021">
      <c r="A35021" s="4" t="s">
        <v>44064</v>
      </c>
      <c r="B35021" s="4" t="s">
        <v>44066</v>
      </c>
      <c r="C35021" s="5" t="str">
        <f>IFERROR(__xludf.DUMMYFUNCTION("GOOGLETRANSLATE(B35021,""en"",""zh-CN"")"),"然后，一个女人开始报告新闻报道。")</f>
        <v>然后，一个女人开始报告新闻报道。</v>
      </c>
    </row>
    <row r="35022">
      <c r="A35022" s="4" t="s">
        <v>44064</v>
      </c>
      <c r="B35022" s="4" t="s">
        <v>44067</v>
      </c>
      <c r="C35022" s="5" t="str">
        <f>IFERROR(__xludf.DUMMYFUNCTION("GOOGLETRANSLATE(B35022,""en"",""zh-CN"")"),"一个小男孩在街上扮演口琴。")</f>
        <v>一个小男孩在街上扮演口琴。</v>
      </c>
    </row>
    <row r="35023">
      <c r="A35023" s="4" t="s">
        <v>44064</v>
      </c>
      <c r="B35023" s="4" t="s">
        <v>44068</v>
      </c>
      <c r="C35023" s="5" t="str">
        <f>IFERROR(__xludf.DUMMYFUNCTION("GOOGLETRANSLATE(B35023,""en"",""zh-CN"")"),"他站在一个码头上讲述自己的故事。")</f>
        <v>他站在一个码头上讲述自己的故事。</v>
      </c>
    </row>
    <row r="35024">
      <c r="A35024" s="4" t="s">
        <v>44069</v>
      </c>
      <c r="B35024" s="6" t="s">
        <v>44070</v>
      </c>
      <c r="C35024" s="5" t="str">
        <f>IFERROR(__xludf.DUMMYFUNCTION("GOOGLETRANSLATE(B35024,""en"",""zh-CN"")"),"一个男人在相机上显示了一个手臂和双腿，一边微笑着摄像机。")</f>
        <v>一个男人在相机上显示了一个手臂和双腿，一边微笑着摄像机。</v>
      </c>
    </row>
    <row r="35025">
      <c r="A35025" s="4" t="s">
        <v>44069</v>
      </c>
      <c r="B35025" s="4" t="s">
        <v>44071</v>
      </c>
      <c r="C35025" s="5" t="str">
        <f>IFERROR(__xludf.DUMMYFUNCTION("GOOGLETRANSLATE(B35025,""en"",""zh-CN"")"),"他又缓慢地执行了几个动作，并继续向相机说话和微笑。")</f>
        <v>他又缓慢地执行了几个动作，并继续向相机说话和微笑。</v>
      </c>
    </row>
    <row r="35026">
      <c r="A35026" s="4" t="s">
        <v>44072</v>
      </c>
      <c r="B35026" s="4" t="s">
        <v>44073</v>
      </c>
      <c r="C35026" s="5" t="str">
        <f>IFERROR(__xludf.DUMMYFUNCTION("GOOGLETRANSLATE(B35026,""en"",""zh-CN"")"),"一个女人正在浴缸里洗澡一只白色和棕色的小狗。")</f>
        <v>一个女人正在浴缸里洗澡一只白色和棕色的小狗。</v>
      </c>
    </row>
    <row r="35027">
      <c r="A35027" s="4" t="s">
        <v>44072</v>
      </c>
      <c r="B35027" s="4" t="s">
        <v>44074</v>
      </c>
      <c r="C35027" s="5" t="str">
        <f>IFERROR(__xludf.DUMMYFUNCTION("GOOGLETRANSLATE(B35027,""en"",""zh-CN"")"),"女人正在用手持淋浴洗狗。")</f>
        <v>女人正在用手持淋浴洗狗。</v>
      </c>
    </row>
    <row r="35028">
      <c r="A35028" s="4" t="s">
        <v>44072</v>
      </c>
      <c r="B35028" s="4" t="s">
        <v>44075</v>
      </c>
      <c r="C35028" s="5" t="str">
        <f>IFERROR(__xludf.DUMMYFUNCTION("GOOGLETRANSLATE(B35028,""en"",""zh-CN"")"),"女人用两条前腿抱着狗。")</f>
        <v>女人用两条前腿抱着狗。</v>
      </c>
    </row>
    <row r="35029">
      <c r="A35029" s="4" t="s">
        <v>44072</v>
      </c>
      <c r="B35029" s="4" t="s">
        <v>44076</v>
      </c>
      <c r="C35029" s="5" t="str">
        <f>IFERROR(__xludf.DUMMYFUNCTION("GOOGLETRANSLATE(B35029,""en"",""zh-CN"")"),"她继续用淋浴洗狗。")</f>
        <v>她继续用淋浴洗狗。</v>
      </c>
    </row>
    <row r="35030">
      <c r="A35030" s="4" t="s">
        <v>44077</v>
      </c>
      <c r="B35030" s="4" t="s">
        <v>44078</v>
      </c>
      <c r="C35030" s="5" t="str">
        <f>IFERROR(__xludf.DUMMYFUNCTION("GOOGLETRANSLATE(B35030,""en"",""zh-CN"")"),"几个人在聚会上。")</f>
        <v>几个人在聚会上。</v>
      </c>
    </row>
    <row r="35031">
      <c r="A35031" s="4" t="s">
        <v>44077</v>
      </c>
      <c r="B35031" s="4" t="s">
        <v>44079</v>
      </c>
      <c r="C35031" s="5" t="str">
        <f>IFERROR(__xludf.DUMMYFUNCTION("GOOGLETRANSLATE(B35031,""en"",""zh-CN"")"),"他们正在喝酒和玩啤酒。")</f>
        <v>他们正在喝酒和玩啤酒。</v>
      </c>
    </row>
    <row r="35032">
      <c r="A35032" s="4" t="s">
        <v>44077</v>
      </c>
      <c r="B35032" s="4" t="s">
        <v>44080</v>
      </c>
      <c r="C35032" s="5" t="str">
        <f>IFERROR(__xludf.DUMMYFUNCTION("GOOGLETRANSLATE(B35032,""en"",""zh-CN"")"),"有些人跳舞和看手机。")</f>
        <v>有些人跳舞和看手机。</v>
      </c>
    </row>
    <row r="35033">
      <c r="A35033" s="4" t="s">
        <v>44081</v>
      </c>
      <c r="B35033" s="4" t="s">
        <v>44082</v>
      </c>
      <c r="C35033" s="5" t="str">
        <f>IFERROR(__xludf.DUMMYFUNCTION("GOOGLETRANSLATE(B35033,""en"",""zh-CN"")"),"Seppe Smits的名称出现在屏幕上，然后是“每天2400小时雪地登机”。")</f>
        <v>Seppe Smits的名称出现在屏幕上，然后是“每天2400小时雪地登机”。</v>
      </c>
    </row>
    <row r="35034">
      <c r="A35034" s="4" t="s">
        <v>44081</v>
      </c>
      <c r="B35034" s="4" t="s">
        <v>44083</v>
      </c>
      <c r="C35034" s="5" t="str">
        <f>IFERROR(__xludf.DUMMYFUNCTION("GOOGLETRANSLATE(B35034,""en"",""zh-CN"")"),"开始他的一天的史密斯的视频与他的滑雪板相结合。")</f>
        <v>开始他的一天的史密斯的视频与他的滑雪板相结合。</v>
      </c>
    </row>
    <row r="35035">
      <c r="A35035" s="4" t="s">
        <v>44081</v>
      </c>
      <c r="B35035" s="4" t="s">
        <v>44084</v>
      </c>
      <c r="C35035" s="5" t="str">
        <f>IFERROR(__xludf.DUMMYFUNCTION("GOOGLETRANSLATE(B35035,""en"",""zh-CN"")"),"社交媒体主题标签显示在屏幕上。")</f>
        <v>社交媒体主题标签显示在屏幕上。</v>
      </c>
    </row>
    <row r="35036">
      <c r="A35036" s="4" t="s">
        <v>44085</v>
      </c>
      <c r="B35036" s="4" t="s">
        <v>44086</v>
      </c>
      <c r="C35036" s="5" t="str">
        <f>IFERROR(__xludf.DUMMYFUNCTION("GOOGLETRANSLATE(B35036,""en"",""zh-CN"")"),"女人正站在厨房里，拿着一袋意大利面的相机聊天。")</f>
        <v>女人正站在厨房里，拿着一袋意大利面的相机聊天。</v>
      </c>
    </row>
    <row r="35037">
      <c r="A35037" s="4" t="s">
        <v>44085</v>
      </c>
      <c r="B35037" s="4" t="s">
        <v>44087</v>
      </c>
      <c r="C35037" s="5" t="str">
        <f>IFERROR(__xludf.DUMMYFUNCTION("GOOGLETRANSLATE(B35037,""en"",""zh-CN"")"),"女人抓一些意大利面，将它们放在煮水中。")</f>
        <v>女人抓一些意大利面，将它们放在煮水中。</v>
      </c>
    </row>
    <row r="35038">
      <c r="A35038" s="4" t="s">
        <v>44085</v>
      </c>
      <c r="B35038" s="4" t="s">
        <v>44088</v>
      </c>
      <c r="C35038" s="5" t="str">
        <f>IFERROR(__xludf.DUMMYFUNCTION("GOOGLETRANSLATE(B35038,""en"",""zh-CN"")"),"女人抓住一个意大利面条并吃掉它以查看是否煮熟并解释如何知道。")</f>
        <v>女人抓住一个意大利面条并吃掉它以查看是否煮熟并解释如何知道。</v>
      </c>
    </row>
    <row r="35039">
      <c r="A35039" s="4" t="s">
        <v>44085</v>
      </c>
      <c r="B35039" s="6" t="s">
        <v>44089</v>
      </c>
      <c r="C35039" s="5" t="str">
        <f>IFERROR(__xludf.DUMMYFUNCTION("GOOGLETRANSLATE(B35039,""en"",""zh-CN"")"),"将水扔进水槽中，并在意大利面上烤奶酪，然后再将其涂在白色盘子中。")</f>
        <v>将水扔进水槽中，并在意大利面上烤奶酪，然后再将其涂在白色盘子中。</v>
      </c>
    </row>
    <row r="35040">
      <c r="A35040" s="4" t="s">
        <v>44090</v>
      </c>
      <c r="B35040" s="4" t="s">
        <v>44091</v>
      </c>
      <c r="C35040" s="5" t="str">
        <f>IFERROR(__xludf.DUMMYFUNCTION("GOOGLETRANSLATE(B35040,""en"",""zh-CN"")"),"一群男人在一个沙滩上踢足球，而很多人正在寻找足球。")</f>
        <v>一群男人在一个沙滩上踢足球，而很多人正在寻找足球。</v>
      </c>
    </row>
    <row r="35041">
      <c r="A35041" s="4" t="s">
        <v>44090</v>
      </c>
      <c r="B35041" s="6" t="s">
        <v>44092</v>
      </c>
      <c r="C35041" s="5" t="str">
        <f>IFERROR(__xludf.DUMMYFUNCTION("GOOGLETRANSLATE(B35041,""en"",""zh-CN"")"),"一个男人非常努力地踢球，进入进球，他将两只手臂伸到空中，并给球队配偶一个高五人，他们全部奔向下一场比赛。")</f>
        <v>一个男人非常努力地踢球，进入进球，他将两只手臂伸到空中，并给球队配偶一个高五人，他们全部奔向下一场比赛。</v>
      </c>
    </row>
    <row r="35042">
      <c r="A35042" s="4" t="s">
        <v>44090</v>
      </c>
      <c r="B35042" s="4" t="s">
        <v>44093</v>
      </c>
      <c r="C35042" s="5" t="str">
        <f>IFERROR(__xludf.DUMMYFUNCTION("GOOGLETRANSLATE(B35042,""en"",""zh-CN"")"),"被踢的目标的重播是重播的，但慢动作。")</f>
        <v>被踢的目标的重播是重播的，但慢动作。</v>
      </c>
    </row>
    <row r="35043">
      <c r="A35043" s="4" t="s">
        <v>44094</v>
      </c>
      <c r="B35043" s="4" t="s">
        <v>44095</v>
      </c>
      <c r="C35043" s="5" t="str">
        <f>IFERROR(__xludf.DUMMYFUNCTION("GOOGLETRANSLATE(B35043,""en"",""zh-CN"")"),"一个男人站在湖边说话时，正在拿着相机。")</f>
        <v>一个男人站在湖边说话时，正在拿着相机。</v>
      </c>
    </row>
    <row r="35044">
      <c r="A35044" s="4" t="s">
        <v>44094</v>
      </c>
      <c r="B35044" s="4" t="s">
        <v>44096</v>
      </c>
      <c r="C35044" s="5" t="str">
        <f>IFERROR(__xludf.DUMMYFUNCTION("GOOGLETRANSLATE(B35044,""en"",""zh-CN"")"),"他穿过隧道，沿着桥梁行走，站在悬崖上。")</f>
        <v>他穿过隧道，沿着桥梁行走，站在悬崖上。</v>
      </c>
    </row>
    <row r="35045">
      <c r="A35045" s="4" t="s">
        <v>44094</v>
      </c>
      <c r="B35045" s="4" t="s">
        <v>44097</v>
      </c>
      <c r="C35045" s="5" t="str">
        <f>IFERROR(__xludf.DUMMYFUNCTION("GOOGLETRANSLATE(B35045,""en"",""zh-CN"")"),"他沿着道路开车，记录在白水河上漂流。")</f>
        <v>他沿着道路开车，记录在白水河上漂流。</v>
      </c>
    </row>
    <row r="35046">
      <c r="A35046" s="4" t="s">
        <v>44094</v>
      </c>
      <c r="B35046" s="4" t="s">
        <v>44098</v>
      </c>
      <c r="C35046" s="5" t="str">
        <f>IFERROR(__xludf.DUMMYFUNCTION("GOOGLETRANSLATE(B35046,""en"",""zh-CN"")"),"在再次漂流之前，人们被证明人们从悬崖上深处潜水。")</f>
        <v>在再次漂流之前，人们被证明人们从悬崖上深处潜水。</v>
      </c>
    </row>
    <row r="35047">
      <c r="A35047" s="4" t="s">
        <v>44099</v>
      </c>
      <c r="B35047" s="4" t="s">
        <v>44100</v>
      </c>
      <c r="C35047" s="5" t="str">
        <f>IFERROR(__xludf.DUMMYFUNCTION("GOOGLETRANSLATE(B35047,""en"",""zh-CN"")"),"一个摄像机在男人的背上晃动，然后一个男人在游泳池里跳水。")</f>
        <v>一个摄像机在男人的背上晃动，然后一个男人在游泳池里跳水。</v>
      </c>
    </row>
    <row r="35048">
      <c r="A35048" s="4" t="s">
        <v>44099</v>
      </c>
      <c r="B35048" s="4" t="s">
        <v>44101</v>
      </c>
      <c r="C35048" s="5" t="str">
        <f>IFERROR(__xludf.DUMMYFUNCTION("GOOGLETRANSLATE(B35048,""en"",""zh-CN"")"),"向他展示了两次表现出色的潜水板从潜水板上进入游泳池。")</f>
        <v>向他展示了两次表现出色的潜水板从潜水板上进入游泳池。</v>
      </c>
    </row>
    <row r="35049">
      <c r="A35049" s="4" t="s">
        <v>44102</v>
      </c>
      <c r="B35049" s="4" t="s">
        <v>44103</v>
      </c>
      <c r="C35049" s="5" t="str">
        <f>IFERROR(__xludf.DUMMYFUNCTION("GOOGLETRANSLATE(B35049,""en"",""zh-CN"")"),"有人看到一个人从汽车上走出来，走到后备箱抓住冲浪板。")</f>
        <v>有人看到一个人从汽车上走出来，走到后备箱抓住冲浪板。</v>
      </c>
    </row>
    <row r="35050">
      <c r="A35050" s="4" t="s">
        <v>44102</v>
      </c>
      <c r="B35050" s="4" t="s">
        <v>44104</v>
      </c>
      <c r="C35050" s="5" t="str">
        <f>IFERROR(__xludf.DUMMYFUNCTION("GOOGLETRANSLATE(B35050,""en"",""zh-CN"")"),"然后看到该人穿着西装，然后沿着木板路奔跑，然后他冲浪。")</f>
        <v>然后看到该人穿着西装，然后沿着木板路奔跑，然后他冲浪。</v>
      </c>
    </row>
    <row r="35051">
      <c r="A35051" s="4" t="s">
        <v>44102</v>
      </c>
      <c r="B35051" s="4" t="s">
        <v>44105</v>
      </c>
      <c r="C35051" s="5" t="str">
        <f>IFERROR(__xludf.DUMMYFUNCTION("GOOGLETRANSLATE(B35051,""en"",""zh-CN"")"),"该男子慢慢地沿着水滑行，然后看到对镜头说话。")</f>
        <v>该男子慢慢地沿着水滑行，然后看到对镜头说话。</v>
      </c>
    </row>
    <row r="35052">
      <c r="A35052" s="4" t="s">
        <v>44106</v>
      </c>
      <c r="B35052" s="6" t="s">
        <v>44107</v>
      </c>
      <c r="C35052" s="5" t="str">
        <f>IFERROR(__xludf.DUMMYFUNCTION("GOOGLETRANSLATE(B35052,""en"",""zh-CN"")"),"一个金发碧眼的女人坐在酒店房间里的床上，用白色手机在镜子里录像带，然后与镜头交谈。")</f>
        <v>一个金发碧眼的女人坐在酒店房间里的床上，用白色手机在镜子里录像带，然后与镜头交谈。</v>
      </c>
    </row>
    <row r="35053">
      <c r="A35053" s="4" t="s">
        <v>44106</v>
      </c>
      <c r="B35053" s="6" t="s">
        <v>44108</v>
      </c>
      <c r="C35053" s="5" t="str">
        <f>IFERROR(__xludf.DUMMYFUNCTION("GOOGLETRANSLATE(B35053,""en"",""zh-CN"")"),"女人站起来，将相机指向门进入浴室，男人用刷子在水槽里洗手鞋。")</f>
        <v>女人站起来，将相机指向门进入浴室，男人用刷子在水槽里洗手鞋。</v>
      </c>
    </row>
    <row r="35054">
      <c r="A35054" s="4" t="s">
        <v>44106</v>
      </c>
      <c r="B35054" s="6" t="s">
        <v>44109</v>
      </c>
      <c r="C35054" s="5" t="str">
        <f>IFERROR(__xludf.DUMMYFUNCTION("GOOGLETRANSLATE(B35054,""en"",""zh-CN"")"),"金发妇女回到房间里，展示了男人在酒店房间里躺着的所有各对运动鞋。")</f>
        <v>金发妇女回到房间里，展示了男人在酒店房间里躺着的所有各对运动鞋。</v>
      </c>
    </row>
    <row r="35055">
      <c r="A35055" s="4" t="s">
        <v>44106</v>
      </c>
      <c r="B35055" s="6" t="s">
        <v>44110</v>
      </c>
      <c r="C35055" s="5" t="str">
        <f>IFERROR(__xludf.DUMMYFUNCTION("GOOGLETRANSLATE(B35055,""en"",""zh-CN"")"),"这个金发妇女回到浴室里，录像带录像带，那个男人抱着白色的运动鞋。")</f>
        <v>这个金发妇女回到浴室里，录像带录像带，那个男人抱着白色的运动鞋。</v>
      </c>
    </row>
    <row r="35056">
      <c r="A35056" s="4" t="s">
        <v>44106</v>
      </c>
      <c r="B35056" s="6" t="s">
        <v>44111</v>
      </c>
      <c r="C35056" s="5" t="str">
        <f>IFERROR(__xludf.DUMMYFUNCTION("GOOGLETRANSLATE(B35056,""en"",""zh-CN"")"),"该男子现在在外面，将抛光胶带和塑料胶带放在运动鞋上，他用牙刷详细介绍了它们。")</f>
        <v>该男子现在在外面，将抛光胶带和塑料胶带放在运动鞋上，他用牙刷详细介绍了它们。</v>
      </c>
    </row>
    <row r="35057">
      <c r="A35057" s="4" t="s">
        <v>44106</v>
      </c>
      <c r="B35057" s="4" t="s">
        <v>44112</v>
      </c>
      <c r="C35057" s="5" t="str">
        <f>IFERROR(__xludf.DUMMYFUNCTION("GOOGLETRANSLATE(B35057,""en"",""zh-CN"")"),"干净运动鞋的最终产品有各种图片。")</f>
        <v>干净运动鞋的最终产品有各种图片。</v>
      </c>
    </row>
    <row r="35058">
      <c r="A35058" s="4" t="s">
        <v>44113</v>
      </c>
      <c r="B35058" s="6" t="s">
        <v>44114</v>
      </c>
      <c r="C35058" s="5" t="str">
        <f>IFERROR(__xludf.DUMMYFUNCTION("GOOGLETRANSLATE(B35058,""en"",""zh-CN"")"),"看到一大批人站在一个圈子里，中间有一个人指示他们。")</f>
        <v>看到一大批人站在一个圈子里，中间有一个人指示他们。</v>
      </c>
    </row>
    <row r="35059">
      <c r="A35059" s="4" t="s">
        <v>44113</v>
      </c>
      <c r="B35059" s="4" t="s">
        <v>44115</v>
      </c>
      <c r="C35059" s="5" t="str">
        <f>IFERROR(__xludf.DUMMYFUNCTION("GOOGLETRANSLATE(B35059,""en"",""zh-CN"")"),"摄像机周围的镜头在鼓手旁，而他们在侧面。")</f>
        <v>摄像机周围的镜头在鼓手旁，而他们在侧面。</v>
      </c>
    </row>
    <row r="35060">
      <c r="A35060" s="4" t="s">
        <v>44116</v>
      </c>
      <c r="B35060" s="4" t="s">
        <v>44117</v>
      </c>
      <c r="C35060" s="5" t="str">
        <f>IFERROR(__xludf.DUMMYFUNCTION("GOOGLETRANSLATE(B35060,""en"",""zh-CN"")"),"一个女人用斧头将木头铺在街区上。")</f>
        <v>一个女人用斧头将木头铺在街区上。</v>
      </c>
    </row>
    <row r="35061">
      <c r="A35061" s="4" t="s">
        <v>44116</v>
      </c>
      <c r="B35061" s="4" t="s">
        <v>44118</v>
      </c>
      <c r="C35061" s="5" t="str">
        <f>IFERROR(__xludf.DUMMYFUNCTION("GOOGLETRANSLATE(B35061,""en"",""zh-CN"")"),"她很难把斧头从树林中拿出来。")</f>
        <v>她很难把斧头从树林中拿出来。</v>
      </c>
    </row>
    <row r="35062">
      <c r="A35062" s="4" t="s">
        <v>44116</v>
      </c>
      <c r="B35062" s="4" t="s">
        <v>44119</v>
      </c>
      <c r="C35062" s="5" t="str">
        <f>IFERROR(__xludf.DUMMYFUNCTION("GOOGLETRANSLATE(B35062,""en"",""zh-CN"")"),"其他人来并试图将其拿出来，但他们不能。")</f>
        <v>其他人来并试图将其拿出来，但他们不能。</v>
      </c>
    </row>
    <row r="35063">
      <c r="A35063" s="4" t="s">
        <v>44116</v>
      </c>
      <c r="B35063" s="4" t="s">
        <v>44120</v>
      </c>
      <c r="C35063" s="5" t="str">
        <f>IFERROR(__xludf.DUMMYFUNCTION("GOOGLETRANSLATE(B35063,""en"",""zh-CN"")"),"第一个女孩回来了，继续试图从树林中拉出斧头。")</f>
        <v>第一个女孩回来了，继续试图从树林中拉出斧头。</v>
      </c>
    </row>
    <row r="35064">
      <c r="A35064" s="4" t="s">
        <v>44121</v>
      </c>
      <c r="B35064" s="4" t="s">
        <v>44122</v>
      </c>
      <c r="C35064" s="5" t="str">
        <f>IFERROR(__xludf.DUMMYFUNCTION("GOOGLETRANSLATE(B35064,""en"",""zh-CN"")"),"一名年轻人将几个老人的头发夹在户外理发椅上。")</f>
        <v>一名年轻人将几个老人的头发夹在户外理发椅上。</v>
      </c>
    </row>
    <row r="35065">
      <c r="A35065" s="4" t="s">
        <v>44121</v>
      </c>
      <c r="B35065" s="4" t="s">
        <v>44123</v>
      </c>
      <c r="C35065" s="5" t="str">
        <f>IFERROR(__xludf.DUMMYFUNCTION("GOOGLETRANSLATE(B35065,""en"",""zh-CN"")"),"那个男人剪发在理发店里说话。")</f>
        <v>那个男人剪发在理发店里说话。</v>
      </c>
    </row>
    <row r="35066">
      <c r="A35066" s="4" t="s">
        <v>44121</v>
      </c>
      <c r="B35066" s="4" t="s">
        <v>44124</v>
      </c>
      <c r="C35066" s="5" t="str">
        <f>IFERROR(__xludf.DUMMYFUNCTION("GOOGLETRANSLATE(B35066,""en"",""zh-CN"")"),"显示了一些男人剪发的镜头。")</f>
        <v>显示了一些男人剪发的镜头。</v>
      </c>
    </row>
    <row r="35067">
      <c r="A35067" s="4" t="s">
        <v>44121</v>
      </c>
      <c r="B35067" s="4" t="s">
        <v>44125</v>
      </c>
      <c r="C35067" s="5" t="str">
        <f>IFERROR(__xludf.DUMMYFUNCTION("GOOGLETRANSLATE(B35067,""en"",""zh-CN"")"),"再次看到该男子在户外理发椅上剪了一个傻瓜。")</f>
        <v>再次看到该男子在户外理发椅上剪了一个傻瓜。</v>
      </c>
    </row>
    <row r="35068">
      <c r="A35068" s="4" t="s">
        <v>44126</v>
      </c>
      <c r="B35068" s="4" t="s">
        <v>44127</v>
      </c>
      <c r="C35068" s="5" t="str">
        <f>IFERROR(__xludf.DUMMYFUNCTION("GOOGLETRANSLATE(B35068,""en"",""zh-CN"")"),"一个人正在将酒精倒入搅拌机中。")</f>
        <v>一个人正在将酒精倒入搅拌机中。</v>
      </c>
    </row>
    <row r="35069">
      <c r="A35069" s="4" t="s">
        <v>44126</v>
      </c>
      <c r="B35069" s="4" t="s">
        <v>44128</v>
      </c>
      <c r="C35069" s="5" t="str">
        <f>IFERROR(__xludf.DUMMYFUNCTION("GOOGLETRANSLATE(B35069,""en"",""zh-CN"")"),"他将饮料混合在一起。")</f>
        <v>他将饮料混合在一起。</v>
      </c>
    </row>
    <row r="35070">
      <c r="A35070" s="4" t="s">
        <v>44126</v>
      </c>
      <c r="B35070" s="4" t="s">
        <v>44129</v>
      </c>
      <c r="C35070" s="5" t="str">
        <f>IFERROR(__xludf.DUMMYFUNCTION("GOOGLETRANSLATE(B35070,""en"",""zh-CN"")"),"他将橙色切片放在两杯上。")</f>
        <v>他将橙色切片放在两杯上。</v>
      </c>
    </row>
    <row r="35071">
      <c r="A35071" s="4" t="s">
        <v>44126</v>
      </c>
      <c r="B35071" s="4" t="s">
        <v>44130</v>
      </c>
      <c r="C35071" s="5" t="str">
        <f>IFERROR(__xludf.DUMMYFUNCTION("GOOGLETRANSLATE(B35071,""en"",""zh-CN"")"),"他将饮料从搅拌机倒入眼镜中，并加入吸管。")</f>
        <v>他将饮料从搅拌机倒入眼镜中，并加入吸管。</v>
      </c>
    </row>
    <row r="35072">
      <c r="A35072" s="4" t="s">
        <v>44131</v>
      </c>
      <c r="B35072" s="4" t="s">
        <v>44132</v>
      </c>
      <c r="C35072" s="5" t="str">
        <f>IFERROR(__xludf.DUMMYFUNCTION("GOOGLETRANSLATE(B35072,""en"",""zh-CN"")"),"一个人正在雕刻南瓜。")</f>
        <v>一个人正在雕刻南瓜。</v>
      </c>
    </row>
    <row r="35073">
      <c r="A35073" s="4" t="s">
        <v>44131</v>
      </c>
      <c r="B35073" s="4" t="s">
        <v>44133</v>
      </c>
      <c r="C35073" s="5" t="str">
        <f>IFERROR(__xludf.DUMMYFUNCTION("GOOGLETRANSLATE(B35073,""en"",""zh-CN"")"),"显示了一个穿着蝙蝠侠服装的男人。")</f>
        <v>显示了一个穿着蝙蝠侠服装的男人。</v>
      </c>
    </row>
    <row r="35074">
      <c r="A35074" s="4" t="s">
        <v>44131</v>
      </c>
      <c r="B35074" s="4" t="s">
        <v>44134</v>
      </c>
      <c r="C35074" s="5" t="str">
        <f>IFERROR(__xludf.DUMMYFUNCTION("GOOGLETRANSLATE(B35074,""en"",""zh-CN"")"),"该男子继续雕刻南瓜。")</f>
        <v>该男子继续雕刻南瓜。</v>
      </c>
    </row>
    <row r="35075">
      <c r="A35075" s="4" t="s">
        <v>44131</v>
      </c>
      <c r="B35075" s="4" t="s">
        <v>44135</v>
      </c>
      <c r="C35075" s="5" t="str">
        <f>IFERROR(__xludf.DUMMYFUNCTION("GOOGLETRANSLATE(B35075,""en"",""zh-CN"")"),"一只狗在蓝色的球上咀嚼。")</f>
        <v>一只狗在蓝色的球上咀嚼。</v>
      </c>
    </row>
    <row r="35076">
      <c r="A35076" s="4" t="s">
        <v>44136</v>
      </c>
      <c r="B35076" s="4" t="s">
        <v>44137</v>
      </c>
      <c r="C35076" s="5" t="str">
        <f>IFERROR(__xludf.DUMMYFUNCTION("GOOGLETRANSLATE(B35076,""en"",""zh-CN"")"),"看到一群小男孩在一个大沙滩上将足球传给每个男孩。")</f>
        <v>看到一群小男孩在一个大沙滩上将足球传给每个男孩。</v>
      </c>
    </row>
    <row r="35077">
      <c r="A35077" s="4" t="s">
        <v>44136</v>
      </c>
      <c r="B35077" s="4" t="s">
        <v>44138</v>
      </c>
      <c r="C35077" s="5" t="str">
        <f>IFERROR(__xludf.DUMMYFUNCTION("GOOGLETRANSLATE(B35077,""en"",""zh-CN"")"),"他们继续在沙子上跑回第四，然后将球彼此传递。")</f>
        <v>他们继续在沙子上跑回第四，然后将球彼此传递。</v>
      </c>
    </row>
    <row r="35078">
      <c r="A35078" s="4" t="s">
        <v>44139</v>
      </c>
      <c r="B35078" s="4" t="s">
        <v>44140</v>
      </c>
      <c r="C35078" s="5" t="str">
        <f>IFERROR(__xludf.DUMMYFUNCTION("GOOGLETRANSLATE(B35078,""en"",""zh-CN"")"),"一个男人正坐在一边抛光鞋子的路边。")</f>
        <v>一个男人正坐在一边抛光鞋子的路边。</v>
      </c>
    </row>
    <row r="35079">
      <c r="A35079" s="4" t="s">
        <v>44139</v>
      </c>
      <c r="B35079" s="4" t="s">
        <v>44141</v>
      </c>
      <c r="C35079" s="5" t="str">
        <f>IFERROR(__xludf.DUMMYFUNCTION("GOOGLETRANSLATE(B35079,""en"",""zh-CN"")"),"其他一些人坐在附近，许多人走过他。")</f>
        <v>其他一些人坐在附近，许多人走过他。</v>
      </c>
    </row>
    <row r="35080">
      <c r="A35080" s="4" t="s">
        <v>44139</v>
      </c>
      <c r="B35080" s="4" t="s">
        <v>44142</v>
      </c>
      <c r="C35080" s="5" t="str">
        <f>IFERROR(__xludf.DUMMYFUNCTION("GOOGLETRANSLATE(B35080,""en"",""zh-CN"")"),"一辆摩托车在道路上驶过。")</f>
        <v>一辆摩托车在道路上驶过。</v>
      </c>
    </row>
    <row r="35081">
      <c r="A35081" s="4" t="s">
        <v>44139</v>
      </c>
      <c r="B35081" s="4" t="s">
        <v>44143</v>
      </c>
      <c r="C35081" s="5" t="str">
        <f>IFERROR(__xludf.DUMMYFUNCTION("GOOGLETRANSLATE(B35081,""en"",""zh-CN"")"),"该名男子放下鞋子，再捡起另一鞋去抛光。")</f>
        <v>该名男子放下鞋子，再捡起另一鞋去抛光。</v>
      </c>
    </row>
    <row r="35082">
      <c r="A35082" s="4" t="s">
        <v>44144</v>
      </c>
      <c r="B35082" s="4" t="s">
        <v>44145</v>
      </c>
      <c r="C35082" s="5" t="str">
        <f>IFERROR(__xludf.DUMMYFUNCTION("GOOGLETRANSLATE(B35082,""en"",""zh-CN"")"),"穿着红色polo衬衫的男人展示了克列娃（Kleva）锋利的锐化器。")</f>
        <v>穿着红色polo衬衫的男人展示了克列娃（Kleva）锋利的锐化器。</v>
      </c>
    </row>
    <row r="35083">
      <c r="A35083" s="4" t="s">
        <v>44144</v>
      </c>
      <c r="B35083" s="4" t="s">
        <v>44146</v>
      </c>
      <c r="C35083" s="5" t="str">
        <f>IFERROR(__xludf.DUMMYFUNCTION("GOOGLETRANSLATE(B35083,""en"",""zh-CN"")"),"他削减了一把沉闷的屠夫刀，切了番茄。")</f>
        <v>他削减了一把沉闷的屠夫刀，切了番茄。</v>
      </c>
    </row>
    <row r="35084">
      <c r="A35084" s="4" t="s">
        <v>44144</v>
      </c>
      <c r="B35084" s="6" t="s">
        <v>44147</v>
      </c>
      <c r="C35084" s="5" t="str">
        <f>IFERROR(__xludf.DUMMYFUNCTION("GOOGLETRANSLATE(B35084,""en"",""zh-CN"")"),"然后，穿着红色polo衬衫的男人将一把枯燥的牛排刀磨牙，将番茄切成片，然后将黄瓜切成片。")</f>
        <v>然后，穿着红色polo衬衫的男人将一把枯燥的牛排刀磨牙，将番茄切成片，然后将黄瓜切成片。</v>
      </c>
    </row>
    <row r="35085">
      <c r="A35085" s="4" t="s">
        <v>44144</v>
      </c>
      <c r="B35085" s="4" t="s">
        <v>44148</v>
      </c>
      <c r="C35085" s="5" t="str">
        <f>IFERROR(__xludf.DUMMYFUNCTION("GOOGLETRANSLATE(B35085,""en"",""zh-CN"")"),"该名男子展示了克列娃卷动器，他磨削了花园快船并切成胡萝卜。")</f>
        <v>该名男子展示了克列娃卷动器，他磨削了花园快船并切成胡萝卜。</v>
      </c>
    </row>
    <row r="35086">
      <c r="A35086" s="4" t="s">
        <v>44144</v>
      </c>
      <c r="B35086" s="4" t="s">
        <v>44149</v>
      </c>
      <c r="C35086" s="5" t="str">
        <f>IFERROR(__xludf.DUMMYFUNCTION("GOOGLETRANSLATE(B35086,""en"",""zh-CN"")"),"然后，演示者将一把串联的面包刀磨碎，并切成一条面包。")</f>
        <v>然后，演示者将一把串联的面包刀磨碎，并切成一条面包。</v>
      </c>
    </row>
    <row r="35087">
      <c r="A35087" s="4" t="s">
        <v>44144</v>
      </c>
      <c r="B35087" s="4" t="s">
        <v>44150</v>
      </c>
      <c r="C35087" s="5" t="str">
        <f>IFERROR(__xludf.DUMMYFUNCTION("GOOGLETRANSLATE(B35087,""en"",""zh-CN"")"),"一系列不同的刀具切割不同食物的示范。")</f>
        <v>一系列不同的刀具切割不同食物的示范。</v>
      </c>
    </row>
    <row r="35088">
      <c r="A35088" s="4" t="s">
        <v>44144</v>
      </c>
      <c r="B35088" s="4" t="s">
        <v>44151</v>
      </c>
      <c r="C35088" s="5" t="str">
        <f>IFERROR(__xludf.DUMMYFUNCTION("GOOGLETRANSLATE(B35088,""en"",""zh-CN"")"),"Kleva锐化器从桌子上卸下，并存放在橱柜抽屉中。")</f>
        <v>Kleva锐化器从桌子上卸下，并存放在橱柜抽屉中。</v>
      </c>
    </row>
    <row r="35089">
      <c r="A35089" s="4" t="s">
        <v>44144</v>
      </c>
      <c r="B35089" s="4" t="s">
        <v>44152</v>
      </c>
      <c r="C35089" s="5" t="str">
        <f>IFERROR(__xludf.DUMMYFUNCTION("GOOGLETRANSLATE(B35089,""en"",""zh-CN"")"),"Kleva锐化器安装在墙壁和桌子上的冰箱上。")</f>
        <v>Kleva锐化器安装在墙壁和桌子上的冰箱上。</v>
      </c>
    </row>
    <row r="35090">
      <c r="A35090" s="4" t="s">
        <v>44144</v>
      </c>
      <c r="B35090" s="4" t="s">
        <v>44153</v>
      </c>
      <c r="C35090" s="5" t="str">
        <f>IFERROR(__xludf.DUMMYFUNCTION("GOOGLETRANSLATE(B35090,""en"",""zh-CN"")"),"他演示了锁定机制。")</f>
        <v>他演示了锁定机制。</v>
      </c>
    </row>
    <row r="35091">
      <c r="A35091" s="4" t="s">
        <v>44154</v>
      </c>
      <c r="B35091" s="4" t="s">
        <v>44155</v>
      </c>
      <c r="C35091" s="5" t="str">
        <f>IFERROR(__xludf.DUMMYFUNCTION("GOOGLETRANSLATE(B35091,""en"",""zh-CN"")"),"一个女人站在椭圆教练旁边时说话。")</f>
        <v>一个女人站在椭圆教练旁边时说话。</v>
      </c>
    </row>
    <row r="35092">
      <c r="A35092" s="4" t="s">
        <v>44154</v>
      </c>
      <c r="B35092" s="4" t="s">
        <v>44156</v>
      </c>
      <c r="C35092" s="5" t="str">
        <f>IFERROR(__xludf.DUMMYFUNCTION("GOOGLETRANSLATE(B35092,""en"",""zh-CN"")"),"显示了椭圆机的力学。")</f>
        <v>显示了椭圆机的力学。</v>
      </c>
    </row>
    <row r="35093">
      <c r="A35093" s="4" t="s">
        <v>44154</v>
      </c>
      <c r="B35093" s="4" t="s">
        <v>44157</v>
      </c>
      <c r="C35093" s="5" t="str">
        <f>IFERROR(__xludf.DUMMYFUNCTION("GOOGLETRANSLATE(B35093,""en"",""zh-CN"")"),"然后，我们看到机器上的女人，展示了它的工作原理。")</f>
        <v>然后，我们看到机器上的女人，展示了它的工作原理。</v>
      </c>
    </row>
    <row r="35094">
      <c r="A35094" s="4" t="s">
        <v>44158</v>
      </c>
      <c r="B35094" s="4" t="s">
        <v>44159</v>
      </c>
      <c r="C35094" s="5" t="str">
        <f>IFERROR(__xludf.DUMMYFUNCTION("GOOGLETRANSLATE(B35094,""en"",""zh-CN"")"),"一个男人在骑雪地上的自行车上显示。")</f>
        <v>一个男人在骑雪地上的自行车上显示。</v>
      </c>
    </row>
    <row r="35095">
      <c r="A35095" s="4" t="s">
        <v>44158</v>
      </c>
      <c r="B35095" s="4" t="s">
        <v>44160</v>
      </c>
      <c r="C35095" s="5" t="str">
        <f>IFERROR(__xludf.DUMMYFUNCTION("GOOGLETRANSLATE(B35095,""en"",""zh-CN"")"),"然后，另一组人正在雪中骑车。")</f>
        <v>然后，另一组人正在雪中骑车。</v>
      </c>
    </row>
    <row r="35096">
      <c r="A35096" s="4" t="s">
        <v>44158</v>
      </c>
      <c r="B35096" s="4" t="s">
        <v>44161</v>
      </c>
      <c r="C35096" s="5" t="str">
        <f>IFERROR(__xludf.DUMMYFUNCTION("GOOGLETRANSLATE(B35096,""en"",""zh-CN"")"),"三个滑雪者在雪山上，他们开始滑雪。")</f>
        <v>三个滑雪者在雪山上，他们开始滑雪。</v>
      </c>
    </row>
    <row r="35097">
      <c r="A35097" s="4" t="s">
        <v>44158</v>
      </c>
      <c r="B35097" s="6" t="s">
        <v>44162</v>
      </c>
      <c r="C35097" s="5" t="str">
        <f>IFERROR(__xludf.DUMMYFUNCTION("GOOGLETRANSLATE(B35097,""en"",""zh-CN"")"),"然后，一个滑雪者在拿着一组滑雪井以及山地自行车上的人开始上下奔跑，他们开始赛车。")</f>
        <v>然后，一个滑雪者在拿着一组滑雪井以及山地自行车上的人开始上下奔跑，他们开始赛车。</v>
      </c>
    </row>
    <row r="35098">
      <c r="A35098" s="4" t="s">
        <v>44163</v>
      </c>
      <c r="B35098" s="4" t="s">
        <v>44164</v>
      </c>
      <c r="C35098" s="5" t="str">
        <f>IFERROR(__xludf.DUMMYFUNCTION("GOOGLETRANSLATE(B35098,""en"",""zh-CN"")"),"一个女人把滚筒放在一位年轻的女士身上，梳理一部分头发，然后盘绕在滚子上。")</f>
        <v>一个女人把滚筒放在一位年轻的女士身上，梳理一部分头发，然后盘绕在滚子上。</v>
      </c>
    </row>
    <row r="35099">
      <c r="A35099" s="4" t="s">
        <v>44163</v>
      </c>
      <c r="B35099" s="4" t="s">
        <v>44165</v>
      </c>
      <c r="C35099" s="5" t="str">
        <f>IFERROR(__xludf.DUMMYFUNCTION("GOOGLETRANSLATE(B35099,""en"",""zh-CN"")"),"这位年轻的女士抬起她的左手将滚筒送给那个女人。")</f>
        <v>这位年轻的女士抬起她的左手将滚筒送给那个女人。</v>
      </c>
    </row>
    <row r="35100">
      <c r="A35100" s="4" t="s">
        <v>44163</v>
      </c>
      <c r="B35100" s="4" t="s">
        <v>44166</v>
      </c>
      <c r="C35100" s="5" t="str">
        <f>IFERROR(__xludf.DUMMYFUNCTION("GOOGLETRANSLATE(B35100,""en"",""zh-CN"")"),"这位年轻的女士在她的脸上放了一条毛巾。")</f>
        <v>这位年轻的女士在她的脸上放了一条毛巾。</v>
      </c>
    </row>
    <row r="35101">
      <c r="A35101" s="4" t="s">
        <v>44167</v>
      </c>
      <c r="B35101" s="4" t="s">
        <v>44168</v>
      </c>
      <c r="C35101" s="5" t="str">
        <f>IFERROR(__xludf.DUMMYFUNCTION("GOOGLETRANSLATE(B35101,""en"",""zh-CN"")"),"从不同角度显示机器的几个视图。")</f>
        <v>从不同角度显示机器的几个视图。</v>
      </c>
    </row>
    <row r="35102">
      <c r="A35102" s="4" t="s">
        <v>44167</v>
      </c>
      <c r="B35102" s="4" t="s">
        <v>44169</v>
      </c>
      <c r="C35102" s="5" t="str">
        <f>IFERROR(__xludf.DUMMYFUNCTION("GOOGLETRANSLATE(B35102,""en"",""zh-CN"")"),"女人使用固定剂从衬衫中吸取皱纹。")</f>
        <v>女人使用固定剂从衬衫中吸取皱纹。</v>
      </c>
    </row>
    <row r="35103">
      <c r="A35103" s="4" t="s">
        <v>44167</v>
      </c>
      <c r="B35103" s="4" t="s">
        <v>44170</v>
      </c>
      <c r="C35103" s="5" t="str">
        <f>IFERROR(__xludf.DUMMYFUNCTION("GOOGLETRANSLATE(B35103,""en"",""zh-CN"")"),"然后，她悬挂一条裤子，然后将其光滑，形成折痕。")</f>
        <v>然后，她悬挂一条裤子，然后将其光滑，形成折痕。</v>
      </c>
    </row>
    <row r="35104">
      <c r="A35104" s="4" t="s">
        <v>44171</v>
      </c>
      <c r="B35104" s="4" t="s">
        <v>44172</v>
      </c>
      <c r="C35104" s="5" t="str">
        <f>IFERROR(__xludf.DUMMYFUNCTION("GOOGLETRANSLATE(B35104,""en"",""zh-CN"")"),"我们在开车时看到一个男人在上角，在汽车引擎盖上看到一个人。")</f>
        <v>我们在开车时看到一个男人在上角，在汽车引擎盖上看到一个人。</v>
      </c>
    </row>
    <row r="35105">
      <c r="A35105" s="4" t="s">
        <v>44171</v>
      </c>
      <c r="B35105" s="4" t="s">
        <v>44173</v>
      </c>
      <c r="C35105" s="5" t="str">
        <f>IFERROR(__xludf.DUMMYFUNCTION("GOOGLETRANSLATE(B35105,""en"",""zh-CN"")"),"汽车停在十字路口。")</f>
        <v>汽车停在十字路口。</v>
      </c>
    </row>
    <row r="35106">
      <c r="A35106" s="4" t="s">
        <v>44171</v>
      </c>
      <c r="B35106" s="4" t="s">
        <v>44174</v>
      </c>
      <c r="C35106" s="5" t="str">
        <f>IFERROR(__xludf.DUMMYFUNCTION("GOOGLETRANSLATE(B35106,""en"",""zh-CN"")"),"汽车掉头了。")</f>
        <v>汽车掉头了。</v>
      </c>
    </row>
    <row r="35107">
      <c r="A35107" s="4" t="s">
        <v>44171</v>
      </c>
      <c r="B35107" s="4" t="s">
        <v>44175</v>
      </c>
      <c r="C35107" s="5" t="str">
        <f>IFERROR(__xludf.DUMMYFUNCTION("GOOGLETRANSLATE(B35107,""en"",""zh-CN"")"),"该男子开车去洗车并下车。")</f>
        <v>该男子开车去洗车并下车。</v>
      </c>
    </row>
    <row r="35108">
      <c r="A35108" s="4" t="s">
        <v>44171</v>
      </c>
      <c r="B35108" s="4" t="s">
        <v>44176</v>
      </c>
      <c r="C35108" s="5" t="str">
        <f>IFERROR(__xludf.DUMMYFUNCTION("GOOGLETRANSLATE(B35108,""en"",""zh-CN"")"),"该男子的压力使冰从汽车上洗净，继续冲洗汽车。")</f>
        <v>该男子的压力使冰从汽车上洗净，继续冲洗汽车。</v>
      </c>
    </row>
    <row r="35109">
      <c r="A35109" s="4" t="s">
        <v>44171</v>
      </c>
      <c r="B35109" s="4" t="s">
        <v>44177</v>
      </c>
      <c r="C35109" s="5" t="str">
        <f>IFERROR(__xludf.DUMMYFUNCTION("GOOGLETRANSLATE(B35109,""en"",""zh-CN"")"),"那个男人展示了他的湿车。")</f>
        <v>那个男人展示了他的湿车。</v>
      </c>
    </row>
    <row r="35110">
      <c r="A35110" s="4" t="s">
        <v>44178</v>
      </c>
      <c r="B35110" s="4" t="s">
        <v>44179</v>
      </c>
      <c r="C35110" s="5" t="str">
        <f>IFERROR(__xludf.DUMMYFUNCTION("GOOGLETRANSLATE(B35110,""en"",""zh-CN"")"),"男人正在和镜头交谈是在房子外面的下雪天。")</f>
        <v>男人正在和镜头交谈是在房子外面的下雪天。</v>
      </c>
    </row>
    <row r="35111">
      <c r="A35111" s="4" t="s">
        <v>44178</v>
      </c>
      <c r="B35111" s="4" t="s">
        <v>44180</v>
      </c>
      <c r="C35111" s="5" t="str">
        <f>IFERROR(__xludf.DUMMYFUNCTION("GOOGLETRANSLATE(B35111,""en"",""zh-CN"")"),"人拿着铲子，从雪上清理路径。")</f>
        <v>人拿着铲子，从雪上清理路径。</v>
      </c>
    </row>
    <row r="35112">
      <c r="A35112" s="4" t="s">
        <v>44178</v>
      </c>
      <c r="B35112" s="4" t="s">
        <v>44181</v>
      </c>
      <c r="C35112" s="5" t="str">
        <f>IFERROR(__xludf.DUMMYFUNCTION("GOOGLETRANSLATE(B35112,""en"",""zh-CN"")"),"小孩子穿着红雪衣服，站在汽车上。")</f>
        <v>小孩子穿着红雪衣服，站在汽车上。</v>
      </c>
    </row>
    <row r="35113">
      <c r="A35113" s="4" t="s">
        <v>44178</v>
      </c>
      <c r="B35113" s="4" t="s">
        <v>44182</v>
      </c>
      <c r="C35113" s="5" t="str">
        <f>IFERROR(__xludf.DUMMYFUNCTION("GOOGLETRANSLATE(B35113,""en"",""zh-CN"")"),"该男子停下来，再次用铲子在手上与镜头交谈。")</f>
        <v>该男子停下来，再次用铲子在手上与镜头交谈。</v>
      </c>
    </row>
    <row r="35114">
      <c r="A35114" s="4" t="s">
        <v>44183</v>
      </c>
      <c r="B35114" s="4" t="s">
        <v>44184</v>
      </c>
      <c r="C35114" s="5" t="str">
        <f>IFERROR(__xludf.DUMMYFUNCTION("GOOGLETRANSLATE(B35114,""en"",""zh-CN"")"),"一位穿着黑色背心的女士提供了有关如何吹蓝色T恤的女孩头发的指导。")</f>
        <v>一位穿着黑色背心的女士提供了有关如何吹蓝色T恤的女孩头发的指导。</v>
      </c>
    </row>
    <row r="35115">
      <c r="A35115" s="4" t="s">
        <v>44183</v>
      </c>
      <c r="B35115" s="6" t="s">
        <v>44185</v>
      </c>
      <c r="C35115" s="5" t="str">
        <f>IFERROR(__xludf.DUMMYFUNCTION("GOOGLETRANSLATE(B35115,""en"",""zh-CN"")"),"发型师首先将液体放在她的手中，然后将其摩擦到型号中，然后刷客户头发。")</f>
        <v>发型师首先将液体放在她的手中，然后将其摩擦到型号中，然后刷客户头发。</v>
      </c>
    </row>
    <row r="35116">
      <c r="A35116" s="4" t="s">
        <v>44183</v>
      </c>
      <c r="B35116" s="4" t="s">
        <v>44186</v>
      </c>
      <c r="C35116" s="5" t="str">
        <f>IFERROR(__xludf.DUMMYFUNCTION("GOOGLETRANSLATE(B35116,""en"",""zh-CN"")"),"黑色背心的女士在用刷子梳理头发的同时，使用了吹干器。")</f>
        <v>黑色背心的女士在用刷子梳理头发的同时，使用了吹干器。</v>
      </c>
    </row>
    <row r="35117">
      <c r="A35117" s="4" t="s">
        <v>44183</v>
      </c>
      <c r="B35117" s="4" t="s">
        <v>44187</v>
      </c>
      <c r="C35117" s="5" t="str">
        <f>IFERROR(__xludf.DUMMYFUNCTION("GOOGLETRANSLATE(B35117,""en"",""zh-CN"")"),"成品的场景显示了侧视图和型号的背部。")</f>
        <v>成品的场景显示了侧视图和型号的背部。</v>
      </c>
    </row>
    <row r="35118">
      <c r="A35118" s="4" t="s">
        <v>44188</v>
      </c>
      <c r="B35118" s="6" t="s">
        <v>44189</v>
      </c>
      <c r="C35118" s="5" t="str">
        <f>IFERROR(__xludf.DUMMYFUNCTION("GOOGLETRANSLATE(B35118,""en"",""zh-CN"")"),"看到一名妇女在运动栏上上下移动，而她的锻炼也有几张照片。")</f>
        <v>看到一名妇女在运动栏上上下移动，而她的锻炼也有几张照片。</v>
      </c>
    </row>
    <row r="35119">
      <c r="A35119" s="4" t="s">
        <v>44188</v>
      </c>
      <c r="B35119" s="6" t="s">
        <v>44190</v>
      </c>
      <c r="C35119" s="5" t="str">
        <f>IFERROR(__xludf.DUMMYFUNCTION("GOOGLETRANSLATE(B35119,""en"",""zh-CN"")"),"她再次表现出重量，并在横梁上站立并铺设时进行锻炼。")</f>
        <v>她再次表现出重量，并在横梁上站立并铺设时进行锻炼。</v>
      </c>
    </row>
    <row r="35120">
      <c r="A35120" s="4" t="s">
        <v>44191</v>
      </c>
      <c r="B35120" s="4" t="s">
        <v>44192</v>
      </c>
      <c r="C35120" s="5" t="str">
        <f>IFERROR(__xludf.DUMMYFUNCTION("GOOGLETRANSLATE(B35120,""en"",""zh-CN"")"),"男人坐在窗户旁看的汽车座位上。")</f>
        <v>男人坐在窗户旁看的汽车座位上。</v>
      </c>
    </row>
    <row r="35121">
      <c r="A35121" s="4" t="s">
        <v>44191</v>
      </c>
      <c r="B35121" s="4" t="s">
        <v>44193</v>
      </c>
      <c r="C35121" s="5" t="str">
        <f>IFERROR(__xludf.DUMMYFUNCTION("GOOGLETRANSLATE(B35121,""en"",""zh-CN"")"),"人在雪地上滑雪，跳高。")</f>
        <v>人在雪地上滑雪，跳高。</v>
      </c>
    </row>
    <row r="35122">
      <c r="A35122" s="4" t="s">
        <v>44191</v>
      </c>
      <c r="B35122" s="4" t="s">
        <v>44194</v>
      </c>
      <c r="C35122" s="5" t="str">
        <f>IFERROR(__xludf.DUMMYFUNCTION("GOOGLETRANSLATE(B35122,""en"",""zh-CN"")"),"男人在一个黑暗的房间里，里面有花盆。")</f>
        <v>男人在一个黑暗的房间里，里面有花盆。</v>
      </c>
    </row>
    <row r="35123">
      <c r="A35123" s="4" t="s">
        <v>44195</v>
      </c>
      <c r="B35123" s="4" t="s">
        <v>25249</v>
      </c>
      <c r="C35123" s="5" t="str">
        <f>IFERROR(__xludf.DUMMYFUNCTION("GOOGLETRANSLATE(B35123,""en"",""zh-CN"")"),"显示了剪辑的信用。")</f>
        <v>显示了剪辑的信用。</v>
      </c>
    </row>
    <row r="35124">
      <c r="A35124" s="4" t="s">
        <v>44195</v>
      </c>
      <c r="B35124" s="4" t="s">
        <v>44196</v>
      </c>
      <c r="C35124" s="5" t="str">
        <f>IFERROR(__xludf.DUMMYFUNCTION("GOOGLETRANSLATE(B35124,""en"",""zh-CN"")"),"伙计们在泥土竞技场上玩马球运动。")</f>
        <v>伙计们在泥土竞技场上玩马球运动。</v>
      </c>
    </row>
    <row r="35125">
      <c r="A35125" s="4" t="s">
        <v>44195</v>
      </c>
      <c r="B35125" s="4" t="s">
        <v>573</v>
      </c>
      <c r="C35125" s="5" t="str">
        <f>IFERROR(__xludf.DUMMYFUNCTION("GOOGLETRANSLATE(B35125,""en"",""zh-CN"")"),"显示了视频的积分。")</f>
        <v>显示了视频的积分。</v>
      </c>
    </row>
    <row r="35126">
      <c r="A35126" s="4" t="s">
        <v>44197</v>
      </c>
      <c r="B35126" s="4" t="s">
        <v>44198</v>
      </c>
      <c r="C35126" s="5" t="str">
        <f>IFERROR(__xludf.DUMMYFUNCTION("GOOGLETRANSLATE(B35126,""en"",""zh-CN"")"),"一个介绍通向福克斯新闻部门，并以两个锚讲话。")</f>
        <v>一个介绍通向福克斯新闻部门，并以两个锚讲话。</v>
      </c>
    </row>
    <row r="35127">
      <c r="A35127" s="4" t="s">
        <v>44197</v>
      </c>
      <c r="B35127" s="6" t="s">
        <v>44199</v>
      </c>
      <c r="C35127" s="5" t="str">
        <f>IFERROR(__xludf.DUMMYFUNCTION("GOOGLETRANSLATE(B35127,""en"",""zh-CN"")"),"然后，对一名妇女进行采访，然后是几张蘑菇和彼此交谈的照片。")</f>
        <v>然后，对一名妇女进行采访，然后是几张蘑菇和彼此交谈的照片。</v>
      </c>
    </row>
    <row r="35128">
      <c r="A35128" s="4" t="s">
        <v>44197</v>
      </c>
      <c r="B35128" s="6" t="s">
        <v>44200</v>
      </c>
      <c r="C35128" s="5" t="str">
        <f>IFERROR(__xludf.DUMMYFUNCTION("GOOGLETRANSLATE(B35128,""en"",""zh-CN"")"),"一名医生检查一个男人，并采访了相机，随后人们使用家用产品并采访记者。")</f>
        <v>一名医生检查一个男人，并采访了相机，随后人们使用家用产品并采访记者。</v>
      </c>
    </row>
    <row r="35129">
      <c r="A35129" s="4" t="s">
        <v>44201</v>
      </c>
      <c r="B35129" s="4" t="s">
        <v>1828</v>
      </c>
      <c r="C35129" s="5" t="str">
        <f>IFERROR(__xludf.DUMMYFUNCTION("GOOGLETRANSLATE(B35129,""en"",""zh-CN"")"),"我们在白色上看到一个开头的屏幕。")</f>
        <v>我们在白色上看到一个开头的屏幕。</v>
      </c>
    </row>
    <row r="35130">
      <c r="A35130" s="4" t="s">
        <v>44201</v>
      </c>
      <c r="B35130" s="4" t="s">
        <v>44202</v>
      </c>
      <c r="C35130" s="5" t="str">
        <f>IFERROR(__xludf.DUMMYFUNCTION("GOOGLETRANSLATE(B35130,""en"",""zh-CN"")"),"我们看到一位女士坐在地板上，上面坐着鞋子，一桶水，刷子和肥皂。")</f>
        <v>我们看到一位女士坐在地板上，上面坐着鞋子，一桶水，刷子和肥皂。</v>
      </c>
    </row>
    <row r="35131">
      <c r="A35131" s="4" t="s">
        <v>44201</v>
      </c>
      <c r="B35131" s="4" t="s">
        <v>44203</v>
      </c>
      <c r="C35131" s="5" t="str">
        <f>IFERROR(__xludf.DUMMYFUNCTION("GOOGLETRANSLATE(B35131,""en"",""zh-CN"")"),"女士一次向我们展示一件物品。")</f>
        <v>女士一次向我们展示一件物品。</v>
      </c>
    </row>
    <row r="35132">
      <c r="A35132" s="4" t="s">
        <v>44201</v>
      </c>
      <c r="B35132" s="4" t="s">
        <v>44204</v>
      </c>
      <c r="C35132" s="5" t="str">
        <f>IFERROR(__xludf.DUMMYFUNCTION("GOOGLETRANSLATE(B35132,""en"",""zh-CN"")"),"我们看到温度计的插图。")</f>
        <v>我们看到温度计的插图。</v>
      </c>
    </row>
    <row r="35133">
      <c r="A35133" s="4" t="s">
        <v>44201</v>
      </c>
      <c r="B35133" s="4" t="s">
        <v>44205</v>
      </c>
      <c r="C35133" s="5" t="str">
        <f>IFERROR(__xludf.DUMMYFUNCTION("GOOGLETRANSLATE(B35133,""en"",""zh-CN"")"),"我们看到了洗衣机的插图。")</f>
        <v>我们看到了洗衣机的插图。</v>
      </c>
    </row>
    <row r="35134">
      <c r="A35134" s="4" t="s">
        <v>44201</v>
      </c>
      <c r="B35134" s="4" t="s">
        <v>44206</v>
      </c>
      <c r="C35134" s="5" t="str">
        <f>IFERROR(__xludf.DUMMYFUNCTION("GOOGLETRANSLATE(B35134,""en"",""zh-CN"")"),"那位女士把鞋子放在水桶里，用刷子擦洗。")</f>
        <v>那位女士把鞋子放在水桶里，用刷子擦洗。</v>
      </c>
    </row>
    <row r="35135">
      <c r="A35135" s="4" t="s">
        <v>44201</v>
      </c>
      <c r="B35135" s="4" t="s">
        <v>44207</v>
      </c>
      <c r="C35135" s="5" t="str">
        <f>IFERROR(__xludf.DUMMYFUNCTION("GOOGLETRANSLATE(B35135,""en"",""zh-CN"")"),"她向我们展示了已经清洁的鞋子。")</f>
        <v>她向我们展示了已经清洁的鞋子。</v>
      </c>
    </row>
    <row r="35136">
      <c r="A35136" s="4" t="s">
        <v>44201</v>
      </c>
      <c r="B35136" s="4" t="s">
        <v>44208</v>
      </c>
      <c r="C35136" s="5" t="str">
        <f>IFERROR(__xludf.DUMMYFUNCTION("GOOGLETRANSLATE(B35136,""en"",""zh-CN"")"),"我们看到一个散热器插图。")</f>
        <v>我们看到一个散热器插图。</v>
      </c>
    </row>
    <row r="35137">
      <c r="A35137" s="4" t="s">
        <v>44201</v>
      </c>
      <c r="B35137" s="4" t="s">
        <v>44209</v>
      </c>
      <c r="C35137" s="5" t="str">
        <f>IFERROR(__xludf.DUMMYFUNCTION("GOOGLETRANSLATE(B35137,""en"",""zh-CN"")"),"那位女士拿起肥皂，我们看到了一个架子的插图。")</f>
        <v>那位女士拿起肥皂，我们看到了一个架子的插图。</v>
      </c>
    </row>
    <row r="35138">
      <c r="A35138" s="4" t="s">
        <v>44201</v>
      </c>
      <c r="B35138" s="4" t="s">
        <v>44210</v>
      </c>
      <c r="C35138" s="5" t="str">
        <f>IFERROR(__xludf.DUMMYFUNCTION("GOOGLETRANSLATE(B35138,""en"",""zh-CN"")"),"结尾标题屏幕播放。")</f>
        <v>结尾标题屏幕播放。</v>
      </c>
    </row>
    <row r="35139">
      <c r="A35139" s="4" t="s">
        <v>44211</v>
      </c>
      <c r="B35139" s="4" t="s">
        <v>44212</v>
      </c>
      <c r="C35139" s="5" t="str">
        <f>IFERROR(__xludf.DUMMYFUNCTION("GOOGLETRANSLATE(B35139,""en"",""zh-CN"")"),"一个女人和她的孩子在坐在木桌上的小屋外面互相交谈。")</f>
        <v>一个女人和她的孩子在坐在木桌上的小屋外面互相交谈。</v>
      </c>
    </row>
    <row r="35140">
      <c r="A35140" s="4" t="s">
        <v>44211</v>
      </c>
      <c r="B35140" s="4" t="s">
        <v>44213</v>
      </c>
      <c r="C35140" s="5" t="str">
        <f>IFERROR(__xludf.DUMMYFUNCTION("GOOGLETRANSLATE(B35140,""en"",""zh-CN"")"),"然后，摄像机竖起了机舱，并显示了一大雪山。")</f>
        <v>然后，摄像机竖起了机舱，并显示了一大雪山。</v>
      </c>
    </row>
    <row r="35141">
      <c r="A35141" s="4" t="s">
        <v>44211</v>
      </c>
      <c r="B35141" s="6" t="s">
        <v>44214</v>
      </c>
      <c r="C35141" s="5" t="str">
        <f>IFERROR(__xludf.DUMMYFUNCTION("GOOGLETRANSLATE(B35141,""en"",""zh-CN"")"),"之后，女人和她的女儿在平坦的站立滑雪缆车上看到，后面有大的甜甜圈管。")</f>
        <v>之后，女人和她的女儿在平坦的站立滑雪缆车上看到，后面有大的甜甜圈管。</v>
      </c>
    </row>
    <row r="35142">
      <c r="A35142" s="4" t="s">
        <v>44211</v>
      </c>
      <c r="B35142" s="6" t="s">
        <v>44215</v>
      </c>
      <c r="C35142" s="5" t="str">
        <f>IFERROR(__xludf.DUMMYFUNCTION("GOOGLETRANSLATE(B35142,""en"",""zh-CN"")"),"一旦他们处于顶部，他们就会进入管子，并与其他几个也在该地方的人一起竞争底部。")</f>
        <v>一旦他们处于顶部，他们就会进入管子，并与其他几个也在该地方的人一起竞争底部。</v>
      </c>
    </row>
    <row r="35143">
      <c r="A35143" s="4" t="s">
        <v>44216</v>
      </c>
      <c r="B35143" s="6" t="s">
        <v>44217</v>
      </c>
      <c r="C35143" s="5" t="str">
        <f>IFERROR(__xludf.DUMMYFUNCTION("GOOGLETRANSLATE(B35143,""en"",""zh-CN"")"),"看到一个人站在拿着乐器的粉笔板前，不时地过渡到粉笔板。")</f>
        <v>看到一个人站在拿着乐器的粉笔板前，不时地过渡到粉笔板。</v>
      </c>
    </row>
    <row r="35144">
      <c r="A35144" s="4" t="s">
        <v>44216</v>
      </c>
      <c r="B35144" s="6" t="s">
        <v>44218</v>
      </c>
      <c r="C35144" s="5" t="str">
        <f>IFERROR(__xludf.DUMMYFUNCTION("GOOGLETRANSLATE(B35144,""en"",""zh-CN"")"),"使用iPod可以看到一个人的手，然后是更多人在纸上说话和写作的人。")</f>
        <v>使用iPod可以看到一个人的手，然后是更多人在纸上说话和写作的人。</v>
      </c>
    </row>
    <row r="35145">
      <c r="A35145" s="4" t="s">
        <v>44216</v>
      </c>
      <c r="B35145" s="6" t="s">
        <v>44219</v>
      </c>
      <c r="C35145" s="5" t="str">
        <f>IFERROR(__xludf.DUMMYFUNCTION("GOOGLETRANSLATE(B35145,""en"",""zh-CN"")"),"然后，当相机从几个角度捕捉到他时，该男子弹奏乐器。")</f>
        <v>然后，当相机从几个角度捕捉到他时，该男子弹奏乐器。</v>
      </c>
    </row>
    <row r="35146">
      <c r="A35146" s="4" t="s">
        <v>44220</v>
      </c>
      <c r="B35146" s="6" t="s">
        <v>44221</v>
      </c>
      <c r="C35146" s="5" t="str">
        <f>IFERROR(__xludf.DUMMYFUNCTION("GOOGLETRANSLATE(B35146,""en"",""zh-CN"")"),"一名穿着白色衬衫和灰色短裤的男人站在球场中心，而黑色上衣和黑色短裤的年轻人则站在他身后。")</f>
        <v>一名穿着白色衬衫和灰色短裤的男人站在球场中心，而黑色上衣和黑色短裤的年轻人则站在他身后。</v>
      </c>
    </row>
    <row r="35147">
      <c r="A35147" s="4" t="s">
        <v>44220</v>
      </c>
      <c r="B35147" s="6" t="s">
        <v>44222</v>
      </c>
      <c r="C35147" s="5" t="str">
        <f>IFERROR(__xludf.DUMMYFUNCTION("GOOGLETRANSLATE(B35147,""en"",""zh-CN"")"),"年轻人站在三角形的形式上，中心的年轻人开始表演，然后举起手臂，然后跳跃，再做一次，一些女孩跟随他在做什么。")</f>
        <v>年轻人站在三角形的形式上，中心的年轻人开始表演，然后举起手臂，然后跳跃，再做一次，一些女孩跟随他在做什么。</v>
      </c>
    </row>
    <row r="35148">
      <c r="A35148" s="4" t="s">
        <v>44223</v>
      </c>
      <c r="B35148" s="4" t="s">
        <v>44224</v>
      </c>
      <c r="C35148" s="5" t="str">
        <f>IFERROR(__xludf.DUMMYFUNCTION("GOOGLETRANSLATE(B35148,""en"",""zh-CN"")"),"一个女人坐在拿着小提琴的坐下。")</f>
        <v>一个女人坐在拿着小提琴的坐下。</v>
      </c>
    </row>
    <row r="35149">
      <c r="A35149" s="4" t="s">
        <v>44223</v>
      </c>
      <c r="B35149" s="4" t="s">
        <v>44225</v>
      </c>
      <c r="C35149" s="5" t="str">
        <f>IFERROR(__xludf.DUMMYFUNCTION("GOOGLETRANSLATE(B35149,""en"",""zh-CN"")"),"她举起小提琴并开始弹奏。")</f>
        <v>她举起小提琴并开始弹奏。</v>
      </c>
    </row>
    <row r="35150">
      <c r="A35150" s="4" t="s">
        <v>44223</v>
      </c>
      <c r="B35150" s="4" t="s">
        <v>44226</v>
      </c>
      <c r="C35150" s="5" t="str">
        <f>IFERROR(__xludf.DUMMYFUNCTION("GOOGLETRANSLATE(B35150,""en"",""zh-CN"")"),"她完成并降低小提琴。")</f>
        <v>她完成并降低小提琴。</v>
      </c>
    </row>
    <row r="35151">
      <c r="A35151" s="4" t="s">
        <v>44227</v>
      </c>
      <c r="B35151" s="4" t="s">
        <v>44228</v>
      </c>
      <c r="C35151" s="5" t="str">
        <f>IFERROR(__xludf.DUMMYFUNCTION("GOOGLETRANSLATE(B35151,""en"",""zh-CN"")"),"看到一大批人走进办公室，在电视上采访了一个男人。")</f>
        <v>看到一大批人走进办公室，在电视上采访了一个男人。</v>
      </c>
    </row>
    <row r="35152">
      <c r="A35152" s="4" t="s">
        <v>44227</v>
      </c>
      <c r="B35152" s="4" t="s">
        <v>44229</v>
      </c>
      <c r="C35152" s="5" t="str">
        <f>IFERROR(__xludf.DUMMYFUNCTION("GOOGLETRANSLATE(B35152,""en"",""zh-CN"")"),"许多人正在看采访，一个男人生气地与一个女人说话。")</f>
        <v>许多人正在看采访，一个男人生气地与一个女人说话。</v>
      </c>
    </row>
    <row r="35153">
      <c r="A35153" s="4" t="s">
        <v>44227</v>
      </c>
      <c r="B35153" s="4" t="s">
        <v>44230</v>
      </c>
      <c r="C35153" s="5" t="str">
        <f>IFERROR(__xludf.DUMMYFUNCTION("GOOGLETRANSLATE(B35153,""en"",""zh-CN"")"),"女人袭击了男人，看到更多的人四处走走和聊天。")</f>
        <v>女人袭击了男人，看到更多的人四处走走和聊天。</v>
      </c>
    </row>
    <row r="35154">
      <c r="A35154" s="4" t="s">
        <v>44227</v>
      </c>
      <c r="B35154" s="4" t="s">
        <v>44231</v>
      </c>
      <c r="C35154" s="5" t="str">
        <f>IFERROR(__xludf.DUMMYFUNCTION("GOOGLETRANSLATE(B35154,""en"",""zh-CN"")"),"人们走进酒吧开始玩游泳池和讲话。")</f>
        <v>人们走进酒吧开始玩游泳池和讲话。</v>
      </c>
    </row>
    <row r="35155">
      <c r="A35155" s="4" t="s">
        <v>44232</v>
      </c>
      <c r="B35155" s="6" t="s">
        <v>44233</v>
      </c>
      <c r="C35155" s="5" t="str">
        <f>IFERROR(__xludf.DUMMYFUNCTION("GOOGLETRANSLATE(B35155,""en"",""zh-CN"")"),"看到一小群妇女站在一个厨房周围，其中有一种搅动的成分进入一个大锅中。")</f>
        <v>看到一小群妇女站在一个厨房周围，其中有一种搅动的成分进入一个大锅中。</v>
      </c>
    </row>
    <row r="35156">
      <c r="A35156" s="4" t="s">
        <v>44232</v>
      </c>
      <c r="B35156" s="6" t="s">
        <v>44234</v>
      </c>
      <c r="C35156" s="5" t="str">
        <f>IFERROR(__xludf.DUMMYFUNCTION("GOOGLETRANSLATE(B35156,""en"",""zh-CN"")"),"当一个女人更多地倒入碗中并将其混合在一起时，另一个女人走进框架。")</f>
        <v>当一个女人更多地倒入碗中并将其混合在一起时，另一个女人走进框架。</v>
      </c>
    </row>
    <row r="35157">
      <c r="A35157" s="4" t="s">
        <v>44232</v>
      </c>
      <c r="B35157" s="4" t="s">
        <v>44235</v>
      </c>
      <c r="C35157" s="5" t="str">
        <f>IFERROR(__xludf.DUMMYFUNCTION("GOOGLETRANSLATE(B35157,""en"",""zh-CN"")"),"她伸出了一汤匙，让一个女孩尝试，另一个将碗从桌子上拿走。")</f>
        <v>她伸出了一汤匙，让一个女孩尝试，另一个将碗从桌子上拿走。</v>
      </c>
    </row>
    <row r="35158">
      <c r="A35158" s="4" t="s">
        <v>44236</v>
      </c>
      <c r="B35158" s="4" t="s">
        <v>44237</v>
      </c>
      <c r="C35158" s="5" t="str">
        <f>IFERROR(__xludf.DUMMYFUNCTION("GOOGLETRANSLATE(B35158,""en"",""zh-CN"")"),"看到一个男人蒙住了一根棍子，周围有两个人。")</f>
        <v>看到一个男人蒙住了一根棍子，周围有两个人。</v>
      </c>
    </row>
    <row r="35159">
      <c r="A35159" s="4" t="s">
        <v>44236</v>
      </c>
      <c r="B35159" s="6" t="s">
        <v>44238</v>
      </c>
      <c r="C35159" s="5" t="str">
        <f>IFERROR(__xludf.DUMMYFUNCTION("GOOGLETRANSLATE(B35159,""en"",""zh-CN"")"),"然后，当有人将其移动更高，然后将Pinata放在他的头顶上方时，该男子在Pinata上猛烈摇摆。")</f>
        <v>然后，当有人将其移动更高，然后将Pinata放在他的头顶上方时，该男子在Pinata上猛烈摇摆。</v>
      </c>
    </row>
    <row r="35160">
      <c r="A35160" s="4" t="s">
        <v>44239</v>
      </c>
      <c r="B35160" s="4" t="s">
        <v>44240</v>
      </c>
      <c r="C35160" s="5" t="str">
        <f>IFERROR(__xludf.DUMMYFUNCTION("GOOGLETRANSLATE(B35160,""en"",""zh-CN"")"),"该视频是关于埃德加·吉芬尼格（Edgar Giffenig）的网球教程和演习。")</f>
        <v>该视频是关于埃德加·吉芬尼格（Edgar Giffenig）的网球教程和演习。</v>
      </c>
    </row>
    <row r="35161">
      <c r="A35161" s="4" t="s">
        <v>44239</v>
      </c>
      <c r="B35161" s="6" t="s">
        <v>44241</v>
      </c>
      <c r="C35161" s="5" t="str">
        <f>IFERROR(__xludf.DUMMYFUNCTION("GOOGLETRANSLATE(B35161,""en"",""zh-CN"")"),"粘土球场上有两名女士网球运动员，他们正在演示如何将球扔给伴侣。")</f>
        <v>粘土球场上有两名女士网球运动员，他们正在演示如何将球扔给伴侣。</v>
      </c>
    </row>
    <row r="35162">
      <c r="A35162" s="4" t="s">
        <v>44239</v>
      </c>
      <c r="B35162" s="4" t="s">
        <v>44242</v>
      </c>
      <c r="C35162" s="5" t="str">
        <f>IFERROR(__xludf.DUMMYFUNCTION("GOOGLETRANSLATE(B35162,""en"",""zh-CN"")"),"球员在网后面摇摆，将球拍颠倒在两次镜头之间。")</f>
        <v>球员在网后面摇摆，将球拍颠倒在两次镜头之间。</v>
      </c>
    </row>
    <row r="35163">
      <c r="A35163" s="4" t="s">
        <v>44239</v>
      </c>
      <c r="B35163" s="6" t="s">
        <v>44243</v>
      </c>
      <c r="C35163" s="5" t="str">
        <f>IFERROR(__xludf.DUMMYFUNCTION("GOOGLETRANSLATE(B35163,""en"",""zh-CN"")"),"然后，球员们在射门之间在网球场上散步并返回球时展示了另一场演习。")</f>
        <v>然后，球员们在射门之间在网球场上散步并返回球时展示了另一场演习。</v>
      </c>
    </row>
    <row r="35164">
      <c r="A35164" s="4" t="s">
        <v>44239</v>
      </c>
      <c r="B35164" s="4" t="s">
        <v>44244</v>
      </c>
      <c r="C35164" s="5" t="str">
        <f>IFERROR(__xludf.DUMMYFUNCTION("GOOGLETRANSLATE(B35164,""en"",""zh-CN"")"),"玩家用球拍手柄的尖端弹回球。")</f>
        <v>玩家用球拍手柄的尖端弹回球。</v>
      </c>
    </row>
    <row r="35165">
      <c r="A35165" s="4" t="s">
        <v>44239</v>
      </c>
      <c r="B35165" s="4" t="s">
        <v>44245</v>
      </c>
      <c r="C35165" s="5" t="str">
        <f>IFERROR(__xludf.DUMMYFUNCTION("GOOGLETRANSLATE(B35165,""en"",""zh-CN"")"),"他们在展示网球演习的同时继续比赛。")</f>
        <v>他们在展示网球演习的同时继续比赛。</v>
      </c>
    </row>
    <row r="35166">
      <c r="A35166" s="4" t="s">
        <v>44246</v>
      </c>
      <c r="B35166" s="4" t="s">
        <v>44247</v>
      </c>
      <c r="C35166" s="5" t="str">
        <f>IFERROR(__xludf.DUMMYFUNCTION("GOOGLETRANSLATE(B35166,""en"",""zh-CN"")"),"看到一个人将土豆剥落到一个盒子里，然后停下来与相机说话。")</f>
        <v>看到一个人将土豆剥落到一个盒子里，然后停下来与相机说话。</v>
      </c>
    </row>
    <row r="35167">
      <c r="A35167" s="4" t="s">
        <v>44246</v>
      </c>
      <c r="B35167" s="4" t="s">
        <v>44248</v>
      </c>
      <c r="C35167" s="5" t="str">
        <f>IFERROR(__xludf.DUMMYFUNCTION("GOOGLETRANSLATE(B35167,""en"",""zh-CN"")"),"该人剥几个土豆和一碗装满土豆的碗，同时剥皮。")</f>
        <v>该人剥几个土豆和一碗装满土豆的碗，同时剥皮。</v>
      </c>
    </row>
    <row r="35168">
      <c r="A35168" s="4" t="s">
        <v>44249</v>
      </c>
      <c r="B35168" s="4" t="s">
        <v>44250</v>
      </c>
      <c r="C35168" s="5" t="str">
        <f>IFERROR(__xludf.DUMMYFUNCTION("GOOGLETRANSLATE(B35168,""en"",""zh-CN"")"),"一个男人蹲在地上，打扫东西。")</f>
        <v>一个男人蹲在地上，打扫东西。</v>
      </c>
    </row>
    <row r="35169">
      <c r="A35169" s="4" t="s">
        <v>44249</v>
      </c>
      <c r="B35169" s="4" t="s">
        <v>44251</v>
      </c>
      <c r="C35169" s="5" t="str">
        <f>IFERROR(__xludf.DUMMYFUNCTION("GOOGLETRANSLATE(B35169,""en"",""zh-CN"")"),"几辆汽车停在停车场。")</f>
        <v>几辆汽车停在停车场。</v>
      </c>
    </row>
    <row r="35170">
      <c r="A35170" s="4" t="s">
        <v>44249</v>
      </c>
      <c r="B35170" s="4" t="s">
        <v>44252</v>
      </c>
      <c r="C35170" s="5" t="str">
        <f>IFERROR(__xludf.DUMMYFUNCTION("GOOGLETRANSLATE(B35170,""en"",""zh-CN"")"),"人们看到用肥皂和水洗车。")</f>
        <v>人们看到用肥皂和水洗车。</v>
      </c>
    </row>
    <row r="35171">
      <c r="A35171" s="4" t="s">
        <v>44253</v>
      </c>
      <c r="B35171" s="4" t="s">
        <v>44254</v>
      </c>
      <c r="C35171" s="5" t="str">
        <f>IFERROR(__xludf.DUMMYFUNCTION("GOOGLETRANSLATE(B35171,""en"",""zh-CN"")"),"看到三个人在田野中驾驶风筝，屏幕上出现文字。")</f>
        <v>看到三个人在田野中驾驶风筝，屏幕上出现文字。</v>
      </c>
    </row>
    <row r="35172">
      <c r="A35172" s="4" t="s">
        <v>44253</v>
      </c>
      <c r="B35172" s="4" t="s">
        <v>44255</v>
      </c>
      <c r="C35172" s="5" t="str">
        <f>IFERROR(__xludf.DUMMYFUNCTION("GOOGLETRANSLATE(B35172,""en"",""zh-CN"")"),"一个恐怖的女孩出现，然后陷入飞行风筝的照片。")</f>
        <v>一个恐怖的女孩出现，然后陷入飞行风筝的照片。</v>
      </c>
    </row>
    <row r="35173">
      <c r="A35173" s="4" t="s">
        <v>44256</v>
      </c>
      <c r="B35173" s="4" t="s">
        <v>44257</v>
      </c>
      <c r="C35173" s="5" t="str">
        <f>IFERROR(__xludf.DUMMYFUNCTION("GOOGLETRANSLATE(B35173,""en"",""zh-CN"")"),"一个Buff的人走进一个圆圈，将射击放在肩膀上。")</f>
        <v>一个Buff的人走进一个圆圈，将射击放在肩膀上。</v>
      </c>
    </row>
    <row r="35174">
      <c r="A35174" s="4" t="s">
        <v>44256</v>
      </c>
      <c r="B35174" s="4" t="s">
        <v>44258</v>
      </c>
      <c r="C35174" s="5" t="str">
        <f>IFERROR(__xludf.DUMMYFUNCTION("GOOGLETRANSLATE(B35174,""en"",""zh-CN"")"),"然后，那个男人旋转并把球扔进田野。")</f>
        <v>然后，那个男人旋转并把球扔进田野。</v>
      </c>
    </row>
    <row r="35175">
      <c r="A35175" s="4" t="s">
        <v>44256</v>
      </c>
      <c r="B35175" s="4" t="s">
        <v>44259</v>
      </c>
      <c r="C35175" s="5" t="str">
        <f>IFERROR(__xludf.DUMMYFUNCTION("GOOGLETRANSLATE(B35175,""en"",""zh-CN"")"),"完成后，他穿上了一件大型霓虹灯衬衫。")</f>
        <v>完成后，他穿上了一件大型霓虹灯衬衫。</v>
      </c>
    </row>
    <row r="35176">
      <c r="A35176" s="4" t="s">
        <v>44256</v>
      </c>
      <c r="B35176" s="6" t="s">
        <v>44260</v>
      </c>
      <c r="C35176" s="5" t="str">
        <f>IFERROR(__xludf.DUMMYFUNCTION("GOOGLETRANSLATE(B35176,""en"",""zh-CN"")"),"另一个人接近cirle，并在有人来到场地并测量球走多远时进行了齐射。")</f>
        <v>另一个人接近cirle，并在有人来到场地并测量球走多远时进行了齐射。</v>
      </c>
    </row>
    <row r="35177">
      <c r="A35177" s="4" t="s">
        <v>44256</v>
      </c>
      <c r="B35177" s="4" t="s">
        <v>44261</v>
      </c>
      <c r="C35177" s="5" t="str">
        <f>IFERROR(__xludf.DUMMYFUNCTION("GOOGLETRANSLATE(B35177,""en"",""zh-CN"")"),"然后，参赛者回来并在显示他们的分数之前开始互相交谈。")</f>
        <v>然后，参赛者回来并在显示他们的分数之前开始互相交谈。</v>
      </c>
    </row>
    <row r="35178">
      <c r="A35178" s="4" t="s">
        <v>44256</v>
      </c>
      <c r="B35178" s="4" t="s">
        <v>44262</v>
      </c>
      <c r="C35178" s="5" t="str">
        <f>IFERROR(__xludf.DUMMYFUNCTION("GOOGLETRANSLATE(B35178,""en"",""zh-CN"")"),"然后提供鸟瞰图，然后摄像机刺入人群。")</f>
        <v>然后提供鸟瞰图，然后摄像机刺入人群。</v>
      </c>
    </row>
    <row r="35179">
      <c r="A35179" s="4" t="s">
        <v>44263</v>
      </c>
      <c r="B35179" s="6" t="s">
        <v>44264</v>
      </c>
      <c r="C35179" s="5" t="str">
        <f>IFERROR(__xludf.DUMMYFUNCTION("GOOGLETRANSLATE(B35179,""en"",""zh-CN"")"),"显示了扑克桌的特写，后面是摄像机在该区域的其他桌子上以及玩耍的人。")</f>
        <v>显示了扑克桌的特写，后面是摄像机在该区域的其他桌子上以及玩耍的人。</v>
      </c>
    </row>
    <row r="35180">
      <c r="A35180" s="4" t="s">
        <v>44263</v>
      </c>
      <c r="B35180" s="4" t="s">
        <v>44265</v>
      </c>
      <c r="C35180" s="5" t="str">
        <f>IFERROR(__xludf.DUMMYFUNCTION("GOOGLETRANSLATE(B35180,""en"",""zh-CN"")"),"有几个剪辑显示了人们坐在桌子上赌博以及对相机大笑的片段。")</f>
        <v>有几个剪辑显示了人们坐在桌子上赌博以及对相机大笑的片段。</v>
      </c>
    </row>
    <row r="35181">
      <c r="A35181" s="4" t="s">
        <v>44263</v>
      </c>
      <c r="B35181" s="6" t="s">
        <v>44266</v>
      </c>
      <c r="C35181" s="5" t="str">
        <f>IFERROR(__xludf.DUMMYFUNCTION("GOOGLETRANSLATE(B35181,""en"",""zh-CN"")"),"更多图片显示了赌场中的人以及他们在该地区徘徊的视频。")</f>
        <v>更多图片显示了赌场中的人以及他们在该地区徘徊的视频。</v>
      </c>
    </row>
    <row r="35182">
      <c r="A35182" s="4" t="s">
        <v>44267</v>
      </c>
      <c r="B35182" s="4" t="s">
        <v>44268</v>
      </c>
      <c r="C35182" s="5" t="str">
        <f>IFERROR(__xludf.DUMMYFUNCTION("GOOGLETRANSLATE(B35182,""en"",""zh-CN"")"),"这个女孩被放大了人们的牙齿，眼睛和脸上的其他东西。")</f>
        <v>这个女孩被放大了人们的牙齿，眼睛和脸上的其他东西。</v>
      </c>
    </row>
    <row r="35183">
      <c r="A35183" s="4" t="s">
        <v>44267</v>
      </c>
      <c r="B35183" s="4" t="s">
        <v>44269</v>
      </c>
      <c r="C35183" s="5" t="str">
        <f>IFERROR(__xludf.DUMMYFUNCTION("GOOGLETRANSLATE(B35183,""en"",""zh-CN"")"),"然后她向我们展示了道奇鲍尔的比赛。")</f>
        <v>然后她向我们展示了道奇鲍尔的比赛。</v>
      </c>
    </row>
    <row r="35184">
      <c r="A35184" s="4" t="s">
        <v>44270</v>
      </c>
      <c r="B35184" s="4" t="s">
        <v>44271</v>
      </c>
      <c r="C35184" s="5" t="str">
        <f>IFERROR(__xludf.DUMMYFUNCTION("GOOGLETRANSLATE(B35184,""en"",""zh-CN"")"),"一个男人走到人群之前，将一个沉重的球拿到空中。")</f>
        <v>一个男人走到人群之前，将一个沉重的球拿到空中。</v>
      </c>
    </row>
    <row r="35185">
      <c r="A35185" s="4" t="s">
        <v>44270</v>
      </c>
      <c r="B35185" s="4" t="s">
        <v>44272</v>
      </c>
      <c r="C35185" s="5" t="str">
        <f>IFERROR(__xludf.DUMMYFUNCTION("GOOGLETRANSLATE(B35185,""en"",""zh-CN"")"),"他旋转，然后尽可能地扔球。")</f>
        <v>他旋转，然后尽可能地扔球。</v>
      </c>
    </row>
    <row r="35186">
      <c r="A35186" s="4" t="s">
        <v>44270</v>
      </c>
      <c r="B35186" s="4" t="s">
        <v>44273</v>
      </c>
      <c r="C35186" s="5" t="str">
        <f>IFERROR(__xludf.DUMMYFUNCTION("GOOGLETRANSLATE(B35186,""en"",""zh-CN"")"),"一个女人和其他几个人都这样做。")</f>
        <v>一个女人和其他几个人都这样做。</v>
      </c>
    </row>
    <row r="35187">
      <c r="A35187" s="4" t="s">
        <v>44270</v>
      </c>
      <c r="B35187" s="4" t="s">
        <v>44274</v>
      </c>
      <c r="C35187" s="5" t="str">
        <f>IFERROR(__xludf.DUMMYFUNCTION("GOOGLETRANSLATE(B35187,""en"",""zh-CN"")"),"获奖者庆祝，举起旗帜并快乐地拥抱。")</f>
        <v>获奖者庆祝，举起旗帜并快乐地拥抱。</v>
      </c>
    </row>
    <row r="35188">
      <c r="A35188" s="4" t="s">
        <v>44275</v>
      </c>
      <c r="B35188" s="6" t="s">
        <v>44276</v>
      </c>
      <c r="C35188" s="5" t="str">
        <f>IFERROR(__xludf.DUMMYFUNCTION("GOOGLETRANSLATE(B35188,""en"",""zh-CN"")"),"看到一个男人在游泳池里游泳，手里拿着各种物体，展示了如何戴上它们。")</f>
        <v>看到一个男人在游泳池里游泳，手里拿着各种物体，展示了如何戴上它们。</v>
      </c>
    </row>
    <row r="35189">
      <c r="A35189" s="4" t="s">
        <v>44275</v>
      </c>
      <c r="B35189" s="4" t="s">
        <v>44277</v>
      </c>
      <c r="C35189" s="5" t="str">
        <f>IFERROR(__xludf.DUMMYFUNCTION("GOOGLETRANSLATE(B35189,""en"",""zh-CN"")"),"然后，他用乳房中风到末端游泳，然后回去。")</f>
        <v>然后，他用乳房中风到末端游泳，然后回去。</v>
      </c>
    </row>
    <row r="35190">
      <c r="A35190" s="4" t="s">
        <v>44278</v>
      </c>
      <c r="B35190" s="4" t="s">
        <v>44279</v>
      </c>
      <c r="C35190" s="5" t="str">
        <f>IFERROR(__xludf.DUMMYFUNCTION("GOOGLETRANSLATE(B35190,""en"",""zh-CN"")"),"一个拿着吉他的女孩与镜头说话。")</f>
        <v>一个拿着吉他的女孩与镜头说话。</v>
      </c>
    </row>
    <row r="35191">
      <c r="A35191" s="4" t="s">
        <v>44278</v>
      </c>
      <c r="B35191" s="4" t="s">
        <v>44280</v>
      </c>
      <c r="C35191" s="5" t="str">
        <f>IFERROR(__xludf.DUMMYFUNCTION("GOOGLETRANSLATE(B35191,""en"",""zh-CN"")"),"当女孩坐在沙发上时，女孩弹吉他。")</f>
        <v>当女孩坐在沙发上时，女孩弹吉他。</v>
      </c>
    </row>
    <row r="35192">
      <c r="A35192" s="4" t="s">
        <v>44278</v>
      </c>
      <c r="B35192" s="4" t="s">
        <v>44281</v>
      </c>
      <c r="C35192" s="5" t="str">
        <f>IFERROR(__xludf.DUMMYFUNCTION("GOOGLETRANSLATE(B35192,""en"",""zh-CN"")"),"女孩在演示时停止玩耍并再次与镜头交谈。")</f>
        <v>女孩在演示时停止玩耍并再次与镜头交谈。</v>
      </c>
    </row>
    <row r="35193">
      <c r="A35193" s="4" t="s">
        <v>44282</v>
      </c>
      <c r="B35193" s="4" t="s">
        <v>44283</v>
      </c>
      <c r="C35193" s="5" t="str">
        <f>IFERROR(__xludf.DUMMYFUNCTION("GOOGLETRANSLATE(B35193,""en"",""zh-CN"")"),"该视频发生在体操竞技场。")</f>
        <v>该视频发生在体操竞技场。</v>
      </c>
    </row>
    <row r="35194">
      <c r="A35194" s="4" t="s">
        <v>44282</v>
      </c>
      <c r="B35194" s="4" t="s">
        <v>44284</v>
      </c>
      <c r="C35194" s="5" t="str">
        <f>IFERROR(__xludf.DUMMYFUNCTION("GOOGLETRANSLATE(B35194,""en"",""zh-CN"")"),"当其他几个人看着时，一个男人正在梁上表演体操。")</f>
        <v>当其他几个人看着时，一个男人正在梁上表演体操。</v>
      </c>
    </row>
    <row r="35195">
      <c r="A35195" s="4" t="s">
        <v>44282</v>
      </c>
      <c r="B35195" s="4" t="s">
        <v>44285</v>
      </c>
      <c r="C35195" s="5" t="str">
        <f>IFERROR(__xludf.DUMMYFUNCTION("GOOGLETRANSLATE(B35195,""en"",""zh-CN"")"),"该男子开始颠倒。")</f>
        <v>该男子开始颠倒。</v>
      </c>
    </row>
    <row r="35196">
      <c r="A35196" s="4" t="s">
        <v>44282</v>
      </c>
      <c r="B35196" s="4" t="s">
        <v>44286</v>
      </c>
      <c r="C35196" s="5" t="str">
        <f>IFERROR(__xludf.DUMMYFUNCTION("GOOGLETRANSLATE(B35196,""en"",""zh-CN"")"),"然后他进行了几次翻转。")</f>
        <v>然后他进行了几次翻转。</v>
      </c>
    </row>
    <row r="35197">
      <c r="A35197" s="4" t="s">
        <v>44282</v>
      </c>
      <c r="B35197" s="4" t="s">
        <v>44287</v>
      </c>
      <c r="C35197" s="5" t="str">
        <f>IFERROR(__xludf.DUMMYFUNCTION("GOOGLETRANSLATE(B35197,""en"",""zh-CN"")"),"视频在他进行最后的翻转并从光束上跳下来时结束。")</f>
        <v>视频在他进行最后的翻转并从光束上跳下来时结束。</v>
      </c>
    </row>
    <row r="35198">
      <c r="A35198" s="4" t="s">
        <v>44288</v>
      </c>
      <c r="B35198" s="4" t="s">
        <v>44289</v>
      </c>
      <c r="C35198" s="5" t="str">
        <f>IFERROR(__xludf.DUMMYFUNCTION("GOOGLETRANSLATE(B35198,""en"",""zh-CN"")"),"显示了几个板球运动员。")</f>
        <v>显示了几个板球运动员。</v>
      </c>
    </row>
    <row r="35199">
      <c r="A35199" s="4" t="s">
        <v>44288</v>
      </c>
      <c r="B35199" s="4" t="s">
        <v>44290</v>
      </c>
      <c r="C35199" s="5" t="str">
        <f>IFERROR(__xludf.DUMMYFUNCTION("GOOGLETRANSLATE(B35199,""en"",""zh-CN"")"),"在他们里面，有人向球员投掷球。")</f>
        <v>在他们里面，有人向球员投掷球。</v>
      </c>
    </row>
    <row r="35200">
      <c r="A35200" s="4" t="s">
        <v>44288</v>
      </c>
      <c r="B35200" s="4" t="s">
        <v>44291</v>
      </c>
      <c r="C35200" s="5" t="str">
        <f>IFERROR(__xludf.DUMMYFUNCTION("GOOGLETRANSLATE(B35200,""en"",""zh-CN"")"),"另一个球员用蝙蝠击球。")</f>
        <v>另一个球员用蝙蝠击球。</v>
      </c>
    </row>
    <row r="35201">
      <c r="A35201" s="4" t="s">
        <v>44288</v>
      </c>
      <c r="B35201" s="4" t="s">
        <v>44292</v>
      </c>
      <c r="C35201" s="5" t="str">
        <f>IFERROR(__xludf.DUMMYFUNCTION("GOOGLETRANSLATE(B35201,""en"",""zh-CN"")"),"然后，另一个球员接球。")</f>
        <v>然后，另一个球员接球。</v>
      </c>
    </row>
    <row r="35202">
      <c r="A35202" s="4" t="s">
        <v>44293</v>
      </c>
      <c r="B35202" s="6" t="s">
        <v>44294</v>
      </c>
      <c r="C35202" s="5" t="str">
        <f>IFERROR(__xludf.DUMMYFUNCTION("GOOGLETRANSLATE(B35202,""en"",""zh-CN"")"),"看到一名妇女在相机上说话，并在几个地方打磨了她的木板。")</f>
        <v>看到一名妇女在相机上说话，并在几个地方打磨了她的木板。</v>
      </c>
    </row>
    <row r="35203">
      <c r="A35203" s="4" t="s">
        <v>44293</v>
      </c>
      <c r="B35203" s="4" t="s">
        <v>44295</v>
      </c>
      <c r="C35203" s="5" t="str">
        <f>IFERROR(__xludf.DUMMYFUNCTION("GOOGLETRANSLATE(B35203,""en"",""zh-CN"")"),"然后，她打磨了更多的物体，并展示了她拥有的大量工具。")</f>
        <v>然后，她打磨了更多的物体，并展示了她拥有的大量工具。</v>
      </c>
    </row>
    <row r="35204">
      <c r="A35204" s="4" t="s">
        <v>44293</v>
      </c>
      <c r="B35204" s="4" t="s">
        <v>44296</v>
      </c>
      <c r="C35204" s="5" t="str">
        <f>IFERROR(__xludf.DUMMYFUNCTION("GOOGLETRANSLATE(B35204,""en"",""zh-CN"")"),"她锤在板的侧面，最后以她的绘画板子结束。")</f>
        <v>她锤在板的侧面，最后以她的绘画板子结束。</v>
      </c>
    </row>
    <row r="35205">
      <c r="A35205" s="4" t="s">
        <v>44297</v>
      </c>
      <c r="B35205" s="6" t="s">
        <v>44298</v>
      </c>
      <c r="C35205" s="5" t="str">
        <f>IFERROR(__xludf.DUMMYFUNCTION("GOOGLETRANSLATE(B35205,""en"",""zh-CN"")"),"欢呼的领导团队走向舞台，而在观众中，穿着红色和白色制服的队友欢呼雀跃。")</f>
        <v>欢呼的领导团队走向舞台，而在观众中，穿着红色和白色制服的队友欢呼雀跃。</v>
      </c>
    </row>
    <row r="35206">
      <c r="A35206" s="4" t="s">
        <v>44297</v>
      </c>
      <c r="B35206" s="6" t="s">
        <v>44299</v>
      </c>
      <c r="C35206" s="5" t="str">
        <f>IFERROR(__xludf.DUMMYFUNCTION("GOOGLETRANSLATE(B35206,""en"",""zh-CN"")"),"团队开始了他们的欢呼舞，那里的女人站在男人的手上，他们做了pich旋，跳上空中，举着一些横幅，在空中高高地跳动，跌落在队友的手臂上。")</f>
        <v>团队开始了他们的欢呼舞，那里的女人站在男人的手上，他们做了pich旋，跳上空中，举着一些横幅，在空中高高地跳动，跌落在队友的手臂上。</v>
      </c>
    </row>
    <row r="35207">
      <c r="A35207" s="4" t="s">
        <v>44300</v>
      </c>
      <c r="B35207" s="4" t="s">
        <v>44301</v>
      </c>
      <c r="C35207" s="5" t="str">
        <f>IFERROR(__xludf.DUMMYFUNCTION("GOOGLETRANSLATE(B35207,""en"",""zh-CN"")"),"显示了1980年代的视频。")</f>
        <v>显示了1980年代的视频。</v>
      </c>
    </row>
    <row r="35208">
      <c r="A35208" s="4" t="s">
        <v>44300</v>
      </c>
      <c r="B35208" s="4" t="s">
        <v>44302</v>
      </c>
      <c r="C35208" s="5" t="str">
        <f>IFERROR(__xludf.DUMMYFUNCTION("GOOGLETRANSLATE(B35208,""en"",""zh-CN"")"),"名人在户外玩拔河游戏。")</f>
        <v>名人在户外玩拔河游戏。</v>
      </c>
    </row>
    <row r="35209">
      <c r="A35209" s="4" t="s">
        <v>44300</v>
      </c>
      <c r="B35209" s="4" t="s">
        <v>44303</v>
      </c>
      <c r="C35209" s="5" t="str">
        <f>IFERROR(__xludf.DUMMYFUNCTION("GOOGLETRANSLATE(B35209,""en"",""zh-CN"")"),"Lou Ferrigno参加比赛的球队赢得了比赛。")</f>
        <v>Lou Ferrigno参加比赛的球队赢得了比赛。</v>
      </c>
    </row>
    <row r="35210">
      <c r="A35210" s="4" t="s">
        <v>44300</v>
      </c>
      <c r="B35210" s="4" t="s">
        <v>44304</v>
      </c>
      <c r="C35210" s="5" t="str">
        <f>IFERROR(__xludf.DUMMYFUNCTION("GOOGLETRANSLATE(B35210,""en"",""zh-CN"")"),"Ferrigno和其他名人接受了采访。")</f>
        <v>Ferrigno和其他名人接受了采访。</v>
      </c>
    </row>
    <row r="35211">
      <c r="A35211" s="4" t="s">
        <v>44305</v>
      </c>
      <c r="B35211" s="4" t="s">
        <v>44306</v>
      </c>
      <c r="C35211" s="5" t="str">
        <f>IFERROR(__xludf.DUMMYFUNCTION("GOOGLETRANSLATE(B35211,""en"",""zh-CN"")"),"一群女孩在帐篷下面。")</f>
        <v>一群女孩在帐篷下面。</v>
      </c>
    </row>
    <row r="35212">
      <c r="A35212" s="4" t="s">
        <v>44305</v>
      </c>
      <c r="B35212" s="4" t="s">
        <v>44307</v>
      </c>
      <c r="C35212" s="5" t="str">
        <f>IFERROR(__xludf.DUMMYFUNCTION("GOOGLETRANSLATE(B35212,""en"",""zh-CN"")"),"一个女孩用毛巾擦去黄盘。")</f>
        <v>一个女孩用毛巾擦去黄盘。</v>
      </c>
    </row>
    <row r="35213">
      <c r="A35213" s="4" t="s">
        <v>44305</v>
      </c>
      <c r="B35213" s="4" t="s">
        <v>44308</v>
      </c>
      <c r="C35213" s="5" t="str">
        <f>IFERROR(__xludf.DUMMYFUNCTION("GOOGLETRANSLATE(B35213,""en"",""zh-CN"")"),"三个女孩正在大浴缸里洗碗。")</f>
        <v>三个女孩正在大浴缸里洗碗。</v>
      </c>
    </row>
    <row r="35214">
      <c r="A35214" s="4" t="s">
        <v>44309</v>
      </c>
      <c r="B35214" s="6" t="s">
        <v>44310</v>
      </c>
      <c r="C35214" s="5" t="str">
        <f>IFERROR(__xludf.DUMMYFUNCTION("GOOGLETRANSLATE(B35214,""en"",""zh-CN"")"),"看到一个女人在相机上说话，并导致她在梅森罐子里放了几种成分。")</f>
        <v>看到一个女人在相机上说话，并导致她在梅森罐子里放了几种成分。</v>
      </c>
    </row>
    <row r="35215">
      <c r="A35215" s="4" t="s">
        <v>44309</v>
      </c>
      <c r="B35215" s="4" t="s">
        <v>44311</v>
      </c>
      <c r="C35215" s="5" t="str">
        <f>IFERROR(__xludf.DUMMYFUNCTION("GOOGLETRANSLATE(B35215,""en"",""zh-CN"")"),"女人用钳子将物品分层到罐子中，然后将盖子放在顶部。")</f>
        <v>女人用钳子将物品分层到罐子中，然后将盖子放在顶部。</v>
      </c>
    </row>
    <row r="35216">
      <c r="A35216" s="4" t="s">
        <v>44309</v>
      </c>
      <c r="B35216" s="4" t="s">
        <v>44312</v>
      </c>
      <c r="C35216" s="5" t="str">
        <f>IFERROR(__xludf.DUMMYFUNCTION("GOOGLETRANSLATE(B35216,""en"",""zh-CN"")"),"该名女子在侧面和标签上放一条缎带，并向相机微笑。")</f>
        <v>该名女子在侧面和标签上放一条缎带，并向相机微笑。</v>
      </c>
    </row>
    <row r="35217">
      <c r="A35217" s="4" t="s">
        <v>44313</v>
      </c>
      <c r="B35217" s="4" t="s">
        <v>44314</v>
      </c>
      <c r="C35217" s="5" t="str">
        <f>IFERROR(__xludf.DUMMYFUNCTION("GOOGLETRANSLATE(B35217,""en"",""zh-CN"")"),"个人正在锻炼各种设备。")</f>
        <v>个人正在锻炼各种设备。</v>
      </c>
    </row>
    <row r="35218">
      <c r="A35218" s="4" t="s">
        <v>44313</v>
      </c>
      <c r="B35218" s="4" t="s">
        <v>44315</v>
      </c>
      <c r="C35218" s="5" t="str">
        <f>IFERROR(__xludf.DUMMYFUNCTION("GOOGLETRANSLATE(B35218,""en"",""zh-CN"")"),"男性和女性来回移动。")</f>
        <v>男性和女性来回移动。</v>
      </c>
    </row>
    <row r="35219">
      <c r="A35219" s="4" t="s">
        <v>44316</v>
      </c>
      <c r="B35219" s="4" t="s">
        <v>44317</v>
      </c>
      <c r="C35219" s="5" t="str">
        <f>IFERROR(__xludf.DUMMYFUNCTION("GOOGLETRANSLATE(B35219,""en"",""zh-CN"")"),"有一对中年夫妇演示了如何做球室跳舞。")</f>
        <v>有一对中年夫妇演示了如何做球室跳舞。</v>
      </c>
    </row>
    <row r="35220">
      <c r="A35220" s="4" t="s">
        <v>44316</v>
      </c>
      <c r="B35220" s="4" t="s">
        <v>44318</v>
      </c>
      <c r="C35220" s="5" t="str">
        <f>IFERROR(__xludf.DUMMYFUNCTION("GOOGLETRANSLATE(B35220,""en"",""zh-CN"")"),"他们在一个房间里，墙壁和硬木地板上有大镜子。")</f>
        <v>他们在一个房间里，墙壁和硬木地板上有大镜子。</v>
      </c>
    </row>
    <row r="35221">
      <c r="A35221" s="4" t="s">
        <v>44316</v>
      </c>
      <c r="B35221" s="4" t="s">
        <v>44319</v>
      </c>
      <c r="C35221" s="5" t="str">
        <f>IFERROR(__xludf.DUMMYFUNCTION("GOOGLETRANSLATE(B35221,""en"",""zh-CN"")"),"他们展示了如何在旋转臀部时以节奏来回移动脚。")</f>
        <v>他们展示了如何在旋转臀部时以节奏来回移动脚。</v>
      </c>
    </row>
    <row r="35222">
      <c r="A35222" s="4" t="s">
        <v>44320</v>
      </c>
      <c r="B35222" s="4" t="s">
        <v>44321</v>
      </c>
      <c r="C35222" s="5" t="str">
        <f>IFERROR(__xludf.DUMMYFUNCTION("GOOGLETRANSLATE(B35222,""en"",""zh-CN"")"),"牛仔在一匹马上耗尽了大门。")</f>
        <v>牛仔在一匹马上耗尽了大门。</v>
      </c>
    </row>
    <row r="35223">
      <c r="A35223" s="4" t="s">
        <v>44320</v>
      </c>
      <c r="B35223" s="4" t="s">
        <v>44322</v>
      </c>
      <c r="C35223" s="5" t="str">
        <f>IFERROR(__xludf.DUMMYFUNCTION("GOOGLETRANSLATE(B35223,""en"",""zh-CN"")"),"他用套索扎着小牛。")</f>
        <v>他用套索扎着小牛。</v>
      </c>
    </row>
    <row r="35224">
      <c r="A35224" s="4" t="s">
        <v>44320</v>
      </c>
      <c r="B35224" s="4" t="s">
        <v>44323</v>
      </c>
      <c r="C35224" s="5" t="str">
        <f>IFERROR(__xludf.DUMMYFUNCTION("GOOGLETRANSLATE(B35224,""en"",""zh-CN"")"),"他试图将小腿绑起来，失去了绳索。")</f>
        <v>他试图将小腿绑起来，失去了绳索。</v>
      </c>
    </row>
    <row r="35225">
      <c r="A35225" s="4" t="s">
        <v>44324</v>
      </c>
      <c r="B35225" s="4" t="s">
        <v>44325</v>
      </c>
      <c r="C35225" s="5" t="str">
        <f>IFERROR(__xludf.DUMMYFUNCTION("GOOGLETRANSLATE(B35225,""en"",""zh-CN"")"),"一个穿着黑色上衣的女孩描述了如何在厨房里烘烤。")</f>
        <v>一个穿着黑色上衣的女孩描述了如何在厨房里烘烤。</v>
      </c>
    </row>
    <row r="35226">
      <c r="A35226" s="4" t="s">
        <v>44324</v>
      </c>
      <c r="B35226" s="4" t="s">
        <v>44326</v>
      </c>
      <c r="C35226" s="5" t="str">
        <f>IFERROR(__xludf.DUMMYFUNCTION("GOOGLETRANSLATE(B35226,""en"",""zh-CN"")"),"面包师用量杯将面粉倒入透明的碗中。")</f>
        <v>面包师用量杯将面粉倒入透明的碗中。</v>
      </c>
    </row>
    <row r="35227">
      <c r="A35227" s="4" t="s">
        <v>44324</v>
      </c>
      <c r="B35227" s="6" t="s">
        <v>44327</v>
      </c>
      <c r="C35227" s="5" t="str">
        <f>IFERROR(__xludf.DUMMYFUNCTION("GOOGLETRANSLATE(B35227,""en"",""zh-CN"")"),"然后，面包师从一个黄色的玉米淀粉容器中铲出了四个级别的汤匙，然后将其贴在面粉碗中。")</f>
        <v>然后，面包师从一个黄色的玉米淀粉容器中铲出了四个级别的汤匙，然后将其贴在面粉碗中。</v>
      </c>
    </row>
    <row r="35228">
      <c r="A35228" s="4" t="s">
        <v>44324</v>
      </c>
      <c r="B35228" s="6" t="s">
        <v>44328</v>
      </c>
      <c r="C35228" s="5" t="str">
        <f>IFERROR(__xludf.DUMMYFUNCTION("GOOGLETRANSLATE(B35228,""en"",""zh-CN"")"),"面包师将面粉和玉米淀粉混合物倒入筛子中，并开始将成分筛选三遍。")</f>
        <v>面包师将面粉和玉米淀粉混合物倒入筛子中，并开始将成分筛选三遍。</v>
      </c>
    </row>
    <row r="35229">
      <c r="A35229" s="4" t="s">
        <v>44329</v>
      </c>
      <c r="B35229" s="4" t="s">
        <v>44330</v>
      </c>
      <c r="C35229" s="5" t="str">
        <f>IFERROR(__xludf.DUMMYFUNCTION("GOOGLETRANSLATE(B35229,""en"",""zh-CN"")"),"看到一个人拿着一根杆子，沿着一条长轨道奔跑。")</f>
        <v>看到一个人拿着一根杆子，沿着一条长轨道奔跑。</v>
      </c>
    </row>
    <row r="35230">
      <c r="A35230" s="4" t="s">
        <v>44329</v>
      </c>
      <c r="B35230" s="4" t="s">
        <v>44331</v>
      </c>
      <c r="C35230" s="5" t="str">
        <f>IFERROR(__xludf.DUMMYFUNCTION("GOOGLETRANSLATE(B35230,""en"",""zh-CN"")"),"该人在横梁上射线电压到垫子上，并以慢动作再次显示。")</f>
        <v>该人在横梁上射线电压到垫子上，并以慢动作再次显示。</v>
      </c>
    </row>
    <row r="35231">
      <c r="A35231" s="4" t="s">
        <v>44332</v>
      </c>
      <c r="B35231" s="4" t="s">
        <v>44333</v>
      </c>
      <c r="C35231" s="5" t="str">
        <f>IFERROR(__xludf.DUMMYFUNCTION("GOOGLETRANSLATE(B35231,""en"",""zh-CN"")"),"一个年轻人把口红放在他的嘴唇上。")</f>
        <v>一个年轻人把口红放在他的嘴唇上。</v>
      </c>
    </row>
    <row r="35232">
      <c r="A35232" s="4" t="s">
        <v>44332</v>
      </c>
      <c r="B35232" s="4" t="s">
        <v>44334</v>
      </c>
      <c r="C35232" s="5" t="str">
        <f>IFERROR(__xludf.DUMMYFUNCTION("GOOGLETRANSLATE(B35232,""en"",""zh-CN"")"),"两名记者在电视机中与观众交谈。")</f>
        <v>两名记者在电视机中与观众交谈。</v>
      </c>
    </row>
    <row r="35233">
      <c r="A35233" s="4" t="s">
        <v>44332</v>
      </c>
      <c r="B35233" s="4" t="s">
        <v>44335</v>
      </c>
      <c r="C35233" s="5" t="str">
        <f>IFERROR(__xludf.DUMMYFUNCTION("GOOGLETRANSLATE(B35233,""en"",""zh-CN"")"),"然后，年轻人刷了他的脸，然后观众中的人们说话。")</f>
        <v>然后，年轻人刷了他的脸，然后观众中的人们说话。</v>
      </c>
    </row>
    <row r="35234">
      <c r="A35234" s="4" t="s">
        <v>44332</v>
      </c>
      <c r="B35234" s="4" t="s">
        <v>44336</v>
      </c>
      <c r="C35234" s="5" t="str">
        <f>IFERROR(__xludf.DUMMYFUNCTION("GOOGLETRANSLATE(B35234,""en"",""zh-CN"")"),"之后，年轻人用化妆表现出他的脸。")</f>
        <v>之后，年轻人用化妆表现出他的脸。</v>
      </c>
    </row>
    <row r="35235">
      <c r="A35235" s="4" t="s">
        <v>44337</v>
      </c>
      <c r="B35235" s="4" t="s">
        <v>44338</v>
      </c>
      <c r="C35235" s="5" t="str">
        <f>IFERROR(__xludf.DUMMYFUNCTION("GOOGLETRANSLATE(B35235,""en"",""zh-CN"")"),"一个遇到军队疲劳的男人正在玩风笛，而其他人看着。")</f>
        <v>一个遇到军队疲劳的男人正在玩风笛，而其他人看着。</v>
      </c>
    </row>
    <row r="35236">
      <c r="A35236" s="4" t="s">
        <v>44337</v>
      </c>
      <c r="B35236" s="4" t="s">
        <v>44339</v>
      </c>
      <c r="C35236" s="5" t="str">
        <f>IFERROR(__xludf.DUMMYFUNCTION("GOOGLETRANSLATE(B35236,""en"",""zh-CN"")"),"在他玩耍时，一个女人在背景中跳舞。")</f>
        <v>在他玩耍时，一个女人在背景中跳舞。</v>
      </c>
    </row>
    <row r="35237">
      <c r="A35237" s="4" t="s">
        <v>44337</v>
      </c>
      <c r="B35237" s="4" t="s">
        <v>44340</v>
      </c>
      <c r="C35237" s="5" t="str">
        <f>IFERROR(__xludf.DUMMYFUNCTION("GOOGLETRANSLATE(B35237,""en"",""zh-CN"")"),"当他结束时，他与其他人笑着开玩笑。")</f>
        <v>当他结束时，他与其他人笑着开玩笑。</v>
      </c>
    </row>
    <row r="35238">
      <c r="A35238" s="4" t="s">
        <v>44341</v>
      </c>
      <c r="B35238" s="4" t="s">
        <v>44342</v>
      </c>
      <c r="C35238" s="5" t="str">
        <f>IFERROR(__xludf.DUMMYFUNCTION("GOOGLETRANSLATE(B35238,""en"",""zh-CN"")"),"一个男人用针对女人的腰部区域纹身。")</f>
        <v>一个男人用针对女人的腰部区域纹身。</v>
      </c>
    </row>
    <row r="35239">
      <c r="A35239" s="4" t="s">
        <v>44341</v>
      </c>
      <c r="B35239" s="4" t="s">
        <v>44343</v>
      </c>
      <c r="C35239" s="5" t="str">
        <f>IFERROR(__xludf.DUMMYFUNCTION("GOOGLETRANSLATE(B35239,""en"",""zh-CN"")"),"该男子用组织清洁纹身区域。")</f>
        <v>该男子用组织清洁纹身区域。</v>
      </c>
    </row>
    <row r="35240">
      <c r="A35240" s="4" t="s">
        <v>44341</v>
      </c>
      <c r="B35240" s="4" t="s">
        <v>44344</v>
      </c>
      <c r="C35240" s="5" t="str">
        <f>IFERROR(__xludf.DUMMYFUNCTION("GOOGLETRANSLATE(B35240,""en"",""zh-CN"")"),"该男子继续进行纹身和清洁。")</f>
        <v>该男子继续进行纹身和清洁。</v>
      </c>
    </row>
    <row r="35241">
      <c r="A35241" s="4" t="s">
        <v>44345</v>
      </c>
      <c r="B35241" s="4" t="s">
        <v>44346</v>
      </c>
      <c r="C35241" s="5" t="str">
        <f>IFERROR(__xludf.DUMMYFUNCTION("GOOGLETRANSLATE(B35241,""en"",""zh-CN"")"),"显示了演示者或设计师的图像和标签。")</f>
        <v>显示了演示者或设计师的图像和标签。</v>
      </c>
    </row>
    <row r="35242">
      <c r="A35242" s="4" t="s">
        <v>44345</v>
      </c>
      <c r="B35242" s="4" t="s">
        <v>44347</v>
      </c>
      <c r="C35242" s="5" t="str">
        <f>IFERROR(__xludf.DUMMYFUNCTION("GOOGLETRANSLATE(B35242,""en"",""zh-CN"")"),"主持人风格为女客户的头发。")</f>
        <v>主持人风格为女客户的头发。</v>
      </c>
    </row>
    <row r="35243">
      <c r="A35243" s="4" t="s">
        <v>44345</v>
      </c>
      <c r="B35243" s="4" t="s">
        <v>44348</v>
      </c>
      <c r="C35243" s="5" t="str">
        <f>IFERROR(__xludf.DUMMYFUNCTION("GOOGLETRANSLATE(B35243,""en"",""zh-CN"")"),"主持人直接讲话到相机中。")</f>
        <v>主持人直接讲话到相机中。</v>
      </c>
    </row>
    <row r="35244">
      <c r="A35244" s="4" t="s">
        <v>44345</v>
      </c>
      <c r="B35244" s="4" t="s">
        <v>44349</v>
      </c>
      <c r="C35244" s="5" t="str">
        <f>IFERROR(__xludf.DUMMYFUNCTION("GOOGLETRANSLATE(B35244,""en"",""zh-CN"")"),"客户在椅子上慢慢旋转以呈现她的头发。")</f>
        <v>客户在椅子上慢慢旋转以呈现她的头发。</v>
      </c>
    </row>
    <row r="35245">
      <c r="A35245" s="4" t="s">
        <v>44345</v>
      </c>
      <c r="B35245" s="4" t="s">
        <v>44350</v>
      </c>
      <c r="C35245" s="5" t="str">
        <f>IFERROR(__xludf.DUMMYFUNCTION("GOOGLETRANSLATE(B35245,""en"",""zh-CN"")"),"造型师弄湿了客户的头发。")</f>
        <v>造型师弄湿了客户的头发。</v>
      </c>
    </row>
    <row r="35246">
      <c r="A35246" s="4" t="s">
        <v>44345</v>
      </c>
      <c r="B35246" s="4" t="s">
        <v>44351</v>
      </c>
      <c r="C35246" s="5" t="str">
        <f>IFERROR(__xludf.DUMMYFUNCTION("GOOGLETRANSLATE(B35246,""en"",""zh-CN"")"),"造型师分散了客户的头发。")</f>
        <v>造型师分散了客户的头发。</v>
      </c>
    </row>
    <row r="35247">
      <c r="A35247" s="4" t="s">
        <v>44345</v>
      </c>
      <c r="B35247" s="4" t="s">
        <v>44352</v>
      </c>
      <c r="C35247" s="5" t="str">
        <f>IFERROR(__xludf.DUMMYFUNCTION("GOOGLETRANSLATE(B35247,""en"",""zh-CN"")"),"造型师使用刷子和吹风机为客户的头发增加音量，质地和卷发。")</f>
        <v>造型师使用刷子和吹风机为客户的头发增加音量，质地和卷发。</v>
      </c>
    </row>
    <row r="35248">
      <c r="A35248" s="4" t="s">
        <v>44345</v>
      </c>
      <c r="B35248" s="4" t="s">
        <v>44353</v>
      </c>
      <c r="C35248" s="5" t="str">
        <f>IFERROR(__xludf.DUMMYFUNCTION("GOOGLETRANSLATE(B35248,""en"",""zh-CN"")"),"造型师将客户的头发喷洒。")</f>
        <v>造型师将客户的头发喷洒。</v>
      </c>
    </row>
    <row r="35249">
      <c r="A35249" s="4" t="s">
        <v>44345</v>
      </c>
      <c r="B35249" s="4" t="s">
        <v>44354</v>
      </c>
      <c r="C35249" s="5" t="str">
        <f>IFERROR(__xludf.DUMMYFUNCTION("GOOGLETRANSLATE(B35249,""en"",""zh-CN"")"),"造型师用他的手将刘海定位。")</f>
        <v>造型师用他的手将刘海定位。</v>
      </c>
    </row>
    <row r="35250">
      <c r="A35250" s="4" t="s">
        <v>44345</v>
      </c>
      <c r="B35250" s="4" t="s">
        <v>44355</v>
      </c>
      <c r="C35250" s="5" t="str">
        <f>IFERROR(__xludf.DUMMYFUNCTION("GOOGLETRANSLATE(B35250,""en"",""zh-CN"")"),"造型师用他的手为客户毛增添了凝胶产品。")</f>
        <v>造型师用他的手为客户毛增添了凝胶产品。</v>
      </c>
    </row>
    <row r="35251">
      <c r="A35251" s="4" t="s">
        <v>44345</v>
      </c>
      <c r="B35251" s="4" t="s">
        <v>44356</v>
      </c>
      <c r="C35251" s="5" t="str">
        <f>IFERROR(__xludf.DUMMYFUNCTION("GOOGLETRANSLATE(B35251,""en"",""zh-CN"")"),"客户在椅子上慢慢旋转以展示她的发型。")</f>
        <v>客户在椅子上慢慢旋转以展示她的发型。</v>
      </c>
    </row>
    <row r="35252">
      <c r="A35252" s="4" t="s">
        <v>44345</v>
      </c>
      <c r="B35252" s="4" t="s">
        <v>44357</v>
      </c>
      <c r="C35252" s="5" t="str">
        <f>IFERROR(__xludf.DUMMYFUNCTION("GOOGLETRANSLATE(B35252,""en"",""zh-CN"")"),"显示了设计师名称和积分。")</f>
        <v>显示了设计师名称和积分。</v>
      </c>
    </row>
    <row r="35253">
      <c r="A35253" s="4" t="s">
        <v>44358</v>
      </c>
      <c r="B35253" s="4" t="s">
        <v>44359</v>
      </c>
      <c r="C35253" s="5" t="str">
        <f>IFERROR(__xludf.DUMMYFUNCTION("GOOGLETRANSLATE(B35253,""en"",""zh-CN"")"),"一个穿着黑色背心的男人站在一个房间里。")</f>
        <v>一个穿着黑色背心的男人站在一个房间里。</v>
      </c>
    </row>
    <row r="35254">
      <c r="A35254" s="4" t="s">
        <v>44358</v>
      </c>
      <c r="B35254" s="4" t="s">
        <v>44360</v>
      </c>
      <c r="C35254" s="5" t="str">
        <f>IFERROR(__xludf.DUMMYFUNCTION("GOOGLETRANSLATE(B35254,""en"",""zh-CN"")"),"他将飞镖投向墙上的飞镖板。")</f>
        <v>他将飞镖投向墙上的飞镖板。</v>
      </c>
    </row>
    <row r="35255">
      <c r="A35255" s="4" t="s">
        <v>44358</v>
      </c>
      <c r="B35255" s="4" t="s">
        <v>44361</v>
      </c>
      <c r="C35255" s="5" t="str">
        <f>IFERROR(__xludf.DUMMYFUNCTION("GOOGLETRANSLATE(B35255,""en"",""zh-CN"")"),"一个女人站在他旁边看着。")</f>
        <v>一个女人站在他旁边看着。</v>
      </c>
    </row>
    <row r="35256">
      <c r="A35256" s="4" t="s">
        <v>44358</v>
      </c>
      <c r="B35256" s="4" t="s">
        <v>44362</v>
      </c>
      <c r="C35256" s="5" t="str">
        <f>IFERROR(__xludf.DUMMYFUNCTION("GOOGLETRANSLATE(B35256,""en"",""zh-CN"")"),"一个人走上去，将飞镖从董事会中拉出。")</f>
        <v>一个人走上去，将飞镖从董事会中拉出。</v>
      </c>
    </row>
    <row r="35257">
      <c r="A35257" s="4" t="s">
        <v>44363</v>
      </c>
      <c r="B35257" s="4" t="s">
        <v>44364</v>
      </c>
      <c r="C35257" s="5" t="str">
        <f>IFERROR(__xludf.DUMMYFUNCTION("GOOGLETRANSLATE(B35257,""en"",""zh-CN"")"),"出现了一个“大结局意大利”海滩足球标题屏幕，其中包括Sambenedettese和Catania。")</f>
        <v>出现了一个“大结局意大利”海滩足球标题屏幕，其中包括Sambenedettese和Catania。</v>
      </c>
    </row>
    <row r="35258">
      <c r="A35258" s="4" t="s">
        <v>44363</v>
      </c>
      <c r="B35258" s="4" t="s">
        <v>44365</v>
      </c>
      <c r="C35258" s="5" t="str">
        <f>IFERROR(__xludf.DUMMYFUNCTION("GOOGLETRANSLATE(B35258,""en"",""zh-CN"")"),"男子在水边的海滩上踢足球。")</f>
        <v>男子在水边的海滩上踢足球。</v>
      </c>
    </row>
    <row r="35259">
      <c r="A35259" s="4" t="s">
        <v>44363</v>
      </c>
      <c r="B35259" s="4" t="s">
        <v>44366</v>
      </c>
      <c r="C35259" s="5" t="str">
        <f>IFERROR(__xludf.DUMMYFUNCTION("GOOGLETRANSLATE(B35259,""en"",""zh-CN"")"),"场上的球员庆祝胜利，并为照片摆姿势。")</f>
        <v>场上的球员庆祝胜利，并为照片摆姿势。</v>
      </c>
    </row>
    <row r="35260">
      <c r="A35260" s="4" t="s">
        <v>44367</v>
      </c>
      <c r="B35260" s="4" t="s">
        <v>44368</v>
      </c>
      <c r="C35260" s="5" t="str">
        <f>IFERROR(__xludf.DUMMYFUNCTION("GOOGLETRANSLATE(B35260,""en"",""zh-CN"")"),"地面上显示了割草机。")</f>
        <v>地面上显示了割草机。</v>
      </c>
    </row>
    <row r="35261">
      <c r="A35261" s="4" t="s">
        <v>44367</v>
      </c>
      <c r="B35261" s="4" t="s">
        <v>44369</v>
      </c>
      <c r="C35261" s="5" t="str">
        <f>IFERROR(__xludf.DUMMYFUNCTION("GOOGLETRANSLATE(B35261,""en"",""zh-CN"")"),"一个人开始割草机，开始割草。")</f>
        <v>一个人开始割草机，开始割草。</v>
      </c>
    </row>
    <row r="35262">
      <c r="A35262" s="4" t="s">
        <v>44367</v>
      </c>
      <c r="B35262" s="4" t="s">
        <v>44370</v>
      </c>
      <c r="C35262" s="5" t="str">
        <f>IFERROR(__xludf.DUMMYFUNCTION("GOOGLETRANSLATE(B35262,""en"",""zh-CN"")"),"他们完成了草坪的修剪，并显示了草坪。")</f>
        <v>他们完成了草坪的修剪，并显示了草坪。</v>
      </c>
    </row>
    <row r="35263">
      <c r="A35263" s="4" t="s">
        <v>44371</v>
      </c>
      <c r="B35263" s="4" t="s">
        <v>44372</v>
      </c>
      <c r="C35263" s="5" t="str">
        <f>IFERROR(__xludf.DUMMYFUNCTION("GOOGLETRANSLATE(B35263,""en"",""zh-CN"")"),"看到一个男人手里拿着一根棍子，在相机上说话。")</f>
        <v>看到一个男人手里拿着一根棍子，在相机上说话。</v>
      </c>
    </row>
    <row r="35264">
      <c r="A35264" s="4" t="s">
        <v>44371</v>
      </c>
      <c r="B35264" s="6" t="s">
        <v>44373</v>
      </c>
      <c r="C35264" s="5" t="str">
        <f>IFERROR(__xludf.DUMMYFUNCTION("GOOGLETRANSLATE(B35264,""en"",""zh-CN"")"),"该男子试图几次将球击中，然后他捡起它并将其撞到远处。")</f>
        <v>该男子试图几次将球击中，然后他捡起它并将其撞到远处。</v>
      </c>
    </row>
    <row r="35265">
      <c r="A35265" s="4" t="s">
        <v>44374</v>
      </c>
      <c r="B35265" s="4" t="s">
        <v>44375</v>
      </c>
      <c r="C35265" s="5" t="str">
        <f>IFERROR(__xludf.DUMMYFUNCTION("GOOGLETRANSLATE(B35265,""en"",""zh-CN"")"),"一群男性站在一个房间里穿衣服。")</f>
        <v>一群男性站在一个房间里穿衣服。</v>
      </c>
    </row>
    <row r="35266">
      <c r="A35266" s="4" t="s">
        <v>44374</v>
      </c>
      <c r="B35266" s="6" t="s">
        <v>44376</v>
      </c>
      <c r="C35266" s="5" t="str">
        <f>IFERROR(__xludf.DUMMYFUNCTION("GOOGLETRANSLATE(B35266,""en"",""zh-CN"")"),"突然显示了许多女性和海滩活动，包括游泳，排球和饮酒。")</f>
        <v>突然显示了许多女性和海滩活动，包括游泳，排球和饮酒。</v>
      </c>
    </row>
    <row r="35267">
      <c r="A35267" s="4" t="s">
        <v>44374</v>
      </c>
      <c r="B35267" s="6" t="s">
        <v>44377</v>
      </c>
      <c r="C35267" s="5" t="str">
        <f>IFERROR(__xludf.DUMMYFUNCTION("GOOGLETRANSLATE(B35267,""en"",""zh-CN"")"),"接下来，这名男子重新出现，但他与队友一起参加了在一个被人们包围的体育场里打过一场海滩足球比赛。")</f>
        <v>接下来，这名男子重新出现，但他与队友一起参加了在一个被人们包围的体育场里打过一场海滩足球比赛。</v>
      </c>
    </row>
    <row r="35268">
      <c r="A35268" s="4" t="s">
        <v>44374</v>
      </c>
      <c r="B35268" s="6" t="s">
        <v>44378</v>
      </c>
      <c r="C35268" s="5" t="str">
        <f>IFERROR(__xludf.DUMMYFUNCTION("GOOGLETRANSLATE(B35268,""en"",""zh-CN"")"),"一支球队获胜，他们被证明带回了他们的奖杯和欢呼，然后回到展示其余的球队比赛。")</f>
        <v>一支球队获胜，他们被证明带回了他们的奖杯和欢呼，然后回到展示其余的球队比赛。</v>
      </c>
    </row>
    <row r="35269">
      <c r="A35269" s="4" t="s">
        <v>44379</v>
      </c>
      <c r="B35269" s="4" t="s">
        <v>44380</v>
      </c>
      <c r="C35269" s="5" t="str">
        <f>IFERROR(__xludf.DUMMYFUNCTION("GOOGLETRANSLATE(B35269,""en"",""zh-CN"")"),"看到一个女人携带着吹雪机，并沿着一条小路推动它。")</f>
        <v>看到一个女人携带着吹雪机，并沿着一条小路推动它。</v>
      </c>
    </row>
    <row r="35270">
      <c r="A35270" s="4" t="s">
        <v>44379</v>
      </c>
      <c r="B35270" s="6" t="s">
        <v>44381</v>
      </c>
      <c r="C35270" s="5" t="str">
        <f>IFERROR(__xludf.DUMMYFUNCTION("GOOGLETRANSLATE(B35270,""en"",""zh-CN"")"),"该名女子继续在动作后用相机沿着雪吹来雪。")</f>
        <v>该名女子继续在动作后用相机沿着雪吹来雪。</v>
      </c>
    </row>
    <row r="35271">
      <c r="A35271" s="4" t="s">
        <v>44379</v>
      </c>
      <c r="B35271" s="4" t="s">
        <v>44382</v>
      </c>
      <c r="C35271" s="5" t="str">
        <f>IFERROR(__xludf.DUMMYFUNCTION("GOOGLETRANSLATE(B35271,""en"",""zh-CN"")"),"她在停下来与镜头说话并继续移动的同时向后移动。")</f>
        <v>她在停下来与镜头说话并继续移动的同时向后移动。</v>
      </c>
    </row>
    <row r="35272">
      <c r="A35272" s="4" t="s">
        <v>44383</v>
      </c>
      <c r="B35272" s="4" t="s">
        <v>44384</v>
      </c>
      <c r="C35272" s="5" t="str">
        <f>IFERROR(__xludf.DUMMYFUNCTION("GOOGLETRANSLATE(B35272,""en"",""zh-CN"")"),"一群滑雪者正在山上骑。")</f>
        <v>一群滑雪者正在山上骑。</v>
      </c>
    </row>
    <row r="35273">
      <c r="A35273" s="4" t="s">
        <v>44383</v>
      </c>
      <c r="B35273" s="4" t="s">
        <v>44385</v>
      </c>
      <c r="C35273" s="5" t="str">
        <f>IFERROR(__xludf.DUMMYFUNCTION("GOOGLETRANSLATE(B35273,""en"",""zh-CN"")"),"他们分开线并创建多行。")</f>
        <v>他们分开线并创建多行。</v>
      </c>
    </row>
    <row r="35274">
      <c r="A35274" s="4" t="s">
        <v>44383</v>
      </c>
      <c r="B35274" s="4" t="s">
        <v>44386</v>
      </c>
      <c r="C35274" s="5" t="str">
        <f>IFERROR(__xludf.DUMMYFUNCTION("GOOGLETRANSLATE(B35274,""en"",""zh-CN"")"),"他们再次分裂以制作4条不同的行。")</f>
        <v>他们再次分裂以制作4条不同的行。</v>
      </c>
    </row>
    <row r="35275">
      <c r="A35275" s="4" t="s">
        <v>44383</v>
      </c>
      <c r="B35275" s="4" t="s">
        <v>44387</v>
      </c>
      <c r="C35275" s="5" t="str">
        <f>IFERROR(__xludf.DUMMYFUNCTION("GOOGLETRANSLATE(B35275,""en"",""zh-CN"")"),"所有人都同时完成。")</f>
        <v>所有人都同时完成。</v>
      </c>
    </row>
    <row r="35276">
      <c r="A35276" s="4" t="s">
        <v>44388</v>
      </c>
      <c r="B35276" s="4" t="s">
        <v>44389</v>
      </c>
      <c r="C35276" s="5" t="str">
        <f>IFERROR(__xludf.DUMMYFUNCTION("GOOGLETRANSLATE(B35276,""en"",""zh-CN"")"),"一个人在一个充满人的体育场里扔一个沉重的人，然后人们测量球降落的地方。")</f>
        <v>一个人在一个充满人的体育场里扔一个沉重的人，然后人们测量球降落的地方。</v>
      </c>
    </row>
    <row r="35277">
      <c r="A35277" s="4" t="s">
        <v>44388</v>
      </c>
      <c r="B35277" s="4" t="s">
        <v>44390</v>
      </c>
      <c r="C35277" s="5" t="str">
        <f>IFERROR(__xludf.DUMMYFUNCTION("GOOGLETRANSLATE(B35277,""en"",""zh-CN"")"),"然后，那个男人走路时，记者和摄影师跟随他在场上。")</f>
        <v>然后，那个男人走路时，记者和摄影师跟随他在场上。</v>
      </c>
    </row>
    <row r="35278">
      <c r="A35278" s="4" t="s">
        <v>44388</v>
      </c>
      <c r="B35278" s="4" t="s">
        <v>44391</v>
      </c>
      <c r="C35278" s="5" t="str">
        <f>IFERROR(__xludf.DUMMYFUNCTION("GOOGLETRANSLATE(B35278,""en"",""zh-CN"")"),"之后，当摄影师拍摄他时，男人穿着长袖衬衫。")</f>
        <v>之后，当摄影师拍摄他时，男人穿着长袖衬衫。</v>
      </c>
    </row>
    <row r="35279">
      <c r="A35279" s="4" t="s">
        <v>44392</v>
      </c>
      <c r="B35279" s="4" t="s">
        <v>44393</v>
      </c>
      <c r="C35279" s="5" t="str">
        <f>IFERROR(__xludf.DUMMYFUNCTION("GOOGLETRANSLATE(B35279,""en"",""zh-CN"")"),"一个女人站在一张桌子上，上面有一堆剪刀和用品。")</f>
        <v>一个女人站在一张桌子上，上面有一堆剪刀和用品。</v>
      </c>
    </row>
    <row r="35280">
      <c r="A35280" s="4" t="s">
        <v>44392</v>
      </c>
      <c r="B35280" s="4" t="s">
        <v>44394</v>
      </c>
      <c r="C35280" s="5" t="str">
        <f>IFERROR(__xludf.DUMMYFUNCTION("GOOGLETRANSLATE(B35280,""en"",""zh-CN"")"),"她演示了如何切割玻璃纸并将其缠绕在礼物上。")</f>
        <v>她演示了如何切割玻璃纸并将其缠绕在礼物上。</v>
      </c>
    </row>
    <row r="35281">
      <c r="A35281" s="4" t="s">
        <v>44392</v>
      </c>
      <c r="B35281" s="4" t="s">
        <v>44395</v>
      </c>
      <c r="C35281" s="5" t="str">
        <f>IFERROR(__xludf.DUMMYFUNCTION("GOOGLETRANSLATE(B35281,""en"",""zh-CN"")"),"她在礼物周围绑着一根绳子，展示了最终产品。")</f>
        <v>她在礼物周围绑着一根绳子，展示了最终产品。</v>
      </c>
    </row>
    <row r="35282">
      <c r="A35282" s="4" t="s">
        <v>44396</v>
      </c>
      <c r="B35282" s="4" t="s">
        <v>1251</v>
      </c>
      <c r="C35282" s="5" t="str">
        <f>IFERROR(__xludf.DUMMYFUNCTION("GOOGLETRANSLATE(B35282,""en"",""zh-CN"")"),"显示了剪辑的信用。")</f>
        <v>显示了剪辑的信用。</v>
      </c>
    </row>
    <row r="35283">
      <c r="A35283" s="4" t="s">
        <v>44396</v>
      </c>
      <c r="B35283" s="4" t="s">
        <v>44397</v>
      </c>
      <c r="C35283" s="5" t="str">
        <f>IFERROR(__xludf.DUMMYFUNCTION("GOOGLETRANSLATE(B35283,""en"",""zh-CN"")"),"马尾辫中的一个女孩在说话。")</f>
        <v>马尾辫中的一个女孩在说话。</v>
      </c>
    </row>
    <row r="35284">
      <c r="A35284" s="4" t="s">
        <v>44396</v>
      </c>
      <c r="B35284" s="4" t="s">
        <v>44398</v>
      </c>
      <c r="C35284" s="5" t="str">
        <f>IFERROR(__xludf.DUMMYFUNCTION("GOOGLETRANSLATE(B35284,""en"",""zh-CN"")"),"那个有头发倒下的女孩在浴室里说话，将手放在水槽上。")</f>
        <v>那个有头发倒下的女孩在浴室里说话，将手放在水槽上。</v>
      </c>
    </row>
    <row r="35285">
      <c r="A35285" s="4" t="s">
        <v>44396</v>
      </c>
      <c r="B35285" s="4" t="s">
        <v>44399</v>
      </c>
      <c r="C35285" s="5" t="str">
        <f>IFERROR(__xludf.DUMMYFUNCTION("GOOGLETRANSLATE(B35285,""en"",""zh-CN"")"),"女孩打开水龙头弄湿牙刷。")</f>
        <v>女孩打开水龙头弄湿牙刷。</v>
      </c>
    </row>
    <row r="35286">
      <c r="A35286" s="4" t="s">
        <v>44396</v>
      </c>
      <c r="B35286" s="6" t="s">
        <v>44400</v>
      </c>
      <c r="C35286" s="5" t="str">
        <f>IFERROR(__xludf.DUMMYFUNCTION("GOOGLETRANSLATE(B35286,""en"",""zh-CN"")"),"女孩关掉水龙头，拧开牙膏，然后在牙刷上放一些牙膏。")</f>
        <v>女孩关掉水龙头，拧开牙膏，然后在牙刷上放一些牙膏。</v>
      </c>
    </row>
    <row r="35287">
      <c r="A35287" s="4" t="s">
        <v>44396</v>
      </c>
      <c r="B35287" s="4" t="s">
        <v>44401</v>
      </c>
      <c r="C35287" s="5" t="str">
        <f>IFERROR(__xludf.DUMMYFUNCTION("GOOGLETRANSLATE(B35287,""en"",""zh-CN"")"),"女孩刷牙，吐在水槽里。")</f>
        <v>女孩刷牙，吐在水槽里。</v>
      </c>
    </row>
    <row r="35288">
      <c r="A35288" s="4" t="s">
        <v>44396</v>
      </c>
      <c r="B35288" s="4" t="s">
        <v>44402</v>
      </c>
      <c r="C35288" s="5" t="str">
        <f>IFERROR(__xludf.DUMMYFUNCTION("GOOGLETRANSLATE(B35288,""en"",""zh-CN"")"),"女孩冲洗牙刷，放在水槽侧面。")</f>
        <v>女孩冲洗牙刷，放在水槽侧面。</v>
      </c>
    </row>
    <row r="35289">
      <c r="A35289" s="4" t="s">
        <v>44396</v>
      </c>
      <c r="B35289" s="4" t="s">
        <v>44403</v>
      </c>
      <c r="C35289" s="5" t="str">
        <f>IFERROR(__xludf.DUMMYFUNCTION("GOOGLETRANSLATE(B35289,""en"",""zh-CN"")"),"视频的积分显示在视频图像中。")</f>
        <v>视频的积分显示在视频图像中。</v>
      </c>
    </row>
    <row r="35290">
      <c r="A35290" s="4" t="s">
        <v>44404</v>
      </c>
      <c r="B35290" s="4" t="s">
        <v>33402</v>
      </c>
      <c r="C35290" s="5" t="str">
        <f>IFERROR(__xludf.DUMMYFUNCTION("GOOGLETRANSLATE(B35290,""en"",""zh-CN"")"),"一条大浪正朝着海岸坠毁。")</f>
        <v>一条大浪正朝着海岸坠毁。</v>
      </c>
    </row>
    <row r="35291">
      <c r="A35291" s="4" t="s">
        <v>44404</v>
      </c>
      <c r="B35291" s="4" t="s">
        <v>44405</v>
      </c>
      <c r="C35291" s="5" t="str">
        <f>IFERROR(__xludf.DUMMYFUNCTION("GOOGLETRANSLATE(B35291,""en"",""zh-CN"")"),"人们在巨浪后面冲浪。")</f>
        <v>人们在巨浪后面冲浪。</v>
      </c>
    </row>
    <row r="35292">
      <c r="A35292" s="4" t="s">
        <v>44404</v>
      </c>
      <c r="B35292" s="4" t="s">
        <v>44406</v>
      </c>
      <c r="C35292" s="5" t="str">
        <f>IFERROR(__xludf.DUMMYFUNCTION("GOOGLETRANSLATE(B35292,""en"",""zh-CN"")"),"冲浪者冲浪时保持平衡，并在第二波浪潮之下。")</f>
        <v>冲浪者冲浪时保持平衡，并在第二波浪潮之下。</v>
      </c>
    </row>
    <row r="35293">
      <c r="A35293" s="4" t="s">
        <v>44407</v>
      </c>
      <c r="B35293" s="4" t="s">
        <v>44408</v>
      </c>
      <c r="C35293" s="5" t="str">
        <f>IFERROR(__xludf.DUMMYFUNCTION("GOOGLETRANSLATE(B35293,""en"",""zh-CN"")"),"我们看到开头的屏幕，看到风景和剑。")</f>
        <v>我们看到开头的屏幕，看到风景和剑。</v>
      </c>
    </row>
    <row r="35294">
      <c r="A35294" s="4" t="s">
        <v>44407</v>
      </c>
      <c r="B35294" s="4" t="s">
        <v>44409</v>
      </c>
      <c r="C35294" s="5" t="str">
        <f>IFERROR(__xludf.DUMMYFUNCTION("GOOGLETRANSLATE(B35294,""en"",""zh-CN"")"),"我们看到一位女士说话，然后是一个男人。")</f>
        <v>我们看到一位女士说话，然后是一个男人。</v>
      </c>
    </row>
    <row r="35295">
      <c r="A35295" s="4" t="s">
        <v>44407</v>
      </c>
      <c r="B35295" s="4" t="s">
        <v>44410</v>
      </c>
      <c r="C35295" s="5" t="str">
        <f>IFERROR(__xludf.DUMMYFUNCTION("GOOGLETRANSLATE(B35295,""en"",""zh-CN"")"),"我们看到很多人在滑雪。")</f>
        <v>我们看到很多人在滑雪。</v>
      </c>
    </row>
    <row r="35296">
      <c r="A35296" s="4" t="s">
        <v>44407</v>
      </c>
      <c r="B35296" s="4" t="s">
        <v>44411</v>
      </c>
      <c r="C35296" s="5" t="str">
        <f>IFERROR(__xludf.DUMMYFUNCTION("GOOGLETRANSLATE(B35296,""en"",""zh-CN"")"),"两个人握手。")</f>
        <v>两个人握手。</v>
      </c>
    </row>
    <row r="35297">
      <c r="A35297" s="4" t="s">
        <v>44407</v>
      </c>
      <c r="B35297" s="4" t="s">
        <v>44412</v>
      </c>
      <c r="C35297" s="5" t="str">
        <f>IFERROR(__xludf.DUMMYFUNCTION("GOOGLETRANSLATE(B35297,""en"",""zh-CN"")"),"采访了一个黑人房间里的男人，然后我们看到一个外面的男人说话。")</f>
        <v>采访了一个黑人房间里的男人，然后我们看到一个外面的男人说话。</v>
      </c>
    </row>
    <row r="35298">
      <c r="A35298" s="4" t="s">
        <v>44407</v>
      </c>
      <c r="B35298" s="4" t="s">
        <v>44413</v>
      </c>
      <c r="C35298" s="5" t="str">
        <f>IFERROR(__xludf.DUMMYFUNCTION("GOOGLETRANSLATE(B35298,""en"",""zh-CN"")"),"人们高五岁，我们看到一位女士说话。")</f>
        <v>人们高五岁，我们看到一位女士说话。</v>
      </c>
    </row>
    <row r="35299">
      <c r="A35299" s="4" t="s">
        <v>44407</v>
      </c>
      <c r="B35299" s="4" t="s">
        <v>44414</v>
      </c>
      <c r="C35299" s="5" t="str">
        <f>IFERROR(__xludf.DUMMYFUNCTION("GOOGLETRANSLATE(B35299,""en"",""zh-CN"")"),"一位女士将手臂伸到空中，被喷洒的人和一个戴着剑的男人。")</f>
        <v>一位女士将手臂伸到空中，被喷洒的人和一个戴着剑的男人。</v>
      </c>
    </row>
    <row r="35300">
      <c r="A35300" s="4" t="s">
        <v>44415</v>
      </c>
      <c r="B35300" s="4" t="s">
        <v>44416</v>
      </c>
      <c r="C35300" s="5" t="str">
        <f>IFERROR(__xludf.DUMMYFUNCTION("GOOGLETRANSLATE(B35300,""en"",""zh-CN"")"),"一个女人在厨房里与相机交谈。")</f>
        <v>一个女人在厨房里与相机交谈。</v>
      </c>
    </row>
    <row r="35301">
      <c r="A35301" s="4" t="s">
        <v>44415</v>
      </c>
      <c r="B35301" s="4" t="s">
        <v>44417</v>
      </c>
      <c r="C35301" s="5" t="str">
        <f>IFERROR(__xludf.DUMMYFUNCTION("GOOGLETRANSLATE(B35301,""en"",""zh-CN"")"),"她打开水，展示如何正确肥皂她的手。")</f>
        <v>她打开水，展示如何正确肥皂她的手。</v>
      </c>
    </row>
    <row r="35302">
      <c r="A35302" s="4" t="s">
        <v>44415</v>
      </c>
      <c r="B35302" s="4" t="s">
        <v>44418</v>
      </c>
      <c r="C35302" s="5" t="str">
        <f>IFERROR(__xludf.DUMMYFUNCTION("GOOGLETRANSLATE(B35302,""en"",""zh-CN"")"),"然后她冲洗并干燥。")</f>
        <v>然后她冲洗并干燥。</v>
      </c>
    </row>
    <row r="35303">
      <c r="A35303" s="4" t="s">
        <v>44419</v>
      </c>
      <c r="B35303" s="4" t="s">
        <v>44420</v>
      </c>
      <c r="C35303" s="5" t="str">
        <f>IFERROR(__xludf.DUMMYFUNCTION("GOOGLETRANSLATE(B35303,""en"",""zh-CN"")"),"骑自行车的人骑自行车并跳过大坡道。")</f>
        <v>骑自行车的人骑自行车并跳过大坡道。</v>
      </c>
    </row>
    <row r="35304">
      <c r="A35304" s="4" t="s">
        <v>44419</v>
      </c>
      <c r="B35304" s="4" t="s">
        <v>44421</v>
      </c>
      <c r="C35304" s="5" t="str">
        <f>IFERROR(__xludf.DUMMYFUNCTION("GOOGLETRANSLATE(B35304,""en"",""zh-CN"")"),"骑自行车的骑自行车在坡道上跳来跳去。")</f>
        <v>骑自行车的骑自行车在坡道上跳来跳去。</v>
      </c>
    </row>
    <row r="35305">
      <c r="A35305" s="4" t="s">
        <v>44419</v>
      </c>
      <c r="B35305" s="4" t="s">
        <v>44422</v>
      </c>
      <c r="C35305" s="5" t="str">
        <f>IFERROR(__xludf.DUMMYFUNCTION("GOOGLETRANSLATE(B35305,""en"",""zh-CN"")"),"四个骑自行车的人赛跑并跳过坡道，怀特的骑自行车的人在比赛中处于领先地位。")</f>
        <v>四个骑自行车的人赛跑并跳过坡道，怀特的骑自行车的人在比赛中处于领先地位。</v>
      </c>
    </row>
    <row r="35306">
      <c r="A35306" s="4" t="s">
        <v>44423</v>
      </c>
      <c r="B35306" s="6" t="s">
        <v>44424</v>
      </c>
      <c r="C35306" s="5" t="str">
        <f>IFERROR(__xludf.DUMMYFUNCTION("GOOGLETRANSLATE(B35306,""en"",""zh-CN"")"),"一个男人和一个女人站在镜头前，一个女人展示了如何正确执行探戈。")</f>
        <v>一个男人和一个女人站在镜头前，一个女人展示了如何正确执行探戈。</v>
      </c>
    </row>
    <row r="35307">
      <c r="A35307" s="4" t="s">
        <v>44423</v>
      </c>
      <c r="B35307" s="6" t="s">
        <v>44425</v>
      </c>
      <c r="C35307" s="5" t="str">
        <f>IFERROR(__xludf.DUMMYFUNCTION("GOOGLETRANSLATE(B35307,""en"",""zh-CN"")"),"她以特定的运动方式将脚伸到手臂上，而男人则从不同的角度进行了同样的操作。")</f>
        <v>她以特定的运动方式将脚伸到手臂上，而男人则从不同的角度进行了同样的操作。</v>
      </c>
    </row>
    <row r="35308">
      <c r="A35308" s="4" t="s">
        <v>44423</v>
      </c>
      <c r="B35308" s="6" t="s">
        <v>44426</v>
      </c>
      <c r="C35308" s="5" t="str">
        <f>IFERROR(__xludf.DUMMYFUNCTION("GOOGLETRANSLATE(B35308,""en"",""zh-CN"")"),"男人和女人最终将他们的指示拼凑在一起，并进行探戈动作。")</f>
        <v>男人和女人最终将他们的指示拼凑在一起，并进行探戈动作。</v>
      </c>
    </row>
    <row r="35309">
      <c r="A35309" s="4" t="s">
        <v>44427</v>
      </c>
      <c r="B35309" s="4" t="s">
        <v>44428</v>
      </c>
      <c r="C35309" s="5" t="str">
        <f>IFERROR(__xludf.DUMMYFUNCTION("GOOGLETRANSLATE(B35309,""en"",""zh-CN"")"),"球员们拿着一只扁平的球拍，朝球奔跑。")</f>
        <v>球员们拿着一只扁平的球拍，朝球奔跑。</v>
      </c>
    </row>
    <row r="35310">
      <c r="A35310" s="4" t="s">
        <v>44427</v>
      </c>
      <c r="B35310" s="6" t="s">
        <v>44429</v>
      </c>
      <c r="C35310" s="5" t="str">
        <f>IFERROR(__xludf.DUMMYFUNCTION("GOOGLETRANSLATE(B35310,""en"",""zh-CN"")"),"球员在球拍上弹跳球，其中一些人用蝙蝠从地面捡起球。")</f>
        <v>球员在球拍上弹跳球，其中一些人用蝙蝠从地面捡起球。</v>
      </c>
    </row>
    <row r="35311">
      <c r="A35311" s="4" t="s">
        <v>44427</v>
      </c>
      <c r="B35311" s="6" t="s">
        <v>44430</v>
      </c>
      <c r="C35311" s="5" t="str">
        <f>IFERROR(__xludf.DUMMYFUNCTION("GOOGLETRANSLATE(B35311,""en"",""zh-CN"")"),"穿着蓝色外套的女孩弹跳了她的球拍，她向前走，但球落在地面上。")</f>
        <v>穿着蓝色外套的女孩弹跳了她的球拍，她向前走，但球落在地面上。</v>
      </c>
    </row>
    <row r="35312">
      <c r="A35312" s="4" t="s">
        <v>44427</v>
      </c>
      <c r="B35312" s="4" t="s">
        <v>44431</v>
      </c>
      <c r="C35312" s="5" t="str">
        <f>IFERROR(__xludf.DUMMYFUNCTION("GOOGLETRANSLATE(B35312,""en"",""zh-CN"")"),"一个黑色背心的女孩正在用她的蝙蝠从地面上捡起球。")</f>
        <v>一个黑色背心的女孩正在用她的蝙蝠从地面上捡起球。</v>
      </c>
    </row>
    <row r="35313">
      <c r="A35313" s="4" t="s">
        <v>44427</v>
      </c>
      <c r="B35313" s="4" t="s">
        <v>44432</v>
      </c>
      <c r="C35313" s="5" t="str">
        <f>IFERROR(__xludf.DUMMYFUNCTION("GOOGLETRANSLATE(B35313,""en"",""zh-CN"")"),"两个女孩正常行走而没有追赶球。")</f>
        <v>两个女孩正常行走而没有追赶球。</v>
      </c>
    </row>
    <row r="35314">
      <c r="A35314" s="4" t="s">
        <v>44427</v>
      </c>
      <c r="B35314" s="4" t="s">
        <v>44433</v>
      </c>
      <c r="C35314" s="5" t="str">
        <f>IFERROR(__xludf.DUMMYFUNCTION("GOOGLETRANSLATE(B35314,""en"",""zh-CN"")"),"场上的一个女孩正试图接球。")</f>
        <v>场上的一个女孩正试图接球。</v>
      </c>
    </row>
    <row r="35315">
      <c r="A35315" s="4" t="s">
        <v>44427</v>
      </c>
      <c r="B35315" s="4" t="s">
        <v>44434</v>
      </c>
      <c r="C35315" s="5" t="str">
        <f>IFERROR(__xludf.DUMMYFUNCTION("GOOGLETRANSLATE(B35315,""en"",""zh-CN"")"),"球员们排队并准备好使用蝙蝠从地面上捡起球。")</f>
        <v>球员们排队并准备好使用蝙蝠从地面上捡起球。</v>
      </c>
    </row>
    <row r="35316">
      <c r="A35316" s="4" t="s">
        <v>44427</v>
      </c>
      <c r="B35316" s="6" t="s">
        <v>44435</v>
      </c>
      <c r="C35316" s="5" t="str">
        <f>IFERROR(__xludf.DUMMYFUNCTION("GOOGLETRANSLATE(B35316,""en"",""zh-CN"")"),"球员们在向前奔跑时开始在球拍上弹跳球，一些球落在地面上，球员必须使用蝙蝠捡起他们。")</f>
        <v>球员们在向前奔跑时开始在球拍上弹跳球，一些球落在地面上，球员必须使用蝙蝠捡起他们。</v>
      </c>
    </row>
    <row r="35317">
      <c r="A35317" s="4" t="s">
        <v>44436</v>
      </c>
      <c r="B35317" s="4" t="s">
        <v>44437</v>
      </c>
      <c r="C35317" s="5" t="str">
        <f>IFERROR(__xludf.DUMMYFUNCTION("GOOGLETRANSLATE(B35317,""en"",""zh-CN"")"),"一个男人正在疾驰而来的运动骑马。")</f>
        <v>一个男人正在疾驰而来的运动骑马。</v>
      </c>
    </row>
    <row r="35318">
      <c r="A35318" s="4" t="s">
        <v>44436</v>
      </c>
      <c r="B35318" s="4" t="s">
        <v>44438</v>
      </c>
      <c r="C35318" s="5" t="str">
        <f>IFERROR(__xludf.DUMMYFUNCTION("GOOGLETRANSLATE(B35318,""en"",""zh-CN"")"),"骑马被认为是一项运动，一项有趣的运动，但仍然有效。")</f>
        <v>骑马被认为是一项运动，一项有趣的运动，但仍然有效。</v>
      </c>
    </row>
    <row r="35319">
      <c r="A35319" s="4" t="s">
        <v>44436</v>
      </c>
      <c r="B35319" s="6" t="s">
        <v>44439</v>
      </c>
      <c r="C35319" s="5" t="str">
        <f>IFERROR(__xludf.DUMMYFUNCTION("GOOGLETRANSLATE(B35319,""en"",""zh-CN"")"),"就像与团队一起工作，您也必须与一匹马一起工作，您必须与不说话的马进行交流。")</f>
        <v>就像与团队一起工作，您也必须与一匹马一起工作，您必须与不说话的马进行交流。</v>
      </c>
    </row>
    <row r="35320">
      <c r="A35320" s="4" t="s">
        <v>44436</v>
      </c>
      <c r="B35320" s="4" t="s">
        <v>44440</v>
      </c>
      <c r="C35320" s="5" t="str">
        <f>IFERROR(__xludf.DUMMYFUNCTION("GOOGLETRANSLATE(B35320,""en"",""zh-CN"")"),"让它知道何时需要更快，何时需要跳跃等等。")</f>
        <v>让它知道何时需要更快，何时需要跳跃等等。</v>
      </c>
    </row>
    <row r="35321">
      <c r="A35321" s="4" t="s">
        <v>44441</v>
      </c>
      <c r="B35321" s="4" t="s">
        <v>44442</v>
      </c>
      <c r="C35321" s="5" t="str">
        <f>IFERROR(__xludf.DUMMYFUNCTION("GOOGLETRANSLATE(B35321,""en"",""zh-CN"")"),"看到一小群人将球沿着水推进进球。")</f>
        <v>看到一小群人将球沿着水推进进球。</v>
      </c>
    </row>
    <row r="35322">
      <c r="A35322" s="4" t="s">
        <v>44441</v>
      </c>
      <c r="B35322" s="4" t="s">
        <v>44443</v>
      </c>
      <c r="C35322" s="5" t="str">
        <f>IFERROR(__xludf.DUMMYFUNCTION("GOOGLETRANSLATE(B35322,""en"",""zh-CN"")"),"人们继续玩球，沿着水游泳。")</f>
        <v>人们继续玩球，沿着水游泳。</v>
      </c>
    </row>
    <row r="35323">
      <c r="A35323" s="4" t="s">
        <v>44441</v>
      </c>
      <c r="B35323" s="4" t="s">
        <v>44444</v>
      </c>
      <c r="C35323" s="5" t="str">
        <f>IFERROR(__xludf.DUMMYFUNCTION("GOOGLETRANSLATE(B35323,""en"",""zh-CN"")"),"球将通过另一个以进球，然后比赛继续进行。")</f>
        <v>球将通过另一个以进球，然后比赛继续进行。</v>
      </c>
    </row>
    <row r="35324">
      <c r="A35324" s="4" t="s">
        <v>44445</v>
      </c>
      <c r="B35324" s="4" t="s">
        <v>44446</v>
      </c>
      <c r="C35324" s="5" t="str">
        <f>IFERROR(__xludf.DUMMYFUNCTION("GOOGLETRANSLATE(B35324,""en"",""zh-CN"")"),"看到一个女人跪在瑜伽垫上，同时向前弯曲。")</f>
        <v>看到一个女人跪在瑜伽垫上，同时向前弯曲。</v>
      </c>
    </row>
    <row r="35325">
      <c r="A35325" s="4" t="s">
        <v>44445</v>
      </c>
      <c r="B35325" s="4" t="s">
        <v>44447</v>
      </c>
      <c r="C35325" s="5" t="str">
        <f>IFERROR(__xludf.DUMMYFUNCTION("GOOGLETRANSLATE(B35325,""en"",""zh-CN"")"),"然后，该名女子将腿移到她面前，然后进一步弯腰。")</f>
        <v>然后，该名女子将腿移到她面前，然后进一步弯腰。</v>
      </c>
    </row>
    <row r="35326">
      <c r="A35326" s="4" t="s">
        <v>44448</v>
      </c>
      <c r="B35326" s="6" t="s">
        <v>44449</v>
      </c>
      <c r="C35326" s="5" t="str">
        <f>IFERROR(__xludf.DUMMYFUNCTION("GOOGLETRANSLATE(B35326,""en"",""zh-CN"")"),"看到一名运动员四处旋转并进行讨论，而在场上的男人则追踪他的得分。")</f>
        <v>看到一名运动员四处旋转并进行讨论，而在场上的男人则追踪他的得分。</v>
      </c>
    </row>
    <row r="35327">
      <c r="A35327" s="4" t="s">
        <v>44448</v>
      </c>
      <c r="B35327" s="4" t="s">
        <v>44450</v>
      </c>
      <c r="C35327" s="5" t="str">
        <f>IFERROR(__xludf.DUMMYFUNCTION("GOOGLETRANSLATE(B35327,""en"",""zh-CN"")"),"运动员走开了，另一个逐步进行了讨论。")</f>
        <v>运动员走开了，另一个逐步进行了讨论。</v>
      </c>
    </row>
    <row r="35328">
      <c r="A35328" s="4" t="s">
        <v>44448</v>
      </c>
      <c r="B35328" s="6" t="s">
        <v>44451</v>
      </c>
      <c r="C35328" s="5" t="str">
        <f>IFERROR(__xludf.DUMMYFUNCTION("GOOGLETRANSLATE(B35328,""en"",""zh-CN"")"),"又有几个人加紧扔这个物体，最后一位运动员赢得了胜利并走开。")</f>
        <v>又有几个人加紧扔这个物体，最后一位运动员赢得了胜利并走开。</v>
      </c>
    </row>
    <row r="35329">
      <c r="A35329" s="4" t="s">
        <v>44452</v>
      </c>
      <c r="B35329" s="4" t="s">
        <v>44453</v>
      </c>
      <c r="C35329" s="5" t="str">
        <f>IFERROR(__xludf.DUMMYFUNCTION("GOOGLETRANSLATE(B35329,""en"",""zh-CN"")"),"秋千上有两个孩子，而两个老太太站在他们旁边的摇摆。")</f>
        <v>秋千上有两个孩子，而两个老太太站在他们旁边的摇摆。</v>
      </c>
    </row>
    <row r="35330">
      <c r="A35330" s="4" t="s">
        <v>44452</v>
      </c>
      <c r="B35330" s="6" t="s">
        <v>44454</v>
      </c>
      <c r="C35330" s="5" t="str">
        <f>IFERROR(__xludf.DUMMYFUNCTION("GOOGLETRANSLATE(B35330,""en"",""zh-CN"")"),"粉红色上衣的老太太消失了，而另一个紫色的老妇继续摆动男孩。")</f>
        <v>粉红色上衣的老太太消失了，而另一个紫色的老妇继续摆动男孩。</v>
      </c>
    </row>
    <row r="35331">
      <c r="A35331" s="4" t="s">
        <v>44452</v>
      </c>
      <c r="B35331" s="6" t="s">
        <v>44455</v>
      </c>
      <c r="C35331" s="5" t="str">
        <f>IFERROR(__xludf.DUMMYFUNCTION("GOOGLETRANSLATE(B35331,""en"",""zh-CN"")"),"这位穿着粉红色衬衫的老太太带着一张纸回去，在她身上扇动一些空气，而一个小孩正走向长凳的前面。")</f>
        <v>这位穿着粉红色衬衫的老太太带着一张纸回去，在她身上扇动一些空气，而一个小孩正走向长凳的前面。</v>
      </c>
    </row>
    <row r="35332">
      <c r="A35332" s="4" t="s">
        <v>44452</v>
      </c>
      <c r="B35332" s="6" t="s">
        <v>44456</v>
      </c>
      <c r="C35332" s="5" t="str">
        <f>IFERROR(__xludf.DUMMYFUNCTION("GOOGLETRANSLATE(B35332,""en"",""zh-CN"")"),"紫色的老太太继续摇摆这个男孩，而粉红色顶部的老太太站在秋千的红色酒吧里。")</f>
        <v>紫色的老太太继续摇摆这个男孩，而粉红色顶部的老太太站在秋千的红色酒吧里。</v>
      </c>
    </row>
    <row r="35333">
      <c r="A35333" s="4" t="s">
        <v>44452</v>
      </c>
      <c r="B35333" s="6" t="s">
        <v>44457</v>
      </c>
      <c r="C35333" s="5" t="str">
        <f>IFERROR(__xludf.DUMMYFUNCTION("GOOGLETRANSLATE(B35333,""en"",""zh-CN"")"),"这位穿着粉红色顶部的女士穿着白衬衫在另一个男孩的面前，与他交谈，开始将他推到秋千上，给他一个吻，并继续从挥杆旁边摆动他。")</f>
        <v>这位穿着粉红色顶部的女士穿着白衬衫在另一个男孩的面前，与他交谈，开始将他推到秋千上，给他一个吻，并继续从挥杆旁边摆动他。</v>
      </c>
    </row>
    <row r="35334">
      <c r="A35334" s="4" t="s">
        <v>44452</v>
      </c>
      <c r="B35334" s="4" t="s">
        <v>44458</v>
      </c>
      <c r="C35334" s="5" t="str">
        <f>IFERROR(__xludf.DUMMYFUNCTION("GOOGLETRANSLATE(B35334,""en"",""zh-CN"")"),"替补席附近的Littler女孩坐在蓝色的地面上捡起东西。")</f>
        <v>替补席附近的Littler女孩坐在蓝色的地面上捡起东西。</v>
      </c>
    </row>
    <row r="35335">
      <c r="A35335" s="4" t="s">
        <v>44459</v>
      </c>
      <c r="B35335" s="4" t="s">
        <v>44460</v>
      </c>
      <c r="C35335" s="5" t="str">
        <f>IFERROR(__xludf.DUMMYFUNCTION("GOOGLETRANSLATE(B35335,""en"",""zh-CN"")"),"一个戴着眼镜的男人在舞台上。")</f>
        <v>一个戴着眼镜的男人在舞台上。</v>
      </c>
    </row>
    <row r="35336">
      <c r="A35336" s="4" t="s">
        <v>44459</v>
      </c>
      <c r="B35336" s="4" t="s">
        <v>44461</v>
      </c>
      <c r="C35336" s="5" t="str">
        <f>IFERROR(__xludf.DUMMYFUNCTION("GOOGLETRANSLATE(B35336,""en"",""zh-CN"")"),"他向董事会投掷飞镖，试图在人群拍手时击中目标。")</f>
        <v>他向董事会投掷飞镖，试图在人群拍手时击中目标。</v>
      </c>
    </row>
    <row r="35337">
      <c r="A35337" s="4" t="s">
        <v>44459</v>
      </c>
      <c r="B35337" s="4" t="s">
        <v>44462</v>
      </c>
      <c r="C35337" s="5" t="str">
        <f>IFERROR(__xludf.DUMMYFUNCTION("GOOGLETRANSLATE(B35337,""en"",""zh-CN"")"),"另一个竞争对手也会做同样的事情。")</f>
        <v>另一个竞争对手也会做同样的事情。</v>
      </c>
    </row>
    <row r="35338">
      <c r="A35338" s="4" t="s">
        <v>44459</v>
      </c>
      <c r="B35338" s="4" t="s">
        <v>44463</v>
      </c>
      <c r="C35338" s="5" t="str">
        <f>IFERROR(__xludf.DUMMYFUNCTION("GOOGLETRANSLATE(B35338,""en"",""zh-CN"")"),"获胜者随着摄像机闪光灯的庆祝，走到舞台上。")</f>
        <v>获胜者随着摄像机闪光灯的庆祝，走到舞台上。</v>
      </c>
    </row>
    <row r="35339">
      <c r="A35339" s="4" t="s">
        <v>44464</v>
      </c>
      <c r="B35339" s="4" t="s">
        <v>44465</v>
      </c>
      <c r="C35339" s="5" t="str">
        <f>IFERROR(__xludf.DUMMYFUNCTION("GOOGLETRANSLATE(B35339,""en"",""zh-CN"")"),"当相机看着时，看到两个孩子在船的侧面玩耍的洗牌板游戏。")</f>
        <v>当相机看着时，看到两个孩子在船的侧面玩耍的洗牌板游戏。</v>
      </c>
    </row>
    <row r="35340">
      <c r="A35340" s="4" t="s">
        <v>44464</v>
      </c>
      <c r="B35340" s="4" t="s">
        <v>44466</v>
      </c>
      <c r="C35340" s="5" t="str">
        <f>IFERROR(__xludf.DUMMYFUNCTION("GOOGLETRANSLATE(B35340,""en"",""zh-CN"")"),"孩子们在船上的路上上下行动时继续轮流。")</f>
        <v>孩子们在船上的路上上下行动时继续轮流。</v>
      </c>
    </row>
    <row r="35341">
      <c r="A35341" s="4" t="s">
        <v>44467</v>
      </c>
      <c r="B35341" s="4" t="s">
        <v>44468</v>
      </c>
      <c r="C35341" s="5" t="str">
        <f>IFERROR(__xludf.DUMMYFUNCTION("GOOGLETRANSLATE(B35341,""en"",""zh-CN"")"),"当护士坐在医疗办公室旁边时，医生在讲话。")</f>
        <v>当护士坐在医疗办公室旁边时，医生在讲话。</v>
      </c>
    </row>
    <row r="35342">
      <c r="A35342" s="4" t="s">
        <v>44467</v>
      </c>
      <c r="B35342" s="6" t="s">
        <v>44469</v>
      </c>
      <c r="C35342" s="5" t="str">
        <f>IFERROR(__xludf.DUMMYFUNCTION("GOOGLETRANSLATE(B35342,""en"",""zh-CN"")"),"他握住一瓶清洁剂，并用抹布将其擦在女人的脸上，然后再清理清洁。")</f>
        <v>他握住一瓶清洁剂，并用抹布将其擦在女人的脸上，然后再清理清洁。</v>
      </c>
    </row>
    <row r="35343">
      <c r="A35343" s="4" t="s">
        <v>44467</v>
      </c>
      <c r="B35343" s="4" t="s">
        <v>44470</v>
      </c>
      <c r="C35343" s="5" t="str">
        <f>IFERROR(__xludf.DUMMYFUNCTION("GOOGLETRANSLATE(B35343,""en"",""zh-CN"")"),"它也被擦在她的手中。")</f>
        <v>它也被擦在她的手中。</v>
      </c>
    </row>
    <row r="35344">
      <c r="A35344" s="4" t="s">
        <v>44471</v>
      </c>
      <c r="B35344" s="4" t="s">
        <v>44472</v>
      </c>
      <c r="C35344" s="5" t="str">
        <f>IFERROR(__xludf.DUMMYFUNCTION("GOOGLETRANSLATE(B35344,""en"",""zh-CN"")"),"一名厨师站在桌子前，开始在炉子上打开带有锅的炉子。")</f>
        <v>一名厨师站在桌子前，开始在炉子上打开带有锅的炉子。</v>
      </c>
    </row>
    <row r="35345">
      <c r="A35345" s="4" t="s">
        <v>44471</v>
      </c>
      <c r="B35345" s="6" t="s">
        <v>44473</v>
      </c>
      <c r="C35345" s="5" t="str">
        <f>IFERROR(__xludf.DUMMYFUNCTION("GOOGLETRANSLATE(B35345,""en"",""zh-CN"")"),"然后，该男子将各种成分混合在一起，最后将成分放在炉子顶部。")</f>
        <v>然后，该男子将各种成分混合在一起，最后将成分放在炉子顶部。</v>
      </c>
    </row>
    <row r="35346">
      <c r="A35346" s="4" t="s">
        <v>44471</v>
      </c>
      <c r="B35346" s="4" t="s">
        <v>44474</v>
      </c>
      <c r="C35346" s="5" t="str">
        <f>IFERROR(__xludf.DUMMYFUNCTION("GOOGLETRANSLATE(B35346,""en"",""zh-CN"")"),"他通过制作煎蛋并将其放在盘子上并将其切成薄片来完成盘子。")</f>
        <v>他通过制作煎蛋并将其放在盘子上并将其切成薄片来完成盘子。</v>
      </c>
    </row>
    <row r="35347">
      <c r="A35347" s="4" t="s">
        <v>44475</v>
      </c>
      <c r="B35347" s="4" t="s">
        <v>44476</v>
      </c>
      <c r="C35347" s="5" t="str">
        <f>IFERROR(__xludf.DUMMYFUNCTION("GOOGLETRANSLATE(B35347,""en"",""zh-CN"")"),"人们在一个营地里，有很多骆驼坐在地板上。")</f>
        <v>人们在一个营地里，有很多骆驼坐在地板上。</v>
      </c>
    </row>
    <row r="35348">
      <c r="A35348" s="4" t="s">
        <v>44475</v>
      </c>
      <c r="B35348" s="6" t="s">
        <v>44477</v>
      </c>
      <c r="C35348" s="5" t="str">
        <f>IFERROR(__xludf.DUMMYFUNCTION("GOOGLETRANSLATE(B35348,""en"",""zh-CN"")"),"一个男人正在骑骆驼，开始在一只鸽子派的甜点中行走，而一个人则用绳子带领他们。")</f>
        <v>一个男人正在骑骆驼，开始在一只鸽子派的甜点中行走，而一个人则用绳子带领他们。</v>
      </c>
    </row>
    <row r="35349">
      <c r="A35349" s="4" t="s">
        <v>44475</v>
      </c>
      <c r="B35349" s="4" t="s">
        <v>44478</v>
      </c>
      <c r="C35349" s="5" t="str">
        <f>IFERROR(__xludf.DUMMYFUNCTION("GOOGLETRANSLATE(B35349,""en"",""zh-CN"")"),"骆驼停下来，一个男人正在拍照。")</f>
        <v>骆驼停下来，一个男人正在拍照。</v>
      </c>
    </row>
    <row r="35350">
      <c r="A35350" s="4" t="s">
        <v>44475</v>
      </c>
      <c r="B35350" s="4" t="s">
        <v>44479</v>
      </c>
      <c r="C35350" s="5" t="str">
        <f>IFERROR(__xludf.DUMMYFUNCTION("GOOGLETRANSLATE(B35350,""en"",""zh-CN"")"),"男人正在甜点中骑骆驼。")</f>
        <v>男人正在甜点中骑骆驼。</v>
      </c>
    </row>
    <row r="35351">
      <c r="A35351" s="4" t="s">
        <v>44480</v>
      </c>
      <c r="B35351" s="4" t="s">
        <v>44481</v>
      </c>
      <c r="C35351" s="5" t="str">
        <f>IFERROR(__xludf.DUMMYFUNCTION("GOOGLETRANSLATE(B35351,""en"",""zh-CN"")"),"我们在浴缸中看到一只小狗，顶部标题。")</f>
        <v>我们在浴缸中看到一只小狗，顶部标题。</v>
      </c>
    </row>
    <row r="35352">
      <c r="A35352" s="4" t="s">
        <v>44480</v>
      </c>
      <c r="B35352" s="4" t="s">
        <v>44482</v>
      </c>
      <c r="C35352" s="5" t="str">
        <f>IFERROR(__xludf.DUMMYFUNCTION("GOOGLETRANSLATE(B35352,""en"",""zh-CN"")"),"一个人湿了狗，然后将洗发水放在上面。")</f>
        <v>一个人湿了狗，然后将洗发水放在上面。</v>
      </c>
    </row>
    <row r="35353">
      <c r="A35353" s="4" t="s">
        <v>44480</v>
      </c>
      <c r="B35353" s="4" t="s">
        <v>44483</v>
      </c>
      <c r="C35353" s="5" t="str">
        <f>IFERROR(__xludf.DUMMYFUNCTION("GOOGLETRANSLATE(B35353,""en"",""zh-CN"")"),"该人用手洗狗。")</f>
        <v>该人用手洗狗。</v>
      </c>
    </row>
    <row r="35354">
      <c r="A35354" s="4" t="s">
        <v>44480</v>
      </c>
      <c r="B35354" s="4" t="s">
        <v>44484</v>
      </c>
      <c r="C35354" s="5" t="str">
        <f>IFERROR(__xludf.DUMMYFUNCTION("GOOGLETRANSLATE(B35354,""en"",""zh-CN"")"),"他们站起来，洗他。")</f>
        <v>他们站起来，洗他。</v>
      </c>
    </row>
    <row r="35355">
      <c r="A35355" s="4" t="s">
        <v>44480</v>
      </c>
      <c r="B35355" s="4" t="s">
        <v>44485</v>
      </c>
      <c r="C35355" s="5" t="str">
        <f>IFERROR(__xludf.DUMMYFUNCTION("GOOGLETRANSLATE(B35355,""en"",""zh-CN"")"),"他们从狗身上冲洗肥皂。")</f>
        <v>他们从狗身上冲洗肥皂。</v>
      </c>
    </row>
    <row r="35356">
      <c r="A35356" s="4" t="s">
        <v>44480</v>
      </c>
      <c r="B35356" s="4" t="s">
        <v>44486</v>
      </c>
      <c r="C35356" s="5" t="str">
        <f>IFERROR(__xludf.DUMMYFUNCTION("GOOGLETRANSLATE(B35356,""en"",""zh-CN"")"),"我们看到上面的湿小狗。")</f>
        <v>我们看到上面的湿小狗。</v>
      </c>
    </row>
    <row r="35357">
      <c r="A35357" s="4" t="s">
        <v>44487</v>
      </c>
      <c r="B35357" s="4" t="s">
        <v>44488</v>
      </c>
      <c r="C35357" s="5" t="str">
        <f>IFERROR(__xludf.DUMMYFUNCTION("GOOGLETRANSLATE(B35357,""en"",""zh-CN"")"),"女人正在桌子上打扫衣服。")</f>
        <v>女人正在桌子上打扫衣服。</v>
      </c>
    </row>
    <row r="35358">
      <c r="A35358" s="4" t="s">
        <v>44487</v>
      </c>
      <c r="B35358" s="4" t="s">
        <v>44489</v>
      </c>
      <c r="C35358" s="5" t="str">
        <f>IFERROR(__xludf.DUMMYFUNCTION("GOOGLETRANSLATE(B35358,""en"",""zh-CN"")"),"她把一桶水倒在衣服上。")</f>
        <v>她把一桶水倒在衣服上。</v>
      </c>
    </row>
    <row r="35359">
      <c r="A35359" s="4" t="s">
        <v>44487</v>
      </c>
      <c r="B35359" s="4" t="s">
        <v>44490</v>
      </c>
      <c r="C35359" s="5" t="str">
        <f>IFERROR(__xludf.DUMMYFUNCTION("GOOGLETRANSLATE(B35359,""en"",""zh-CN"")"),"她拿起刷子并擦洗衣服。")</f>
        <v>她拿起刷子并擦洗衣服。</v>
      </c>
    </row>
    <row r="35360">
      <c r="A35360" s="4" t="s">
        <v>44487</v>
      </c>
      <c r="B35360" s="4" t="s">
        <v>44491</v>
      </c>
      <c r="C35360" s="5" t="str">
        <f>IFERROR(__xludf.DUMMYFUNCTION("GOOGLETRANSLATE(B35360,""en"",""zh-CN"")"),"她将更多的水倒在衣服上。")</f>
        <v>她将更多的水倒在衣服上。</v>
      </c>
    </row>
    <row r="35361">
      <c r="A35361" s="4" t="s">
        <v>44487</v>
      </c>
      <c r="B35361" s="4" t="s">
        <v>44492</v>
      </c>
      <c r="C35361" s="5" t="str">
        <f>IFERROR(__xludf.DUMMYFUNCTION("GOOGLETRANSLATE(B35361,""en"",""zh-CN"")"),"她拿起衣服，将其放在她旁边。")</f>
        <v>她拿起衣服，将其放在她旁边。</v>
      </c>
    </row>
    <row r="35362">
      <c r="A35362" s="4" t="s">
        <v>44493</v>
      </c>
      <c r="B35362" s="4" t="s">
        <v>44494</v>
      </c>
      <c r="C35362" s="5" t="str">
        <f>IFERROR(__xludf.DUMMYFUNCTION("GOOGLETRANSLATE(B35362,""en"",""zh-CN"")"),"我们看到一名男性体操运动员准备使用鞍马。")</f>
        <v>我们看到一名男性体操运动员准备使用鞍马。</v>
      </c>
    </row>
    <row r="35363">
      <c r="A35363" s="4" t="s">
        <v>44493</v>
      </c>
      <c r="B35363" s="4" t="s">
        <v>44495</v>
      </c>
      <c r="C35363" s="5" t="str">
        <f>IFERROR(__xludf.DUMMYFUNCTION("GOOGLETRANSLATE(B35363,""en"",""zh-CN"")"),"该男子骑着鞍马，腿上旋转。")</f>
        <v>该男子骑着鞍马，腿上旋转。</v>
      </c>
    </row>
    <row r="35364">
      <c r="A35364" s="4" t="s">
        <v>44493</v>
      </c>
      <c r="B35364" s="4" t="s">
        <v>859</v>
      </c>
      <c r="C35364" s="5" t="str">
        <f>IFERROR(__xludf.DUMMYFUNCTION("GOOGLETRANSLATE(B35364,""en"",""zh-CN"")"),"该男子倒立并卸下。")</f>
        <v>该男子倒立并卸下。</v>
      </c>
    </row>
    <row r="35365">
      <c r="A35365" s="4" t="s">
        <v>44493</v>
      </c>
      <c r="B35365" s="4" t="s">
        <v>44496</v>
      </c>
      <c r="C35365" s="5" t="str">
        <f>IFERROR(__xludf.DUMMYFUNCTION("GOOGLETRANSLATE(B35365,""en"",""zh-CN"")"),"该男子鞠躬开始走开。")</f>
        <v>该男子鞠躬开始走开。</v>
      </c>
    </row>
    <row r="35366">
      <c r="A35366" s="4" t="s">
        <v>44497</v>
      </c>
      <c r="B35366" s="4" t="s">
        <v>44498</v>
      </c>
      <c r="C35366" s="5" t="str">
        <f>IFERROR(__xludf.DUMMYFUNCTION("GOOGLETRANSLATE(B35366,""en"",""zh-CN"")"),"一个女孩站在院子里，抱着耙子。")</f>
        <v>一个女孩站在院子里，抱着耙子。</v>
      </c>
    </row>
    <row r="35367">
      <c r="A35367" s="4" t="s">
        <v>44497</v>
      </c>
      <c r="B35367" s="4" t="s">
        <v>44499</v>
      </c>
      <c r="C35367" s="5" t="str">
        <f>IFERROR(__xludf.DUMMYFUNCTION("GOOGLETRANSLATE(B35367,""en"",""zh-CN"")"),"那个女孩把叶子扔进一堆。")</f>
        <v>那个女孩把叶子扔进一堆。</v>
      </c>
    </row>
    <row r="35368">
      <c r="A35368" s="4" t="s">
        <v>44497</v>
      </c>
      <c r="B35368" s="4" t="s">
        <v>44500</v>
      </c>
      <c r="C35368" s="5" t="str">
        <f>IFERROR(__xludf.DUMMYFUNCTION("GOOGLETRANSLATE(B35368,""en"",""zh-CN"")"),"这个女孩走到蹦床上，得到了不同的耙子，并绕了叶子。")</f>
        <v>这个女孩走到蹦床上，得到了不同的耙子，并绕了叶子。</v>
      </c>
    </row>
    <row r="35369">
      <c r="A35369" s="4" t="s">
        <v>44497</v>
      </c>
      <c r="B35369" s="4" t="s">
        <v>44501</v>
      </c>
      <c r="C35369" s="5" t="str">
        <f>IFERROR(__xludf.DUMMYFUNCTION("GOOGLETRANSLATE(B35369,""en"",""zh-CN"")"),"女孩将耙子放回蹦床上，然后与镜头交谈。")</f>
        <v>女孩将耙子放回蹦床上，然后与镜头交谈。</v>
      </c>
    </row>
    <row r="35370">
      <c r="A35370" s="4" t="s">
        <v>44497</v>
      </c>
      <c r="B35370" s="6" t="s">
        <v>44502</v>
      </c>
      <c r="C35370" s="5" t="str">
        <f>IFERROR(__xludf.DUMMYFUNCTION("GOOGLETRANSLATE(B35370,""en"",""zh-CN"")"),"女孩跳进去，滚来滚去，在站着和相机交谈之前将叶子扔到四处扔。")</f>
        <v>女孩跳进去，滚来滚去，在站着和相机交谈之前将叶子扔到四处扔。</v>
      </c>
    </row>
    <row r="35371">
      <c r="A35371" s="4" t="s">
        <v>44503</v>
      </c>
      <c r="B35371" s="4" t="s">
        <v>44504</v>
      </c>
      <c r="C35371" s="5" t="str">
        <f>IFERROR(__xludf.DUMMYFUNCTION("GOOGLETRANSLATE(B35371,""en"",""zh-CN"")"),"穿着西装的男人正在用麦克风说话。")</f>
        <v>穿着西装的男人正在用麦克风说话。</v>
      </c>
    </row>
    <row r="35372">
      <c r="A35372" s="4" t="s">
        <v>44503</v>
      </c>
      <c r="B35372" s="4" t="s">
        <v>44505</v>
      </c>
      <c r="C35372" s="5" t="str">
        <f>IFERROR(__xludf.DUMMYFUNCTION("GOOGLETRANSLATE(B35372,""en"",""zh-CN"")"),"人们在水中滑水。")</f>
        <v>人们在水中滑水。</v>
      </c>
    </row>
    <row r="35373">
      <c r="A35373" s="4" t="s">
        <v>44503</v>
      </c>
      <c r="B35373" s="4" t="s">
        <v>44506</v>
      </c>
      <c r="C35373" s="5" t="str">
        <f>IFERROR(__xludf.DUMMYFUNCTION("GOOGLETRANSLATE(B35373,""en"",""zh-CN"")"),"一个人跌倒了，被船穿过水。")</f>
        <v>一个人跌倒了，被船穿过水。</v>
      </c>
    </row>
    <row r="35374">
      <c r="A35374" s="4" t="s">
        <v>44503</v>
      </c>
      <c r="B35374" s="4" t="s">
        <v>44507</v>
      </c>
      <c r="C35374" s="5" t="str">
        <f>IFERROR(__xludf.DUMMYFUNCTION("GOOGLETRANSLATE(B35374,""en"",""zh-CN"")"),"一个男人在滑水时转过身来，用脚握住绳子。")</f>
        <v>一个男人在滑水时转过身来，用脚握住绳子。</v>
      </c>
    </row>
    <row r="35375">
      <c r="A35375" s="4" t="s">
        <v>44503</v>
      </c>
      <c r="B35375" s="4" t="s">
        <v>44508</v>
      </c>
      <c r="C35375" s="5" t="str">
        <f>IFERROR(__xludf.DUMMYFUNCTION("GOOGLETRANSLATE(B35375,""en"",""zh-CN"")"),"他坠毁，掉进了水中。")</f>
        <v>他坠毁，掉进了水中。</v>
      </c>
    </row>
    <row r="35376">
      <c r="A35376" s="4" t="s">
        <v>44509</v>
      </c>
      <c r="B35376" s="4" t="s">
        <v>44510</v>
      </c>
      <c r="C35376" s="5" t="str">
        <f>IFERROR(__xludf.DUMMYFUNCTION("GOOGLETRANSLATE(B35376,""en"",""zh-CN"")"),"有两个人在做一个被人圈包围的卡波耶拉。")</f>
        <v>有两个人在做一个被人圈包围的卡波耶拉。</v>
      </c>
    </row>
    <row r="35377">
      <c r="A35377" s="4" t="s">
        <v>44509</v>
      </c>
      <c r="B35377" s="4" t="s">
        <v>44511</v>
      </c>
      <c r="C35377" s="5" t="str">
        <f>IFERROR(__xludf.DUMMYFUNCTION("GOOGLETRANSLATE(B35377,""en"",""zh-CN"")"),"这些人休息一下，再次为人民表演。")</f>
        <v>这些人休息一下，再次为人民表演。</v>
      </c>
    </row>
    <row r="35378">
      <c r="A35378" s="4" t="s">
        <v>44509</v>
      </c>
      <c r="B35378" s="4" t="s">
        <v>44512</v>
      </c>
      <c r="C35378" s="5" t="str">
        <f>IFERROR(__xludf.DUMMYFUNCTION("GOOGLETRANSLATE(B35378,""en"",""zh-CN"")"),"他们握手，离开圈子，让另外两个人进入圈子。")</f>
        <v>他们握手，离开圈子，让另外两个人进入圈子。</v>
      </c>
    </row>
    <row r="35379">
      <c r="A35379" s="4" t="s">
        <v>44509</v>
      </c>
      <c r="B35379" s="4" t="s">
        <v>44513</v>
      </c>
      <c r="C35379" s="5" t="str">
        <f>IFERROR(__xludf.DUMMYFUNCTION("GOOGLETRANSLATE(B35379,""en"",""zh-CN"")"),"一个蓝色的男人，一个灰色的男人在圆圈中间互相打招呼。")</f>
        <v>一个蓝色的男人，一个灰色的男人在圆圈中间互相打招呼。</v>
      </c>
    </row>
    <row r="35380">
      <c r="A35380" s="4" t="s">
        <v>44509</v>
      </c>
      <c r="B35380" s="4" t="s">
        <v>44514</v>
      </c>
      <c r="C35380" s="5" t="str">
        <f>IFERROR(__xludf.DUMMYFUNCTION("GOOGLETRANSLATE(B35380,""en"",""zh-CN"")"),"另外两个男人开始为人群表演Capoeira。")</f>
        <v>另外两个男人开始为人群表演Capoeira。</v>
      </c>
    </row>
    <row r="35381">
      <c r="A35381" s="4" t="s">
        <v>44515</v>
      </c>
      <c r="B35381" s="4" t="s">
        <v>3714</v>
      </c>
      <c r="C35381" s="5" t="str">
        <f>IFERROR(__xludf.DUMMYFUNCTION("GOOGLETRANSLATE(B35381,""en"",""zh-CN"")"),"我们看到一个黑暗的开放屏幕。")</f>
        <v>我们看到一个黑暗的开放屏幕。</v>
      </c>
    </row>
    <row r="35382">
      <c r="A35382" s="4" t="s">
        <v>44515</v>
      </c>
      <c r="B35382" s="4" t="s">
        <v>44516</v>
      </c>
      <c r="C35382" s="5" t="str">
        <f>IFERROR(__xludf.DUMMYFUNCTION("GOOGLETRANSLATE(B35382,""en"",""zh-CN"")"),"我们看到人们修饰各种狗。")</f>
        <v>我们看到人们修饰各种狗。</v>
      </c>
    </row>
    <row r="35383">
      <c r="A35383" s="4" t="s">
        <v>44515</v>
      </c>
      <c r="B35383" s="4" t="s">
        <v>44517</v>
      </c>
      <c r="C35383" s="5" t="str">
        <f>IFERROR(__xludf.DUMMYFUNCTION("GOOGLETRANSLATE(B35383,""en"",""zh-CN"")"),"我们看到一个人在大狗上抚摸皮毛。")</f>
        <v>我们看到一个人在大狗上抚摸皮毛。</v>
      </c>
    </row>
    <row r="35384">
      <c r="A35384" s="4" t="s">
        <v>44515</v>
      </c>
      <c r="B35384" s="4" t="s">
        <v>44518</v>
      </c>
      <c r="C35384" s="5" t="str">
        <f>IFERROR(__xludf.DUMMYFUNCTION("GOOGLETRANSLATE(B35384,""en"",""zh-CN"")"),"我们看到一个人吹干一只狗。")</f>
        <v>我们看到一个人吹干一只狗。</v>
      </c>
    </row>
    <row r="35385">
      <c r="A35385" s="4" t="s">
        <v>44515</v>
      </c>
      <c r="B35385" s="4" t="s">
        <v>44519</v>
      </c>
      <c r="C35385" s="5" t="str">
        <f>IFERROR(__xludf.DUMMYFUNCTION("GOOGLETRANSLATE(B35385,""en"",""zh-CN"")"),"我们看到一只大黑狗被吹干。")</f>
        <v>我们看到一只大黑狗被吹干。</v>
      </c>
    </row>
    <row r="35386">
      <c r="A35386" s="4" t="s">
        <v>44515</v>
      </c>
      <c r="B35386" s="4" t="s">
        <v>44520</v>
      </c>
      <c r="C35386" s="5" t="str">
        <f>IFERROR(__xludf.DUMMYFUNCTION("GOOGLETRANSLATE(B35386,""en"",""zh-CN"")"),"一个男人梳理狗的头发。")</f>
        <v>一个男人梳理狗的头发。</v>
      </c>
    </row>
    <row r="35387">
      <c r="A35387" s="4" t="s">
        <v>44515</v>
      </c>
      <c r="B35387" s="4" t="s">
        <v>44521</v>
      </c>
      <c r="C35387" s="5" t="str">
        <f>IFERROR(__xludf.DUMMYFUNCTION("GOOGLETRANSLATE(B35387,""en"",""zh-CN"")"),"我们看到两个黑暗的结尾屏幕。")</f>
        <v>我们看到两个黑暗的结尾屏幕。</v>
      </c>
    </row>
    <row r="35388">
      <c r="A35388" s="4" t="s">
        <v>44522</v>
      </c>
      <c r="B35388" s="4" t="s">
        <v>44523</v>
      </c>
      <c r="C35388" s="5" t="str">
        <f>IFERROR(__xludf.DUMMYFUNCTION("GOOGLETRANSLATE(B35388,""en"",""zh-CN"")"),"`一个饼干在盘子上显示。")</f>
        <v>`一个饼干在盘子上显示。</v>
      </c>
    </row>
    <row r="35389">
      <c r="A35389" s="4" t="s">
        <v>44522</v>
      </c>
      <c r="B35389" s="4" t="s">
        <v>44524</v>
      </c>
      <c r="C35389" s="5" t="str">
        <f>IFERROR(__xludf.DUMMYFUNCTION("GOOGLETRANSLATE(B35389,""en"",""zh-CN"")"),"成分正在添加到玻璃碗中，并混合在一起。")</f>
        <v>成分正在添加到玻璃碗中，并混合在一起。</v>
      </c>
    </row>
    <row r="35390">
      <c r="A35390" s="4" t="s">
        <v>44522</v>
      </c>
      <c r="B35390" s="4" t="s">
        <v>44525</v>
      </c>
      <c r="C35390" s="5" t="str">
        <f>IFERROR(__xludf.DUMMYFUNCTION("GOOGLETRANSLATE(B35390,""en"",""zh-CN"")"),"巧克力片被添加到面团中。")</f>
        <v>巧克力片被添加到面团中。</v>
      </c>
    </row>
    <row r="35391">
      <c r="A35391" s="4" t="s">
        <v>44522</v>
      </c>
      <c r="B35391" s="4" t="s">
        <v>44526</v>
      </c>
      <c r="C35391" s="5" t="str">
        <f>IFERROR(__xludf.DUMMYFUNCTION("GOOGLETRANSLATE(B35391,""en"",""zh-CN"")"),"面团被压扁到饼干板上。")</f>
        <v>面团被压扁到饼干板上。</v>
      </c>
    </row>
    <row r="35392">
      <c r="A35392" s="4" t="s">
        <v>44522</v>
      </c>
      <c r="B35392" s="4" t="s">
        <v>44527</v>
      </c>
      <c r="C35392" s="5" t="str">
        <f>IFERROR(__xludf.DUMMYFUNCTION("GOOGLETRANSLATE(B35392,""en"",""zh-CN"")"),"巧克力在顶部淋上了毛毛雨。")</f>
        <v>巧克力在顶部淋上了毛毛雨。</v>
      </c>
    </row>
    <row r="35393">
      <c r="A35393" s="4" t="s">
        <v>44522</v>
      </c>
      <c r="B35393" s="4" t="s">
        <v>44528</v>
      </c>
      <c r="C35393" s="5" t="str">
        <f>IFERROR(__xludf.DUMMYFUNCTION("GOOGLETRANSLATE(B35393,""en"",""zh-CN"")"),"糖果放在饼干的顶部。")</f>
        <v>糖果放在饼干的顶部。</v>
      </c>
    </row>
    <row r="35394">
      <c r="A35394" s="4" t="s">
        <v>44522</v>
      </c>
      <c r="B35394" s="4" t="s">
        <v>44529</v>
      </c>
      <c r="C35394" s="5" t="str">
        <f>IFERROR(__xludf.DUMMYFUNCTION("GOOGLETRANSLATE(B35394,""en"",""zh-CN"")"),"饼干被切割并放在盘子上。")</f>
        <v>饼干被切割并放在盘子上。</v>
      </c>
    </row>
    <row r="35395">
      <c r="A35395" s="4" t="s">
        <v>44522</v>
      </c>
      <c r="B35395" s="4" t="s">
        <v>44530</v>
      </c>
      <c r="C35395" s="5" t="str">
        <f>IFERROR(__xludf.DUMMYFUNCTION("GOOGLETRANSLATE(B35395,""en"",""zh-CN"")"),"叉显示了一个叉子。")</f>
        <v>叉显示了一个叉子。</v>
      </c>
    </row>
    <row r="35396">
      <c r="A35396" s="4" t="s">
        <v>44531</v>
      </c>
      <c r="B35396" s="4" t="s">
        <v>44532</v>
      </c>
      <c r="C35396" s="5" t="str">
        <f>IFERROR(__xludf.DUMMYFUNCTION("GOOGLETRANSLATE(B35396,""en"",""zh-CN"")"),"一个女人坐在一个摊位里。")</f>
        <v>一个女人坐在一个摊位里。</v>
      </c>
    </row>
    <row r="35397">
      <c r="A35397" s="4" t="s">
        <v>44531</v>
      </c>
      <c r="B35397" s="4" t="s">
        <v>44533</v>
      </c>
      <c r="C35397" s="5" t="str">
        <f>IFERROR(__xludf.DUMMYFUNCTION("GOOGLETRANSLATE(B35397,""en"",""zh-CN"")"),"她的小女孩在脸上推了一个香草冰淇淋蛋筒，笑了。")</f>
        <v>她的小女孩在脸上推了一个香草冰淇淋蛋筒，笑了。</v>
      </c>
    </row>
    <row r="35398">
      <c r="A35398" s="4" t="s">
        <v>44531</v>
      </c>
      <c r="B35398" s="4" t="s">
        <v>44534</v>
      </c>
      <c r="C35398" s="5" t="str">
        <f>IFERROR(__xludf.DUMMYFUNCTION("GOOGLETRANSLATE(B35398,""en"",""zh-CN"")"),"这个女孩继续这样做，女人不得不擦几次嘴和鼻子。")</f>
        <v>这个女孩继续这样做，女人不得不擦几次嘴和鼻子。</v>
      </c>
    </row>
    <row r="35399">
      <c r="A35399" s="4" t="s">
        <v>44535</v>
      </c>
      <c r="B35399" s="4" t="s">
        <v>44536</v>
      </c>
      <c r="C35399" s="5" t="str">
        <f>IFERROR(__xludf.DUMMYFUNCTION("GOOGLETRANSLATE(B35399,""en"",""zh-CN"")"),"玩家为小鸟服务开始比赛。")</f>
        <v>玩家为小鸟服务开始比赛。</v>
      </c>
    </row>
    <row r="35400">
      <c r="A35400" s="4" t="s">
        <v>44535</v>
      </c>
      <c r="B35400" s="4" t="s">
        <v>44537</v>
      </c>
      <c r="C35400" s="5" t="str">
        <f>IFERROR(__xludf.DUMMYFUNCTION("GOOGLETRANSLATE(B35400,""en"",""zh-CN"")"),"两支球队参加了体育馆的羽毛球比赛。")</f>
        <v>两支球队参加了体育馆的羽毛球比赛。</v>
      </c>
    </row>
    <row r="35401">
      <c r="A35401" s="4" t="s">
        <v>44535</v>
      </c>
      <c r="B35401" s="4" t="s">
        <v>44538</v>
      </c>
      <c r="C35401" s="5" t="str">
        <f>IFERROR(__xludf.DUMMYFUNCTION("GOOGLETRANSLATE(B35401,""en"",""zh-CN"")"),"球队在比赛中有很长的排球。")</f>
        <v>球队在比赛中有很长的排球。</v>
      </c>
    </row>
    <row r="35402">
      <c r="A35402" s="4" t="s">
        <v>44535</v>
      </c>
      <c r="B35402" s="4" t="s">
        <v>44539</v>
      </c>
      <c r="C35402" s="5" t="str">
        <f>IFERROR(__xludf.DUMMYFUNCTION("GOOGLETRANSLATE(B35402,""en"",""zh-CN"")"),"玩家猛烈地刺入小鸟，得分。")</f>
        <v>玩家猛烈地刺入小鸟，得分。</v>
      </c>
    </row>
    <row r="35403">
      <c r="A35403" s="4" t="s">
        <v>44540</v>
      </c>
      <c r="B35403" s="4" t="s">
        <v>44541</v>
      </c>
      <c r="C35403" s="5" t="str">
        <f>IFERROR(__xludf.DUMMYFUNCTION("GOOGLETRANSLATE(B35403,""en"",""zh-CN"")"),"显示了一名拿着寻呼机的相扑战士。")</f>
        <v>显示了一名拿着寻呼机的相扑战士。</v>
      </c>
    </row>
    <row r="35404">
      <c r="A35404" s="4" t="s">
        <v>44540</v>
      </c>
      <c r="B35404" s="4" t="s">
        <v>44542</v>
      </c>
      <c r="C35404" s="5" t="str">
        <f>IFERROR(__xludf.DUMMYFUNCTION("GOOGLETRANSLATE(B35404,""en"",""zh-CN"")"),"显示了一个较大的相扑战士，拿着另一个寻呼机。")</f>
        <v>显示了一个较大的相扑战士，拿着另一个寻呼机。</v>
      </c>
    </row>
    <row r="35405">
      <c r="A35405" s="4" t="s">
        <v>44540</v>
      </c>
      <c r="B35405" s="4" t="s">
        <v>44543</v>
      </c>
      <c r="C35405" s="5" t="str">
        <f>IFERROR(__xludf.DUMMYFUNCTION("GOOGLETRANSLATE(B35405,""en"",""zh-CN"")"),"相扑战士面对面，较大的勇士坐在身上，使较小的战士消失了。")</f>
        <v>相扑战士面对面，较大的勇士坐在身上，使较小的战士消失了。</v>
      </c>
    </row>
    <row r="35406">
      <c r="A35406" s="4" t="s">
        <v>44544</v>
      </c>
      <c r="B35406" s="6" t="s">
        <v>44545</v>
      </c>
      <c r="C35406" s="5" t="str">
        <f>IFERROR(__xludf.DUMMYFUNCTION("GOOGLETRANSLATE(B35406,""en"",""zh-CN"")"),"一个摄像机在一匹马的照片周围摇晃，然后是一个人用马刷和吸尘的头发。")</f>
        <v>一个摄像机在一匹马的照片周围摇晃，然后是一个人用马刷和吸尘的头发。</v>
      </c>
    </row>
    <row r="35407">
      <c r="A35407" s="4" t="s">
        <v>44544</v>
      </c>
      <c r="B35407" s="6" t="s">
        <v>44546</v>
      </c>
      <c r="C35407" s="5" t="str">
        <f>IFERROR(__xludf.DUMMYFUNCTION("GOOGLETRANSLATE(B35407,""en"",""zh-CN"")"),"该人继续刷牙和吸尘头发，并以两者的图片结束。")</f>
        <v>该人继续刷牙和吸尘头发，并以两者的图片结束。</v>
      </c>
    </row>
    <row r="35408">
      <c r="A35408" s="4" t="s">
        <v>44547</v>
      </c>
      <c r="B35408" s="4" t="s">
        <v>44548</v>
      </c>
      <c r="C35408" s="5" t="str">
        <f>IFERROR(__xludf.DUMMYFUNCTION("GOOGLETRANSLATE(B35408,""en"",""zh-CN"")"),"一个男人和一个女人坐在钢琴前一起弹奏。")</f>
        <v>一个男人和一个女人坐在钢琴前一起弹奏。</v>
      </c>
    </row>
    <row r="35409">
      <c r="A35409" s="4" t="s">
        <v>44547</v>
      </c>
      <c r="B35409" s="4" t="s">
        <v>44549</v>
      </c>
      <c r="C35409" s="5" t="str">
        <f>IFERROR(__xludf.DUMMYFUNCTION("GOOGLETRANSLATE(B35409,""en"",""zh-CN"")"),"人们聚集在钢琴周围，看着坐在钢琴上的人们。")</f>
        <v>人们聚集在钢琴周围，看着坐在钢琴上的人们。</v>
      </c>
    </row>
    <row r="35410">
      <c r="A35410" s="4" t="s">
        <v>44547</v>
      </c>
      <c r="B35410" s="4" t="s">
        <v>44550</v>
      </c>
      <c r="C35410" s="5" t="str">
        <f>IFERROR(__xludf.DUMMYFUNCTION("GOOGLETRANSLATE(B35410,""en"",""zh-CN"")"),"钢琴上的人们站着，改变钢琴福特的位置。")</f>
        <v>钢琴上的人们站着，改变钢琴福特的位置。</v>
      </c>
    </row>
    <row r="35411">
      <c r="A35411" s="4" t="s">
        <v>44551</v>
      </c>
      <c r="B35411" s="4" t="s">
        <v>44552</v>
      </c>
      <c r="C35411" s="5" t="str">
        <f>IFERROR(__xludf.DUMMYFUNCTION("GOOGLETRANSLATE(B35411,""en"",""zh-CN"")"),"一个穿着冬季装备的男人正坐在冬天的一个冷冻湖泊上。")</f>
        <v>一个穿着冬季装备的男人正坐在冬天的一个冷冻湖泊上。</v>
      </c>
    </row>
    <row r="35412">
      <c r="A35412" s="4" t="s">
        <v>44551</v>
      </c>
      <c r="B35412" s="4" t="s">
        <v>44553</v>
      </c>
      <c r="C35412" s="5" t="str">
        <f>IFERROR(__xludf.DUMMYFUNCTION("GOOGLETRANSLATE(B35412,""en"",""zh-CN"")"),"他坐在那里，坐在冷冻湖上钓鱼设备。")</f>
        <v>他坐在那里，坐在冷冻湖上钓鱼设备。</v>
      </c>
    </row>
    <row r="35413">
      <c r="A35413" s="4" t="s">
        <v>44551</v>
      </c>
      <c r="B35413" s="4" t="s">
        <v>44554</v>
      </c>
      <c r="C35413" s="5" t="str">
        <f>IFERROR(__xludf.DUMMYFUNCTION("GOOGLETRANSLATE(B35413,""en"",""zh-CN"")"),"他用诱饵钓鱼并捕获了中大小的灰鱼。")</f>
        <v>他用诱饵钓鱼并捕获了中大小的灰鱼。</v>
      </c>
    </row>
    <row r="35414">
      <c r="A35414" s="4" t="s">
        <v>44551</v>
      </c>
      <c r="B35414" s="4" t="s">
        <v>44555</v>
      </c>
      <c r="C35414" s="5" t="str">
        <f>IFERROR(__xludf.DUMMYFUNCTION("GOOGLETRANSLATE(B35414,""en"",""zh-CN"")"),"他展示了他捕获的两条鱼。")</f>
        <v>他展示了他捕获的两条鱼。</v>
      </c>
    </row>
    <row r="35415">
      <c r="A35415" s="4" t="s">
        <v>44551</v>
      </c>
      <c r="B35415" s="4" t="s">
        <v>44556</v>
      </c>
      <c r="C35415" s="5" t="str">
        <f>IFERROR(__xludf.DUMMYFUNCTION("GOOGLETRANSLATE(B35415,""en"",""zh-CN"")"),"然后，他将渔网放在湖中的一个洞中，继续钓鱼。")</f>
        <v>然后，他将渔网放在湖中的一个洞中，继续钓鱼。</v>
      </c>
    </row>
    <row r="35416">
      <c r="A35416" s="4" t="s">
        <v>44551</v>
      </c>
      <c r="B35416" s="4" t="s">
        <v>44557</v>
      </c>
      <c r="C35416" s="5" t="str">
        <f>IFERROR(__xludf.DUMMYFUNCTION("GOOGLETRANSLATE(B35416,""en"",""zh-CN"")"),"他抓住了另一条深灰色的鱼，然后将其扔在盒子里。")</f>
        <v>他抓住了另一条深灰色的鱼，然后将其扔在盒子里。</v>
      </c>
    </row>
    <row r="35417">
      <c r="A35417" s="4" t="s">
        <v>44551</v>
      </c>
      <c r="B35417" s="4" t="s">
        <v>44558</v>
      </c>
      <c r="C35417" s="5" t="str">
        <f>IFERROR(__xludf.DUMMYFUNCTION("GOOGLETRANSLATE(B35417,""en"",""zh-CN"")"),"他继续钓鱼，并在同一洞中捕获更多的鱼。")</f>
        <v>他继续钓鱼，并在同一洞中捕获更多的鱼。</v>
      </c>
    </row>
    <row r="35418">
      <c r="A35418" s="4" t="s">
        <v>44551</v>
      </c>
      <c r="B35418" s="4" t="s">
        <v>44559</v>
      </c>
      <c r="C35418" s="5" t="str">
        <f>IFERROR(__xludf.DUMMYFUNCTION("GOOGLETRANSLATE(B35418,""en"",""zh-CN"")"),"他用白色的水桶收集鱼。")</f>
        <v>他用白色的水桶收集鱼。</v>
      </c>
    </row>
    <row r="35419">
      <c r="A35419" s="4" t="s">
        <v>44560</v>
      </c>
      <c r="B35419" s="4" t="s">
        <v>44561</v>
      </c>
      <c r="C35419" s="5" t="str">
        <f>IFERROR(__xludf.DUMMYFUNCTION("GOOGLETRANSLATE(B35419,""en"",""zh-CN"")"),"女人站在轨道上。")</f>
        <v>女人站在轨道上。</v>
      </c>
    </row>
    <row r="35420">
      <c r="A35420" s="4" t="s">
        <v>44560</v>
      </c>
      <c r="B35420" s="4" t="s">
        <v>44562</v>
      </c>
      <c r="C35420" s="5" t="str">
        <f>IFERROR(__xludf.DUMMYFUNCTION("GOOGLETRANSLATE(B35420,""en"",""zh-CN"")"),"她在赛道上弯腰。")</f>
        <v>她在赛道上弯腰。</v>
      </c>
    </row>
    <row r="35421">
      <c r="A35421" s="4" t="s">
        <v>44560</v>
      </c>
      <c r="B35421" s="4" t="s">
        <v>44563</v>
      </c>
      <c r="C35421" s="5" t="str">
        <f>IFERROR(__xludf.DUMMYFUNCTION("GOOGLETRANSLATE(B35421,""en"",""zh-CN"")"),"然后，她沿着赛道跑。")</f>
        <v>然后，她沿着赛道跑。</v>
      </c>
    </row>
    <row r="35422">
      <c r="A35422" s="4" t="s">
        <v>44560</v>
      </c>
      <c r="B35422" s="4" t="s">
        <v>44564</v>
      </c>
      <c r="C35422" s="5" t="str">
        <f>IFERROR(__xludf.DUMMYFUNCTION("GOOGLETRANSLATE(B35422,""en"",""zh-CN"")"),"她跳了起来，降落在沙滩上。")</f>
        <v>她跳了起来，降落在沙滩上。</v>
      </c>
    </row>
    <row r="35423">
      <c r="A35423" s="4" t="s">
        <v>44565</v>
      </c>
      <c r="B35423" s="4" t="s">
        <v>44566</v>
      </c>
      <c r="C35423" s="5" t="str">
        <f>IFERROR(__xludf.DUMMYFUNCTION("GOOGLETRANSLATE(B35423,""en"",""zh-CN"")"),"一个男人坐在水中的波浪跑步者上。")</f>
        <v>一个男人坐在水中的波浪跑步者上。</v>
      </c>
    </row>
    <row r="35424">
      <c r="A35424" s="4" t="s">
        <v>44565</v>
      </c>
      <c r="B35424" s="4" t="s">
        <v>44567</v>
      </c>
      <c r="C35424" s="5" t="str">
        <f>IFERROR(__xludf.DUMMYFUNCTION("GOOGLETRANSLATE(B35424,""en"",""zh-CN"")"),"一个人在水中的大波浪上冲浪。")</f>
        <v>一个人在水中的大波浪上冲浪。</v>
      </c>
    </row>
    <row r="35425">
      <c r="A35425" s="4" t="s">
        <v>44565</v>
      </c>
      <c r="B35425" s="4" t="s">
        <v>44568</v>
      </c>
      <c r="C35425" s="5" t="str">
        <f>IFERROR(__xludf.DUMMYFUNCTION("GOOGLETRANSLATE(B35425,""en"",""zh-CN"")"),"海浪坠毁在冲浪者上。")</f>
        <v>海浪坠毁在冲浪者上。</v>
      </c>
    </row>
    <row r="35426">
      <c r="A35426" s="4" t="s">
        <v>44569</v>
      </c>
      <c r="B35426" s="4" t="s">
        <v>44570</v>
      </c>
      <c r="C35426" s="5" t="str">
        <f>IFERROR(__xludf.DUMMYFUNCTION("GOOGLETRANSLATE(B35426,""en"",""zh-CN"")"),"一个女人和男人在餐厅外挑衅地跳舞。")</f>
        <v>一个女人和男人在餐厅外挑衅地跳舞。</v>
      </c>
    </row>
    <row r="35427">
      <c r="A35427" s="4" t="s">
        <v>44569</v>
      </c>
      <c r="B35427" s="4" t="s">
        <v>44571</v>
      </c>
      <c r="C35427" s="5" t="str">
        <f>IFERROR(__xludf.DUMMYFUNCTION("GOOGLETRANSLATE(B35427,""en"",""zh-CN"")"),"她穿着一件非常性感的短裙子，用高跟鞋上下踢腿。")</f>
        <v>她穿着一件非常性感的短裙子，用高跟鞋上下踢腿。</v>
      </c>
    </row>
    <row r="35428">
      <c r="A35428" s="4" t="s">
        <v>44569</v>
      </c>
      <c r="B35428" s="4" t="s">
        <v>44572</v>
      </c>
      <c r="C35428" s="5" t="str">
        <f>IFERROR(__xludf.DUMMYFUNCTION("GOOGLETRANSLATE(B35428,""en"",""zh-CN"")"),"人们正在餐厅走出OD。")</f>
        <v>人们正在餐厅走出OD。</v>
      </c>
    </row>
    <row r="35429">
      <c r="A35429" s="4" t="s">
        <v>44569</v>
      </c>
      <c r="B35429" s="4" t="s">
        <v>44573</v>
      </c>
      <c r="C35429" s="5" t="str">
        <f>IFERROR(__xludf.DUMMYFUNCTION("GOOGLETRANSLATE(B35429,""en"",""zh-CN"")"),"其中一名工人坐在凳子上吸烟，直到他们在地面上结束舞蹈。")</f>
        <v>其中一名工人坐在凳子上吸烟，直到他们在地面上结束舞蹈。</v>
      </c>
    </row>
    <row r="35430">
      <c r="A35430" s="4" t="s">
        <v>44574</v>
      </c>
      <c r="B35430" s="4" t="s">
        <v>44575</v>
      </c>
      <c r="C35430" s="5" t="str">
        <f>IFERROR(__xludf.DUMMYFUNCTION("GOOGLETRANSLATE(B35430,""en"",""zh-CN"")"),"几个人正在用棍棒击中乐器。")</f>
        <v>几个人正在用棍棒击中乐器。</v>
      </c>
    </row>
    <row r="35431">
      <c r="A35431" s="4" t="s">
        <v>44574</v>
      </c>
      <c r="B35431" s="4" t="s">
        <v>44576</v>
      </c>
      <c r="C35431" s="5" t="str">
        <f>IFERROR(__xludf.DUMMYFUNCTION("GOOGLETRANSLATE(B35431,""en"",""zh-CN"")"),"两个人确实在彼此面前翻转。")</f>
        <v>两个人确实在彼此面前翻转。</v>
      </c>
    </row>
    <row r="35432">
      <c r="A35432" s="4" t="s">
        <v>44574</v>
      </c>
      <c r="B35432" s="4" t="s">
        <v>44577</v>
      </c>
      <c r="C35432" s="5" t="str">
        <f>IFERROR(__xludf.DUMMYFUNCTION("GOOGLETRANSLATE(B35432,""en"",""zh-CN"")"),"又有几个人似乎正在做某种武术舞蹈。")</f>
        <v>又有几个人似乎正在做某种武术舞蹈。</v>
      </c>
    </row>
    <row r="35433">
      <c r="A35433" s="4" t="s">
        <v>44574</v>
      </c>
      <c r="B35433" s="4" t="s">
        <v>44578</v>
      </c>
      <c r="C35433" s="5" t="str">
        <f>IFERROR(__xludf.DUMMYFUNCTION("GOOGLETRANSLATE(B35433,""en"",""zh-CN"")"),"他们通过鼓掌旁观者来摆出他们。")</f>
        <v>他们通过鼓掌旁观者来摆出他们。</v>
      </c>
    </row>
    <row r="35434">
      <c r="A35434" s="4" t="s">
        <v>44579</v>
      </c>
      <c r="B35434" s="4" t="s">
        <v>44580</v>
      </c>
      <c r="C35434" s="5" t="str">
        <f>IFERROR(__xludf.DUMMYFUNCTION("GOOGLETRANSLATE(B35434,""en"",""zh-CN"")"),"看到一个男人站在进球前，拿着棍子并与镜头说话。")</f>
        <v>看到一个男人站在进球前，拿着棍子并与镜头说话。</v>
      </c>
    </row>
    <row r="35435">
      <c r="A35435" s="4" t="s">
        <v>44579</v>
      </c>
      <c r="B35435" s="4" t="s">
        <v>44581</v>
      </c>
      <c r="C35435" s="5" t="str">
        <f>IFERROR(__xludf.DUMMYFUNCTION("GOOGLETRANSLATE(B35435,""en"",""zh-CN"")"),"展示了他的几张镜头，他演示了如何正确成为守门员。")</f>
        <v>展示了他的几张镜头，他演示了如何正确成为守门员。</v>
      </c>
    </row>
    <row r="35436">
      <c r="A35436" s="4" t="s">
        <v>44579</v>
      </c>
      <c r="B35436" s="6" t="s">
        <v>44582</v>
      </c>
      <c r="C35436" s="5" t="str">
        <f>IFERROR(__xludf.DUMMYFUNCTION("GOOGLETRANSLATE(B35436,""en"",""zh-CN"")"),"他在移动棍子时向后移，同时仍然举起手臂并与镜头说话。")</f>
        <v>他在移动棍子时向后移，同时仍然举起手臂并与镜头说话。</v>
      </c>
    </row>
    <row r="35437">
      <c r="A35437" s="4" t="s">
        <v>44583</v>
      </c>
      <c r="B35437" s="4" t="s">
        <v>44584</v>
      </c>
      <c r="C35437" s="5" t="str">
        <f>IFERROR(__xludf.DUMMYFUNCTION("GOOGLETRANSLATE(B35437,""en"",""zh-CN"")"),"一个小男孩在人行道上玩苏格兰威士忌。")</f>
        <v>一个小男孩在人行道上玩苏格兰威士忌。</v>
      </c>
    </row>
    <row r="35438">
      <c r="A35438" s="4" t="s">
        <v>44583</v>
      </c>
      <c r="B35438" s="4" t="s">
        <v>44585</v>
      </c>
      <c r="C35438" s="5" t="str">
        <f>IFERROR(__xludf.DUMMYFUNCTION("GOOGLETRANSLATE(B35438,""en"",""zh-CN"")"),"他身后有一辆卡车。")</f>
        <v>他身后有一辆卡车。</v>
      </c>
    </row>
    <row r="35439">
      <c r="A35439" s="4" t="s">
        <v>44583</v>
      </c>
      <c r="B35439" s="4" t="s">
        <v>44586</v>
      </c>
      <c r="C35439" s="5" t="str">
        <f>IFERROR(__xludf.DUMMYFUNCTION("GOOGLETRANSLATE(B35439,""en"",""zh-CN"")"),"他并没有真正扮演正确的表现。")</f>
        <v>他并没有真正扮演正确的表现。</v>
      </c>
    </row>
    <row r="35440">
      <c r="A35440" s="4" t="s">
        <v>44583</v>
      </c>
      <c r="B35440" s="4" t="s">
        <v>44587</v>
      </c>
      <c r="C35440" s="5" t="str">
        <f>IFERROR(__xludf.DUMMYFUNCTION("GOOGLETRANSLATE(B35440,""en"",""zh-CN"")"),"他跳上所有数字。")</f>
        <v>他跳上所有数字。</v>
      </c>
    </row>
    <row r="35441">
      <c r="A35441" s="4" t="s">
        <v>44583</v>
      </c>
      <c r="B35441" s="4" t="s">
        <v>44588</v>
      </c>
      <c r="C35441" s="5" t="str">
        <f>IFERROR(__xludf.DUMMYFUNCTION("GOOGLETRANSLATE(B35441,""en"",""zh-CN"")"),"他有点奔跑。")</f>
        <v>他有点奔跑。</v>
      </c>
    </row>
    <row r="35442">
      <c r="A35442" s="4" t="s">
        <v>44589</v>
      </c>
      <c r="B35442" s="4" t="s">
        <v>44590</v>
      </c>
      <c r="C35442" s="5" t="str">
        <f>IFERROR(__xludf.DUMMYFUNCTION("GOOGLETRANSLATE(B35442,""en"",""zh-CN"")"),"看到一名运动员准备好拿着标枪，将其扔到远处。")</f>
        <v>看到一名运动员准备好拿着标枪，将其扔到远处。</v>
      </c>
    </row>
    <row r="35443">
      <c r="A35443" s="4" t="s">
        <v>44589</v>
      </c>
      <c r="B35443" s="4" t="s">
        <v>44591</v>
      </c>
      <c r="C35443" s="5" t="str">
        <f>IFERROR(__xludf.DUMMYFUNCTION("GOOGLETRANSLATE(B35443,""en"",""zh-CN"")"),"看到更多的人抛出标枪，之后再次显示他们的投掷。")</f>
        <v>看到更多的人抛出标枪，之后再次显示他们的投掷。</v>
      </c>
    </row>
    <row r="35444">
      <c r="A35444" s="4" t="s">
        <v>44589</v>
      </c>
      <c r="B35444" s="4" t="s">
        <v>44592</v>
      </c>
      <c r="C35444" s="5" t="str">
        <f>IFERROR(__xludf.DUMMYFUNCTION("GOOGLETRANSLATE(B35444,""en"",""zh-CN"")"),"摄像机最后在女人周围摇晃，并炫耀自己的分数。")</f>
        <v>摄像机最后在女人周围摇晃，并炫耀自己的分数。</v>
      </c>
    </row>
    <row r="35445">
      <c r="A35445" s="4" t="s">
        <v>44593</v>
      </c>
      <c r="B35445" s="4" t="s">
        <v>44594</v>
      </c>
      <c r="C35445" s="5" t="str">
        <f>IFERROR(__xludf.DUMMYFUNCTION("GOOGLETRANSLATE(B35445,""en"",""zh-CN"")"),"一个男人谈论教练体操。")</f>
        <v>一个男人谈论教练体操。</v>
      </c>
    </row>
    <row r="35446">
      <c r="A35446" s="4" t="s">
        <v>44593</v>
      </c>
      <c r="B35446" s="4" t="s">
        <v>44595</v>
      </c>
      <c r="C35446" s="5" t="str">
        <f>IFERROR(__xludf.DUMMYFUNCTION("GOOGLETRANSLATE(B35446,""en"",""zh-CN"")"),"一个女孩开始在不平坦的酒吧上做例行工作。")</f>
        <v>一个女孩开始在不平坦的酒吧上做例行工作。</v>
      </c>
    </row>
    <row r="35447">
      <c r="A35447" s="4" t="s">
        <v>44596</v>
      </c>
      <c r="B35447" s="4" t="s">
        <v>44597</v>
      </c>
      <c r="C35447" s="5" t="str">
        <f>IFERROR(__xludf.DUMMYFUNCTION("GOOGLETRANSLATE(B35447,""en"",""zh-CN"")"),"看到一个男人跪在地板上并与镜头说话。")</f>
        <v>看到一个男人跪在地板上并与镜头说话。</v>
      </c>
    </row>
    <row r="35448">
      <c r="A35448" s="4" t="s">
        <v>44596</v>
      </c>
      <c r="B35448" s="4" t="s">
        <v>44598</v>
      </c>
      <c r="C35448" s="5" t="str">
        <f>IFERROR(__xludf.DUMMYFUNCTION("GOOGLETRANSLATE(B35448,""en"",""zh-CN"")"),"然后，该男子翻转并开始进行腿部锻炼。")</f>
        <v>然后，该男子翻转并开始进行腿部锻炼。</v>
      </c>
    </row>
    <row r="35449">
      <c r="A35449" s="4" t="s">
        <v>44596</v>
      </c>
      <c r="B35449" s="6" t="s">
        <v>44599</v>
      </c>
      <c r="C35449" s="5" t="str">
        <f>IFERROR(__xludf.DUMMYFUNCTION("GOOGLETRANSLATE(B35449,""en"",""zh-CN"")"),"他的身体四处移动，展示适当的锻炼，同时仍在看着相机。")</f>
        <v>他的身体四处移动，展示适当的锻炼，同时仍在看着相机。</v>
      </c>
    </row>
    <row r="35450">
      <c r="A35450" s="4" t="s">
        <v>44600</v>
      </c>
      <c r="B35450" s="4" t="s">
        <v>44601</v>
      </c>
      <c r="C35450" s="5" t="str">
        <f>IFERROR(__xludf.DUMMYFUNCTION("GOOGLETRANSLATE(B35450,""en"",""zh-CN"")"),"一个人在酒吧里设置了一个相机。")</f>
        <v>一个人在酒吧里设置了一个相机。</v>
      </c>
    </row>
    <row r="35451">
      <c r="A35451" s="4" t="s">
        <v>44600</v>
      </c>
      <c r="B35451" s="4" t="s">
        <v>44602</v>
      </c>
      <c r="C35451" s="5" t="str">
        <f>IFERROR(__xludf.DUMMYFUNCTION("GOOGLETRANSLATE(B35451,""en"",""zh-CN"")"),"然后，男人与相机交谈。")</f>
        <v>然后，男人与相机交谈。</v>
      </c>
    </row>
    <row r="35452">
      <c r="A35452" s="4" t="s">
        <v>44600</v>
      </c>
      <c r="B35452" s="4" t="s">
        <v>44603</v>
      </c>
      <c r="C35452" s="5" t="str">
        <f>IFERROR(__xludf.DUMMYFUNCTION("GOOGLETRANSLATE(B35452,""en"",""zh-CN"")"),"该男子独自射击游泳池。")</f>
        <v>该男子独自射击游泳池。</v>
      </c>
    </row>
    <row r="35453">
      <c r="A35453" s="4" t="s">
        <v>44600</v>
      </c>
      <c r="B35453" s="4" t="s">
        <v>44604</v>
      </c>
      <c r="C35453" s="5" t="str">
        <f>IFERROR(__xludf.DUMMYFUNCTION("GOOGLETRANSLATE(B35453,""en"",""zh-CN"")"),"胡子男人走过桌子。")</f>
        <v>胡子男人走过桌子。</v>
      </c>
    </row>
    <row r="35454">
      <c r="A35454" s="4" t="s">
        <v>44600</v>
      </c>
      <c r="B35454" s="4" t="s">
        <v>44605</v>
      </c>
      <c r="C35454" s="5" t="str">
        <f>IFERROR(__xludf.DUMMYFUNCTION("GOOGLETRANSLATE(B35454,""en"",""zh-CN"")"),"该男子在将其关闭之前结束并与相机交谈。")</f>
        <v>该男子在将其关闭之前结束并与相机交谈。</v>
      </c>
    </row>
    <row r="35455">
      <c r="A35455" s="4" t="s">
        <v>44606</v>
      </c>
      <c r="B35455" s="4" t="s">
        <v>44607</v>
      </c>
      <c r="C35455" s="5" t="str">
        <f>IFERROR(__xludf.DUMMYFUNCTION("GOOGLETRANSLATE(B35455,""en"",""zh-CN"")"),"一个人将水倒入杯子中。")</f>
        <v>一个人将水倒入杯子中。</v>
      </c>
    </row>
    <row r="35456">
      <c r="A35456" s="4" t="s">
        <v>44606</v>
      </c>
      <c r="B35456" s="4" t="s">
        <v>44608</v>
      </c>
      <c r="C35456" s="5" t="str">
        <f>IFERROR(__xludf.DUMMYFUNCTION("GOOGLETRANSLATE(B35456,""en"",""zh-CN"")"),"一个女人在酒吧里说话，展示酒瓶。")</f>
        <v>一个女人在酒吧里说话，展示酒瓶。</v>
      </c>
    </row>
    <row r="35457">
      <c r="A35457" s="4" t="s">
        <v>44606</v>
      </c>
      <c r="B35457" s="4" t="s">
        <v>44609</v>
      </c>
      <c r="C35457" s="5" t="str">
        <f>IFERROR(__xludf.DUMMYFUNCTION("GOOGLETRANSLATE(B35457,""en"",""zh-CN"")"),"然后，女人将冰放在玻璃杯中，然后她从三瓶中加了酒。")</f>
        <v>然后，女人将冰放在玻璃杯中，然后她从三瓶中加了酒。</v>
      </c>
    </row>
    <row r="35458">
      <c r="A35458" s="4" t="s">
        <v>44606</v>
      </c>
      <c r="B35458" s="4" t="s">
        <v>44610</v>
      </c>
      <c r="C35458" s="5" t="str">
        <f>IFERROR(__xludf.DUMMYFUNCTION("GOOGLETRANSLATE(B35458,""en"",""zh-CN"")"),"之后，那个女人加苏打水并放一根稻草。")</f>
        <v>之后，那个女人加苏打水并放一根稻草。</v>
      </c>
    </row>
    <row r="35459">
      <c r="A35459" s="4" t="s">
        <v>44611</v>
      </c>
      <c r="B35459" s="4" t="s">
        <v>44612</v>
      </c>
      <c r="C35459" s="5" t="str">
        <f>IFERROR(__xludf.DUMMYFUNCTION("GOOGLETRANSLATE(B35459,""en"",""zh-CN"")"),"一个潜水员在佛罗里达的钥匙中的海洋中，他的手里有一个南瓜。")</f>
        <v>一个潜水员在佛罗里达的钥匙中的海洋中，他的手里有一个南瓜。</v>
      </c>
    </row>
    <row r="35460">
      <c r="A35460" s="4" t="s">
        <v>44611</v>
      </c>
      <c r="B35460" s="4" t="s">
        <v>44613</v>
      </c>
      <c r="C35460" s="5" t="str">
        <f>IFERROR(__xludf.DUMMYFUNCTION("GOOGLETRANSLATE(B35460,""en"",""zh-CN"")"),"他和另一个潜水员一起去，他们开始在水下雕刻南瓜。")</f>
        <v>他和另一个潜水员一起去，他们开始在水下雕刻南瓜。</v>
      </c>
    </row>
    <row r="35461">
      <c r="A35461" s="4" t="s">
        <v>44611</v>
      </c>
      <c r="B35461" s="4" t="s">
        <v>44614</v>
      </c>
      <c r="C35461" s="5" t="str">
        <f>IFERROR(__xludf.DUMMYFUNCTION("GOOGLETRANSLATE(B35461,""en"",""zh-CN"")"),"他们渴望大约五个或六个制作不同的面孔。")</f>
        <v>他们渴望大约五个或六个制作不同的面孔。</v>
      </c>
    </row>
    <row r="35462">
      <c r="A35462" s="4" t="s">
        <v>44611</v>
      </c>
      <c r="B35462" s="6" t="s">
        <v>44615</v>
      </c>
      <c r="C35462" s="5" t="str">
        <f>IFERROR(__xludf.DUMMYFUNCTION("GOOGLETRANSLATE(B35462,""en"",""zh-CN"")"),"然后，他们将它们排成一列，然后在随便周围游泳时将其放入内部或其他东西。")</f>
        <v>然后，他们将它们排成一列，然后在随便周围游泳时将其放入内部或其他东西。</v>
      </c>
    </row>
    <row r="35463">
      <c r="A35463" s="4" t="s">
        <v>44616</v>
      </c>
      <c r="B35463" s="4" t="s">
        <v>44617</v>
      </c>
      <c r="C35463" s="5" t="str">
        <f>IFERROR(__xludf.DUMMYFUNCTION("GOOGLETRANSLATE(B35463,""en"",""zh-CN"")"),"看到一个人的手握着一个rube并在周围旋转。")</f>
        <v>看到一个人的手握着一个rube并在周围旋转。</v>
      </c>
    </row>
    <row r="35464">
      <c r="A35464" s="4" t="s">
        <v>44616</v>
      </c>
      <c r="B35464" s="4" t="s">
        <v>44618</v>
      </c>
      <c r="C35464" s="5" t="str">
        <f>IFERROR(__xludf.DUMMYFUNCTION("GOOGLETRANSLATE(B35464,""en"",""zh-CN"")"),"该人在试图解决难题时将立方体转向其各个侧面。")</f>
        <v>该人在试图解决难题时将立方体转向其各个侧面。</v>
      </c>
    </row>
    <row r="35465">
      <c r="A35465" s="4" t="s">
        <v>44616</v>
      </c>
      <c r="B35465" s="4" t="s">
        <v>44619</v>
      </c>
      <c r="C35465" s="5" t="str">
        <f>IFERROR(__xludf.DUMMYFUNCTION("GOOGLETRANSLATE(B35465,""en"",""zh-CN"")"),"该男子连接所有侧面并将其显示在相机上。")</f>
        <v>该男子连接所有侧面并将其显示在相机上。</v>
      </c>
    </row>
    <row r="35466">
      <c r="A35466" s="4" t="s">
        <v>44620</v>
      </c>
      <c r="B35466" s="4" t="s">
        <v>44621</v>
      </c>
      <c r="C35466" s="5" t="str">
        <f>IFERROR(__xludf.DUMMYFUNCTION("GOOGLETRANSLATE(B35466,""en"",""zh-CN"")"),"看到鹅卵石桌子的特写后，人们紧紧抓住侧面。")</f>
        <v>看到鹅卵石桌子的特写后，人们紧紧抓住侧面。</v>
      </c>
    </row>
    <row r="35467">
      <c r="A35467" s="4" t="s">
        <v>44620</v>
      </c>
      <c r="B35467" s="4" t="s">
        <v>44622</v>
      </c>
      <c r="C35467" s="5" t="str">
        <f>IFERROR(__xludf.DUMMYFUNCTION("GOOGLETRANSLATE(B35467,""en"",""zh-CN"")"),"人们在摄像机捕捉动作的同时，人民在回落和第四场比赛。")</f>
        <v>人们在摄像机捕捉动作的同时，人民在回落和第四场比赛。</v>
      </c>
    </row>
    <row r="35468">
      <c r="A35468" s="4" t="s">
        <v>44620</v>
      </c>
      <c r="B35468" s="4" t="s">
        <v>44623</v>
      </c>
      <c r="C35468" s="5" t="str">
        <f>IFERROR(__xludf.DUMMYFUNCTION("GOOGLETRANSLATE(B35468,""en"",""zh-CN"")"),"这些人继续在桌子上演奏，视频逐渐消失。")</f>
        <v>这些人继续在桌子上演奏，视频逐渐消失。</v>
      </c>
    </row>
    <row r="35469">
      <c r="A35469" s="4" t="s">
        <v>44624</v>
      </c>
      <c r="B35469" s="4" t="s">
        <v>44625</v>
      </c>
      <c r="C35469" s="5" t="str">
        <f>IFERROR(__xludf.DUMMYFUNCTION("GOOGLETRANSLATE(B35469,""en"",""zh-CN"")"),"一个男人和一个女人站在厨房的柜台上。")</f>
        <v>一个男人和一个女人站在厨房的柜台上。</v>
      </c>
    </row>
    <row r="35470">
      <c r="A35470" s="4" t="s">
        <v>44624</v>
      </c>
      <c r="B35470" s="4" t="s">
        <v>44626</v>
      </c>
      <c r="C35470" s="5" t="str">
        <f>IFERROR(__xludf.DUMMYFUNCTION("GOOGLETRANSLATE(B35470,""en"",""zh-CN"")"),"他们将食材倒入一个大碗中，然后将其混合在一起。")</f>
        <v>他们将食材倒入一个大碗中，然后将其混合在一起。</v>
      </c>
    </row>
    <row r="35471">
      <c r="A35471" s="4" t="s">
        <v>44624</v>
      </c>
      <c r="B35471" s="4" t="s">
        <v>44627</v>
      </c>
      <c r="C35471" s="5" t="str">
        <f>IFERROR(__xludf.DUMMYFUNCTION("GOOGLETRANSLATE(B35471,""en"",""zh-CN"")"),"他们将混合物倒入两个圆形锅中。")</f>
        <v>他们将混合物倒入两个圆形锅中。</v>
      </c>
    </row>
    <row r="35472">
      <c r="A35472" s="4" t="s">
        <v>44624</v>
      </c>
      <c r="B35472" s="4" t="s">
        <v>44628</v>
      </c>
      <c r="C35472" s="5" t="str">
        <f>IFERROR(__xludf.DUMMYFUNCTION("GOOGLETRANSLATE(B35472,""en"",""zh-CN"")"),"然后，他们将蛋糕堆叠在一起，并在两者之间进行糖霜。")</f>
        <v>然后，他们将蛋糕堆叠在一起，并在两者之间进行糖霜。</v>
      </c>
    </row>
    <row r="35473">
      <c r="A35473" s="4" t="s">
        <v>44624</v>
      </c>
      <c r="B35473" s="4" t="s">
        <v>44629</v>
      </c>
      <c r="C35473" s="5" t="str">
        <f>IFERROR(__xludf.DUMMYFUNCTION("GOOGLETRANSLATE(B35473,""en"",""zh-CN"")"),"他们最后吃蛋糕。")</f>
        <v>他们最后吃蛋糕。</v>
      </c>
    </row>
    <row r="35474">
      <c r="A35474" s="4" t="s">
        <v>44630</v>
      </c>
      <c r="B35474" s="4" t="s">
        <v>44631</v>
      </c>
      <c r="C35474" s="5" t="str">
        <f>IFERROR(__xludf.DUMMYFUNCTION("GOOGLETRANSLATE(B35474,""en"",""zh-CN"")"),"一个年轻人在舞台上打鼓，背景在背景中跳舞。")</f>
        <v>一个年轻人在舞台上打鼓，背景在背景中跳舞。</v>
      </c>
    </row>
    <row r="35475">
      <c r="A35475" s="4" t="s">
        <v>44630</v>
      </c>
      <c r="B35475" s="4" t="s">
        <v>44632</v>
      </c>
      <c r="C35475" s="5" t="str">
        <f>IFERROR(__xludf.DUMMYFUNCTION("GOOGLETRANSLATE(B35475,""en"",""zh-CN"")"),"他结束并站起来打空鼓。")</f>
        <v>他结束并站起来打空鼓。</v>
      </c>
    </row>
    <row r="35476">
      <c r="A35476" s="4" t="s">
        <v>44633</v>
      </c>
      <c r="B35476" s="4" t="s">
        <v>44634</v>
      </c>
      <c r="C35476" s="5" t="str">
        <f>IFERROR(__xludf.DUMMYFUNCTION("GOOGLETRANSLATE(B35476,""en"",""zh-CN"")"),"看到一个年轻的女孩擦洗一只小狗，上面放着肥皂，旁边充满了水。")</f>
        <v>看到一个年轻的女孩擦洗一只小狗，上面放着肥皂，旁边充满了水。</v>
      </c>
    </row>
    <row r="35477">
      <c r="A35477" s="4" t="s">
        <v>44633</v>
      </c>
      <c r="B35477" s="6" t="s">
        <v>44635</v>
      </c>
      <c r="C35477" s="5" t="str">
        <f>IFERROR(__xludf.DUMMYFUNCTION("GOOGLETRANSLATE(B35477,""en"",""zh-CN"")"),"她将更多的肥皂倒在狗身上，将他拖到狗上，并将其带到所有被清洁的狗的照片中。")</f>
        <v>她将更多的肥皂倒在狗身上，将他拖到狗上，并将其带到所有被清洁的狗的照片中。</v>
      </c>
    </row>
    <row r="35478">
      <c r="A35478" s="4" t="s">
        <v>44636</v>
      </c>
      <c r="B35478" s="6" t="s">
        <v>44637</v>
      </c>
      <c r="C35478" s="5" t="str">
        <f>IFERROR(__xludf.DUMMYFUNCTION("GOOGLETRANSLATE(B35478,""en"",""zh-CN"")"),"一个人将油漆设计用于塑料手上的红色指甲，并带有柔软的黑色肢体标有“指甲训练师”。")</f>
        <v>一个人将油漆设计用于塑料手上的红色指甲，并带有柔软的黑色肢体标有“指甲训练师”。</v>
      </c>
    </row>
    <row r="35479">
      <c r="A35479" s="4" t="s">
        <v>44636</v>
      </c>
      <c r="B35479" s="6" t="s">
        <v>44638</v>
      </c>
      <c r="C35479" s="5" t="str">
        <f>IFERROR(__xludf.DUMMYFUNCTION("GOOGLETRANSLATE(B35479,""en"",""zh-CN"")"),"带有黑色塑料手臂的棕色塑料手带有白色指甲尖和红色指甲。")</f>
        <v>带有黑色塑料手臂的棕色塑料手带有白色指甲尖和红色指甲。</v>
      </c>
    </row>
    <row r="35480">
      <c r="A35480" s="4" t="s">
        <v>44636</v>
      </c>
      <c r="B35480" s="6" t="s">
        <v>44639</v>
      </c>
      <c r="C35480" s="5" t="str">
        <f>IFERROR(__xludf.DUMMYFUNCTION("GOOGLETRANSLATE(B35480,""en"",""zh-CN"")"),"一个人的真实手出现，并开始在塑料手上的一种红色指甲上施加白色设计。")</f>
        <v>一个人的真实手出现，并开始在塑料手上的一种红色指甲上施加白色设计。</v>
      </c>
    </row>
    <row r="35481">
      <c r="A35481" s="4" t="s">
        <v>44636</v>
      </c>
      <c r="B35481" s="6" t="s">
        <v>44640</v>
      </c>
      <c r="C35481" s="5" t="str">
        <f>IFERROR(__xludf.DUMMYFUNCTION("GOOGLETRANSLATE(B35481,""en"",""zh-CN"")"),"然后，场景逐渐消失为一个成品红色指甲的特写，并用塑料手的完整白色设计。")</f>
        <v>然后，场景逐渐消失为一个成品红色指甲的特写，并用塑料手的完整白色设计。</v>
      </c>
    </row>
    <row r="35482">
      <c r="A35482" s="4" t="s">
        <v>44641</v>
      </c>
      <c r="B35482" s="4" t="s">
        <v>44642</v>
      </c>
      <c r="C35482" s="5" t="str">
        <f>IFERROR(__xludf.DUMMYFUNCTION("GOOGLETRANSLATE(B35482,""en"",""zh-CN"")"),"汽车在道路上开车。")</f>
        <v>汽车在道路上开车。</v>
      </c>
    </row>
    <row r="35483">
      <c r="A35483" s="4" t="s">
        <v>44641</v>
      </c>
      <c r="B35483" s="4" t="s">
        <v>4423</v>
      </c>
      <c r="C35483" s="5" t="str">
        <f>IFERROR(__xludf.DUMMYFUNCTION("GOOGLETRANSLATE(B35483,""en"",""zh-CN"")"),"人们在雪上滑雪。")</f>
        <v>人们在雪上滑雪。</v>
      </c>
    </row>
    <row r="35484">
      <c r="A35484" s="4" t="s">
        <v>44641</v>
      </c>
      <c r="B35484" s="4" t="s">
        <v>44643</v>
      </c>
      <c r="C35484" s="5" t="str">
        <f>IFERROR(__xludf.DUMMYFUNCTION("GOOGLETRANSLATE(B35484,""en"",""zh-CN"")"),"人们回到车上，将滑雪板放在汽车顶部。")</f>
        <v>人们回到车上，将滑雪板放在汽车顶部。</v>
      </c>
    </row>
    <row r="35485">
      <c r="A35485" s="4" t="s">
        <v>44644</v>
      </c>
      <c r="B35485" s="4" t="s">
        <v>44645</v>
      </c>
      <c r="C35485" s="5" t="str">
        <f>IFERROR(__xludf.DUMMYFUNCTION("GOOGLETRANSLATE(B35485,""en"",""zh-CN"")"),"看到一个男人站在一套不平衡的酒吧面前，双臂抬起。")</f>
        <v>看到一个男人站在一套不平衡的酒吧面前，双臂抬起。</v>
      </c>
    </row>
    <row r="35486">
      <c r="A35486" s="4" t="s">
        <v>44644</v>
      </c>
      <c r="B35486" s="4" t="s">
        <v>44646</v>
      </c>
      <c r="C35486" s="5" t="str">
        <f>IFERROR(__xludf.DUMMYFUNCTION("GOOGLETRANSLATE(B35486,""en"",""zh-CN"")"),"然后，他跳到光束上，摆动自己。")</f>
        <v>然后，他跳到光束上，摆动自己。</v>
      </c>
    </row>
    <row r="35487">
      <c r="A35487" s="4" t="s">
        <v>44644</v>
      </c>
      <c r="B35487" s="6" t="s">
        <v>44647</v>
      </c>
      <c r="C35487" s="5" t="str">
        <f>IFERROR(__xludf.DUMMYFUNCTION("GOOGLETRANSLATE(B35487,""en"",""zh-CN"")"),"该名男子继续在酒吧和结束时跳下来，走开并走开。")</f>
        <v>该名男子继续在酒吧和结束时跳下来，走开并走开。</v>
      </c>
    </row>
    <row r="35488">
      <c r="A35488" s="4" t="s">
        <v>44648</v>
      </c>
      <c r="B35488" s="6" t="s">
        <v>44649</v>
      </c>
      <c r="C35488" s="5" t="str">
        <f>IFERROR(__xludf.DUMMYFUNCTION("GOOGLETRANSLATE(B35488,""en"",""zh-CN"")"),"然后，她表现出一些不同的练习以及骑自行车并带领课程的练习。")</f>
        <v>然后，她表现出一些不同的练习以及骑自行车并带领课程的练习。</v>
      </c>
    </row>
    <row r="35489">
      <c r="A35489" s="4" t="s">
        <v>44648</v>
      </c>
      <c r="B35489" s="4" t="s">
        <v>44650</v>
      </c>
      <c r="C35489" s="5" t="str">
        <f>IFERROR(__xludf.DUMMYFUNCTION("GOOGLETRANSLATE(B35489,""en"",""zh-CN"")"),"她的更多镜头显示在骑自行车上，戴着耳机与他人说话。")</f>
        <v>她的更多镜头显示在骑自行车上，戴着耳机与他人说话。</v>
      </c>
    </row>
    <row r="35490">
      <c r="A35490" s="4" t="s">
        <v>44651</v>
      </c>
      <c r="B35490" s="4" t="s">
        <v>44652</v>
      </c>
      <c r="C35490" s="5" t="str">
        <f>IFERROR(__xludf.DUMMYFUNCTION("GOOGLETRANSLATE(B35490,""en"",""zh-CN"")"),"一个穿着粉红色衬衫的男人手里拿着绳子。")</f>
        <v>一个穿着粉红色衬衫的男人手里拿着绳子。</v>
      </c>
    </row>
    <row r="35491">
      <c r="A35491" s="4" t="s">
        <v>44651</v>
      </c>
      <c r="B35491" s="4" t="s">
        <v>44653</v>
      </c>
      <c r="C35491" s="5" t="str">
        <f>IFERROR(__xludf.DUMMYFUNCTION("GOOGLETRANSLATE(B35491,""en"",""zh-CN"")"),"他开始在他面前吸尘地毯。")</f>
        <v>他开始在他面前吸尘地毯。</v>
      </c>
    </row>
    <row r="35492">
      <c r="A35492" s="4" t="s">
        <v>44654</v>
      </c>
      <c r="B35492" s="4" t="s">
        <v>44655</v>
      </c>
      <c r="C35492" s="5" t="str">
        <f>IFERROR(__xludf.DUMMYFUNCTION("GOOGLETRANSLATE(B35492,""en"",""zh-CN"")"),"一名妇女正在对如何使用水进行水大理石指甲进行教程。")</f>
        <v>一名妇女正在对如何使用水进行水大理石指甲进行教程。</v>
      </c>
    </row>
    <row r="35493">
      <c r="A35493" s="4" t="s">
        <v>44654</v>
      </c>
      <c r="B35493" s="4" t="s">
        <v>44656</v>
      </c>
      <c r="C35493" s="5" t="str">
        <f>IFERROR(__xludf.DUMMYFUNCTION("GOOGLETRANSLATE(B35493,""en"",""zh-CN"")"),"她使用指甲油刷并将其浸入水中。")</f>
        <v>她使用指甲油刷并将其浸入水中。</v>
      </c>
    </row>
    <row r="35494">
      <c r="A35494" s="4" t="s">
        <v>44654</v>
      </c>
      <c r="B35494" s="4" t="s">
        <v>44657</v>
      </c>
      <c r="C35494" s="5" t="str">
        <f>IFERROR(__xludf.DUMMYFUNCTION("GOOGLETRANSLATE(B35494,""en"",""zh-CN"")"),"她给出了有关如何从指甲油底漆开始的说明。")</f>
        <v>她给出了有关如何从指甲油底漆开始的说明。</v>
      </c>
    </row>
    <row r="35495">
      <c r="A35495" s="4" t="s">
        <v>44654</v>
      </c>
      <c r="B35495" s="4" t="s">
        <v>44658</v>
      </c>
      <c r="C35495" s="5" t="str">
        <f>IFERROR(__xludf.DUMMYFUNCTION("GOOGLETRANSLATE(B35495,""en"",""zh-CN"")"),"然后，她将彩色的不同彩色指甲油放在水面上。")</f>
        <v>然后，她将彩色的不同彩色指甲油放在水面上。</v>
      </c>
    </row>
    <row r="35496">
      <c r="A35496" s="4" t="s">
        <v>44654</v>
      </c>
      <c r="B35496" s="4" t="s">
        <v>44659</v>
      </c>
      <c r="C35496" s="5" t="str">
        <f>IFERROR(__xludf.DUMMYFUNCTION("GOOGLETRANSLATE(B35496,""en"",""zh-CN"")"),"然后她将指甲浸入那种油漆中。")</f>
        <v>然后她将指甲浸入那种油漆中。</v>
      </c>
    </row>
    <row r="35497">
      <c r="A35497" s="4" t="s">
        <v>44654</v>
      </c>
      <c r="B35497" s="6" t="s">
        <v>44660</v>
      </c>
      <c r="C35497" s="5" t="str">
        <f>IFERROR(__xludf.DUMMYFUNCTION("GOOGLETRANSLATE(B35497,""en"",""zh-CN"")"),"她清理了用油漆刷和Q尖在指甲侧面涂抹的任何多余的指甲油。")</f>
        <v>她清理了用油漆刷和Q尖在指甲侧面涂抹的任何多余的指甲油。</v>
      </c>
    </row>
    <row r="35498">
      <c r="A35498" s="4" t="s">
        <v>44654</v>
      </c>
      <c r="B35498" s="4" t="s">
        <v>44661</v>
      </c>
      <c r="C35498" s="5" t="str">
        <f>IFERROR(__xludf.DUMMYFUNCTION("GOOGLETRANSLATE(B35498,""en"",""zh-CN"")"),"她最终分享了有关自己和社交媒体帐户的信息。")</f>
        <v>她最终分享了有关自己和社交媒体帐户的信息。</v>
      </c>
    </row>
    <row r="35499">
      <c r="A35499" s="4" t="s">
        <v>44662</v>
      </c>
      <c r="B35499" s="4" t="s">
        <v>44663</v>
      </c>
      <c r="C35499" s="5" t="str">
        <f>IFERROR(__xludf.DUMMYFUNCTION("GOOGLETRANSLATE(B35499,""en"",""zh-CN"")"),"一个女人在厨房里，穿着衣服和怀孕。")</f>
        <v>一个女人在厨房里，穿着衣服和怀孕。</v>
      </c>
    </row>
    <row r="35500">
      <c r="A35500" s="4" t="s">
        <v>44662</v>
      </c>
      <c r="B35500" s="4" t="s">
        <v>44664</v>
      </c>
      <c r="C35500" s="5" t="str">
        <f>IFERROR(__xludf.DUMMYFUNCTION("GOOGLETRANSLATE(B35500,""en"",""zh-CN"")"),"她正在水槽里洗碗，并用相机与人交谈。")</f>
        <v>她正在水槽里洗碗，并用相机与人交谈。</v>
      </c>
    </row>
    <row r="35501">
      <c r="A35501" s="4" t="s">
        <v>44662</v>
      </c>
      <c r="B35501" s="4" t="s">
        <v>44665</v>
      </c>
      <c r="C35501" s="5" t="str">
        <f>IFERROR(__xludf.DUMMYFUNCTION("GOOGLETRANSLATE(B35501,""en"",""zh-CN"")"),"当相机放大右眼时，她微笑着。")</f>
        <v>当相机放大右眼时，她微笑着。</v>
      </c>
    </row>
    <row r="35502">
      <c r="A35502" s="4" t="s">
        <v>44666</v>
      </c>
      <c r="B35502" s="4" t="s">
        <v>44667</v>
      </c>
      <c r="C35502" s="5" t="str">
        <f>IFERROR(__xludf.DUMMYFUNCTION("GOOGLETRANSLATE(B35502,""en"",""zh-CN"")"),"一个女人在秋千上摇摆。")</f>
        <v>一个女人在秋千上摇摆。</v>
      </c>
    </row>
    <row r="35503">
      <c r="A35503" s="4" t="s">
        <v>44666</v>
      </c>
      <c r="B35503" s="4" t="s">
        <v>44668</v>
      </c>
      <c r="C35503" s="5" t="str">
        <f>IFERROR(__xludf.DUMMYFUNCTION("GOOGLETRANSLATE(B35503,""en"",""zh-CN"")"),"一个婴儿在她旁边摇摆。")</f>
        <v>一个婴儿在她旁边摇摆。</v>
      </c>
    </row>
    <row r="35504">
      <c r="A35504" s="4" t="s">
        <v>44666</v>
      </c>
      <c r="B35504" s="4" t="s">
        <v>44669</v>
      </c>
      <c r="C35504" s="5" t="str">
        <f>IFERROR(__xludf.DUMMYFUNCTION("GOOGLETRANSLATE(B35504,""en"",""zh-CN"")"),"他们都穿着红色。")</f>
        <v>他们都穿着红色。</v>
      </c>
    </row>
    <row r="35505">
      <c r="A35505" s="4" t="s">
        <v>44666</v>
      </c>
      <c r="B35505" s="4" t="s">
        <v>44670</v>
      </c>
      <c r="C35505" s="5" t="str">
        <f>IFERROR(__xludf.DUMMYFUNCTION("GOOGLETRANSLATE(B35505,""en"",""zh-CN"")"),"女人看起来很高兴摇摆。")</f>
        <v>女人看起来很高兴摇摆。</v>
      </c>
    </row>
    <row r="35506">
      <c r="A35506" s="4" t="s">
        <v>44671</v>
      </c>
      <c r="B35506" s="6" t="s">
        <v>44672</v>
      </c>
      <c r="C35506" s="5" t="str">
        <f>IFERROR(__xludf.DUMMYFUNCTION("GOOGLETRANSLATE(B35506,""en"",""zh-CN"")"),"两个男孩站在一棵树旁边的一个客厅里，开始从两个塑料垃圾箱中取出装饰品，并装饰了树。")</f>
        <v>两个男孩站在一棵树旁边的一个客厅里，开始从两个塑料垃圾箱中取出装饰品，并装饰了树。</v>
      </c>
    </row>
    <row r="35507">
      <c r="A35507" s="4" t="s">
        <v>44671</v>
      </c>
      <c r="B35507" s="4" t="s">
        <v>44673</v>
      </c>
      <c r="C35507" s="5" t="str">
        <f>IFERROR(__xludf.DUMMYFUNCTION("GOOGLETRANSLATE(B35507,""en"",""zh-CN"")"),"随着男孩的继续，当雨水雷声时，房屋的外面显示出来。")</f>
        <v>随着男孩的继续，当雨水雷声时，房屋的外面显示出来。</v>
      </c>
    </row>
    <row r="35508">
      <c r="A35508" s="4" t="s">
        <v>44671</v>
      </c>
      <c r="B35508" s="4" t="s">
        <v>44674</v>
      </c>
      <c r="C35508" s="5" t="str">
        <f>IFERROR(__xludf.DUMMYFUNCTION("GOOGLETRANSLATE(B35508,""en"",""zh-CN"")"),"之后，男孩会从男性那里得到帮助，并戴上树皮。")</f>
        <v>之后，男孩会从男性那里得到帮助，并戴上树皮。</v>
      </c>
    </row>
    <row r="35509">
      <c r="A35509" s="4" t="s">
        <v>44671</v>
      </c>
      <c r="B35509" s="6" t="s">
        <v>44675</v>
      </c>
      <c r="C35509" s="5" t="str">
        <f>IFERROR(__xludf.DUMMYFUNCTION("GOOGLETRANSLATE(B35509,""en"",""zh-CN"")"),"一旦完成，小男孩互相拥抱和亲吻，并显示了树的饰面产品。")</f>
        <v>一旦完成，小男孩互相拥抱和亲吻，并显示了树的饰面产品。</v>
      </c>
    </row>
    <row r="35510">
      <c r="A35510" s="4" t="s">
        <v>44676</v>
      </c>
      <c r="B35510" s="4" t="s">
        <v>44677</v>
      </c>
      <c r="C35510" s="5" t="str">
        <f>IFERROR(__xludf.DUMMYFUNCTION("GOOGLETRANSLATE(B35510,""en"",""zh-CN"")"),"几个动画人在水中。")</f>
        <v>几个动画人在水中。</v>
      </c>
    </row>
    <row r="35511">
      <c r="A35511" s="4" t="s">
        <v>44676</v>
      </c>
      <c r="B35511" s="6" t="s">
        <v>44678</v>
      </c>
      <c r="C35511" s="5" t="str">
        <f>IFERROR(__xludf.DUMMYFUNCTION("GOOGLETRANSLATE(B35511,""en"",""zh-CN"")"),"水肺齿轮的两个人站在平台的壁架上，而另外两个人则从上面的平台观看。")</f>
        <v>水肺齿轮的两个人站在平台的壁架上，而另外两个人则从上面的平台观看。</v>
      </c>
    </row>
    <row r="35512">
      <c r="A35512" s="4" t="s">
        <v>44676</v>
      </c>
      <c r="B35512" s="4" t="s">
        <v>44679</v>
      </c>
      <c r="C35512" s="5" t="str">
        <f>IFERROR(__xludf.DUMMYFUNCTION("GOOGLETRANSLATE(B35512,""en"",""zh-CN"")"),"水肺齿轮中的两个人跳入水中。")</f>
        <v>水肺齿轮中的两个人跳入水中。</v>
      </c>
    </row>
    <row r="35513">
      <c r="A35513" s="4" t="s">
        <v>44676</v>
      </c>
      <c r="B35513" s="6" t="s">
        <v>44680</v>
      </c>
      <c r="C35513" s="5" t="str">
        <f>IFERROR(__xludf.DUMMYFUNCTION("GOOGLETRANSLATE(B35513,""en"",""zh-CN"")"),"水肺齿轮中的一个人在水肺齿轮上握住另一个人，并对她的坦克做点什么。")</f>
        <v>水肺齿轮中的一个人在水肺齿轮上握住另一个人，并对她的坦克做点什么。</v>
      </c>
    </row>
    <row r="35514">
      <c r="A35514" s="4" t="s">
        <v>44676</v>
      </c>
      <c r="B35514" s="4" t="s">
        <v>44681</v>
      </c>
      <c r="C35514" s="5" t="str">
        <f>IFERROR(__xludf.DUMMYFUNCTION("GOOGLETRANSLATE(B35514,""en"",""zh-CN"")"),"一个人将另一个人推开。")</f>
        <v>一个人将另一个人推开。</v>
      </c>
    </row>
    <row r="35515">
      <c r="A35515" s="4" t="s">
        <v>44676</v>
      </c>
      <c r="B35515" s="4" t="s">
        <v>44682</v>
      </c>
      <c r="C35515" s="5" t="str">
        <f>IFERROR(__xludf.DUMMYFUNCTION("GOOGLETRANSLATE(B35515,""en"",""zh-CN"")"),"潜水装备中的几个人聚集在一起，还有一个人仍在背景中。")</f>
        <v>潜水装备中的几个人聚集在一起，还有一个人仍在背景中。</v>
      </c>
    </row>
    <row r="35516">
      <c r="A35516" s="4" t="s">
        <v>44676</v>
      </c>
      <c r="B35516" s="4" t="s">
        <v>44683</v>
      </c>
      <c r="C35516" s="5" t="str">
        <f>IFERROR(__xludf.DUMMYFUNCTION("GOOGLETRANSLATE(B35516,""en"",""zh-CN"")"),"潜水装备中的人们挣扎，一个人掩盖了浮出水面。")</f>
        <v>潜水装备中的人们挣扎，一个人掩盖了浮出水面。</v>
      </c>
    </row>
    <row r="35517">
      <c r="A35517" s="4" t="s">
        <v>44684</v>
      </c>
      <c r="B35517" s="4" t="s">
        <v>44685</v>
      </c>
      <c r="C35517" s="5" t="str">
        <f>IFERROR(__xludf.DUMMYFUNCTION("GOOGLETRANSLATE(B35517,""en"",""zh-CN"")"),"一只黑狗和一个穿着白色上衣的小女孩在客厅里带有两个hoolahoops。")</f>
        <v>一只黑狗和一个穿着白色上衣的小女孩在客厅里带有两个hoolahoops。</v>
      </c>
    </row>
    <row r="35518">
      <c r="A35518" s="4" t="s">
        <v>44684</v>
      </c>
      <c r="B35518" s="4" t="s">
        <v>44686</v>
      </c>
      <c r="C35518" s="5" t="str">
        <f>IFERROR(__xludf.DUMMYFUNCTION("GOOGLETRANSLATE(B35518,""en"",""zh-CN"")"),"小女孩在狗的前面握着一个hoola箍，狗穿过蜂巢。")</f>
        <v>小女孩在狗的前面握着一个hoola箍，狗穿过蜂巢。</v>
      </c>
    </row>
    <row r="35519">
      <c r="A35519" s="4" t="s">
        <v>44684</v>
      </c>
      <c r="B35519" s="4" t="s">
        <v>44687</v>
      </c>
      <c r="C35519" s="5" t="str">
        <f>IFERROR(__xludf.DUMMYFUNCTION("GOOGLETRANSLATE(B35519,""en"",""zh-CN"")"),"小女孩在她的废物周围旋转另一个hoola箍，并旋转10或12次。")</f>
        <v>小女孩在她的废物周围旋转另一个hoola箍，并旋转10或12次。</v>
      </c>
    </row>
    <row r="35520">
      <c r="A35520" s="4" t="s">
        <v>44684</v>
      </c>
      <c r="B35520" s="4" t="s">
        <v>44688</v>
      </c>
      <c r="C35520" s="5" t="str">
        <f>IFERROR(__xludf.DUMMYFUNCTION("GOOGLETRANSLATE(B35520,""en"",""zh-CN"")"),"小女孩走到黑狗上，让狗舔她的手。")</f>
        <v>小女孩走到黑狗上，让狗舔她的手。</v>
      </c>
    </row>
    <row r="35521">
      <c r="A35521" s="4" t="s">
        <v>44689</v>
      </c>
      <c r="B35521" s="4" t="s">
        <v>44690</v>
      </c>
      <c r="C35521" s="5" t="str">
        <f>IFERROR(__xludf.DUMMYFUNCTION("GOOGLETRANSLATE(B35521,""en"",""zh-CN"")"),"显示五个男孩在操场上行走。")</f>
        <v>显示五个男孩在操场上行走。</v>
      </c>
    </row>
    <row r="35522">
      <c r="A35522" s="4" t="s">
        <v>44689</v>
      </c>
      <c r="B35522" s="4" t="s">
        <v>44691</v>
      </c>
      <c r="C35522" s="5" t="str">
        <f>IFERROR(__xludf.DUMMYFUNCTION("GOOGLETRANSLATE(B35522,""en"",""zh-CN"")"),"男孩们上了秋千，开始展示如何做技巧。")</f>
        <v>男孩们上了秋千，开始展示如何做技巧。</v>
      </c>
    </row>
    <row r="35523">
      <c r="A35523" s="4" t="s">
        <v>44689</v>
      </c>
      <c r="B35523" s="4" t="s">
        <v>44692</v>
      </c>
      <c r="C35523" s="5" t="str">
        <f>IFERROR(__xludf.DUMMYFUNCTION("GOOGLETRANSLATE(B35523,""en"",""zh-CN"")"),"对于结局，所有五个家伙都进入秋千并进行后退。")</f>
        <v>对于结局，所有五个家伙都进入秋千并进行后退。</v>
      </c>
    </row>
    <row r="35524">
      <c r="A35524" s="4" t="s">
        <v>44693</v>
      </c>
      <c r="B35524" s="4" t="s">
        <v>44694</v>
      </c>
      <c r="C35524" s="5" t="str">
        <f>IFERROR(__xludf.DUMMYFUNCTION("GOOGLETRANSLATE(B35524,""en"",""zh-CN"")"),"一个年轻女子可以与接力棒一起表演。")</f>
        <v>一个年轻女子可以与接力棒一起表演。</v>
      </c>
    </row>
    <row r="35525">
      <c r="A35525" s="4" t="s">
        <v>44693</v>
      </c>
      <c r="B35525" s="4" t="s">
        <v>44695</v>
      </c>
      <c r="C35525" s="5" t="str">
        <f>IFERROR(__xludf.DUMMYFUNCTION("GOOGLETRANSLATE(B35525,""en"",""zh-CN"")"),"她表演体操和旋转常规。")</f>
        <v>她表演体操和旋转常规。</v>
      </c>
    </row>
    <row r="35526">
      <c r="A35526" s="4" t="s">
        <v>44693</v>
      </c>
      <c r="B35526" s="4" t="s">
        <v>44696</v>
      </c>
      <c r="C35526" s="5" t="str">
        <f>IFERROR(__xludf.DUMMYFUNCTION("GOOGLETRANSLATE(B35526,""en"",""zh-CN"")"),"她作为日常活动的一部分做车轮。")</f>
        <v>她作为日常活动的一部分做车轮。</v>
      </c>
    </row>
    <row r="35527">
      <c r="A35527" s="4" t="s">
        <v>44693</v>
      </c>
      <c r="B35527" s="4" t="s">
        <v>44697</v>
      </c>
      <c r="C35527" s="5" t="str">
        <f>IFERROR(__xludf.DUMMYFUNCTION("GOOGLETRANSLATE(B35527,""en"",""zh-CN"")"),"她放下了接力棒，但将其捡起来，并继续进行例行。")</f>
        <v>她放下了接力棒，但将其捡起来，并继续进行例行。</v>
      </c>
    </row>
    <row r="35528">
      <c r="A35528" s="4" t="s">
        <v>44693</v>
      </c>
      <c r="B35528" s="4" t="s">
        <v>44698</v>
      </c>
      <c r="C35528" s="5" t="str">
        <f>IFERROR(__xludf.DUMMYFUNCTION("GOOGLETRANSLATE(B35528,""en"",""zh-CN"")"),"她失去了平衡，但能够康复。")</f>
        <v>她失去了平衡，但能够康复。</v>
      </c>
    </row>
    <row r="35529">
      <c r="A35529" s="4" t="s">
        <v>44699</v>
      </c>
      <c r="B35529" s="4" t="s">
        <v>44700</v>
      </c>
      <c r="C35529" s="5" t="str">
        <f>IFERROR(__xludf.DUMMYFUNCTION("GOOGLETRANSLATE(B35529,""en"",""zh-CN"")"),"看到一个女人在与镜头说话时将割草机推到一些草地上。")</f>
        <v>看到一个女人在与镜头说话时将割草机推到一些草地上。</v>
      </c>
    </row>
    <row r="35530">
      <c r="A35530" s="4" t="s">
        <v>44699</v>
      </c>
      <c r="B35530" s="6" t="s">
        <v>44701</v>
      </c>
      <c r="C35530" s="5" t="str">
        <f>IFERROR(__xludf.DUMMYFUNCTION("GOOGLETRANSLATE(B35530,""en"",""zh-CN"")"),"相机放大了院子中的植物，并继续跟随那个女人割草。")</f>
        <v>相机放大了院子中的植物，并继续跟随那个女人割草。</v>
      </c>
    </row>
    <row r="35531">
      <c r="A35531" s="4" t="s">
        <v>44699</v>
      </c>
      <c r="B35531" s="4" t="s">
        <v>44702</v>
      </c>
      <c r="C35531" s="5" t="str">
        <f>IFERROR(__xludf.DUMMYFUNCTION("GOOGLETRANSLATE(B35531,""en"",""zh-CN"")"),"摄像机最后在一堆植物和树木上徘徊。")</f>
        <v>摄像机最后在一堆植物和树木上徘徊。</v>
      </c>
    </row>
    <row r="35532">
      <c r="A35532" s="4" t="s">
        <v>44703</v>
      </c>
      <c r="B35532" s="4" t="s">
        <v>44704</v>
      </c>
      <c r="C35532" s="5" t="str">
        <f>IFERROR(__xludf.DUMMYFUNCTION("GOOGLETRANSLATE(B35532,""en"",""zh-CN"")"),"一个穿着滑雪装备的人站在一个白雪皑皑的山上。")</f>
        <v>一个穿着滑雪装备的人站在一个白雪皑皑的山上。</v>
      </c>
    </row>
    <row r="35533">
      <c r="A35533" s="4" t="s">
        <v>44703</v>
      </c>
      <c r="B35533" s="4" t="s">
        <v>44705</v>
      </c>
      <c r="C35533" s="5" t="str">
        <f>IFERROR(__xludf.DUMMYFUNCTION("GOOGLETRANSLATE(B35533,""en"",""zh-CN"")"),"他和其他人开始滑雪，踢积雪，穿过隧道。")</f>
        <v>他和其他人开始滑雪，踢积雪，穿过隧道。</v>
      </c>
    </row>
    <row r="35534">
      <c r="A35534" s="4" t="s">
        <v>44706</v>
      </c>
      <c r="B35534" s="6" t="s">
        <v>44707</v>
      </c>
      <c r="C35534" s="5" t="str">
        <f>IFERROR(__xludf.DUMMYFUNCTION("GOOGLETRANSLATE(B35534,""en"",""zh-CN"")"),"男人在餐桌上工作，背景中，一个房间中央的男人开始盘旋走路，做舞，屏幕上挂着说唱视频。")</f>
        <v>男人在餐桌上工作，背景中，一个房间中央的男人开始盘旋走路，做舞，屏幕上挂着说唱视频。</v>
      </c>
    </row>
    <row r="35535">
      <c r="A35535" s="4" t="s">
        <v>44706</v>
      </c>
      <c r="B35535" s="4" t="s">
        <v>44708</v>
      </c>
      <c r="C35535" s="5" t="str">
        <f>IFERROR(__xludf.DUMMYFUNCTION("GOOGLETRANSLATE(B35535,""en"",""zh-CN"")"),"屏幕正在播放视频，积分位于右侧。")</f>
        <v>屏幕正在播放视频，积分位于右侧。</v>
      </c>
    </row>
    <row r="35536">
      <c r="A35536" s="4" t="s">
        <v>44709</v>
      </c>
      <c r="B35536" s="4" t="s">
        <v>44710</v>
      </c>
      <c r="C35536" s="5" t="str">
        <f>IFERROR(__xludf.DUMMYFUNCTION("GOOGLETRANSLATE(B35536,""en"",""zh-CN"")"),"曲棍球运动员受伤，教练从冰上帮助。")</f>
        <v>曲棍球运动员受伤，教练从冰上帮助。</v>
      </c>
    </row>
    <row r="35537">
      <c r="A35537" s="4" t="s">
        <v>44709</v>
      </c>
      <c r="B35537" s="4" t="s">
        <v>44711</v>
      </c>
      <c r="C35537" s="5" t="str">
        <f>IFERROR(__xludf.DUMMYFUNCTION("GOOGLETRANSLATE(B35537,""en"",""zh-CN"")"),"曲棍球运动员被教练从冰上护送。")</f>
        <v>曲棍球运动员被教练从冰上护送。</v>
      </c>
    </row>
    <row r="35538">
      <c r="A35538" s="4" t="s">
        <v>44709</v>
      </c>
      <c r="B35538" s="4" t="s">
        <v>44712</v>
      </c>
      <c r="C35538" s="5" t="str">
        <f>IFERROR(__xludf.DUMMYFUNCTION("GOOGLETRANSLATE(B35538,""en"",""zh-CN"")"),"一个重播显示曲棍球运动员被冰球击中，他跌倒了。")</f>
        <v>一个重播显示曲棍球运动员被冰球击中，他跌倒了。</v>
      </c>
    </row>
    <row r="35539">
      <c r="A35539" s="4" t="s">
        <v>44709</v>
      </c>
      <c r="B35539" s="4" t="s">
        <v>44713</v>
      </c>
      <c r="C35539" s="5" t="str">
        <f>IFERROR(__xludf.DUMMYFUNCTION("GOOGLETRANSLATE(B35539,""en"",""zh-CN"")"),"团队围成一圈站在一起，面对面开始比赛。")</f>
        <v>团队围成一圈站在一起，面对面开始比赛。</v>
      </c>
    </row>
    <row r="35540">
      <c r="A35540" s="4" t="s">
        <v>44709</v>
      </c>
      <c r="B35540" s="4" t="s">
        <v>44714</v>
      </c>
      <c r="C35540" s="5" t="str">
        <f>IFERROR(__xludf.DUMMYFUNCTION("GOOGLETRANSLATE(B35540,""en"",""zh-CN"")"),"曲棍球运动员在来回传球的冰上玩游戏。")</f>
        <v>曲棍球运动员在来回传球的冰上玩游戏。</v>
      </c>
    </row>
    <row r="35541">
      <c r="A35541" s="4" t="s">
        <v>44715</v>
      </c>
      <c r="B35541" s="4" t="s">
        <v>44716</v>
      </c>
      <c r="C35541" s="5" t="str">
        <f>IFERROR(__xludf.DUMMYFUNCTION("GOOGLETRANSLATE(B35541,""en"",""zh-CN"")"),"我们在开放屏幕上看到水。")</f>
        <v>我们在开放屏幕上看到水。</v>
      </c>
    </row>
    <row r="35542">
      <c r="A35542" s="4" t="s">
        <v>44715</v>
      </c>
      <c r="B35542" s="4" t="s">
        <v>44717</v>
      </c>
      <c r="C35542" s="5" t="str">
        <f>IFERROR(__xludf.DUMMYFUNCTION("GOOGLETRANSLATE(B35542,""en"",""zh-CN"")"),"一个人跪下时正在测量和切地毯。")</f>
        <v>一个人跪下时正在测量和切地毯。</v>
      </c>
    </row>
    <row r="35543">
      <c r="A35543" s="4" t="s">
        <v>44715</v>
      </c>
      <c r="B35543" s="4" t="s">
        <v>44718</v>
      </c>
      <c r="C35543" s="5" t="str">
        <f>IFERROR(__xludf.DUMMYFUNCTION("GOOGLETRANSLATE(B35543,""en"",""zh-CN"")"),"该男子添加了条带，并将工具放入接缝中。")</f>
        <v>该男子添加了条带，并将工具放入接缝中。</v>
      </c>
    </row>
    <row r="35544">
      <c r="A35544" s="4" t="s">
        <v>44715</v>
      </c>
      <c r="B35544" s="4" t="s">
        <v>44719</v>
      </c>
      <c r="C35544" s="5" t="str">
        <f>IFERROR(__xludf.DUMMYFUNCTION("GOOGLETRANSLATE(B35544,""en"",""zh-CN"")"),"该男子反复在接缝上运行黑色物品，然后站立。")</f>
        <v>该男子反复在接缝上运行黑色物品，然后站立。</v>
      </c>
    </row>
    <row r="35545">
      <c r="A35545" s="4" t="s">
        <v>44715</v>
      </c>
      <c r="B35545" s="4" t="s">
        <v>2892</v>
      </c>
      <c r="C35545" s="5" t="str">
        <f>IFERROR(__xludf.DUMMYFUNCTION("GOOGLETRANSLATE(B35545,""en"",""zh-CN"")"),"我们看到关闭标题屏幕。")</f>
        <v>我们看到关闭标题屏幕。</v>
      </c>
    </row>
    <row r="35546">
      <c r="A35546" s="4" t="s">
        <v>44720</v>
      </c>
      <c r="B35546" s="6" t="s">
        <v>44721</v>
      </c>
      <c r="C35546" s="5" t="str">
        <f>IFERROR(__xludf.DUMMYFUNCTION("GOOGLETRANSLATE(B35546,""en"",""zh-CN"")"),"看到有两个男人在一个封闭的房间里奔跑，拿着网球球拍，在房间周围撞到一个球。")</f>
        <v>看到有两个男人在一个封闭的房间里奔跑，拿着网球球拍，在房间周围撞到一个球。</v>
      </c>
    </row>
    <row r="35547">
      <c r="A35547" s="4" t="s">
        <v>44720</v>
      </c>
      <c r="B35547" s="6" t="s">
        <v>44722</v>
      </c>
      <c r="C35547" s="5" t="str">
        <f>IFERROR(__xludf.DUMMYFUNCTION("GOOGLETRANSLATE(B35547,""en"",""zh-CN"")"),"当相机继续跟随他们的动作时，这些人继续在房间周围击球。")</f>
        <v>当相机继续跟随他们的动作时，这些人继续在房间周围击球。</v>
      </c>
    </row>
    <row r="35548">
      <c r="A35548" s="4" t="s">
        <v>44723</v>
      </c>
      <c r="B35548" s="4" t="s">
        <v>44724</v>
      </c>
      <c r="C35548" s="5" t="str">
        <f>IFERROR(__xludf.DUMMYFUNCTION("GOOGLETRANSLATE(B35548,""en"",""zh-CN"")"),"男人或多或少与排球同步。")</f>
        <v>男人或多或少与排球同步。</v>
      </c>
    </row>
    <row r="35549">
      <c r="A35549" s="4" t="s">
        <v>44723</v>
      </c>
      <c r="B35549" s="4" t="s">
        <v>44725</v>
      </c>
      <c r="C35549" s="5" t="str">
        <f>IFERROR(__xludf.DUMMYFUNCTION("GOOGLETRANSLATE(B35549,""en"",""zh-CN"")"),"他们停下来，将一个圆圈放在游泳池中，开始互相扔球。")</f>
        <v>他们停下来，将一个圆圈放在游泳池中，开始互相扔球。</v>
      </c>
    </row>
    <row r="35550">
      <c r="A35550" s="4" t="s">
        <v>44723</v>
      </c>
      <c r="B35550" s="4" t="s">
        <v>44726</v>
      </c>
      <c r="C35550" s="5" t="str">
        <f>IFERROR(__xludf.DUMMYFUNCTION("GOOGLETRANSLATE(B35550,""en"",""zh-CN"")"),"之后，他们开始游泳和扔一点。")</f>
        <v>之后，他们开始游泳和扔一点。</v>
      </c>
    </row>
    <row r="35551">
      <c r="A35551" s="4" t="s">
        <v>44723</v>
      </c>
      <c r="B35551" s="4" t="s">
        <v>44727</v>
      </c>
      <c r="C35551" s="5" t="str">
        <f>IFERROR(__xludf.DUMMYFUNCTION("GOOGLETRANSLATE(B35551,""en"",""zh-CN"")"),"之后，他们将所有内容放在一起，每个人都加入了比赛。")</f>
        <v>之后，他们将所有内容放在一起，每个人都加入了比赛。</v>
      </c>
    </row>
    <row r="35552">
      <c r="A35552" s="4" t="s">
        <v>44728</v>
      </c>
      <c r="B35552" s="4" t="s">
        <v>44729</v>
      </c>
      <c r="C35552" s="5" t="str">
        <f>IFERROR(__xludf.DUMMYFUNCTION("GOOGLETRANSLATE(B35552,""en"",""zh-CN"")"),"一个坐在餐厅餐桌的孩子将手放在甜点中。")</f>
        <v>一个坐在餐厅餐桌的孩子将手放在甜点中。</v>
      </c>
    </row>
    <row r="35553">
      <c r="A35553" s="4" t="s">
        <v>44728</v>
      </c>
      <c r="B35553" s="4" t="s">
        <v>44730</v>
      </c>
      <c r="C35553" s="5" t="str">
        <f>IFERROR(__xludf.DUMMYFUNCTION("GOOGLETRANSLATE(B35553,""en"",""zh-CN"")"),"孩子用手吃食物。")</f>
        <v>孩子用手吃食物。</v>
      </c>
    </row>
    <row r="35554">
      <c r="A35554" s="4" t="s">
        <v>44728</v>
      </c>
      <c r="B35554" s="4" t="s">
        <v>44731</v>
      </c>
      <c r="C35554" s="5" t="str">
        <f>IFERROR(__xludf.DUMMYFUNCTION("GOOGLETRANSLATE(B35554,""en"",""zh-CN"")"),"成年人阻止孩子将食物洒在地板上，并帮助他喂养他。")</f>
        <v>成年人阻止孩子将食物洒在地板上，并帮助他喂养他。</v>
      </c>
    </row>
    <row r="35555">
      <c r="A35555" s="4" t="s">
        <v>44732</v>
      </c>
      <c r="B35555" s="4" t="s">
        <v>44733</v>
      </c>
      <c r="C35555" s="5" t="str">
        <f>IFERROR(__xludf.DUMMYFUNCTION("GOOGLETRANSLATE(B35555,""en"",""zh-CN"")"),"该视频开始显示屋顶公司的公司徽标。")</f>
        <v>该视频开始显示屋顶公司的公司徽标。</v>
      </c>
    </row>
    <row r="35556">
      <c r="A35556" s="4" t="s">
        <v>44732</v>
      </c>
      <c r="B35556" s="4" t="s">
        <v>44734</v>
      </c>
      <c r="C35556" s="5" t="str">
        <f>IFERROR(__xludf.DUMMYFUNCTION("GOOGLETRANSLATE(B35556,""en"",""zh-CN"")"),"听到声音背诵在屋顶上施加脊的步骤。")</f>
        <v>听到声音背诵在屋顶上施加脊的步骤。</v>
      </c>
    </row>
    <row r="35557">
      <c r="A35557" s="4" t="s">
        <v>44732</v>
      </c>
      <c r="B35557" s="4" t="s">
        <v>44735</v>
      </c>
      <c r="C35557" s="5" t="str">
        <f>IFERROR(__xludf.DUMMYFUNCTION("GOOGLETRANSLATE(B35557,""en"",""zh-CN"")"),"当声音背诵步骤时，在视频中显示了一个老人，将这些步骤执行到屋顶。")</f>
        <v>当声音背诵步骤时，在视频中显示了一个老人，将这些步骤执行到屋顶。</v>
      </c>
    </row>
    <row r="35558">
      <c r="A35558" s="4" t="s">
        <v>44732</v>
      </c>
      <c r="B35558" s="4" t="s">
        <v>44736</v>
      </c>
      <c r="C35558" s="5" t="str">
        <f>IFERROR(__xludf.DUMMYFUNCTION("GOOGLETRANSLATE(B35558,""en"",""zh-CN"")"),"正如声音所说的步骤完成的那样，最后一枪显示了完整的山脊的特写。")</f>
        <v>正如声音所说的步骤完成的那样，最后一枪显示了完整的山脊的特写。</v>
      </c>
    </row>
    <row r="35559">
      <c r="A35559" s="4" t="s">
        <v>44732</v>
      </c>
      <c r="B35559" s="4" t="s">
        <v>44737</v>
      </c>
      <c r="C35559" s="5" t="str">
        <f>IFERROR(__xludf.DUMMYFUNCTION("GOOGLETRANSLATE(B35559,""en"",""zh-CN"")"),"视频以公司徽标结尾。")</f>
        <v>视频以公司徽标结尾。</v>
      </c>
    </row>
    <row r="35560">
      <c r="A35560" s="4" t="s">
        <v>44738</v>
      </c>
      <c r="B35560" s="4" t="s">
        <v>44739</v>
      </c>
      <c r="C35560" s="5" t="str">
        <f>IFERROR(__xludf.DUMMYFUNCTION("GOOGLETRANSLATE(B35560,""en"",""zh-CN"")"),"一个年轻人在与镜头交谈时正在浴室水槽里洗衣服。")</f>
        <v>一个年轻人在与镜头交谈时正在浴室水槽里洗衣服。</v>
      </c>
    </row>
    <row r="35561">
      <c r="A35561" s="4" t="s">
        <v>44738</v>
      </c>
      <c r="B35561" s="4" t="s">
        <v>44740</v>
      </c>
      <c r="C35561" s="5" t="str">
        <f>IFERROR(__xludf.DUMMYFUNCTION("GOOGLETRANSLATE(B35561,""en"",""zh-CN"")"),"最初，他开始用双手洗衣服。")</f>
        <v>最初，他开始用双手洗衣服。</v>
      </c>
    </row>
    <row r="35562">
      <c r="A35562" s="4" t="s">
        <v>44738</v>
      </c>
      <c r="B35562" s="4" t="s">
        <v>44741</v>
      </c>
      <c r="C35562" s="5" t="str">
        <f>IFERROR(__xludf.DUMMYFUNCTION("GOOGLETRANSLATE(B35562,""en"",""zh-CN"")"),"之后，他在水槽中使用两个不同的瓶子添加了更多的肥皂。")</f>
        <v>之后，他在水槽中使用两个不同的瓶子添加了更多的肥皂。</v>
      </c>
    </row>
    <row r="35563">
      <c r="A35563" s="4" t="s">
        <v>44738</v>
      </c>
      <c r="B35563" s="4" t="s">
        <v>44742</v>
      </c>
      <c r="C35563" s="5" t="str">
        <f>IFERROR(__xludf.DUMMYFUNCTION("GOOGLETRANSLATE(B35563,""en"",""zh-CN"")"),"随后，他在与镜头说话时继续洗衣服。")</f>
        <v>随后，他在与镜头说话时继续洗衣服。</v>
      </c>
    </row>
    <row r="35564">
      <c r="A35564" s="4" t="s">
        <v>44743</v>
      </c>
      <c r="B35564" s="6" t="s">
        <v>44744</v>
      </c>
      <c r="C35564" s="5" t="str">
        <f>IFERROR(__xludf.DUMMYFUNCTION("GOOGLETRANSLATE(B35564,""en"",""zh-CN"")"),"一个穿着带有图形设计的黑色衬衫的男人坐在桌子旁，上面放着酒瓶和振动器。")</f>
        <v>一个穿着带有图形设计的黑色衬衫的男人坐在桌子旁，上面放着酒瓶和振动器。</v>
      </c>
    </row>
    <row r="35565">
      <c r="A35565" s="4" t="s">
        <v>44743</v>
      </c>
      <c r="B35565" s="4" t="s">
        <v>44745</v>
      </c>
      <c r="C35565" s="5" t="str">
        <f>IFERROR(__xludf.DUMMYFUNCTION("GOOGLETRANSLATE(B35565,""en"",""zh-CN"")"),"他是一个演示如何制作季节性酒精饮料的。")</f>
        <v>他是一个演示如何制作季节性酒精饮料的。</v>
      </c>
    </row>
    <row r="35566">
      <c r="A35566" s="4" t="s">
        <v>44743</v>
      </c>
      <c r="B35566" s="4" t="s">
        <v>44746</v>
      </c>
      <c r="C35566" s="5" t="str">
        <f>IFERROR(__xludf.DUMMYFUNCTION("GOOGLETRANSLATE(B35566,""en"",""zh-CN"")"),"他拿起将要用于饮料的酒瓶。")</f>
        <v>他拿起将要用于饮料的酒瓶。</v>
      </c>
    </row>
    <row r="35567">
      <c r="A35567" s="4" t="s">
        <v>44743</v>
      </c>
      <c r="B35567" s="4" t="s">
        <v>44747</v>
      </c>
      <c r="C35567" s="5" t="str">
        <f>IFERROR(__xludf.DUMMYFUNCTION("GOOGLETRANSLATE(B35567,""en"",""zh-CN"")"),"他使用JIGGE进行测量，然后将必要的成分倒入振动器中。")</f>
        <v>他使用JIGGE进行测量，然后将必要的成分倒入振动器中。</v>
      </c>
    </row>
    <row r="35568">
      <c r="A35568" s="4" t="s">
        <v>44743</v>
      </c>
      <c r="B35568" s="4" t="s">
        <v>44748</v>
      </c>
      <c r="C35568" s="5" t="str">
        <f>IFERROR(__xludf.DUMMYFUNCTION("GOOGLETRANSLATE(B35568,""en"",""zh-CN"")"),"然后，他在混合物中添加了一些奶油。")</f>
        <v>然后，他在混合物中添加了一些奶油。</v>
      </c>
    </row>
    <row r="35569">
      <c r="A35569" s="4" t="s">
        <v>44743</v>
      </c>
      <c r="B35569" s="4" t="s">
        <v>44749</v>
      </c>
      <c r="C35569" s="5" t="str">
        <f>IFERROR(__xludf.DUMMYFUNCTION("GOOGLETRANSLATE(B35569,""en"",""zh-CN"")"),"他在振动器中添加了几块冰。")</f>
        <v>他在振动器中添加了几块冰。</v>
      </c>
    </row>
    <row r="35570">
      <c r="A35570" s="4" t="s">
        <v>44743</v>
      </c>
      <c r="B35570" s="4" t="s">
        <v>44750</v>
      </c>
      <c r="C35570" s="5" t="str">
        <f>IFERROR(__xludf.DUMMYFUNCTION("GOOGLETRANSLATE(B35570,""en"",""zh-CN"")"),"然后，他剧烈摇晃饮料，然后倒入圆锥形玻璃杯中。")</f>
        <v>然后，他剧烈摇晃饮料，然后倒入圆锥形玻璃杯中。</v>
      </c>
    </row>
    <row r="35571">
      <c r="A35571" s="4" t="s">
        <v>44743</v>
      </c>
      <c r="B35571" s="4" t="s">
        <v>44751</v>
      </c>
      <c r="C35571" s="5" t="str">
        <f>IFERROR(__xludf.DUMMYFUNCTION("GOOGLETRANSLATE(B35571,""en"",""zh-CN"")"),"然后，他用罐子从饮料上放上饮料，然后将樱桃放在顶部。")</f>
        <v>然后，他用罐子从饮料上放上饮料，然后将樱桃放在顶部。</v>
      </c>
    </row>
    <row r="35572">
      <c r="A35572" s="4" t="s">
        <v>44743</v>
      </c>
      <c r="B35572" s="4" t="s">
        <v>44752</v>
      </c>
      <c r="C35572" s="5" t="str">
        <f>IFERROR(__xludf.DUMMYFUNCTION("GOOGLETRANSLATE(B35572,""en"",""zh-CN"")"),"他提供了有关他的Facebook页面和其他详细信息的信息。")</f>
        <v>他提供了有关他的Facebook页面和其他详细信息的信息。</v>
      </c>
    </row>
    <row r="35573">
      <c r="A35573" s="4" t="s">
        <v>44753</v>
      </c>
      <c r="B35573" s="4" t="s">
        <v>44754</v>
      </c>
      <c r="C35573" s="5" t="str">
        <f>IFERROR(__xludf.DUMMYFUNCTION("GOOGLETRANSLATE(B35573,""en"",""zh-CN"")"),"一个女人在板上使用铁。")</f>
        <v>一个女人在板上使用铁。</v>
      </c>
    </row>
    <row r="35574">
      <c r="A35574" s="4" t="s">
        <v>44753</v>
      </c>
      <c r="B35574" s="4" t="s">
        <v>44755</v>
      </c>
      <c r="C35574" s="5" t="str">
        <f>IFERROR(__xludf.DUMMYFUNCTION("GOOGLETRANSLATE(B35574,""en"",""zh-CN"")"),"她正在展示如何熨烫婴儿衣服。")</f>
        <v>她正在展示如何熨烫婴儿衣服。</v>
      </c>
    </row>
    <row r="35575">
      <c r="A35575" s="4" t="s">
        <v>44753</v>
      </c>
      <c r="B35575" s="4" t="s">
        <v>44756</v>
      </c>
      <c r="C35575" s="5" t="str">
        <f>IFERROR(__xludf.DUMMYFUNCTION("GOOGLETRANSLATE(B35575,""en"",""zh-CN"")"),"她翻转衣服，随身携带。")</f>
        <v>她翻转衣服，随身携带。</v>
      </c>
    </row>
    <row r="35576">
      <c r="A35576" s="4" t="s">
        <v>44757</v>
      </c>
      <c r="B35576" s="4" t="s">
        <v>44758</v>
      </c>
      <c r="C35576" s="5" t="str">
        <f>IFERROR(__xludf.DUMMYFUNCTION("GOOGLETRANSLATE(B35576,""en"",""zh-CN"")"),"一个男人插上割草机，然后将割草机推到后院的草地上。")</f>
        <v>一个男人插上割草机，然后将割草机推到后院的草地上。</v>
      </c>
    </row>
    <row r="35577">
      <c r="A35577" s="4" t="s">
        <v>44757</v>
      </c>
      <c r="B35577" s="4" t="s">
        <v>44759</v>
      </c>
      <c r="C35577" s="5" t="str">
        <f>IFERROR(__xludf.DUMMYFUNCTION("GOOGLETRANSLATE(B35577,""en"",""zh-CN"")"),"之后，该男子用花园剪刀在边界上砍伐草。")</f>
        <v>之后，该男子用花园剪刀在边界上砍伐草。</v>
      </c>
    </row>
    <row r="35578">
      <c r="A35578" s="4" t="s">
        <v>44760</v>
      </c>
      <c r="B35578" s="4" t="s">
        <v>44761</v>
      </c>
      <c r="C35578" s="5" t="str">
        <f>IFERROR(__xludf.DUMMYFUNCTION("GOOGLETRANSLATE(B35578,""en"",""zh-CN"")"),"两名摔跤手争吵不休。")</f>
        <v>两名摔跤手争吵不休。</v>
      </c>
    </row>
    <row r="35579">
      <c r="A35579" s="4" t="s">
        <v>44760</v>
      </c>
      <c r="B35579" s="4" t="s">
        <v>44762</v>
      </c>
      <c r="C35579" s="5" t="str">
        <f>IFERROR(__xludf.DUMMYFUNCTION("GOOGLETRANSLATE(B35579,""en"",""zh-CN"")"),"裁判依靠，指导他们做什么。")</f>
        <v>裁判依靠，指导他们做什么。</v>
      </c>
    </row>
    <row r="35580">
      <c r="A35580" s="4" t="s">
        <v>44760</v>
      </c>
      <c r="B35580" s="4" t="s">
        <v>44763</v>
      </c>
      <c r="C35580" s="5" t="str">
        <f>IFERROR(__xludf.DUMMYFUNCTION("GOOGLETRANSLATE(B35580,""en"",""zh-CN"")"),"他们终于摔跤了。")</f>
        <v>他们终于摔跤了。</v>
      </c>
    </row>
    <row r="35581">
      <c r="A35581" s="4" t="s">
        <v>44760</v>
      </c>
      <c r="B35581" s="4" t="s">
        <v>44764</v>
      </c>
      <c r="C35581" s="5" t="str">
        <f>IFERROR(__xludf.DUMMYFUNCTION("GOOGLETRANSLATE(B35581,""en"",""zh-CN"")"),"他们周围的人群欢呼雀跃。")</f>
        <v>他们周围的人群欢呼雀跃。</v>
      </c>
    </row>
    <row r="35582">
      <c r="A35582" s="4" t="s">
        <v>44760</v>
      </c>
      <c r="B35582" s="4" t="s">
        <v>44765</v>
      </c>
      <c r="C35582" s="5" t="str">
        <f>IFERROR(__xludf.DUMMYFUNCTION("GOOGLETRANSLATE(B35582,""en"",""zh-CN"")"),"一个家伙跳上戒指，开始与其中一位摔跤手打架。")</f>
        <v>一个家伙跳上戒指，开始与其中一位摔跤手打架。</v>
      </c>
    </row>
    <row r="35583">
      <c r="A35583" s="4" t="s">
        <v>44760</v>
      </c>
      <c r="B35583" s="6" t="s">
        <v>44766</v>
      </c>
      <c r="C35583" s="5" t="str">
        <f>IFERROR(__xludf.DUMMYFUNCTION("GOOGLETRANSLATE(B35583,""en"",""zh-CN"")"),"该男子离开了戒指，摔跤手接近另一名摔跤手，将他殴打到了地上。")</f>
        <v>该男子离开了戒指，摔跤手接近另一名摔跤手，将他殴打到了地上。</v>
      </c>
    </row>
    <row r="35584">
      <c r="A35584" s="4" t="s">
        <v>44760</v>
      </c>
      <c r="B35584" s="4" t="s">
        <v>44767</v>
      </c>
      <c r="C35584" s="5" t="str">
        <f>IFERROR(__xludf.DUMMYFUNCTION("GOOGLETRANSLATE(B35584,""en"",""zh-CN"")"),"摔跤手庆祝他的胜利。")</f>
        <v>摔跤手庆祝他的胜利。</v>
      </c>
    </row>
    <row r="35585">
      <c r="A35585" s="4" t="s">
        <v>44768</v>
      </c>
      <c r="B35585" s="6" t="s">
        <v>44769</v>
      </c>
      <c r="C35585" s="5" t="str">
        <f>IFERROR(__xludf.DUMMYFUNCTION("GOOGLETRANSLATE(B35585,""en"",""zh-CN"")"),"两个小男孩耙在后院留下，而一个小女孩在耙子时看着并和他们一起散步。")</f>
        <v>两个小男孩耙在后院留下，而一个小女孩在耙子时看着并和他们一起散步。</v>
      </c>
    </row>
    <row r="35586">
      <c r="A35586" s="4" t="s">
        <v>44768</v>
      </c>
      <c r="B35586" s="6" t="s">
        <v>44770</v>
      </c>
      <c r="C35586" s="5" t="str">
        <f>IFERROR(__xludf.DUMMYFUNCTION("GOOGLETRANSLATE(B35586,""en"",""zh-CN"")"),"两个小男孩的耙子带着红色的耙子叶，一个小女孩看着它们，在耙子时闲逛。")</f>
        <v>两个小男孩的耙子带着红色的耙子叶，一个小女孩看着它们，在耙子时闲逛。</v>
      </c>
    </row>
    <row r="35587">
      <c r="A35587" s="4" t="s">
        <v>44768</v>
      </c>
      <c r="B35587" s="4" t="s">
        <v>44771</v>
      </c>
      <c r="C35587" s="5" t="str">
        <f>IFERROR(__xludf.DUMMYFUNCTION("GOOGLETRANSLATE(B35587,""en"",""zh-CN"")"),"两个男孩开始向右倾斜草坪，小女孩在他们身后跑来跑去。")</f>
        <v>两个男孩开始向右倾斜草坪，小女孩在他们身后跑来跑去。</v>
      </c>
    </row>
    <row r="35588">
      <c r="A35588" s="4" t="s">
        <v>44768</v>
      </c>
      <c r="B35588" s="4" t="s">
        <v>44772</v>
      </c>
      <c r="C35588" s="5" t="str">
        <f>IFERROR(__xludf.DUMMYFUNCTION("GOOGLETRANSLATE(B35588,""en"",""zh-CN"")"),"然后，男孩们转过身，开始向草坪的右侧倾斜。")</f>
        <v>然后，男孩们转过身，开始向草坪的右侧倾斜。</v>
      </c>
    </row>
    <row r="35589">
      <c r="A35589" s="4" t="s">
        <v>44773</v>
      </c>
      <c r="B35589" s="6" t="s">
        <v>44774</v>
      </c>
      <c r="C35589" s="5" t="str">
        <f>IFERROR(__xludf.DUMMYFUNCTION("GOOGLETRANSLATE(B35589,""en"",""zh-CN"")"),"小孩站在一个游泳池里，在水中挤出一个黄色的水桶，其他佩尔佩坐在游泳池周围的长凳上。")</f>
        <v>小孩站在一个游泳池里，在水中挤出一个黄色的水桶，其他佩尔佩坐在游泳池周围的长凳上。</v>
      </c>
    </row>
    <row r="35590">
      <c r="A35590" s="4" t="s">
        <v>44773</v>
      </c>
      <c r="B35590" s="6" t="s">
        <v>44775</v>
      </c>
      <c r="C35590" s="5" t="str">
        <f>IFERROR(__xludf.DUMMYFUNCTION("GOOGLETRANSLATE(B35590,""en"",""zh-CN"")"),"女人把孩子抱在他的背上，然后她和一个男人在一起，孩子在公园里骑自行车。")</f>
        <v>女人把孩子抱在他的背上，然后她和一个男人在一起，孩子在公园里骑自行车。</v>
      </c>
    </row>
    <row r="35591">
      <c r="A35591" s="4" t="s">
        <v>44773</v>
      </c>
      <c r="B35591" s="4" t="s">
        <v>44776</v>
      </c>
      <c r="C35591" s="5" t="str">
        <f>IFERROR(__xludf.DUMMYFUNCTION("GOOGLETRANSLATE(B35591,""en"",""zh-CN"")"),"孩子在屋顶篮球场内跑来跑去。")</f>
        <v>孩子在屋顶篮球场内跑来跑去。</v>
      </c>
    </row>
    <row r="35592">
      <c r="A35592" s="4" t="s">
        <v>44773</v>
      </c>
      <c r="B35592" s="4" t="s">
        <v>44777</v>
      </c>
      <c r="C35592" s="5" t="str">
        <f>IFERROR(__xludf.DUMMYFUNCTION("GOOGLETRANSLATE(B35592,""en"",""zh-CN"")"),"孩子躺在网球拍上。")</f>
        <v>孩子躺在网球拍上。</v>
      </c>
    </row>
    <row r="35593">
      <c r="A35593" s="4" t="s">
        <v>44778</v>
      </c>
      <c r="B35593" s="4" t="s">
        <v>44779</v>
      </c>
      <c r="C35593" s="5" t="str">
        <f>IFERROR(__xludf.DUMMYFUNCTION("GOOGLETRANSLATE(B35593,""en"",""zh-CN"")"),"一个男孩站在操场上的跳绳旁边。")</f>
        <v>一个男孩站在操场上的跳绳旁边。</v>
      </c>
    </row>
    <row r="35594">
      <c r="A35594" s="4" t="s">
        <v>44778</v>
      </c>
      <c r="B35594" s="4" t="s">
        <v>44780</v>
      </c>
      <c r="C35594" s="5" t="str">
        <f>IFERROR(__xludf.DUMMYFUNCTION("GOOGLETRANSLATE(B35594,""en"",""zh-CN"")"),"一个人在白色垫子上跳绳。")</f>
        <v>一个人在白色垫子上跳绳。</v>
      </c>
    </row>
    <row r="35595">
      <c r="A35595" s="4" t="s">
        <v>44778</v>
      </c>
      <c r="B35595" s="4" t="s">
        <v>44781</v>
      </c>
      <c r="C35595" s="5" t="str">
        <f>IFERROR(__xludf.DUMMYFUNCTION("GOOGLETRANSLATE(B35595,""en"",""zh-CN"")"),"一个男人跪在红色桌子前的地面上。")</f>
        <v>一个男人跪在红色桌子前的地面上。</v>
      </c>
    </row>
    <row r="35596">
      <c r="A35596" s="4" t="s">
        <v>44778</v>
      </c>
      <c r="B35596" s="4" t="s">
        <v>44782</v>
      </c>
      <c r="C35596" s="5" t="str">
        <f>IFERROR(__xludf.DUMMYFUNCTION("GOOGLETRANSLATE(B35596,""en"",""zh-CN"")"),"他起身开始跳绳。")</f>
        <v>他起身开始跳绳。</v>
      </c>
    </row>
    <row r="35597">
      <c r="A35597" s="4" t="s">
        <v>44783</v>
      </c>
      <c r="B35597" s="4" t="s">
        <v>44784</v>
      </c>
      <c r="C35597" s="5" t="str">
        <f>IFERROR(__xludf.DUMMYFUNCTION("GOOGLETRANSLATE(B35597,""en"",""zh-CN"")"),"一个孩子在双杆不平衡的条上表演，同时翻转杆。")</f>
        <v>一个孩子在双杆不平衡的条上表演，同时翻转杆。</v>
      </c>
    </row>
    <row r="35598">
      <c r="A35598" s="4" t="s">
        <v>44783</v>
      </c>
      <c r="B35598" s="4" t="s">
        <v>44785</v>
      </c>
      <c r="C35598" s="5" t="str">
        <f>IFERROR(__xludf.DUMMYFUNCTION("GOOGLETRANSLATE(B35598,""en"",""zh-CN"")"),"然后，孩子翻转和陆地站在地板上，然后走路。")</f>
        <v>然后，孩子翻转和陆地站在地板上，然后走路。</v>
      </c>
    </row>
    <row r="35599">
      <c r="A35599" s="4" t="s">
        <v>44786</v>
      </c>
      <c r="B35599" s="6" t="s">
        <v>44787</v>
      </c>
      <c r="C35599" s="5" t="str">
        <f>IFERROR(__xludf.DUMMYFUNCTION("GOOGLETRANSLATE(B35599,""en"",""zh-CN"")"),"该视频导致了几个轨道跑步者跳过酒吧的剪辑，他们的跳跃再次以慢动作显示。")</f>
        <v>该视频导致了几个轨道跑步者跳过酒吧的剪辑，他们的跳跃再次以慢动作显示。</v>
      </c>
    </row>
    <row r="35600">
      <c r="A35600" s="4" t="s">
        <v>44786</v>
      </c>
      <c r="B35600" s="6" t="s">
        <v>44788</v>
      </c>
      <c r="C35600" s="5" t="str">
        <f>IFERROR(__xludf.DUMMYFUNCTION("GOOGLETRANSLATE(B35600,""en"",""zh-CN"")"),"还显示了更多的人在酒吧跳过酒吧，而没有跳过。")</f>
        <v>还显示了更多的人在酒吧跳过酒吧，而没有跳过。</v>
      </c>
    </row>
    <row r="35601">
      <c r="A35601" s="4" t="s">
        <v>44789</v>
      </c>
      <c r="B35601" s="4" t="s">
        <v>44790</v>
      </c>
      <c r="C35601" s="5" t="str">
        <f>IFERROR(__xludf.DUMMYFUNCTION("GOOGLETRANSLATE(B35601,""en"",""zh-CN"")"),"一个男孩坐在车轮后面，开车并与汽车中的其他乘客交谈。")</f>
        <v>一个男孩坐在车轮后面，开车并与汽车中的其他乘客交谈。</v>
      </c>
    </row>
    <row r="35602">
      <c r="A35602" s="4" t="s">
        <v>44789</v>
      </c>
      <c r="B35602" s="6" t="s">
        <v>44791</v>
      </c>
      <c r="C35602" s="5" t="str">
        <f>IFERROR(__xludf.DUMMYFUNCTION("GOOGLETRANSLATE(B35602,""en"",""zh-CN"")"),"当当时的人们之间的摄像机锅里时，汽车沿着蜿蜒的高速公路行驶。")</f>
        <v>当当时的人们之间的摄像机锅里时，汽车沿着蜿蜒的高速公路行驶。</v>
      </c>
    </row>
    <row r="35603">
      <c r="A35603" s="4" t="s">
        <v>44789</v>
      </c>
      <c r="B35603" s="6" t="s">
        <v>44792</v>
      </c>
      <c r="C35603" s="5" t="str">
        <f>IFERROR(__xludf.DUMMYFUNCTION("GOOGLETRANSLATE(B35603,""en"",""zh-CN"")"),"汽车中的人们最终到达了一个雪覆盖的斜坡，他们穿着滑雪服，开始在斜坡上滑雪，沿着山上走，跳下高架平台。")</f>
        <v>汽车中的人们最终到达了一个雪覆盖的斜坡，他们穿着滑雪服，开始在斜坡上滑雪，沿着山上走，跳下高架平台。</v>
      </c>
    </row>
    <row r="35604">
      <c r="A35604" s="4" t="s">
        <v>44789</v>
      </c>
      <c r="B35604" s="4" t="s">
        <v>44793</v>
      </c>
      <c r="C35604" s="5" t="str">
        <f>IFERROR(__xludf.DUMMYFUNCTION("GOOGLETRANSLATE(B35604,""en"",""zh-CN"")"),"男孩的某一时刻落在地面上，挤在雪地上的胎儿位置。")</f>
        <v>男孩的某一时刻落在地面上，挤在雪地上的胎儿位置。</v>
      </c>
    </row>
    <row r="35605">
      <c r="A35605" s="4" t="s">
        <v>44789</v>
      </c>
      <c r="B35605" s="6" t="s">
        <v>44794</v>
      </c>
      <c r="C35605" s="5" t="str">
        <f>IFERROR(__xludf.DUMMYFUNCTION("GOOGLETRANSLATE(B35605,""en"",""zh-CN"")"),"然后，现场将男孩们切成厨房里的男孩们，在厨房里放了东西，最后一个男孩站在雪地里遮盖了相机的树林。")</f>
        <v>然后，现场将男孩们切成厨房里的男孩们，在厨房里放了东西，最后一个男孩站在雪地里遮盖了相机的树林。</v>
      </c>
    </row>
    <row r="35606">
      <c r="A35606" s="4" t="s">
        <v>44795</v>
      </c>
      <c r="B35606" s="4" t="s">
        <v>44796</v>
      </c>
      <c r="C35606" s="5" t="str">
        <f>IFERROR(__xludf.DUMMYFUNCTION("GOOGLETRANSLATE(B35606,""en"",""zh-CN"")"),"看到一小群人站在体育馆里，一个男人在前面。")</f>
        <v>看到一小群人站在体育馆里，一个男人在前面。</v>
      </c>
    </row>
    <row r="35607">
      <c r="A35607" s="4" t="s">
        <v>44795</v>
      </c>
      <c r="B35607" s="4" t="s">
        <v>44797</v>
      </c>
      <c r="C35607" s="5" t="str">
        <f>IFERROR(__xludf.DUMMYFUNCTION("GOOGLETRANSLATE(B35607,""en"",""zh-CN"")"),"该男子在涉及地板上的横梁的运动课上带领小组。")</f>
        <v>该男子在涉及地板上的横梁的运动课上带领小组。</v>
      </c>
    </row>
    <row r="35608">
      <c r="A35608" s="4" t="s">
        <v>44795</v>
      </c>
      <c r="B35608" s="4" t="s">
        <v>44798</v>
      </c>
      <c r="C35608" s="5" t="str">
        <f>IFERROR(__xludf.DUMMYFUNCTION("GOOGLETRANSLATE(B35608,""en"",""zh-CN"")"),"当男人拍拍并向小组微笑时，人们在梁上上下移动。")</f>
        <v>当男人拍拍并向小组微笑时，人们在梁上上下移动。</v>
      </c>
    </row>
    <row r="35609">
      <c r="A35609" s="4" t="s">
        <v>44799</v>
      </c>
      <c r="B35609" s="4" t="s">
        <v>44800</v>
      </c>
      <c r="C35609" s="5" t="str">
        <f>IFERROR(__xludf.DUMMYFUNCTION("GOOGLETRANSLATE(B35609,""en"",""zh-CN"")"),"一名体操运动员运行，然后在室内轨道上翻转几次。")</f>
        <v>一名体操运动员运行，然后在室内轨道上翻转几次。</v>
      </c>
    </row>
    <row r="35610">
      <c r="A35610" s="4" t="s">
        <v>44799</v>
      </c>
      <c r="B35610" s="4" t="s">
        <v>44801</v>
      </c>
      <c r="C35610" s="5" t="str">
        <f>IFERROR(__xludf.DUMMYFUNCTION("GOOGLETRANSLATE(B35610,""en"",""zh-CN"")"),"其他女孩也效仿，随着他们的行列迅速翻转。")</f>
        <v>其他女孩也效仿，随着他们的行列迅速翻转。</v>
      </c>
    </row>
    <row r="35611">
      <c r="A35611" s="4" t="s">
        <v>44799</v>
      </c>
      <c r="B35611" s="4" t="s">
        <v>44802</v>
      </c>
      <c r="C35611" s="5" t="str">
        <f>IFERROR(__xludf.DUMMYFUNCTION("GOOGLETRANSLATE(B35611,""en"",""zh-CN"")"),"他们在最后卸下了空中的手臂。")</f>
        <v>他们在最后卸下了空中的手臂。</v>
      </c>
    </row>
    <row r="35612">
      <c r="A35612" s="4" t="s">
        <v>44803</v>
      </c>
      <c r="B35612" s="6" t="s">
        <v>44804</v>
      </c>
      <c r="C35612" s="5" t="str">
        <f>IFERROR(__xludf.DUMMYFUNCTION("GOOGLETRANSLATE(B35612,""en"",""zh-CN"")"),"一个金色的小孩子坐在桌子上，握住触点，将触点放在他的眼睛上。")</f>
        <v>一个金色的小孩子坐在桌子上，握住触点，将触点放在他的眼睛上。</v>
      </c>
    </row>
    <row r="35613">
      <c r="A35613" s="4" t="s">
        <v>44803</v>
      </c>
      <c r="B35613" s="6" t="s">
        <v>44805</v>
      </c>
      <c r="C35613" s="5" t="str">
        <f>IFERROR(__xludf.DUMMYFUNCTION("GOOGLETRANSLATE(B35613,""en"",""zh-CN"")"),"小孩子正在和镜头说话，在桌子里戴着红色的制服，将隐形眼镜放在她的眼睛上。")</f>
        <v>小孩子正在和镜头说话，在桌子里戴着红色的制服，将隐形眼镜放在她的眼睛上。</v>
      </c>
    </row>
    <row r="35614">
      <c r="A35614" s="4" t="s">
        <v>44806</v>
      </c>
      <c r="B35614" s="4" t="s">
        <v>44807</v>
      </c>
      <c r="C35614" s="5" t="str">
        <f>IFERROR(__xludf.DUMMYFUNCTION("GOOGLETRANSLATE(B35614,""en"",""zh-CN"")"),"男人正在屋顶的健身房里跑步，跳高了。")</f>
        <v>男人正在屋顶的健身房里跑步，跳高了。</v>
      </c>
    </row>
    <row r="35615">
      <c r="A35615" s="4" t="s">
        <v>44806</v>
      </c>
      <c r="B35615" s="4" t="s">
        <v>44808</v>
      </c>
      <c r="C35615" s="5" t="str">
        <f>IFERROR(__xludf.DUMMYFUNCTION("GOOGLETRANSLATE(B35615,""en"",""zh-CN"")"),"男人正在屋顶的健身房里做翻筋斗。")</f>
        <v>男人正在屋顶的健身房里做翻筋斗。</v>
      </c>
    </row>
    <row r="35616">
      <c r="A35616" s="4" t="s">
        <v>44806</v>
      </c>
      <c r="B35616" s="4" t="s">
        <v>44809</v>
      </c>
      <c r="C35616" s="5" t="str">
        <f>IFERROR(__xludf.DUMMYFUNCTION("GOOGLETRANSLATE(B35616,""en"",""zh-CN"")"),"两个女人站在跳跃男人的体育馆里。")</f>
        <v>两个女人站在跳跃男人的体育馆里。</v>
      </c>
    </row>
    <row r="35617">
      <c r="A35617" s="4" t="s">
        <v>44806</v>
      </c>
      <c r="B35617" s="4" t="s">
        <v>44810</v>
      </c>
      <c r="C35617" s="5" t="str">
        <f>IFERROR(__xludf.DUMMYFUNCTION("GOOGLETRANSLATE(B35617,""en"",""zh-CN"")"),"男子正在赛马场的屋顶体育馆里做一道翻筋斗。")</f>
        <v>男子正在赛马场的屋顶体育馆里做一道翻筋斗。</v>
      </c>
    </row>
    <row r="35618">
      <c r="A35618" s="4" t="s">
        <v>44811</v>
      </c>
      <c r="B35618" s="6" t="s">
        <v>44812</v>
      </c>
      <c r="C35618" s="5" t="str">
        <f>IFERROR(__xludf.DUMMYFUNCTION("GOOGLETRANSLATE(B35618,""en"",""zh-CN"")"),"有一个女孩体操运动员，穿着紫色紧身衣在大型室内体育场的马吧上翻转，里面装满了观众。")</f>
        <v>有一个女孩体操运动员，穿着紫色紧身衣在大型室内体育场的马吧上翻转，里面装满了观众。</v>
      </c>
    </row>
    <row r="35619">
      <c r="A35619" s="4" t="s">
        <v>44811</v>
      </c>
      <c r="B35619" s="4" t="s">
        <v>44813</v>
      </c>
      <c r="C35619" s="5" t="str">
        <f>IFERROR(__xludf.DUMMYFUNCTION("GOOGLETRANSLATE(B35619,""en"",""zh-CN"")"),"她继续进行前翻​​转，并在马杆上扭动自己的身体。")</f>
        <v>她继续进行前翻​​转，并在马杆上扭动自己的身体。</v>
      </c>
    </row>
    <row r="35620">
      <c r="A35620" s="4" t="s">
        <v>44811</v>
      </c>
      <c r="B35620" s="6" t="s">
        <v>44814</v>
      </c>
      <c r="C35620" s="5" t="str">
        <f>IFERROR(__xludf.DUMMYFUNCTION("GOOGLETRANSLATE(B35620,""en"",""zh-CN"")"),"她走着整个马匹，然后终于跳下马吧，成功地结束了自己的比赛。")</f>
        <v>她走着整个马匹，然后终于跳下马吧，成功地结束了自己的比赛。</v>
      </c>
    </row>
    <row r="35621">
      <c r="A35621" s="4" t="s">
        <v>44811</v>
      </c>
      <c r="B35621" s="4" t="s">
        <v>44815</v>
      </c>
      <c r="C35621" s="5" t="str">
        <f>IFERROR(__xludf.DUMMYFUNCTION("GOOGLETRANSLATE(B35621,""en"",""zh-CN"")"),"当她跳下来走开时，人群大声欢呼和鼓掌。")</f>
        <v>当她跳下来走开时，人群大声欢呼和鼓掌。</v>
      </c>
    </row>
    <row r="35622">
      <c r="A35622" s="4" t="s">
        <v>44816</v>
      </c>
      <c r="B35622" s="4" t="s">
        <v>44817</v>
      </c>
      <c r="C35622" s="5" t="str">
        <f>IFERROR(__xludf.DUMMYFUNCTION("GOOGLETRANSLATE(B35622,""en"",""zh-CN"")"),"显示了一条蓝筏，显示一群人将它们扔进一堆。")</f>
        <v>显示了一条蓝筏，显示一群人将它们扔进一堆。</v>
      </c>
    </row>
    <row r="35623">
      <c r="A35623" s="4" t="s">
        <v>44816</v>
      </c>
      <c r="B35623" s="6" t="s">
        <v>44818</v>
      </c>
      <c r="C35623" s="5" t="str">
        <f>IFERROR(__xludf.DUMMYFUNCTION("GOOGLETRANSLATE(B35623,""en"",""zh-CN"")"),"最后，他们在水边，其中大约八个坐在木筏上沿着水下行驶。")</f>
        <v>最后，他们在水边，其中大约八个坐在木筏上沿着水下行驶。</v>
      </c>
    </row>
    <row r="35624">
      <c r="A35624" s="4" t="s">
        <v>44816</v>
      </c>
      <c r="B35624" s="4" t="s">
        <v>44819</v>
      </c>
      <c r="C35624" s="5" t="str">
        <f>IFERROR(__xludf.DUMMYFUNCTION("GOOGLETRANSLATE(B35624,""en"",""zh-CN"")"),"经过一定距离之后，他们遇到了一块岩石和大波浪，并且都从木筏上翻了出来。")</f>
        <v>经过一定距离之后，他们遇到了一块岩石和大波浪，并且都从木筏上翻了出来。</v>
      </c>
    </row>
    <row r="35625">
      <c r="A35625" s="4" t="s">
        <v>44816</v>
      </c>
      <c r="B35625" s="6" t="s">
        <v>44820</v>
      </c>
      <c r="C35625" s="5" t="str">
        <f>IFERROR(__xludf.DUMMYFUNCTION("GOOGLETRANSLATE(B35625,""en"",""zh-CN"")"),"漂流仍在继续，最终它们都被显示在一个大圈子里的田野里，谈论和喝酒做得很好。")</f>
        <v>漂流仍在继续，最终它们都被显示在一个大圈子里的田野里，谈论和喝酒做得很好。</v>
      </c>
    </row>
    <row r="35626">
      <c r="A35626" s="4" t="s">
        <v>44821</v>
      </c>
      <c r="B35626" s="4" t="s">
        <v>44822</v>
      </c>
      <c r="C35626" s="5" t="str">
        <f>IFERROR(__xludf.DUMMYFUNCTION("GOOGLETRANSLATE(B35626,""en"",""zh-CN"")"),"女士们在外面打球。")</f>
        <v>女士们在外面打球。</v>
      </c>
    </row>
    <row r="35627">
      <c r="A35627" s="4" t="s">
        <v>44821</v>
      </c>
      <c r="B35627" s="4" t="s">
        <v>44823</v>
      </c>
      <c r="C35627" s="5" t="str">
        <f>IFERROR(__xludf.DUMMYFUNCTION("GOOGLETRANSLATE(B35627,""en"",""zh-CN"")"),"一名女性击球两次。")</f>
        <v>一名女性击球两次。</v>
      </c>
    </row>
    <row r="35628">
      <c r="A35628" s="4" t="s">
        <v>44821</v>
      </c>
      <c r="B35628" s="4" t="s">
        <v>44824</v>
      </c>
      <c r="C35628" s="5" t="str">
        <f>IFERROR(__xludf.DUMMYFUNCTION("GOOGLETRANSLATE(B35628,""en"",""zh-CN"")"),"一位女士触摸队友的手臂。")</f>
        <v>一位女士触摸队友的手臂。</v>
      </c>
    </row>
    <row r="35629">
      <c r="A35629" s="4" t="s">
        <v>44825</v>
      </c>
      <c r="B35629" s="4" t="s">
        <v>44826</v>
      </c>
      <c r="C35629" s="5" t="str">
        <f>IFERROR(__xludf.DUMMYFUNCTION("GOOGLETRANSLATE(B35629,""en"",""zh-CN"")"),"一名教练在篮球场上对齐一群青少年，前面的青少年拿着篮球球。")</f>
        <v>一名教练在篮球场上对齐一群青少年，前面的青少年拿着篮球球。</v>
      </c>
    </row>
    <row r="35630">
      <c r="A35630" s="4" t="s">
        <v>44825</v>
      </c>
      <c r="B35630" s="6" t="s">
        <v>44827</v>
      </c>
      <c r="C35630" s="5" t="str">
        <f>IFERROR(__xludf.DUMMYFUNCTION("GOOGLETRANSLATE(B35630,""en"",""zh-CN"")"),"三个青少年奔跑，一个男孩将篮球扔到篮筐上，然后第二个青少年抓住球，将球传给了两个青少年争执。")</f>
        <v>三个青少年奔跑，一个男孩将篮球扔到篮筐上，然后第二个青少年抓住球，将球传给了两个青少年争执。</v>
      </c>
    </row>
    <row r="35631">
      <c r="A35631" s="4" t="s">
        <v>44825</v>
      </c>
      <c r="B35631" s="4" t="s">
        <v>44828</v>
      </c>
      <c r="C35631" s="5" t="str">
        <f>IFERROR(__xludf.DUMMYFUNCTION("GOOGLETRANSLATE(B35631,""en"",""zh-CN"")"),"然后，还有三个男孩跑步练习相同的步骤。")</f>
        <v>然后，还有三个男孩跑步练习相同的步骤。</v>
      </c>
    </row>
    <row r="35632">
      <c r="A35632" s="4" t="s">
        <v>44825</v>
      </c>
      <c r="B35632" s="4" t="s">
        <v>44829</v>
      </c>
      <c r="C35632" s="5" t="str">
        <f>IFERROR(__xludf.DUMMYFUNCTION("GOOGLETRANSLATE(B35632,""en"",""zh-CN"")"),"一个年轻的男子穿着黄色T恤练习篮球在其他篮球进球上。")</f>
        <v>一个年轻的男子穿着黄色T恤练习篮球在其他篮球进球上。</v>
      </c>
    </row>
    <row r="35633">
      <c r="A35633" s="4" t="s">
        <v>44825</v>
      </c>
      <c r="B35633" s="4" t="s">
        <v>44830</v>
      </c>
      <c r="C35633" s="5" t="str">
        <f>IFERROR(__xludf.DUMMYFUNCTION("GOOGLETRANSLATE(B35633,""en"",""zh-CN"")"),"之后，一组三个男孩跑步练习篮球射击和封锁。")</f>
        <v>之后，一组三个男孩跑步练习篮球射击和封锁。</v>
      </c>
    </row>
    <row r="35634">
      <c r="A35634" s="4" t="s">
        <v>44831</v>
      </c>
      <c r="B35634" s="4" t="s">
        <v>44832</v>
      </c>
      <c r="C35634" s="5" t="str">
        <f>IFERROR(__xludf.DUMMYFUNCTION("GOOGLETRANSLATE(B35634,""en"",""zh-CN"")"),"一名运动员站在田野上。")</f>
        <v>一名运动员站在田野上。</v>
      </c>
    </row>
    <row r="35635">
      <c r="A35635" s="4" t="s">
        <v>44831</v>
      </c>
      <c r="B35635" s="4" t="s">
        <v>44833</v>
      </c>
      <c r="C35635" s="5" t="str">
        <f>IFERROR(__xludf.DUMMYFUNCTION("GOOGLETRANSLATE(B35635,""en"",""zh-CN"")"),"他拿着一个大钢球。")</f>
        <v>他拿着一个大钢球。</v>
      </c>
    </row>
    <row r="35636">
      <c r="A35636" s="4" t="s">
        <v>44831</v>
      </c>
      <c r="B35636" s="4" t="s">
        <v>44834</v>
      </c>
      <c r="C35636" s="5" t="str">
        <f>IFERROR(__xludf.DUMMYFUNCTION("GOOGLETRANSLATE(B35636,""en"",""zh-CN"")"),"他旋转并扔球，然后在赛道上漫步，等待下一个回合。")</f>
        <v>他旋转并扔球，然后在赛道上漫步，等待下一个回合。</v>
      </c>
    </row>
    <row r="35637">
      <c r="A35637" s="4" t="s">
        <v>44835</v>
      </c>
      <c r="B35637" s="4" t="s">
        <v>44836</v>
      </c>
      <c r="C35637" s="5" t="str">
        <f>IFERROR(__xludf.DUMMYFUNCTION("GOOGLETRANSLATE(B35637,""en"",""zh-CN"")"),"有些人在他们的后院玩槌球，上面覆盖着秋天的叶子。")</f>
        <v>有些人在他们的后院玩槌球，上面覆盖着秋天的叶子。</v>
      </c>
    </row>
    <row r="35638">
      <c r="A35638" s="4" t="s">
        <v>44835</v>
      </c>
      <c r="B35638" s="4" t="s">
        <v>44837</v>
      </c>
      <c r="C35638" s="5" t="str">
        <f>IFERROR(__xludf.DUMMYFUNCTION("GOOGLETRANSLATE(B35638,""en"",""zh-CN"")"),"有一个十几岁的男孩和一个十几岁的女孩在一些木板上玩槌球。")</f>
        <v>有一个十几岁的男孩和一个十几岁的女孩在一些木板上玩槌球。</v>
      </c>
    </row>
    <row r="35639">
      <c r="A35639" s="4" t="s">
        <v>44835</v>
      </c>
      <c r="B35639" s="4" t="s">
        <v>44838</v>
      </c>
      <c r="C35639" s="5" t="str">
        <f>IFERROR(__xludf.DUMMYFUNCTION("GOOGLETRANSLATE(B35639,""en"",""zh-CN"")"),"他们用木制槌将球击中木板。")</f>
        <v>他们用木制槌将球击中木板。</v>
      </c>
    </row>
    <row r="35640">
      <c r="A35640" s="4" t="s">
        <v>44835</v>
      </c>
      <c r="B35640" s="4" t="s">
        <v>44839</v>
      </c>
      <c r="C35640" s="5" t="str">
        <f>IFERROR(__xludf.DUMMYFUNCTION("GOOGLETRANSLATE(B35640,""en"",""zh-CN"")"),"另一组年轻的青少年也在院子里玩槌球。")</f>
        <v>另一组年轻的青少年也在院子里玩槌球。</v>
      </c>
    </row>
    <row r="35641">
      <c r="A35641" s="4" t="s">
        <v>44835</v>
      </c>
      <c r="B35641" s="4" t="s">
        <v>44840</v>
      </c>
      <c r="C35641" s="5" t="str">
        <f>IFERROR(__xludf.DUMMYFUNCTION("GOOGLETRANSLATE(B35641,""en"",""zh-CN"")"),"穿着黄色衬衫假装他的槌的青少年是吉他，然后弹。")</f>
        <v>穿着黄色衬衫假装他的槌的青少年是吉他，然后弹。</v>
      </c>
    </row>
    <row r="35642">
      <c r="A35642" s="4" t="s">
        <v>44835</v>
      </c>
      <c r="B35642" s="6" t="s">
        <v>44841</v>
      </c>
      <c r="C35642" s="5" t="str">
        <f>IFERROR(__xludf.DUMMYFUNCTION("GOOGLETRANSLATE(B35642,""en"",""zh-CN"")"),"青少年继续打鳄鱼，当他们轮流用槌槌击球时，另一个男孩正在和一只黑白猫一起玩。")</f>
        <v>青少年继续打鳄鱼，当他们轮流用槌槌击球时，另一个男孩正在和一只黑白猫一起玩。</v>
      </c>
    </row>
    <row r="35643">
      <c r="A35643" s="4" t="s">
        <v>44835</v>
      </c>
      <c r="B35643" s="4" t="s">
        <v>44842</v>
      </c>
      <c r="C35643" s="5" t="str">
        <f>IFERROR(__xludf.DUMMYFUNCTION("GOOGLETRANSLATE(B35643,""en"",""zh-CN"")"),"十几岁的猫看着他们看着他们。")</f>
        <v>十几岁的猫看着他们看着他们。</v>
      </c>
    </row>
    <row r="35644">
      <c r="A35644" s="4" t="s">
        <v>44835</v>
      </c>
      <c r="B35644" s="4" t="s">
        <v>44843</v>
      </c>
      <c r="C35644" s="5" t="str">
        <f>IFERROR(__xludf.DUMMYFUNCTION("GOOGLETRANSLATE(B35644,""en"",""zh-CN"")"),"黄色衬衫的青少年与黑白猫一起玩。")</f>
        <v>黄色衬衫的青少年与黑白猫一起玩。</v>
      </c>
    </row>
    <row r="35645">
      <c r="A35645" s="4" t="s">
        <v>44835</v>
      </c>
      <c r="B35645" s="6" t="s">
        <v>44844</v>
      </c>
      <c r="C35645" s="5" t="str">
        <f>IFERROR(__xludf.DUMMYFUNCTION("GOOGLETRANSLATE(B35645,""en"",""zh-CN"")"),"一个少年的姿势，目标是用他的槌球击中球，而另外两个青少年则看着他。")</f>
        <v>一个少年的姿势，目标是用他的槌球击中球，而另外两个青少年则看着他。</v>
      </c>
    </row>
    <row r="35646">
      <c r="A35646" s="4" t="s">
        <v>44835</v>
      </c>
      <c r="B35646" s="4" t="s">
        <v>44845</v>
      </c>
      <c r="C35646" s="5" t="str">
        <f>IFERROR(__xludf.DUMMYFUNCTION("GOOGLETRANSLATE(B35646,""en"",""zh-CN"")"),"他们继续玩槌球，轮流与槌槌一一击球。")</f>
        <v>他们继续玩槌球，轮流与槌槌一一击球。</v>
      </c>
    </row>
    <row r="35647">
      <c r="A35647" s="4" t="s">
        <v>44835</v>
      </c>
      <c r="B35647" s="6" t="s">
        <v>44846</v>
      </c>
      <c r="C35647" s="5" t="str">
        <f>IFERROR(__xludf.DUMMYFUNCTION("GOOGLETRANSLATE(B35647,""en"",""zh-CN"")"),"然后，其中一个青少年只是将槌槌放下，而另外两个青少年则互相击败。")</f>
        <v>然后，其中一个青少年只是将槌槌放下，而另外两个青少年则互相击败。</v>
      </c>
    </row>
    <row r="35648">
      <c r="A35648" s="4" t="s">
        <v>44847</v>
      </c>
      <c r="B35648" s="4" t="s">
        <v>44848</v>
      </c>
      <c r="C35648" s="5" t="str">
        <f>IFERROR(__xludf.DUMMYFUNCTION("GOOGLETRANSLATE(B35648,""en"",""zh-CN"")"),"一个女人正在将墙纸放在墙上。")</f>
        <v>一个女人正在将墙纸放在墙上。</v>
      </c>
    </row>
    <row r="35649">
      <c r="A35649" s="4" t="s">
        <v>44847</v>
      </c>
      <c r="B35649" s="4" t="s">
        <v>44849</v>
      </c>
      <c r="C35649" s="5" t="str">
        <f>IFERROR(__xludf.DUMMYFUNCTION("GOOGLETRANSLATE(B35649,""en"",""zh-CN"")"),"她用手使墙纸光滑。")</f>
        <v>她用手使墙纸光滑。</v>
      </c>
    </row>
    <row r="35650">
      <c r="A35650" s="4" t="s">
        <v>44847</v>
      </c>
      <c r="B35650" s="4" t="s">
        <v>44850</v>
      </c>
      <c r="C35650" s="5" t="str">
        <f>IFERROR(__xludf.DUMMYFUNCTION("GOOGLETRANSLATE(B35650,""en"",""zh-CN"")"),"她将墙纸滚到墙上。")</f>
        <v>她将墙纸滚到墙上。</v>
      </c>
    </row>
    <row r="35651">
      <c r="A35651" s="4" t="s">
        <v>44851</v>
      </c>
      <c r="B35651" s="4" t="s">
        <v>44852</v>
      </c>
      <c r="C35651" s="5" t="str">
        <f>IFERROR(__xludf.DUMMYFUNCTION("GOOGLETRANSLATE(B35651,""en"",""zh-CN"")"),"一个男人坐在桌子旁，握着螺丝刀，将其压在桌面上。")</f>
        <v>一个男人坐在桌子旁，握着螺丝刀，将其压在桌面上。</v>
      </c>
    </row>
    <row r="35652">
      <c r="A35652" s="4" t="s">
        <v>44851</v>
      </c>
      <c r="B35652" s="6" t="s">
        <v>44853</v>
      </c>
      <c r="C35652" s="5" t="str">
        <f>IFERROR(__xludf.DUMMYFUNCTION("GOOGLETRANSLATE(B35652,""en"",""zh-CN"")"),"该男子伪装本人可以安装，并使用螺丝刀工具在一个啤酒罐中刺入一个孔，这些啤酒罐会喷洒一些内容。")</f>
        <v>该男子伪装本人可以安装，并使用螺丝刀工具在一个啤酒罐中刺入一个孔，这些啤酒罐会喷洒一些内容。</v>
      </c>
    </row>
    <row r="35653">
      <c r="A35653" s="4" t="s">
        <v>44851</v>
      </c>
      <c r="B35653" s="4" t="s">
        <v>44854</v>
      </c>
      <c r="C35653" s="5" t="str">
        <f>IFERROR(__xludf.DUMMYFUNCTION("GOOGLETRANSLATE(B35653,""en"",""zh-CN"")"),"该男子用孔向上握住罐子。")</f>
        <v>该男子用孔向上握住罐子。</v>
      </c>
    </row>
    <row r="35654">
      <c r="A35654" s="4" t="s">
        <v>44851</v>
      </c>
      <c r="B35654" s="4" t="s">
        <v>44855</v>
      </c>
      <c r="C35654" s="5" t="str">
        <f>IFERROR(__xludf.DUMMYFUNCTION("GOOGLETRANSLATE(B35654,""en"",""zh-CN"")"),"打开顶部后，该男子从孔中喝了啤酒罐的内容。")</f>
        <v>打开顶部后，该男子从孔中喝了啤酒罐的内容。</v>
      </c>
    </row>
    <row r="35655">
      <c r="A35655" s="4" t="s">
        <v>44856</v>
      </c>
      <c r="B35655" s="4" t="s">
        <v>44857</v>
      </c>
      <c r="C35655" s="5" t="str">
        <f>IFERROR(__xludf.DUMMYFUNCTION("GOOGLETRANSLATE(B35655,""en"",""zh-CN"")"),"一群人在整齐的割草领域。")</f>
        <v>一群人在整齐的割草领域。</v>
      </c>
    </row>
    <row r="35656">
      <c r="A35656" s="4" t="s">
        <v>44856</v>
      </c>
      <c r="B35656" s="4" t="s">
        <v>44858</v>
      </c>
      <c r="C35656" s="5" t="str">
        <f>IFERROR(__xludf.DUMMYFUNCTION("GOOGLETRANSLATE(B35656,""en"",""zh-CN"")"),"他们正在玩炸丸子游戏。")</f>
        <v>他们正在玩炸丸子游戏。</v>
      </c>
    </row>
    <row r="35657">
      <c r="A35657" s="4" t="s">
        <v>44856</v>
      </c>
      <c r="B35657" s="4" t="s">
        <v>44859</v>
      </c>
      <c r="C35657" s="5" t="str">
        <f>IFERROR(__xludf.DUMMYFUNCTION("GOOGLETRANSLATE(B35657,""en"",""zh-CN"")"),"他们用槌架通过篮球击中球。")</f>
        <v>他们用槌架通过篮球击中球。</v>
      </c>
    </row>
    <row r="35658">
      <c r="A35658" s="4" t="s">
        <v>44860</v>
      </c>
      <c r="B35658" s="4" t="s">
        <v>44861</v>
      </c>
      <c r="C35658" s="5" t="str">
        <f>IFERROR(__xludf.DUMMYFUNCTION("GOOGLETRANSLATE(B35658,""en"",""zh-CN"")"),"一个小男孩穿着头巾，割伤了一个大院子。")</f>
        <v>一个小男孩穿着头巾，割伤了一个大院子。</v>
      </c>
    </row>
    <row r="35659">
      <c r="A35659" s="4" t="s">
        <v>44860</v>
      </c>
      <c r="B35659" s="4" t="s">
        <v>44862</v>
      </c>
      <c r="C35659" s="5" t="str">
        <f>IFERROR(__xludf.DUMMYFUNCTION("GOOGLETRANSLATE(B35659,""en"",""zh-CN"")"),"当他推割割草机时，他离开了相机。")</f>
        <v>当他推割割草机时，他离开了相机。</v>
      </c>
    </row>
    <row r="35660">
      <c r="A35660" s="4" t="s">
        <v>44860</v>
      </c>
      <c r="B35660" s="4" t="s">
        <v>44863</v>
      </c>
      <c r="C35660" s="5" t="str">
        <f>IFERROR(__xludf.DUMMYFUNCTION("GOOGLETRANSLATE(B35660,""en"",""zh-CN"")"),"然后，他突然停下来，用相机追逐那个人并将其撞倒。")</f>
        <v>然后，他突然停下来，用相机追逐那个人并将其撞倒。</v>
      </c>
    </row>
    <row r="35661">
      <c r="A35661" s="4" t="s">
        <v>44864</v>
      </c>
      <c r="B35661" s="4" t="s">
        <v>44865</v>
      </c>
      <c r="C35661" s="5" t="str">
        <f>IFERROR(__xludf.DUMMYFUNCTION("GOOGLETRANSLATE(B35661,""en"",""zh-CN"")"),"我们在开放标题屏幕上看到一个动画。")</f>
        <v>我们在开放标题屏幕上看到一个动画。</v>
      </c>
    </row>
    <row r="35662">
      <c r="A35662" s="4" t="s">
        <v>44864</v>
      </c>
      <c r="B35662" s="4" t="s">
        <v>44866</v>
      </c>
      <c r="C35662" s="5" t="str">
        <f>IFERROR(__xludf.DUMMYFUNCTION("GOOGLETRANSLATE(B35662,""en"",""zh-CN"")"),"一个人洗净土豆。")</f>
        <v>一个人洗净土豆。</v>
      </c>
    </row>
    <row r="35663">
      <c r="A35663" s="4" t="s">
        <v>44864</v>
      </c>
      <c r="B35663" s="4" t="s">
        <v>44867</v>
      </c>
      <c r="C35663" s="5" t="str">
        <f>IFERROR(__xludf.DUMMYFUNCTION("GOOGLETRANSLATE(B35663,""en"",""zh-CN"")"),"该人冲洗该人在碗中冲洗剥落的土豆。")</f>
        <v>该人冲洗该人在碗中冲洗剥落的土豆。</v>
      </c>
    </row>
    <row r="35664">
      <c r="A35664" s="4" t="s">
        <v>44864</v>
      </c>
      <c r="B35664" s="4" t="s">
        <v>44868</v>
      </c>
      <c r="C35664" s="5" t="str">
        <f>IFERROR(__xludf.DUMMYFUNCTION("GOOGLETRANSLATE(B35664,""en"",""zh-CN"")"),"然后，该人将土豆脱落。")</f>
        <v>然后，该人将土豆脱落。</v>
      </c>
    </row>
    <row r="35665">
      <c r="A35665" s="4" t="s">
        <v>44864</v>
      </c>
      <c r="B35665" s="4" t="s">
        <v>5107</v>
      </c>
      <c r="C35665" s="5" t="str">
        <f>IFERROR(__xludf.DUMMYFUNCTION("GOOGLETRANSLATE(B35665,""en"",""zh-CN"")"),"然后，我们看到结尾标题屏幕。")</f>
        <v>然后，我们看到结尾标题屏幕。</v>
      </c>
    </row>
    <row r="35666">
      <c r="A35666" s="4" t="s">
        <v>44869</v>
      </c>
      <c r="B35666" s="4" t="s">
        <v>44870</v>
      </c>
      <c r="C35666" s="5" t="str">
        <f>IFERROR(__xludf.DUMMYFUNCTION("GOOGLETRANSLATE(B35666,""en"",""zh-CN"")"),"看到一个小孩坐在滑梯的顶部，他的舌头伸出来。")</f>
        <v>看到一个小孩坐在滑梯的顶部，他的舌头伸出来。</v>
      </c>
    </row>
    <row r="35667">
      <c r="A35667" s="4" t="s">
        <v>44869</v>
      </c>
      <c r="B35667" s="4" t="s">
        <v>44871</v>
      </c>
      <c r="C35667" s="5" t="str">
        <f>IFERROR(__xludf.DUMMYFUNCTION("GOOGLETRANSLATE(B35667,""en"",""zh-CN"")"),"他开始沿着滑梯往下走，但跌落在侧面，被看到躺在地板上。")</f>
        <v>他开始沿着滑梯往下走，但跌落在侧面，被看到躺在地板上。</v>
      </c>
    </row>
    <row r="35668">
      <c r="A35668" s="4" t="s">
        <v>44872</v>
      </c>
      <c r="B35668" s="4" t="s">
        <v>44873</v>
      </c>
      <c r="C35668" s="5" t="str">
        <f>IFERROR(__xludf.DUMMYFUNCTION("GOOGLETRANSLATE(B35668,""en"",""zh-CN"")"),"显示了投掷标枪的一般技术。")</f>
        <v>显示了投掷标枪的一般技术。</v>
      </c>
    </row>
    <row r="35669">
      <c r="A35669" s="4" t="s">
        <v>44872</v>
      </c>
      <c r="B35669" s="4" t="s">
        <v>44874</v>
      </c>
      <c r="C35669" s="5" t="str">
        <f>IFERROR(__xludf.DUMMYFUNCTION("GOOGLETRANSLATE(B35669,""en"",""zh-CN"")"),"然后，他展示了如何使用跨界车。")</f>
        <v>然后，他展示了如何使用跨界车。</v>
      </c>
    </row>
    <row r="35670">
      <c r="A35670" s="4" t="s">
        <v>44875</v>
      </c>
      <c r="B35670" s="4" t="s">
        <v>44876</v>
      </c>
      <c r="C35670" s="5" t="str">
        <f>IFERROR(__xludf.DUMMYFUNCTION("GOOGLETRANSLATE(B35670,""en"",""zh-CN"")"),"看到台球桌的近距离，接着是一个男人击球。")</f>
        <v>看到台球桌的近距离，接着是一个男人击球。</v>
      </c>
    </row>
    <row r="35671">
      <c r="A35671" s="4" t="s">
        <v>44875</v>
      </c>
      <c r="B35671" s="4" t="s">
        <v>44877</v>
      </c>
      <c r="C35671" s="5" t="str">
        <f>IFERROR(__xludf.DUMMYFUNCTION("GOOGLETRANSLATE(B35671,""en"",""zh-CN"")"),"另一个男人抬起泳池，以瞄准他的射门并击中球。")</f>
        <v>另一个男人抬起泳池，以瞄准他的射门并击中球。</v>
      </c>
    </row>
    <row r="35672">
      <c r="A35672" s="4" t="s">
        <v>44875</v>
      </c>
      <c r="B35672" s="6" t="s">
        <v>44878</v>
      </c>
      <c r="C35672" s="5" t="str">
        <f>IFERROR(__xludf.DUMMYFUNCTION("GOOGLETRANSLATE(B35672,""en"",""zh-CN"")"),"这些人转身和第四个打球，直到一个胜利，然后摄影锅看着一个男人。")</f>
        <v>这些人转身和第四个打球，直到一个胜利，然后摄影锅看着一个男人。</v>
      </c>
    </row>
    <row r="35673">
      <c r="A35673" s="4" t="s">
        <v>44879</v>
      </c>
      <c r="B35673" s="4" t="s">
        <v>44880</v>
      </c>
      <c r="C35673" s="5" t="str">
        <f>IFERROR(__xludf.DUMMYFUNCTION("GOOGLETRANSLATE(B35673,""en"",""zh-CN"")"),"看到一个年轻人坐在乐器前，另一个坐在鼓盘上。")</f>
        <v>看到一个年轻人坐在乐器前，另一个坐在鼓盘上。</v>
      </c>
    </row>
    <row r="35674">
      <c r="A35674" s="4" t="s">
        <v>44879</v>
      </c>
      <c r="B35674" s="4" t="s">
        <v>44881</v>
      </c>
      <c r="C35674" s="5" t="str">
        <f>IFERROR(__xludf.DUMMYFUNCTION("GOOGLETRANSLATE(B35674,""en"",""zh-CN"")"),"该男子移动时，一边望着远处，开始玩。")</f>
        <v>该男子移动时，一边望着远处，开始玩。</v>
      </c>
    </row>
    <row r="35675">
      <c r="A35675" s="4" t="s">
        <v>44879</v>
      </c>
      <c r="B35675" s="4" t="s">
        <v>44882</v>
      </c>
      <c r="C35675" s="5" t="str">
        <f>IFERROR(__xludf.DUMMYFUNCTION("GOOGLETRANSLATE(B35675,""en"",""zh-CN"")"),"另一个男孩走进框架，开始唱歌麦克风。")</f>
        <v>另一个男孩走进框架，开始唱歌麦克风。</v>
      </c>
    </row>
    <row r="35676">
      <c r="A35676" s="4" t="s">
        <v>44883</v>
      </c>
      <c r="B35676" s="4" t="s">
        <v>44884</v>
      </c>
      <c r="C35676" s="5" t="str">
        <f>IFERROR(__xludf.DUMMYFUNCTION("GOOGLETRANSLATE(B35676,""en"",""zh-CN"")"),"滑雪者的左手握住滑雪棒，右手握着一根杆子。")</f>
        <v>滑雪者的左手握住滑雪棒，右手握着一根杆子。</v>
      </c>
    </row>
    <row r="35677">
      <c r="A35677" s="4" t="s">
        <v>44883</v>
      </c>
      <c r="B35677" s="4" t="s">
        <v>44885</v>
      </c>
      <c r="C35677" s="5" t="str">
        <f>IFERROR(__xludf.DUMMYFUNCTION("GOOGLETRANSLATE(B35677,""en"",""zh-CN"")"),"然后，那个男人滑到山上的雪地。")</f>
        <v>然后，那个男人滑到山上的雪地。</v>
      </c>
    </row>
    <row r="35678">
      <c r="A35678" s="4" t="s">
        <v>44883</v>
      </c>
      <c r="B35678" s="4" t="s">
        <v>44886</v>
      </c>
      <c r="C35678" s="5" t="str">
        <f>IFERROR(__xludf.DUMMYFUNCTION("GOOGLETRANSLATE(B35678,""en"",""zh-CN"")"),"该男子停在山中央。")</f>
        <v>该男子停在山中央。</v>
      </c>
    </row>
    <row r="35679">
      <c r="A35679" s="4" t="s">
        <v>44883</v>
      </c>
      <c r="B35679" s="4" t="s">
        <v>44887</v>
      </c>
      <c r="C35679" s="5" t="str">
        <f>IFERROR(__xludf.DUMMYFUNCTION("GOOGLETRANSLATE(B35679,""en"",""zh-CN"")"),"然后，该男子继续滑雪直到到达城市。")</f>
        <v>然后，该男子继续滑雪直到到达城市。</v>
      </c>
    </row>
    <row r="35680">
      <c r="A35680" s="4" t="s">
        <v>44888</v>
      </c>
      <c r="B35680" s="4" t="s">
        <v>44889</v>
      </c>
      <c r="C35680" s="5" t="str">
        <f>IFERROR(__xludf.DUMMYFUNCTION("GOOGLETRANSLATE(B35680,""en"",""zh-CN"")"),"一个人在一个圈子里的田野上。")</f>
        <v>一个人在一个圈子里的田野上。</v>
      </c>
    </row>
    <row r="35681">
      <c r="A35681" s="4" t="s">
        <v>44888</v>
      </c>
      <c r="B35681" s="4" t="s">
        <v>44890</v>
      </c>
      <c r="C35681" s="5" t="str">
        <f>IFERROR(__xludf.DUMMYFUNCTION("GOOGLETRANSLATE(B35681,""en"",""zh-CN"")"),"他开始在圆圈中旋转一个球。")</f>
        <v>他开始在圆圈中旋转一个球。</v>
      </c>
    </row>
    <row r="35682">
      <c r="A35682" s="4" t="s">
        <v>44888</v>
      </c>
      <c r="B35682" s="4" t="s">
        <v>44891</v>
      </c>
      <c r="C35682" s="5" t="str">
        <f>IFERROR(__xludf.DUMMYFUNCTION("GOOGLETRANSLATE(B35682,""en"",""zh-CN"")"),"然后，他尽可能地扔球，但跌倒了。")</f>
        <v>然后，他尽可能地扔球，但跌倒了。</v>
      </c>
    </row>
    <row r="35683">
      <c r="A35683" s="4" t="s">
        <v>44892</v>
      </c>
      <c r="B35683" s="6" t="s">
        <v>44893</v>
      </c>
      <c r="C35683" s="5" t="str">
        <f>IFERROR(__xludf.DUMMYFUNCTION("GOOGLETRANSLATE(B35683,""en"",""zh-CN"")"),"一个年轻人俯卧在瓷砖地板上，这只手在他的头后面，膝盖弯腰试图在几个朋友面前仰卧起坐。")</f>
        <v>一个年轻人俯卧在瓷砖地板上，这只手在他的头后面，膝盖弯腰试图在几个朋友面前仰卧起坐。</v>
      </c>
    </row>
    <row r="35684">
      <c r="A35684" s="4" t="s">
        <v>44892</v>
      </c>
      <c r="B35684" s="6" t="s">
        <v>44894</v>
      </c>
      <c r="C35684" s="5" t="str">
        <f>IFERROR(__xludf.DUMMYFUNCTION("GOOGLETRANSLATE(B35684,""en"",""zh-CN"")"),"当他将肘部伸向膝盖时，当男人笑着说：“这伤害了我的屁股。")</f>
        <v>当他将肘部伸向膝盖时，当男人笑着说：“这伤害了我的屁股。</v>
      </c>
    </row>
    <row r="35685">
      <c r="A35685" s="4" t="s">
        <v>44892</v>
      </c>
      <c r="B35685" s="4" t="s">
        <v>44895</v>
      </c>
      <c r="C35685" s="5" t="str">
        <f>IFERROR(__xludf.DUMMYFUNCTION("GOOGLETRANSLATE(B35685,""en"",""zh-CN"")"),"“他尝试了第二次仰卧起坐，并带着另一种开裂的声音，大声喊叫并抓住了臀部。")</f>
        <v>“他尝试了第二次仰卧起坐，并带着另一种开裂的声音，大声喊叫并抓住了臀部。</v>
      </c>
    </row>
    <row r="35686">
      <c r="A35686" s="4" t="s">
        <v>44892</v>
      </c>
      <c r="B35686" s="4" t="s">
        <v>44896</v>
      </c>
      <c r="C35686" s="5" t="str">
        <f>IFERROR(__xludf.DUMMYFUNCTION("GOOGLETRANSLATE(B35686,""en"",""zh-CN"")"),"该男子说：“再”，然后尝试另一个时间，然后他说：“这真是太可怕了。")</f>
        <v>该男子说：“再”，然后尝试另一个时间，然后他说：“这真是太可怕了。</v>
      </c>
    </row>
    <row r="35687">
      <c r="A35687" s="4" t="s">
        <v>44892</v>
      </c>
      <c r="B35687" s="6" t="s">
        <v>44897</v>
      </c>
      <c r="C35687" s="5" t="str">
        <f>IFERROR(__xludf.DUMMYFUNCTION("GOOGLETRANSLATE(B35687,""en"",""zh-CN"")"),"“这个男人在放弃朋友的娱乐之前又进行了九次尝试。")</f>
        <v>“这个男人在放弃朋友的娱乐之前又进行了九次尝试。</v>
      </c>
    </row>
    <row r="35688">
      <c r="A35688" s="4" t="s">
        <v>44898</v>
      </c>
      <c r="B35688" s="4" t="s">
        <v>44899</v>
      </c>
      <c r="C35688" s="5" t="str">
        <f>IFERROR(__xludf.DUMMYFUNCTION("GOOGLETRANSLATE(B35688,""en"",""zh-CN"")"),"显示了树篱的特写，以及使用工具切割树篱的人。")</f>
        <v>显示了树篱的特写，以及使用工具切割树篱的人。</v>
      </c>
    </row>
    <row r="35689">
      <c r="A35689" s="4" t="s">
        <v>44898</v>
      </c>
      <c r="B35689" s="4" t="s">
        <v>44900</v>
      </c>
      <c r="C35689" s="5" t="str">
        <f>IFERROR(__xludf.DUMMYFUNCTION("GOOGLETRANSLATE(B35689,""en"",""zh-CN"")"),"该男子对相机说话，并继续使用树篱上的工具。")</f>
        <v>该男子对相机说话，并继续使用树篱上的工具。</v>
      </c>
    </row>
    <row r="35690">
      <c r="A35690" s="4" t="s">
        <v>44898</v>
      </c>
      <c r="B35690" s="6" t="s">
        <v>44901</v>
      </c>
      <c r="C35690" s="5" t="str">
        <f>IFERROR(__xludf.DUMMYFUNCTION("GOOGLETRANSLATE(B35690,""en"",""zh-CN"")"),"显示了他的周围环境以及您可以使用的其他工具和更多的草。")</f>
        <v>显示了他的周围环境以及您可以使用的其他工具和更多的草。</v>
      </c>
    </row>
    <row r="35691">
      <c r="A35691" s="4" t="s">
        <v>44902</v>
      </c>
      <c r="B35691" s="4" t="s">
        <v>44903</v>
      </c>
      <c r="C35691" s="5" t="str">
        <f>IFERROR(__xludf.DUMMYFUNCTION("GOOGLETRANSLATE(B35691,""en"",""zh-CN"")"),"简介导致一个年轻人穿着向后棒球帽弹吉他在床上。")</f>
        <v>简介导致一个年轻人穿着向后棒球帽弹吉他在床上。</v>
      </c>
    </row>
    <row r="35692">
      <c r="A35692" s="4" t="s">
        <v>44902</v>
      </c>
      <c r="B35692" s="6" t="s">
        <v>44904</v>
      </c>
      <c r="C35692" s="5" t="str">
        <f>IFERROR(__xludf.DUMMYFUNCTION("GOOGLETRANSLATE(B35692,""en"",""zh-CN"")"),"该男子在弹奏绳子并低头看着脖子的同时，在吉他的脖子上抚摸着手指。")</f>
        <v>该男子在弹奏绳子并低头看着脖子的同时，在吉他的脖子上抚摸着手指。</v>
      </c>
    </row>
    <row r="35693">
      <c r="A35693" s="4" t="s">
        <v>44905</v>
      </c>
      <c r="B35693" s="4" t="s">
        <v>44906</v>
      </c>
      <c r="C35693" s="5" t="str">
        <f>IFERROR(__xludf.DUMMYFUNCTION("GOOGLETRANSLATE(B35693,""en"",""zh-CN"")"),"一个人站在柜台上。")</f>
        <v>一个人站在柜台上。</v>
      </c>
    </row>
    <row r="35694">
      <c r="A35694" s="4" t="s">
        <v>44905</v>
      </c>
      <c r="B35694" s="4" t="s">
        <v>44907</v>
      </c>
      <c r="C35694" s="5" t="str">
        <f>IFERROR(__xludf.DUMMYFUNCTION("GOOGLETRANSLATE(B35694,""en"",""zh-CN"")"),"商店的前面显示在门上。")</f>
        <v>商店的前面显示在门上。</v>
      </c>
    </row>
    <row r="35695">
      <c r="A35695" s="4" t="s">
        <v>44905</v>
      </c>
      <c r="B35695" s="4" t="s">
        <v>44908</v>
      </c>
      <c r="C35695" s="5" t="str">
        <f>IFERROR(__xludf.DUMMYFUNCTION("GOOGLETRANSLATE(B35695,""en"",""zh-CN"")"),"这个男人仍在柜台说话。")</f>
        <v>这个男人仍在柜台说话。</v>
      </c>
    </row>
    <row r="35696">
      <c r="A35696" s="4" t="s">
        <v>44905</v>
      </c>
      <c r="B35696" s="4" t="s">
        <v>44909</v>
      </c>
      <c r="C35696" s="5" t="str">
        <f>IFERROR(__xludf.DUMMYFUNCTION("GOOGLETRANSLATE(B35696,""en"",""zh-CN"")"),"一个男人在路线周围跑着枪。")</f>
        <v>一个男人在路线周围跑着枪。</v>
      </c>
    </row>
    <row r="35697">
      <c r="A35697" s="4" t="s">
        <v>44905</v>
      </c>
      <c r="B35697" s="4" t="s">
        <v>44910</v>
      </c>
      <c r="C35697" s="5" t="str">
        <f>IFERROR(__xludf.DUMMYFUNCTION("GOOGLETRANSLATE(B35697,""en"",""zh-CN"")"),"这个男人仍在柜台谈话。")</f>
        <v>这个男人仍在柜台谈话。</v>
      </c>
    </row>
    <row r="35698">
      <c r="A35698" s="4" t="s">
        <v>44905</v>
      </c>
      <c r="B35698" s="4" t="s">
        <v>44911</v>
      </c>
      <c r="C35698" s="5" t="str">
        <f>IFERROR(__xludf.DUMMYFUNCTION("GOOGLETRANSLATE(B35698,""en"",""zh-CN"")"),"该课程中的一个人瞄准了他的枪。")</f>
        <v>该课程中的一个人瞄准了他的枪。</v>
      </c>
    </row>
    <row r="35699">
      <c r="A35699" s="4" t="s">
        <v>44905</v>
      </c>
      <c r="B35699" s="4" t="s">
        <v>44912</v>
      </c>
      <c r="C35699" s="5" t="str">
        <f>IFERROR(__xludf.DUMMYFUNCTION("GOOGLETRANSLATE(B35699,""en"",""zh-CN"")"),"柜台上的那个人正在展示特定的枪。")</f>
        <v>柜台上的那个人正在展示特定的枪。</v>
      </c>
    </row>
    <row r="35700">
      <c r="A35700" s="4" t="s">
        <v>44905</v>
      </c>
      <c r="B35700" s="4" t="s">
        <v>44913</v>
      </c>
      <c r="C35700" s="5" t="str">
        <f>IFERROR(__xludf.DUMMYFUNCTION("GOOGLETRANSLATE(B35700,""en"",""zh-CN"")"),"球场上的一个男人正在瞄准和射击他的枪。")</f>
        <v>球场上的一个男人正在瞄准和射击他的枪。</v>
      </c>
    </row>
    <row r="35701">
      <c r="A35701" s="4" t="s">
        <v>44905</v>
      </c>
      <c r="B35701" s="4" t="s">
        <v>44914</v>
      </c>
      <c r="C35701" s="5" t="str">
        <f>IFERROR(__xludf.DUMMYFUNCTION("GOOGLETRANSLATE(B35701,""en"",""zh-CN"")"),"柜台上的那个人仍在拿着枪说话。")</f>
        <v>柜台上的那个人仍在拿着枪说话。</v>
      </c>
    </row>
    <row r="35702">
      <c r="A35702" s="4" t="s">
        <v>44905</v>
      </c>
      <c r="B35702" s="4" t="s">
        <v>44915</v>
      </c>
      <c r="C35702" s="5" t="str">
        <f>IFERROR(__xludf.DUMMYFUNCTION("GOOGLETRANSLATE(B35702,""en"",""zh-CN"")"),"路线上的那个人四处奔波并射击。")</f>
        <v>路线上的那个人四处奔波并射击。</v>
      </c>
    </row>
    <row r="35703">
      <c r="A35703" s="4" t="s">
        <v>44905</v>
      </c>
      <c r="B35703" s="4" t="s">
        <v>44916</v>
      </c>
      <c r="C35703" s="5" t="str">
        <f>IFERROR(__xludf.DUMMYFUNCTION("GOOGLETRANSLATE(B35703,""en"",""zh-CN"")"),"柜台上的那个人继续用手里的枪说话。")</f>
        <v>柜台上的那个人继续用手里的枪说话。</v>
      </c>
    </row>
    <row r="35704">
      <c r="A35704" s="4" t="s">
        <v>44905</v>
      </c>
      <c r="B35704" s="4" t="s">
        <v>44917</v>
      </c>
      <c r="C35704" s="5" t="str">
        <f>IFERROR(__xludf.DUMMYFUNCTION("GOOGLETRANSLATE(B35704,""en"",""zh-CN"")"),"路线上的那个人围绕着一个角落，瞄准他的枪。")</f>
        <v>路线上的那个人围绕着一个角落，瞄准他的枪。</v>
      </c>
    </row>
    <row r="35705">
      <c r="A35705" s="4" t="s">
        <v>44905</v>
      </c>
      <c r="B35705" s="4" t="s">
        <v>44918</v>
      </c>
      <c r="C35705" s="5" t="str">
        <f>IFERROR(__xludf.DUMMYFUNCTION("GOOGLETRANSLATE(B35705,""en"",""zh-CN"")"),"柜台上的那个人正在用枪握着枪说话。")</f>
        <v>柜台上的那个人正在用枪握着枪说话。</v>
      </c>
    </row>
    <row r="35706">
      <c r="A35706" s="4" t="s">
        <v>44919</v>
      </c>
      <c r="B35706" s="4" t="s">
        <v>44920</v>
      </c>
      <c r="C35706" s="5" t="str">
        <f>IFERROR(__xludf.DUMMYFUNCTION("GOOGLETRANSLATE(B35706,""en"",""zh-CN"")"),"人们站在篱笆上，大门抬起，骑手正在等待开始。")</f>
        <v>人们站在篱笆上，大门抬起，骑手正在等待开始。</v>
      </c>
    </row>
    <row r="35707">
      <c r="A35707" s="4" t="s">
        <v>44919</v>
      </c>
      <c r="B35707" s="4" t="s">
        <v>44921</v>
      </c>
      <c r="C35707" s="5" t="str">
        <f>IFERROR(__xludf.DUMMYFUNCTION("GOOGLETRANSLATE(B35707,""en"",""zh-CN"")"),"一旦大门打开了一头小牛，马就追赶。")</f>
        <v>一旦大门打开了一头小牛，马就追赶。</v>
      </c>
    </row>
    <row r="35708">
      <c r="A35708" s="4" t="s">
        <v>44919</v>
      </c>
      <c r="B35708" s="4" t="s">
        <v>44922</v>
      </c>
      <c r="C35708" s="5" t="str">
        <f>IFERROR(__xludf.DUMMYFUNCTION("GOOGLETRANSLATE(B35708,""en"",""zh-CN"")"),"骑手向母牛扔绳子，试图抓住它，然后跳下马。")</f>
        <v>骑手向母牛扔绳子，试图抓住它，然后跳下马。</v>
      </c>
    </row>
    <row r="35709">
      <c r="A35709" s="4" t="s">
        <v>44919</v>
      </c>
      <c r="B35709" s="6" t="s">
        <v>44923</v>
      </c>
      <c r="C35709" s="5" t="str">
        <f>IFERROR(__xludf.DUMMYFUNCTION("GOOGLETRANSLATE(B35709,""en"",""zh-CN"")"),"他跳下马后，他开始将牛扎在腿上，将绳子绑在腿上。")</f>
        <v>他跳下马后，他开始将牛扎在腿上，将绳子绑在腿上。</v>
      </c>
    </row>
    <row r="35710">
      <c r="A35710" s="4" t="s">
        <v>44924</v>
      </c>
      <c r="B35710" s="4" t="s">
        <v>44925</v>
      </c>
      <c r="C35710" s="5" t="str">
        <f>IFERROR(__xludf.DUMMYFUNCTION("GOOGLETRANSLATE(B35710,""en"",""zh-CN"")"),"看到一个小男孩抓住割草机并将其推到院子里。")</f>
        <v>看到一个小男孩抓住割草机并将其推到院子里。</v>
      </c>
    </row>
    <row r="35711">
      <c r="A35711" s="4" t="s">
        <v>44924</v>
      </c>
      <c r="B35711" s="4" t="s">
        <v>44926</v>
      </c>
      <c r="C35711" s="5" t="str">
        <f>IFERROR(__xludf.DUMMYFUNCTION("GOOGLETRANSLATE(B35711,""en"",""zh-CN"")"),"当相机捕捉他的动作时，男孩继续将割草机推到四处。")</f>
        <v>当相机捕捉他的动作时，男孩继续将割草机推到四处。</v>
      </c>
    </row>
    <row r="35712">
      <c r="A35712" s="4" t="s">
        <v>44924</v>
      </c>
      <c r="B35712" s="4" t="s">
        <v>44927</v>
      </c>
      <c r="C35712" s="5" t="str">
        <f>IFERROR(__xludf.DUMMYFUNCTION("GOOGLETRANSLATE(B35712,""en"",""zh-CN"")"),"他将割草机推回他开始的地方，然后回头看相机。")</f>
        <v>他将割草机推回他开始的地方，然后回头看相机。</v>
      </c>
    </row>
    <row r="35713">
      <c r="A35713" s="4" t="s">
        <v>44928</v>
      </c>
      <c r="B35713" s="4" t="s">
        <v>1251</v>
      </c>
      <c r="C35713" s="5" t="str">
        <f>IFERROR(__xludf.DUMMYFUNCTION("GOOGLETRANSLATE(B35713,""en"",""zh-CN"")"),"显示了剪辑的信用。")</f>
        <v>显示了剪辑的信用。</v>
      </c>
    </row>
    <row r="35714">
      <c r="A35714" s="4" t="s">
        <v>44928</v>
      </c>
      <c r="B35714" s="4" t="s">
        <v>44929</v>
      </c>
      <c r="C35714" s="5" t="str">
        <f>IFERROR(__xludf.DUMMYFUNCTION("GOOGLETRANSLATE(B35714,""en"",""zh-CN"")"),"车辆正沿着道路移动。")</f>
        <v>车辆正沿着道路移动。</v>
      </c>
    </row>
    <row r="35715">
      <c r="A35715" s="4" t="s">
        <v>44928</v>
      </c>
      <c r="B35715" s="4" t="s">
        <v>44930</v>
      </c>
      <c r="C35715" s="5" t="str">
        <f>IFERROR(__xludf.DUMMYFUNCTION("GOOGLETRANSLATE(B35715,""en"",""zh-CN"")"),"一位女士站着讨论。")</f>
        <v>一位女士站着讨论。</v>
      </c>
    </row>
    <row r="35716">
      <c r="A35716" s="4" t="s">
        <v>44928</v>
      </c>
      <c r="B35716" s="4" t="s">
        <v>44931</v>
      </c>
      <c r="C35716" s="5" t="str">
        <f>IFERROR(__xludf.DUMMYFUNCTION("GOOGLETRANSLATE(B35716,""en"",""zh-CN"")"),"人们正在划一块岩石的水。")</f>
        <v>人们正在划一块岩石的水。</v>
      </c>
    </row>
    <row r="35717">
      <c r="A35717" s="4" t="s">
        <v>44928</v>
      </c>
      <c r="B35717" s="4" t="s">
        <v>44932</v>
      </c>
      <c r="C35717" s="5" t="str">
        <f>IFERROR(__xludf.DUMMYFUNCTION("GOOGLETRANSLATE(B35717,""en"",""zh-CN"")"),"一个人试图将一个人抬回充气的船。")</f>
        <v>一个人试图将一个人抬回充气的船。</v>
      </c>
    </row>
    <row r="35718">
      <c r="A35718" s="4" t="s">
        <v>44928</v>
      </c>
      <c r="B35718" s="4" t="s">
        <v>44933</v>
      </c>
      <c r="C35718" s="5" t="str">
        <f>IFERROR(__xludf.DUMMYFUNCTION("GOOGLETRANSLATE(B35718,""en"",""zh-CN"")"),"一位女士从膨胀的船上走开。")</f>
        <v>一位女士从膨胀的船上走开。</v>
      </c>
    </row>
    <row r="35719">
      <c r="A35719" s="4" t="s">
        <v>44928</v>
      </c>
      <c r="B35719" s="4" t="s">
        <v>44934</v>
      </c>
      <c r="C35719" s="5" t="str">
        <f>IFERROR(__xludf.DUMMYFUNCTION("GOOGLETRANSLATE(B35719,""en"",""zh-CN"")"),"那位女士用手在她的脸上。")</f>
        <v>那位女士用手在她的脸上。</v>
      </c>
    </row>
    <row r="35720">
      <c r="A35720" s="4" t="s">
        <v>44928</v>
      </c>
      <c r="B35720" s="4" t="s">
        <v>44935</v>
      </c>
      <c r="C35720" s="5" t="str">
        <f>IFERROR(__xludf.DUMMYFUNCTION("GOOGLETRANSLATE(B35720,""en"",""zh-CN"")"),"坐在膨胀的船上的人抬起桨。")</f>
        <v>坐在膨胀的船上的人抬起桨。</v>
      </c>
    </row>
    <row r="35721">
      <c r="A35721" s="4" t="s">
        <v>44928</v>
      </c>
      <c r="B35721" s="4" t="s">
        <v>44936</v>
      </c>
      <c r="C35721" s="5" t="str">
        <f>IFERROR(__xludf.DUMMYFUNCTION("GOOGLETRANSLATE(B35721,""en"",""zh-CN"")"),"一艘膨胀的船翻转了，乘员跌倒了。")</f>
        <v>一艘膨胀的船翻转了，乘员跌倒了。</v>
      </c>
    </row>
    <row r="35722">
      <c r="A35722" s="4" t="s">
        <v>44928</v>
      </c>
      <c r="B35722" s="4" t="s">
        <v>44937</v>
      </c>
      <c r="C35722" s="5" t="str">
        <f>IFERROR(__xludf.DUMMYFUNCTION("GOOGLETRANSLATE(B35722,""en"",""zh-CN"")"),"那位女士脱下头盔。")</f>
        <v>那位女士脱下头盔。</v>
      </c>
    </row>
    <row r="35723">
      <c r="A35723" s="4" t="s">
        <v>44928</v>
      </c>
      <c r="B35723" s="4" t="s">
        <v>44938</v>
      </c>
      <c r="C35723" s="5" t="str">
        <f>IFERROR(__xludf.DUMMYFUNCTION("GOOGLETRANSLATE(B35723,""en"",""zh-CN"")"),"一个男人给那位女士她的白色凉鞋。")</f>
        <v>一个男人给那位女士她的白色凉鞋。</v>
      </c>
    </row>
    <row r="35724">
      <c r="A35724" s="4" t="s">
        <v>44928</v>
      </c>
      <c r="B35724" s="4" t="s">
        <v>44939</v>
      </c>
      <c r="C35724" s="5" t="str">
        <f>IFERROR(__xludf.DUMMYFUNCTION("GOOGLETRANSLATE(B35724,""en"",""zh-CN"")"),"女士吹了吻。")</f>
        <v>女士吹了吻。</v>
      </c>
    </row>
    <row r="35725">
      <c r="A35725" s="4" t="s">
        <v>44928</v>
      </c>
      <c r="B35725" s="4" t="s">
        <v>44940</v>
      </c>
      <c r="C35725" s="5" t="str">
        <f>IFERROR(__xludf.DUMMYFUNCTION("GOOGLETRANSLATE(B35725,""en"",""zh-CN"")"),"伙计们在外面踢足球。")</f>
        <v>伙计们在外面踢足球。</v>
      </c>
    </row>
    <row r="35726">
      <c r="A35726" s="4" t="s">
        <v>44928</v>
      </c>
      <c r="B35726" s="4" t="s">
        <v>44941</v>
      </c>
      <c r="C35726" s="5" t="str">
        <f>IFERROR(__xludf.DUMMYFUNCTION("GOOGLETRANSLATE(B35726,""en"",""zh-CN"")"),"两名红色团队运动员胸部颠簸。")</f>
        <v>两名红色团队运动员胸部颠簸。</v>
      </c>
    </row>
    <row r="35727">
      <c r="A35727" s="4" t="s">
        <v>44928</v>
      </c>
      <c r="B35727" s="4" t="s">
        <v>1251</v>
      </c>
      <c r="C35727" s="5" t="str">
        <f>IFERROR(__xludf.DUMMYFUNCTION("GOOGLETRANSLATE(B35727,""en"",""zh-CN"")"),"显示了剪辑的信用。")</f>
        <v>显示了剪辑的信用。</v>
      </c>
    </row>
    <row r="35728">
      <c r="A35728" s="4" t="s">
        <v>44942</v>
      </c>
      <c r="B35728" s="4" t="s">
        <v>44943</v>
      </c>
      <c r="C35728" s="5" t="str">
        <f>IFERROR(__xludf.DUMMYFUNCTION("GOOGLETRANSLATE(B35728,""en"",""zh-CN"")"),"介绍会导致狗美容师外面的镜头和几只狗绑在里面的地方。")</f>
        <v>介绍会导致狗美容师外面的镜头和几只狗绑在里面的地方。</v>
      </c>
    </row>
    <row r="35729">
      <c r="A35729" s="4" t="s">
        <v>44942</v>
      </c>
      <c r="B35729" s="6" t="s">
        <v>44944</v>
      </c>
      <c r="C35729" s="5" t="str">
        <f>IFERROR(__xludf.DUMMYFUNCTION("GOOGLETRANSLATE(B35729,""en"",""zh-CN"")"),"许多女人被显示在刷狗并修剪毛皮的同时，让他们介于两者之间。")</f>
        <v>许多女人被显示在刷狗并修剪毛皮的同时，让他们介于两者之间。</v>
      </c>
    </row>
    <row r="35730">
      <c r="A35730" s="4" t="s">
        <v>44942</v>
      </c>
      <c r="B35730" s="4" t="s">
        <v>44945</v>
      </c>
      <c r="C35730" s="5" t="str">
        <f>IFERROR(__xludf.DUMMYFUNCTION("GOOGLETRANSLATE(B35730,""en"",""zh-CN"")"),"看到更多的狗坐在板条箱中，在风吹向相机时吠叫。")</f>
        <v>看到更多的狗坐在板条箱中，在风吹向相机时吠叫。</v>
      </c>
    </row>
    <row r="35731">
      <c r="A35731" s="4" t="s">
        <v>44946</v>
      </c>
      <c r="B35731" s="6" t="s">
        <v>44947</v>
      </c>
      <c r="C35731" s="5" t="str">
        <f>IFERROR(__xludf.DUMMYFUNCTION("GOOGLETRANSLATE(B35731,""en"",""zh-CN"")"),"看到队友走到一个被数十人包围的田野上，准备在绳索上站着，抬起手臂。")</f>
        <v>看到队友走到一个被数十人包围的田野上，准备在绳索上站着，抬起手臂。</v>
      </c>
    </row>
    <row r="35732">
      <c r="A35732" s="4" t="s">
        <v>44946</v>
      </c>
      <c r="B35732" s="4" t="s">
        <v>44948</v>
      </c>
      <c r="C35732" s="5" t="str">
        <f>IFERROR(__xludf.DUMMYFUNCTION("GOOGLETRANSLATE(B35732,""en"",""zh-CN"")"),"然后，这些人将绳索拉到另一支球队，然后跌倒。")</f>
        <v>然后，这些人将绳索拉到另一支球队，然后跌倒。</v>
      </c>
    </row>
    <row r="35733">
      <c r="A35733" s="4" t="s">
        <v>44949</v>
      </c>
      <c r="B35733" s="4" t="s">
        <v>44950</v>
      </c>
      <c r="C35733" s="5" t="str">
        <f>IFERROR(__xludf.DUMMYFUNCTION("GOOGLETRANSLATE(B35733,""en"",""zh-CN"")"),"看到一个男人拿着斧头，回头笑着微笑。")</f>
        <v>看到一个男人拿着斧头，回头笑着微笑。</v>
      </c>
    </row>
    <row r="35734">
      <c r="A35734" s="4" t="s">
        <v>44949</v>
      </c>
      <c r="B35734" s="4" t="s">
        <v>44951</v>
      </c>
      <c r="C35734" s="5" t="str">
        <f>IFERROR(__xludf.DUMMYFUNCTION("GOOGLETRANSLATE(B35734,""en"",""zh-CN"")"),"然后，该名男子将斧头向下摆动，撞到仍然在相机上微笑的木头原木。")</f>
        <v>然后，该名男子将斧头向下摆动，撞到仍然在相机上微笑的木头原木。</v>
      </c>
    </row>
    <row r="35735">
      <c r="A35735" s="4" t="s">
        <v>44952</v>
      </c>
      <c r="B35735" s="4" t="s">
        <v>44953</v>
      </c>
      <c r="C35735" s="5" t="str">
        <f>IFERROR(__xludf.DUMMYFUNCTION("GOOGLETRANSLATE(B35735,""en"",""zh-CN"")"),"油漆显示在泡沫聚苯乙烯板上。")</f>
        <v>油漆显示在泡沫聚苯乙烯板上。</v>
      </c>
    </row>
    <row r="35736">
      <c r="A35736" s="4" t="s">
        <v>44952</v>
      </c>
      <c r="B35736" s="4" t="s">
        <v>44954</v>
      </c>
      <c r="C35736" s="5" t="str">
        <f>IFERROR(__xludf.DUMMYFUNCTION("GOOGLETRANSLATE(B35736,""en"",""zh-CN"")"),"一只手用刷子和混合涂料在纸上画一张纸。")</f>
        <v>一只手用刷子和混合涂料在纸上画一张纸。</v>
      </c>
    </row>
    <row r="35737">
      <c r="A35737" s="4" t="s">
        <v>44955</v>
      </c>
      <c r="B35737" s="4" t="s">
        <v>44956</v>
      </c>
      <c r="C35737" s="5" t="str">
        <f>IFERROR(__xludf.DUMMYFUNCTION("GOOGLETRANSLATE(B35737,""en"",""zh-CN"")"),"看到厨师与女人说话，并带着刀拿着刀并锐化了两侧。")</f>
        <v>看到厨师与女人说话，并带着刀拿着刀并锐化了两侧。</v>
      </c>
    </row>
    <row r="35738">
      <c r="A35738" s="4" t="s">
        <v>44955</v>
      </c>
      <c r="B35738" s="4" t="s">
        <v>44957</v>
      </c>
      <c r="C35738" s="5" t="str">
        <f>IFERROR(__xludf.DUMMYFUNCTION("GOOGLETRANSLATE(B35738,""en"",""zh-CN"")"),"然后，他用抹布擦拭刀，并继续锐化刀子。")</f>
        <v>然后，他用抹布擦拭刀，并继续锐化刀子。</v>
      </c>
    </row>
    <row r="35739">
      <c r="A35739" s="4" t="s">
        <v>44958</v>
      </c>
      <c r="B35739" s="4" t="s">
        <v>7239</v>
      </c>
      <c r="C35739" s="5" t="str">
        <f>IFERROR(__xludf.DUMMYFUNCTION("GOOGLETRANSLATE(B35739,""en"",""zh-CN"")"),"我们看到一个黑色标题屏幕。")</f>
        <v>我们看到一个黑色标题屏幕。</v>
      </c>
    </row>
    <row r="35740">
      <c r="A35740" s="4" t="s">
        <v>44958</v>
      </c>
      <c r="B35740" s="4" t="s">
        <v>44959</v>
      </c>
      <c r="C35740" s="5" t="str">
        <f>IFERROR(__xludf.DUMMYFUNCTION("GOOGLETRANSLATE(B35740,""en"",""zh-CN"")"),"我们看到在街上行驶，然后我们看到车上的那个人。")</f>
        <v>我们看到在街上行驶，然后我们看到车上的那个人。</v>
      </c>
    </row>
    <row r="35741">
      <c r="A35741" s="4" t="s">
        <v>44958</v>
      </c>
      <c r="B35741" s="4" t="s">
        <v>44960</v>
      </c>
      <c r="C35741" s="5" t="str">
        <f>IFERROR(__xludf.DUMMYFUNCTION("GOOGLETRANSLATE(B35741,""en"",""zh-CN"")"),"该男子出去抓住了扁平轮胎用品。")</f>
        <v>该男子出去抓住了扁平轮胎用品。</v>
      </c>
    </row>
    <row r="35742">
      <c r="A35742" s="4" t="s">
        <v>44958</v>
      </c>
      <c r="B35742" s="4" t="s">
        <v>44961</v>
      </c>
      <c r="C35742" s="5" t="str">
        <f>IFERROR(__xludf.DUMMYFUNCTION("GOOGLETRANSLATE(B35742,""en"",""zh-CN"")"),"该男子坐在车里，思考如何改变轮胎。")</f>
        <v>该男子坐在车里，思考如何改变轮胎。</v>
      </c>
    </row>
    <row r="35743">
      <c r="A35743" s="4" t="s">
        <v>44958</v>
      </c>
      <c r="B35743" s="4" t="s">
        <v>44962</v>
      </c>
      <c r="C35743" s="5" t="str">
        <f>IFERROR(__xludf.DUMMYFUNCTION("GOOGLETRANSLATE(B35743,""en"",""zh-CN"")"),"那家伙松开螺栓，将汽车抬起并脱下公寓。")</f>
        <v>那家伙松开螺栓，将汽车抬起并脱下公寓。</v>
      </c>
    </row>
    <row r="35744">
      <c r="A35744" s="4" t="s">
        <v>44958</v>
      </c>
      <c r="B35744" s="4" t="s">
        <v>44963</v>
      </c>
      <c r="C35744" s="5" t="str">
        <f>IFERROR(__xludf.DUMMYFUNCTION("GOOGLETRANSLATE(B35744,""en"",""zh-CN"")"),"然后，那家伙把备用轮胎放在车上。")</f>
        <v>然后，那家伙把备用轮胎放在车上。</v>
      </c>
    </row>
    <row r="35745">
      <c r="A35745" s="4" t="s">
        <v>44958</v>
      </c>
      <c r="B35745" s="4" t="s">
        <v>44964</v>
      </c>
      <c r="C35745" s="5" t="str">
        <f>IFERROR(__xludf.DUMMYFUNCTION("GOOGLETRANSLATE(B35745,""en"",""zh-CN"")"),"我们看到螺栓靠近一条线。")</f>
        <v>我们看到螺栓靠近一条线。</v>
      </c>
    </row>
    <row r="35746">
      <c r="A35746" s="4" t="s">
        <v>44958</v>
      </c>
      <c r="B35746" s="4" t="s">
        <v>44965</v>
      </c>
      <c r="C35746" s="5" t="str">
        <f>IFERROR(__xludf.DUMMYFUNCTION("GOOGLETRANSLATE(B35746,""en"",""zh-CN"")"),"该男子将备用轮胎放在汽车上，然后上车。")</f>
        <v>该男子将备用轮胎放在汽车上，然后上车。</v>
      </c>
    </row>
    <row r="35747">
      <c r="A35747" s="4" t="s">
        <v>44958</v>
      </c>
      <c r="B35747" s="4" t="s">
        <v>44966</v>
      </c>
      <c r="C35747" s="5" t="str">
        <f>IFERROR(__xludf.DUMMYFUNCTION("GOOGLETRANSLATE(B35747,""en"",""zh-CN"")"),"他打电话并打开收音机。")</f>
        <v>他打电话并打开收音机。</v>
      </c>
    </row>
    <row r="35748">
      <c r="A35748" s="4" t="s">
        <v>44958</v>
      </c>
      <c r="B35748" s="4" t="s">
        <v>44967</v>
      </c>
      <c r="C35748" s="5" t="str">
        <f>IFERROR(__xludf.DUMMYFUNCTION("GOOGLETRANSLATE(B35748,""en"",""zh-CN"")"),"这个男人掉头并离开。")</f>
        <v>这个男人掉头并离开。</v>
      </c>
    </row>
    <row r="35749">
      <c r="A35749" s="4" t="s">
        <v>44958</v>
      </c>
      <c r="B35749" s="4" t="s">
        <v>44968</v>
      </c>
      <c r="C35749" s="5" t="str">
        <f>IFERROR(__xludf.DUMMYFUNCTION("GOOGLETRANSLATE(B35749,""en"",""zh-CN"")"),"我们看到了结局标题。")</f>
        <v>我们看到了结局标题。</v>
      </c>
    </row>
    <row r="35750">
      <c r="A35750" s="4" t="s">
        <v>44969</v>
      </c>
      <c r="B35750" s="4" t="s">
        <v>44970</v>
      </c>
      <c r="C35750" s="5" t="str">
        <f>IFERROR(__xludf.DUMMYFUNCTION("GOOGLETRANSLATE(B35750,""en"",""zh-CN"")"),"发型师展示了一个头发造型霜的容器。")</f>
        <v>发型师展示了一个头发造型霜的容器。</v>
      </c>
    </row>
    <row r="35751">
      <c r="A35751" s="4" t="s">
        <v>44969</v>
      </c>
      <c r="B35751" s="4" t="s">
        <v>44971</v>
      </c>
      <c r="C35751" s="5" t="str">
        <f>IFERROR(__xludf.DUMMYFUNCTION("GOOGLETRANSLATE(B35751,""en"",""zh-CN"")"),"她将其应用于坐在黑发的皮肤上。")</f>
        <v>她将其应用于坐在黑发的皮肤上。</v>
      </c>
    </row>
    <row r="35752">
      <c r="A35752" s="4" t="s">
        <v>44969</v>
      </c>
      <c r="B35752" s="4" t="s">
        <v>44972</v>
      </c>
      <c r="C35752" s="5" t="str">
        <f>IFERROR(__xludf.DUMMYFUNCTION("GOOGLETRANSLATE(B35752,""en"",""zh-CN"")"),"然后，她演示了它是如何工作的。")</f>
        <v>然后，她演示了它是如何工作的。</v>
      </c>
    </row>
    <row r="35753">
      <c r="A35753" s="4" t="s">
        <v>44973</v>
      </c>
      <c r="B35753" s="4" t="s">
        <v>44974</v>
      </c>
      <c r="C35753" s="5" t="str">
        <f>IFERROR(__xludf.DUMMYFUNCTION("GOOGLETRANSLATE(B35753,""en"",""zh-CN"")"),"看到一个男人在相机上说话，然后将其倒在拆开的屋顶上。")</f>
        <v>看到一个男人在相机上说话，然后将其倒在拆开的屋顶上。</v>
      </c>
    </row>
    <row r="35754">
      <c r="A35754" s="4" t="s">
        <v>44973</v>
      </c>
      <c r="B35754" s="4" t="s">
        <v>44975</v>
      </c>
      <c r="C35754" s="5" t="str">
        <f>IFERROR(__xludf.DUMMYFUNCTION("GOOGLETRANSLATE(B35754,""en"",""zh-CN"")"),"他指着整个屋顶，并显示一名男子在屋顶上工作，同时又在铺平时。")</f>
        <v>他指着整个屋顶，并显示一名男子在屋顶上工作，同时又在铺平时。</v>
      </c>
    </row>
    <row r="35755">
      <c r="A35755" s="4" t="s">
        <v>44976</v>
      </c>
      <c r="B35755" s="4" t="s">
        <v>44977</v>
      </c>
      <c r="C35755" s="5" t="str">
        <f>IFERROR(__xludf.DUMMYFUNCTION("GOOGLETRANSLATE(B35755,""en"",""zh-CN"")"),"看到一个女人把头发放在小马尾巴上，一个男人看着她在旁边。")</f>
        <v>看到一个女人把头发放在小马尾巴上，一个男人看着她在旁边。</v>
      </c>
    </row>
    <row r="35756">
      <c r="A35756" s="4" t="s">
        <v>44976</v>
      </c>
      <c r="B35756" s="4" t="s">
        <v>44978</v>
      </c>
      <c r="C35756" s="5" t="str">
        <f>IFERROR(__xludf.DUMMYFUNCTION("GOOGLETRANSLATE(B35756,""en"",""zh-CN"")"),"然后，她在微笑时弹钢琴，那个男人继续看着她。")</f>
        <v>然后，她在微笑时弹钢琴，那个男人继续看着她。</v>
      </c>
    </row>
    <row r="35757">
      <c r="A35757" s="4" t="s">
        <v>44979</v>
      </c>
      <c r="B35757" s="4" t="s">
        <v>44980</v>
      </c>
      <c r="C35757" s="5" t="str">
        <f>IFERROR(__xludf.DUMMYFUNCTION("GOOGLETRANSLATE(B35757,""en"",""zh-CN"")"),"人们在水体中划在皮划艇上。")</f>
        <v>人们在水体中划在皮划艇上。</v>
      </c>
    </row>
    <row r="35758">
      <c r="A35758" s="4" t="s">
        <v>44979</v>
      </c>
      <c r="B35758" s="4" t="s">
        <v>44981</v>
      </c>
      <c r="C35758" s="5" t="str">
        <f>IFERROR(__xludf.DUMMYFUNCTION("GOOGLETRANSLATE(B35758,""en"",""zh-CN"")"),"一个男人穿着绿色皮划艇起飞。")</f>
        <v>一个男人穿着绿色皮划艇起飞。</v>
      </c>
    </row>
    <row r="35759">
      <c r="A35759" s="4" t="s">
        <v>44979</v>
      </c>
      <c r="B35759" s="4" t="s">
        <v>44982</v>
      </c>
      <c r="C35759" s="5" t="str">
        <f>IFERROR(__xludf.DUMMYFUNCTION("GOOGLETRANSLATE(B35759,""en"",""zh-CN"")"),"一个穿着红色外套的男人正在与镜头交谈。")</f>
        <v>一个穿着红色外套的男人正在与镜头交谈。</v>
      </c>
    </row>
    <row r="35760">
      <c r="A35760" s="4" t="s">
        <v>44983</v>
      </c>
      <c r="B35760" s="4" t="s">
        <v>44984</v>
      </c>
      <c r="C35760" s="5" t="str">
        <f>IFERROR(__xludf.DUMMYFUNCTION("GOOGLETRANSLATE(B35760,""en"",""zh-CN"")"),"女人和一只狗正在用飞盘在草地上玩耍。")</f>
        <v>女人和一只狗正在用飞盘在草地上玩耍。</v>
      </c>
    </row>
    <row r="35761">
      <c r="A35761" s="4" t="s">
        <v>44983</v>
      </c>
      <c r="B35761" s="4" t="s">
        <v>44985</v>
      </c>
      <c r="C35761" s="5" t="str">
        <f>IFERROR(__xludf.DUMMYFUNCTION("GOOGLETRANSLATE(B35761,""en"",""zh-CN"")"),"狗的嘴里有飞盘。")</f>
        <v>狗的嘴里有飞盘。</v>
      </c>
    </row>
    <row r="35762">
      <c r="A35762" s="4" t="s">
        <v>44983</v>
      </c>
      <c r="B35762" s="4" t="s">
        <v>44986</v>
      </c>
      <c r="C35762" s="5" t="str">
        <f>IFERROR(__xludf.DUMMYFUNCTION("GOOGLETRANSLATE(B35762,""en"",""zh-CN"")"),"女人和狗在玩绳子。")</f>
        <v>女人和狗在玩绳子。</v>
      </c>
    </row>
    <row r="35763">
      <c r="A35763" s="4" t="s">
        <v>44987</v>
      </c>
      <c r="B35763" s="6" t="s">
        <v>44988</v>
      </c>
      <c r="C35763" s="5" t="str">
        <f>IFERROR(__xludf.DUMMYFUNCTION("GOOGLETRANSLATE(B35763,""en"",""zh-CN"")"),"在海滩上，一群足球位于一个被守门员保护的男子旁边的一个人旁边。")</f>
        <v>在海滩上，一群足球位于一个被守门员保护的男子旁边的一个人旁边。</v>
      </c>
    </row>
    <row r="35764">
      <c r="A35764" s="4" t="s">
        <v>44987</v>
      </c>
      <c r="B35764" s="4" t="s">
        <v>44989</v>
      </c>
      <c r="C35764" s="5" t="str">
        <f>IFERROR(__xludf.DUMMYFUNCTION("GOOGLETRANSLATE(B35764,""en"",""zh-CN"")"),"他在射击前抬起膝盖和膝盖。")</f>
        <v>他在射击前抬起膝盖和膝盖。</v>
      </c>
    </row>
    <row r="35765">
      <c r="A35765" s="4" t="s">
        <v>44987</v>
      </c>
      <c r="B35765" s="4" t="s">
        <v>44990</v>
      </c>
      <c r="C35765" s="5" t="str">
        <f>IFERROR(__xludf.DUMMYFUNCTION("GOOGLETRANSLATE(B35765,""en"",""zh-CN"")"),"他终于在守门员身上得分。")</f>
        <v>他终于在守门员身上得分。</v>
      </c>
    </row>
    <row r="35766">
      <c r="A35766" s="4" t="s">
        <v>44987</v>
      </c>
      <c r="B35766" s="4" t="s">
        <v>44991</v>
      </c>
      <c r="C35766" s="5" t="str">
        <f>IFERROR(__xludf.DUMMYFUNCTION("GOOGLETRANSLATE(B35766,""en"",""zh-CN"")"),"他的最后一球再次被守门员拯救。")</f>
        <v>他的最后一球再次被守门员拯救。</v>
      </c>
    </row>
    <row r="35767">
      <c r="A35767" s="4" t="s">
        <v>44992</v>
      </c>
      <c r="B35767" s="6" t="s">
        <v>44993</v>
      </c>
      <c r="C35767" s="5" t="str">
        <f>IFERROR(__xludf.DUMMYFUNCTION("GOOGLETRANSLATE(B35767,""en"",""zh-CN"")"),"显示了一名戴着运动器材的女人与镜头说话，并指向她身体的几个区域。")</f>
        <v>显示了一名戴着运动器材的女人与镜头说话，并指向她身体的几个区域。</v>
      </c>
    </row>
    <row r="35768">
      <c r="A35768" s="4" t="s">
        <v>44992</v>
      </c>
      <c r="B35768" s="4" t="s">
        <v>44994</v>
      </c>
      <c r="C35768" s="5" t="str">
        <f>IFERROR(__xludf.DUMMYFUNCTION("GOOGLETRANSLATE(B35768,""en"",""zh-CN"")"),"她继续与相机交谈，同时进行几次AB仰卧起坐以锻炼您的核心。")</f>
        <v>她继续与相机交谈，同时进行几次AB仰卧起坐以锻炼您的核心。</v>
      </c>
    </row>
    <row r="35769">
      <c r="A35769" s="4" t="s">
        <v>44992</v>
      </c>
      <c r="B35769" s="4" t="s">
        <v>44995</v>
      </c>
      <c r="C35769" s="5" t="str">
        <f>IFERROR(__xludf.DUMMYFUNCTION("GOOGLETRANSLATE(B35769,""en"",""zh-CN"")"),"然后，她双手抓住了一个体重，以及用猫用作运动的重量。")</f>
        <v>然后，她双手抓住了一个体重，以及用猫用作运动的重量。</v>
      </c>
    </row>
    <row r="35770">
      <c r="A35770" s="4" t="s">
        <v>44992</v>
      </c>
      <c r="B35770" s="4" t="s">
        <v>44996</v>
      </c>
      <c r="C35770" s="5" t="str">
        <f>IFERROR(__xludf.DUMMYFUNCTION("GOOGLETRANSLATE(B35770,""en"",""zh-CN"")"),"她向前弯曲，继续与镜头交谈。")</f>
        <v>她向前弯曲，继续与镜头交谈。</v>
      </c>
    </row>
    <row r="35771">
      <c r="A35771" s="4" t="s">
        <v>44997</v>
      </c>
      <c r="B35771" s="4" t="s">
        <v>44998</v>
      </c>
      <c r="C35771" s="5" t="str">
        <f>IFERROR(__xludf.DUMMYFUNCTION("GOOGLETRANSLATE(B35771,""en"",""zh-CN"")"),"一个男人坐在鼓盘上。")</f>
        <v>一个男人坐在鼓盘上。</v>
      </c>
    </row>
    <row r="35772">
      <c r="A35772" s="4" t="s">
        <v>44997</v>
      </c>
      <c r="B35772" s="4" t="s">
        <v>44999</v>
      </c>
      <c r="C35772" s="5" t="str">
        <f>IFERROR(__xludf.DUMMYFUNCTION("GOOGLETRANSLATE(B35772,""en"",""zh-CN"")"),"他正在演奏鼓和cy，并与镜头交谈。")</f>
        <v>他正在演奏鼓和cy，并与镜头交谈。</v>
      </c>
    </row>
    <row r="35773">
      <c r="A35773" s="4" t="s">
        <v>44997</v>
      </c>
      <c r="B35773" s="4" t="s">
        <v>45000</v>
      </c>
      <c r="C35773" s="5" t="str">
        <f>IFERROR(__xludf.DUMMYFUNCTION("GOOGLETRANSLATE(B35773,""en"",""zh-CN"")"),"他展示了踏板的机制以及对鼓时对鼓的影响。")</f>
        <v>他展示了踏板的机制以及对鼓时对鼓的影响。</v>
      </c>
    </row>
    <row r="35774">
      <c r="A35774" s="4" t="s">
        <v>45001</v>
      </c>
      <c r="B35774" s="4" t="s">
        <v>45002</v>
      </c>
      <c r="C35774" s="5" t="str">
        <f>IFERROR(__xludf.DUMMYFUNCTION("GOOGLETRANSLATE(B35774,""en"",""zh-CN"")"),"一群骑BMX越野自行车的人一起走了一条路。")</f>
        <v>一群骑BMX越野自行车的人一起走了一条路。</v>
      </c>
    </row>
    <row r="35775">
      <c r="A35775" s="4" t="s">
        <v>45001</v>
      </c>
      <c r="B35775" s="4" t="s">
        <v>45003</v>
      </c>
      <c r="C35775" s="5" t="str">
        <f>IFERROR(__xludf.DUMMYFUNCTION("GOOGLETRANSLATE(B35775,""en"",""zh-CN"")"),"然后旋转，在赛道上急转弯并弯曲。")</f>
        <v>然后旋转，在赛道上急转弯并弯曲。</v>
      </c>
    </row>
    <row r="35776">
      <c r="A35776" s="4" t="s">
        <v>45001</v>
      </c>
      <c r="B35776" s="4" t="s">
        <v>45004</v>
      </c>
      <c r="C35776" s="5" t="str">
        <f>IFERROR(__xludf.DUMMYFUNCTION("GOOGLETRANSLATE(B35776,""en"",""zh-CN"")"),"比赛结束后，他们四处走动分发奖牌并摆姿势拍照。")</f>
        <v>比赛结束后，他们四处走动分发奖牌并摆姿势拍照。</v>
      </c>
    </row>
    <row r="35777">
      <c r="A35777" s="4" t="s">
        <v>45005</v>
      </c>
      <c r="B35777" s="4" t="s">
        <v>45006</v>
      </c>
      <c r="C35777" s="5" t="str">
        <f>IFERROR(__xludf.DUMMYFUNCTION("GOOGLETRANSLATE(B35777,""en"",""zh-CN"")"),"一位女士站在霍普奇法院的尽头。")</f>
        <v>一位女士站在霍普奇法院的尽头。</v>
      </c>
    </row>
    <row r="35778">
      <c r="A35778" s="4" t="s">
        <v>45005</v>
      </c>
      <c r="B35778" s="4" t="s">
        <v>45007</v>
      </c>
      <c r="C35778" s="5" t="str">
        <f>IFERROR(__xludf.DUMMYFUNCTION("GOOGLETRANSLATE(B35778,""en"",""zh-CN"")"),"然后，这位女士朝右边的霍普奇法院跳了出来。")</f>
        <v>然后，这位女士朝右边的霍普奇法院跳了出来。</v>
      </c>
    </row>
    <row r="35779">
      <c r="A35779" s="4" t="s">
        <v>45005</v>
      </c>
      <c r="B35779" s="4" t="s">
        <v>45008</v>
      </c>
      <c r="C35779" s="5" t="str">
        <f>IFERROR(__xludf.DUMMYFUNCTION("GOOGLETRANSLATE(B35779,""en"",""zh-CN"")"),"那位女士然后回去她开始的地方。")</f>
        <v>那位女士然后回去她开始的地方。</v>
      </c>
    </row>
    <row r="35780">
      <c r="A35780" s="4" t="s">
        <v>45009</v>
      </c>
      <c r="B35780" s="6" t="s">
        <v>45010</v>
      </c>
      <c r="C35780" s="5" t="str">
        <f>IFERROR(__xludf.DUMMYFUNCTION("GOOGLETRANSLATE(B35780,""en"",""zh-CN"")"),"女人在一个大型健身房面前与摄像头交谈，背景中有很多estatic自行车和运动。")</f>
        <v>女人在一个大型健身房面前与摄像头交谈，背景中有很多estatic自行车和运动。</v>
      </c>
    </row>
    <row r="35781">
      <c r="A35781" s="4" t="s">
        <v>45009</v>
      </c>
      <c r="B35781" s="4" t="s">
        <v>45011</v>
      </c>
      <c r="C35781" s="5" t="str">
        <f>IFERROR(__xludf.DUMMYFUNCTION("GOOGLETRANSLATE(B35781,""en"",""zh-CN"")"),"女孩开始在椭圆自行车上运动。")</f>
        <v>女孩开始在椭圆自行车上运动。</v>
      </c>
    </row>
    <row r="35782">
      <c r="A35782" s="4" t="s">
        <v>45012</v>
      </c>
      <c r="B35782" s="4" t="s">
        <v>45013</v>
      </c>
      <c r="C35782" s="5" t="str">
        <f>IFERROR(__xludf.DUMMYFUNCTION("GOOGLETRANSLATE(B35782,""en"",""zh-CN"")"),"显示了几块肚脐珠宝。")</f>
        <v>显示了几块肚脐珠宝。</v>
      </c>
    </row>
    <row r="35783">
      <c r="A35783" s="4" t="s">
        <v>45012</v>
      </c>
      <c r="B35783" s="4" t="s">
        <v>45014</v>
      </c>
      <c r="C35783" s="5" t="str">
        <f>IFERROR(__xludf.DUMMYFUNCTION("GOOGLETRANSLATE(B35783,""en"",""zh-CN"")"),"接下来是一个男人对女人的肚脐消毒。")</f>
        <v>接下来是一个男人对女人的肚脐消毒。</v>
      </c>
    </row>
    <row r="35784">
      <c r="A35784" s="4" t="s">
        <v>45012</v>
      </c>
      <c r="B35784" s="4" t="s">
        <v>45015</v>
      </c>
      <c r="C35784" s="5" t="str">
        <f>IFERROR(__xludf.DUMMYFUNCTION("GOOGLETRANSLATE(B35784,""en"",""zh-CN"")"),"然后，他用夹具和杆插入穿孔。")</f>
        <v>然后，他用夹具和杆插入穿孔。</v>
      </c>
    </row>
    <row r="35785">
      <c r="A35785" s="4" t="s">
        <v>45012</v>
      </c>
      <c r="B35785" s="4" t="s">
        <v>45016</v>
      </c>
      <c r="C35785" s="5" t="str">
        <f>IFERROR(__xludf.DUMMYFUNCTION("GOOGLETRANSLATE(B35785,""en"",""zh-CN"")"),"女人看着最后的钉子就位。")</f>
        <v>女人看着最后的钉子就位。</v>
      </c>
    </row>
    <row r="35786">
      <c r="A35786" s="4" t="s">
        <v>45017</v>
      </c>
      <c r="B35786" s="4" t="s">
        <v>45018</v>
      </c>
      <c r="C35786" s="5" t="str">
        <f>IFERROR(__xludf.DUMMYFUNCTION("GOOGLETRANSLATE(B35786,""en"",""zh-CN"")"),"看到一大批人在足球场上跑步，踢足球比赛。")</f>
        <v>看到一大批人在足球场上跑步，踢足球比赛。</v>
      </c>
    </row>
    <row r="35787">
      <c r="A35787" s="4" t="s">
        <v>45017</v>
      </c>
      <c r="B35787" s="4" t="s">
        <v>45019</v>
      </c>
      <c r="C35787" s="5" t="str">
        <f>IFERROR(__xludf.DUMMYFUNCTION("GOOGLETRANSLATE(B35787,""en"",""zh-CN"")"),"孩子们继续互相踢球，而其他人则在旁边看。")</f>
        <v>孩子们继续互相踢球，而其他人则在旁边看。</v>
      </c>
    </row>
    <row r="35788">
      <c r="A35788" s="4" t="s">
        <v>45017</v>
      </c>
      <c r="B35788" s="4" t="s">
        <v>45020</v>
      </c>
      <c r="C35788" s="5" t="str">
        <f>IFERROR(__xludf.DUMMYFUNCTION("GOOGLETRANSLATE(B35788,""en"",""zh-CN"")"),"展示了更多的游戏以及彼此玩的人。")</f>
        <v>展示了更多的游戏以及彼此玩的人。</v>
      </c>
    </row>
    <row r="35789">
      <c r="A35789" s="4" t="s">
        <v>45021</v>
      </c>
      <c r="B35789" s="4" t="s">
        <v>45022</v>
      </c>
      <c r="C35789" s="5" t="str">
        <f>IFERROR(__xludf.DUMMYFUNCTION("GOOGLETRANSLATE(B35789,""en"",""zh-CN"")"),"穿着白衬衫的男人坐下弹吉他。")</f>
        <v>穿着白衬衫的男人坐下弹吉他。</v>
      </c>
    </row>
    <row r="35790">
      <c r="A35790" s="4" t="s">
        <v>45021</v>
      </c>
      <c r="B35790" s="4" t="s">
        <v>45023</v>
      </c>
      <c r="C35790" s="5" t="str">
        <f>IFERROR(__xludf.DUMMYFUNCTION("GOOGLETRANSLATE(B35790,""en"",""zh-CN"")"),"男人旁边是一个较小的屏幕，上面是一个男人唱歌和女人的黑白视频。")</f>
        <v>男人旁边是一个较小的屏幕，上面是一个男人唱歌和女人的黑白视频。</v>
      </c>
    </row>
    <row r="35791">
      <c r="A35791" s="4" t="s">
        <v>45024</v>
      </c>
      <c r="B35791" s="6" t="s">
        <v>45025</v>
      </c>
      <c r="C35791" s="5" t="str">
        <f>IFERROR(__xludf.DUMMYFUNCTION("GOOGLETRANSLATE(B35791,""en"",""zh-CN"")"),"一个女孩微笑着，指着她的脸，后面显示出一对钳子刺穿她的内嘴唇。")</f>
        <v>一个女孩微笑着，指着她的脸，后面显示出一对钳子刺穿她的内嘴唇。</v>
      </c>
    </row>
    <row r="35792">
      <c r="A35792" s="4" t="s">
        <v>45024</v>
      </c>
      <c r="B35792" s="6" t="s">
        <v>45026</v>
      </c>
      <c r="C35792" s="5" t="str">
        <f>IFERROR(__xludf.DUMMYFUNCTION("GOOGLETRANSLATE(B35792,""en"",""zh-CN"")"),"刺穿器将剪刀推开时，将剪刀抬起，最后呈现出刺穿。")</f>
        <v>刺穿器将剪刀推开时，将剪刀抬起，最后呈现出刺穿。</v>
      </c>
    </row>
    <row r="35793">
      <c r="A35793" s="4" t="s">
        <v>45027</v>
      </c>
      <c r="B35793" s="4" t="s">
        <v>45028</v>
      </c>
      <c r="C35793" s="5" t="str">
        <f>IFERROR(__xludf.DUMMYFUNCTION("GOOGLETRANSLATE(B35793,""en"",""zh-CN"")"),"一个女人正在提供有关如何在自行车上安装和调整马鞍的说明。")</f>
        <v>一个女人正在提供有关如何在自行车上安装和调整马鞍的说明。</v>
      </c>
    </row>
    <row r="35794">
      <c r="A35794" s="4" t="s">
        <v>45027</v>
      </c>
      <c r="B35794" s="4" t="s">
        <v>45029</v>
      </c>
      <c r="C35794" s="5" t="str">
        <f>IFERROR(__xludf.DUMMYFUNCTION("GOOGLETRANSLATE(B35794,""en"",""zh-CN"")"),"她使用艾伦钥匙扳手松开螺栓。")</f>
        <v>她使用艾伦钥匙扳手松开螺栓。</v>
      </c>
    </row>
    <row r="35795">
      <c r="A35795" s="4" t="s">
        <v>45027</v>
      </c>
      <c r="B35795" s="4" t="s">
        <v>45030</v>
      </c>
      <c r="C35795" s="5" t="str">
        <f>IFERROR(__xludf.DUMMYFUNCTION("GOOGLETRANSLATE(B35795,""en"",""zh-CN"")"),"然后她演示了她放松后如何移动鞍座的方式。")</f>
        <v>然后她演示了她放松后如何移动鞍座的方式。</v>
      </c>
    </row>
    <row r="35796">
      <c r="A35796" s="4" t="s">
        <v>45027</v>
      </c>
      <c r="B35796" s="4" t="s">
        <v>45031</v>
      </c>
      <c r="C35796" s="5" t="str">
        <f>IFERROR(__xludf.DUMMYFUNCTION("GOOGLETRANSLATE(B35796,""en"",""zh-CN"")"),"她用手击中它来推动鞍座。")</f>
        <v>她用手击中它来推动鞍座。</v>
      </c>
    </row>
    <row r="35797">
      <c r="A35797" s="4" t="s">
        <v>45027</v>
      </c>
      <c r="B35797" s="4" t="s">
        <v>45032</v>
      </c>
      <c r="C35797" s="5" t="str">
        <f>IFERROR(__xludf.DUMMYFUNCTION("GOOGLETRANSLATE(B35797,""en"",""zh-CN"")"),"然后，她通过来回移动鞍座展示了如何调整马鞍。")</f>
        <v>然后，她通过来回移动鞍座展示了如何调整马鞍。</v>
      </c>
    </row>
    <row r="35798">
      <c r="A35798" s="4" t="s">
        <v>45027</v>
      </c>
      <c r="B35798" s="4" t="s">
        <v>45033</v>
      </c>
      <c r="C35798" s="5" t="str">
        <f>IFERROR(__xludf.DUMMYFUNCTION("GOOGLETRANSLATE(B35798,""en"",""zh-CN"")"),"她后来演示了如何将马鞍拆下。")</f>
        <v>她后来演示了如何将马鞍拆下。</v>
      </c>
    </row>
    <row r="35799">
      <c r="A35799" s="4" t="s">
        <v>45027</v>
      </c>
      <c r="B35799" s="4" t="s">
        <v>45034</v>
      </c>
      <c r="C35799" s="5" t="str">
        <f>IFERROR(__xludf.DUMMYFUNCTION("GOOGLETRANSLATE(B35799,""en"",""zh-CN"")"),"她穿上新的，然后使用工具将其收紧。")</f>
        <v>她穿上新的，然后使用工具将其收紧。</v>
      </c>
    </row>
    <row r="35800">
      <c r="A35800" s="4" t="s">
        <v>45027</v>
      </c>
      <c r="B35800" s="4" t="s">
        <v>45035</v>
      </c>
      <c r="C35800" s="5" t="str">
        <f>IFERROR(__xludf.DUMMYFUNCTION("GOOGLETRANSLATE(B35800,""en"",""zh-CN"")"),"她使用螺丝刀拧紧螺丝并调整水平。")</f>
        <v>她使用螺丝刀拧紧螺丝并调整水平。</v>
      </c>
    </row>
    <row r="35801">
      <c r="A35801" s="4" t="s">
        <v>45027</v>
      </c>
      <c r="B35801" s="6" t="s">
        <v>45036</v>
      </c>
      <c r="C35801" s="5" t="str">
        <f>IFERROR(__xludf.DUMMYFUNCTION("GOOGLETRANSLATE(B35801,""en"",""zh-CN"")"),"然后，她展示了另一个马鞍，并演示了如何拧紧螺栓以调节马鞍的水平。")</f>
        <v>然后，她展示了另一个马鞍，并演示了如何拧紧螺栓以调节马鞍的水平。</v>
      </c>
    </row>
    <row r="35802">
      <c r="A35802" s="4" t="s">
        <v>45027</v>
      </c>
      <c r="B35802" s="4" t="s">
        <v>45037</v>
      </c>
      <c r="C35802" s="5" t="str">
        <f>IFERROR(__xludf.DUMMYFUNCTION("GOOGLETRANSLATE(B35802,""en"",""zh-CN"")"),"她展示了如何拧紧螺栓以确保鞍座紧贴。")</f>
        <v>她展示了如何拧紧螺栓以确保鞍座紧贴。</v>
      </c>
    </row>
    <row r="35803">
      <c r="A35803" s="4" t="s">
        <v>45038</v>
      </c>
      <c r="B35803" s="4" t="s">
        <v>45039</v>
      </c>
      <c r="C35803" s="5" t="str">
        <f>IFERROR(__xludf.DUMMYFUNCTION("GOOGLETRANSLATE(B35803,""en"",""zh-CN"")"),"一个灰色的男孩向球场另一侧的一个孩子扔了一个球。")</f>
        <v>一个灰色的男孩向球场另一侧的一个孩子扔了一个球。</v>
      </c>
    </row>
    <row r="35804">
      <c r="A35804" s="4" t="s">
        <v>45038</v>
      </c>
      <c r="B35804" s="4" t="s">
        <v>45040</v>
      </c>
      <c r="C35804" s="5" t="str">
        <f>IFERROR(__xludf.DUMMYFUNCTION("GOOGLETRANSLATE(B35804,""en"",""zh-CN"")"),"一个蓝色的男孩在接球并着陆后，在空中进行非凡的翻转。")</f>
        <v>一个蓝色的男孩在接球并着陆后，在空中进行非凡的翻转。</v>
      </c>
    </row>
    <row r="35805">
      <c r="A35805" s="4" t="s">
        <v>45038</v>
      </c>
      <c r="B35805" s="4" t="s">
        <v>45041</v>
      </c>
      <c r="C35805" s="5" t="str">
        <f>IFERROR(__xludf.DUMMYFUNCTION("GOOGLETRANSLATE(B35805,""en"",""zh-CN"")"),"着陆后，他将球扔给另一个孩子。")</f>
        <v>着陆后，他将球扔给另一个孩子。</v>
      </c>
    </row>
    <row r="35806">
      <c r="A35806" s="4" t="s">
        <v>45038</v>
      </c>
      <c r="B35806" s="4" t="s">
        <v>45042</v>
      </c>
      <c r="C35806" s="5" t="str">
        <f>IFERROR(__xludf.DUMMYFUNCTION("GOOGLETRANSLATE(B35806,""en"",""zh-CN"")"),"一群站在他们身后的孩子看着他们。")</f>
        <v>一群站在他们身后的孩子看着他们。</v>
      </c>
    </row>
    <row r="35807">
      <c r="A35807" s="4" t="s">
        <v>45043</v>
      </c>
      <c r="B35807" s="4" t="s">
        <v>45044</v>
      </c>
      <c r="C35807" s="5" t="str">
        <f>IFERROR(__xludf.DUMMYFUNCTION("GOOGLETRANSLATE(B35807,""en"",""zh-CN"")"),"四个人在房子的屋顶上工作。")</f>
        <v>四个人在房子的屋顶上工作。</v>
      </c>
    </row>
    <row r="35808">
      <c r="A35808" s="4" t="s">
        <v>45043</v>
      </c>
      <c r="B35808" s="4" t="s">
        <v>45045</v>
      </c>
      <c r="C35808" s="5" t="str">
        <f>IFERROR(__xludf.DUMMYFUNCTION("GOOGLETRANSLATE(B35808,""en"",""zh-CN"")"),"他们用铲子将带状疱疹刮掉，在工作时将碎屑撞到地面上。")</f>
        <v>他们用铲子将带状疱疹刮掉，在工作时将碎屑撞到地面上。</v>
      </c>
    </row>
    <row r="35809">
      <c r="A35809" s="4" t="s">
        <v>45046</v>
      </c>
      <c r="B35809" s="4" t="s">
        <v>15882</v>
      </c>
      <c r="C35809" s="5" t="str">
        <f>IFERROR(__xludf.DUMMYFUNCTION("GOOGLETRANSLATE(B35809,""en"",""zh-CN"")"),"我们看到开头标题屏幕。")</f>
        <v>我们看到开头标题屏幕。</v>
      </c>
    </row>
    <row r="35810">
      <c r="A35810" s="4" t="s">
        <v>45046</v>
      </c>
      <c r="B35810" s="4" t="s">
        <v>45047</v>
      </c>
      <c r="C35810" s="5" t="str">
        <f>IFERROR(__xludf.DUMMYFUNCTION("GOOGLETRANSLATE(B35810,""en"",""zh-CN"")"),"然后，我们看到男人在鞍马上旋转，介于两者之间的标题屏幕。")</f>
        <v>然后，我们看到男人在鞍马上旋转，介于两者之间的标题屏幕。</v>
      </c>
    </row>
    <row r="35811">
      <c r="A35811" s="4" t="s">
        <v>45046</v>
      </c>
      <c r="B35811" s="4" t="s">
        <v>45048</v>
      </c>
      <c r="C35811" s="5" t="str">
        <f>IFERROR(__xludf.DUMMYFUNCTION("GOOGLETRANSLATE(B35811,""en"",""zh-CN"")"),"我们看到一个男人把双腿扔在鞍马上。")</f>
        <v>我们看到一个男人把双腿扔在鞍马上。</v>
      </c>
    </row>
    <row r="35812">
      <c r="A35812" s="4" t="s">
        <v>45046</v>
      </c>
      <c r="B35812" s="4" t="s">
        <v>45049</v>
      </c>
      <c r="C35812" s="5" t="str">
        <f>IFERROR(__xludf.DUMMYFUNCTION("GOOGLETRANSLATE(B35812,""en"",""zh-CN"")"),"我们看到一个穿着红色的男人迅速绕着鞍马旋转。")</f>
        <v>我们看到一个穿着红色的男人迅速绕着鞍马旋转。</v>
      </c>
    </row>
    <row r="35813">
      <c r="A35813" s="4" t="s">
        <v>45046</v>
      </c>
      <c r="B35813" s="4" t="s">
        <v>45050</v>
      </c>
      <c r="C35813" s="5" t="str">
        <f>IFERROR(__xludf.DUMMYFUNCTION("GOOGLETRANSLATE(B35813,""en"",""zh-CN"")"),"一个红色和黄色的男人在鞍上快速旋转。")</f>
        <v>一个红色和黄色的男人在鞍上快速旋转。</v>
      </c>
    </row>
    <row r="35814">
      <c r="A35814" s="4" t="s">
        <v>45046</v>
      </c>
      <c r="B35814" s="4" t="s">
        <v>45051</v>
      </c>
      <c r="C35814" s="5" t="str">
        <f>IFERROR(__xludf.DUMMYFUNCTION("GOOGLETRANSLATE(B35814,""en"",""zh-CN"")"),"我们看到一个人卸下了鞍，然后将手臂伸到空中。")</f>
        <v>我们看到一个人卸下了鞍，然后将手臂伸到空中。</v>
      </c>
    </row>
    <row r="35815">
      <c r="A35815" s="4" t="s">
        <v>45046</v>
      </c>
      <c r="B35815" s="4" t="s">
        <v>45052</v>
      </c>
      <c r="C35815" s="5" t="str">
        <f>IFERROR(__xludf.DUMMYFUNCTION("GOOGLETRANSLATE(B35815,""en"",""zh-CN"")"),"然后，我们看到闭幕场景。")</f>
        <v>然后，我们看到闭幕场景。</v>
      </c>
    </row>
    <row r="35816">
      <c r="A35816" s="4" t="s">
        <v>45053</v>
      </c>
      <c r="B35816" s="6" t="s">
        <v>45054</v>
      </c>
      <c r="C35816" s="5" t="str">
        <f>IFERROR(__xludf.DUMMYFUNCTION("GOOGLETRANSLATE(B35816,""en"",""zh-CN"")"),"一个女人拿着一个带有紫外线的盒子，以照亮冰箱的手柄，她的手，微波炉和餐具。")</f>
        <v>一个女人拿着一个带有紫外线的盒子，以照亮冰箱的手柄，她的手，微波炉和餐具。</v>
      </c>
    </row>
    <row r="35817">
      <c r="A35817" s="4" t="s">
        <v>45053</v>
      </c>
      <c r="B35817" s="4" t="s">
        <v>45055</v>
      </c>
      <c r="C35817" s="5" t="str">
        <f>IFERROR(__xludf.DUMMYFUNCTION("GOOGLETRANSLATE(B35817,""en"",""zh-CN"")"),"然后，女人用紫外线洗手并干燥双手，并用紫外线照亮一只手。")</f>
        <v>然后，女人用紫外线洗手并干燥双手，并用紫外线照亮一只手。</v>
      </c>
    </row>
    <row r="35818">
      <c r="A35818" s="4" t="s">
        <v>45053</v>
      </c>
      <c r="B35818" s="4" t="s">
        <v>45056</v>
      </c>
      <c r="C35818" s="5" t="str">
        <f>IFERROR(__xludf.DUMMYFUNCTION("GOOGLETRANSLATE(B35818,""en"",""zh-CN"")"),"之后，女人脱下戒指，用肥皂洗净并用水冲洗她的手。")</f>
        <v>之后，女人脱下戒指，用肥皂洗净并用水冲洗她的手。</v>
      </c>
    </row>
    <row r="35819">
      <c r="A35819" s="4" t="s">
        <v>45057</v>
      </c>
      <c r="B35819" s="4" t="s">
        <v>45058</v>
      </c>
      <c r="C35819" s="5" t="str">
        <f>IFERROR(__xludf.DUMMYFUNCTION("GOOGLETRANSLATE(B35819,""en"",""zh-CN"")"),"一个男人将夹子固定在木桌上的支架上。")</f>
        <v>一个男人将夹子固定在木桌上的支架上。</v>
      </c>
    </row>
    <row r="35820">
      <c r="A35820" s="4" t="s">
        <v>45057</v>
      </c>
      <c r="B35820" s="4" t="s">
        <v>45059</v>
      </c>
      <c r="C35820" s="5" t="str">
        <f>IFERROR(__xludf.DUMMYFUNCTION("GOOGLETRANSLATE(B35820,""en"",""zh-CN"")"),"他焊接金属支架。")</f>
        <v>他焊接金属支架。</v>
      </c>
    </row>
    <row r="35821">
      <c r="A35821" s="4" t="s">
        <v>45057</v>
      </c>
      <c r="B35821" s="4" t="s">
        <v>45060</v>
      </c>
      <c r="C35821" s="5" t="str">
        <f>IFERROR(__xludf.DUMMYFUNCTION("GOOGLETRANSLATE(B35821,""en"",""zh-CN"")"),"该男子完成了焊接，并从木桌上拿起一根棍子。")</f>
        <v>该男子完成了焊接，并从木桌上拿起一根棍子。</v>
      </c>
    </row>
    <row r="35822">
      <c r="A35822" s="4" t="s">
        <v>45061</v>
      </c>
      <c r="B35822" s="6" t="s">
        <v>45062</v>
      </c>
      <c r="C35822" s="5" t="str">
        <f>IFERROR(__xludf.DUMMYFUNCTION("GOOGLETRANSLATE(B35822,""en"",""zh-CN"")"),"一个胖男人正站在外面的田野里，投掷一个黄色药球，展示了锻炼以加强运动员的射门。")</f>
        <v>一个胖男人正站在外面的田野里，投掷一个黄色药球，展示了锻炼以加强运动员的射门。</v>
      </c>
    </row>
    <row r="35823">
      <c r="A35823" s="4" t="s">
        <v>45061</v>
      </c>
      <c r="B35823" s="6" t="s">
        <v>45063</v>
      </c>
      <c r="C35823" s="5" t="str">
        <f>IFERROR(__xludf.DUMMYFUNCTION("GOOGLETRANSLATE(B35823,""en"",""zh-CN"")"),"然后将这个男人在体育馆里与酒吧一起做代表，然后开始将球扔在树上。")</f>
        <v>然后将这个男人在体育馆里与酒吧一起做代表，然后开始将球扔在树上。</v>
      </c>
    </row>
    <row r="35824">
      <c r="A35824" s="4" t="s">
        <v>45061</v>
      </c>
      <c r="B35824" s="6" t="s">
        <v>45064</v>
      </c>
      <c r="C35824" s="5" t="str">
        <f>IFERROR(__xludf.DUMMYFUNCTION("GOOGLETRANSLATE(B35824,""en"",""zh-CN"")"),"然后，另一个男孩开始扔掉一袋沙子，然后再回来并开始使用椭圆机。")</f>
        <v>然后，另一个男孩开始扔掉一袋沙子，然后再回来并开始使用椭圆机。</v>
      </c>
    </row>
    <row r="35825">
      <c r="A35825" s="4" t="s">
        <v>45061</v>
      </c>
      <c r="B35825" s="6" t="s">
        <v>45065</v>
      </c>
      <c r="C35825" s="5" t="str">
        <f>IFERROR(__xludf.DUMMYFUNCTION("GOOGLETRANSLATE(B35825,""en"",""zh-CN"")"),"完成后，他返回一个田野，开始将链条拉入田野并投掷水壶球。")</f>
        <v>完成后，他返回一个田野，开始将链条拉入田野并投掷水壶球。</v>
      </c>
    </row>
    <row r="35826">
      <c r="A35826" s="4" t="s">
        <v>45066</v>
      </c>
      <c r="B35826" s="4" t="s">
        <v>45067</v>
      </c>
      <c r="C35826" s="5" t="str">
        <f>IFERROR(__xludf.DUMMYFUNCTION("GOOGLETRANSLATE(B35826,""en"",""zh-CN"")"),"一个戴着帽子的男人站在外面说话。")</f>
        <v>一个戴着帽子的男人站在外面说话。</v>
      </c>
    </row>
    <row r="35827">
      <c r="A35827" s="4" t="s">
        <v>45066</v>
      </c>
      <c r="B35827" s="4" t="s">
        <v>45068</v>
      </c>
      <c r="C35827" s="5" t="str">
        <f>IFERROR(__xludf.DUMMYFUNCTION("GOOGLETRANSLATE(B35827,""en"",""zh-CN"")"),"人们正在练习在蓝色垫子上的撑竿跳高。")</f>
        <v>人们正在练习在蓝色垫子上的撑竿跳高。</v>
      </c>
    </row>
    <row r="35828">
      <c r="A35828" s="4" t="s">
        <v>45066</v>
      </c>
      <c r="B35828" s="4" t="s">
        <v>45069</v>
      </c>
      <c r="C35828" s="5" t="str">
        <f>IFERROR(__xludf.DUMMYFUNCTION("GOOGLETRANSLATE(B35828,""en"",""zh-CN"")"),"一个人在赛道上跳过障碍。")</f>
        <v>一个人在赛道上跳过障碍。</v>
      </c>
    </row>
    <row r="35829">
      <c r="A35829" s="4" t="s">
        <v>45066</v>
      </c>
      <c r="B35829" s="4" t="s">
        <v>45070</v>
      </c>
      <c r="C35829" s="5" t="str">
        <f>IFERROR(__xludf.DUMMYFUNCTION("GOOGLETRANSLATE(B35829,""en"",""zh-CN"")"),"人们躺在蓝色垫子上。")</f>
        <v>人们躺在蓝色垫子上。</v>
      </c>
    </row>
    <row r="35830">
      <c r="A35830" s="4" t="s">
        <v>45071</v>
      </c>
      <c r="B35830" s="4" t="s">
        <v>45072</v>
      </c>
      <c r="C35830" s="5" t="str">
        <f>IFERROR(__xludf.DUMMYFUNCTION("GOOGLETRANSLATE(B35830,""en"",""zh-CN"")"),"一个小组在海滩上打排球。")</f>
        <v>一个小组在海滩上打排球。</v>
      </c>
    </row>
    <row r="35831">
      <c r="A35831" s="4" t="s">
        <v>45071</v>
      </c>
      <c r="B35831" s="4" t="s">
        <v>37395</v>
      </c>
      <c r="C35831" s="5" t="str">
        <f>IFERROR(__xludf.DUMMYFUNCTION("GOOGLETRANSLATE(B35831,""en"",""zh-CN"")"),"他们来回将球从网上来回lo。")</f>
        <v>他们来回将球从网上来回lo。</v>
      </c>
    </row>
    <row r="35832">
      <c r="A35832" s="4" t="s">
        <v>45071</v>
      </c>
      <c r="B35832" s="4" t="s">
        <v>45073</v>
      </c>
      <c r="C35832" s="5" t="str">
        <f>IFERROR(__xludf.DUMMYFUNCTION("GOOGLETRANSLATE(B35832,""en"",""zh-CN"")"),"当他们继续比赛时，人群为他们加油打气。")</f>
        <v>当他们继续比赛时，人群为他们加油打气。</v>
      </c>
    </row>
    <row r="35833">
      <c r="A35833" s="4" t="s">
        <v>45074</v>
      </c>
      <c r="B35833" s="4" t="s">
        <v>45075</v>
      </c>
      <c r="C35833" s="5" t="str">
        <f>IFERROR(__xludf.DUMMYFUNCTION("GOOGLETRANSLATE(B35833,""en"",""zh-CN"")"),"我们看到男人在溜冰场上打曲棍球。")</f>
        <v>我们看到男人在溜冰场上打曲棍球。</v>
      </c>
    </row>
    <row r="35834">
      <c r="A35834" s="4" t="s">
        <v>45074</v>
      </c>
      <c r="B35834" s="4" t="s">
        <v>45076</v>
      </c>
      <c r="C35834" s="5" t="str">
        <f>IFERROR(__xludf.DUMMYFUNCTION("GOOGLETRANSLATE(B35834,""en"",""zh-CN"")"),"蓝色的球员落后于靠近相机的球门。")</f>
        <v>蓝色的球员落后于靠近相机的球门。</v>
      </c>
    </row>
    <row r="35835">
      <c r="A35835" s="4" t="s">
        <v>45074</v>
      </c>
      <c r="B35835" s="4" t="s">
        <v>45077</v>
      </c>
      <c r="C35835" s="5" t="str">
        <f>IFERROR(__xludf.DUMMYFUNCTION("GOOGLETRANSLATE(B35835,""en"",""zh-CN"")"),"冰球冰球滑过守门员并进入进球网。")</f>
        <v>冰球冰球滑过守门员并进入进球网。</v>
      </c>
    </row>
    <row r="35836">
      <c r="A35836" s="4" t="s">
        <v>45074</v>
      </c>
      <c r="B35836" s="4" t="s">
        <v>45078</v>
      </c>
      <c r="C35836" s="5" t="str">
        <f>IFERROR(__xludf.DUMMYFUNCTION("GOOGLETRANSLATE(B35836,""en"",""zh-CN"")"),"守门员站起来。")</f>
        <v>守门员站起来。</v>
      </c>
    </row>
    <row r="35837">
      <c r="A35837" s="4" t="s">
        <v>45079</v>
      </c>
      <c r="B35837" s="4" t="s">
        <v>45080</v>
      </c>
      <c r="C35837" s="5" t="str">
        <f>IFERROR(__xludf.DUMMYFUNCTION("GOOGLETRANSLATE(B35837,""en"",""zh-CN"")"),"一位女士走到杠铃上。")</f>
        <v>一位女士走到杠铃上。</v>
      </c>
    </row>
    <row r="35838">
      <c r="A35838" s="4" t="s">
        <v>45079</v>
      </c>
      <c r="B35838" s="4" t="s">
        <v>45081</v>
      </c>
      <c r="C35838" s="5" t="str">
        <f>IFERROR(__xludf.DUMMYFUNCTION("GOOGLETRANSLATE(B35838,""en"",""zh-CN"")"),"她弯下腰，抓住了杆子。")</f>
        <v>她弯下腰，抓住了杆子。</v>
      </c>
    </row>
    <row r="35839">
      <c r="A35839" s="4" t="s">
        <v>45079</v>
      </c>
      <c r="B35839" s="4" t="s">
        <v>45082</v>
      </c>
      <c r="C35839" s="5" t="str">
        <f>IFERROR(__xludf.DUMMYFUNCTION("GOOGLETRANSLATE(B35839,""en"",""zh-CN"")"),"那位女士站着，举起她的头顶。")</f>
        <v>那位女士站着，举起她的头顶。</v>
      </c>
    </row>
    <row r="35840">
      <c r="A35840" s="4" t="s">
        <v>45079</v>
      </c>
      <c r="B35840" s="4" t="s">
        <v>45083</v>
      </c>
      <c r="C35840" s="5" t="str">
        <f>IFERROR(__xludf.DUMMYFUNCTION("GOOGLETRANSLATE(B35840,""en"",""zh-CN"")"),"那位女士放下杠铃并微笑。")</f>
        <v>那位女士放下杠铃并微笑。</v>
      </c>
    </row>
    <row r="35841">
      <c r="A35841" s="4" t="s">
        <v>45084</v>
      </c>
      <c r="B35841" s="4" t="s">
        <v>45085</v>
      </c>
      <c r="C35841" s="5" t="str">
        <f>IFERROR(__xludf.DUMMYFUNCTION("GOOGLETRANSLATE(B35841,""en"",""zh-CN"")"),"一个女人站在一个黑暗的厨房里说话。")</f>
        <v>一个女人站在一个黑暗的厨房里说话。</v>
      </c>
    </row>
    <row r="35842">
      <c r="A35842" s="4" t="s">
        <v>45084</v>
      </c>
      <c r="B35842" s="4" t="s">
        <v>45086</v>
      </c>
      <c r="C35842" s="5" t="str">
        <f>IFERROR(__xludf.DUMMYFUNCTION("GOOGLETRANSLATE(B35842,""en"",""zh-CN"")"),"她在金属架上显示蛋糕冷却。")</f>
        <v>她在金属架上显示蛋糕冷却。</v>
      </c>
    </row>
    <row r="35843">
      <c r="A35843" s="4" t="s">
        <v>45084</v>
      </c>
      <c r="B35843" s="4" t="s">
        <v>45087</v>
      </c>
      <c r="C35843" s="5" t="str">
        <f>IFERROR(__xludf.DUMMYFUNCTION("GOOGLETRANSLATE(B35843,""en"",""zh-CN"")"),"她演示了如何在混合器中混合成分，然后烘烤蛋糕。")</f>
        <v>她演示了如何在混合器中混合成分，然后烘烤蛋糕。</v>
      </c>
    </row>
    <row r="35844">
      <c r="A35844" s="4" t="s">
        <v>45084</v>
      </c>
      <c r="B35844" s="4" t="s">
        <v>45088</v>
      </c>
      <c r="C35844" s="5" t="str">
        <f>IFERROR(__xludf.DUMMYFUNCTION("GOOGLETRANSLATE(B35844,""en"",""zh-CN"")"),"完成后，她将其转到架子上以冷却。")</f>
        <v>完成后，她将其转到架子上以冷却。</v>
      </c>
    </row>
    <row r="35845">
      <c r="A35845" s="4" t="s">
        <v>45089</v>
      </c>
      <c r="B35845" s="6" t="s">
        <v>45090</v>
      </c>
      <c r="C35845" s="5" t="str">
        <f>IFERROR(__xludf.DUMMYFUNCTION("GOOGLETRANSLATE(B35845,""en"",""zh-CN"")"),"女人和两个孩子一起在一个开放的土地上雪中，他们在充气山上滑下山。")</f>
        <v>女人和两个孩子一起在一个开放的土地上雪中，他们在充气山上滑下山。</v>
      </c>
    </row>
    <row r="35846">
      <c r="A35846" s="4" t="s">
        <v>45089</v>
      </c>
      <c r="B35846" s="4" t="s">
        <v>45091</v>
      </c>
      <c r="C35846" s="5" t="str">
        <f>IFERROR(__xludf.DUMMYFUNCTION("GOOGLETRANSLATE(B35846,""en"",""zh-CN"")"),"孩子们在田野里的充气旁走路，再次跑到山上。")</f>
        <v>孩子们在田野里的充气旁走路，再次跑到山上。</v>
      </c>
    </row>
    <row r="35847">
      <c r="A35847" s="4" t="s">
        <v>45092</v>
      </c>
      <c r="B35847" s="6" t="s">
        <v>45093</v>
      </c>
      <c r="C35847" s="5" t="str">
        <f>IFERROR(__xludf.DUMMYFUNCTION("GOOGLETRANSLATE(B35847,""en"",""zh-CN"")"),"一个小男孩穿着黑白足球球衣，坐在床旁边的地板上，开始穿着长长的黑色足球袜。")</f>
        <v>一个小男孩穿着黑白足球球衣，坐在床旁边的地板上，开始穿着长长的黑色足球袜。</v>
      </c>
    </row>
    <row r="35848">
      <c r="A35848" s="4" t="s">
        <v>45092</v>
      </c>
      <c r="B35848" s="6" t="s">
        <v>45094</v>
      </c>
      <c r="C35848" s="5" t="str">
        <f>IFERROR(__xludf.DUMMYFUNCTION("GOOGLETRANSLATE(B35848,""en"",""zh-CN"")"),"然后，这个小男孩伸手去拿他的胫骨后卫，将其放在右腿上，然后将袜子折叠在上面。")</f>
        <v>然后，这个小男孩伸手去拿他的胫骨后卫，将其放在右腿上，然后将袜子折叠在上面。</v>
      </c>
    </row>
    <row r="35849">
      <c r="A35849" s="4" t="s">
        <v>45092</v>
      </c>
      <c r="B35849" s="6" t="s">
        <v>45095</v>
      </c>
      <c r="C35849" s="5" t="str">
        <f>IFERROR(__xludf.DUMMYFUNCTION("GOOGLETRANSLATE(B35849,""en"",""zh-CN"")"),"完成后，他伸手去拿另一只袜子，开始在左腿上做同样的事情。")</f>
        <v>完成后，他伸手去拿另一只袜子，开始在左腿上做同样的事情。</v>
      </c>
    </row>
    <row r="35850">
      <c r="A35850" s="4" t="s">
        <v>45092</v>
      </c>
      <c r="B35850" s="4" t="s">
        <v>45096</v>
      </c>
      <c r="C35850" s="5" t="str">
        <f>IFERROR(__xludf.DUMMYFUNCTION("GOOGLETRANSLATE(B35850,""en"",""zh-CN"")"),"最终，他移到了自己的防滑钉上，抓住了一双橙色的阿迪达斯足球防滑钉并将它们绑起来。")</f>
        <v>最终，他移到了自己的防滑钉上，抓住了一双橙色的阿迪达斯足球防滑钉并将它们绑起来。</v>
      </c>
    </row>
    <row r="35851">
      <c r="A35851" s="4" t="s">
        <v>45092</v>
      </c>
      <c r="B35851" s="4" t="s">
        <v>45097</v>
      </c>
      <c r="C35851" s="5" t="str">
        <f>IFERROR(__xludf.DUMMYFUNCTION("GOOGLETRANSLATE(B35851,""en"",""zh-CN"")"),"一切都完成了，孩子坐着纵横交错，开始与相机交谈。")</f>
        <v>一切都完成了，孩子坐着纵横交错，开始与相机交谈。</v>
      </c>
    </row>
    <row r="35852">
      <c r="A35852" s="4" t="s">
        <v>45098</v>
      </c>
      <c r="B35852" s="4" t="s">
        <v>45099</v>
      </c>
      <c r="C35852" s="5" t="str">
        <f>IFERROR(__xludf.DUMMYFUNCTION("GOOGLETRANSLATE(B35852,""en"",""zh-CN"")"),"屏幕上的特写放大。")</f>
        <v>屏幕上的特写放大。</v>
      </c>
    </row>
    <row r="35853">
      <c r="A35853" s="4" t="s">
        <v>45098</v>
      </c>
      <c r="B35853" s="4" t="s">
        <v>45100</v>
      </c>
      <c r="C35853" s="5" t="str">
        <f>IFERROR(__xludf.DUMMYFUNCTION("GOOGLETRANSLATE(B35853,""en"",""zh-CN"")"),"几个成年人和孩子在户外。")</f>
        <v>几个成年人和孩子在户外。</v>
      </c>
    </row>
    <row r="35854">
      <c r="A35854" s="4" t="s">
        <v>45098</v>
      </c>
      <c r="B35854" s="4" t="s">
        <v>45101</v>
      </c>
      <c r="C35854" s="5" t="str">
        <f>IFERROR(__xludf.DUMMYFUNCTION("GOOGLETRANSLATE(B35854,""en"",""zh-CN"")"),"孩子们在比赛中骑了越野车。")</f>
        <v>孩子们在比赛中骑了越野车。</v>
      </c>
    </row>
    <row r="35855">
      <c r="A35855" s="4" t="s">
        <v>45098</v>
      </c>
      <c r="B35855" s="4" t="s">
        <v>45102</v>
      </c>
      <c r="C35855" s="5" t="str">
        <f>IFERROR(__xludf.DUMMYFUNCTION("GOOGLETRANSLATE(B35855,""en"",""zh-CN"")"),"他们显示出围绕一门路线和山丘上的比赛，并急转弯。")</f>
        <v>他们显示出围绕一门路线和山丘上的比赛，并急转弯。</v>
      </c>
    </row>
    <row r="35856">
      <c r="A35856" s="4" t="s">
        <v>45098</v>
      </c>
      <c r="B35856" s="4" t="s">
        <v>45103</v>
      </c>
      <c r="C35856" s="5" t="str">
        <f>IFERROR(__xludf.DUMMYFUNCTION("GOOGLETRANSLATE(B35856,""en"",""zh-CN"")"),"骑自行车的一个男孩直视着镜头。")</f>
        <v>骑自行车的一个男孩直视着镜头。</v>
      </c>
    </row>
    <row r="35857">
      <c r="A35857" s="4" t="s">
        <v>45104</v>
      </c>
      <c r="B35857" s="4" t="s">
        <v>45105</v>
      </c>
      <c r="C35857" s="5" t="str">
        <f>IFERROR(__xludf.DUMMYFUNCTION("GOOGLETRANSLATE(B35857,""en"",""zh-CN"")"),"一个男人靠在他放在狗上的相机上。")</f>
        <v>一个男人靠在他放在狗上的相机上。</v>
      </c>
    </row>
    <row r="35858">
      <c r="A35858" s="4" t="s">
        <v>45104</v>
      </c>
      <c r="B35858" s="4" t="s">
        <v>45106</v>
      </c>
      <c r="C35858" s="5" t="str">
        <f>IFERROR(__xludf.DUMMYFUNCTION("GOOGLETRANSLATE(B35858,""en"",""zh-CN"")"),"狗穿过房屋的不同房间，然后到门外。")</f>
        <v>狗穿过房屋的不同房间，然后到门外。</v>
      </c>
    </row>
    <row r="35859">
      <c r="A35859" s="4" t="s">
        <v>45104</v>
      </c>
      <c r="B35859" s="4" t="s">
        <v>45107</v>
      </c>
      <c r="C35859" s="5" t="str">
        <f>IFERROR(__xludf.DUMMYFUNCTION("GOOGLETRANSLATE(B35859,""en"",""zh-CN"")"),"他们和人和其他狗一起去外面散步。")</f>
        <v>他们和人和其他狗一起去外面散步。</v>
      </c>
    </row>
    <row r="35860">
      <c r="A35860" s="4" t="s">
        <v>45104</v>
      </c>
      <c r="B35860" s="4" t="s">
        <v>45108</v>
      </c>
      <c r="C35860" s="5" t="str">
        <f>IFERROR(__xludf.DUMMYFUNCTION("GOOGLETRANSLATE(B35860,""en"",""zh-CN"")"),"他回到家，看着水碗。")</f>
        <v>他回到家，看着水碗。</v>
      </c>
    </row>
    <row r="35861">
      <c r="A35861" s="4" t="s">
        <v>45109</v>
      </c>
      <c r="B35861" s="4" t="s">
        <v>45110</v>
      </c>
      <c r="C35861" s="5" t="str">
        <f>IFERROR(__xludf.DUMMYFUNCTION("GOOGLETRANSLATE(B35861,""en"",""zh-CN"")"),"一个坐在地板上的女人在抚摸狗时与镜头说话。")</f>
        <v>一个坐在地板上的女人在抚摸狗时与镜头说话。</v>
      </c>
    </row>
    <row r="35862">
      <c r="A35862" s="4" t="s">
        <v>45109</v>
      </c>
      <c r="B35862" s="4" t="s">
        <v>45111</v>
      </c>
      <c r="C35862" s="5" t="str">
        <f>IFERROR(__xludf.DUMMYFUNCTION("GOOGLETRANSLATE(B35862,""en"",""zh-CN"")"),"女人在与镜头交谈时握住某种工具。")</f>
        <v>女人在与镜头交谈时握住某种工具。</v>
      </c>
    </row>
    <row r="35863">
      <c r="A35863" s="4" t="s">
        <v>45109</v>
      </c>
      <c r="B35863" s="4" t="s">
        <v>45112</v>
      </c>
      <c r="C35863" s="5" t="str">
        <f>IFERROR(__xludf.DUMMYFUNCTION("GOOGLETRANSLATE(B35863,""en"",""zh-CN"")"),"该女士在说话时使用该工具刷狗。")</f>
        <v>该女士在说话时使用该工具刷狗。</v>
      </c>
    </row>
    <row r="35864">
      <c r="A35864" s="4" t="s">
        <v>45109</v>
      </c>
      <c r="B35864" s="4" t="s">
        <v>45113</v>
      </c>
      <c r="C35864" s="5" t="str">
        <f>IFERROR(__xludf.DUMMYFUNCTION("GOOGLETRANSLATE(B35864,""en"",""zh-CN"")"),"女人放下工具，并在与镜头交谈时宠物。")</f>
        <v>女人放下工具，并在与镜头交谈时宠物。</v>
      </c>
    </row>
    <row r="35865">
      <c r="A35865" s="4" t="s">
        <v>45109</v>
      </c>
      <c r="B35865" s="4" t="s">
        <v>45114</v>
      </c>
      <c r="C35865" s="5" t="str">
        <f>IFERROR(__xludf.DUMMYFUNCTION("GOOGLETRANSLATE(B35865,""en"",""zh-CN"")"),"女人与摄像机谈论该工具。")</f>
        <v>女人与摄像机谈论该工具。</v>
      </c>
    </row>
    <row r="35866">
      <c r="A35866" s="4" t="s">
        <v>45109</v>
      </c>
      <c r="B35866" s="4" t="s">
        <v>45115</v>
      </c>
      <c r="C35866" s="5" t="str">
        <f>IFERROR(__xludf.DUMMYFUNCTION("GOOGLETRANSLATE(B35866,""en"",""zh-CN"")"),"狗和女人从地上起床。")</f>
        <v>狗和女人从地上起床。</v>
      </c>
    </row>
    <row r="35867">
      <c r="A35867" s="4" t="s">
        <v>45109</v>
      </c>
      <c r="B35867" s="4" t="s">
        <v>45116</v>
      </c>
      <c r="C35867" s="5" t="str">
        <f>IFERROR(__xludf.DUMMYFUNCTION("GOOGLETRANSLATE(B35867,""en"",""zh-CN"")"),"显示了绘制猫头鹰标志的加速过程。")</f>
        <v>显示了绘制猫头鹰标志的加速过程。</v>
      </c>
    </row>
    <row r="35868">
      <c r="A35868" s="4" t="s">
        <v>45117</v>
      </c>
      <c r="B35868" s="4" t="s">
        <v>45118</v>
      </c>
      <c r="C35868" s="5" t="str">
        <f>IFERROR(__xludf.DUMMYFUNCTION("GOOGLETRANSLATE(B35868,""en"",""zh-CN"")"),"滑雪者使用风无人机将他推向平坦的斜坡。")</f>
        <v>滑雪者使用风无人机将他推向平坦的斜坡。</v>
      </c>
    </row>
    <row r="35869">
      <c r="A35869" s="4" t="s">
        <v>45117</v>
      </c>
      <c r="B35869" s="4" t="s">
        <v>45119</v>
      </c>
      <c r="C35869" s="5" t="str">
        <f>IFERROR(__xludf.DUMMYFUNCTION("GOOGLETRANSLATE(B35869,""en"",""zh-CN"")"),"滑雪者使用风能无人机在滑雪胜地的平坦区域进行了几次通行证。")</f>
        <v>滑雪者使用风能无人机在滑雪胜地的平坦区域进行了几次通行证。</v>
      </c>
    </row>
    <row r="35870">
      <c r="A35870" s="4" t="s">
        <v>45117</v>
      </c>
      <c r="B35870" s="4" t="s">
        <v>45120</v>
      </c>
      <c r="C35870" s="5" t="str">
        <f>IFERROR(__xludf.DUMMYFUNCTION("GOOGLETRANSLATE(B35870,""en"",""zh-CN"")"),"摄像头横跨滑雪区和周围山脉的景色。")</f>
        <v>摄像头横跨滑雪区和周围山脉的景色。</v>
      </c>
    </row>
    <row r="35871">
      <c r="A35871" s="4" t="s">
        <v>45117</v>
      </c>
      <c r="B35871" s="4" t="s">
        <v>45121</v>
      </c>
      <c r="C35871" s="5" t="str">
        <f>IFERROR(__xludf.DUMMYFUNCTION("GOOGLETRANSLATE(B35871,""en"",""zh-CN"")"),"滑雪者在一个大型平坦区域上进行的通行证非常快。")</f>
        <v>滑雪者在一个大型平坦区域上进行的通行证非常快。</v>
      </c>
    </row>
    <row r="35872">
      <c r="A35872" s="4" t="s">
        <v>45122</v>
      </c>
      <c r="B35872" s="4" t="s">
        <v>45123</v>
      </c>
      <c r="C35872" s="5" t="str">
        <f>IFERROR(__xludf.DUMMYFUNCTION("GOOGLETRANSLATE(B35872,""en"",""zh-CN"")"),"一个男人蹲下，在健身房里举重一根重物。")</f>
        <v>一个男人蹲下，在健身房里举重一根重物。</v>
      </c>
    </row>
    <row r="35873">
      <c r="A35873" s="4" t="s">
        <v>45122</v>
      </c>
      <c r="B35873" s="4" t="s">
        <v>45124</v>
      </c>
      <c r="C35873" s="5" t="str">
        <f>IFERROR(__xludf.DUMMYFUNCTION("GOOGLETRANSLATE(B35873,""en"",""zh-CN"")"),"他把酒吧扔下，撞到地板上，深吸了一口气。")</f>
        <v>他把酒吧扔下，撞到地板上，深吸了一口气。</v>
      </c>
    </row>
    <row r="35874">
      <c r="A35874" s="4" t="s">
        <v>45125</v>
      </c>
      <c r="B35874" s="4" t="s">
        <v>45126</v>
      </c>
      <c r="C35874" s="5" t="str">
        <f>IFERROR(__xludf.DUMMYFUNCTION("GOOGLETRANSLATE(B35874,""en"",""zh-CN"")"),"一个孩子在猴子酒吧摇摆。")</f>
        <v>一个孩子在猴子酒吧摇摆。</v>
      </c>
    </row>
    <row r="35875">
      <c r="A35875" s="4" t="s">
        <v>45125</v>
      </c>
      <c r="B35875" s="4" t="s">
        <v>45127</v>
      </c>
      <c r="C35875" s="5" t="str">
        <f>IFERROR(__xludf.DUMMYFUNCTION("GOOGLETRANSLATE(B35875,""en"",""zh-CN"")"),"孩子从猴子酒吧卸下。")</f>
        <v>孩子从猴子酒吧卸下。</v>
      </c>
    </row>
    <row r="35876">
      <c r="A35876" s="4" t="s">
        <v>45125</v>
      </c>
      <c r="B35876" s="4" t="s">
        <v>45128</v>
      </c>
      <c r="C35876" s="5" t="str">
        <f>IFERROR(__xludf.DUMMYFUNCTION("GOOGLETRANSLATE(B35876,""en"",""zh-CN"")"),"孩子走向相机。")</f>
        <v>孩子走向相机。</v>
      </c>
    </row>
    <row r="35877">
      <c r="A35877" s="4" t="s">
        <v>45129</v>
      </c>
      <c r="B35877" s="6" t="s">
        <v>45130</v>
      </c>
      <c r="C35877" s="5" t="str">
        <f>IFERROR(__xludf.DUMMYFUNCTION("GOOGLETRANSLATE(B35877,""en"",""zh-CN"")"),"该视频显示了相扑摔跤手在戒指中战斗的各种片段，而裁判和观众看着。")</f>
        <v>该视频显示了相扑摔跤手在戒指中战斗的各种片段，而裁判和观众看着。</v>
      </c>
    </row>
    <row r="35878">
      <c r="A35878" s="4" t="s">
        <v>45129</v>
      </c>
      <c r="B35878" s="4" t="s">
        <v>45131</v>
      </c>
      <c r="C35878" s="5" t="str">
        <f>IFERROR(__xludf.DUMMYFUNCTION("GOOGLETRANSLATE(B35878,""en"",""zh-CN"")"),"在第一个剪辑中，一个更大的摔跤手摔跤了一个最终获胜的小男人。")</f>
        <v>在第一个剪辑中，一个更大的摔跤手摔跤了一个最终获胜的小男人。</v>
      </c>
    </row>
    <row r="35879">
      <c r="A35879" s="4" t="s">
        <v>45129</v>
      </c>
      <c r="B35879" s="4" t="s">
        <v>45132</v>
      </c>
      <c r="C35879" s="5" t="str">
        <f>IFERROR(__xludf.DUMMYFUNCTION("GOOGLETRANSLATE(B35879,""en"",""zh-CN"")"),"该视频继续以其他几个摔跤手剪辑以及每个摔跤手如何赢得比赛。")</f>
        <v>该视频继续以其他几个摔跤手剪辑以及每个摔跤手如何赢得比赛。</v>
      </c>
    </row>
    <row r="35880">
      <c r="A35880" s="4" t="s">
        <v>45129</v>
      </c>
      <c r="B35880" s="6" t="s">
        <v>45133</v>
      </c>
      <c r="C35880" s="5" t="str">
        <f>IFERROR(__xludf.DUMMYFUNCTION("GOOGLETRANSLATE(B35880,""en"",""zh-CN"")"),"视频以喜剧广告结束，一名较小的相扑摔跤手在另一个很大的摔跤手下爬行，最终陷入了他的相扑衣服。")</f>
        <v>视频以喜剧广告结束，一名较小的相扑摔跤手在另一个很大的摔跤手下爬行，最终陷入了他的相扑衣服。</v>
      </c>
    </row>
    <row r="35881">
      <c r="A35881" s="4" t="s">
        <v>45134</v>
      </c>
      <c r="B35881" s="4" t="s">
        <v>45135</v>
      </c>
      <c r="C35881" s="5" t="str">
        <f>IFERROR(__xludf.DUMMYFUNCTION("GOOGLETRANSLATE(B35881,""en"",""zh-CN"")"),"当摄像机在大量观众周围奔跑时，看到吉祥物在田野周围奔跑。")</f>
        <v>当摄像机在大量观众周围奔跑时，看到吉祥物在田野周围奔跑。</v>
      </c>
    </row>
    <row r="35882">
      <c r="A35882" s="4" t="s">
        <v>45134</v>
      </c>
      <c r="B35882" s="6" t="s">
        <v>45136</v>
      </c>
      <c r="C35882" s="5" t="str">
        <f>IFERROR(__xludf.DUMMYFUNCTION("GOOGLETRANSLATE(B35882,""en"",""zh-CN"")"),"看到几个吉祥物在一个田野上互相走动，并导致他们追逐球。")</f>
        <v>看到几个吉祥物在一个田野上互相走动，并导致他们追逐球。</v>
      </c>
    </row>
    <row r="35883">
      <c r="A35883" s="4" t="s">
        <v>45134</v>
      </c>
      <c r="B35883" s="6" t="s">
        <v>45137</v>
      </c>
      <c r="C35883" s="5" t="str">
        <f>IFERROR(__xludf.DUMMYFUNCTION("GOOGLETRANSLATE(B35883,""en"",""zh-CN"")"),"随着吉祥物继续追逐球，该小组继续在场上奔跑。")</f>
        <v>随着吉祥物继续追逐球，该小组继续在场上奔跑。</v>
      </c>
    </row>
    <row r="35884">
      <c r="A35884" s="4" t="s">
        <v>45138</v>
      </c>
      <c r="B35884" s="6" t="s">
        <v>45139</v>
      </c>
      <c r="C35884" s="5" t="str">
        <f>IFERROR(__xludf.DUMMYFUNCTION("GOOGLETRANSLATE(B35884,""en"",""zh-CN"")"),"一家鞋部的一家商店里有3个人，地面上有两个人试穿靴子。")</f>
        <v>一家鞋部的一家商店里有3个人，地面上有两个人试穿靴子。</v>
      </c>
    </row>
    <row r="35885">
      <c r="A35885" s="4" t="s">
        <v>45138</v>
      </c>
      <c r="B35885" s="4" t="s">
        <v>45140</v>
      </c>
      <c r="C35885" s="5" t="str">
        <f>IFERROR(__xludf.DUMMYFUNCTION("GOOGLETRANSLATE(B35885,""en"",""zh-CN"")"),"地面上的那个人去除了他的粉红色靴子，将其扔在侧面，站着微笑。")</f>
        <v>地面上的那个人去除了他的粉红色靴子，将其扔在侧面，站着微笑。</v>
      </c>
    </row>
    <row r="35886">
      <c r="A35886" s="4" t="s">
        <v>45138</v>
      </c>
      <c r="B35886" s="6" t="s">
        <v>45141</v>
      </c>
      <c r="C35886" s="5" t="str">
        <f>IFERROR(__xludf.DUMMYFUNCTION("GOOGLETRANSLATE(B35886,""en"",""zh-CN"")"),"这个女孩抓住了他的粉红色靴子，在她的右脚上尝试，坐在那里与周围的人交谈时建模。")</f>
        <v>这个女孩抓住了他的粉红色靴子，在她的右脚上尝试，坐在那里与周围的人交谈时建模。</v>
      </c>
    </row>
    <row r="35887">
      <c r="A35887" s="4" t="s">
        <v>45138</v>
      </c>
      <c r="B35887" s="4" t="s">
        <v>45142</v>
      </c>
      <c r="C35887" s="5" t="str">
        <f>IFERROR(__xludf.DUMMYFUNCTION("GOOGLETRANSLATE(B35887,""en"",""zh-CN"")"),"然后，女孩抓住左靴子，取出其中的东西，尝试并站起来为它们建模。")</f>
        <v>然后，女孩抓住左靴子，取出其中的东西，尝试并站起来为它们建模。</v>
      </c>
    </row>
    <row r="35888">
      <c r="A35888" s="4" t="s">
        <v>45138</v>
      </c>
      <c r="B35888" s="6" t="s">
        <v>45143</v>
      </c>
      <c r="C35888" s="5" t="str">
        <f>IFERROR(__xludf.DUMMYFUNCTION("GOOGLETRANSLATE(B35888,""en"",""zh-CN"")"),"女孩站在那个男孩旁边，他们微笑着，她竖起大拇指，他从后面拥抱她。")</f>
        <v>女孩站在那个男孩旁边，他们微笑着，她竖起大拇指，他从后面拥抱她。</v>
      </c>
    </row>
    <row r="35889">
      <c r="A35889" s="4" t="s">
        <v>45144</v>
      </c>
      <c r="B35889" s="6" t="s">
        <v>45145</v>
      </c>
      <c r="C35889" s="5" t="str">
        <f>IFERROR(__xludf.DUMMYFUNCTION("GOOGLETRANSLATE(B35889,""en"",""zh-CN"")"),"一个穿着Under Armour衬衫和一双休闲裤的男人的静止图像站在保龄球馆的一个地方。")</f>
        <v>一个穿着Under Armour衬衫和一双休闲裤的男人的静止图像站在保龄球馆的一个地方。</v>
      </c>
    </row>
    <row r="35890">
      <c r="A35890" s="4" t="s">
        <v>45144</v>
      </c>
      <c r="B35890" s="4" t="s">
        <v>45146</v>
      </c>
      <c r="C35890" s="5" t="str">
        <f>IFERROR(__xludf.DUMMYFUNCTION("GOOGLETRANSLATE(B35890,""en"",""zh-CN"")"),"该男子终于移动并把球扔下小巷。")</f>
        <v>该男子终于移动并把球扔下小巷。</v>
      </c>
    </row>
    <row r="35891">
      <c r="A35891" s="4" t="s">
        <v>45144</v>
      </c>
      <c r="B35891" s="6" t="s">
        <v>45147</v>
      </c>
      <c r="C35891" s="5" t="str">
        <f>IFERROR(__xludf.DUMMYFUNCTION("GOOGLETRANSLATE(B35891,""en"",""zh-CN"")"),"之后，显示了视频被切碎和拧紧的圆圈的瞬间重播，然后突出球扔下车道。")</f>
        <v>之后，显示了视频被切碎和拧紧的圆圈的瞬间重播，然后突出球扔下车道。</v>
      </c>
    </row>
    <row r="35892">
      <c r="A35892" s="4" t="s">
        <v>45148</v>
      </c>
      <c r="B35892" s="6" t="s">
        <v>45149</v>
      </c>
      <c r="C35892" s="5" t="str">
        <f>IFERROR(__xludf.DUMMYFUNCTION("GOOGLETRANSLATE(B35892,""en"",""zh-CN"")"),"一个女人以模拟练习为例的女人展示了如何在健身房里坐下来。")</f>
        <v>一个女人以模拟练习为例的女人展示了如何在健身房里坐下来。</v>
      </c>
    </row>
    <row r="35893">
      <c r="A35893" s="4" t="s">
        <v>45148</v>
      </c>
      <c r="B35893" s="4" t="s">
        <v>45150</v>
      </c>
      <c r="C35893" s="5" t="str">
        <f>IFERROR(__xludf.DUMMYFUNCTION("GOOGLETRANSLATE(B35893,""en"",""zh-CN"")"),"一个女人跪在健身房的硬木地板上，并与镜头交谈。")</f>
        <v>一个女人跪在健身房的硬木地板上，并与镜头交谈。</v>
      </c>
    </row>
    <row r="35894">
      <c r="A35894" s="4" t="s">
        <v>45148</v>
      </c>
      <c r="B35894" s="6" t="s">
        <v>45151</v>
      </c>
      <c r="C35894" s="5" t="str">
        <f>IFERROR(__xludf.DUMMYFUNCTION("GOOGLETRANSLATE(B35894,""en"",""zh-CN"")"),"摄像机扑灭，另一个女人躺在她的背上，躺在健身垫上，因为跪在她上方的女人继续说话。")</f>
        <v>摄像机扑灭，另一个女人躺在她的背上，躺在健身垫上，因为跪在她上方的女人继续说话。</v>
      </c>
    </row>
    <row r="35895">
      <c r="A35895" s="4" t="s">
        <v>45148</v>
      </c>
      <c r="B35895" s="6" t="s">
        <v>45152</v>
      </c>
      <c r="C35895" s="5" t="str">
        <f>IFERROR(__xludf.DUMMYFUNCTION("GOOGLETRANSLATE(B35895,""en"",""zh-CN"")"),"躺下的女人展示了如何坐下来，另一个女人有时会碰到另一个女人的肚子。")</f>
        <v>躺下的女人展示了如何坐下来，另一个女人有时会碰到另一个女人的肚子。</v>
      </c>
    </row>
    <row r="35896">
      <c r="A35896" s="4" t="s">
        <v>45153</v>
      </c>
      <c r="B35896" s="4" t="s">
        <v>45154</v>
      </c>
      <c r="C35896" s="5" t="str">
        <f>IFERROR(__xludf.DUMMYFUNCTION("GOOGLETRANSLATE(B35896,""en"",""zh-CN"")"),"看到一个人站在一个圆圈的中间，将讨论扔到远处。")</f>
        <v>看到一个人站在一个圆圈的中间，将讨论扔到远处。</v>
      </c>
    </row>
    <row r="35897">
      <c r="A35897" s="4" t="s">
        <v>45153</v>
      </c>
      <c r="B35897" s="4" t="s">
        <v>45155</v>
      </c>
      <c r="C35897" s="5" t="str">
        <f>IFERROR(__xludf.DUMMYFUNCTION("GOOGLETRANSLATE(B35897,""en"",""zh-CN"")"),"该男子回去了几次，并被显示为继续扔掉物体。")</f>
        <v>该男子回去了几次，并被显示为继续扔掉物体。</v>
      </c>
    </row>
    <row r="35898">
      <c r="A35898" s="4" t="s">
        <v>45153</v>
      </c>
      <c r="B35898" s="4" t="s">
        <v>45156</v>
      </c>
      <c r="C35898" s="5" t="str">
        <f>IFERROR(__xludf.DUMMYFUNCTION("GOOGLETRANSLATE(B35898,""en"",""zh-CN"")"),"该男子继续旋转，同时将物体扔到远处。")</f>
        <v>该男子继续旋转，同时将物体扔到远处。</v>
      </c>
    </row>
    <row r="35899">
      <c r="A35899" s="4" t="s">
        <v>45157</v>
      </c>
      <c r="B35899" s="4" t="s">
        <v>45158</v>
      </c>
      <c r="C35899" s="5" t="str">
        <f>IFERROR(__xludf.DUMMYFUNCTION("GOOGLETRANSLATE(B35899,""en"",""zh-CN"")"),"两名男子站在法庭上的壁球上。")</f>
        <v>两名男子站在法庭上的壁球上。</v>
      </c>
    </row>
    <row r="35900">
      <c r="A35900" s="4" t="s">
        <v>45157</v>
      </c>
      <c r="B35900" s="4" t="s">
        <v>45159</v>
      </c>
      <c r="C35900" s="5" t="str">
        <f>IFERROR(__xludf.DUMMYFUNCTION("GOOGLETRANSLATE(B35900,""en"",""zh-CN"")"),"男子穿着白衬衫，站在法庭上。")</f>
        <v>男子穿着白衬衫，站在法庭上。</v>
      </c>
    </row>
    <row r="35901">
      <c r="A35901" s="4" t="s">
        <v>45157</v>
      </c>
      <c r="B35901" s="4" t="s">
        <v>45160</v>
      </c>
      <c r="C35901" s="5" t="str">
        <f>IFERROR(__xludf.DUMMYFUNCTION("GOOGLETRANSLATE(B35901,""en"",""zh-CN"")"),"人们站在透明门后面的法庭上。")</f>
        <v>人们站在透明门后面的法庭上。</v>
      </c>
    </row>
    <row r="35902">
      <c r="A35902" s="4" t="s">
        <v>45161</v>
      </c>
      <c r="B35902" s="6" t="s">
        <v>45162</v>
      </c>
      <c r="C35902" s="5" t="str">
        <f>IFERROR(__xludf.DUMMYFUNCTION("GOOGLETRANSLATE(B35902,""en"",""zh-CN"")"),"一个小男孩站在人行道上的外面，他的胳膊在背后拿着东西。")</f>
        <v>一个小男孩站在人行道上的外面，他的胳膊在背后拿着东西。</v>
      </c>
    </row>
    <row r="35903">
      <c r="A35903" s="4" t="s">
        <v>45161</v>
      </c>
      <c r="B35903" s="4" t="s">
        <v>45163</v>
      </c>
      <c r="C35903" s="5" t="str">
        <f>IFERROR(__xludf.DUMMYFUNCTION("GOOGLETRANSLATE(B35903,""en"",""zh-CN"")"),"然后，无处不在，开始旋转他手中的东西，看起来真的很危险。")</f>
        <v>然后，无处不在，开始旋转他手中的东西，看起来真的很危险。</v>
      </c>
    </row>
    <row r="35904">
      <c r="A35904" s="4" t="s">
        <v>45161</v>
      </c>
      <c r="B35904" s="4" t="s">
        <v>45164</v>
      </c>
      <c r="C35904" s="5" t="str">
        <f>IFERROR(__xludf.DUMMYFUNCTION("GOOGLETRANSLATE(B35904,""en"",""zh-CN"")"),"当他抓住很多速度时，他开始随之而来。")</f>
        <v>当他抓住很多速度时，他开始随之而来。</v>
      </c>
    </row>
    <row r="35905">
      <c r="A35905" s="4" t="s">
        <v>45161</v>
      </c>
      <c r="B35905" s="4" t="s">
        <v>45165</v>
      </c>
      <c r="C35905" s="5" t="str">
        <f>IFERROR(__xludf.DUMMYFUNCTION("GOOGLETRANSLATE(B35905,""en"",""zh-CN"")"),"然后他突然失去了控制，最终掉到了地上。")</f>
        <v>然后他突然失去了控制，最终掉到了地上。</v>
      </c>
    </row>
    <row r="35906">
      <c r="A35906" s="4" t="s">
        <v>45166</v>
      </c>
      <c r="B35906" s="4" t="s">
        <v>45167</v>
      </c>
      <c r="C35906" s="5" t="str">
        <f>IFERROR(__xludf.DUMMYFUNCTION("GOOGLETRANSLATE(B35906,""en"",""zh-CN"")"),"一个穿着红色衬衫的男人正在装饰圣诞树。")</f>
        <v>一个穿着红色衬衫的男人正在装饰圣诞树。</v>
      </c>
    </row>
    <row r="35907">
      <c r="A35907" s="4" t="s">
        <v>45166</v>
      </c>
      <c r="B35907" s="4" t="s">
        <v>45168</v>
      </c>
      <c r="C35907" s="5" t="str">
        <f>IFERROR(__xludf.DUMMYFUNCTION("GOOGLETRANSLATE(B35907,""en"",""zh-CN"")"),"他正在用白色的灯缠绕树木来装饰它。")</f>
        <v>他正在用白色的灯缠绕树木来装饰它。</v>
      </c>
    </row>
    <row r="35908">
      <c r="A35908" s="4" t="s">
        <v>45166</v>
      </c>
      <c r="B35908" s="4" t="s">
        <v>45169</v>
      </c>
      <c r="C35908" s="5" t="str">
        <f>IFERROR(__xludf.DUMMYFUNCTION("GOOGLETRANSLATE(B35908,""en"",""zh-CN"")"),"他几次绕过树。")</f>
        <v>他几次绕过树。</v>
      </c>
    </row>
    <row r="35909">
      <c r="A35909" s="4" t="s">
        <v>45166</v>
      </c>
      <c r="B35909" s="4" t="s">
        <v>45170</v>
      </c>
      <c r="C35909" s="5" t="str">
        <f>IFERROR(__xludf.DUMMYFUNCTION("GOOGLETRANSLATE(B35909,""en"",""zh-CN"")"),"然后他拿起一条金色的花环，包裹着树。")</f>
        <v>然后他拿起一条金色的花环，包裹着树。</v>
      </c>
    </row>
    <row r="35910">
      <c r="A35910" s="4" t="s">
        <v>45166</v>
      </c>
      <c r="B35910" s="4" t="s">
        <v>45171</v>
      </c>
      <c r="C35910" s="5" t="str">
        <f>IFERROR(__xludf.DUMMYFUNCTION("GOOGLETRANSLATE(B35910,""en"",""zh-CN"")"),"然后他打开灯光以照亮树。")</f>
        <v>然后他打开灯光以照亮树。</v>
      </c>
    </row>
    <row r="35911">
      <c r="A35911" s="4" t="s">
        <v>45166</v>
      </c>
      <c r="B35911" s="4" t="s">
        <v>45172</v>
      </c>
      <c r="C35911" s="5" t="str">
        <f>IFERROR(__xludf.DUMMYFUNCTION("GOOGLETRANSLATE(B35911,""en"",""zh-CN"")"),"然后，他站在树旁，灯打开后指着它。")</f>
        <v>然后，他站在树旁，灯打开后指着它。</v>
      </c>
    </row>
    <row r="35912">
      <c r="A35912" s="4" t="s">
        <v>45173</v>
      </c>
      <c r="B35912" s="4" t="s">
        <v>45174</v>
      </c>
      <c r="C35912" s="5" t="str">
        <f>IFERROR(__xludf.DUMMYFUNCTION("GOOGLETRANSLATE(B35912,""en"",""zh-CN"")"),"一个人用软管在木墙上垂直喷洒东西。")</f>
        <v>一个人用软管在木墙上垂直喷洒东西。</v>
      </c>
    </row>
    <row r="35913">
      <c r="A35913" s="4" t="s">
        <v>45173</v>
      </c>
      <c r="B35913" s="4" t="s">
        <v>45175</v>
      </c>
      <c r="C35913" s="5" t="str">
        <f>IFERROR(__xludf.DUMMYFUNCTION("GOOGLETRANSLATE(B35913,""en"",""zh-CN"")"),"该男子变为水平喷洒在墙上。")</f>
        <v>该男子变为水平喷洒在墙上。</v>
      </c>
    </row>
    <row r="35914">
      <c r="A35914" s="4" t="s">
        <v>45173</v>
      </c>
      <c r="B35914" s="4" t="s">
        <v>45176</v>
      </c>
      <c r="C35914" s="5" t="str">
        <f>IFERROR(__xludf.DUMMYFUNCTION("GOOGLETRANSLATE(B35914,""en"",""zh-CN"")"),"该人操纵喷嘴的尖端。")</f>
        <v>该人操纵喷嘴的尖端。</v>
      </c>
    </row>
    <row r="35915">
      <c r="A35915" s="4" t="s">
        <v>45177</v>
      </c>
      <c r="B35915" s="6" t="s">
        <v>45178</v>
      </c>
      <c r="C35915" s="5" t="str">
        <f>IFERROR(__xludf.DUMMYFUNCTION("GOOGLETRANSLATE(B35915,""en"",""zh-CN"")"),"有一个女孩体操运动员穿着闪亮的蓝色紧身连衣裤，在大型体育馆的许多观众面前的马吧上表演体操。")</f>
        <v>有一个女孩体操运动员穿着闪亮的蓝色紧身连衣裤，在大型体育馆的许多观众面前的马吧上表演体操。</v>
      </c>
    </row>
    <row r="35916">
      <c r="A35916" s="4" t="s">
        <v>45177</v>
      </c>
      <c r="B35916" s="4" t="s">
        <v>45179</v>
      </c>
      <c r="C35916" s="5" t="str">
        <f>IFERROR(__xludf.DUMMYFUNCTION("GOOGLETRANSLATE(B35916,""en"",""zh-CN"")"),"她上马杆，开始进行前翻和后翻转。")</f>
        <v>她上马杆，开始进行前翻和后翻转。</v>
      </c>
    </row>
    <row r="35917">
      <c r="A35917" s="4" t="s">
        <v>45177</v>
      </c>
      <c r="B35917" s="4" t="s">
        <v>45180</v>
      </c>
      <c r="C35917" s="5" t="str">
        <f>IFERROR(__xludf.DUMMYFUNCTION("GOOGLETRANSLATE(B35917,""en"",""zh-CN"")"),"然后，她确实扭曲了后背，同时牢固地降落在马杆上。")</f>
        <v>然后，她确实扭曲了后背，同时牢固地降落在马杆上。</v>
      </c>
    </row>
    <row r="35918">
      <c r="A35918" s="4" t="s">
        <v>45177</v>
      </c>
      <c r="B35918" s="6" t="s">
        <v>45181</v>
      </c>
      <c r="C35918" s="5" t="str">
        <f>IFERROR(__xludf.DUMMYFUNCTION("GOOGLETRANSLATE(B35918,""en"",""zh-CN"")"),"她继续进行体操运动，然后牢固地跳下马杆，降落在地面上。")</f>
        <v>她继续进行体操运动，然后牢固地跳下马杆，降落在地面上。</v>
      </c>
    </row>
    <row r="35919">
      <c r="A35919" s="4" t="s">
        <v>45177</v>
      </c>
      <c r="B35919" s="4" t="s">
        <v>45182</v>
      </c>
      <c r="C35919" s="5" t="str">
        <f>IFERROR(__xludf.DUMMYFUNCTION("GOOGLETRANSLATE(B35919,""en"",""zh-CN"")"),"离开酒吧后，她走了，拥抱了教练。")</f>
        <v>离开酒吧后，她走了，拥抱了教练。</v>
      </c>
    </row>
    <row r="35920">
      <c r="A35920" s="4" t="s">
        <v>45177</v>
      </c>
      <c r="B35920" s="6" t="s">
        <v>45183</v>
      </c>
      <c r="C35920" s="5" t="str">
        <f>IFERROR(__xludf.DUMMYFUNCTION("GOOGLETRANSLATE(B35920,""en"",""zh-CN"")"),"她的体操运动的慢动作动作被重播，以表明她如何从马酒吧降落在地面上。")</f>
        <v>她的体操运动的慢动作动作被重播，以表明她如何从马酒吧降落在地面上。</v>
      </c>
    </row>
    <row r="35921">
      <c r="A35921" s="4" t="s">
        <v>45177</v>
      </c>
      <c r="B35921" s="4" t="s">
        <v>45184</v>
      </c>
      <c r="C35921" s="5" t="str">
        <f>IFERROR(__xludf.DUMMYFUNCTION("GOOGLETRANSLATE(B35921,""en"",""zh-CN"")"),"然后，体操运动员走过法官小组的位置。")</f>
        <v>然后，体操运动员走过法官小组的位置。</v>
      </c>
    </row>
    <row r="35922">
      <c r="A35922" s="4" t="s">
        <v>45185</v>
      </c>
      <c r="B35922" s="4" t="s">
        <v>45186</v>
      </c>
      <c r="C35922" s="5" t="str">
        <f>IFERROR(__xludf.DUMMYFUNCTION("GOOGLETRANSLATE(B35922,""en"",""zh-CN"")"),"看到一个女人坐在一块岩石上，从水桶里抢了洗衣。")</f>
        <v>看到一个女人坐在一块岩石上，从水桶里抢了洗衣。</v>
      </c>
    </row>
    <row r="35923">
      <c r="A35923" s="4" t="s">
        <v>45185</v>
      </c>
      <c r="B35923" s="4" t="s">
        <v>45187</v>
      </c>
      <c r="C35923" s="5" t="str">
        <f>IFERROR(__xludf.DUMMYFUNCTION("GOOGLETRANSLATE(B35923,""en"",""zh-CN"")"),"然后，她在镜头微笑时用抹布擦了擦衣服。")</f>
        <v>然后，她在镜头微笑时用抹布擦了擦衣服。</v>
      </c>
    </row>
    <row r="35924">
      <c r="A35924" s="4" t="s">
        <v>45185</v>
      </c>
      <c r="B35924" s="4" t="s">
        <v>45188</v>
      </c>
      <c r="C35924" s="5" t="str">
        <f>IFERROR(__xludf.DUMMYFUNCTION("GOOGLETRANSLATE(B35924,""en"",""zh-CN"")"),"她继续在水泥上击中布并用水洗净布来清洁布。")</f>
        <v>她继续在水泥上击中布并用水洗净布来清洁布。</v>
      </c>
    </row>
    <row r="35925">
      <c r="A35925" s="4" t="s">
        <v>45189</v>
      </c>
      <c r="B35925" s="4" t="s">
        <v>45190</v>
      </c>
      <c r="C35925" s="5" t="str">
        <f>IFERROR(__xludf.DUMMYFUNCTION("GOOGLETRANSLATE(B35925,""en"",""zh-CN"")"),"看到一架直升机在海洋上行驶，看到人们冲浪。")</f>
        <v>看到一架直升机在海洋上行驶，看到人们冲浪。</v>
      </c>
    </row>
    <row r="35926">
      <c r="A35926" s="4" t="s">
        <v>45189</v>
      </c>
      <c r="B35926" s="4" t="s">
        <v>45191</v>
      </c>
      <c r="C35926" s="5" t="str">
        <f>IFERROR(__xludf.DUMMYFUNCTION("GOOGLETRANSLATE(B35926,""en"",""zh-CN"")"),"显示了一些人沿着水和其他人坐着的人。")</f>
        <v>显示了一些人沿着水和其他人坐着的人。</v>
      </c>
    </row>
    <row r="35927">
      <c r="A35927" s="4" t="s">
        <v>45189</v>
      </c>
      <c r="B35927" s="4" t="s">
        <v>45192</v>
      </c>
      <c r="C35927" s="5" t="str">
        <f>IFERROR(__xludf.DUMMYFUNCTION("GOOGLETRANSLATE(B35927,""en"",""zh-CN"")"),"当直升机骑行时，人们继续沿着水骑行。")</f>
        <v>当直升机骑行时，人们继续沿着水骑行。</v>
      </c>
    </row>
    <row r="35928">
      <c r="A35928" s="4" t="s">
        <v>45193</v>
      </c>
      <c r="B35928" s="6" t="s">
        <v>45194</v>
      </c>
      <c r="C35928" s="5" t="str">
        <f>IFERROR(__xludf.DUMMYFUNCTION("GOOGLETRANSLATE(B35928,""en"",""zh-CN"")"),"年轻的男孩在一个大型体育馆中互相表演，彼此之间互相比赛。")</f>
        <v>年轻的男孩在一个大型体育馆中互相表演，彼此之间互相比赛。</v>
      </c>
    </row>
    <row r="35929">
      <c r="A35929" s="4" t="s">
        <v>45193</v>
      </c>
      <c r="B35929" s="6" t="s">
        <v>45195</v>
      </c>
      <c r="C35929" s="5" t="str">
        <f>IFERROR(__xludf.DUMMYFUNCTION("GOOGLETRANSLATE(B35929,""en"",""zh-CN"")"),"另一个男孩走到桌子上，开始和其他男孩玩耍，然后变成了两个与两场乒乓球的比赛。")</f>
        <v>另一个男孩走到桌子上，开始和其他男孩玩耍，然后变成了两个与两场乒乓球的比赛。</v>
      </c>
    </row>
    <row r="35930">
      <c r="A35930" s="4" t="s">
        <v>45193</v>
      </c>
      <c r="B35930" s="4" t="s">
        <v>45196</v>
      </c>
      <c r="C35930" s="5" t="str">
        <f>IFERROR(__xludf.DUMMYFUNCTION("GOOGLETRANSLATE(B35930,""en"",""zh-CN"")"),"男孩们轮流随机来回获得得分。")</f>
        <v>男孩们轮流随机来回获得得分。</v>
      </c>
    </row>
    <row r="35931">
      <c r="A35931" s="4" t="s">
        <v>45193</v>
      </c>
      <c r="B35931" s="6" t="s">
        <v>45197</v>
      </c>
      <c r="C35931" s="5" t="str">
        <f>IFERROR(__xludf.DUMMYFUNCTION("GOOGLETRANSLATE(B35931,""en"",""zh-CN"")"),"最初显示的男孩现在打了第三场比赛，这是官员的得分，并在前4分得到。")</f>
        <v>最初显示的男孩现在打了第三场比赛，这是官员的得分，并在前4分得到。</v>
      </c>
    </row>
    <row r="35932">
      <c r="A35932" s="4" t="s">
        <v>45193</v>
      </c>
      <c r="B35932" s="6" t="s">
        <v>45198</v>
      </c>
      <c r="C35932" s="5" t="str">
        <f>IFERROR(__xludf.DUMMYFUNCTION("GOOGLETRANSLATE(B35932,""en"",""zh-CN"")"),"这个男孩在乒乓球比赛中与另一个孩子一起参加了另一场比赛，似乎可能会落后一点。")</f>
        <v>这个男孩在乒乓球比赛中与另一个孩子一起参加了另一场比赛，似乎可能会落后一点。</v>
      </c>
    </row>
    <row r="35933">
      <c r="A35933" s="4" t="s">
        <v>45199</v>
      </c>
      <c r="B35933" s="4" t="s">
        <v>45200</v>
      </c>
      <c r="C35933" s="5" t="str">
        <f>IFERROR(__xludf.DUMMYFUNCTION("GOOGLETRANSLATE(B35933,""en"",""zh-CN"")"),"一个男人正在炫耀他的摩托车。")</f>
        <v>一个男人正在炫耀他的摩托车。</v>
      </c>
    </row>
    <row r="35934">
      <c r="A35934" s="4" t="s">
        <v>45199</v>
      </c>
      <c r="B35934" s="4" t="s">
        <v>45201</v>
      </c>
      <c r="C35934" s="5" t="str">
        <f>IFERROR(__xludf.DUMMYFUNCTION("GOOGLETRANSLATE(B35934,""en"",""zh-CN"")"),"他首先就自己的自行车发表了一句话。")</f>
        <v>他首先就自己的自行车发表了一句话。</v>
      </c>
    </row>
    <row r="35935">
      <c r="A35935" s="4" t="s">
        <v>45199</v>
      </c>
      <c r="B35935" s="4" t="s">
        <v>45202</v>
      </c>
      <c r="C35935" s="5" t="str">
        <f>IFERROR(__xludf.DUMMYFUNCTION("GOOGLETRANSLATE(B35935,""en"",""zh-CN"")"),"然后他在赛道上驾驶自行车。")</f>
        <v>然后他在赛道上驾驶自行车。</v>
      </c>
    </row>
    <row r="35936">
      <c r="A35936" s="4" t="s">
        <v>45199</v>
      </c>
      <c r="B35936" s="4" t="s">
        <v>45203</v>
      </c>
      <c r="C35936" s="5" t="str">
        <f>IFERROR(__xludf.DUMMYFUNCTION("GOOGLETRANSLATE(B35936,""en"",""zh-CN"")"),"然后，他快速展示自己的自行车如何移动以及它如何坐着。")</f>
        <v>然后，他快速展示自己的自行车如何移动以及它如何坐着。</v>
      </c>
    </row>
    <row r="35937">
      <c r="A35937" s="4" t="s">
        <v>45199</v>
      </c>
      <c r="B35937" s="4" t="s">
        <v>45204</v>
      </c>
      <c r="C35937" s="5" t="str">
        <f>IFERROR(__xludf.DUMMYFUNCTION("GOOGLETRANSLATE(B35937,""en"",""zh-CN"")"),"然后，他坐在骑自行车时谈论自己的自行车。")</f>
        <v>然后，他坐在骑自行车时谈论自己的自行车。</v>
      </c>
    </row>
    <row r="35938">
      <c r="A35938" s="4" t="s">
        <v>45199</v>
      </c>
      <c r="B35938" s="6" t="s">
        <v>45205</v>
      </c>
      <c r="C35938" s="5" t="str">
        <f>IFERROR(__xludf.DUMMYFUNCTION("GOOGLETRANSLATE(B35938,""en"",""zh-CN"")"),"然后，他绕着平坦的泥土行驶，同时剪了几次演讲，描述了他的技术。")</f>
        <v>然后，他绕着平坦的泥土行驶，同时剪了几次演讲，描述了他的技术。</v>
      </c>
    </row>
    <row r="35939">
      <c r="A35939" s="4" t="s">
        <v>45199</v>
      </c>
      <c r="B35939" s="4" t="s">
        <v>45206</v>
      </c>
      <c r="C35939" s="5" t="str">
        <f>IFERROR(__xludf.DUMMYFUNCTION("GOOGLETRANSLATE(B35939,""en"",""zh-CN"")"),"最后，他再谈论自己的自行车。")</f>
        <v>最后，他再谈论自己的自行车。</v>
      </c>
    </row>
    <row r="35940">
      <c r="A35940" s="4" t="s">
        <v>45207</v>
      </c>
      <c r="B35940" s="4" t="s">
        <v>45208</v>
      </c>
      <c r="C35940" s="5" t="str">
        <f>IFERROR(__xludf.DUMMYFUNCTION("GOOGLETRANSLATE(B35940,""en"",""zh-CN"")"),"一名游泳者戴上一双护目镜。")</f>
        <v>一名游泳者戴上一双护目镜。</v>
      </c>
    </row>
    <row r="35941">
      <c r="A35941" s="4" t="s">
        <v>45207</v>
      </c>
      <c r="B35941" s="6" t="s">
        <v>45209</v>
      </c>
      <c r="C35941" s="5" t="str">
        <f>IFERROR(__xludf.DUMMYFUNCTION("GOOGLETRANSLATE(B35941,""en"",""zh-CN"")"),"游泳者将肌肉拉到游泳池中，跳到泳池甲板上，伸出他的腿。")</f>
        <v>游泳者将肌肉拉到游泳池中，跳到泳池甲板上，伸出他的腿。</v>
      </c>
    </row>
    <row r="35942">
      <c r="A35942" s="4" t="s">
        <v>45207</v>
      </c>
      <c r="B35942" s="4" t="s">
        <v>45210</v>
      </c>
      <c r="C35942" s="5" t="str">
        <f>IFERROR(__xludf.DUMMYFUNCTION("GOOGLETRANSLATE(B35942,""en"",""zh-CN"")"),"一名游泳运动员从木板上俯冲到水中，散发出飞溅。")</f>
        <v>一名游泳运动员从木板上俯冲到水中，散发出飞溅。</v>
      </c>
    </row>
    <row r="35943">
      <c r="A35943" s="4" t="s">
        <v>45207</v>
      </c>
      <c r="B35943" s="4" t="s">
        <v>45211</v>
      </c>
      <c r="C35943" s="5" t="str">
        <f>IFERROR(__xludf.DUMMYFUNCTION("GOOGLETRANSLATE(B35943,""en"",""zh-CN"")"),"运动员在车道上游泳，并与浮线一起拉。")</f>
        <v>运动员在车道上游泳，并与浮线一起拉。</v>
      </c>
    </row>
    <row r="35944">
      <c r="A35944" s="4" t="s">
        <v>45207</v>
      </c>
      <c r="B35944" s="4" t="s">
        <v>45212</v>
      </c>
      <c r="C35944" s="5" t="str">
        <f>IFERROR(__xludf.DUMMYFUNCTION("GOOGLETRANSLATE(B35944,""en"",""zh-CN"")"),"游泳者在水下游泳，然后推出游泳池地板。")</f>
        <v>游泳者在水下游泳，然后推出游泳池地板。</v>
      </c>
    </row>
    <row r="35945">
      <c r="A35945" s="4" t="s">
        <v>45207</v>
      </c>
      <c r="B35945" s="4" t="s">
        <v>45213</v>
      </c>
      <c r="C35945" s="5" t="str">
        <f>IFERROR(__xludf.DUMMYFUNCTION("GOOGLETRANSLATE(B35945,""en"",""zh-CN"")"),"游泳者在泳池车道上做蝴蝶中风。")</f>
        <v>游泳者在泳池车道上做蝴蝶中风。</v>
      </c>
    </row>
    <row r="35946">
      <c r="A35946" s="4" t="s">
        <v>45214</v>
      </c>
      <c r="B35946" s="4" t="s">
        <v>45215</v>
      </c>
      <c r="C35946" s="5" t="str">
        <f>IFERROR(__xludf.DUMMYFUNCTION("GOOGLETRANSLATE(B35946,""en"",""zh-CN"")"),"一名体操运动员跳上pummel马。")</f>
        <v>一名体操运动员跳上pummel马。</v>
      </c>
    </row>
    <row r="35947">
      <c r="A35947" s="4" t="s">
        <v>45214</v>
      </c>
      <c r="B35947" s="6" t="s">
        <v>45216</v>
      </c>
      <c r="C35947" s="5" t="str">
        <f>IFERROR(__xludf.DUMMYFUNCTION("GOOGLETRANSLATE(B35947,""en"",""zh-CN"")"),"体操运动员在马匹上握住pummel马的两个条时，在马周围进行了许多旋转。")</f>
        <v>体操运动员在马匹上握住pummel马的两个条时，在马周围进行了许多旋转。</v>
      </c>
    </row>
    <row r="35948">
      <c r="A35948" s="4" t="s">
        <v>45214</v>
      </c>
      <c r="B35948" s="4" t="s">
        <v>45217</v>
      </c>
      <c r="C35948" s="5" t="str">
        <f>IFERROR(__xludf.DUMMYFUNCTION("GOOGLETRANSLATE(B35948,""en"",""zh-CN"")"),"一些法官看着。")</f>
        <v>一些法官看着。</v>
      </c>
    </row>
    <row r="35949">
      <c r="A35949" s="4" t="s">
        <v>45214</v>
      </c>
      <c r="B35949" s="4" t="s">
        <v>45218</v>
      </c>
      <c r="C35949" s="5" t="str">
        <f>IFERROR(__xludf.DUMMYFUNCTION("GOOGLETRANSLATE(B35949,""en"",""zh-CN"")"),"体操运动员跳下了pummel马。")</f>
        <v>体操运动员跳下了pummel马。</v>
      </c>
    </row>
    <row r="35950">
      <c r="A35950" s="4" t="s">
        <v>45219</v>
      </c>
      <c r="B35950" s="6" t="s">
        <v>45220</v>
      </c>
      <c r="C35950" s="5" t="str">
        <f>IFERROR(__xludf.DUMMYFUNCTION("GOOGLETRANSLATE(B35950,""en"",""zh-CN"")"),"看到一名体操运动员跳到一组不均匀的酒吧上，并在大量人群面前进行体操例行。")</f>
        <v>看到一名体操运动员跳到一组不均匀的酒吧上，并在大量人群面前进行体操例行。</v>
      </c>
    </row>
    <row r="35951">
      <c r="A35951" s="4" t="s">
        <v>45219</v>
      </c>
      <c r="B35951" s="6" t="s">
        <v>45221</v>
      </c>
      <c r="C35951" s="5" t="str">
        <f>IFERROR(__xludf.DUMMYFUNCTION("GOOGLETRANSLATE(B35951,""en"",""zh-CN"")"),"该男子在横梁上翻转，最后他的手臂向下跳下来，向人群挥手。")</f>
        <v>该男子在横梁上翻转，最后他的手臂向下跳下来，向人群挥手。</v>
      </c>
    </row>
    <row r="35952">
      <c r="A35952" s="4" t="s">
        <v>45222</v>
      </c>
      <c r="B35952" s="4" t="s">
        <v>45223</v>
      </c>
      <c r="C35952" s="5" t="str">
        <f>IFERROR(__xludf.DUMMYFUNCTION("GOOGLETRANSLATE(B35952,""en"",""zh-CN"")"),"看到一个戴着帽子的女人坐在一大堆邦戈鼓后面。")</f>
        <v>看到一个戴着帽子的女人坐在一大堆邦戈鼓后面。</v>
      </c>
    </row>
    <row r="35953">
      <c r="A35953" s="4" t="s">
        <v>45222</v>
      </c>
      <c r="B35953" s="4" t="s">
        <v>45224</v>
      </c>
      <c r="C35953" s="5" t="str">
        <f>IFERROR(__xludf.DUMMYFUNCTION("GOOGLETRANSLATE(B35953,""en"",""zh-CN"")"),"女人不断地在鼓上演奏。")</f>
        <v>女人不断地在鼓上演奏。</v>
      </c>
    </row>
    <row r="35954">
      <c r="A35954" s="4" t="s">
        <v>45222</v>
      </c>
      <c r="B35954" s="4" t="s">
        <v>45225</v>
      </c>
      <c r="C35954" s="5" t="str">
        <f>IFERROR(__xludf.DUMMYFUNCTION("GOOGLETRANSLATE(B35954,""en"",""zh-CN"")"),"女人继续打鼓，并用指向相机并站起来结束。")</f>
        <v>女人继续打鼓，并用指向相机并站起来结束。</v>
      </c>
    </row>
    <row r="35955">
      <c r="A35955" s="4" t="s">
        <v>45226</v>
      </c>
      <c r="B35955" s="4" t="s">
        <v>45227</v>
      </c>
      <c r="C35955" s="5" t="str">
        <f>IFERROR(__xludf.DUMMYFUNCTION("GOOGLETRANSLATE(B35955,""en"",""zh-CN"")"),"一个女孩正在穿越一套猴子酒吧。")</f>
        <v>一个女孩正在穿越一套猴子酒吧。</v>
      </c>
    </row>
    <row r="35956">
      <c r="A35956" s="4" t="s">
        <v>45226</v>
      </c>
      <c r="B35956" s="4" t="s">
        <v>45228</v>
      </c>
      <c r="C35956" s="5" t="str">
        <f>IFERROR(__xludf.DUMMYFUNCTION("GOOGLETRANSLATE(B35956,""en"",""zh-CN"")"),"她走到尽头，站在木板上。")</f>
        <v>她走到尽头，站在木板上。</v>
      </c>
    </row>
    <row r="35957">
      <c r="A35957" s="4" t="s">
        <v>45226</v>
      </c>
      <c r="B35957" s="4" t="s">
        <v>45229</v>
      </c>
      <c r="C35957" s="5" t="str">
        <f>IFERROR(__xludf.DUMMYFUNCTION("GOOGLETRANSLATE(B35957,""en"",""zh-CN"")"),"然后，她沿另一个方向回过猴子酒吧。")</f>
        <v>然后，她沿另一个方向回过猴子酒吧。</v>
      </c>
    </row>
    <row r="35958">
      <c r="A35958" s="4" t="s">
        <v>45226</v>
      </c>
      <c r="B35958" s="4" t="s">
        <v>45230</v>
      </c>
      <c r="C35958" s="5" t="str">
        <f>IFERROR(__xludf.DUMMYFUNCTION("GOOGLETRANSLATE(B35958,""en"",""zh-CN"")"),"她去了操场的另一部分，然后上下跳跃。")</f>
        <v>她去了操场的另一部分，然后上下跳跃。</v>
      </c>
    </row>
    <row r="35959">
      <c r="A35959" s="4" t="s">
        <v>45231</v>
      </c>
      <c r="B35959" s="6" t="s">
        <v>45232</v>
      </c>
      <c r="C35959" s="5" t="str">
        <f>IFERROR(__xludf.DUMMYFUNCTION("GOOGLETRANSLATE(B35959,""en"",""zh-CN"")"),"人在自动收银员面前，拿走一些钱，然后在一个充满人的房间里与一些男人交谈。")</f>
        <v>人在自动收银员面前，拿走一些钱，然后在一个充满人的房间里与一些男人交谈。</v>
      </c>
    </row>
    <row r="35960">
      <c r="A35960" s="4" t="s">
        <v>45231</v>
      </c>
      <c r="B35960" s="6" t="s">
        <v>45233</v>
      </c>
      <c r="C35960" s="5" t="str">
        <f>IFERROR(__xludf.DUMMYFUNCTION("GOOGLETRANSLATE(B35960,""en"",""zh-CN"")"),"男人在二十一点的桌子上坐着，在赌场赌博，当人们看着游戏并在桌子上行走时互相交谈。")</f>
        <v>男人在二十一点的桌子上坐着，在赌场赌博，当人们看着游戏并在桌子上行走时互相交谈。</v>
      </c>
    </row>
    <row r="35961">
      <c r="A35961" s="4" t="s">
        <v>45231</v>
      </c>
      <c r="B35961" s="4" t="s">
        <v>45234</v>
      </c>
      <c r="C35961" s="5" t="str">
        <f>IFERROR(__xludf.DUMMYFUNCTION("GOOGLETRANSLATE(B35961,""en"",""zh-CN"")"),"交易正在散布卡片，男人开火。")</f>
        <v>交易正在散布卡片，男人开火。</v>
      </c>
    </row>
    <row r="35962">
      <c r="A35962" s="4" t="s">
        <v>45235</v>
      </c>
      <c r="B35962" s="6" t="s">
        <v>45236</v>
      </c>
      <c r="C35962" s="5" t="str">
        <f>IFERROR(__xludf.DUMMYFUNCTION("GOOGLETRANSLATE(B35962,""en"",""zh-CN"")"),"一个女人在厨房水槽的摄像头上站着，用肥皂水洗锅。")</f>
        <v>一个女人在厨房水槽的摄像头上站着，用肥皂水洗锅。</v>
      </c>
    </row>
    <row r="35963">
      <c r="A35963" s="4" t="s">
        <v>45235</v>
      </c>
      <c r="B35963" s="6" t="s">
        <v>45237</v>
      </c>
      <c r="C35963" s="5" t="str">
        <f>IFERROR(__xludf.DUMMYFUNCTION("GOOGLETRANSLATE(B35963,""en"",""zh-CN"")"),"那个女人在洗锅时转身与相机交谈，当摄像机摇摇欲坠地抓住活动时，笑了一点。")</f>
        <v>那个女人在洗锅时转身与相机交谈，当摄像机摇摇欲坠地抓住活动时，笑了一点。</v>
      </c>
    </row>
    <row r="35964">
      <c r="A35964" s="4" t="s">
        <v>45235</v>
      </c>
      <c r="B35964" s="6" t="s">
        <v>45238</v>
      </c>
      <c r="C35964" s="5" t="str">
        <f>IFERROR(__xludf.DUMMYFUNCTION("GOOGLETRANSLATE(B35964,""en"",""zh-CN"")"),"女人冲洗锅，然后转身将其抬起空中，滴水，做出可怕的脸，仿佛她要用它攻击相机的人，但是然后远离相机的男人，向水槽转向水槽柜台。")</f>
        <v>女人冲洗锅，然后转身将其抬起空中，滴水，做出可怕的脸，仿佛她要用它攻击相机的人，但是然后远离相机的男人，向水槽转向水槽柜台。</v>
      </c>
    </row>
    <row r="35965">
      <c r="A35965" s="4" t="s">
        <v>45239</v>
      </c>
      <c r="B35965" s="4" t="s">
        <v>45240</v>
      </c>
      <c r="C35965" s="5" t="str">
        <f>IFERROR(__xludf.DUMMYFUNCTION("GOOGLETRANSLATE(B35965,""en"",""zh-CN"")"),"两个人在房间绘画中进行重新装修。")</f>
        <v>两个人在房间绘画中进行重新装修。</v>
      </c>
    </row>
    <row r="35966">
      <c r="A35966" s="4" t="s">
        <v>45239</v>
      </c>
      <c r="B35966" s="4" t="s">
        <v>45241</v>
      </c>
      <c r="C35966" s="5" t="str">
        <f>IFERROR(__xludf.DUMMYFUNCTION("GOOGLETRANSLATE(B35966,""en"",""zh-CN"")"),"两个人交替在梯子上上下移动，将糊状物放在墙上放墙纸。")</f>
        <v>两个人交替在梯子上上下移动，将糊状物放在墙上放墙纸。</v>
      </c>
    </row>
    <row r="35967">
      <c r="A35967" s="4" t="s">
        <v>45239</v>
      </c>
      <c r="B35967" s="6" t="s">
        <v>45242</v>
      </c>
      <c r="C35967" s="5" t="str">
        <f>IFERROR(__xludf.DUMMYFUNCTION("GOOGLETRANSLATE(B35967,""en"",""zh-CN"")"),"这些动作继续进行，直到整个墙壁被白色的墙纸覆盖，上面有一个大蓝色的花朵，因为一个女孩坐在一排书籍后面。")</f>
        <v>这些动作继续进行，直到整个墙壁被白色的墙纸覆盖，上面有一个大蓝色的花朵，因为一个女孩坐在一排书籍后面。</v>
      </c>
    </row>
    <row r="35968">
      <c r="A35968" s="4" t="s">
        <v>45243</v>
      </c>
      <c r="B35968" s="4" t="s">
        <v>45244</v>
      </c>
      <c r="C35968" s="5" t="str">
        <f>IFERROR(__xludf.DUMMYFUNCTION("GOOGLETRANSLATE(B35968,""en"",""zh-CN"")"),"一个穿着红色衬衫的女人站在一个房间里。")</f>
        <v>一个穿着红色衬衫的女人站在一个房间里。</v>
      </c>
    </row>
    <row r="35969">
      <c r="A35969" s="4" t="s">
        <v>45243</v>
      </c>
      <c r="B35969" s="4" t="s">
        <v>45245</v>
      </c>
      <c r="C35969" s="5" t="str">
        <f>IFERROR(__xludf.DUMMYFUNCTION("GOOGLETRANSLATE(B35969,""en"",""zh-CN"")"),"她开始在蓝色垫子上锻炼。")</f>
        <v>她开始在蓝色垫子上锻炼。</v>
      </c>
    </row>
    <row r="35970">
      <c r="A35970" s="4" t="s">
        <v>45243</v>
      </c>
      <c r="B35970" s="4" t="s">
        <v>45246</v>
      </c>
      <c r="C35970" s="5" t="str">
        <f>IFERROR(__xludf.DUMMYFUNCTION("GOOGLETRANSLATE(B35970,""en"",""zh-CN"")"),"她停下来与镜头交谈。")</f>
        <v>她停下来与镜头交谈。</v>
      </c>
    </row>
    <row r="35971">
      <c r="A35971" s="4" t="s">
        <v>45247</v>
      </c>
      <c r="B35971" s="4" t="s">
        <v>45248</v>
      </c>
      <c r="C35971" s="5" t="str">
        <f>IFERROR(__xludf.DUMMYFUNCTION("GOOGLETRANSLATE(B35971,""en"",""zh-CN"")"),"一名体操运动员伸展并爬上一组平行的双杆。")</f>
        <v>一名体操运动员伸展并爬上一组平行的双杆。</v>
      </c>
    </row>
    <row r="35972">
      <c r="A35972" s="4" t="s">
        <v>45247</v>
      </c>
      <c r="B35972" s="4" t="s">
        <v>45249</v>
      </c>
      <c r="C35972" s="5" t="str">
        <f>IFERROR(__xludf.DUMMYFUNCTION("GOOGLETRANSLATE(B35972,""en"",""zh-CN"")"),"体操运动员在双杆上的比赛中进行了例行比赛。")</f>
        <v>体操运动员在双杆上的比赛中进行了例行比赛。</v>
      </c>
    </row>
    <row r="35973">
      <c r="A35973" s="4" t="s">
        <v>45247</v>
      </c>
      <c r="B35973" s="4" t="s">
        <v>45250</v>
      </c>
      <c r="C35973" s="5" t="str">
        <f>IFERROR(__xludf.DUMMYFUNCTION("GOOGLETRANSLATE(B35973,""en"",""zh-CN"")"),"体操运动员从设备上卸下，并降落在垫子上。")</f>
        <v>体操运动员从设备上卸下，并降落在垫子上。</v>
      </c>
    </row>
    <row r="35974">
      <c r="A35974" s="4" t="s">
        <v>45251</v>
      </c>
      <c r="B35974" s="4" t="s">
        <v>1251</v>
      </c>
      <c r="C35974" s="5" t="str">
        <f>IFERROR(__xludf.DUMMYFUNCTION("GOOGLETRANSLATE(B35974,""en"",""zh-CN"")"),"显示了剪辑的信用。")</f>
        <v>显示了剪辑的信用。</v>
      </c>
    </row>
    <row r="35975">
      <c r="A35975" s="4" t="s">
        <v>45251</v>
      </c>
      <c r="B35975" s="4" t="s">
        <v>45252</v>
      </c>
      <c r="C35975" s="5" t="str">
        <f>IFERROR(__xludf.DUMMYFUNCTION("GOOGLETRANSLATE(B35975,""en"",""zh-CN"")"),"一个男人在健身房的地板上半膝盖。")</f>
        <v>一个男人在健身房的地板上半膝盖。</v>
      </c>
    </row>
    <row r="35976">
      <c r="A35976" s="4" t="s">
        <v>45251</v>
      </c>
      <c r="B35976" s="4" t="s">
        <v>45253</v>
      </c>
      <c r="C35976" s="5" t="str">
        <f>IFERROR(__xludf.DUMMYFUNCTION("GOOGLETRANSLATE(B35976,""en"",""zh-CN"")"),"这个家伙开始一只手压重。")</f>
        <v>这个家伙开始一只手压重。</v>
      </c>
    </row>
    <row r="35977">
      <c r="A35977" s="4" t="s">
        <v>45254</v>
      </c>
      <c r="B35977" s="4" t="s">
        <v>45255</v>
      </c>
      <c r="C35977" s="5" t="str">
        <f>IFERROR(__xludf.DUMMYFUNCTION("GOOGLETRANSLATE(B35977,""en"",""zh-CN"")"),"有几名男子在山上包围的沙质地面上踢拔河战。")</f>
        <v>有几名男子在山上包围的沙质地面上踢拔河战。</v>
      </c>
    </row>
    <row r="35978">
      <c r="A35978" s="4" t="s">
        <v>45254</v>
      </c>
      <c r="B35978" s="4" t="s">
        <v>45256</v>
      </c>
      <c r="C35978" s="5" t="str">
        <f>IFERROR(__xludf.DUMMYFUNCTION("GOOGLETRANSLATE(B35978,""en"",""zh-CN"")"),"他们继续用武力拉绳子。")</f>
        <v>他们继续用武力拉绳子。</v>
      </c>
    </row>
    <row r="35979">
      <c r="A35979" s="4" t="s">
        <v>45254</v>
      </c>
      <c r="B35979" s="4" t="s">
        <v>45257</v>
      </c>
      <c r="C35979" s="5" t="str">
        <f>IFERROR(__xludf.DUMMYFUNCTION("GOOGLETRANSLATE(B35979,""en"",""zh-CN"")"),"几个观众正在观看他们，并在他们继续演奏时为他们加油打气。")</f>
        <v>几个观众正在观看他们，并在他们继续演奏时为他们加油打气。</v>
      </c>
    </row>
    <row r="35980">
      <c r="A35980" s="4" t="s">
        <v>45254</v>
      </c>
      <c r="B35980" s="4" t="s">
        <v>45258</v>
      </c>
      <c r="C35980" s="5" t="str">
        <f>IFERROR(__xludf.DUMMYFUNCTION("GOOGLETRANSLATE(B35980,""en"",""zh-CN"")"),"玩家继续集中绳。")</f>
        <v>玩家继续集中绳。</v>
      </c>
    </row>
    <row r="35981">
      <c r="A35981" s="4" t="s">
        <v>45254</v>
      </c>
      <c r="B35981" s="4" t="s">
        <v>45259</v>
      </c>
      <c r="C35981" s="5" t="str">
        <f>IFERROR(__xludf.DUMMYFUNCTION("GOOGLETRANSLATE(B35981,""en"",""zh-CN"")"),"最终，胜利的团队举起双手，在一个圈子里加油和跳舞。")</f>
        <v>最终，胜利的团队举起双手，在一个圈子里加油和跳舞。</v>
      </c>
    </row>
    <row r="35982">
      <c r="A35982" s="4" t="s">
        <v>45260</v>
      </c>
      <c r="B35982" s="4" t="s">
        <v>45261</v>
      </c>
      <c r="C35982" s="5" t="str">
        <f>IFERROR(__xludf.DUMMYFUNCTION("GOOGLETRANSLATE(B35982,""en"",""zh-CN"")"),"一位年轻的青春期女性正站在房间的拐角处。")</f>
        <v>一位年轻的青春期女性正站在房间的拐角处。</v>
      </c>
    </row>
    <row r="35983">
      <c r="A35983" s="4" t="s">
        <v>45260</v>
      </c>
      <c r="B35983" s="4" t="s">
        <v>45262</v>
      </c>
      <c r="C35983" s="5" t="str">
        <f>IFERROR(__xludf.DUMMYFUNCTION("GOOGLETRANSLATE(B35983,""en"",""zh-CN"")"),"然后，这个女孩在体育馆内的一个闪闪发光的紧身裤中显示。")</f>
        <v>然后，这个女孩在体育馆内的一个闪闪发光的紧身裤中显示。</v>
      </c>
    </row>
    <row r="35984">
      <c r="A35984" s="4" t="s">
        <v>45260</v>
      </c>
      <c r="B35984" s="6" t="s">
        <v>45263</v>
      </c>
      <c r="C35984" s="5" t="str">
        <f>IFERROR(__xludf.DUMMYFUNCTION("GOOGLETRANSLATE(B35984,""en"",""zh-CN"")"),"之后，她在平衡梁上跳动，并在从平衡梁上翻转之前开始做技巧。")</f>
        <v>之后，她在平衡梁上跳动，并在从平衡梁上翻转之前开始做技巧。</v>
      </c>
    </row>
    <row r="35985">
      <c r="A35985" s="4" t="s">
        <v>45260</v>
      </c>
      <c r="B35985" s="4" t="s">
        <v>45264</v>
      </c>
      <c r="C35985" s="5" t="str">
        <f>IFERROR(__xludf.DUMMYFUNCTION("GOOGLETRANSLATE(B35985,""en"",""zh-CN"")"),"然后，她退回到镜头，说了几句话，再见。")</f>
        <v>然后，她退回到镜头，说了几句话，再见。</v>
      </c>
    </row>
    <row r="35986">
      <c r="A35986" s="4" t="s">
        <v>45265</v>
      </c>
      <c r="B35986" s="4" t="s">
        <v>45266</v>
      </c>
      <c r="C35986" s="5" t="str">
        <f>IFERROR(__xludf.DUMMYFUNCTION("GOOGLETRANSLATE(B35986,""en"",""zh-CN"")"),"人们在室内和室外玩耍。")</f>
        <v>人们在室内和室外玩耍。</v>
      </c>
    </row>
    <row r="35987">
      <c r="A35987" s="4" t="s">
        <v>45265</v>
      </c>
      <c r="B35987" s="4" t="s">
        <v>45267</v>
      </c>
      <c r="C35987" s="5" t="str">
        <f>IFERROR(__xludf.DUMMYFUNCTION("GOOGLETRANSLATE(B35987,""en"",""zh-CN"")"),"一个人观察人们何时在街上扮演沙芬板。")</f>
        <v>一个人观察人们何时在街上扮演沙芬板。</v>
      </c>
    </row>
    <row r="35988">
      <c r="A35988" s="4" t="s">
        <v>45265</v>
      </c>
      <c r="B35988" s="4" t="s">
        <v>45268</v>
      </c>
      <c r="C35988" s="5" t="str">
        <f>IFERROR(__xludf.DUMMYFUNCTION("GOOGLETRANSLATE(B35988,""en"",""zh-CN"")"),"几个老人在户外玩。")</f>
        <v>几个老人在户外玩。</v>
      </c>
    </row>
    <row r="35989">
      <c r="A35989" s="4" t="s">
        <v>45265</v>
      </c>
      <c r="B35989" s="4" t="s">
        <v>45269</v>
      </c>
      <c r="C35989" s="5" t="str">
        <f>IFERROR(__xludf.DUMMYFUNCTION("GOOGLETRANSLATE(B35989,""en"",""zh-CN"")"),"其他人会打沙芬板，将球推入三角形。")</f>
        <v>其他人会打沙芬板，将球推入三角形。</v>
      </c>
    </row>
    <row r="35990">
      <c r="A35990" s="4" t="s">
        <v>45270</v>
      </c>
      <c r="B35990" s="4" t="s">
        <v>45271</v>
      </c>
      <c r="C35990" s="5" t="str">
        <f>IFERROR(__xludf.DUMMYFUNCTION("GOOGLETRANSLATE(B35990,""en"",""zh-CN"")"),"一个人演示了如何洗车的情况。")</f>
        <v>一个人演示了如何洗车的情况。</v>
      </c>
    </row>
    <row r="35991">
      <c r="A35991" s="4" t="s">
        <v>45270</v>
      </c>
      <c r="B35991" s="4" t="s">
        <v>45272</v>
      </c>
      <c r="C35991" s="5" t="str">
        <f>IFERROR(__xludf.DUMMYFUNCTION("GOOGLETRANSLATE(B35991,""en"",""zh-CN"")"),"显示了一辆经过商业清洗的汽车。")</f>
        <v>显示了一辆经过商业清洗的汽车。</v>
      </c>
    </row>
    <row r="35992">
      <c r="A35992" s="4" t="s">
        <v>45270</v>
      </c>
      <c r="B35992" s="4" t="s">
        <v>45273</v>
      </c>
      <c r="C35992" s="5" t="str">
        <f>IFERROR(__xludf.DUMMYFUNCTION("GOOGLETRANSLATE(B35992,""en"",""zh-CN"")"),"他们在洗车方面做广告。")</f>
        <v>他们在洗车方面做广告。</v>
      </c>
    </row>
    <row r="35993">
      <c r="A35993" s="4" t="s">
        <v>45274</v>
      </c>
      <c r="B35993" s="4" t="s">
        <v>45275</v>
      </c>
      <c r="C35993" s="5" t="str">
        <f>IFERROR(__xludf.DUMMYFUNCTION("GOOGLETRANSLATE(B35993,""en"",""zh-CN"")"),"一个老妇在一家服装店里谈话。")</f>
        <v>一个老妇在一家服装店里谈话。</v>
      </c>
    </row>
    <row r="35994">
      <c r="A35994" s="4" t="s">
        <v>45274</v>
      </c>
      <c r="B35994" s="4" t="s">
        <v>45276</v>
      </c>
      <c r="C35994" s="5" t="str">
        <f>IFERROR(__xludf.DUMMYFUNCTION("GOOGLETRANSLATE(B35994,""en"",""zh-CN"")"),"然后，她在铁板上放了一件衣服，喷水并熨烫衣领。")</f>
        <v>然后，她在铁板上放了一件衣服，喷水并熨烫衣领。</v>
      </c>
    </row>
    <row r="35995">
      <c r="A35995" s="4" t="s">
        <v>45274</v>
      </c>
      <c r="B35995" s="4" t="s">
        <v>45277</v>
      </c>
      <c r="C35995" s="5" t="str">
        <f>IFERROR(__xludf.DUMMYFUNCTION("GOOGLETRANSLATE(B35995,""en"",""zh-CN"")"),"之后，女人屈服了衣服和身体部分的袖子。")</f>
        <v>之后，女人屈服了衣服和身体部分的袖子。</v>
      </c>
    </row>
    <row r="35996">
      <c r="A35996" s="4" t="s">
        <v>45274</v>
      </c>
      <c r="B35996" s="4" t="s">
        <v>45278</v>
      </c>
      <c r="C35996" s="5" t="str">
        <f>IFERROR(__xludf.DUMMYFUNCTION("GOOGLETRANSLATE(B35996,""en"",""zh-CN"")"),"接下来，那个女人展示了熨烫的衣服。")</f>
        <v>接下来，那个女人展示了熨烫的衣服。</v>
      </c>
    </row>
    <row r="35997">
      <c r="A35997" s="4" t="s">
        <v>45279</v>
      </c>
      <c r="B35997" s="4" t="s">
        <v>45280</v>
      </c>
      <c r="C35997" s="5" t="str">
        <f>IFERROR(__xludf.DUMMYFUNCTION("GOOGLETRANSLATE(B35997,""en"",""zh-CN"")"),"一个男人正在墙上挂墙纸。")</f>
        <v>一个男人正在墙上挂墙纸。</v>
      </c>
    </row>
    <row r="35998">
      <c r="A35998" s="4" t="s">
        <v>45279</v>
      </c>
      <c r="B35998" s="4" t="s">
        <v>45281</v>
      </c>
      <c r="C35998" s="5" t="str">
        <f>IFERROR(__xludf.DUMMYFUNCTION("GOOGLETRANSLATE(B35998,""en"",""zh-CN"")"),"他从衬纸上剥离粘性一面。")</f>
        <v>他从衬纸上剥离粘性一面。</v>
      </c>
    </row>
    <row r="35999">
      <c r="A35999" s="4" t="s">
        <v>45279</v>
      </c>
      <c r="B35999" s="4" t="s">
        <v>45282</v>
      </c>
      <c r="C35999" s="5" t="str">
        <f>IFERROR(__xludf.DUMMYFUNCTION("GOOGLETRANSLATE(B35999,""en"",""zh-CN"")"),"他现在将纸的粘性一面涂在墙上。")</f>
        <v>他现在将纸的粘性一面涂在墙上。</v>
      </c>
    </row>
    <row r="36000">
      <c r="A36000" s="4" t="s">
        <v>45279</v>
      </c>
      <c r="B36000" s="4" t="s">
        <v>45283</v>
      </c>
      <c r="C36000" s="5" t="str">
        <f>IFERROR(__xludf.DUMMYFUNCTION("GOOGLETRANSLATE(B36000,""en"",""zh-CN"")"),"他在墙的不同部分重复了几次。")</f>
        <v>他在墙的不同部分重复了几次。</v>
      </c>
    </row>
    <row r="36001">
      <c r="A36001" s="4" t="s">
        <v>45284</v>
      </c>
      <c r="B36001" s="4" t="s">
        <v>45285</v>
      </c>
      <c r="C36001" s="5" t="str">
        <f>IFERROR(__xludf.DUMMYFUNCTION("GOOGLETRANSLATE(B36001,""en"",""zh-CN"")"),"一个新闻女人正在新闻室讲话。")</f>
        <v>一个新闻女人正在新闻室讲话。</v>
      </c>
    </row>
    <row r="36002">
      <c r="A36002" s="4" t="s">
        <v>45284</v>
      </c>
      <c r="B36002" s="4" t="s">
        <v>45286</v>
      </c>
      <c r="C36002" s="5" t="str">
        <f>IFERROR(__xludf.DUMMYFUNCTION("GOOGLETRANSLATE(B36002,""en"",""zh-CN"")"),"然后，我们在屏幕上看到了打破新闻视频。")</f>
        <v>然后，我们在屏幕上看到了打破新闻视频。</v>
      </c>
    </row>
    <row r="36003">
      <c r="A36003" s="4" t="s">
        <v>45284</v>
      </c>
      <c r="B36003" s="6" t="s">
        <v>45287</v>
      </c>
      <c r="C36003" s="5" t="str">
        <f>IFERROR(__xludf.DUMMYFUNCTION("GOOGLETRANSLATE(B36003,""en"",""zh-CN"")"),"一个女人被证明在敢于喝某种液体，而女人轮流喝液体。")</f>
        <v>一个女人被证明在敢于喝某种液体，而女人轮流喝液体。</v>
      </c>
    </row>
    <row r="36004">
      <c r="A36004" s="4" t="s">
        <v>45288</v>
      </c>
      <c r="B36004" s="6" t="s">
        <v>45289</v>
      </c>
      <c r="C36004" s="5" t="str">
        <f>IFERROR(__xludf.DUMMYFUNCTION("GOOGLETRANSLATE(B36004,""en"",""zh-CN"")"),"一个男人和一个女人穿着黑色和红色的女人在一个房间的中间，周围有很多人坐着看着他们。")</f>
        <v>一个男人和一个女人穿着黑色和红色的女人在一个房间的中间，周围有很多人坐着看着他们。</v>
      </c>
    </row>
    <row r="36005">
      <c r="A36005" s="4" t="s">
        <v>45288</v>
      </c>
      <c r="B36005" s="4" t="s">
        <v>45290</v>
      </c>
      <c r="C36005" s="5" t="str">
        <f>IFERROR(__xludf.DUMMYFUNCTION("GOOGLETRANSLATE(B36005,""en"",""zh-CN"")"),"他们一起跳舞和跳舞很好地一起工作。")</f>
        <v>他们一起跳舞和跳舞很好地一起工作。</v>
      </c>
    </row>
    <row r="36006">
      <c r="A36006" s="4" t="s">
        <v>45288</v>
      </c>
      <c r="B36006" s="4" t="s">
        <v>45291</v>
      </c>
      <c r="C36006" s="5" t="str">
        <f>IFERROR(__xludf.DUMMYFUNCTION("GOOGLETRANSLATE(B36006,""en"",""zh-CN"")"),"他们扭曲和转弯，甚至一起做各种不错的动作。")</f>
        <v>他们扭曲和转弯，甚至一起做各种不错的动作。</v>
      </c>
    </row>
    <row r="36007">
      <c r="A36007" s="4" t="s">
        <v>45288</v>
      </c>
      <c r="B36007" s="6" t="s">
        <v>45292</v>
      </c>
      <c r="C36007" s="5" t="str">
        <f>IFERROR(__xludf.DUMMYFUNCTION("GOOGLETRANSLATE(B36007,""en"",""zh-CN"")"),"该男子弯下腰，将女性摇摆在他的背上，在那里她翻转并结束了舞蹈。")</f>
        <v>该男子弯下腰，将女性摇摆在他的背上，在那里她翻转并结束了舞蹈。</v>
      </c>
    </row>
    <row r="36008">
      <c r="A36008" s="4" t="s">
        <v>45293</v>
      </c>
      <c r="B36008" s="4" t="s">
        <v>45294</v>
      </c>
      <c r="C36008" s="5" t="str">
        <f>IFERROR(__xludf.DUMMYFUNCTION("GOOGLETRANSLATE(B36008,""en"",""zh-CN"")"),"一个女孩坐在谈论相机。")</f>
        <v>一个女孩坐在谈论相机。</v>
      </c>
    </row>
    <row r="36009">
      <c r="A36009" s="4" t="s">
        <v>45293</v>
      </c>
      <c r="B36009" s="4" t="s">
        <v>45295</v>
      </c>
      <c r="C36009" s="5" t="str">
        <f>IFERROR(__xludf.DUMMYFUNCTION("GOOGLETRANSLATE(B36009,""en"",""zh-CN"")"),"女孩将相机指向地面。")</f>
        <v>女孩将相机指向地面。</v>
      </c>
    </row>
    <row r="36010">
      <c r="A36010" s="4" t="s">
        <v>45293</v>
      </c>
      <c r="B36010" s="4" t="s">
        <v>45296</v>
      </c>
      <c r="C36010" s="5" t="str">
        <f>IFERROR(__xludf.DUMMYFUNCTION("GOOGLETRANSLATE(B36010,""en"",""zh-CN"")"),"地板上看到另一个女孩的一半修指甲手。")</f>
        <v>地板上看到另一个女孩的一半修指甲手。</v>
      </c>
    </row>
    <row r="36011">
      <c r="A36011" s="4" t="s">
        <v>45293</v>
      </c>
      <c r="B36011" s="4" t="s">
        <v>45297</v>
      </c>
      <c r="C36011" s="5" t="str">
        <f>IFERROR(__xludf.DUMMYFUNCTION("GOOGLETRANSLATE(B36011,""en"",""zh-CN"")"),"第一个女孩继续抛光第二个女孩的指甲。")</f>
        <v>第一个女孩继续抛光第二个女孩的指甲。</v>
      </c>
    </row>
    <row r="36012">
      <c r="A36012" s="4" t="s">
        <v>45298</v>
      </c>
      <c r="B36012" s="4" t="s">
        <v>45299</v>
      </c>
      <c r="C36012" s="5" t="str">
        <f>IFERROR(__xludf.DUMMYFUNCTION("GOOGLETRANSLATE(B36012,""en"",""zh-CN"")"),"啦啦队用右手旋转的杆慷慨地表现。")</f>
        <v>啦啦队用右手旋转的杆慷慨地表现。</v>
      </c>
    </row>
    <row r="36013">
      <c r="A36013" s="4" t="s">
        <v>45298</v>
      </c>
      <c r="B36013" s="4" t="s">
        <v>45300</v>
      </c>
      <c r="C36013" s="5" t="str">
        <f>IFERROR(__xludf.DUMMYFUNCTION("GOOGLETRANSLATE(B36013,""en"",""zh-CN"")"),"然后，她拿另一杆表演并同时旋转。")</f>
        <v>然后，她拿另一杆表演并同时旋转。</v>
      </c>
    </row>
    <row r="36014">
      <c r="A36014" s="4" t="s">
        <v>45298</v>
      </c>
      <c r="B36014" s="4" t="s">
        <v>45301</v>
      </c>
      <c r="C36014" s="5" t="str">
        <f>IFERROR(__xludf.DUMMYFUNCTION("GOOGLETRANSLATE(B36014,""en"",""zh-CN"")"),"之后，啦啦队将一根杆放在地板上，然后继续用一根杆进行表演。")</f>
        <v>之后，啦啦队将一根杆放在地板上，然后继续用一根杆进行表演。</v>
      </c>
    </row>
    <row r="36015">
      <c r="A36015" s="4" t="s">
        <v>45302</v>
      </c>
      <c r="B36015" s="6" t="s">
        <v>45303</v>
      </c>
      <c r="C36015" s="5" t="str">
        <f>IFERROR(__xludf.DUMMYFUNCTION("GOOGLETRANSLATE(B36015,""en"",""zh-CN"")"),"一类孩子在学校里穿着制服，老师站在他们旁边。")</f>
        <v>一类孩子在学校里穿着制服，老师站在他们旁边。</v>
      </c>
    </row>
    <row r="36016">
      <c r="A36016" s="4" t="s">
        <v>45302</v>
      </c>
      <c r="B36016" s="6" t="s">
        <v>45304</v>
      </c>
      <c r="C36016" s="5" t="str">
        <f>IFERROR(__xludf.DUMMYFUNCTION("GOOGLETRANSLATE(B36016,""en"",""zh-CN"")"),"当他们排队时，一个女孩正处于霍普苏格兰威士忌比赛的中间，转过身，结束并排队。")</f>
        <v>当他们排队时，一个女孩正处于霍普苏格兰威士忌比赛的中间，转过身，结束并排队。</v>
      </c>
    </row>
    <row r="36017">
      <c r="A36017" s="4" t="s">
        <v>45302</v>
      </c>
      <c r="B36017" s="4" t="s">
        <v>45305</v>
      </c>
      <c r="C36017" s="5" t="str">
        <f>IFERROR(__xludf.DUMMYFUNCTION("GOOGLETRANSLATE(B36017,""en"",""zh-CN"")"),"一旦她完成，其他所有的孩子都会逐一转弯。")</f>
        <v>一旦她完成，其他所有的孩子都会逐一转弯。</v>
      </c>
    </row>
    <row r="36018">
      <c r="A36018" s="4" t="s">
        <v>45306</v>
      </c>
      <c r="B36018" s="4" t="s">
        <v>45307</v>
      </c>
      <c r="C36018" s="5" t="str">
        <f>IFERROR(__xludf.DUMMYFUNCTION("GOOGLETRANSLATE(B36018,""en"",""zh-CN"")"),"一个戴着眼镜的亚洲男子，一件带有黄色条纹的绿色衬衫坐在房间里说话。")</f>
        <v>一个戴着眼镜的亚洲男子，一件带有黄色条纹的绿色衬衫坐在房间里说话。</v>
      </c>
    </row>
    <row r="36019">
      <c r="A36019" s="4" t="s">
        <v>45306</v>
      </c>
      <c r="B36019" s="6" t="s">
        <v>45308</v>
      </c>
      <c r="C36019" s="5" t="str">
        <f>IFERROR(__xludf.DUMMYFUNCTION("GOOGLETRANSLATE(B36019,""en"",""zh-CN"")"),"仍然拍摄一本书的照片，该男子再次出现，然后在白屏幕上出现了更多黑色文字。")</f>
        <v>仍然拍摄一本书的照片，该男子再次出现，然后在白屏幕上出现了更多黑色文字。</v>
      </c>
    </row>
    <row r="36020">
      <c r="A36020" s="4" t="s">
        <v>45306</v>
      </c>
      <c r="B36020" s="6" t="s">
        <v>45309</v>
      </c>
      <c r="C36020" s="5" t="str">
        <f>IFERROR(__xludf.DUMMYFUNCTION("GOOGLETRANSLATE(B36020,""en"",""zh-CN"")"),"这个男人再次出现，但这次他在户外，他拿着一个非常大的射箭，表现出正确的方式和错误的方式来吸引绳子。")</f>
        <v>这个男人再次出现，但这次他在户外，他拿着一个非常大的射箭，表现出正确的方式和错误的方式来吸引绳子。</v>
      </c>
    </row>
    <row r="36021">
      <c r="A36021" s="4" t="s">
        <v>45306</v>
      </c>
      <c r="B36021" s="6" t="s">
        <v>45310</v>
      </c>
      <c r="C36021" s="5" t="str">
        <f>IFERROR(__xludf.DUMMYFUNCTION("GOOGLETRANSLATE(B36021,""en"",""zh-CN"")"),"然后，该男子移动植物并站立，以便他站在他们两个之间的地面上，他开始握住射箭，并展示了不同的方式来持有它。")</f>
        <v>然后，该男子移动植物并站立，以便他站在他们两个之间的地面上，他开始握住射箭，并展示了不同的方式来持有它。</v>
      </c>
    </row>
    <row r="36022">
      <c r="A36022" s="4" t="s">
        <v>45306</v>
      </c>
      <c r="B36022" s="4" t="s">
        <v>45311</v>
      </c>
      <c r="C36022" s="5" t="str">
        <f>IFERROR(__xludf.DUMMYFUNCTION("GOOGLETRANSLATE(B36022,""en"",""zh-CN"")"),"这个男人再次出现在室内，坐下来聊天。")</f>
        <v>这个男人再次出现在室内，坐下来聊天。</v>
      </c>
    </row>
    <row r="36023">
      <c r="A36023" s="4" t="s">
        <v>45312</v>
      </c>
      <c r="B36023" s="4" t="s">
        <v>45313</v>
      </c>
      <c r="C36023" s="5" t="str">
        <f>IFERROR(__xludf.DUMMYFUNCTION("GOOGLETRANSLATE(B36023,""en"",""zh-CN"")"),"看到一个年轻人看着拿着牙刷的相机。")</f>
        <v>看到一个年轻人看着拿着牙刷的相机。</v>
      </c>
    </row>
    <row r="36024">
      <c r="A36024" s="4" t="s">
        <v>45312</v>
      </c>
      <c r="B36024" s="4" t="s">
        <v>45314</v>
      </c>
      <c r="C36024" s="5" t="str">
        <f>IFERROR(__xludf.DUMMYFUNCTION("GOOGLETRANSLATE(B36024,""en"",""zh-CN"")"),"然后，该男子开始用几枪刷牙。")</f>
        <v>然后，该男子开始用几枪刷牙。</v>
      </c>
    </row>
    <row r="36025">
      <c r="A36025" s="4" t="s">
        <v>45312</v>
      </c>
      <c r="B36025" s="4" t="s">
        <v>45315</v>
      </c>
      <c r="C36025" s="5" t="str">
        <f>IFERROR(__xludf.DUMMYFUNCTION("GOOGLETRANSLATE(B36025,""en"",""zh-CN"")"),"他继续刷牙，最后露出嘴。")</f>
        <v>他继续刷牙，最后露出嘴。</v>
      </c>
    </row>
    <row r="36026">
      <c r="A36026" s="4" t="s">
        <v>45316</v>
      </c>
      <c r="B36026" s="4" t="s">
        <v>45317</v>
      </c>
      <c r="C36026" s="5" t="str">
        <f>IFERROR(__xludf.DUMMYFUNCTION("GOOGLETRANSLATE(B36026,""en"",""zh-CN"")"),"一名运动员急切地等待着轮到他，而法官为他的日常工作做准备。")</f>
        <v>一名运动员急切地等待着轮到他，而法官为他的日常工作做准备。</v>
      </c>
    </row>
    <row r="36027">
      <c r="A36027" s="4" t="s">
        <v>45316</v>
      </c>
      <c r="B36027" s="4" t="s">
        <v>45318</v>
      </c>
      <c r="C36027" s="5" t="str">
        <f>IFERROR(__xludf.DUMMYFUNCTION("GOOGLETRANSLATE(B36027,""en"",""zh-CN"")"),"一位外国评论员对他的日常工作发表评论，当时他在空中翻转。")</f>
        <v>一位外国评论员对他的日常工作发表评论，当时他在空中翻转。</v>
      </c>
    </row>
    <row r="36028">
      <c r="A36028" s="4" t="s">
        <v>45316</v>
      </c>
      <c r="B36028" s="6" t="s">
        <v>45319</v>
      </c>
      <c r="C36028" s="5" t="str">
        <f>IFERROR(__xludf.DUMMYFUNCTION("GOOGLETRANSLATE(B36028,""en"",""zh-CN"")"),"该名男子继续在酒吧上旋转并翻转他的体操例程，而听众大声欢呼。")</f>
        <v>该名男子继续在酒吧上旋转并翻转他的体操例程，而听众大声欢呼。</v>
      </c>
    </row>
    <row r="36029">
      <c r="A36029" s="4" t="s">
        <v>45316</v>
      </c>
      <c r="B36029" s="4" t="s">
        <v>45320</v>
      </c>
      <c r="C36029" s="5" t="str">
        <f>IFERROR(__xludf.DUMMYFUNCTION("GOOGLETRANSLATE(B36029,""en"",""zh-CN"")"),"视频放慢了脚步，并以慢动作显示了例程的亮点。")</f>
        <v>视频放慢了脚步，并以慢动作显示了例程的亮点。</v>
      </c>
    </row>
    <row r="36030">
      <c r="A36030" s="4" t="s">
        <v>45316</v>
      </c>
      <c r="B36030" s="4" t="s">
        <v>45321</v>
      </c>
      <c r="C36030" s="5" t="str">
        <f>IFERROR(__xludf.DUMMYFUNCTION("GOOGLETRANSLATE(B36030,""en"",""zh-CN"")"),"运动员坐在沙发上，而评委们完成了批评。")</f>
        <v>运动员坐在沙发上，而评委们完成了批评。</v>
      </c>
    </row>
    <row r="36031">
      <c r="A36031" s="4" t="s">
        <v>45316</v>
      </c>
      <c r="B36031" s="4" t="s">
        <v>45322</v>
      </c>
      <c r="C36031" s="5" t="str">
        <f>IFERROR(__xludf.DUMMYFUNCTION("GOOGLETRANSLATE(B36031,""en"",""zh-CN"")"),"最终，该男子听到他的分数，并令人愉悦。")</f>
        <v>最终，该男子听到他的分数，并令人愉悦。</v>
      </c>
    </row>
    <row r="36032">
      <c r="A36032" s="4" t="s">
        <v>45323</v>
      </c>
      <c r="B36032" s="6" t="s">
        <v>45324</v>
      </c>
      <c r="C36032" s="5" t="str">
        <f>IFERROR(__xludf.DUMMYFUNCTION("GOOGLETRANSLATE(B36032,""en"",""zh-CN"")"),"看到一个年轻的女孩坐在镜头前，脸前有几个物体。")</f>
        <v>看到一个年轻的女孩坐在镜头前，脸前有几个物体。</v>
      </c>
    </row>
    <row r="36033">
      <c r="A36033" s="4" t="s">
        <v>45323</v>
      </c>
      <c r="B36033" s="4" t="s">
        <v>45325</v>
      </c>
      <c r="C36033" s="5" t="str">
        <f>IFERROR(__xludf.DUMMYFUNCTION("GOOGLETRANSLATE(B36033,""en"",""zh-CN"")"),"两只手将管子穿过她旁边，然后女人将管子放在女孩的头发中。")</f>
        <v>两只手将管子穿过她旁边，然后女人将管子放在女孩的头发中。</v>
      </c>
    </row>
    <row r="36034">
      <c r="A36034" s="4" t="s">
        <v>45323</v>
      </c>
      <c r="B36034" s="4" t="s">
        <v>45326</v>
      </c>
      <c r="C36034" s="5" t="str">
        <f>IFERROR(__xludf.DUMMYFUNCTION("GOOGLETRANSLATE(B36034,""en"",""zh-CN"")"),"最后，女人将管子拿出来，女孩继续看着相机。")</f>
        <v>最后，女人将管子拿出来，女孩继续看着相机。</v>
      </c>
    </row>
    <row r="36035">
      <c r="A36035" s="4" t="s">
        <v>45327</v>
      </c>
      <c r="B36035" s="4" t="s">
        <v>45328</v>
      </c>
      <c r="C36035" s="5" t="str">
        <f>IFERROR(__xludf.DUMMYFUNCTION("GOOGLETRANSLATE(B36035,""en"",""zh-CN"")"),"一个女孩开始爬上猴子酒吧。")</f>
        <v>一个女孩开始爬上猴子酒吧。</v>
      </c>
    </row>
    <row r="36036">
      <c r="A36036" s="4" t="s">
        <v>45327</v>
      </c>
      <c r="B36036" s="4" t="s">
        <v>45329</v>
      </c>
      <c r="C36036" s="5" t="str">
        <f>IFERROR(__xludf.DUMMYFUNCTION("GOOGLETRANSLATE(B36036,""en"",""zh-CN"")"),"她开始向前爬到尽头。")</f>
        <v>她开始向前爬到尽头。</v>
      </c>
    </row>
    <row r="36037">
      <c r="A36037" s="4" t="s">
        <v>45327</v>
      </c>
      <c r="B36037" s="4" t="s">
        <v>45330</v>
      </c>
      <c r="C36037" s="5" t="str">
        <f>IFERROR(__xludf.DUMMYFUNCTION("GOOGLETRANSLATE(B36037,""en"",""zh-CN"")"),"她在酒吧中间有困难。")</f>
        <v>她在酒吧中间有困难。</v>
      </c>
    </row>
    <row r="36038">
      <c r="A36038" s="4" t="s">
        <v>45327</v>
      </c>
      <c r="B36038" s="4" t="s">
        <v>45331</v>
      </c>
      <c r="C36038" s="5" t="str">
        <f>IFERROR(__xludf.DUMMYFUNCTION("GOOGLETRANSLATE(B36038,""en"",""zh-CN"")"),"一个女人似乎寻求帮助。")</f>
        <v>一个女人似乎寻求帮助。</v>
      </c>
    </row>
    <row r="36039">
      <c r="A36039" s="4" t="s">
        <v>45327</v>
      </c>
      <c r="B36039" s="4" t="s">
        <v>45332</v>
      </c>
      <c r="C36039" s="5" t="str">
        <f>IFERROR(__xludf.DUMMYFUNCTION("GOOGLETRANSLATE(B36039,""en"",""zh-CN"")"),"她非常高兴完成攀登。")</f>
        <v>她非常高兴完成攀登。</v>
      </c>
    </row>
    <row r="36040">
      <c r="A36040" s="4" t="s">
        <v>45333</v>
      </c>
      <c r="B36040" s="4" t="s">
        <v>45334</v>
      </c>
      <c r="C36040" s="5" t="str">
        <f>IFERROR(__xludf.DUMMYFUNCTION("GOOGLETRANSLATE(B36040,""en"",""zh-CN"")"),"一个人正在拍摄房子和一条狗走进框架。")</f>
        <v>一个人正在拍摄房子和一条狗走进框架。</v>
      </c>
    </row>
    <row r="36041">
      <c r="A36041" s="4" t="s">
        <v>45333</v>
      </c>
      <c r="B36041" s="4" t="s">
        <v>45335</v>
      </c>
      <c r="C36041" s="5" t="str">
        <f>IFERROR(__xludf.DUMMYFUNCTION("GOOGLETRANSLATE(B36041,""en"",""zh-CN"")"),"一个小女孩用拖把洗地板，然后与摄影师说话。")</f>
        <v>一个小女孩用拖把洗地板，然后与摄影师说话。</v>
      </c>
    </row>
    <row r="36042">
      <c r="A36042" s="4" t="s">
        <v>45333</v>
      </c>
      <c r="B36042" s="4" t="s">
        <v>45336</v>
      </c>
      <c r="C36042" s="5" t="str">
        <f>IFERROR(__xludf.DUMMYFUNCTION("GOOGLETRANSLATE(B36042,""en"",""zh-CN"")"),"相机男人与女孩谈论清洁以及为什么喜欢它。")</f>
        <v>相机男人与女孩谈论清洁以及为什么喜欢它。</v>
      </c>
    </row>
    <row r="36043">
      <c r="A36043" s="4" t="s">
        <v>45333</v>
      </c>
      <c r="B36043" s="4" t="s">
        <v>45337</v>
      </c>
      <c r="C36043" s="5" t="str">
        <f>IFERROR(__xludf.DUMMYFUNCTION("GOOGLETRANSLATE(B36043,""en"",""zh-CN"")"),"女孩完成地板。")</f>
        <v>女孩完成地板。</v>
      </c>
    </row>
    <row r="36044">
      <c r="A36044" s="4" t="s">
        <v>45338</v>
      </c>
      <c r="B36044" s="4" t="s">
        <v>45339</v>
      </c>
      <c r="C36044" s="5" t="str">
        <f>IFERROR(__xludf.DUMMYFUNCTION("GOOGLETRANSLATE(B36044,""en"",""zh-CN"")"),"介绍出现在屏幕上，以获取有关跳绳比赛的视频。")</f>
        <v>介绍出现在屏幕上，以获取有关跳绳比赛的视频。</v>
      </c>
    </row>
    <row r="36045">
      <c r="A36045" s="4" t="s">
        <v>45338</v>
      </c>
      <c r="B36045" s="4" t="s">
        <v>45340</v>
      </c>
      <c r="C36045" s="5" t="str">
        <f>IFERROR(__xludf.DUMMYFUNCTION("GOOGLETRANSLATE(B36045,""en"",""zh-CN"")"),"显示一个人在做一组跳绳技巧。")</f>
        <v>显示一个人在做一组跳绳技巧。</v>
      </c>
    </row>
    <row r="36046">
      <c r="A36046" s="4" t="s">
        <v>45338</v>
      </c>
      <c r="B36046" s="4" t="s">
        <v>45341</v>
      </c>
      <c r="C36046" s="5" t="str">
        <f>IFERROR(__xludf.DUMMYFUNCTION("GOOGLETRANSLATE(B36046,""en"",""zh-CN"")"),"然后显示两个人做更多的跳绳技巧。")</f>
        <v>然后显示两个人做更多的跳绳技巧。</v>
      </c>
    </row>
    <row r="36047">
      <c r="A36047" s="4" t="s">
        <v>45338</v>
      </c>
      <c r="B36047" s="4" t="s">
        <v>45342</v>
      </c>
      <c r="C36047" s="5" t="str">
        <f>IFERROR(__xludf.DUMMYFUNCTION("GOOGLETRANSLATE(B36047,""en"",""zh-CN"")"),"接下来，显示四个人在体育馆中进行跳绳窍门。")</f>
        <v>接下来，显示四个人在体育馆中进行跳绳窍门。</v>
      </c>
    </row>
    <row r="36048">
      <c r="A36048" s="4" t="s">
        <v>45338</v>
      </c>
      <c r="B36048" s="6" t="s">
        <v>45343</v>
      </c>
      <c r="C36048" s="5" t="str">
        <f>IFERROR(__xludf.DUMMYFUNCTION("GOOGLETRANSLATE(B36048,""en"",""zh-CN"")"),"接下来，在体育馆的地板上，几个不同的人都将显示各种技巧。")</f>
        <v>接下来，在体育馆的地板上，几个不同的人都将显示各种技巧。</v>
      </c>
    </row>
    <row r="36049">
      <c r="A36049" s="4" t="s">
        <v>45338</v>
      </c>
      <c r="B36049" s="4" t="s">
        <v>45344</v>
      </c>
      <c r="C36049" s="5" t="str">
        <f>IFERROR(__xludf.DUMMYFUNCTION("GOOGLETRANSLATE(B36049,""en"",""zh-CN"")"),"然后，视频以结束信用结束。")</f>
        <v>然后，视频以结束信用结束。</v>
      </c>
    </row>
    <row r="36050">
      <c r="A36050" s="4" t="s">
        <v>45345</v>
      </c>
      <c r="B36050" s="4" t="s">
        <v>45346</v>
      </c>
      <c r="C36050" s="5" t="str">
        <f>IFERROR(__xludf.DUMMYFUNCTION("GOOGLETRANSLATE(B36050,""en"",""zh-CN"")"),"我们看到一个红色的打开屏幕。")</f>
        <v>我们看到一个红色的打开屏幕。</v>
      </c>
    </row>
    <row r="36051">
      <c r="A36051" s="4" t="s">
        <v>45345</v>
      </c>
      <c r="B36051" s="4" t="s">
        <v>45347</v>
      </c>
      <c r="C36051" s="5" t="str">
        <f>IFERROR(__xludf.DUMMYFUNCTION("GOOGLETRANSLATE(B36051,""en"",""zh-CN"")"),"男子撑杆跳在室外场。")</f>
        <v>男子撑杆跳在室外场。</v>
      </c>
    </row>
    <row r="36052">
      <c r="A36052" s="4" t="s">
        <v>45345</v>
      </c>
      <c r="B36052" s="4" t="s">
        <v>45348</v>
      </c>
      <c r="C36052" s="5" t="str">
        <f>IFERROR(__xludf.DUMMYFUNCTION("GOOGLETRANSLATE(B36052,""en"",""zh-CN"")"),"屏幕左侧的一个人的脸向后移动。")</f>
        <v>屏幕左侧的一个人的脸向后移动。</v>
      </c>
    </row>
    <row r="36053">
      <c r="A36053" s="4" t="s">
        <v>45345</v>
      </c>
      <c r="B36053" s="4" t="s">
        <v>45349</v>
      </c>
      <c r="C36053" s="5" t="str">
        <f>IFERROR(__xludf.DUMMYFUNCTION("GOOGLETRANSLATE(B36053,""en"",""zh-CN"")"),"相机角度变化，我们继续观看男子撑杆跳。")</f>
        <v>相机角度变化，我们继续观看男子撑杆跳。</v>
      </c>
    </row>
    <row r="36054">
      <c r="A36054" s="4" t="s">
        <v>45350</v>
      </c>
      <c r="B36054" s="4" t="s">
        <v>45351</v>
      </c>
      <c r="C36054" s="5" t="str">
        <f>IFERROR(__xludf.DUMMYFUNCTION("GOOGLETRANSLATE(B36054,""en"",""zh-CN"")"),"看到一个男人在手里拿着几个绿色的飞盘时讲课。")</f>
        <v>看到一个男人在手里拿着几个绿色的飞盘时讲课。</v>
      </c>
    </row>
    <row r="36055">
      <c r="A36055" s="4" t="s">
        <v>45350</v>
      </c>
      <c r="B36055" s="4" t="s">
        <v>45352</v>
      </c>
      <c r="C36055" s="5" t="str">
        <f>IFERROR(__xludf.DUMMYFUNCTION("GOOGLETRANSLATE(B36055,""en"",""zh-CN"")"),"与人群交谈后，他呼唤，一只狗在舞台上跑了出来。")</f>
        <v>与人群交谈后，他呼唤，一只狗在舞台上跑了出来。</v>
      </c>
    </row>
    <row r="36056">
      <c r="A36056" s="4" t="s">
        <v>45350</v>
      </c>
      <c r="B36056" s="6" t="s">
        <v>45353</v>
      </c>
      <c r="C36056" s="5" t="str">
        <f>IFERROR(__xludf.DUMMYFUNCTION("GOOGLETRANSLATE(B36056,""en"",""zh-CN"")"),"最初，他开始和那只狗一起玩耍，那只狗一直试图抓住男人的飞盘，而那个人将飞盘扔在地上，开始与狗玩耍。")</f>
        <v>最初，他开始和那只狗一起玩耍，那只狗一直试图抓住男人的飞盘，而那个人将飞盘扔在地上，开始与狗玩耍。</v>
      </c>
    </row>
    <row r="36057">
      <c r="A36057" s="4" t="s">
        <v>45350</v>
      </c>
      <c r="B36057" s="4" t="s">
        <v>45354</v>
      </c>
      <c r="C36057" s="5" t="str">
        <f>IFERROR(__xludf.DUMMYFUNCTION("GOOGLETRANSLATE(B36057,""en"",""zh-CN"")"),"有一次，当狗追赶飞盘时，狗开始从男人身上跳下来。")</f>
        <v>有一次，当狗追赶飞盘时，狗开始从男人身上跳下来。</v>
      </c>
    </row>
    <row r="36058">
      <c r="A36058" s="4" t="s">
        <v>45350</v>
      </c>
      <c r="B36058" s="6" t="s">
        <v>45355</v>
      </c>
      <c r="C36058" s="5" t="str">
        <f>IFERROR(__xludf.DUMMYFUNCTION("GOOGLETRANSLATE(B36058,""en"",""zh-CN"")"),"同样在另一个角度，该人一端抓住了飞盘，另一端抓住了一只狗，他开始旋转狗。")</f>
        <v>同样在另一个角度，该人一端抓住了飞盘，另一端抓住了一只狗，他开始旋转狗。</v>
      </c>
    </row>
    <row r="36059">
      <c r="A36059" s="4" t="s">
        <v>45350</v>
      </c>
      <c r="B36059" s="6" t="s">
        <v>45356</v>
      </c>
      <c r="C36059" s="5" t="str">
        <f>IFERROR(__xludf.DUMMYFUNCTION("GOOGLETRANSLATE(B36059,""en"",""zh-CN"")"),"最后，该男子与狗一起表演了一个技巧，使他做了后背，抓住他并将他带出舞台。")</f>
        <v>最后，该男子与狗一起表演了一个技巧，使他做了后背，抓住他并将他带出舞台。</v>
      </c>
    </row>
    <row r="36060">
      <c r="A36060" s="4" t="s">
        <v>45357</v>
      </c>
      <c r="B36060" s="4" t="s">
        <v>45358</v>
      </c>
      <c r="C36060" s="5" t="str">
        <f>IFERROR(__xludf.DUMMYFUNCTION("GOOGLETRANSLATE(B36060,""en"",""zh-CN"")"),"一个婴儿坐在高高的椅子上。")</f>
        <v>一个婴儿坐在高高的椅子上。</v>
      </c>
    </row>
    <row r="36061">
      <c r="A36061" s="4" t="s">
        <v>45357</v>
      </c>
      <c r="B36061" s="4" t="s">
        <v>45359</v>
      </c>
      <c r="C36061" s="5" t="str">
        <f>IFERROR(__xludf.DUMMYFUNCTION("GOOGLETRANSLATE(B36061,""en"",""zh-CN"")"),"冰淇淋弹出嘴里，她从中咬了一口。")</f>
        <v>冰淇淋弹出嘴里，她从中咬了一口。</v>
      </c>
    </row>
    <row r="36062">
      <c r="A36062" s="4" t="s">
        <v>45357</v>
      </c>
      <c r="B36062" s="4" t="s">
        <v>45360</v>
      </c>
      <c r="C36062" s="5" t="str">
        <f>IFERROR(__xludf.DUMMYFUNCTION("GOOGLETRANSLATE(B36062,""en"",""zh-CN"")"),"每次叮咬后，她都伸出舌头，舔着空中。")</f>
        <v>每次叮咬后，她都伸出舌头，舔着空中。</v>
      </c>
    </row>
    <row r="36063">
      <c r="A36063" s="4" t="s">
        <v>45361</v>
      </c>
      <c r="B36063" s="4" t="s">
        <v>45362</v>
      </c>
      <c r="C36063" s="5" t="str">
        <f>IFERROR(__xludf.DUMMYFUNCTION("GOOGLETRANSLATE(B36063,""en"",""zh-CN"")"),"一个人清理木板时，他拿着一个黄色的罐。")</f>
        <v>一个人清理木板时，他拿着一个黄色的罐。</v>
      </c>
    </row>
    <row r="36064">
      <c r="A36064" s="4" t="s">
        <v>45361</v>
      </c>
      <c r="B36064" s="4" t="s">
        <v>45363</v>
      </c>
      <c r="C36064" s="5" t="str">
        <f>IFERROR(__xludf.DUMMYFUNCTION("GOOGLETRANSLATE(B36064,""en"",""zh-CN"")"),"他用黄色的罐子喷洒木头。")</f>
        <v>他用黄色的罐子喷洒木头。</v>
      </c>
    </row>
    <row r="36065">
      <c r="A36065" s="4" t="s">
        <v>45361</v>
      </c>
      <c r="B36065" s="4" t="s">
        <v>45364</v>
      </c>
      <c r="C36065" s="5" t="str">
        <f>IFERROR(__xludf.DUMMYFUNCTION("GOOGLETRANSLATE(B36065,""en"",""zh-CN"")"),"他拿起抹布并清洁木头。")</f>
        <v>他拿起抹布并清洁木头。</v>
      </c>
    </row>
    <row r="36066">
      <c r="A36066" s="4" t="s">
        <v>45361</v>
      </c>
      <c r="B36066" s="4" t="s">
        <v>45365</v>
      </c>
      <c r="C36066" s="5" t="str">
        <f>IFERROR(__xludf.DUMMYFUNCTION("GOOGLETRANSLATE(B36066,""en"",""zh-CN"")"),"当他展示木头并将手指按在木板上时，他说话。")</f>
        <v>当他展示木头并将手指按在木板上时，他说话。</v>
      </c>
    </row>
    <row r="36067">
      <c r="A36067" s="4" t="s">
        <v>45366</v>
      </c>
      <c r="B36067" s="4" t="s">
        <v>45367</v>
      </c>
      <c r="C36067" s="5" t="str">
        <f>IFERROR(__xludf.DUMMYFUNCTION("GOOGLETRANSLATE(B36067,""en"",""zh-CN"")"),"显示了建筑物的外部，包括前门附近的挥舞着美国国旗。")</f>
        <v>显示了建筑物的外部，包括前门附近的挥舞着美国国旗。</v>
      </c>
    </row>
    <row r="36068">
      <c r="A36068" s="4" t="s">
        <v>45366</v>
      </c>
      <c r="B36068" s="4" t="s">
        <v>45368</v>
      </c>
      <c r="C36068" s="5" t="str">
        <f>IFERROR(__xludf.DUMMYFUNCTION("GOOGLETRANSLATE(B36068,""en"",""zh-CN"")"),"一个人出现，谈论建筑物前面的一棵树。")</f>
        <v>一个人出现，谈论建筑物前面的一棵树。</v>
      </c>
    </row>
    <row r="36069">
      <c r="A36069" s="4" t="s">
        <v>45366</v>
      </c>
      <c r="B36069" s="6" t="s">
        <v>45369</v>
      </c>
      <c r="C36069" s="5" t="str">
        <f>IFERROR(__xludf.DUMMYFUNCTION("GOOGLETRANSLATE(B36069,""en"",""zh-CN"")"),"然后，他演示了如何修剪树木，在眼睛水平上摘下树枝，并使用工具进行较高的树枝。")</f>
        <v>然后，他演示了如何修剪树木，在眼睛水平上摘下树枝，并使用工具进行较高的树枝。</v>
      </c>
    </row>
    <row r="36070">
      <c r="A36070" s="4" t="s">
        <v>45366</v>
      </c>
      <c r="B36070" s="4" t="s">
        <v>45370</v>
      </c>
      <c r="C36070" s="5" t="str">
        <f>IFERROR(__xludf.DUMMYFUNCTION("GOOGLETRANSLATE(B36070,""en"",""zh-CN"")"),"然后，戴在叶子上的台阶上显示了公司帽子。")</f>
        <v>然后，戴在叶子上的台阶上显示了公司帽子。</v>
      </c>
    </row>
    <row r="36071">
      <c r="A36071" s="4" t="s">
        <v>45371</v>
      </c>
      <c r="B36071" s="6" t="s">
        <v>45372</v>
      </c>
      <c r="C36071" s="5" t="str">
        <f>IFERROR(__xludf.DUMMYFUNCTION("GOOGLETRANSLATE(B36071,""en"",""zh-CN"")"),"在桑迪田（Sandy Field）的中心，有奶牛在中心战斗，而观众则坐在地面上。")</f>
        <v>在桑迪田（Sandy Field）的中心，有奶牛在中心战斗，而观众则坐在地面上。</v>
      </c>
    </row>
    <row r="36072">
      <c r="A36072" s="4" t="s">
        <v>45371</v>
      </c>
      <c r="B36072" s="4" t="s">
        <v>45373</v>
      </c>
      <c r="C36072" s="5" t="str">
        <f>IFERROR(__xludf.DUMMYFUNCTION("GOOGLETRANSLATE(B36072,""en"",""zh-CN"")"),"三个人正在监督斗牛，公牛用角互相推动。")</f>
        <v>三个人正在监督斗牛，公牛用角互相推动。</v>
      </c>
    </row>
    <row r="36073">
      <c r="A36073" s="4" t="s">
        <v>45371</v>
      </c>
      <c r="B36073" s="6" t="s">
        <v>45374</v>
      </c>
      <c r="C36073" s="5" t="str">
        <f>IFERROR(__xludf.DUMMYFUNCTION("GOOGLETRANSLATE(B36073,""en"",""zh-CN"")"),"一个男人从卡车上下车，另一个男人把公牛从卡车上拉下来，公牛被绑在一把杆子上。")</f>
        <v>一个男人从卡车上下车，另一个男人把公牛从卡车上拉下来，公牛被绑在一把杆子上。</v>
      </c>
    </row>
    <row r="36074">
      <c r="A36074" s="4" t="s">
        <v>45371</v>
      </c>
      <c r="B36074" s="4" t="s">
        <v>45375</v>
      </c>
      <c r="C36074" s="5" t="str">
        <f>IFERROR(__xludf.DUMMYFUNCTION("GOOGLETRANSLATE(B36074,""en"",""zh-CN"")"),"当黑牛在地面上陷入困境时，有两个人握住绳索的两端。")</f>
        <v>当黑牛在地面上陷入困境时，有两个人握住绳索的两端。</v>
      </c>
    </row>
    <row r="36075">
      <c r="A36075" s="4" t="s">
        <v>45371</v>
      </c>
      <c r="B36075" s="6" t="s">
        <v>45376</v>
      </c>
      <c r="C36075" s="5" t="str">
        <f>IFERROR(__xludf.DUMMYFUNCTION("GOOGLETRANSLATE(B36075,""en"",""zh-CN"")"),"公牛队在田野的中心战斗，人民正在注视着一头公牛向观众奔跑。")</f>
        <v>公牛队在田野的中心战斗，人民正在注视着一头公牛向观众奔跑。</v>
      </c>
    </row>
    <row r="36076">
      <c r="A36076" s="4" t="s">
        <v>45377</v>
      </c>
      <c r="B36076" s="6" t="s">
        <v>45378</v>
      </c>
      <c r="C36076" s="5" t="str">
        <f>IFERROR(__xludf.DUMMYFUNCTION("GOOGLETRANSLATE(B36076,""en"",""zh-CN"")"),"出现了从船上拿走的宽阔海洋的景色，并显示了各种男人在内部和外部的船上做不同的事情，包括转向车轮上的甲板，或坐在计算机上监视物品。")</f>
        <v>出现了从船上拿走的宽阔海洋的景色，并显示了各种男人在内部和外部的船上做不同的事情，包括转向车轮上的甲板，或坐在计算机上监视物品。</v>
      </c>
    </row>
    <row r="36077">
      <c r="A36077" s="4" t="s">
        <v>45377</v>
      </c>
      <c r="B36077" s="6" t="s">
        <v>45379</v>
      </c>
      <c r="C36077" s="5" t="str">
        <f>IFERROR(__xludf.DUMMYFUNCTION("GOOGLETRANSLATE(B36077,""en"",""zh-CN"")"),"一个坐在船甲板上的男人正在与镜头说话，而身后的一个人站着，那个站立的人旁边的人控制着船的方向盘。")</f>
        <v>一个坐在船甲板上的男人正在与镜头说话，而身后的一个人站着，那个站立的人旁边的人控制着船的方向盘。</v>
      </c>
    </row>
    <row r="36078">
      <c r="A36078" s="4" t="s">
        <v>45377</v>
      </c>
      <c r="B36078" s="4" t="s">
        <v>45380</v>
      </c>
      <c r="C36078" s="5" t="str">
        <f>IFERROR(__xludf.DUMMYFUNCTION("GOOGLETRANSLATE(B36078,""en"",""zh-CN"")"),"焦点变成了船上的另一个男人，他也在与镜头交谈。")</f>
        <v>焦点变成了船上的另一个男人，他也在与镜头交谈。</v>
      </c>
    </row>
    <row r="36079">
      <c r="A36079" s="4" t="s">
        <v>45381</v>
      </c>
      <c r="B36079" s="4" t="s">
        <v>45382</v>
      </c>
      <c r="C36079" s="5" t="str">
        <f>IFERROR(__xludf.DUMMYFUNCTION("GOOGLETRANSLATE(B36079,""en"",""zh-CN"")"),"一名亚洲妇女穿着像衣服这样的粉红色的亚麻布，站在一个大田野里。")</f>
        <v>一名亚洲妇女穿着像衣服这样的粉红色的亚麻布，站在一个大田野里。</v>
      </c>
    </row>
    <row r="36080">
      <c r="A36080" s="4" t="s">
        <v>45381</v>
      </c>
      <c r="B36080" s="4" t="s">
        <v>45383</v>
      </c>
      <c r="C36080" s="5" t="str">
        <f>IFERROR(__xludf.DUMMYFUNCTION("GOOGLETRANSLATE(B36080,""en"",""zh-CN"")"),"然后，她将双腿和双手伸出来，开始像忍者一样在整个领域的忍者移动。")</f>
        <v>然后，她将双腿和双手伸出来，开始像忍者一样在整个领域的忍者移动。</v>
      </c>
    </row>
    <row r="36081">
      <c r="A36081" s="4" t="s">
        <v>45381</v>
      </c>
      <c r="B36081" s="6" t="s">
        <v>45384</v>
      </c>
      <c r="C36081" s="5" t="str">
        <f>IFERROR(__xludf.DUMMYFUNCTION("GOOGLETRANSLATE(B36081,""en"",""zh-CN"")"),"在她向左和向右移动到田野后，她回到场的中间，站着静止地完成例行工作。")</f>
        <v>在她向左和向右移动到田野后，她回到场的中间，站着静止地完成例行工作。</v>
      </c>
    </row>
    <row r="36082">
      <c r="A36082" s="4" t="s">
        <v>45385</v>
      </c>
      <c r="B36082" s="4" t="s">
        <v>45386</v>
      </c>
      <c r="C36082" s="5" t="str">
        <f>IFERROR(__xludf.DUMMYFUNCTION("GOOGLETRANSLATE(B36082,""en"",""zh-CN"")"),"一件穿着橙色衬衫的女人正在喝一杯啤酒。")</f>
        <v>一件穿着橙色衬衫的女人正在喝一杯啤酒。</v>
      </c>
    </row>
    <row r="36083">
      <c r="A36083" s="4" t="s">
        <v>45385</v>
      </c>
      <c r="B36083" s="4" t="s">
        <v>45387</v>
      </c>
      <c r="C36083" s="5" t="str">
        <f>IFERROR(__xludf.DUMMYFUNCTION("GOOGLETRANSLATE(B36083,""en"",""zh-CN"")"),"啤酒倾倒在她的衬衫的前面。")</f>
        <v>啤酒倾倒在她的衬衫的前面。</v>
      </c>
    </row>
    <row r="36084">
      <c r="A36084" s="4" t="s">
        <v>45385</v>
      </c>
      <c r="B36084" s="4" t="s">
        <v>45388</v>
      </c>
      <c r="C36084" s="5" t="str">
        <f>IFERROR(__xludf.DUMMYFUNCTION("GOOGLETRANSLATE(B36084,""en"",""zh-CN"")"),"她背后的人在跳舞。")</f>
        <v>她背后的人在跳舞。</v>
      </c>
    </row>
    <row r="36085">
      <c r="A36085" s="4" t="s">
        <v>45385</v>
      </c>
      <c r="B36085" s="4" t="s">
        <v>45389</v>
      </c>
      <c r="C36085" s="5" t="str">
        <f>IFERROR(__xludf.DUMMYFUNCTION("GOOGLETRANSLATE(B36085,""en"",""zh-CN"")"),"她完成了饮料并将其放下。")</f>
        <v>她完成了饮料并将其放下。</v>
      </c>
    </row>
    <row r="36086">
      <c r="A36086" s="4" t="s">
        <v>45390</v>
      </c>
      <c r="B36086" s="4" t="s">
        <v>45391</v>
      </c>
      <c r="C36086" s="5" t="str">
        <f>IFERROR(__xludf.DUMMYFUNCTION("GOOGLETRANSLATE(B36086,""en"",""zh-CN"")"),"穿着棕褐色衬衫的男人在说话。")</f>
        <v>穿着棕褐色衬衫的男人在说话。</v>
      </c>
    </row>
    <row r="36087">
      <c r="A36087" s="4" t="s">
        <v>45390</v>
      </c>
      <c r="B36087" s="4" t="s">
        <v>45392</v>
      </c>
      <c r="C36087" s="5" t="str">
        <f>IFERROR(__xludf.DUMMYFUNCTION("GOOGLETRANSLATE(B36087,""en"",""zh-CN"")"),"他把网球球拍放到地上。")</f>
        <v>他把网球球拍放到地上。</v>
      </c>
    </row>
    <row r="36088">
      <c r="A36088" s="4" t="s">
        <v>45390</v>
      </c>
      <c r="B36088" s="4" t="s">
        <v>45393</v>
      </c>
      <c r="C36088" s="5" t="str">
        <f>IFERROR(__xludf.DUMMYFUNCTION("GOOGLETRANSLATE(B36088,""en"",""zh-CN"")"),"另一个男子在网球场跑来跑去。")</f>
        <v>另一个男子在网球场跑来跑去。</v>
      </c>
    </row>
    <row r="36089">
      <c r="A36089" s="4" t="s">
        <v>45394</v>
      </c>
      <c r="B36089" s="6" t="s">
        <v>45395</v>
      </c>
      <c r="C36089" s="5" t="str">
        <f>IFERROR(__xludf.DUMMYFUNCTION("GOOGLETRANSLATE(B36089,""en"",""zh-CN"")"),"一只黑白狗在房子的大门附近，他听着直升机的声音。")</f>
        <v>一只黑白狗在房子的大门附近，他听着直升机的声音。</v>
      </c>
    </row>
    <row r="36090">
      <c r="A36090" s="4" t="s">
        <v>45394</v>
      </c>
      <c r="B36090" s="4" t="s">
        <v>45396</v>
      </c>
      <c r="C36090" s="5" t="str">
        <f>IFERROR(__xludf.DUMMYFUNCTION("GOOGLETRANSLATE(B36090,""en"",""zh-CN"")"),"然后大门打开，狗向后走。")</f>
        <v>然后大门打开，狗向后走。</v>
      </c>
    </row>
    <row r="36091">
      <c r="A36091" s="4" t="s">
        <v>45394</v>
      </c>
      <c r="B36091" s="4" t="s">
        <v>45397</v>
      </c>
      <c r="C36091" s="5" t="str">
        <f>IFERROR(__xludf.DUMMYFUNCTION("GOOGLETRANSLATE(B36091,""en"",""zh-CN"")"),"一个封闭的房间里有两个狗训练师，训练一条狗跳过几个飞盘。")</f>
        <v>一个封闭的房间里有两个狗训练师，训练一条狗跳过几个飞盘。</v>
      </c>
    </row>
    <row r="36092">
      <c r="A36092" s="4" t="s">
        <v>45394</v>
      </c>
      <c r="B36092" s="4" t="s">
        <v>45398</v>
      </c>
      <c r="C36092" s="5" t="str">
        <f>IFERROR(__xludf.DUMMYFUNCTION("GOOGLETRANSLATE(B36092,""en"",""zh-CN"")"),"男教练将飞盘扔向狗，狗跳了起来并为他拿来。")</f>
        <v>男教练将飞盘扔向狗，狗跳了起来并为他拿来。</v>
      </c>
    </row>
    <row r="36093">
      <c r="A36093" s="4" t="s">
        <v>45394</v>
      </c>
      <c r="B36093" s="6" t="s">
        <v>45399</v>
      </c>
      <c r="C36093" s="5" t="str">
        <f>IFERROR(__xludf.DUMMYFUNCTION("GOOGLETRANSLATE(B36093,""en"",""zh-CN"")"),"教练员不断投掷飞盘，狗每次都会跳高，抓住飞盘。")</f>
        <v>教练员不断投掷飞盘，狗每次都会跳高，抓住飞盘。</v>
      </c>
    </row>
    <row r="36094">
      <c r="A36094" s="4" t="s">
        <v>45394</v>
      </c>
      <c r="B36094" s="4" t="s">
        <v>45400</v>
      </c>
      <c r="C36094" s="5" t="str">
        <f>IFERROR(__xludf.DUMMYFUNCTION("GOOGLETRANSLATE(B36094,""en"",""zh-CN"")"),"有几个不同的教练显示训练和教他们的狗技巧。")</f>
        <v>有几个不同的教练显示训练和教他们的狗技巧。</v>
      </c>
    </row>
    <row r="36095">
      <c r="A36095" s="4" t="s">
        <v>45401</v>
      </c>
      <c r="B36095" s="4" t="s">
        <v>45402</v>
      </c>
      <c r="C36095" s="5" t="str">
        <f>IFERROR(__xludf.DUMMYFUNCTION("GOOGLETRANSLATE(B36095,""en"",""zh-CN"")"),"屏幕上显示了真空演示的介绍。")</f>
        <v>屏幕上显示了真空演示的介绍。</v>
      </c>
    </row>
    <row r="36096">
      <c r="A36096" s="4" t="s">
        <v>45401</v>
      </c>
      <c r="B36096" s="6" t="s">
        <v>45403</v>
      </c>
      <c r="C36096" s="5" t="str">
        <f>IFERROR(__xludf.DUMMYFUNCTION("GOOGLETRANSLATE(B36096,""en"",""zh-CN"")"),"视频显示了一个男孩和父亲对几个不同挑战进行了测试。")</f>
        <v>视频显示了一个男孩和父亲对几个不同挑战进行了测试。</v>
      </c>
    </row>
    <row r="36097">
      <c r="A36097" s="4" t="s">
        <v>45401</v>
      </c>
      <c r="B36097" s="4" t="s">
        <v>45404</v>
      </c>
      <c r="C36097" s="5" t="str">
        <f>IFERROR(__xludf.DUMMYFUNCTION("GOOGLETRANSLATE(B36097,""en"",""zh-CN"")"),"视频以屏幕显示了真空公司的徽标。")</f>
        <v>视频以屏幕显示了真空公司的徽标。</v>
      </c>
    </row>
    <row r="36098">
      <c r="A36098" s="4" t="s">
        <v>45405</v>
      </c>
      <c r="B36098" s="6" t="s">
        <v>45406</v>
      </c>
      <c r="C36098" s="5" t="str">
        <f>IFERROR(__xludf.DUMMYFUNCTION("GOOGLETRANSLATE(B36098,""en"",""zh-CN"")"),"两名穿着搭配服装的女人在麦克风上，有一半看着男孩玩鲁巴克斯数据集。")</f>
        <v>两名穿着搭配服装的女人在麦克风上，有一半看着男孩玩鲁巴克斯数据集。</v>
      </c>
    </row>
    <row r="36099">
      <c r="A36099" s="4" t="s">
        <v>45405</v>
      </c>
      <c r="B36099" s="4" t="s">
        <v>45407</v>
      </c>
      <c r="C36099" s="5" t="str">
        <f>IFERROR(__xludf.DUMMYFUNCTION("GOOGLETRANSLATE(B36099,""en"",""zh-CN"")"),"这个男孩很快就解决了这个立方体，这个女孩似乎很震惊。")</f>
        <v>这个男孩很快就解决了这个立方体，这个女孩似乎很震惊。</v>
      </c>
    </row>
    <row r="36100">
      <c r="A36100" s="4" t="s">
        <v>45405</v>
      </c>
      <c r="B36100" s="4" t="s">
        <v>45408</v>
      </c>
      <c r="C36100" s="5" t="str">
        <f>IFERROR(__xludf.DUMMYFUNCTION("GOOGLETRANSLATE(B36100,""en"",""zh-CN"")"),"然后，一群人开始尝试一个难题，看看谁是最快的。")</f>
        <v>然后，一群人开始尝试一个难题，看看谁是最快的。</v>
      </c>
    </row>
    <row r="36101">
      <c r="A36101" s="4" t="s">
        <v>45405</v>
      </c>
      <c r="B36101" s="6" t="s">
        <v>45409</v>
      </c>
      <c r="C36101" s="5" t="str">
        <f>IFERROR(__xludf.DUMMYFUNCTION("GOOGLETRANSLATE(B36101,""en"",""zh-CN"")"),"另一个穿着蓝色衬衫的男孩出现了，开始解决它，当他这样做时，这些女孩给了山一次。")</f>
        <v>另一个穿着蓝色衬衫的男孩出现了，开始解决它，当他这样做时，这些女孩给了山一次。</v>
      </c>
    </row>
    <row r="36102">
      <c r="A36102" s="4" t="s">
        <v>45410</v>
      </c>
      <c r="B36102" s="4" t="s">
        <v>45411</v>
      </c>
      <c r="C36102" s="5" t="str">
        <f>IFERROR(__xludf.DUMMYFUNCTION("GOOGLETRANSLATE(B36102,""en"",""zh-CN"")"),"一个人观察一座旧的武士寺。")</f>
        <v>一个人观察一座旧的武士寺。</v>
      </c>
    </row>
    <row r="36103">
      <c r="A36103" s="4" t="s">
        <v>45410</v>
      </c>
      <c r="B36103" s="4" t="s">
        <v>45412</v>
      </c>
      <c r="C36103" s="5" t="str">
        <f>IFERROR(__xludf.DUMMYFUNCTION("GOOGLETRANSLATE(B36103,""en"",""zh-CN"")"),"一个男人握住拱门并射击箭，而男人坐在路上箭。")</f>
        <v>一个男人握住拱门并射击箭，而男人坐在路上箭。</v>
      </c>
    </row>
    <row r="36104">
      <c r="A36104" s="4" t="s">
        <v>45410</v>
      </c>
      <c r="B36104" s="4" t="s">
        <v>45413</v>
      </c>
      <c r="C36104" s="5" t="str">
        <f>IFERROR(__xludf.DUMMYFUNCTION("GOOGLETRANSLATE(B36104,""en"",""zh-CN"")"),"三个小木板在地面上固定，突然撞到了一个板。")</f>
        <v>三个小木板在地面上固定，突然撞到了一个板。</v>
      </c>
    </row>
    <row r="36105">
      <c r="A36105" s="4" t="s">
        <v>45410</v>
      </c>
      <c r="B36105" s="4" t="s">
        <v>45414</v>
      </c>
      <c r="C36105" s="5" t="str">
        <f>IFERROR(__xludf.DUMMYFUNCTION("GOOGLETRANSLATE(B36105,""en"",""zh-CN"")"),"人们聚集在道路上，然后一个老人给一个穿着白色衣服的男人给一个白盒子。")</f>
        <v>人们聚集在道路上，然后一个老人给一个穿着白色衣服的男人给一个白盒子。</v>
      </c>
    </row>
    <row r="36106">
      <c r="A36106" s="4" t="s">
        <v>45415</v>
      </c>
      <c r="B36106" s="4" t="s">
        <v>45416</v>
      </c>
      <c r="C36106" s="5" t="str">
        <f>IFERROR(__xludf.DUMMYFUNCTION("GOOGLETRANSLATE(B36106,""en"",""zh-CN"")"),"一个男孩在朋友观看和唱片时在草地上做车轮和后手弹簧。")</f>
        <v>一个男孩在朋友观看和唱片时在草地上做车轮和后手弹簧。</v>
      </c>
    </row>
    <row r="36107">
      <c r="A36107" s="4" t="s">
        <v>45415</v>
      </c>
      <c r="B36107" s="4" t="s">
        <v>45417</v>
      </c>
      <c r="C36107" s="5" t="str">
        <f>IFERROR(__xludf.DUMMYFUNCTION("GOOGLETRANSLATE(B36107,""en"",""zh-CN"")"),"他停了一会儿，休息一下，然后继续进行更多的翻转。")</f>
        <v>他停了一会儿，休息一下，然后继续进行更多的翻转。</v>
      </c>
    </row>
    <row r="36108">
      <c r="A36108" s="4" t="s">
        <v>45415</v>
      </c>
      <c r="B36108" s="4" t="s">
        <v>45418</v>
      </c>
      <c r="C36108" s="5" t="str">
        <f>IFERROR(__xludf.DUMMYFUNCTION("GOOGLETRANSLATE(B36108,""en"",""zh-CN"")"),"另一个人来到屏幕上，试图在草地上进行一些翻转。")</f>
        <v>另一个人来到屏幕上，试图在草地上进行一些翻转。</v>
      </c>
    </row>
    <row r="36109">
      <c r="A36109" s="4" t="s">
        <v>45419</v>
      </c>
      <c r="B36109" s="4" t="s">
        <v>45420</v>
      </c>
      <c r="C36109" s="5" t="str">
        <f>IFERROR(__xludf.DUMMYFUNCTION("GOOGLETRANSLATE(B36109,""en"",""zh-CN"")"),"一个女孩走出房间，下一个大厅。")</f>
        <v>一个女孩走出房间，下一个大厅。</v>
      </c>
    </row>
    <row r="36110">
      <c r="A36110" s="4" t="s">
        <v>45419</v>
      </c>
      <c r="B36110" s="4" t="s">
        <v>45421</v>
      </c>
      <c r="C36110" s="5" t="str">
        <f>IFERROR(__xludf.DUMMYFUNCTION("GOOGLETRANSLATE(B36110,""en"",""zh-CN"")"),"她放下行李袋，然后躺在桌子上。")</f>
        <v>她放下行李袋，然后躺在桌子上。</v>
      </c>
    </row>
    <row r="36111">
      <c r="A36111" s="4" t="s">
        <v>45419</v>
      </c>
      <c r="B36111" s="4" t="s">
        <v>45422</v>
      </c>
      <c r="C36111" s="5" t="str">
        <f>IFERROR(__xludf.DUMMYFUNCTION("GOOGLETRANSLATE(B36111,""en"",""zh-CN"")"),"有人递给她一个杯子，然后喝它，然后他们努力刺她的舌头。")</f>
        <v>有人递给她一个杯子，然后喝它，然后他们努力刺她的舌头。</v>
      </c>
    </row>
    <row r="36112">
      <c r="A36112" s="4" t="s">
        <v>45419</v>
      </c>
      <c r="B36112" s="4" t="s">
        <v>45423</v>
      </c>
      <c r="C36112" s="5" t="str">
        <f>IFERROR(__xludf.DUMMYFUNCTION("GOOGLETRANSLATE(B36112,""en"",""zh-CN"")"),"将一根杆插入她的吨位并剪掉，形成刺穿。")</f>
        <v>将一根杆插入她的吨位并剪掉，形成刺穿。</v>
      </c>
    </row>
    <row r="36113">
      <c r="A36113" s="4" t="s">
        <v>45419</v>
      </c>
      <c r="B36113" s="4" t="s">
        <v>45424</v>
      </c>
      <c r="C36113" s="5" t="str">
        <f>IFERROR(__xludf.DUMMYFUNCTION("GOOGLETRANSLATE(B36113,""en"",""zh-CN"")"),"她伸出舌头，炫耀她的刺穿。")</f>
        <v>她伸出舌头，炫耀她的刺穿。</v>
      </c>
    </row>
    <row r="36114">
      <c r="A36114" s="4" t="s">
        <v>45425</v>
      </c>
      <c r="B36114" s="4" t="s">
        <v>45426</v>
      </c>
      <c r="C36114" s="5" t="str">
        <f>IFERROR(__xludf.DUMMYFUNCTION("GOOGLETRANSLATE(B36114,""en"",""zh-CN"")"),"一个保管人用喷雾瓶喷洒水槽的柜台。")</f>
        <v>一个保管人用喷雾瓶喷洒水槽的柜台。</v>
      </c>
    </row>
    <row r="36115">
      <c r="A36115" s="4" t="s">
        <v>45425</v>
      </c>
      <c r="B36115" s="4" t="s">
        <v>45427</v>
      </c>
      <c r="C36115" s="5" t="str">
        <f>IFERROR(__xludf.DUMMYFUNCTION("GOOGLETRANSLATE(B36115,""en"",""zh-CN"")"),"工人使用刷子清理水槽。")</f>
        <v>工人使用刷子清理水槽。</v>
      </c>
    </row>
    <row r="36116">
      <c r="A36116" s="4" t="s">
        <v>45425</v>
      </c>
      <c r="B36116" s="4" t="s">
        <v>45428</v>
      </c>
      <c r="C36116" s="5" t="str">
        <f>IFERROR(__xludf.DUMMYFUNCTION("GOOGLETRANSLATE(B36116,""en"",""zh-CN"")"),"工人使用手巾清理水槽中的液体。")</f>
        <v>工人使用手巾清理水槽中的液体。</v>
      </c>
    </row>
    <row r="36117">
      <c r="A36117" s="4" t="s">
        <v>45429</v>
      </c>
      <c r="B36117" s="4" t="s">
        <v>45430</v>
      </c>
      <c r="C36117" s="5" t="str">
        <f>IFERROR(__xludf.DUMMYFUNCTION("GOOGLETRANSLATE(B36117,""en"",""zh-CN"")"),"一个男人正在谈论他身后的电视上发生的事情，这是一个新闻报道。")</f>
        <v>一个男人正在谈论他身后的电视上发生的事情，这是一个新闻报道。</v>
      </c>
    </row>
    <row r="36118">
      <c r="A36118" s="4" t="s">
        <v>45429</v>
      </c>
      <c r="B36118" s="4" t="s">
        <v>45431</v>
      </c>
      <c r="C36118" s="5" t="str">
        <f>IFERROR(__xludf.DUMMYFUNCTION("GOOGLETRANSLATE(B36118,""en"",""zh-CN"")"),"一群人在场上玩游戏。")</f>
        <v>一群人在场上玩游戏。</v>
      </c>
    </row>
    <row r="36119">
      <c r="A36119" s="4" t="s">
        <v>45429</v>
      </c>
      <c r="B36119" s="4" t="s">
        <v>45432</v>
      </c>
      <c r="C36119" s="5" t="str">
        <f>IFERROR(__xludf.DUMMYFUNCTION("GOOGLETRANSLATE(B36119,""en"",""zh-CN"")"),"许多球员都有机会谈论团队和东西。")</f>
        <v>许多球员都有机会谈论团队和东西。</v>
      </c>
    </row>
    <row r="36120">
      <c r="A36120" s="4" t="s">
        <v>45429</v>
      </c>
      <c r="B36120" s="6" t="s">
        <v>45433</v>
      </c>
      <c r="C36120" s="5" t="str">
        <f>IFERROR(__xludf.DUMMYFUNCTION("GOOGLETRANSLATE(B36120,""en"",""zh-CN"")"),"他们展示了练习和球员，然后回到新闻主播，他们继续对此进行更多的谈论。")</f>
        <v>他们展示了练习和球员，然后回到新闻主播，他们继续对此进行更多的谈论。</v>
      </c>
    </row>
    <row r="36121">
      <c r="A36121" s="4" t="s">
        <v>45434</v>
      </c>
      <c r="B36121" s="4" t="s">
        <v>45435</v>
      </c>
      <c r="C36121" s="5" t="str">
        <f>IFERROR(__xludf.DUMMYFUNCTION("GOOGLETRANSLATE(B36121,""en"",""zh-CN"")"),"一个女人说话时正站在厨房里。")</f>
        <v>一个女人说话时正站在厨房里。</v>
      </c>
    </row>
    <row r="36122">
      <c r="A36122" s="4" t="s">
        <v>45434</v>
      </c>
      <c r="B36122" s="4" t="s">
        <v>45436</v>
      </c>
      <c r="C36122" s="5" t="str">
        <f>IFERROR(__xludf.DUMMYFUNCTION("GOOGLETRANSLATE(B36122,""en"",""zh-CN"")"),"她展示了一个书包，用拳头推着它。")</f>
        <v>她展示了一个书包，用拳头推着它。</v>
      </c>
    </row>
    <row r="36123">
      <c r="A36123" s="4" t="s">
        <v>45434</v>
      </c>
      <c r="B36123" s="4" t="s">
        <v>45437</v>
      </c>
      <c r="C36123" s="5" t="str">
        <f>IFERROR(__xludf.DUMMYFUNCTION("GOOGLETRANSLATE(B36123,""en"",""zh-CN"")"),"她将其关闭，并展示它如何保持状态。")</f>
        <v>她将其关闭，并展示它如何保持状态。</v>
      </c>
    </row>
    <row r="36124">
      <c r="A36124" s="4" t="s">
        <v>45438</v>
      </c>
      <c r="B36124" s="4" t="s">
        <v>6759</v>
      </c>
      <c r="C36124" s="5" t="str">
        <f>IFERROR(__xludf.DUMMYFUNCTION("GOOGLETRANSLATE(B36124,""en"",""zh-CN"")"),"人们站在草地上。")</f>
        <v>人们站在草地上。</v>
      </c>
    </row>
    <row r="36125">
      <c r="A36125" s="4" t="s">
        <v>45438</v>
      </c>
      <c r="B36125" s="4" t="s">
        <v>45439</v>
      </c>
      <c r="C36125" s="5" t="str">
        <f>IFERROR(__xludf.DUMMYFUNCTION("GOOGLETRANSLATE(B36125,""en"",""zh-CN"")"),"一个男人捡起一根长杆，开始沿着轨道奔跑。")</f>
        <v>一个男人捡起一根长杆，开始沿着轨道奔跑。</v>
      </c>
    </row>
    <row r="36126">
      <c r="A36126" s="4" t="s">
        <v>45438</v>
      </c>
      <c r="B36126" s="4" t="s">
        <v>45440</v>
      </c>
      <c r="C36126" s="5" t="str">
        <f>IFERROR(__xludf.DUMMYFUNCTION("GOOGLETRANSLATE(B36126,""en"",""zh-CN"")"),"他跳过一个高的酒吧，降落在垫子上。")</f>
        <v>他跳过一个高的酒吧，降落在垫子上。</v>
      </c>
    </row>
    <row r="36127">
      <c r="A36127" s="4" t="s">
        <v>45441</v>
      </c>
      <c r="B36127" s="4" t="s">
        <v>45442</v>
      </c>
      <c r="C36127" s="5" t="str">
        <f>IFERROR(__xludf.DUMMYFUNCTION("GOOGLETRANSLATE(B36127,""en"",""zh-CN"")"),"在与相机交谈时，看到几个人在锻炼设备上骑行。")</f>
        <v>在与相机交谈时，看到几个人在锻炼设备上骑行。</v>
      </c>
    </row>
    <row r="36128">
      <c r="A36128" s="4" t="s">
        <v>45441</v>
      </c>
      <c r="B36128" s="4" t="s">
        <v>45443</v>
      </c>
      <c r="C36128" s="5" t="str">
        <f>IFERROR(__xludf.DUMMYFUNCTION("GOOGLETRANSLATE(B36128,""en"",""zh-CN"")"),"看到一个男人在相机上说话，同时显示了更多设备的镜头。")</f>
        <v>看到一个男人在相机上说话，同时显示了更多设备的镜头。</v>
      </c>
    </row>
    <row r="36129">
      <c r="A36129" s="4" t="s">
        <v>45441</v>
      </c>
      <c r="B36129" s="6" t="s">
        <v>45444</v>
      </c>
      <c r="C36129" s="5" t="str">
        <f>IFERROR(__xludf.DUMMYFUNCTION("GOOGLETRANSLATE(B36129,""en"",""zh-CN"")"),"人们在机器周围移动，并带领该男子说话更多，并展示了如何调整机器。")</f>
        <v>人们在机器周围移动，并带领该男子说话更多，并展示了如何调整机器。</v>
      </c>
    </row>
    <row r="36130">
      <c r="A36130" s="4" t="s">
        <v>45445</v>
      </c>
      <c r="B36130" s="6" t="s">
        <v>45446</v>
      </c>
      <c r="C36130" s="5" t="str">
        <f>IFERROR(__xludf.DUMMYFUNCTION("GOOGLETRANSLATE(B36130,""en"",""zh-CN"")"),"有些人在玩啤酒拳，玩得开心，男人扔拳头，他进入了女子杯。")</f>
        <v>有些人在玩啤酒拳，玩得开心，男人扔拳头，他进入了女子杯。</v>
      </c>
    </row>
    <row r="36131">
      <c r="A36131" s="4" t="s">
        <v>45445</v>
      </c>
      <c r="B36131" s="4" t="s">
        <v>45447</v>
      </c>
      <c r="C36131" s="5" t="str">
        <f>IFERROR(__xludf.DUMMYFUNCTION("GOOGLETRANSLATE(B36131,""en"",""zh-CN"")"),"她喝酒，然后在扔球之前在水中湿了。")</f>
        <v>她喝酒，然后在扔球之前在水中湿了。</v>
      </c>
    </row>
    <row r="36132">
      <c r="A36132" s="4" t="s">
        <v>45445</v>
      </c>
      <c r="B36132" s="4" t="s">
        <v>45448</v>
      </c>
      <c r="C36132" s="5" t="str">
        <f>IFERROR(__xludf.DUMMYFUNCTION("GOOGLETRANSLATE(B36132,""en"",""zh-CN"")"),"然后，她坐下来，另一个人轮到他了。")</f>
        <v>然后，她坐下来，另一个人轮到他了。</v>
      </c>
    </row>
    <row r="36133">
      <c r="A36133" s="4" t="s">
        <v>45445</v>
      </c>
      <c r="B36133" s="6" t="s">
        <v>45449</v>
      </c>
      <c r="C36133" s="5" t="str">
        <f>IFERROR(__xludf.DUMMYFUNCTION("GOOGLETRANSLATE(B36133,""en"",""zh-CN"")"),"然后是其他团队中的女孩，他们不断轮流喝酒，玩得开心。")</f>
        <v>然后是其他团队中的女孩，他们不断轮流喝酒，玩得开心。</v>
      </c>
    </row>
    <row r="36134">
      <c r="A36134" s="4" t="s">
        <v>45450</v>
      </c>
      <c r="B36134" s="4" t="s">
        <v>45451</v>
      </c>
      <c r="C36134" s="5" t="str">
        <f>IFERROR(__xludf.DUMMYFUNCTION("GOOGLETRANSLATE(B36134,""en"",""zh-CN"")"),"我们在酒吧里看到一位女士说话。")</f>
        <v>我们在酒吧里看到一位女士说话。</v>
      </c>
    </row>
    <row r="36135">
      <c r="A36135" s="4" t="s">
        <v>45450</v>
      </c>
      <c r="B36135" s="4" t="s">
        <v>45452</v>
      </c>
      <c r="C36135" s="5" t="str">
        <f>IFERROR(__xludf.DUMMYFUNCTION("GOOGLETRANSLATE(B36135,""en"",""zh-CN"")"),"女士将冰倒入玻璃杯中。")</f>
        <v>女士将冰倒入玻璃杯中。</v>
      </c>
    </row>
    <row r="36136">
      <c r="A36136" s="4" t="s">
        <v>45450</v>
      </c>
      <c r="B36136" s="4" t="s">
        <v>45453</v>
      </c>
      <c r="C36136" s="5" t="str">
        <f>IFERROR(__xludf.DUMMYFUNCTION("GOOGLETRANSLATE(B36136,""en"",""zh-CN"")"),"那位女士将三枪倒入杯子中。")</f>
        <v>那位女士将三枪倒入杯子中。</v>
      </c>
    </row>
    <row r="36137">
      <c r="A36137" s="4" t="s">
        <v>45450</v>
      </c>
      <c r="B36137" s="4" t="s">
        <v>45454</v>
      </c>
      <c r="C36137" s="5" t="str">
        <f>IFERROR(__xludf.DUMMYFUNCTION("GOOGLETRANSLATE(B36137,""en"",""zh-CN"")"),"那位女士倒了其他东西并摇动它。")</f>
        <v>那位女士倒了其他东西并摇动它。</v>
      </c>
    </row>
    <row r="36138">
      <c r="A36138" s="4" t="s">
        <v>45450</v>
      </c>
      <c r="B36138" s="4" t="s">
        <v>45455</v>
      </c>
      <c r="C36138" s="5" t="str">
        <f>IFERROR(__xludf.DUMMYFUNCTION("GOOGLETRANSLATE(B36138,""en"",""zh-CN"")"),"那位女士将饮料倒入玻璃杯中。")</f>
        <v>那位女士将饮料倒入玻璃杯中。</v>
      </c>
    </row>
    <row r="36139">
      <c r="A36139" s="4" t="s">
        <v>45450</v>
      </c>
      <c r="B36139" s="4" t="s">
        <v>45456</v>
      </c>
      <c r="C36139" s="5" t="str">
        <f>IFERROR(__xludf.DUMMYFUNCTION("GOOGLETRANSLATE(B36139,""en"",""zh-CN"")"),"女士添加了一些红色的东西。")</f>
        <v>女士添加了一些红色的东西。</v>
      </c>
    </row>
    <row r="36140">
      <c r="A36140" s="4" t="s">
        <v>45450</v>
      </c>
      <c r="B36140" s="4" t="s">
        <v>45457</v>
      </c>
      <c r="C36140" s="5" t="str">
        <f>IFERROR(__xludf.DUMMYFUNCTION("GOOGLETRANSLATE(B36140,""en"",""zh-CN"")"),"那位女士拿着玻璃微笑。")</f>
        <v>那位女士拿着玻璃微笑。</v>
      </c>
    </row>
    <row r="36141">
      <c r="A36141" s="4" t="s">
        <v>45458</v>
      </c>
      <c r="B36141" s="4" t="s">
        <v>45459</v>
      </c>
      <c r="C36141" s="5" t="str">
        <f>IFERROR(__xludf.DUMMYFUNCTION("GOOGLETRANSLATE(B36141,""en"",""zh-CN"")"),"孩子们正在大型绿色的田野里玩投掷。")</f>
        <v>孩子们正在大型绿色的田野里玩投掷。</v>
      </c>
    </row>
    <row r="36142">
      <c r="A36142" s="4" t="s">
        <v>45458</v>
      </c>
      <c r="B36142" s="4" t="s">
        <v>45460</v>
      </c>
      <c r="C36142" s="5" t="str">
        <f>IFERROR(__xludf.DUMMYFUNCTION("GOOGLETRANSLATE(B36142,""en"",""zh-CN"")"),"孩子们在目标前打磨艾尔，以免费拍摄。")</f>
        <v>孩子们在目标前打磨艾尔，以免费拍摄。</v>
      </c>
    </row>
    <row r="36143">
      <c r="A36143" s="4" t="s">
        <v>45458</v>
      </c>
      <c r="B36143" s="4" t="s">
        <v>45461</v>
      </c>
      <c r="C36143" s="5" t="str">
        <f>IFERROR(__xludf.DUMMYFUNCTION("GOOGLETRANSLATE(B36143,""en"",""zh-CN"")"),"孩子们在绿地里摆姿势拍照。")</f>
        <v>孩子们在绿地里摆姿势拍照。</v>
      </c>
    </row>
    <row r="36144">
      <c r="A36144" s="4" t="s">
        <v>45462</v>
      </c>
      <c r="B36144" s="4" t="s">
        <v>45463</v>
      </c>
      <c r="C36144" s="5" t="str">
        <f>IFERROR(__xludf.DUMMYFUNCTION("GOOGLETRANSLATE(B36144,""en"",""zh-CN"")"),"一只大狗站在浴缸里。")</f>
        <v>一只大狗站在浴缸里。</v>
      </c>
    </row>
    <row r="36145">
      <c r="A36145" s="4" t="s">
        <v>45462</v>
      </c>
      <c r="B36145" s="4" t="s">
        <v>45464</v>
      </c>
      <c r="C36145" s="5" t="str">
        <f>IFERROR(__xludf.DUMMYFUNCTION("GOOGLETRANSLATE(B36145,""en"",""zh-CN"")"),"穿着粉红色衬衫的女人正在用肥皂擦洗狗。")</f>
        <v>穿着粉红色衬衫的女人正在用肥皂擦洗狗。</v>
      </c>
    </row>
    <row r="36146">
      <c r="A36146" s="4" t="s">
        <v>45462</v>
      </c>
      <c r="B36146" s="4" t="s">
        <v>45465</v>
      </c>
      <c r="C36146" s="5" t="str">
        <f>IFERROR(__xludf.DUMMYFUNCTION("GOOGLETRANSLATE(B36146,""en"",""zh-CN"")"),"然后，她开始用软管洗狗。")</f>
        <v>然后，她开始用软管洗狗。</v>
      </c>
    </row>
    <row r="36147">
      <c r="A36147" s="4" t="s">
        <v>45466</v>
      </c>
      <c r="B36147" s="4" t="s">
        <v>45467</v>
      </c>
      <c r="C36147" s="5" t="str">
        <f>IFERROR(__xludf.DUMMYFUNCTION("GOOGLETRANSLATE(B36147,""en"",""zh-CN"")"),"一个女人坐在地板上坐着鞋子。")</f>
        <v>一个女人坐在地板上坐着鞋子。</v>
      </c>
    </row>
    <row r="36148">
      <c r="A36148" s="4" t="s">
        <v>45466</v>
      </c>
      <c r="B36148" s="4" t="s">
        <v>45468</v>
      </c>
      <c r="C36148" s="5" t="str">
        <f>IFERROR(__xludf.DUMMYFUNCTION("GOOGLETRANSLATE(B36148,""en"",""zh-CN"")"),"那个女人穿一双鞋子。")</f>
        <v>那个女人穿一双鞋子。</v>
      </c>
    </row>
    <row r="36149">
      <c r="A36149" s="4" t="s">
        <v>45466</v>
      </c>
      <c r="B36149" s="4" t="s">
        <v>45469</v>
      </c>
      <c r="C36149" s="5" t="str">
        <f>IFERROR(__xludf.DUMMYFUNCTION("GOOGLETRANSLATE(B36149,""en"",""zh-CN"")"),"女人扔了一些东西，她试图抓住它。")</f>
        <v>女人扔了一些东西，她试图抓住它。</v>
      </c>
    </row>
    <row r="36150">
      <c r="A36150" s="4" t="s">
        <v>45466</v>
      </c>
      <c r="B36150" s="4" t="s">
        <v>45470</v>
      </c>
      <c r="C36150" s="5" t="str">
        <f>IFERROR(__xludf.DUMMYFUNCTION("GOOGLETRANSLATE(B36150,""en"",""zh-CN"")"),"摄像机短暂地转移以显示另一个人。")</f>
        <v>摄像机短暂地转移以显示另一个人。</v>
      </c>
    </row>
    <row r="36151">
      <c r="A36151" s="4" t="s">
        <v>45466</v>
      </c>
      <c r="B36151" s="4" t="s">
        <v>45471</v>
      </c>
      <c r="C36151" s="5" t="str">
        <f>IFERROR(__xludf.DUMMYFUNCTION("GOOGLETRANSLATE(B36151,""en"",""zh-CN"")"),"相机返回到那个仍在穿上鞋子的女人。")</f>
        <v>相机返回到那个仍在穿上鞋子的女人。</v>
      </c>
    </row>
    <row r="36152">
      <c r="A36152" s="4" t="s">
        <v>45466</v>
      </c>
      <c r="B36152" s="6" t="s">
        <v>45472</v>
      </c>
      <c r="C36152" s="5" t="str">
        <f>IFERROR(__xludf.DUMMYFUNCTION("GOOGLETRANSLATE(B36152,""en"",""zh-CN"")"),"相机向房间里的几个人移动，等待女人穿上鞋子。")</f>
        <v>相机向房间里的几个人移动，等待女人穿上鞋子。</v>
      </c>
    </row>
    <row r="36153">
      <c r="A36153" s="4" t="s">
        <v>45466</v>
      </c>
      <c r="B36153" s="4" t="s">
        <v>45473</v>
      </c>
      <c r="C36153" s="5" t="str">
        <f>IFERROR(__xludf.DUMMYFUNCTION("GOOGLETRANSLATE(B36153,""en"",""zh-CN"")"),"相机转移到女人身上，仍然穿上鞋子。")</f>
        <v>相机转移到女人身上，仍然穿上鞋子。</v>
      </c>
    </row>
    <row r="36154">
      <c r="A36154" s="4" t="s">
        <v>45466</v>
      </c>
      <c r="B36154" s="4" t="s">
        <v>45474</v>
      </c>
      <c r="C36154" s="5" t="str">
        <f>IFERROR(__xludf.DUMMYFUNCTION("GOOGLETRANSLATE(B36154,""en"",""zh-CN"")"),"女人开始穿另一只鞋。")</f>
        <v>女人开始穿另一只鞋。</v>
      </c>
    </row>
    <row r="36155">
      <c r="A36155" s="4" t="s">
        <v>45475</v>
      </c>
      <c r="B36155" s="4" t="s">
        <v>45476</v>
      </c>
      <c r="C36155" s="5" t="str">
        <f>IFERROR(__xludf.DUMMYFUNCTION("GOOGLETRANSLATE(B36155,""en"",""zh-CN"")"),"图片幻灯片显示表演了一支游行乐队和女孩四处走动。")</f>
        <v>图片幻灯片显示表演了一支游行乐队和女孩四处走动。</v>
      </c>
    </row>
    <row r="36156">
      <c r="A36156" s="4" t="s">
        <v>45475</v>
      </c>
      <c r="B36156" s="4" t="s">
        <v>45477</v>
      </c>
      <c r="C36156" s="5" t="str">
        <f>IFERROR(__xludf.DUMMYFUNCTION("GOOGLETRANSLATE(B36156,""en"",""zh-CN"")"),"然后，游行乐队演奏，女孩表演旗帜。")</f>
        <v>然后，游行乐队演奏，女孩表演旗帜。</v>
      </c>
    </row>
    <row r="36157">
      <c r="A36157" s="4" t="s">
        <v>45478</v>
      </c>
      <c r="B36157" s="4" t="s">
        <v>45479</v>
      </c>
      <c r="C36157" s="5" t="str">
        <f>IFERROR(__xludf.DUMMYFUNCTION("GOOGLETRANSLATE(B36157,""en"",""zh-CN"")"),"一位年轻女士站在一个污垢中，手里拿着斧头试图砍伐原木。")</f>
        <v>一位年轻女士站在一个污垢中，手里拿着斧头试图砍伐原木。</v>
      </c>
    </row>
    <row r="36158">
      <c r="A36158" s="4" t="s">
        <v>45478</v>
      </c>
      <c r="B36158" s="4" t="s">
        <v>45480</v>
      </c>
      <c r="C36158" s="5" t="str">
        <f>IFERROR(__xludf.DUMMYFUNCTION("GOOGLETRANSLATE(B36158,""en"",""zh-CN"")"),"这个女孩在第一次尝试中没有成功，因此她拿起原木并再次尝试。")</f>
        <v>这个女孩在第一次尝试中没有成功，因此她拿起原木并再次尝试。</v>
      </c>
    </row>
    <row r="36159">
      <c r="A36159" s="4" t="s">
        <v>45481</v>
      </c>
      <c r="B36159" s="4" t="s">
        <v>45482</v>
      </c>
      <c r="C36159" s="5" t="str">
        <f>IFERROR(__xludf.DUMMYFUNCTION("GOOGLETRANSLATE(B36159,""en"",""zh-CN"")"),"看到一群人在试管中骑行，同时将自己推向潜水员。")</f>
        <v>看到一群人在试管中骑行，同时将自己推向潜水员。</v>
      </c>
    </row>
    <row r="36160">
      <c r="A36160" s="4" t="s">
        <v>45481</v>
      </c>
      <c r="B36160" s="6" t="s">
        <v>45483</v>
      </c>
      <c r="C36160" s="5" t="str">
        <f>IFERROR(__xludf.DUMMYFUNCTION("GOOGLETRANSLATE(B36160,""en"",""zh-CN"")"),"人们继续朝着相机以及笑着微笑的同时，人们继续在河中骑着管。")</f>
        <v>人们继续朝着相机以及笑着微笑的同时，人们继续在河中骑着管。</v>
      </c>
    </row>
    <row r="36161">
      <c r="A36161" s="4" t="s">
        <v>45484</v>
      </c>
      <c r="B36161" s="4" t="s">
        <v>45485</v>
      </c>
      <c r="C36161" s="5" t="str">
        <f>IFERROR(__xludf.DUMMYFUNCTION("GOOGLETRANSLATE(B36161,""en"",""zh-CN"")"),"一个穿黑色的男人在健身房。")</f>
        <v>一个穿黑色的男人在健身房。</v>
      </c>
    </row>
    <row r="36162">
      <c r="A36162" s="4" t="s">
        <v>45484</v>
      </c>
      <c r="B36162" s="4" t="s">
        <v>45486</v>
      </c>
      <c r="C36162" s="5" t="str">
        <f>IFERROR(__xludf.DUMMYFUNCTION("GOOGLETRANSLATE(B36162,""en"",""zh-CN"")"),"他捡起一些沉重的杠铃。")</f>
        <v>他捡起一些沉重的杠铃。</v>
      </c>
    </row>
    <row r="36163">
      <c r="A36163" s="4" t="s">
        <v>45484</v>
      </c>
      <c r="B36163" s="4" t="s">
        <v>45487</v>
      </c>
      <c r="C36163" s="5" t="str">
        <f>IFERROR(__xludf.DUMMYFUNCTION("GOOGLETRANSLATE(B36163,""en"",""zh-CN"")"),"他将杠铃抬到头上。")</f>
        <v>他将杠铃抬到头上。</v>
      </c>
    </row>
    <row r="36164">
      <c r="A36164" s="4" t="s">
        <v>45484</v>
      </c>
      <c r="B36164" s="4" t="s">
        <v>45488</v>
      </c>
      <c r="C36164" s="5" t="str">
        <f>IFERROR(__xludf.DUMMYFUNCTION("GOOGLETRANSLATE(B36164,""en"",""zh-CN"")"),"然后，他将杠铃放在地面上。")</f>
        <v>然后，他将杠铃放在地面上。</v>
      </c>
    </row>
    <row r="36165">
      <c r="A36165" s="4" t="s">
        <v>45489</v>
      </c>
      <c r="B36165" s="4" t="s">
        <v>45490</v>
      </c>
      <c r="C36165" s="5" t="str">
        <f>IFERROR(__xludf.DUMMYFUNCTION("GOOGLETRANSLATE(B36165,""en"",""zh-CN"")"),"一个男人走出建筑物，开始滑板。")</f>
        <v>一个男人走出建筑物，开始滑板。</v>
      </c>
    </row>
    <row r="36166">
      <c r="A36166" s="4" t="s">
        <v>45489</v>
      </c>
      <c r="B36166" s="4" t="s">
        <v>45491</v>
      </c>
      <c r="C36166" s="5" t="str">
        <f>IFERROR(__xludf.DUMMYFUNCTION("GOOGLETRANSLATE(B36166,""en"",""zh-CN"")"),"他在汽车之间的滑板。")</f>
        <v>他在汽车之间的滑板。</v>
      </c>
    </row>
    <row r="36167">
      <c r="A36167" s="4" t="s">
        <v>45489</v>
      </c>
      <c r="B36167" s="4" t="s">
        <v>45492</v>
      </c>
      <c r="C36167" s="5" t="str">
        <f>IFERROR(__xludf.DUMMYFUNCTION("GOOGLETRANSLATE(B36167,""en"",""zh-CN"")"),"他走进建筑物，坐在电脑上。")</f>
        <v>他走进建筑物，坐在电脑上。</v>
      </c>
    </row>
    <row r="36168">
      <c r="A36168" s="4" t="s">
        <v>45493</v>
      </c>
      <c r="B36168" s="4" t="s">
        <v>45494</v>
      </c>
      <c r="C36168" s="5" t="str">
        <f>IFERROR(__xludf.DUMMYFUNCTION("GOOGLETRANSLATE(B36168,""en"",""zh-CN"")"),"我们看到一位女士编织和唱歌。")</f>
        <v>我们看到一位女士编织和唱歌。</v>
      </c>
    </row>
    <row r="36169">
      <c r="A36169" s="4" t="s">
        <v>45493</v>
      </c>
      <c r="B36169" s="4" t="s">
        <v>45495</v>
      </c>
      <c r="C36169" s="5" t="str">
        <f>IFERROR(__xludf.DUMMYFUNCTION("GOOGLETRANSLATE(B36169,""en"",""zh-CN"")"),"然后，我们看到一个啤酒的广告。")</f>
        <v>然后，我们看到一个啤酒的广告。</v>
      </c>
    </row>
    <row r="36170">
      <c r="A36170" s="4" t="s">
        <v>45496</v>
      </c>
      <c r="B36170" s="4" t="s">
        <v>45497</v>
      </c>
      <c r="C36170" s="5" t="str">
        <f>IFERROR(__xludf.DUMMYFUNCTION("GOOGLETRANSLATE(B36170,""en"",""zh-CN"")"),"两个人在房间里，戴着围栏设备。")</f>
        <v>两个人在房间里，戴着围栏设备。</v>
      </c>
    </row>
    <row r="36171">
      <c r="A36171" s="4" t="s">
        <v>45496</v>
      </c>
      <c r="B36171" s="4" t="s">
        <v>45498</v>
      </c>
      <c r="C36171" s="5" t="str">
        <f>IFERROR(__xludf.DUMMYFUNCTION("GOOGLETRANSLATE(B36171,""en"",""zh-CN"")"),"他们用剑战斗，互相刺戳时来回走动。")</f>
        <v>他们用剑战斗，互相刺戳时来回走动。</v>
      </c>
    </row>
    <row r="36172">
      <c r="A36172" s="4" t="s">
        <v>45499</v>
      </c>
      <c r="B36172" s="6" t="s">
        <v>45500</v>
      </c>
      <c r="C36172" s="5" t="str">
        <f>IFERROR(__xludf.DUMMYFUNCTION("GOOGLETRANSLATE(B36172,""en"",""zh-CN"")"),"一台相机显示一群人坐在体育馆地板周围，有几个站立，一个人交叉。")</f>
        <v>一台相机显示一群人坐在体育馆地板周围，有几个站立，一个人交叉。</v>
      </c>
    </row>
    <row r="36173">
      <c r="A36173" s="4" t="s">
        <v>45499</v>
      </c>
      <c r="B36173" s="4" t="s">
        <v>45501</v>
      </c>
      <c r="C36173" s="5" t="str">
        <f>IFERROR(__xludf.DUMMYFUNCTION("GOOGLETRANSLATE(B36173,""en"",""zh-CN"")"),"突然，一个学生进入框架，跳到杆上。")</f>
        <v>突然，一个学生进入框架，跳到杆上。</v>
      </c>
    </row>
    <row r="36174">
      <c r="A36174" s="4" t="s">
        <v>45502</v>
      </c>
      <c r="B36174" s="6" t="s">
        <v>45503</v>
      </c>
      <c r="C36174" s="5" t="str">
        <f>IFERROR(__xludf.DUMMYFUNCTION("GOOGLETRANSLATE(B36174,""en"",""zh-CN"")"),"一个男人开始做不同的事情，例如打喷嚏，烹饪，使用洗手间，洗脸，表明何时洗手。")</f>
        <v>一个男人开始做不同的事情，例如打喷嚏，烹饪，使用洗手间，洗脸，表明何时洗手。</v>
      </c>
    </row>
    <row r="36175">
      <c r="A36175" s="4" t="s">
        <v>45502</v>
      </c>
      <c r="B36175" s="4" t="s">
        <v>45504</v>
      </c>
      <c r="C36175" s="5" t="str">
        <f>IFERROR(__xludf.DUMMYFUNCTION("GOOGLETRANSLATE(B36175,""en"",""zh-CN"")"),"然后，一位雌性来到厨房的水槽里，开始起泡。")</f>
        <v>然后，一位雌性来到厨房的水槽里，开始起泡。</v>
      </c>
    </row>
    <row r="36176">
      <c r="A36176" s="4" t="s">
        <v>45502</v>
      </c>
      <c r="B36176" s="6" t="s">
        <v>45505</v>
      </c>
      <c r="C36176" s="5" t="str">
        <f>IFERROR(__xludf.DUMMYFUNCTION("GOOGLETRANSLATE(B36176,""en"",""zh-CN"")"),"然后，她打开龙头，冲洗双手，干燥，然后将餐巾放在垃圾桶中。")</f>
        <v>然后，她打开龙头，冲洗双手，干燥，然后将餐巾放在垃圾桶中。</v>
      </c>
    </row>
    <row r="36177">
      <c r="A36177" s="4" t="s">
        <v>45506</v>
      </c>
      <c r="B36177" s="4" t="s">
        <v>45507</v>
      </c>
      <c r="C36177" s="5" t="str">
        <f>IFERROR(__xludf.DUMMYFUNCTION("GOOGLETRANSLATE(B36177,""en"",""zh-CN"")"),"看到一个人戴着背包，在滚子叶片上骑着镜头。")</f>
        <v>看到一个人戴着背包，在滚子叶片上骑着镜头。</v>
      </c>
    </row>
    <row r="36178">
      <c r="A36178" s="4" t="s">
        <v>45506</v>
      </c>
      <c r="B36178" s="6" t="s">
        <v>45508</v>
      </c>
      <c r="C36178" s="5" t="str">
        <f>IFERROR(__xludf.DUMMYFUNCTION("GOOGLETRANSLATE(B36178,""en"",""zh-CN"")"),"然后，该人向后骑行，挂在一个摇摆自己的标牌上，然后对相机微笑。")</f>
        <v>然后，该人向后骑行，挂在一个摇摆自己的标牌上，然后对相机微笑。</v>
      </c>
    </row>
    <row r="36179">
      <c r="A36179" s="4" t="s">
        <v>45509</v>
      </c>
      <c r="B36179" s="4" t="s">
        <v>45510</v>
      </c>
      <c r="C36179" s="5" t="str">
        <f>IFERROR(__xludf.DUMMYFUNCTION("GOOGLETRANSLATE(B36179,""en"",""zh-CN"")"),"一个男人穿着安全背心。")</f>
        <v>一个男人穿着安全背心。</v>
      </c>
    </row>
    <row r="36180">
      <c r="A36180" s="4" t="s">
        <v>45509</v>
      </c>
      <c r="B36180" s="4" t="s">
        <v>45511</v>
      </c>
      <c r="C36180" s="5" t="str">
        <f>IFERROR(__xludf.DUMMYFUNCTION("GOOGLETRANSLATE(B36180,""en"",""zh-CN"")"),"他正在使用工具和沙子。")</f>
        <v>他正在使用工具和沙子。</v>
      </c>
    </row>
    <row r="36181">
      <c r="A36181" s="4" t="s">
        <v>45509</v>
      </c>
      <c r="B36181" s="4" t="s">
        <v>45512</v>
      </c>
      <c r="C36181" s="5" t="str">
        <f>IFERROR(__xludf.DUMMYFUNCTION("GOOGLETRANSLATE(B36181,""en"",""zh-CN"")"),"他用沙子在墙壁上均匀地蔓延。")</f>
        <v>他用沙子在墙壁上均匀地蔓延。</v>
      </c>
    </row>
    <row r="36182">
      <c r="A36182" s="4" t="s">
        <v>45513</v>
      </c>
      <c r="B36182" s="4" t="s">
        <v>45514</v>
      </c>
      <c r="C36182" s="5" t="str">
        <f>IFERROR(__xludf.DUMMYFUNCTION("GOOGLETRANSLATE(B36182,""en"",""zh-CN"")"),"我们看到一个人在黑暗中焊接。")</f>
        <v>我们看到一个人在黑暗中焊接。</v>
      </c>
    </row>
    <row r="36183">
      <c r="A36183" s="4" t="s">
        <v>45513</v>
      </c>
      <c r="B36183" s="4" t="s">
        <v>45515</v>
      </c>
      <c r="C36183" s="5" t="str">
        <f>IFERROR(__xludf.DUMMYFUNCTION("GOOGLETRANSLATE(B36183,""en"",""zh-CN"")"),"该人停下来调整头盔。")</f>
        <v>该人停下来调整头盔。</v>
      </c>
    </row>
    <row r="36184">
      <c r="A36184" s="4" t="s">
        <v>45513</v>
      </c>
      <c r="B36184" s="4" t="s">
        <v>45516</v>
      </c>
      <c r="C36184" s="5" t="str">
        <f>IFERROR(__xludf.DUMMYFUNCTION("GOOGLETRANSLATE(B36184,""en"",""zh-CN"")"),"该男子短暂抬起头盔。")</f>
        <v>该男子短暂抬起头盔。</v>
      </c>
    </row>
    <row r="36185">
      <c r="A36185" s="4" t="s">
        <v>45513</v>
      </c>
      <c r="B36185" s="4" t="s">
        <v>45517</v>
      </c>
      <c r="C36185" s="5" t="str">
        <f>IFERROR(__xludf.DUMMYFUNCTION("GOOGLETRANSLATE(B36185,""en"",""zh-CN"")"),"该男子举起并降低了头盔。")</f>
        <v>该男子举起并降低了头盔。</v>
      </c>
    </row>
    <row r="36186">
      <c r="A36186" s="4" t="s">
        <v>45513</v>
      </c>
      <c r="B36186" s="4" t="s">
        <v>45518</v>
      </c>
      <c r="C36186" s="5" t="str">
        <f>IFERROR(__xludf.DUMMYFUNCTION("GOOGLETRANSLATE(B36186,""en"",""zh-CN"")"),"这个男人从他的头盔下方望着。")</f>
        <v>这个男人从他的头盔下方望着。</v>
      </c>
    </row>
    <row r="36187">
      <c r="A36187" s="4" t="s">
        <v>45513</v>
      </c>
      <c r="B36187" s="4" t="s">
        <v>45519</v>
      </c>
      <c r="C36187" s="5" t="str">
        <f>IFERROR(__xludf.DUMMYFUNCTION("GOOGLETRANSLATE(B36187,""en"",""zh-CN"")"),"该男子完成并抬起头盔。")</f>
        <v>该男子完成并抬起头盔。</v>
      </c>
    </row>
    <row r="36188">
      <c r="A36188" s="4" t="s">
        <v>45520</v>
      </c>
      <c r="B36188" s="4" t="s">
        <v>45521</v>
      </c>
      <c r="C36188" s="5" t="str">
        <f>IFERROR(__xludf.DUMMYFUNCTION("GOOGLETRANSLATE(B36188,""en"",""zh-CN"")"),"一名雄性将一个空心棍子固定在一头追捕他的公牛上。")</f>
        <v>一名雄性将一个空心棍子固定在一头追捕他的公牛上。</v>
      </c>
    </row>
    <row r="36189">
      <c r="A36189" s="4" t="s">
        <v>45520</v>
      </c>
      <c r="B36189" s="4" t="s">
        <v>45522</v>
      </c>
      <c r="C36189" s="5" t="str">
        <f>IFERROR(__xludf.DUMMYFUNCTION("GOOGLETRANSLATE(B36189,""en"",""zh-CN"")"),"一个家伙搞砸了公牛。")</f>
        <v>一个家伙搞砸了公牛。</v>
      </c>
    </row>
    <row r="36190">
      <c r="A36190" s="4" t="s">
        <v>45520</v>
      </c>
      <c r="B36190" s="4" t="s">
        <v>45523</v>
      </c>
      <c r="C36190" s="5" t="str">
        <f>IFERROR(__xludf.DUMMYFUNCTION("GOOGLETRANSLATE(B36190,""en"",""zh-CN"")"),"公牛将一个男人推倒。")</f>
        <v>公牛将一个男人推倒。</v>
      </c>
    </row>
    <row r="36191">
      <c r="A36191" s="4" t="s">
        <v>45520</v>
      </c>
      <c r="B36191" s="4" t="s">
        <v>45524</v>
      </c>
      <c r="C36191" s="5" t="str">
        <f>IFERROR(__xludf.DUMMYFUNCTION("GOOGLETRANSLATE(B36191,""en"",""zh-CN"")"),"观众站立时拍手。")</f>
        <v>观众站立时拍手。</v>
      </c>
    </row>
    <row r="36192">
      <c r="A36192" s="4" t="s">
        <v>45520</v>
      </c>
      <c r="B36192" s="4" t="s">
        <v>45525</v>
      </c>
      <c r="C36192" s="5" t="str">
        <f>IFERROR(__xludf.DUMMYFUNCTION("GOOGLETRANSLATE(B36192,""en"",""zh-CN"")"),"公牛被吸引到一支笔中，大门很近。")</f>
        <v>公牛被吸引到一支笔中，大门很近。</v>
      </c>
    </row>
    <row r="36193">
      <c r="A36193" s="4" t="s">
        <v>45520</v>
      </c>
      <c r="B36193" s="4" t="s">
        <v>45526</v>
      </c>
      <c r="C36193" s="5" t="str">
        <f>IFERROR(__xludf.DUMMYFUNCTION("GOOGLETRANSLATE(B36193,""en"",""zh-CN"")"),"雄性竖起大拇指并微笑。")</f>
        <v>雄性竖起大拇指并微笑。</v>
      </c>
    </row>
    <row r="36194">
      <c r="A36194" s="4" t="s">
        <v>45520</v>
      </c>
      <c r="B36194" s="4" t="s">
        <v>45527</v>
      </c>
      <c r="C36194" s="5" t="str">
        <f>IFERROR(__xludf.DUMMYFUNCTION("GOOGLETRANSLATE(B36194,""en"",""zh-CN"")"),"一名雄性在公牛上附有两个空心棍子，然后逃跑。")</f>
        <v>一名雄性在公牛上附有两个空心棍子，然后逃跑。</v>
      </c>
    </row>
    <row r="36195">
      <c r="A36195" s="4" t="s">
        <v>45520</v>
      </c>
      <c r="B36195" s="4" t="s">
        <v>45528</v>
      </c>
      <c r="C36195" s="5" t="str">
        <f>IFERROR(__xludf.DUMMYFUNCTION("GOOGLETRANSLATE(B36195,""en"",""zh-CN"")"),"公牛应对雄性。")</f>
        <v>公牛应对雄性。</v>
      </c>
    </row>
    <row r="36196">
      <c r="A36196" s="4" t="s">
        <v>45520</v>
      </c>
      <c r="B36196" s="4" t="s">
        <v>45529</v>
      </c>
      <c r="C36196" s="5" t="str">
        <f>IFERROR(__xludf.DUMMYFUNCTION("GOOGLETRANSLATE(B36196,""en"",""zh-CN"")"),"雄性起身，他的脸流血。")</f>
        <v>雄性起身，他的脸流血。</v>
      </c>
    </row>
    <row r="36197">
      <c r="A36197" s="4" t="s">
        <v>45520</v>
      </c>
      <c r="B36197" s="4" t="s">
        <v>45530</v>
      </c>
      <c r="C36197" s="5" t="str">
        <f>IFERROR(__xludf.DUMMYFUNCTION("GOOGLETRANSLATE(B36197,""en"",""zh-CN"")"),"人们帮助男性并将他带走。")</f>
        <v>人们帮助男性并将他带走。</v>
      </c>
    </row>
    <row r="36198">
      <c r="A36198" s="4" t="s">
        <v>45520</v>
      </c>
      <c r="B36198" s="4" t="s">
        <v>45531</v>
      </c>
      <c r="C36198" s="5" t="str">
        <f>IFERROR(__xludf.DUMMYFUNCTION("GOOGLETRANSLATE(B36198,""en"",""zh-CN"")"),"雄性留下了黑色鞋子。")</f>
        <v>雄性留下了黑色鞋子。</v>
      </c>
    </row>
    <row r="36199">
      <c r="A36199" s="4" t="s">
        <v>45520</v>
      </c>
      <c r="B36199" s="4" t="s">
        <v>45532</v>
      </c>
      <c r="C36199" s="5" t="str">
        <f>IFERROR(__xludf.DUMMYFUNCTION("GOOGLETRANSLATE(B36199,""en"",""zh-CN"")"),"人们在一个圈子中讨论。")</f>
        <v>人们在一个圈子中讨论。</v>
      </c>
    </row>
    <row r="36200">
      <c r="A36200" s="4" t="s">
        <v>45520</v>
      </c>
      <c r="B36200" s="4" t="s">
        <v>45533</v>
      </c>
      <c r="C36200" s="5" t="str">
        <f>IFERROR(__xludf.DUMMYFUNCTION("GOOGLETRANSLATE(B36200,""en"",""zh-CN"")"),"那个人点点头。")</f>
        <v>那个人点点头。</v>
      </c>
    </row>
    <row r="36201">
      <c r="A36201" s="4" t="s">
        <v>45520</v>
      </c>
      <c r="B36201" s="4" t="s">
        <v>45534</v>
      </c>
      <c r="C36201" s="5" t="str">
        <f>IFERROR(__xludf.DUMMYFUNCTION("GOOGLETRANSLATE(B36201,""en"",""zh-CN"")"),"人们从牛仔竞技表演的泥土上走下去，那个男人遮住了鼻子。")</f>
        <v>人们从牛仔竞技表演的泥土上走下去，那个男人遮住了鼻子。</v>
      </c>
    </row>
    <row r="36202">
      <c r="A36202" s="4" t="s">
        <v>45535</v>
      </c>
      <c r="B36202" s="4" t="s">
        <v>45536</v>
      </c>
      <c r="C36202" s="5" t="str">
        <f>IFERROR(__xludf.DUMMYFUNCTION("GOOGLETRANSLATE(B36202,""en"",""zh-CN"")"),"一支竞争啦啦队团队进入场地并进入组合。")</f>
        <v>一支竞争啦啦队团队进入场地并进入组合。</v>
      </c>
    </row>
    <row r="36203">
      <c r="A36203" s="4" t="s">
        <v>45535</v>
      </c>
      <c r="B36203" s="6" t="s">
        <v>45537</v>
      </c>
      <c r="C36203" s="5" t="str">
        <f>IFERROR(__xludf.DUMMYFUNCTION("GOOGLETRANSLATE(B36203,""en"",""zh-CN"")"),"女孩们蹲下来，他们开始欢呼，其中包括几个特技，窍门和跳过垫子。")</f>
        <v>女孩们蹲下来，他们开始欢呼，其中包括几个特技，窍门和跳过垫子。</v>
      </c>
    </row>
    <row r="36204">
      <c r="A36204" s="4" t="s">
        <v>45535</v>
      </c>
      <c r="B36204" s="4" t="s">
        <v>45538</v>
      </c>
      <c r="C36204" s="5" t="str">
        <f>IFERROR(__xludf.DUMMYFUNCTION("GOOGLETRANSLATE(B36204,""en"",""zh-CN"")"),"一旦结束，女孩们就以特技表演结束，而特技表演的男人跑到了小组中。")</f>
        <v>一旦结束，女孩们就以特技表演结束，而特技表演的男人跑到了小组中。</v>
      </c>
    </row>
    <row r="36205">
      <c r="A36205" s="4" t="s">
        <v>45539</v>
      </c>
      <c r="B36205" s="4" t="s">
        <v>45540</v>
      </c>
      <c r="C36205" s="5" t="str">
        <f>IFERROR(__xludf.DUMMYFUNCTION("GOOGLETRANSLATE(B36205,""en"",""zh-CN"")"),"小孩子在操场上的杆子悬挂。")</f>
        <v>小孩子在操场上的杆子悬挂。</v>
      </c>
    </row>
    <row r="36206">
      <c r="A36206" s="4" t="s">
        <v>45539</v>
      </c>
      <c r="B36206" s="4" t="s">
        <v>45541</v>
      </c>
      <c r="C36206" s="5" t="str">
        <f>IFERROR(__xludf.DUMMYFUNCTION("GOOGLETRANSLATE(B36206,""en"",""zh-CN"")"),"游乐场显示在一个大公园的尘土飞扬的田野中。")</f>
        <v>游乐场显示在一个大公园的尘土飞扬的田野中。</v>
      </c>
    </row>
    <row r="36207">
      <c r="A36207" s="4" t="s">
        <v>45539</v>
      </c>
      <c r="B36207" s="4" t="s">
        <v>45542</v>
      </c>
      <c r="C36207" s="5" t="str">
        <f>IFERROR(__xludf.DUMMYFUNCTION("GOOGLETRANSLATE(B36207,""en"",""zh-CN"")"),"小孩是佩戴粉红色衬衫，从一侧到侧面悬挂。")</f>
        <v>小孩是佩戴粉红色衬衫，从一侧到侧面悬挂。</v>
      </c>
    </row>
    <row r="36208">
      <c r="A36208" s="4" t="s">
        <v>45543</v>
      </c>
      <c r="B36208" s="4" t="s">
        <v>45544</v>
      </c>
      <c r="C36208" s="5" t="str">
        <f>IFERROR(__xludf.DUMMYFUNCTION("GOOGLETRANSLATE(B36208,""en"",""zh-CN"")"),"泰坦合金的乔·莫林（Joe Morin）正在谈论焊接铝。")</f>
        <v>泰坦合金的乔·莫林（Joe Morin）正在谈论焊接铝。</v>
      </c>
    </row>
    <row r="36209">
      <c r="A36209" s="4" t="s">
        <v>45543</v>
      </c>
      <c r="B36209" s="4" t="s">
        <v>45545</v>
      </c>
      <c r="C36209" s="5" t="str">
        <f>IFERROR(__xludf.DUMMYFUNCTION("GOOGLETRANSLATE(B36209,""en"",""zh-CN"")"),"他正在做一个有关如何修复铝的教程。")</f>
        <v>他正在做一个有关如何修复铝的教程。</v>
      </c>
    </row>
    <row r="36210">
      <c r="A36210" s="4" t="s">
        <v>45543</v>
      </c>
      <c r="B36210" s="4" t="s">
        <v>45546</v>
      </c>
      <c r="C36210" s="5" t="str">
        <f>IFERROR(__xludf.DUMMYFUNCTION("GOOGLETRANSLATE(B36210,""en"",""zh-CN"")"),"他展示了一种名为Nova的新产品，该产品是清洁脏铝的电极。")</f>
        <v>他展示了一种名为Nova的新产品，该产品是清洁脏铝的电极。</v>
      </c>
    </row>
    <row r="36211">
      <c r="A36211" s="4" t="s">
        <v>45543</v>
      </c>
      <c r="B36211" s="4" t="s">
        <v>45547</v>
      </c>
      <c r="C36211" s="5" t="str">
        <f>IFERROR(__xludf.DUMMYFUNCTION("GOOGLETRANSLATE(B36211,""en"",""zh-CN"")"),"他展示了两个铝板，这些铝板是为了演示目的。")</f>
        <v>他展示了两个铝板，这些铝板是为了演示目的。</v>
      </c>
    </row>
    <row r="36212">
      <c r="A36212" s="4" t="s">
        <v>45543</v>
      </c>
      <c r="B36212" s="4" t="s">
        <v>45548</v>
      </c>
      <c r="C36212" s="5" t="str">
        <f>IFERROR(__xludf.DUMMYFUNCTION("GOOGLETRANSLATE(B36212,""en"",""zh-CN"")"),"他拿起Nova Rod，并展示了他如何将这两块焊接在一起。")</f>
        <v>他拿起Nova Rod，并展示了他如何将这两块焊接在一起。</v>
      </c>
    </row>
    <row r="36213">
      <c r="A36213" s="4" t="s">
        <v>45543</v>
      </c>
      <c r="B36213" s="4" t="s">
        <v>45549</v>
      </c>
      <c r="C36213" s="5" t="str">
        <f>IFERROR(__xludf.DUMMYFUNCTION("GOOGLETRANSLATE(B36213,""en"",""zh-CN"")"),"他开始焊接铝的两个板。")</f>
        <v>他开始焊接铝的两个板。</v>
      </c>
    </row>
    <row r="36214">
      <c r="A36214" s="4" t="s">
        <v>45543</v>
      </c>
      <c r="B36214" s="4" t="s">
        <v>45550</v>
      </c>
      <c r="C36214" s="5" t="str">
        <f>IFERROR(__xludf.DUMMYFUNCTION("GOOGLETRANSLATE(B36214,""en"",""zh-CN"")"),"然后，他用锤子击中盘子，然后从灰尘上擦洗。")</f>
        <v>然后，他用锤子击中盘子，然后从灰尘上擦洗。</v>
      </c>
    </row>
    <row r="36215">
      <c r="A36215" s="4" t="s">
        <v>45543</v>
      </c>
      <c r="B36215" s="4" t="s">
        <v>45551</v>
      </c>
      <c r="C36215" s="5" t="str">
        <f>IFERROR(__xludf.DUMMYFUNCTION("GOOGLETRANSLATE(B36215,""en"",""zh-CN"")"),"他展示了盘子的背面以及如何将其焊接在一起。")</f>
        <v>他展示了盘子的背面以及如何将其焊接在一起。</v>
      </c>
    </row>
    <row r="36216">
      <c r="A36216" s="4" t="s">
        <v>45552</v>
      </c>
      <c r="B36216" s="6" t="s">
        <v>45553</v>
      </c>
      <c r="C36216" s="5" t="str">
        <f>IFERROR(__xludf.DUMMYFUNCTION("GOOGLETRANSLATE(B36216,""en"",""zh-CN"")"),"在职业运动比赛中，一个男人用膝盖，背部和手臂力量举起大重量，而穿着西装的女人则在场外观看。")</f>
        <v>在职业运动比赛中，一个男人用膝盖，背部和手臂力量举起大重量，而穿着西装的女人则在场外观看。</v>
      </c>
    </row>
    <row r="36217">
      <c r="A36217" s="4" t="s">
        <v>45552</v>
      </c>
      <c r="B36217" s="6" t="s">
        <v>45554</v>
      </c>
      <c r="C36217" s="5" t="str">
        <f>IFERROR(__xludf.DUMMYFUNCTION("GOOGLETRANSLATE(B36217,""en"",""zh-CN"")"),"一个男人穿着“美国”衬衫或团队制服接近两侧的重量，因为女人从门附近的一侧看着。")</f>
        <v>一个男人穿着“美国”衬衫或团队制服接近两侧的重量，因为女人从门附近的一侧看着。</v>
      </c>
    </row>
    <row r="36218">
      <c r="A36218" s="4" t="s">
        <v>45552</v>
      </c>
      <c r="B36218" s="4" t="s">
        <v>45555</v>
      </c>
      <c r="C36218" s="5" t="str">
        <f>IFERROR(__xludf.DUMMYFUNCTION("GOOGLETRANSLATE(B36218,""en"",""zh-CN"")"),"该男子举重，相机以慢动作显示了过程。")</f>
        <v>该男子举重，相机以慢动作显示了过程。</v>
      </c>
    </row>
    <row r="36219">
      <c r="A36219" s="4" t="s">
        <v>45552</v>
      </c>
      <c r="B36219" s="6" t="s">
        <v>45556</v>
      </c>
      <c r="C36219" s="5" t="str">
        <f>IFERROR(__xludf.DUMMYFUNCTION("GOOGLETRANSLATE(B36219,""en"",""zh-CN"")"),"该男子将重物抬起头上，然后将其掉到中部身体，然后让其掉到地板上，他指出他放弃了看不见的观众，而边线上的女人则继续观察。")</f>
        <v>该男子将重物抬起头上，然后将其掉到中部身体，然后让其掉到地板上，他指出他放弃了看不见的观众，而边线上的女人则继续观察。</v>
      </c>
    </row>
    <row r="36220">
      <c r="A36220" s="4" t="s">
        <v>45557</v>
      </c>
      <c r="B36220" s="6" t="s">
        <v>45558</v>
      </c>
      <c r="C36220" s="5" t="str">
        <f>IFERROR(__xludf.DUMMYFUNCTION("GOOGLETRANSLATE(B36220,""en"",""zh-CN"")"),"穿着蓝色T恤的男孩在健身房中弹跳了两个篮球，同时挡住了另一名篮球运动员并用球进球。")</f>
        <v>穿着蓝色T恤的男孩在健身房中弹跳了两个篮球，同时挡住了另一名篮球运动员并用球进球。</v>
      </c>
    </row>
    <row r="36221">
      <c r="A36221" s="4" t="s">
        <v>45557</v>
      </c>
      <c r="B36221" s="4" t="s">
        <v>45559</v>
      </c>
      <c r="C36221" s="5" t="str">
        <f>IFERROR(__xludf.DUMMYFUNCTION("GOOGLETRANSLATE(B36221,""en"",""zh-CN"")"),"一个男孩在他的双腿之间弹跳了两个篮球。")</f>
        <v>一个男孩在他的双腿之间弹跳了两个篮球。</v>
      </c>
    </row>
    <row r="36222">
      <c r="A36222" s="4" t="s">
        <v>45557</v>
      </c>
      <c r="B36222" s="4" t="s">
        <v>45560</v>
      </c>
      <c r="C36222" s="5" t="str">
        <f>IFERROR(__xludf.DUMMYFUNCTION("GOOGLETRANSLATE(B36222,""en"",""zh-CN"")"),"另一位篮球运动员接近他，并试图从他身上接球。")</f>
        <v>另一位篮球运动员接近他，并试图从他身上接球。</v>
      </c>
    </row>
    <row r="36223">
      <c r="A36223" s="4" t="s">
        <v>45557</v>
      </c>
      <c r="B36223" s="6" t="s">
        <v>45561</v>
      </c>
      <c r="C36223" s="5" t="str">
        <f>IFERROR(__xludf.DUMMYFUNCTION("GOOGLETRANSLATE(B36223,""en"",""zh-CN"")"),"蓝色衬衫的球员挡住了他并实现了目标，然后再进行两次。")</f>
        <v>蓝色衬衫的球员挡住了他并实现了目标，然后再进行两次。</v>
      </c>
    </row>
    <row r="36224">
      <c r="A36224" s="4" t="s">
        <v>45562</v>
      </c>
      <c r="B36224" s="4" t="s">
        <v>45563</v>
      </c>
      <c r="C36224" s="5" t="str">
        <f>IFERROR(__xludf.DUMMYFUNCTION("GOOGLETRANSLATE(B36224,""en"",""zh-CN"")"),"男人正在弹钢琴，很多人聚集在他周围。")</f>
        <v>男人正在弹钢琴，很多人聚集在他周围。</v>
      </c>
    </row>
    <row r="36225">
      <c r="A36225" s="4" t="s">
        <v>45562</v>
      </c>
      <c r="B36225" s="4" t="s">
        <v>45564</v>
      </c>
      <c r="C36225" s="5" t="str">
        <f>IFERROR(__xludf.DUMMYFUNCTION("GOOGLETRANSLATE(B36225,""en"",""zh-CN"")"),"男人正在拿着手机，并在钢琴中录制该男子。")</f>
        <v>男人正在拿着手机，并在钢琴中录制该男子。</v>
      </c>
    </row>
    <row r="36226">
      <c r="A36226" s="4" t="s">
        <v>45565</v>
      </c>
      <c r="B36226" s="4" t="s">
        <v>45566</v>
      </c>
      <c r="C36226" s="5" t="str">
        <f>IFERROR(__xludf.DUMMYFUNCTION("GOOGLETRANSLATE(B36226,""en"",""zh-CN"")"),"一个人站在镜头前说，显示了各种各样的人和站点。")</f>
        <v>一个人站在镜头前说，显示了各种各样的人和站点。</v>
      </c>
    </row>
    <row r="36227">
      <c r="A36227" s="4" t="s">
        <v>45565</v>
      </c>
      <c r="B36227" s="4" t="s">
        <v>45567</v>
      </c>
      <c r="C36227" s="5" t="str">
        <f>IFERROR(__xludf.DUMMYFUNCTION("GOOGLETRANSLATE(B36227,""en"",""zh-CN"")"),"另一位男子接受了采访，随后是该地区的更多镜头。")</f>
        <v>另一位男子接受了采访，随后是该地区的更多镜头。</v>
      </c>
    </row>
    <row r="36228">
      <c r="A36228" s="4" t="s">
        <v>45565</v>
      </c>
      <c r="B36228" s="4" t="s">
        <v>45568</v>
      </c>
      <c r="C36228" s="5" t="str">
        <f>IFERROR(__xludf.DUMMYFUNCTION("GOOGLETRANSLATE(B36228,""en"",""zh-CN"")"),"一群人互相交谈，人们为比赛做好了准备。")</f>
        <v>一群人互相交谈，人们为比赛做好了准备。</v>
      </c>
    </row>
    <row r="36229">
      <c r="A36229" s="4" t="s">
        <v>45565</v>
      </c>
      <c r="B36229" s="4" t="s">
        <v>45569</v>
      </c>
      <c r="C36229" s="5" t="str">
        <f>IFERROR(__xludf.DUMMYFUNCTION("GOOGLETRANSLATE(B36229,""en"",""zh-CN"")"),"数十人排队并开始在海洋中游泳参加比赛。")</f>
        <v>数十人排队并开始在海洋中游泳参加比赛。</v>
      </c>
    </row>
    <row r="36230">
      <c r="A36230" s="4" t="s">
        <v>45565</v>
      </c>
      <c r="B36230" s="6" t="s">
        <v>45570</v>
      </c>
      <c r="C36230" s="5" t="str">
        <f>IFERROR(__xludf.DUMMYFUNCTION("GOOGLETRANSLATE(B36230,""en"",""zh-CN"")"),"比赛继续进行时，更多的人接受了采访，许多人观看和讨论事件。")</f>
        <v>比赛继续进行时，更多的人接受了采访，许多人观看和讨论事件。</v>
      </c>
    </row>
    <row r="36231">
      <c r="A36231" s="4" t="s">
        <v>45571</v>
      </c>
      <c r="B36231" s="4" t="s">
        <v>45572</v>
      </c>
      <c r="C36231" s="5" t="str">
        <f>IFERROR(__xludf.DUMMYFUNCTION("GOOGLETRANSLATE(B36231,""en"",""zh-CN"")"),"看到一个年轻的女孩坐在床上，用两个针织针和她的手中的线。")</f>
        <v>看到一个年轻的女孩坐在床上，用两个针织针和她的手中的线。</v>
      </c>
    </row>
    <row r="36232">
      <c r="A36232" s="4" t="s">
        <v>45571</v>
      </c>
      <c r="B36232" s="6" t="s">
        <v>45573</v>
      </c>
      <c r="C36232" s="5" t="str">
        <f>IFERROR(__xludf.DUMMYFUNCTION("GOOGLETRANSLATE(B36232,""en"",""zh-CN"")"),"相机在她周围摇晃，看着她说话并望向远处的针织。")</f>
        <v>相机在她周围摇晃，看着她说话并望向远处的针织。</v>
      </c>
    </row>
    <row r="36233">
      <c r="A36233" s="4" t="s">
        <v>45574</v>
      </c>
      <c r="B36233" s="4" t="s">
        <v>45575</v>
      </c>
      <c r="C36233" s="5" t="str">
        <f>IFERROR(__xludf.DUMMYFUNCTION("GOOGLETRANSLATE(B36233,""en"",""zh-CN"")"),"一个穿着红色外套的男孩拿着窗户刮刀工具，并从汽车挡风玻璃上取下雪。")</f>
        <v>一个穿着红色外套的男孩拿着窗户刮刀工具，并从汽车挡风玻璃上取下雪。</v>
      </c>
    </row>
    <row r="36234">
      <c r="A36234" s="4" t="s">
        <v>45574</v>
      </c>
      <c r="B36234" s="4" t="s">
        <v>45576</v>
      </c>
      <c r="C36234" s="5" t="str">
        <f>IFERROR(__xludf.DUMMYFUNCTION("GOOGLETRANSLATE(B36234,""en"",""zh-CN"")"),"男孩转动工具，并短暂使用边缘角边缘。")</f>
        <v>男孩转动工具，并短暂使用边缘角边缘。</v>
      </c>
    </row>
    <row r="36235">
      <c r="A36235" s="4" t="s">
        <v>45574</v>
      </c>
      <c r="B36235" s="4" t="s">
        <v>45577</v>
      </c>
      <c r="C36235" s="5" t="str">
        <f>IFERROR(__xludf.DUMMYFUNCTION("GOOGLETRANSLATE(B36235,""en"",""zh-CN"")"),"该男孩像以前一样继续刮擦挡风玻璃。")</f>
        <v>该男孩像以前一样继续刮擦挡风玻璃。</v>
      </c>
    </row>
    <row r="36236">
      <c r="A36236" s="4" t="s">
        <v>45578</v>
      </c>
      <c r="B36236" s="4" t="s">
        <v>45579</v>
      </c>
      <c r="C36236" s="5" t="str">
        <f>IFERROR(__xludf.DUMMYFUNCTION("GOOGLETRANSLATE(B36236,""en"",""zh-CN"")"),"我们看到了五颜六色的标题卡。")</f>
        <v>我们看到了五颜六色的标题卡。</v>
      </c>
    </row>
    <row r="36237">
      <c r="A36237" s="4" t="s">
        <v>45578</v>
      </c>
      <c r="B36237" s="4" t="s">
        <v>45580</v>
      </c>
      <c r="C36237" s="5" t="str">
        <f>IFERROR(__xludf.DUMMYFUNCTION("GOOGLETRANSLATE(B36237,""en"",""zh-CN"")"),"我们看到孩子们在操场上玩耍。")</f>
        <v>我们看到孩子们在操场上玩耍。</v>
      </c>
    </row>
    <row r="36238">
      <c r="A36238" s="4" t="s">
        <v>45578</v>
      </c>
      <c r="B36238" s="4" t="s">
        <v>45581</v>
      </c>
      <c r="C36238" s="5" t="str">
        <f>IFERROR(__xludf.DUMMYFUNCTION("GOOGLETRANSLATE(B36238,""en"",""zh-CN"")"),"这个男孩摆脱了秋千，我们跟着他走到幻灯片上。")</f>
        <v>这个男孩摆脱了秋千，我们跟着他走到幻灯片上。</v>
      </c>
    </row>
    <row r="36239">
      <c r="A36239" s="4" t="s">
        <v>45578</v>
      </c>
      <c r="B36239" s="4" t="s">
        <v>45582</v>
      </c>
      <c r="C36239" s="5" t="str">
        <f>IFERROR(__xludf.DUMMYFUNCTION("GOOGLETRANSLATE(B36239,""en"",""zh-CN"")"),"男孩完成了滑动，去了公园的另一个地方，并四处游玩。")</f>
        <v>男孩完成了滑动，去了公园的另一个地方，并四处游玩。</v>
      </c>
    </row>
    <row r="36240">
      <c r="A36240" s="4" t="s">
        <v>45578</v>
      </c>
      <c r="B36240" s="4" t="s">
        <v>45583</v>
      </c>
      <c r="C36240" s="5" t="str">
        <f>IFERROR(__xludf.DUMMYFUNCTION("GOOGLETRANSLATE(B36240,""en"",""zh-CN"")"),"男孩在滑下之前滑倒并掉落在桥上。")</f>
        <v>男孩在滑下之前滑倒并掉落在桥上。</v>
      </c>
    </row>
    <row r="36241">
      <c r="A36241" s="4" t="s">
        <v>45578</v>
      </c>
      <c r="B36241" s="4" t="s">
        <v>45584</v>
      </c>
      <c r="C36241" s="5" t="str">
        <f>IFERROR(__xludf.DUMMYFUNCTION("GOOGLETRANSLATE(B36241,""en"",""zh-CN"")"),"他和另一个孩子一起玩大挥杆。")</f>
        <v>他和另一个孩子一起玩大挥杆。</v>
      </c>
    </row>
    <row r="36242">
      <c r="A36242" s="4" t="s">
        <v>45578</v>
      </c>
      <c r="B36242" s="4" t="s">
        <v>45585</v>
      </c>
      <c r="C36242" s="5" t="str">
        <f>IFERROR(__xludf.DUMMYFUNCTION("GOOGLETRANSLATE(B36242,""en"",""zh-CN"")"),"我们看到终点屏幕。")</f>
        <v>我们看到终点屏幕。</v>
      </c>
    </row>
    <row r="36243">
      <c r="A36243" s="4" t="s">
        <v>45586</v>
      </c>
      <c r="B36243" s="4" t="s">
        <v>45587</v>
      </c>
      <c r="C36243" s="5" t="str">
        <f>IFERROR(__xludf.DUMMYFUNCTION("GOOGLETRANSLATE(B36243,""en"",""zh-CN"")"),"一个人把某人抱在肩上。")</f>
        <v>一个人把某人抱在肩上。</v>
      </c>
    </row>
    <row r="36244">
      <c r="A36244" s="4" t="s">
        <v>45586</v>
      </c>
      <c r="B36244" s="4" t="s">
        <v>45588</v>
      </c>
      <c r="C36244" s="5" t="str">
        <f>IFERROR(__xludf.DUMMYFUNCTION("GOOGLETRANSLATE(B36244,""en"",""zh-CN"")"),"他们旋转了几次，跌落到地板上。")</f>
        <v>他们旋转了几次，跌落到地板上。</v>
      </c>
    </row>
    <row r="36245">
      <c r="A36245" s="4" t="s">
        <v>45586</v>
      </c>
      <c r="B36245" s="4" t="s">
        <v>45589</v>
      </c>
      <c r="C36245" s="5" t="str">
        <f>IFERROR(__xludf.DUMMYFUNCTION("GOOGLETRANSLATE(B36245,""en"",""zh-CN"")"),"那个男人站起来坐在床上。")</f>
        <v>那个男人站起来坐在床上。</v>
      </c>
    </row>
    <row r="36246">
      <c r="A36246" s="4" t="s">
        <v>45590</v>
      </c>
      <c r="B36246" s="6" t="s">
        <v>45591</v>
      </c>
      <c r="C36246" s="5" t="str">
        <f>IFERROR(__xludf.DUMMYFUNCTION("GOOGLETRANSLATE(B36246,""en"",""zh-CN"")"),"这些女孩跪在地板上，打扮成一个女孩的嘴唇，脸颊，额头和眼睛下方。")</f>
        <v>这些女孩跪在地板上，打扮成一个女孩的嘴唇，脸颊，额头和眼睛下方。</v>
      </c>
    </row>
    <row r="36247">
      <c r="A36247" s="4" t="s">
        <v>45590</v>
      </c>
      <c r="B36247" s="4" t="s">
        <v>45592</v>
      </c>
      <c r="C36247" s="5" t="str">
        <f>IFERROR(__xludf.DUMMYFUNCTION("GOOGLETRANSLATE(B36247,""en"",""zh-CN"")"),"然后，另一个人将一些妆容放在她的眼睛顶部。")</f>
        <v>然后，另一个人将一些妆容放在她的眼睛顶部。</v>
      </c>
    </row>
    <row r="36248">
      <c r="A36248" s="4" t="s">
        <v>45593</v>
      </c>
      <c r="B36248" s="4" t="s">
        <v>45594</v>
      </c>
      <c r="C36248" s="5" t="str">
        <f>IFERROR(__xludf.DUMMYFUNCTION("GOOGLETRANSLATE(B36248,""en"",""zh-CN"")"),"看到一个幼儿站在拿着抹布的汽车前看着相机。")</f>
        <v>看到一个幼儿站在拿着抹布的汽车前看着相机。</v>
      </c>
    </row>
    <row r="36249">
      <c r="A36249" s="4" t="s">
        <v>45593</v>
      </c>
      <c r="B36249" s="4" t="s">
        <v>45595</v>
      </c>
      <c r="C36249" s="5" t="str">
        <f>IFERROR(__xludf.DUMMYFUNCTION("GOOGLETRANSLATE(B36249,""en"",""zh-CN"")"),"当相机跟随他的动作时，男孩在车上使用抹布。")</f>
        <v>当相机跟随他的动作时，男孩在车上使用抹布。</v>
      </c>
    </row>
    <row r="36250">
      <c r="A36250" s="4" t="s">
        <v>45593</v>
      </c>
      <c r="B36250" s="4" t="s">
        <v>45596</v>
      </c>
      <c r="C36250" s="5" t="str">
        <f>IFERROR(__xludf.DUMMYFUNCTION("GOOGLETRANSLATE(B36250,""en"",""zh-CN"")"),"他继续在汽车上移动，而另一个男人则喷了一条软管，男孩将其擦掉。")</f>
        <v>他继续在汽车上移动，而另一个男人则喷了一条软管，男孩将其擦掉。</v>
      </c>
    </row>
    <row r="36251">
      <c r="A36251" s="4" t="s">
        <v>45597</v>
      </c>
      <c r="B36251" s="4" t="s">
        <v>45598</v>
      </c>
      <c r="C36251" s="5" t="str">
        <f>IFERROR(__xludf.DUMMYFUNCTION("GOOGLETRANSLATE(B36251,""en"",""zh-CN"")"),"看到几个人在低头看着镜头说话时，在冰上钻孔。")</f>
        <v>看到几个人在低头看着镜头说话时，在冰上钻孔。</v>
      </c>
    </row>
    <row r="36252">
      <c r="A36252" s="4" t="s">
        <v>45597</v>
      </c>
      <c r="B36252" s="4" t="s">
        <v>45599</v>
      </c>
      <c r="C36252" s="5" t="str">
        <f>IFERROR(__xludf.DUMMYFUNCTION("GOOGLETRANSLATE(B36252,""en"",""zh-CN"")"),"显示了许多人钓鱼以及将鱼从洞中拉出的照片。")</f>
        <v>显示了许多人钓鱼以及将鱼从洞中拉出的照片。</v>
      </c>
    </row>
    <row r="36253">
      <c r="A36253" s="4" t="s">
        <v>45597</v>
      </c>
      <c r="B36253" s="4" t="s">
        <v>45600</v>
      </c>
      <c r="C36253" s="5" t="str">
        <f>IFERROR(__xludf.DUMMYFUNCTION("GOOGLETRANSLATE(B36253,""en"",""zh-CN"")"),"越来越多的人坐在洞里，继续拉出鱼。")</f>
        <v>越来越多的人坐在洞里，继续拉出鱼。</v>
      </c>
    </row>
    <row r="36254">
      <c r="A36254" s="4" t="s">
        <v>45601</v>
      </c>
      <c r="B36254" s="4" t="s">
        <v>45602</v>
      </c>
      <c r="C36254" s="5" t="str">
        <f>IFERROR(__xludf.DUMMYFUNCTION("GOOGLETRANSLATE(B36254,""en"",""zh-CN"")"),"一群人一起走上了障碍。")</f>
        <v>一群人一起走上了障碍。</v>
      </c>
    </row>
    <row r="36255">
      <c r="A36255" s="4" t="s">
        <v>45601</v>
      </c>
      <c r="B36255" s="4" t="s">
        <v>45603</v>
      </c>
      <c r="C36255" s="5" t="str">
        <f>IFERROR(__xludf.DUMMYFUNCTION("GOOGLETRANSLATE(B36255,""en"",""zh-CN"")"),"他们躲在障碍物后面，用油漆枪互相射击。")</f>
        <v>他们躲在障碍物后面，用油漆枪互相射击。</v>
      </c>
    </row>
    <row r="36256">
      <c r="A36256" s="4" t="s">
        <v>45601</v>
      </c>
      <c r="B36256" s="4" t="s">
        <v>45604</v>
      </c>
      <c r="C36256" s="5" t="str">
        <f>IFERROR(__xludf.DUMMYFUNCTION("GOOGLETRANSLATE(B36256,""en"",""zh-CN"")"),"他们四处奔跑，然后在完成后聚集和拥抱。")</f>
        <v>他们四处奔跑，然后在完成后聚集和拥抱。</v>
      </c>
    </row>
    <row r="36257">
      <c r="A36257" s="4" t="s">
        <v>45605</v>
      </c>
      <c r="B36257" s="4" t="s">
        <v>45606</v>
      </c>
      <c r="C36257" s="5" t="str">
        <f>IFERROR(__xludf.DUMMYFUNCTION("GOOGLETRANSLATE(B36257,""en"",""zh-CN"")"),"成分混合在一个银碗中。")</f>
        <v>成分混合在一个银碗中。</v>
      </c>
    </row>
    <row r="36258">
      <c r="A36258" s="4" t="s">
        <v>45605</v>
      </c>
      <c r="B36258" s="4" t="s">
        <v>45607</v>
      </c>
      <c r="C36258" s="5" t="str">
        <f>IFERROR(__xludf.DUMMYFUNCTION("GOOGLETRANSLATE(B36258,""en"",""zh-CN"")"),"然后将其放在曲奇纸上。")</f>
        <v>然后将其放在曲奇纸上。</v>
      </c>
    </row>
    <row r="36259">
      <c r="A36259" s="4" t="s">
        <v>45605</v>
      </c>
      <c r="B36259" s="4" t="s">
        <v>45608</v>
      </c>
      <c r="C36259" s="5" t="str">
        <f>IFERROR(__xludf.DUMMYFUNCTION("GOOGLETRANSLATE(B36259,""en"",""zh-CN"")"),"然后显示煮熟的食物并将其分成两半。")</f>
        <v>然后显示煮熟的食物并将其分成两半。</v>
      </c>
    </row>
    <row r="36260">
      <c r="A36260" s="4" t="s">
        <v>45609</v>
      </c>
      <c r="B36260" s="4" t="s">
        <v>45610</v>
      </c>
      <c r="C36260" s="5" t="str">
        <f>IFERROR(__xludf.DUMMYFUNCTION("GOOGLETRANSLATE(B36260,""en"",""zh-CN"")"),"当一个人开始沿着道路行驶时，显示了一个田野与一些山脉。")</f>
        <v>当一个人开始沿着道路行驶时，显示了一个田野与一些山脉。</v>
      </c>
    </row>
    <row r="36261">
      <c r="A36261" s="4" t="s">
        <v>45609</v>
      </c>
      <c r="B36261" s="4" t="s">
        <v>45611</v>
      </c>
      <c r="C36261" s="5" t="str">
        <f>IFERROR(__xludf.DUMMYFUNCTION("GOOGLETRANSLATE(B36261,""en"",""zh-CN"")"),"之后，向男人展示，他们走出去，开始在该国的一条道路上滑动滑板。")</f>
        <v>之后，向男人展示，他们走出去，开始在该国的一条道路上滑动滑板。</v>
      </c>
    </row>
    <row r="36262">
      <c r="A36262" s="4" t="s">
        <v>45609</v>
      </c>
      <c r="B36262" s="6" t="s">
        <v>45612</v>
      </c>
      <c r="C36262" s="5" t="str">
        <f>IFERROR(__xludf.DUMMYFUNCTION("GOOGLETRANSLATE(B36262,""en"",""zh-CN"")"),"随着继续的方式，大干草架在道路的中间，它们都穿过它，他们在道路上滑冰。")</f>
        <v>随着继续的方式，大干草架在道路的中间，它们都穿过它，他们在道路上滑冰。</v>
      </c>
    </row>
    <row r="36263">
      <c r="A36263" s="4" t="s">
        <v>45613</v>
      </c>
      <c r="B36263" s="4" t="s">
        <v>45614</v>
      </c>
      <c r="C36263" s="5" t="str">
        <f>IFERROR(__xludf.DUMMYFUNCTION("GOOGLETRANSLATE(B36263,""en"",""zh-CN"")"),"一堆树木在建筑物外面的鹅卵石路径上吹来。")</f>
        <v>一堆树木在建筑物外面的鹅卵石路径上吹来。</v>
      </c>
    </row>
    <row r="36264">
      <c r="A36264" s="4" t="s">
        <v>45613</v>
      </c>
      <c r="B36264" s="6" t="s">
        <v>45615</v>
      </c>
      <c r="C36264" s="5" t="str">
        <f>IFERROR(__xludf.DUMMYFUNCTION("GOOGLETRANSLATE(B36264,""en"",""zh-CN"")"),"随着叶子继续吹来，一个小男孩走进现场，用他的叶子鼓风机清理了这条路。")</f>
        <v>随着叶子继续吹来，一个小男孩走进现场，用他的叶子鼓风机清理了这条路。</v>
      </c>
    </row>
    <row r="36265">
      <c r="A36265" s="4" t="s">
        <v>45616</v>
      </c>
      <c r="B36265" s="4" t="s">
        <v>45617</v>
      </c>
      <c r="C36265" s="5" t="str">
        <f>IFERROR(__xludf.DUMMYFUNCTION("GOOGLETRANSLATE(B36265,""en"",""zh-CN"")"),"一个穿着西装的男人在弹钢琴前面的舞台上扮演长笛。")</f>
        <v>一个穿着西装的男人在弹钢琴前面的舞台上扮演长笛。</v>
      </c>
    </row>
    <row r="36266">
      <c r="A36266" s="4" t="s">
        <v>45616</v>
      </c>
      <c r="B36266" s="4" t="s">
        <v>45618</v>
      </c>
      <c r="C36266" s="5" t="str">
        <f>IFERROR(__xludf.DUMMYFUNCTION("GOOGLETRANSLATE(B36266,""en"",""zh-CN"")"),"他们结束了比赛，弹钢琴的人站起来。")</f>
        <v>他们结束了比赛，弹钢琴的人站起来。</v>
      </c>
    </row>
    <row r="36267">
      <c r="A36267" s="4" t="s">
        <v>45619</v>
      </c>
      <c r="B36267" s="4" t="s">
        <v>45620</v>
      </c>
      <c r="C36267" s="5" t="str">
        <f>IFERROR(__xludf.DUMMYFUNCTION("GOOGLETRANSLATE(B36267,""en"",""zh-CN"")"),"水肺潜水员在水下戴着氧气。")</f>
        <v>水肺潜水员在水下戴着氧气。</v>
      </c>
    </row>
    <row r="36268">
      <c r="A36268" s="4" t="s">
        <v>45619</v>
      </c>
      <c r="B36268" s="4" t="s">
        <v>45621</v>
      </c>
      <c r="C36268" s="5" t="str">
        <f>IFERROR(__xludf.DUMMYFUNCTION("GOOGLETRANSLATE(B36268,""en"",""zh-CN"")"),"潜水员握着他的眼膜，然后戴上。")</f>
        <v>潜水员握着他的眼膜，然后戴上。</v>
      </c>
    </row>
    <row r="36269">
      <c r="A36269" s="4" t="s">
        <v>45619</v>
      </c>
      <c r="B36269" s="6" t="s">
        <v>45622</v>
      </c>
      <c r="C36269" s="5" t="str">
        <f>IFERROR(__xludf.DUMMYFUNCTION("GOOGLETRANSLATE(B36269,""en"",""zh-CN"")"),"另一个水肺潜水员摘下了他的眼罩，而在他身后是其他水肺潜水员游泳，然后他被掩盖了，用手指放了一个好的标志。")</f>
        <v>另一个水肺潜水员摘下了他的眼罩，而在他身后是其他水肺潜水员游泳，然后他被掩盖了，用手指放了一个好的标志。</v>
      </c>
    </row>
    <row r="36270">
      <c r="A36270" s="4" t="s">
        <v>45623</v>
      </c>
      <c r="B36270" s="4" t="s">
        <v>45624</v>
      </c>
      <c r="C36270" s="5" t="str">
        <f>IFERROR(__xludf.DUMMYFUNCTION("GOOGLETRANSLATE(B36270,""en"",""zh-CN"")"),"一个男人在院子里避难。")</f>
        <v>一个男人在院子里避难。</v>
      </c>
    </row>
    <row r="36271">
      <c r="A36271" s="4" t="s">
        <v>45623</v>
      </c>
      <c r="B36271" s="4" t="s">
        <v>45625</v>
      </c>
      <c r="C36271" s="5" t="str">
        <f>IFERROR(__xludf.DUMMYFUNCTION("GOOGLETRANSLATE(B36271,""en"",""zh-CN"")"),"他上下切下厚的刷子。")</f>
        <v>他上下切下厚的刷子。</v>
      </c>
    </row>
    <row r="36272">
      <c r="A36272" s="4" t="s">
        <v>45623</v>
      </c>
      <c r="B36272" s="4" t="s">
        <v>45626</v>
      </c>
      <c r="C36272" s="5" t="str">
        <f>IFERROR(__xludf.DUMMYFUNCTION("GOOGLETRANSLATE(B36272,""en"",""zh-CN"")"),"他完成了树篱，炫耀自己的技能。")</f>
        <v>他完成了树篱，炫耀自己的技能。</v>
      </c>
    </row>
    <row r="36273">
      <c r="A36273" s="4" t="s">
        <v>45627</v>
      </c>
      <c r="B36273" s="6" t="s">
        <v>45628</v>
      </c>
      <c r="C36273" s="5" t="str">
        <f>IFERROR(__xludf.DUMMYFUNCTION("GOOGLETRANSLATE(B36273,""en"",""zh-CN"")"),"公牛在街上奔跑的人，将他们扔到地板上，而公牛则固定在绳索上。")</f>
        <v>公牛在街上奔跑的人，将他们扔到地板上，而公牛则固定在绳索上。</v>
      </c>
    </row>
    <row r="36274">
      <c r="A36274" s="4" t="s">
        <v>45627</v>
      </c>
      <c r="B36274" s="4" t="s">
        <v>45629</v>
      </c>
      <c r="C36274" s="5" t="str">
        <f>IFERROR(__xludf.DUMMYFUNCTION("GOOGLETRANSLATE(B36274,""en"",""zh-CN"")"),"公牛进入家中，然后公牛继续在街上的人们继续努力。")</f>
        <v>公牛进入家中，然后公牛继续在街上的人们继续努力。</v>
      </c>
    </row>
    <row r="36275">
      <c r="A36275" s="4" t="s">
        <v>45627</v>
      </c>
      <c r="B36275" s="6" t="s">
        <v>45630</v>
      </c>
      <c r="C36275" s="5" t="str">
        <f>IFERROR(__xludf.DUMMYFUNCTION("GOOGLETRANSLATE(B36275,""en"",""zh-CN"")"),"公牛进入畜栏​​并攻击篱笆后面的一个人，然后公牛继续在街上猛烈地刺痛人们。")</f>
        <v>公牛进入畜栏​​并攻击篱笆后面的一个人，然后公牛继续在街上猛烈地刺痛人们。</v>
      </c>
    </row>
    <row r="36276">
      <c r="A36276" s="4" t="s">
        <v>45627</v>
      </c>
      <c r="B36276" s="6" t="s">
        <v>45631</v>
      </c>
      <c r="C36276" s="5" t="str">
        <f>IFERROR(__xludf.DUMMYFUNCTION("GOOGLETRANSLATE(B36276,""en"",""zh-CN"")"),"一个人在公牛与另一只公牛落在地面上的公牛冲突后，将公牛宠爱。")</f>
        <v>一个人在公牛与另一只公牛落在地面上的公牛冲突后，将公牛宠爱。</v>
      </c>
    </row>
    <row r="36277">
      <c r="A36277" s="4" t="s">
        <v>45627</v>
      </c>
      <c r="B36277" s="4" t="s">
        <v>45632</v>
      </c>
      <c r="C36277" s="5" t="str">
        <f>IFERROR(__xludf.DUMMYFUNCTION("GOOGLETRANSLATE(B36277,""en"",""zh-CN"")"),"公牛攻击狗坐在门前。")</f>
        <v>公牛攻击狗坐在门前。</v>
      </c>
    </row>
    <row r="36278">
      <c r="A36278" s="4" t="s">
        <v>45627</v>
      </c>
      <c r="B36278" s="4" t="s">
        <v>45633</v>
      </c>
      <c r="C36278" s="5" t="str">
        <f>IFERROR(__xludf.DUMMYFUNCTION("GOOGLETRANSLATE(B36278,""en"",""zh-CN"")"),"公牛会在人行道上刺痛人们，并攻击人们。")</f>
        <v>公牛会在人行道上刺痛人们，并攻击人们。</v>
      </c>
    </row>
    <row r="36279">
      <c r="A36279" s="4" t="s">
        <v>45627</v>
      </c>
      <c r="B36279" s="4" t="s">
        <v>45634</v>
      </c>
      <c r="C36279" s="5" t="str">
        <f>IFERROR(__xludf.DUMMYFUNCTION("GOOGLETRANSLATE(B36279,""en"",""zh-CN"")"),"公牛继续盖上人们的身后。")</f>
        <v>公牛继续盖上人们的身后。</v>
      </c>
    </row>
    <row r="36280">
      <c r="A36280" s="4" t="s">
        <v>45635</v>
      </c>
      <c r="B36280" s="6" t="s">
        <v>45636</v>
      </c>
      <c r="C36280" s="5" t="str">
        <f>IFERROR(__xludf.DUMMYFUNCTION("GOOGLETRANSLATE(B36280,""en"",""zh-CN"")"),"首先，男人在皮纳塔（Pinata）附近走了一个蒙住眼睛的女人，她开始挥舞扫帚。")</f>
        <v>首先，男人在皮纳塔（Pinata）附近走了一个蒙住眼睛的女人，她开始挥舞扫帚。</v>
      </c>
    </row>
    <row r="36281">
      <c r="A36281" s="4" t="s">
        <v>45635</v>
      </c>
      <c r="B36281" s="4" t="s">
        <v>45637</v>
      </c>
      <c r="C36281" s="5" t="str">
        <f>IFERROR(__xludf.DUMMYFUNCTION("GOOGLETRANSLATE(B36281,""en"",""zh-CN"")"),"但是她错过了几次，因为皮纳塔在空中上下移动。")</f>
        <v>但是她错过了几次，因为皮纳塔在空中上下移动。</v>
      </c>
    </row>
    <row r="36282">
      <c r="A36282" s="4" t="s">
        <v>45635</v>
      </c>
      <c r="B36282" s="6" t="s">
        <v>45638</v>
      </c>
      <c r="C36282" s="5" t="str">
        <f>IFERROR(__xludf.DUMMYFUNCTION("GOOGLETRANSLATE(B36282,""en"",""zh-CN"")"),"经过一段时间的尝试，她撞到了皮纳塔（Pinata）悬挂的绳子并将皮纳塔（Pinata）撞倒，但几乎没有拿出任何糖果。")</f>
        <v>经过一段时间的尝试，她撞到了皮纳塔（Pinata）悬挂的绳子并将皮纳塔（Pinata）撞倒，但几乎没有拿出任何糖果。</v>
      </c>
    </row>
    <row r="36283">
      <c r="A36283" s="4" t="s">
        <v>45639</v>
      </c>
      <c r="B36283" s="6" t="s">
        <v>45640</v>
      </c>
      <c r="C36283" s="5" t="str">
        <f>IFERROR(__xludf.DUMMYFUNCTION("GOOGLETRANSLATE(B36283,""en"",""zh-CN"")"),"一小群人坐在水中坐着，随后在板上的一架直升机后面骑行，一个女人在相机上说话。")</f>
        <v>一小群人坐在水中坐着，随后在板上的一架直升机后面骑行，一个女人在相机上说话。</v>
      </c>
    </row>
    <row r="36284">
      <c r="A36284" s="4" t="s">
        <v>45639</v>
      </c>
      <c r="B36284" s="6" t="s">
        <v>45641</v>
      </c>
      <c r="C36284" s="5" t="str">
        <f>IFERROR(__xludf.DUMMYFUNCTION("GOOGLETRANSLATE(B36284,""en"",""zh-CN"")"),"该男子继续骑行，然后看到直升机和飞行员挥舞着空中。")</f>
        <v>该男子继续骑行，然后看到直升机和飞行员挥舞着空中。</v>
      </c>
    </row>
    <row r="36285">
      <c r="A36285" s="4" t="s">
        <v>45639</v>
      </c>
      <c r="B36285" s="6" t="s">
        <v>45642</v>
      </c>
      <c r="C36285" s="5" t="str">
        <f>IFERROR(__xludf.DUMMYFUNCTION("GOOGLETRANSLATE(B36285,""en"",""zh-CN"")"),"然后，该男子放开直升机，骑在降落伞上，安全地降落回水中。")</f>
        <v>然后，该男子放开直升机，骑在降落伞上，安全地降落回水中。</v>
      </c>
    </row>
    <row r="36286">
      <c r="A36286" s="4" t="s">
        <v>45639</v>
      </c>
      <c r="B36286" s="4" t="s">
        <v>45643</v>
      </c>
      <c r="C36286" s="5" t="str">
        <f>IFERROR(__xludf.DUMMYFUNCTION("GOOGLETRANSLATE(B36286,""en"",""zh-CN"")"),"然后，男人躺下，再次显示他的枪声，女人对他说话。")</f>
        <v>然后，男人躺下，再次显示他的枪声，女人对他说话。</v>
      </c>
    </row>
    <row r="36287">
      <c r="A36287" s="4" t="s">
        <v>45644</v>
      </c>
      <c r="B36287" s="4" t="s">
        <v>45645</v>
      </c>
      <c r="C36287" s="5" t="str">
        <f>IFERROR(__xludf.DUMMYFUNCTION("GOOGLETRANSLATE(B36287,""en"",""zh-CN"")"),"两名妇女站在海滩上，穿比基尼，拿着冲浪板。")</f>
        <v>两名妇女站在海滩上，穿比基尼，拿着冲浪板。</v>
      </c>
    </row>
    <row r="36288">
      <c r="A36288" s="4" t="s">
        <v>45644</v>
      </c>
      <c r="B36288" s="6" t="s">
        <v>45646</v>
      </c>
      <c r="C36288" s="5" t="str">
        <f>IFERROR(__xludf.DUMMYFUNCTION("GOOGLETRANSLATE(B36288,""en"",""zh-CN"")"),"然后显示他们走到海滩上，在海浪冲浪之间摆姿势拍照。")</f>
        <v>然后显示他们走到海滩上，在海浪冲浪之间摆姿势拍照。</v>
      </c>
    </row>
    <row r="36289">
      <c r="A36289" s="4" t="s">
        <v>45644</v>
      </c>
      <c r="B36289" s="4" t="s">
        <v>45647</v>
      </c>
      <c r="C36289" s="5" t="str">
        <f>IFERROR(__xludf.DUMMYFUNCTION("GOOGLETRANSLATE(B36289,""en"",""zh-CN"")"),"他们展示了如何进行各种冲浪动作。")</f>
        <v>他们展示了如何进行各种冲浪动作。</v>
      </c>
    </row>
    <row r="36290">
      <c r="A36290" s="4" t="s">
        <v>45644</v>
      </c>
      <c r="B36290" s="4" t="s">
        <v>45648</v>
      </c>
      <c r="C36290" s="5" t="str">
        <f>IFERROR(__xludf.DUMMYFUNCTION("GOOGLETRANSLATE(B36290,""en"",""zh-CN"")"),"然后，他们在海滩上显示，他们说话时坐下。")</f>
        <v>然后，他们在海滩上显示，他们说话时坐下。</v>
      </c>
    </row>
    <row r="36291">
      <c r="A36291" s="4" t="s">
        <v>45649</v>
      </c>
      <c r="B36291" s="6" t="s">
        <v>45650</v>
      </c>
      <c r="C36291" s="5" t="str">
        <f>IFERROR(__xludf.DUMMYFUNCTION("GOOGLETRANSLATE(B36291,""en"",""zh-CN"")"),"看到几名男子主持了一个新闻节目，这些新闻部门会导致人们一起玩游戏并互相吵架的片段。")</f>
        <v>看到几名男子主持了一个新闻节目，这些新闻部门会导致人们一起玩游戏并互相吵架的片段。</v>
      </c>
    </row>
    <row r="36292">
      <c r="A36292" s="4" t="s">
        <v>45649</v>
      </c>
      <c r="B36292" s="4" t="s">
        <v>45651</v>
      </c>
      <c r="C36292" s="5" t="str">
        <f>IFERROR(__xludf.DUMMYFUNCTION("GOOGLETRANSLATE(B36292,""en"",""zh-CN"")"),"还显示了更多的人镜头，以及庆祝和走开的人。")</f>
        <v>还显示了更多的人镜头，以及庆祝和走开的人。</v>
      </c>
    </row>
    <row r="36293">
      <c r="A36293" s="4" t="s">
        <v>45649</v>
      </c>
      <c r="B36293" s="6" t="s">
        <v>45652</v>
      </c>
      <c r="C36293" s="5" t="str">
        <f>IFERROR(__xludf.DUMMYFUNCTION("GOOGLETRANSLATE(B36293,""en"",""zh-CN"")"),"展示了更多的镜头，主持人彼此说话，人们击球并走开。")</f>
        <v>展示了更多的镜头，主持人彼此说话，人们击球并走开。</v>
      </c>
    </row>
    <row r="36294">
      <c r="A36294" s="4" t="s">
        <v>45653</v>
      </c>
      <c r="B36294" s="6" t="s">
        <v>45654</v>
      </c>
      <c r="C36294" s="5" t="str">
        <f>IFERROR(__xludf.DUMMYFUNCTION("GOOGLETRANSLATE(B36294,""en"",""zh-CN"")"),"一个女人和另一个人在橙色的独木舟上划在一个平静的水体中，被山，树木和灌木丛包围。")</f>
        <v>一个女人和另一个人在橙色的独木舟上划在一个平静的水体中，被山，树木和灌木丛包围。</v>
      </c>
    </row>
    <row r="36295">
      <c r="A36295" s="4" t="s">
        <v>45653</v>
      </c>
      <c r="B36295" s="6" t="s">
        <v>45655</v>
      </c>
      <c r="C36295" s="5" t="str">
        <f>IFERROR(__xludf.DUMMYFUNCTION("GOOGLETRANSLATE(B36295,""en"",""zh-CN"")"),"女人在独木舟划船的前面，另一个戴着戴帽子的人坐在那个女人后面。")</f>
        <v>女人在独木舟划船的前面，另一个戴着戴帽子的人坐在那个女人后面。</v>
      </c>
    </row>
    <row r="36296">
      <c r="A36296" s="4" t="s">
        <v>45653</v>
      </c>
      <c r="B36296" s="4" t="s">
        <v>45656</v>
      </c>
      <c r="C36296" s="5" t="str">
        <f>IFERROR(__xludf.DUMMYFUNCTION("GOOGLETRANSLATE(B36296,""en"",""zh-CN"")"),"两个人从左边划船，在山前经过一条灌木丛。")</f>
        <v>两个人从左边划船，在山前经过一条灌木丛。</v>
      </c>
    </row>
    <row r="36297">
      <c r="A36297" s="4" t="s">
        <v>45653</v>
      </c>
      <c r="B36297" s="6" t="s">
        <v>45657</v>
      </c>
      <c r="C36297" s="5" t="str">
        <f>IFERROR(__xludf.DUMMYFUNCTION("GOOGLETRANSLATE(B36297,""en"",""zh-CN"")"),"然后，两个人远离山脉，距离水的中间更近。")</f>
        <v>然后，两个人远离山脉，距离水的中间更近。</v>
      </c>
    </row>
    <row r="36298">
      <c r="A36298" s="4" t="s">
        <v>45658</v>
      </c>
      <c r="B36298" s="6" t="s">
        <v>45659</v>
      </c>
      <c r="C36298" s="5" t="str">
        <f>IFERROR(__xludf.DUMMYFUNCTION("GOOGLETRANSLATE(B36298,""en"",""zh-CN"")"),"该视频导致了几张镜头，这些镜头表现出令人印象深刻的跳跃和翻转的高水平潜水。")</f>
        <v>该视频导致了几张镜头，这些镜头表现出令人印象深刻的跳跃和翻转的高水平潜水。</v>
      </c>
    </row>
    <row r="36299">
      <c r="A36299" s="4" t="s">
        <v>45658</v>
      </c>
      <c r="B36299" s="6" t="s">
        <v>45660</v>
      </c>
      <c r="C36299" s="5" t="str">
        <f>IFERROR(__xludf.DUMMYFUNCTION("GOOGLETRANSLATE(B36299,""en"",""zh-CN"")"),"最后，越来越多的人跳出了潜水的各个高度，最后显示了两个人。")</f>
        <v>最后，越来越多的人跳出了潜水的各个高度，最后显示了两个人。</v>
      </c>
    </row>
    <row r="36300">
      <c r="A36300" s="4" t="s">
        <v>45661</v>
      </c>
      <c r="B36300" s="4" t="s">
        <v>45662</v>
      </c>
      <c r="C36300" s="5" t="str">
        <f>IFERROR(__xludf.DUMMYFUNCTION("GOOGLETRANSLATE(B36300,""en"",""zh-CN"")"),"当一个人站在他身后练习时，看到一个男人在相机上说话。")</f>
        <v>当一个人站在他身后练习时，看到一个男人在相机上说话。</v>
      </c>
    </row>
    <row r="36301">
      <c r="A36301" s="4" t="s">
        <v>45661</v>
      </c>
      <c r="B36301" s="6" t="s">
        <v>45663</v>
      </c>
      <c r="C36301" s="5" t="str">
        <f>IFERROR(__xludf.DUMMYFUNCTION("GOOGLETRANSLATE(B36301,""en"",""zh-CN"")"),"这些人击中了羽毛球和第四名，而年长的绅士继续讲话并在球场周围指向。")</f>
        <v>这些人击中了羽毛球和第四名，而年长的绅士继续讲话并在球场周围指向。</v>
      </c>
    </row>
    <row r="36302">
      <c r="A36302" s="4" t="s">
        <v>45664</v>
      </c>
      <c r="B36302" s="6" t="s">
        <v>45665</v>
      </c>
      <c r="C36302" s="5" t="str">
        <f>IFERROR(__xludf.DUMMYFUNCTION("GOOGLETRANSLATE(B36302,""en"",""zh-CN"")"),"展示了一个工具和物体的近距离，将其布置在几个平均值的剪辑中，这些夹子测量墙壁并在其上铺设石膏。")</f>
        <v>展示了一个工具和物体的近距离，将其布置在几个平均值的剪辑中，这些夹子测量墙壁并在其上铺设石膏。</v>
      </c>
    </row>
    <row r="36303">
      <c r="A36303" s="4" t="s">
        <v>45664</v>
      </c>
      <c r="B36303" s="6" t="s">
        <v>45666</v>
      </c>
      <c r="C36303" s="5" t="str">
        <f>IFERROR(__xludf.DUMMYFUNCTION("GOOGLETRANSLATE(B36303,""en"",""zh-CN"")"),"该男子展示了如何在与他制作石膏的同时制作石膏，并继续显示更多的剪辑片段。")</f>
        <v>该男子展示了如何在与他制作石膏的同时制作石膏，并继续显示更多的剪辑片段。</v>
      </c>
    </row>
    <row r="36304">
      <c r="A36304" s="4" t="s">
        <v>45667</v>
      </c>
      <c r="B36304" s="4" t="s">
        <v>45668</v>
      </c>
      <c r="C36304" s="5" t="str">
        <f>IFERROR(__xludf.DUMMYFUNCTION("GOOGLETRANSLATE(B36304,""en"",""zh-CN"")"),"在一个房间里靠在棕色桌子上的房间中显示了一辆自行车。")</f>
        <v>在一个房间里靠在棕色桌子上的房间中显示了一辆自行车。</v>
      </c>
    </row>
    <row r="36305">
      <c r="A36305" s="4" t="s">
        <v>45667</v>
      </c>
      <c r="B36305" s="4" t="s">
        <v>45669</v>
      </c>
      <c r="C36305" s="5" t="str">
        <f>IFERROR(__xludf.DUMMYFUNCTION("GOOGLETRANSLATE(B36305,""en"",""zh-CN"")"),"然后，一个人走进房间，开始从自行车上取出碎片。")</f>
        <v>然后，一个人走进房间，开始从自行车上取出碎片。</v>
      </c>
    </row>
    <row r="36306">
      <c r="A36306" s="4" t="s">
        <v>45667</v>
      </c>
      <c r="B36306" s="4" t="s">
        <v>45670</v>
      </c>
      <c r="C36306" s="5" t="str">
        <f>IFERROR(__xludf.DUMMYFUNCTION("GOOGLETRANSLATE(B36306,""en"",""zh-CN"")"),"然后将碎片添加回自行车上，并在车轮周围拧紧。")</f>
        <v>然后将碎片添加回自行车上，并在车轮周围拧紧。</v>
      </c>
    </row>
    <row r="36307">
      <c r="A36307" s="4" t="s">
        <v>45671</v>
      </c>
      <c r="B36307" s="4" t="s">
        <v>45672</v>
      </c>
      <c r="C36307" s="5" t="str">
        <f>IFERROR(__xludf.DUMMYFUNCTION("GOOGLETRANSLATE(B36307,""en"",""zh-CN"")"),"一个男人站在房子门廊里，环顾四周微笑。")</f>
        <v>一个男人站在房子门廊里，环顾四周微笑。</v>
      </c>
    </row>
    <row r="36308">
      <c r="A36308" s="4" t="s">
        <v>45671</v>
      </c>
      <c r="B36308" s="4" t="s">
        <v>45673</v>
      </c>
      <c r="C36308" s="5" t="str">
        <f>IFERROR(__xludf.DUMMYFUNCTION("GOOGLETRANSLATE(B36308,""en"",""zh-CN"")"),"然后，那个男人离开后拿起杯子喝酒。")</f>
        <v>然后，那个男人离开后拿起杯子喝酒。</v>
      </c>
    </row>
    <row r="36309">
      <c r="A36309" s="4" t="s">
        <v>45674</v>
      </c>
      <c r="B36309" s="4" t="s">
        <v>45675</v>
      </c>
      <c r="C36309" s="5" t="str">
        <f>IFERROR(__xludf.DUMMYFUNCTION("GOOGLETRANSLATE(B36309,""en"",""zh-CN"")"),"一个女人碰到了黑色手机，像细菌一样出现了紫色胶囊的屏幕。")</f>
        <v>一个女人碰到了黑色手机，像细菌一样出现了紫色胶囊的屏幕。</v>
      </c>
    </row>
    <row r="36310">
      <c r="A36310" s="4" t="s">
        <v>45674</v>
      </c>
      <c r="B36310" s="4" t="s">
        <v>45676</v>
      </c>
      <c r="C36310" s="5" t="str">
        <f>IFERROR(__xludf.DUMMYFUNCTION("GOOGLETRANSLATE(B36310,""en"",""zh-CN"")"),"该人放回手机，开始在黑色键盘上打字。")</f>
        <v>该人放回手机，开始在黑色键盘上打字。</v>
      </c>
    </row>
    <row r="36311">
      <c r="A36311" s="4" t="s">
        <v>45674</v>
      </c>
      <c r="B36311" s="4" t="s">
        <v>45677</v>
      </c>
      <c r="C36311" s="5" t="str">
        <f>IFERROR(__xludf.DUMMYFUNCTION("GOOGLETRANSLATE(B36311,""en"",""zh-CN"")"),"细菌射门被放在现场。")</f>
        <v>细菌射门被放在现场。</v>
      </c>
    </row>
    <row r="36312">
      <c r="A36312" s="4" t="s">
        <v>45674</v>
      </c>
      <c r="B36312" s="4" t="s">
        <v>45678</v>
      </c>
      <c r="C36312" s="5" t="str">
        <f>IFERROR(__xludf.DUMMYFUNCTION("GOOGLETRANSLATE(B36312,""en"",""zh-CN"")"),"那个女人把手放在鼠标上。")</f>
        <v>那个女人把手放在鼠标上。</v>
      </c>
    </row>
    <row r="36313">
      <c r="A36313" s="4" t="s">
        <v>45674</v>
      </c>
      <c r="B36313" s="4" t="s">
        <v>45679</v>
      </c>
      <c r="C36313" s="5" t="str">
        <f>IFERROR(__xludf.DUMMYFUNCTION("GOOGLETRANSLATE(B36313,""en"",""zh-CN"")"),"她把手放在木制台式机上。")</f>
        <v>她把手放在木制台式机上。</v>
      </c>
    </row>
    <row r="36314">
      <c r="A36314" s="4" t="s">
        <v>45674</v>
      </c>
      <c r="B36314" s="4" t="s">
        <v>45680</v>
      </c>
      <c r="C36314" s="5" t="str">
        <f>IFERROR(__xludf.DUMMYFUNCTION("GOOGLETRANSLATE(B36314,""en"",""zh-CN"")"),"那个女人站起来走向走廊。")</f>
        <v>那个女人站起来走向走廊。</v>
      </c>
    </row>
    <row r="36315">
      <c r="A36315" s="4" t="s">
        <v>45674</v>
      </c>
      <c r="B36315" s="4" t="s">
        <v>45681</v>
      </c>
      <c r="C36315" s="5" t="str">
        <f>IFERROR(__xludf.DUMMYFUNCTION("GOOGLETRANSLATE(B36315,""en"",""zh-CN"")"),"那个女人看到一个男人握手。")</f>
        <v>那个女人看到一个男人握手。</v>
      </c>
    </row>
    <row r="36316">
      <c r="A36316" s="4" t="s">
        <v>45674</v>
      </c>
      <c r="B36316" s="4" t="s">
        <v>45682</v>
      </c>
      <c r="C36316" s="5" t="str">
        <f>IFERROR(__xludf.DUMMYFUNCTION("GOOGLETRANSLATE(B36316,""en"",""zh-CN"")"),"那个女人去洗手间。")</f>
        <v>那个女人去洗手间。</v>
      </c>
    </row>
    <row r="36317">
      <c r="A36317" s="4" t="s">
        <v>45674</v>
      </c>
      <c r="B36317" s="6" t="s">
        <v>45683</v>
      </c>
      <c r="C36317" s="5" t="str">
        <f>IFERROR(__xludf.DUMMYFUNCTION("GOOGLETRANSLATE(B36317,""en"",""zh-CN"")"),"那个女人摘下了她的戒指，洗手，回家肥皂，彻底擦在她的手上，然后冲洗它。")</f>
        <v>那个女人摘下了她的戒指，洗手，回家肥皂，彻底擦在她的手上，然后冲洗它。</v>
      </c>
    </row>
    <row r="36318">
      <c r="A36318" s="4" t="s">
        <v>45674</v>
      </c>
      <c r="B36318" s="4" t="s">
        <v>45684</v>
      </c>
      <c r="C36318" s="5" t="str">
        <f>IFERROR(__xludf.DUMMYFUNCTION("GOOGLETRANSLATE(B36318,""en"",""zh-CN"")"),"女人打喷嚏。")</f>
        <v>女人打喷嚏。</v>
      </c>
    </row>
    <row r="36319">
      <c r="A36319" s="4" t="s">
        <v>45674</v>
      </c>
      <c r="B36319" s="4" t="s">
        <v>45685</v>
      </c>
      <c r="C36319" s="5" t="str">
        <f>IFERROR(__xludf.DUMMYFUNCTION("GOOGLETRANSLATE(B36319,""en"",""zh-CN"")"),"她走向办公室，把手放在桌子和电话上。")</f>
        <v>她走向办公室，把手放在桌子和电话上。</v>
      </c>
    </row>
    <row r="36320">
      <c r="A36320" s="4" t="s">
        <v>45686</v>
      </c>
      <c r="B36320" s="4" t="s">
        <v>45687</v>
      </c>
      <c r="C36320" s="5" t="str">
        <f>IFERROR(__xludf.DUMMYFUNCTION("GOOGLETRANSLATE(B36320,""en"",""zh-CN"")"),"这里展示的这两个人正在骑自行车在外面的白雪皑皑的驼峰上。")</f>
        <v>这里展示的这两个人正在骑自行车在外面的白雪皑皑的驼峰上。</v>
      </c>
    </row>
    <row r="36321">
      <c r="A36321" s="4" t="s">
        <v>45686</v>
      </c>
      <c r="B36321" s="4" t="s">
        <v>45688</v>
      </c>
      <c r="C36321" s="5" t="str">
        <f>IFERROR(__xludf.DUMMYFUNCTION("GOOGLETRANSLATE(B36321,""en"",""zh-CN"")"),"他们骑着泥土驼峰。")</f>
        <v>他们骑着泥土驼峰。</v>
      </c>
    </row>
    <row r="36322">
      <c r="A36322" s="4" t="s">
        <v>45686</v>
      </c>
      <c r="B36322" s="4" t="s">
        <v>45689</v>
      </c>
      <c r="C36322" s="5" t="str">
        <f>IFERROR(__xludf.DUMMYFUNCTION("GOOGLETRANSLATE(B36322,""en"",""zh-CN"")"),"他们还骑着建筑物中的沙子驼峰和种族中的其他驼峰。")</f>
        <v>他们还骑着建筑物中的沙子驼峰和种族中的其他驼峰。</v>
      </c>
    </row>
    <row r="36323">
      <c r="A36323" s="4" t="s">
        <v>45690</v>
      </c>
      <c r="B36323" s="6" t="s">
        <v>45691</v>
      </c>
      <c r="C36323" s="5" t="str">
        <f>IFERROR(__xludf.DUMMYFUNCTION("GOOGLETRANSLATE(B36323,""en"",""zh-CN"")"),"看到一个男人在与女人说话并沿着墙壁摩擦物体时，拿着物体。")</f>
        <v>看到一个男人在与女人说话并沿着墙壁摩擦物体时，拿着物体。</v>
      </c>
    </row>
    <row r="36324">
      <c r="A36324" s="4" t="s">
        <v>45690</v>
      </c>
      <c r="B36324" s="4" t="s">
        <v>45692</v>
      </c>
      <c r="C36324" s="5" t="str">
        <f>IFERROR(__xludf.DUMMYFUNCTION("GOOGLETRANSLATE(B36324,""en"",""zh-CN"")"),"然后，他将纸浸入水中，然后开始将其挂在墙上。")</f>
        <v>然后，他将纸浸入水中，然后开始将其挂在墙上。</v>
      </c>
    </row>
    <row r="36325">
      <c r="A36325" s="4" t="s">
        <v>45690</v>
      </c>
      <c r="B36325" s="4" t="s">
        <v>45693</v>
      </c>
      <c r="C36325" s="5" t="str">
        <f>IFERROR(__xludf.DUMMYFUNCTION("GOOGLETRANSLATE(B36325,""en"",""zh-CN"")"),"他举起一个喷雾瓶来喷洒墙壁，而其他人则有所帮助。")</f>
        <v>他举起一个喷雾瓶来喷洒墙壁，而其他人则有所帮助。</v>
      </c>
    </row>
    <row r="36326">
      <c r="A36326" s="4" t="s">
        <v>45690</v>
      </c>
      <c r="B36326" s="6" t="s">
        <v>45694</v>
      </c>
      <c r="C36326" s="5" t="str">
        <f>IFERROR(__xludf.DUMMYFUNCTION("GOOGLETRANSLATE(B36326,""en"",""zh-CN"")"),"人们检查墙壁并取下纸，然后取下实际的墙纸并擦墙壁。")</f>
        <v>人们检查墙壁并取下纸，然后取下实际的墙纸并擦墙壁。</v>
      </c>
    </row>
    <row r="36327">
      <c r="A36327" s="4" t="s">
        <v>45695</v>
      </c>
      <c r="B36327" s="4" t="s">
        <v>45696</v>
      </c>
      <c r="C36327" s="5" t="str">
        <f>IFERROR(__xludf.DUMMYFUNCTION("GOOGLETRANSLATE(B36327,""en"",""zh-CN"")"),"梳子在床上躺在床上显示出一个婴儿的头发。")</f>
        <v>梳子在床上躺在床上显示出一个婴儿的头发。</v>
      </c>
    </row>
    <row r="36328">
      <c r="A36328" s="4" t="s">
        <v>45695</v>
      </c>
      <c r="B36328" s="4" t="s">
        <v>45697</v>
      </c>
      <c r="C36328" s="5" t="str">
        <f>IFERROR(__xludf.DUMMYFUNCTION("GOOGLETRANSLATE(B36328,""en"",""zh-CN"")"),"当手继续刷婴儿时，婴儿最终微笑着。")</f>
        <v>当手继续刷婴儿时，婴儿最终微笑着。</v>
      </c>
    </row>
    <row r="36329">
      <c r="A36329" s="4" t="s">
        <v>45695</v>
      </c>
      <c r="B36329" s="4" t="s">
        <v>45698</v>
      </c>
      <c r="C36329" s="5" t="str">
        <f>IFERROR(__xludf.DUMMYFUNCTION("GOOGLETRANSLATE(B36329,""en"",""zh-CN"")"),"婴儿在刷子继续梳理时轻轻闭上眼睛和打哈欠。")</f>
        <v>婴儿在刷子继续梳理时轻轻闭上眼睛和打哈欠。</v>
      </c>
    </row>
    <row r="36330">
      <c r="A36330" s="4" t="s">
        <v>45699</v>
      </c>
      <c r="B36330" s="4" t="s">
        <v>45700</v>
      </c>
      <c r="C36330" s="5" t="str">
        <f>IFERROR(__xludf.DUMMYFUNCTION("GOOGLETRANSLATE(B36330,""en"",""zh-CN"")"),"一个女人展示了如何通过洗净水槽的脸来洗脸。")</f>
        <v>一个女人展示了如何通过洗净水槽的脸来洗脸。</v>
      </c>
    </row>
    <row r="36331">
      <c r="A36331" s="4" t="s">
        <v>45699</v>
      </c>
      <c r="B36331" s="4" t="s">
        <v>45701</v>
      </c>
      <c r="C36331" s="5" t="str">
        <f>IFERROR(__xludf.DUMMYFUNCTION("GOOGLETRANSLATE(B36331,""en"",""zh-CN"")"),"一个女人站在水槽上，溅到她的脸上。")</f>
        <v>一个女人站在水槽上，溅到她的脸上。</v>
      </c>
    </row>
    <row r="36332">
      <c r="A36332" s="4" t="s">
        <v>45699</v>
      </c>
      <c r="B36332" s="4" t="s">
        <v>45702</v>
      </c>
      <c r="C36332" s="5" t="str">
        <f>IFERROR(__xludf.DUMMYFUNCTION("GOOGLETRANSLATE(B36332,""en"",""zh-CN"")"),"然后，那个女人用液体肥皂打了一个泡沫，她倒在手上。")</f>
        <v>然后，那个女人用液体肥皂打了一个泡沫，她倒在手上。</v>
      </c>
    </row>
    <row r="36333">
      <c r="A36333" s="4" t="s">
        <v>45699</v>
      </c>
      <c r="B36333" s="6" t="s">
        <v>45703</v>
      </c>
      <c r="C36333" s="5" t="str">
        <f>IFERROR(__xludf.DUMMYFUNCTION("GOOGLETRANSLATE(B36333,""en"",""zh-CN"")"),"那个女人然后用圆形的运动洗脸，然后女人用毛巾干燥脸部。")</f>
        <v>那个女人然后用圆形的运动洗脸，然后女人用毛巾干燥脸部。</v>
      </c>
    </row>
    <row r="36334">
      <c r="A36334" s="4" t="s">
        <v>45704</v>
      </c>
      <c r="B36334" s="4" t="s">
        <v>45705</v>
      </c>
      <c r="C36334" s="5" t="str">
        <f>IFERROR(__xludf.DUMMYFUNCTION("GOOGLETRANSLATE(B36334,""en"",""zh-CN"")"),"屋顶广告展示了如何在房屋上固定板岩屋顶。")</f>
        <v>屋顶广告展示了如何在房屋上固定板岩屋顶。</v>
      </c>
    </row>
    <row r="36335">
      <c r="A36335" s="4" t="s">
        <v>45704</v>
      </c>
      <c r="B36335" s="6" t="s">
        <v>45706</v>
      </c>
      <c r="C36335" s="5" t="str">
        <f>IFERROR(__xludf.DUMMYFUNCTION("GOOGLETRANSLATE(B36335,""en"",""zh-CN"")"),"一个人将零件切在外面的折叠桌上，然后使用他的工具皮带上的动力工具和工具在屋顶上安装板岩。")</f>
        <v>一个人将零件切在外面的折叠桌上，然后使用他的工具皮带上的动力工具和工具在屋顶上安装板岩。</v>
      </c>
    </row>
    <row r="36336">
      <c r="A36336" s="4" t="s">
        <v>45704</v>
      </c>
      <c r="B36336" s="4" t="s">
        <v>45707</v>
      </c>
      <c r="C36336" s="5" t="str">
        <f>IFERROR(__xludf.DUMMYFUNCTION("GOOGLETRANSLATE(B36336,""en"",""zh-CN"")"),"该男子将铜块安装到从屋顶突出的板岩屋顶上。")</f>
        <v>该男子将铜块安装到从屋顶突出的板岩屋顶上。</v>
      </c>
    </row>
    <row r="36337">
      <c r="A36337" s="4" t="s">
        <v>45704</v>
      </c>
      <c r="B36337" s="6" t="s">
        <v>45708</v>
      </c>
      <c r="C36337" s="5" t="str">
        <f>IFERROR(__xludf.DUMMYFUNCTION("GOOGLETRANSLATE(B36337,""en"",""zh-CN"")"),"然后，该男子切开铜管，并在铜管中的一个孔的边缘进行一些焊接，然后摄像机再次切入屋顶，然后进行营销图形。")</f>
        <v>然后，该男子切开铜管，并在铜管中的一个孔的边缘进行一些焊接，然后摄像机再次切入屋顶，然后进行营销图形。</v>
      </c>
    </row>
    <row r="36338">
      <c r="A36338" s="4" t="s">
        <v>45709</v>
      </c>
      <c r="B36338" s="6" t="s">
        <v>45710</v>
      </c>
      <c r="C36338" s="5" t="str">
        <f>IFERROR(__xludf.DUMMYFUNCTION("GOOGLETRANSLATE(B36338,""en"",""zh-CN"")"),"一个女人坐在喷泉旁时，一个带有萨克斯管的男人正在公园的中心玩耍。")</f>
        <v>一个女人坐在喷泉旁时，一个带有萨克斯管的男人正在公园的中心玩耍。</v>
      </c>
    </row>
    <row r="36339">
      <c r="A36339" s="4" t="s">
        <v>45709</v>
      </c>
      <c r="B36339" s="4" t="s">
        <v>45711</v>
      </c>
      <c r="C36339" s="5" t="str">
        <f>IFERROR(__xludf.DUMMYFUNCTION("GOOGLETRANSLATE(B36339,""en"",""zh-CN"")"),"该男子正在演奏萨克斯管。")</f>
        <v>该男子正在演奏萨克斯管。</v>
      </c>
    </row>
    <row r="36340">
      <c r="A36340" s="4" t="s">
        <v>45709</v>
      </c>
      <c r="B36340" s="4" t="s">
        <v>45712</v>
      </c>
      <c r="C36340" s="5" t="str">
        <f>IFERROR(__xludf.DUMMYFUNCTION("GOOGLETRANSLATE(B36340,""en"",""zh-CN"")"),"在他身后，人们在自动取款机队排队。")</f>
        <v>在他身后，人们在自动取款机队排队。</v>
      </c>
    </row>
    <row r="36341">
      <c r="A36341" s="4" t="s">
        <v>45709</v>
      </c>
      <c r="B36341" s="4" t="s">
        <v>45713</v>
      </c>
      <c r="C36341" s="5" t="str">
        <f>IFERROR(__xludf.DUMMYFUNCTION("GOOGLETRANSLATE(B36341,""en"",""zh-CN"")"),"相机靠近金萨克斯管。")</f>
        <v>相机靠近金萨克斯管。</v>
      </c>
    </row>
    <row r="36342">
      <c r="A36342" s="4" t="s">
        <v>45709</v>
      </c>
      <c r="B36342" s="4" t="s">
        <v>45714</v>
      </c>
      <c r="C36342" s="5" t="str">
        <f>IFERROR(__xludf.DUMMYFUNCTION("GOOGLETRANSLATE(B36342,""en"",""zh-CN"")"),"这个男人在人们走过他的同时继续玩。")</f>
        <v>这个男人在人们走过他的同时继续玩。</v>
      </c>
    </row>
    <row r="36343">
      <c r="A36343" s="4" t="s">
        <v>45709</v>
      </c>
      <c r="B36343" s="4" t="s">
        <v>45715</v>
      </c>
      <c r="C36343" s="5" t="str">
        <f>IFERROR(__xludf.DUMMYFUNCTION("GOOGLETRANSLATE(B36343,""en"",""zh-CN"")"),"那个男人在萨克斯管上猛烈吹。")</f>
        <v>那个男人在萨克斯管上猛烈吹。</v>
      </c>
    </row>
    <row r="36344">
      <c r="A36344" s="4" t="s">
        <v>45709</v>
      </c>
      <c r="B36344" s="4" t="s">
        <v>45716</v>
      </c>
      <c r="C36344" s="5" t="str">
        <f>IFERROR(__xludf.DUMMYFUNCTION("GOOGLETRANSLATE(B36344,""en"",""zh-CN"")"),"一只白鸟站在那个男人后面。")</f>
        <v>一只白鸟站在那个男人后面。</v>
      </c>
    </row>
    <row r="36345">
      <c r="A36345" s="4" t="s">
        <v>45717</v>
      </c>
      <c r="B36345" s="4" t="s">
        <v>45718</v>
      </c>
      <c r="C36345" s="5" t="str">
        <f>IFERROR(__xludf.DUMMYFUNCTION("GOOGLETRANSLATE(B36345,""en"",""zh-CN"")"),"一个男人站在自行车旁边。")</f>
        <v>一个男人站在自行车旁边。</v>
      </c>
    </row>
    <row r="36346">
      <c r="A36346" s="4" t="s">
        <v>45717</v>
      </c>
      <c r="B36346" s="4" t="s">
        <v>45719</v>
      </c>
      <c r="C36346" s="5" t="str">
        <f>IFERROR(__xludf.DUMMYFUNCTION("GOOGLETRANSLATE(B36346,""en"",""zh-CN"")"),"他拿着一个新的管子来进行轮胎。")</f>
        <v>他拿着一个新的管子来进行轮胎。</v>
      </c>
    </row>
    <row r="36347">
      <c r="A36347" s="4" t="s">
        <v>45717</v>
      </c>
      <c r="B36347" s="4" t="s">
        <v>45720</v>
      </c>
      <c r="C36347" s="5" t="str">
        <f>IFERROR(__xludf.DUMMYFUNCTION("GOOGLETRANSLATE(B36347,""en"",""zh-CN"")"),"他抓住一个气泵并将其连接到轮胎上。")</f>
        <v>他抓住一个气泵并将其连接到轮胎上。</v>
      </c>
    </row>
    <row r="36348">
      <c r="A36348" s="4" t="s">
        <v>45717</v>
      </c>
      <c r="B36348" s="4" t="s">
        <v>45721</v>
      </c>
      <c r="C36348" s="5" t="str">
        <f>IFERROR(__xludf.DUMMYFUNCTION("GOOGLETRANSLATE(B36348,""en"",""zh-CN"")"),"他用空气抽出轮胎。")</f>
        <v>他用空气抽出轮胎。</v>
      </c>
    </row>
    <row r="36349">
      <c r="A36349" s="4" t="s">
        <v>45717</v>
      </c>
      <c r="B36349" s="4" t="s">
        <v>45722</v>
      </c>
      <c r="C36349" s="5" t="str">
        <f>IFERROR(__xludf.DUMMYFUNCTION("GOOGLETRANSLATE(B36349,""en"",""zh-CN"")"),"他将泵连接到扁平轮胎上，然后将其泵泵。")</f>
        <v>他将泵连接到扁平轮胎上，然后将其泵泵。</v>
      </c>
    </row>
    <row r="36350">
      <c r="A36350" s="4" t="s">
        <v>45723</v>
      </c>
      <c r="B36350" s="4" t="s">
        <v>45724</v>
      </c>
      <c r="C36350" s="5" t="str">
        <f>IFERROR(__xludf.DUMMYFUNCTION("GOOGLETRANSLATE(B36350,""en"",""zh-CN"")"),"一个人的手被显示在一些水中，然后是一些指甲油。")</f>
        <v>一个人的手被显示在一些水中，然后是一些指甲油。</v>
      </c>
    </row>
    <row r="36351">
      <c r="A36351" s="4" t="s">
        <v>45723</v>
      </c>
      <c r="B36351" s="6" t="s">
        <v>45725</v>
      </c>
      <c r="C36351" s="5" t="str">
        <f>IFERROR(__xludf.DUMMYFUNCTION("GOOGLETRANSLATE(B36351,""en"",""zh-CN"")"),"当显示各种油漆时，水会改变颜色，并在水中形成旋转图案。")</f>
        <v>当显示各种油漆时，水会改变颜色，并在水中形成旋转图案。</v>
      </c>
    </row>
    <row r="36352">
      <c r="A36352" s="4" t="s">
        <v>45726</v>
      </c>
      <c r="B36352" s="4" t="s">
        <v>45727</v>
      </c>
      <c r="C36352" s="5" t="str">
        <f>IFERROR(__xludf.DUMMYFUNCTION("GOOGLETRANSLATE(B36352,""en"",""zh-CN"")"),"我们看到三名男子在一个田野里用镰刀割伤了高高的草。")</f>
        <v>我们看到三名男子在一个田野里用镰刀割伤了高高的草。</v>
      </c>
    </row>
    <row r="36353">
      <c r="A36353" s="4" t="s">
        <v>45726</v>
      </c>
      <c r="B36353" s="4" t="s">
        <v>45728</v>
      </c>
      <c r="C36353" s="5" t="str">
        <f>IFERROR(__xludf.DUMMYFUNCTION("GOOGLETRANSLATE(B36353,""en"",""zh-CN"")"),"我们看到那个男人拿了几只草，用它擦去了镰刀。")</f>
        <v>我们看到那个男人拿了几只草，用它擦去了镰刀。</v>
      </c>
    </row>
    <row r="36354">
      <c r="A36354" s="4" t="s">
        <v>45726</v>
      </c>
      <c r="B36354" s="4" t="s">
        <v>45729</v>
      </c>
      <c r="C36354" s="5" t="str">
        <f>IFERROR(__xludf.DUMMYFUNCTION("GOOGLETRANSLATE(B36354,""en"",""zh-CN"")"),"该男子从口袋里拉了东西，然后在镰刀上擦。")</f>
        <v>该男子从口袋里拉了东西，然后在镰刀上擦。</v>
      </c>
    </row>
    <row r="36355">
      <c r="A36355" s="4" t="s">
        <v>45726</v>
      </c>
      <c r="B36355" s="4" t="s">
        <v>45730</v>
      </c>
      <c r="C36355" s="5" t="str">
        <f>IFERROR(__xludf.DUMMYFUNCTION("GOOGLETRANSLATE(B36355,""en"",""zh-CN"")"),"然后，男人返回割草。")</f>
        <v>然后，男人返回割草。</v>
      </c>
    </row>
    <row r="36356">
      <c r="A36356" s="4" t="s">
        <v>45731</v>
      </c>
      <c r="B36356" s="4" t="s">
        <v>45732</v>
      </c>
      <c r="C36356" s="5" t="str">
        <f>IFERROR(__xludf.DUMMYFUNCTION("GOOGLETRANSLATE(B36356,""en"",""zh-CN"")"),"人们站在排球场上。")</f>
        <v>人们站在排球场上。</v>
      </c>
    </row>
    <row r="36357">
      <c r="A36357" s="4" t="s">
        <v>45731</v>
      </c>
      <c r="B36357" s="4" t="s">
        <v>45733</v>
      </c>
      <c r="C36357" s="5" t="str">
        <f>IFERROR(__xludf.DUMMYFUNCTION("GOOGLETRANSLATE(B36357,""en"",""zh-CN"")"),"一个戴着白帽子的男人站在沙滩上。")</f>
        <v>一个戴着白帽子的男人站在沙滩上。</v>
      </c>
    </row>
    <row r="36358">
      <c r="A36358" s="4" t="s">
        <v>45731</v>
      </c>
      <c r="B36358" s="4" t="s">
        <v>45734</v>
      </c>
      <c r="C36358" s="5" t="str">
        <f>IFERROR(__xludf.DUMMYFUNCTION("GOOGLETRANSLATE(B36358,""en"",""zh-CN"")"),"穿着黑色衬衫的人为排球提供服务，但并不能超越网。")</f>
        <v>穿着黑色衬衫的人为排球提供服务，但并不能超越网。</v>
      </c>
    </row>
    <row r="36359">
      <c r="A36359" s="4" t="s">
        <v>45735</v>
      </c>
      <c r="B36359" s="4" t="s">
        <v>45736</v>
      </c>
      <c r="C36359" s="5" t="str">
        <f>IFERROR(__xludf.DUMMYFUNCTION("GOOGLETRANSLATE(B36359,""en"",""zh-CN"")"),"一个女人坐在钢琴上，在小观众面前弹奏。")</f>
        <v>一个女人坐在钢琴上，在小观众面前弹奏。</v>
      </c>
    </row>
    <row r="36360">
      <c r="A36360" s="4" t="s">
        <v>45735</v>
      </c>
      <c r="B36360" s="4" t="s">
        <v>45737</v>
      </c>
      <c r="C36360" s="5" t="str">
        <f>IFERROR(__xludf.DUMMYFUNCTION("GOOGLETRANSLATE(B36360,""en"",""zh-CN"")"),"相机专注于看着她的几个男人。")</f>
        <v>相机专注于看着她的几个男人。</v>
      </c>
    </row>
    <row r="36361">
      <c r="A36361" s="4" t="s">
        <v>45735</v>
      </c>
      <c r="B36361" s="4" t="s">
        <v>45738</v>
      </c>
      <c r="C36361" s="5" t="str">
        <f>IFERROR(__xludf.DUMMYFUNCTION("GOOGLETRANSLATE(B36361,""en"",""zh-CN"")"),"女人用钢琴唱歌。")</f>
        <v>女人用钢琴唱歌。</v>
      </c>
    </row>
    <row r="36362">
      <c r="A36362" s="4" t="s">
        <v>45735</v>
      </c>
      <c r="B36362" s="4" t="s">
        <v>45739</v>
      </c>
      <c r="C36362" s="5" t="str">
        <f>IFERROR(__xludf.DUMMYFUNCTION("GOOGLETRANSLATE(B36362,""en"",""zh-CN"")"),"摄像机捕获了观众的反应。")</f>
        <v>摄像机捕获了观众的反应。</v>
      </c>
    </row>
    <row r="36363">
      <c r="A36363" s="4" t="s">
        <v>45735</v>
      </c>
      <c r="B36363" s="4" t="s">
        <v>45740</v>
      </c>
      <c r="C36363" s="5" t="str">
        <f>IFERROR(__xludf.DUMMYFUNCTION("GOOGLETRANSLATE(B36363,""en"",""zh-CN"")"),"相机捕获了观众的更多反应镜头。")</f>
        <v>相机捕获了观众的更多反应镜头。</v>
      </c>
    </row>
    <row r="36364">
      <c r="A36364" s="4" t="s">
        <v>45741</v>
      </c>
      <c r="B36364" s="4" t="s">
        <v>45742</v>
      </c>
      <c r="C36364" s="5" t="str">
        <f>IFERROR(__xludf.DUMMYFUNCTION("GOOGLETRANSLATE(B36364,""en"",""zh-CN"")"),"显示了一双花园剪。")</f>
        <v>显示了一双花园剪。</v>
      </c>
    </row>
    <row r="36365">
      <c r="A36365" s="4" t="s">
        <v>45741</v>
      </c>
      <c r="B36365" s="4" t="s">
        <v>45743</v>
      </c>
      <c r="C36365" s="5" t="str">
        <f>IFERROR(__xludf.DUMMYFUNCTION("GOOGLETRANSLATE(B36365,""en"",""zh-CN"")"),"一个女人正在演示如何在不同情况下使用花园剪切。")</f>
        <v>一个女人正在演示如何在不同情况下使用花园剪切。</v>
      </c>
    </row>
    <row r="36366">
      <c r="A36366" s="4" t="s">
        <v>45741</v>
      </c>
      <c r="B36366" s="4" t="s">
        <v>45744</v>
      </c>
      <c r="C36366" s="5" t="str">
        <f>IFERROR(__xludf.DUMMYFUNCTION("GOOGLETRANSLATE(B36366,""en"",""zh-CN"")"),"一个年轻的女孩演示了如何使用剪切。")</f>
        <v>一个年轻的女孩演示了如何使用剪切。</v>
      </c>
    </row>
    <row r="36367">
      <c r="A36367" s="4" t="s">
        <v>45741</v>
      </c>
      <c r="B36367" s="4" t="s">
        <v>45745</v>
      </c>
      <c r="C36367" s="5" t="str">
        <f>IFERROR(__xludf.DUMMYFUNCTION("GOOGLETRANSLATE(B36367,""en"",""zh-CN"")"),"一个年长的男人展示了他如何使用剪切。")</f>
        <v>一个年长的男人展示了他如何使用剪切。</v>
      </c>
    </row>
    <row r="36368">
      <c r="A36368" s="4" t="s">
        <v>45741</v>
      </c>
      <c r="B36368" s="4" t="s">
        <v>45746</v>
      </c>
      <c r="C36368" s="5" t="str">
        <f>IFERROR(__xludf.DUMMYFUNCTION("GOOGLETRANSLATE(B36368,""en"",""zh-CN"")"),"向年轻人展示了使用剪切物到达头顶上方的东西。")</f>
        <v>向年轻人展示了使用剪切物到达头顶上方的东西。</v>
      </c>
    </row>
    <row r="36369">
      <c r="A36369" s="4" t="s">
        <v>45741</v>
      </c>
      <c r="B36369" s="4" t="s">
        <v>45747</v>
      </c>
      <c r="C36369" s="5" t="str">
        <f>IFERROR(__xludf.DUMMYFUNCTION("GOOGLETRANSLATE(B36369,""en"",""zh-CN"")"),"最初的女人展示了使用不同植物类型的剪切物。")</f>
        <v>最初的女人展示了使用不同植物类型的剪切物。</v>
      </c>
    </row>
    <row r="36370">
      <c r="A36370" s="4" t="s">
        <v>45741</v>
      </c>
      <c r="B36370" s="6" t="s">
        <v>45748</v>
      </c>
      <c r="C36370" s="5" t="str">
        <f>IFERROR(__xludf.DUMMYFUNCTION("GOOGLETRANSLATE(B36370,""en"",""zh-CN"")"),"同一名妇女展示了如何使用剪切和切割植物的望远镜手柄。")</f>
        <v>同一名妇女展示了如何使用剪切和切割植物的望远镜手柄。</v>
      </c>
    </row>
    <row r="36371">
      <c r="A36371" s="4" t="s">
        <v>45741</v>
      </c>
      <c r="B36371" s="4" t="s">
        <v>45749</v>
      </c>
      <c r="C36371" s="5" t="str">
        <f>IFERROR(__xludf.DUMMYFUNCTION("GOOGLETRANSLATE(B36371,""en"",""zh-CN"")"),"同一个女人用剪切沿着一条路走。")</f>
        <v>同一个女人用剪切沿着一条路走。</v>
      </c>
    </row>
    <row r="36372">
      <c r="A36372" s="4" t="s">
        <v>45741</v>
      </c>
      <c r="B36372" s="4" t="s">
        <v>45750</v>
      </c>
      <c r="C36372" s="5" t="str">
        <f>IFERROR(__xludf.DUMMYFUNCTION("GOOGLETRANSLATE(B36372,""en"",""zh-CN"")"),"然后，该名女士展示了剪切物如何在其他几种植物上进行演示。")</f>
        <v>然后，该名女士展示了剪切物如何在其他几种植物上进行演示。</v>
      </c>
    </row>
    <row r="36373">
      <c r="A36373" s="4" t="s">
        <v>45741</v>
      </c>
      <c r="B36373" s="4" t="s">
        <v>45751</v>
      </c>
      <c r="C36373" s="5" t="str">
        <f>IFERROR(__xludf.DUMMYFUNCTION("GOOGLETRANSLATE(B36373,""en"",""zh-CN"")"),"使用剪切物显示了一个年轻女子。")</f>
        <v>使用剪切物显示了一个年轻女子。</v>
      </c>
    </row>
    <row r="36374">
      <c r="A36374" s="4" t="s">
        <v>45741</v>
      </c>
      <c r="B36374" s="4" t="s">
        <v>45752</v>
      </c>
      <c r="C36374" s="5" t="str">
        <f>IFERROR(__xludf.DUMMYFUNCTION("GOOGLETRANSLATE(B36374,""en"",""zh-CN"")"),"一个老人使用剪切。")</f>
        <v>一个老人使用剪切。</v>
      </c>
    </row>
    <row r="36375">
      <c r="A36375" s="4" t="s">
        <v>45741</v>
      </c>
      <c r="B36375" s="4" t="s">
        <v>45753</v>
      </c>
      <c r="C36375" s="5" t="str">
        <f>IFERROR(__xludf.DUMMYFUNCTION("GOOGLETRANSLATE(B36375,""en"",""zh-CN"")"),"显示了另一个男人使用剪切物到达树四肢。")</f>
        <v>显示了另一个男人使用剪切物到达树四肢。</v>
      </c>
    </row>
    <row r="36376">
      <c r="A36376" s="4" t="s">
        <v>45741</v>
      </c>
      <c r="B36376" s="6" t="s">
        <v>45754</v>
      </c>
      <c r="C36376" s="5" t="str">
        <f>IFERROR(__xludf.DUMMYFUNCTION("GOOGLETRANSLATE(B36376,""en"",""zh-CN"")"),"第一个女人展示了剪切物的其他特征，并再次显示了其他人使用剪切力的相同例子。")</f>
        <v>第一个女人展示了剪切物的其他特征，并再次显示了其他人使用剪切力的相同例子。</v>
      </c>
    </row>
    <row r="36377">
      <c r="A36377" s="4" t="s">
        <v>45741</v>
      </c>
      <c r="B36377" s="4" t="s">
        <v>45755</v>
      </c>
      <c r="C36377" s="5" t="str">
        <f>IFERROR(__xludf.DUMMYFUNCTION("GOOGLETRANSLATE(B36377,""en"",""zh-CN"")"),"那个女人走上一套剪切的楼梯。")</f>
        <v>那个女人走上一套剪切的楼梯。</v>
      </c>
    </row>
    <row r="36378">
      <c r="A36378" s="4" t="s">
        <v>45741</v>
      </c>
      <c r="B36378" s="4" t="s">
        <v>45756</v>
      </c>
      <c r="C36378" s="5" t="str">
        <f>IFERROR(__xludf.DUMMYFUNCTION("GOOGLETRANSLATE(B36378,""en"",""zh-CN"")"),"商店中显示了同一名妇女购买剪切物。")</f>
        <v>商店中显示了同一名妇女购买剪切物。</v>
      </c>
    </row>
    <row r="36379">
      <c r="A36379" s="4" t="s">
        <v>45757</v>
      </c>
      <c r="B36379" s="4" t="s">
        <v>45758</v>
      </c>
      <c r="C36379" s="5" t="str">
        <f>IFERROR(__xludf.DUMMYFUNCTION("GOOGLETRANSLATE(B36379,""en"",""zh-CN"")"),"两个男人在健身房里。")</f>
        <v>两个男人在健身房里。</v>
      </c>
    </row>
    <row r="36380">
      <c r="A36380" s="4" t="s">
        <v>45757</v>
      </c>
      <c r="B36380" s="4" t="s">
        <v>45759</v>
      </c>
      <c r="C36380" s="5" t="str">
        <f>IFERROR(__xludf.DUMMYFUNCTION("GOOGLETRANSLATE(B36380,""en"",""zh-CN"")"),"一个是拳击手套，另一个是戴着臂罩。")</f>
        <v>一个是拳击手套，另一个是戴着臂罩。</v>
      </c>
    </row>
    <row r="36381">
      <c r="A36381" s="4" t="s">
        <v>45757</v>
      </c>
      <c r="B36381" s="4" t="s">
        <v>45760</v>
      </c>
      <c r="C36381" s="5" t="str">
        <f>IFERROR(__xludf.DUMMYFUNCTION("GOOGLETRANSLATE(B36381,""en"",""zh-CN"")"),"他们展示了拳和踢的不同动作。")</f>
        <v>他们展示了拳和踢的不同动作。</v>
      </c>
    </row>
    <row r="36382">
      <c r="A36382" s="4" t="s">
        <v>45761</v>
      </c>
      <c r="B36382" s="4" t="s">
        <v>45762</v>
      </c>
      <c r="C36382" s="5" t="str">
        <f>IFERROR(__xludf.DUMMYFUNCTION("GOOGLETRANSLATE(B36382,""en"",""zh-CN"")"),"一个摄像头在一个运动场周围摇晃，各种各样的人都在热身并拿着棍子。")</f>
        <v>一个摄像头在一个运动场周围摇晃，各种各样的人都在热身并拿着棍子。</v>
      </c>
    </row>
    <row r="36383">
      <c r="A36383" s="4" t="s">
        <v>45761</v>
      </c>
      <c r="B36383" s="4" t="s">
        <v>45763</v>
      </c>
      <c r="C36383" s="5" t="str">
        <f>IFERROR(__xludf.DUMMYFUNCTION("GOOGLETRANSLATE(B36383,""en"",""zh-CN"")"),"一个拿着棍子的女孩是由教练说的，她跑过并扔了杆子。")</f>
        <v>一个拿着棍子的女孩是由教练说的，她跑过并扔了杆子。</v>
      </c>
    </row>
    <row r="36384">
      <c r="A36384" s="4" t="s">
        <v>45761</v>
      </c>
      <c r="B36384" s="4" t="s">
        <v>45764</v>
      </c>
      <c r="C36384" s="5" t="str">
        <f>IFERROR(__xludf.DUMMYFUNCTION("GOOGLETRANSLATE(B36384,""en"",""zh-CN"")"),"她向后走，另一个人抓住一根绳子来估计她的距离。")</f>
        <v>她向后走，另一个人抓住一根绳子来估计她的距离。</v>
      </c>
    </row>
    <row r="36385">
      <c r="A36385" s="4" t="s">
        <v>45765</v>
      </c>
      <c r="B36385" s="4" t="s">
        <v>45766</v>
      </c>
      <c r="C36385" s="5" t="str">
        <f>IFERROR(__xludf.DUMMYFUNCTION("GOOGLETRANSLATE(B36385,""en"",""zh-CN"")"),"一个穿着白色空手道制服的年轻人练习一些动作。")</f>
        <v>一个穿着白色空手道制服的年轻人练习一些动作。</v>
      </c>
    </row>
    <row r="36386">
      <c r="A36386" s="4" t="s">
        <v>45765</v>
      </c>
      <c r="B36386" s="4" t="s">
        <v>45767</v>
      </c>
      <c r="C36386" s="5" t="str">
        <f>IFERROR(__xludf.DUMMYFUNCTION("GOOGLETRANSLATE(B36386,""en"",""zh-CN"")"),"他弯腰弯腰，朝相机奔跑。")</f>
        <v>他弯腰弯腰，朝相机奔跑。</v>
      </c>
    </row>
    <row r="36387">
      <c r="A36387" s="4" t="s">
        <v>45768</v>
      </c>
      <c r="B36387" s="4" t="s">
        <v>45769</v>
      </c>
      <c r="C36387" s="5" t="str">
        <f>IFERROR(__xludf.DUMMYFUNCTION("GOOGLETRANSLATE(B36387,""en"",""zh-CN"")"),"男人正站在一个田野里，把一小块食物扔进另一个男人的嘴。")</f>
        <v>男人正站在一个田野里，把一小块食物扔进另一个男人的嘴。</v>
      </c>
    </row>
    <row r="36388">
      <c r="A36388" s="4" t="s">
        <v>45768</v>
      </c>
      <c r="B36388" s="4" t="s">
        <v>45770</v>
      </c>
      <c r="C36388" s="5" t="str">
        <f>IFERROR(__xludf.DUMMYFUNCTION("GOOGLETRANSLATE(B36388,""en"",""zh-CN"")"),"人在镜头前说话，团队正站在一个绿色的大田里。")</f>
        <v>人在镜头前说话，团队正站在一个绿色的大田里。</v>
      </c>
    </row>
    <row r="36389">
      <c r="A36389" s="4" t="s">
        <v>45768</v>
      </c>
      <c r="B36389" s="4" t="s">
        <v>45771</v>
      </c>
      <c r="C36389" s="5" t="str">
        <f>IFERROR(__xludf.DUMMYFUNCTION("GOOGLETRANSLATE(B36389,""en"",""zh-CN"")"),"男人开始在场上打板球。")</f>
        <v>男人开始在场上打板球。</v>
      </c>
    </row>
    <row r="36390">
      <c r="A36390" s="4" t="s">
        <v>45768</v>
      </c>
      <c r="B36390" s="4" t="s">
        <v>45772</v>
      </c>
      <c r="C36390" s="5" t="str">
        <f>IFERROR(__xludf.DUMMYFUNCTION("GOOGLETRANSLATE(B36390,""en"",""zh-CN"")"),"女人在新闻中与镜头说话。")</f>
        <v>女人在新闻中与镜头说话。</v>
      </c>
    </row>
    <row r="36391">
      <c r="A36391" s="4" t="s">
        <v>45773</v>
      </c>
      <c r="B36391" s="4" t="s">
        <v>45774</v>
      </c>
      <c r="C36391" s="5" t="str">
        <f>IFERROR(__xludf.DUMMYFUNCTION("GOOGLETRANSLATE(B36391,""en"",""zh-CN"")"),"一个女孩骑在汽车的后座上，在汽车座椅上弹口红。")</f>
        <v>一个女孩骑在汽车的后座上，在汽车座椅上弹口红。</v>
      </c>
    </row>
    <row r="36392">
      <c r="A36392" s="4" t="s">
        <v>45773</v>
      </c>
      <c r="B36392" s="4" t="s">
        <v>45775</v>
      </c>
      <c r="C36392" s="5" t="str">
        <f>IFERROR(__xludf.DUMMYFUNCTION("GOOGLETRANSLATE(B36392,""en"",""zh-CN"")"),"女孩拿着魔杖，试图将其放在自己的嘴唇上。")</f>
        <v>女孩拿着魔杖，试图将其放在自己的嘴唇上。</v>
      </c>
    </row>
    <row r="36393">
      <c r="A36393" s="4" t="s">
        <v>45773</v>
      </c>
      <c r="B36393" s="4" t="s">
        <v>45776</v>
      </c>
      <c r="C36393" s="5" t="str">
        <f>IFERROR(__xludf.DUMMYFUNCTION("GOOGLETRANSLATE(B36393,""en"",""zh-CN"")"),"她为相机广泛微笑。")</f>
        <v>她为相机广泛微笑。</v>
      </c>
    </row>
    <row r="36394">
      <c r="A36394" s="4" t="s">
        <v>45777</v>
      </c>
      <c r="B36394" s="4" t="s">
        <v>45778</v>
      </c>
      <c r="C36394" s="5" t="str">
        <f>IFERROR(__xludf.DUMMYFUNCTION("GOOGLETRANSLATE(B36394,""en"",""zh-CN"")"),"一个男人在商店里说话。")</f>
        <v>一个男人在商店里说话。</v>
      </c>
    </row>
    <row r="36395">
      <c r="A36395" s="4" t="s">
        <v>45777</v>
      </c>
      <c r="B36395" s="4" t="s">
        <v>45779</v>
      </c>
      <c r="C36395" s="5" t="str">
        <f>IFERROR(__xludf.DUMMYFUNCTION("GOOGLETRANSLATE(B36395,""en"",""zh-CN"")"),"他炫耀铁，然后用它融化一块塑料。")</f>
        <v>他炫耀铁，然后用它融化一块塑料。</v>
      </c>
    </row>
    <row r="36396">
      <c r="A36396" s="4" t="s">
        <v>45777</v>
      </c>
      <c r="B36396" s="4" t="s">
        <v>45780</v>
      </c>
      <c r="C36396" s="5" t="str">
        <f>IFERROR(__xludf.DUMMYFUNCTION("GOOGLETRANSLATE(B36396,""en"",""zh-CN"")"),"然后，熨斗刷了一条长的金属。")</f>
        <v>然后，熨斗刷了一条长的金属。</v>
      </c>
    </row>
    <row r="36397">
      <c r="A36397" s="4" t="s">
        <v>45781</v>
      </c>
      <c r="B36397" s="4" t="s">
        <v>45782</v>
      </c>
      <c r="C36397" s="5" t="str">
        <f>IFERROR(__xludf.DUMMYFUNCTION("GOOGLETRANSLATE(B36397,""en"",""zh-CN"")"),"一个人用红雪犁清除雪。")</f>
        <v>一个人用红雪犁清除雪。</v>
      </c>
    </row>
    <row r="36398">
      <c r="A36398" s="4" t="s">
        <v>45781</v>
      </c>
      <c r="B36398" s="4" t="s">
        <v>45783</v>
      </c>
      <c r="C36398" s="5" t="str">
        <f>IFERROR(__xludf.DUMMYFUNCTION("GOOGLETRANSLATE(B36398,""en"",""zh-CN"")"),"他们把雪推到一边。")</f>
        <v>他们把雪推到一边。</v>
      </c>
    </row>
    <row r="36399">
      <c r="A36399" s="4" t="s">
        <v>45781</v>
      </c>
      <c r="B36399" s="4" t="s">
        <v>45784</v>
      </c>
      <c r="C36399" s="5" t="str">
        <f>IFERROR(__xludf.DUMMYFUNCTION("GOOGLETRANSLATE(B36399,""en"",""zh-CN"")"),"他们完成了车道的耕作。")</f>
        <v>他们完成了车道的耕作。</v>
      </c>
    </row>
    <row r="36400">
      <c r="A36400" s="4" t="s">
        <v>45785</v>
      </c>
      <c r="B36400" s="4" t="s">
        <v>45786</v>
      </c>
      <c r="C36400" s="5" t="str">
        <f>IFERROR(__xludf.DUMMYFUNCTION("GOOGLETRANSLATE(B36400,""en"",""zh-CN"")"),"当计时器滴答作响时，穿着黑色毛衣的男人迅速进行了魔方挑战。")</f>
        <v>当计时器滴答作响时，穿着黑色毛衣的男人迅速进行了魔方挑战。</v>
      </c>
    </row>
    <row r="36401">
      <c r="A36401" s="4" t="s">
        <v>45785</v>
      </c>
      <c r="B36401" s="4" t="s">
        <v>45787</v>
      </c>
      <c r="C36401" s="5" t="str">
        <f>IFERROR(__xludf.DUMMYFUNCTION("GOOGLETRANSLATE(B36401,""en"",""zh-CN"")"),"一个男人坐在他旁边看着。")</f>
        <v>一个男人坐在他旁边看着。</v>
      </c>
    </row>
    <row r="36402">
      <c r="A36402" s="4" t="s">
        <v>45785</v>
      </c>
      <c r="B36402" s="4" t="s">
        <v>45788</v>
      </c>
      <c r="C36402" s="5" t="str">
        <f>IFERROR(__xludf.DUMMYFUNCTION("GOOGLETRANSLATE(B36402,""en"",""zh-CN"")"),"穿着黑色毛衣的男人兴奋地结束并跳了起来。")</f>
        <v>穿着黑色毛衣的男人兴奋地结束并跳了起来。</v>
      </c>
    </row>
    <row r="36403">
      <c r="A36403" s="4" t="s">
        <v>45785</v>
      </c>
      <c r="B36403" s="4" t="s">
        <v>45789</v>
      </c>
      <c r="C36403" s="5" t="str">
        <f>IFERROR(__xludf.DUMMYFUNCTION("GOOGLETRANSLATE(B36403,""en"",""zh-CN"")"),"坐在他旁边的那个人站起来，并由其他年轻人加入。")</f>
        <v>坐在他旁边的那个人站起来，并由其他年轻人加入。</v>
      </c>
    </row>
    <row r="36404">
      <c r="A36404" s="4" t="s">
        <v>45790</v>
      </c>
      <c r="B36404" s="4" t="s">
        <v>45791</v>
      </c>
      <c r="C36404" s="5" t="str">
        <f>IFERROR(__xludf.DUMMYFUNCTION("GOOGLETRANSLATE(B36404,""en"",""zh-CN"")"),"一群啦啦队在舞台上摆姿势。")</f>
        <v>一群啦啦队在舞台上摆姿势。</v>
      </c>
    </row>
    <row r="36405">
      <c r="A36405" s="4" t="s">
        <v>45790</v>
      </c>
      <c r="B36405" s="4" t="s">
        <v>45792</v>
      </c>
      <c r="C36405" s="5" t="str">
        <f>IFERROR(__xludf.DUMMYFUNCTION("GOOGLETRANSLATE(B36405,""en"",""zh-CN"")"),"他们分裂了，进入了精心制作的舞蹈例程。")</f>
        <v>他们分裂了，进入了精心制作的舞蹈例程。</v>
      </c>
    </row>
    <row r="36406">
      <c r="A36406" s="4" t="s">
        <v>45790</v>
      </c>
      <c r="B36406" s="4" t="s">
        <v>45793</v>
      </c>
      <c r="C36406" s="5" t="str">
        <f>IFERROR(__xludf.DUMMYFUNCTION("GOOGLETRANSLATE(B36406,""en"",""zh-CN"")"),"他们翻转，折腾，互相扔，然后兴奋地跳下来。")</f>
        <v>他们翻转，折腾，互相扔，然后兴奋地跳下来。</v>
      </c>
    </row>
    <row r="36407">
      <c r="A36407" s="4" t="s">
        <v>45794</v>
      </c>
      <c r="B36407" s="4" t="s">
        <v>45795</v>
      </c>
      <c r="C36407" s="5" t="str">
        <f>IFERROR(__xludf.DUMMYFUNCTION("GOOGLETRANSLATE(B36407,""en"",""zh-CN"")"),"两个人在街上的长锅上煮熟煎蛋。")</f>
        <v>两个人在街上的长锅上煮熟煎蛋。</v>
      </c>
    </row>
    <row r="36408">
      <c r="A36408" s="4" t="s">
        <v>45794</v>
      </c>
      <c r="B36408" s="4" t="s">
        <v>45796</v>
      </c>
      <c r="C36408" s="5" t="str">
        <f>IFERROR(__xludf.DUMMYFUNCTION("GOOGLETRANSLATE(B36408,""en"",""zh-CN"")"),"人们在男人的前面经过。")</f>
        <v>人们在男人的前面经过。</v>
      </c>
    </row>
    <row r="36409">
      <c r="A36409" s="4" t="s">
        <v>45794</v>
      </c>
      <c r="B36409" s="4" t="s">
        <v>45797</v>
      </c>
      <c r="C36409" s="5" t="str">
        <f>IFERROR(__xludf.DUMMYFUNCTION("GOOGLETRANSLATE(B36409,""en"",""zh-CN"")"),"一个男人用两根棍子将争夺鸡蛋放在热锅中，将鸡蛋翻转过来。")</f>
        <v>一个男人用两根棍子将争夺鸡蛋放在热锅中，将鸡蛋翻转过来。</v>
      </c>
    </row>
    <row r="36410">
      <c r="A36410" s="4" t="s">
        <v>45794</v>
      </c>
      <c r="B36410" s="4" t="s">
        <v>45798</v>
      </c>
      <c r="C36410" s="5" t="str">
        <f>IFERROR(__xludf.DUMMYFUNCTION("GOOGLETRANSLATE(B36410,""en"",""zh-CN"")"),"然后，该男子在转动煎蛋使其更大的同时增加了更多的炒鸡蛋。")</f>
        <v>然后，该男子在转动煎蛋使其更大的同时增加了更多的炒鸡蛋。</v>
      </c>
    </row>
    <row r="36411">
      <c r="A36411" s="4" t="s">
        <v>45794</v>
      </c>
      <c r="B36411" s="4" t="s">
        <v>45799</v>
      </c>
      <c r="C36411" s="5" t="str">
        <f>IFERROR(__xludf.DUMMYFUNCTION("GOOGLETRANSLATE(B36411,""en"",""zh-CN"")"),"之后，他把煎蛋包裹了。")</f>
        <v>之后，他把煎蛋包裹了。</v>
      </c>
    </row>
    <row r="36412">
      <c r="A36412" s="4" t="s">
        <v>45800</v>
      </c>
      <c r="B36412" s="4" t="s">
        <v>45801</v>
      </c>
      <c r="C36412" s="5" t="str">
        <f>IFERROR(__xludf.DUMMYFUNCTION("GOOGLETRANSLATE(B36412,""en"",""zh-CN"")"),"一个男人跳到平行条上。")</f>
        <v>一个男人跳到平行条上。</v>
      </c>
    </row>
    <row r="36413">
      <c r="A36413" s="4" t="s">
        <v>45800</v>
      </c>
      <c r="B36413" s="4" t="s">
        <v>45802</v>
      </c>
      <c r="C36413" s="5" t="str">
        <f>IFERROR(__xludf.DUMMYFUNCTION("GOOGLETRANSLATE(B36413,""en"",""zh-CN"")"),"他开始在平行条上进行体操例程。")</f>
        <v>他开始在平行条上进行体操例程。</v>
      </c>
    </row>
    <row r="36414">
      <c r="A36414" s="4" t="s">
        <v>45800</v>
      </c>
      <c r="B36414" s="4" t="s">
        <v>45803</v>
      </c>
      <c r="C36414" s="5" t="str">
        <f>IFERROR(__xludf.DUMMYFUNCTION("GOOGLETRANSLATE(B36414,""en"",""zh-CN"")"),"他跳下去，降落在垫子上。")</f>
        <v>他跳下去，降落在垫子上。</v>
      </c>
    </row>
    <row r="36415">
      <c r="A36415" s="4" t="s">
        <v>45804</v>
      </c>
      <c r="B36415" s="4" t="s">
        <v>45805</v>
      </c>
      <c r="C36415" s="5" t="str">
        <f>IFERROR(__xludf.DUMMYFUNCTION("GOOGLETRANSLATE(B36415,""en"",""zh-CN"")"),"一个女孩的呼啦圈在她的脖子，身体和手上旋转了呼啦圈。")</f>
        <v>一个女孩的呼啦圈在她的脖子，身体和手上旋转了呼啦圈。</v>
      </c>
    </row>
    <row r="36416">
      <c r="A36416" s="4" t="s">
        <v>45804</v>
      </c>
      <c r="B36416" s="4" t="s">
        <v>45806</v>
      </c>
      <c r="C36416" s="5" t="str">
        <f>IFERROR(__xludf.DUMMYFUNCTION("GOOGLETRANSLATE(B36416,""en"",""zh-CN"")"),"然后，一个人给同时旋转两个呼啦圈的女孩呼啦圈。")</f>
        <v>然后，一个人给同时旋转两个呼啦圈的女孩呼啦圈。</v>
      </c>
    </row>
    <row r="36417">
      <c r="A36417" s="4" t="s">
        <v>45804</v>
      </c>
      <c r="B36417" s="4" t="s">
        <v>45807</v>
      </c>
      <c r="C36417" s="5" t="str">
        <f>IFERROR(__xludf.DUMMYFUNCTION("GOOGLETRANSLATE(B36417,""en"",""zh-CN"")"),"之后，一个人将另一个呼啦圈送给女孩，用三个戒指打呼啦圈。")</f>
        <v>之后，一个人将另一个呼啦圈送给女孩，用三个戒指打呼啦圈。</v>
      </c>
    </row>
    <row r="36418">
      <c r="A36418" s="4" t="s">
        <v>45804</v>
      </c>
      <c r="B36418" s="4" t="s">
        <v>45808</v>
      </c>
      <c r="C36418" s="5" t="str">
        <f>IFERROR(__xludf.DUMMYFUNCTION("GOOGLETRANSLATE(B36418,""en"",""zh-CN"")"),"最后，女孩们拥抱了这个人，主持人会讲话。")</f>
        <v>最后，女孩们拥抱了这个人，主持人会讲话。</v>
      </c>
    </row>
    <row r="36419">
      <c r="A36419" s="4" t="s">
        <v>45809</v>
      </c>
      <c r="B36419" s="6" t="s">
        <v>45810</v>
      </c>
      <c r="C36419" s="5" t="str">
        <f>IFERROR(__xludf.DUMMYFUNCTION("GOOGLETRANSLATE(B36419,""en"",""zh-CN"")"),"看到一大批人站在街道中间，舞蹈表演和音乐表演。")</f>
        <v>看到一大批人站在街道中间，舞蹈表演和音乐表演。</v>
      </c>
    </row>
    <row r="36420">
      <c r="A36420" s="4" t="s">
        <v>45809</v>
      </c>
      <c r="B36420" s="4" t="s">
        <v>45811</v>
      </c>
      <c r="C36420" s="5" t="str">
        <f>IFERROR(__xludf.DUMMYFUNCTION("GOOGLETRANSLATE(B36420,""en"",""zh-CN"")"),"人们继续在街上四处走动，并以姿势结束。")</f>
        <v>人们继续在街上四处走动，并以姿势结束。</v>
      </c>
    </row>
    <row r="36421">
      <c r="A36421" s="4" t="s">
        <v>45812</v>
      </c>
      <c r="B36421" s="6" t="s">
        <v>45813</v>
      </c>
      <c r="C36421" s="5" t="str">
        <f>IFERROR(__xludf.DUMMYFUNCTION("GOOGLETRANSLATE(B36421,""en"",""zh-CN"")"),"摄像头锅外面的建筑物外，看着一个黑暗的房间，一个人正在锻炼和与相机说话。")</f>
        <v>摄像头锅外面的建筑物外，看着一个黑暗的房间，一个人正在锻炼和与相机说话。</v>
      </c>
    </row>
    <row r="36422">
      <c r="A36422" s="4" t="s">
        <v>45812</v>
      </c>
      <c r="B36422" s="6" t="s">
        <v>45814</v>
      </c>
      <c r="C36422" s="5" t="str">
        <f>IFERROR(__xludf.DUMMYFUNCTION("GOOGLETRANSLATE(B36422,""en"",""zh-CN"")"),"该男子继续在设备上骑行，同时移动得更快，较慢，摄像机在他的动作周围盘子。")</f>
        <v>该男子继续在设备上骑行，同时移动得更快，较慢，摄像机在他的动作周围盘子。</v>
      </c>
    </row>
    <row r="36423">
      <c r="A36423" s="4" t="s">
        <v>45815</v>
      </c>
      <c r="B36423" s="4" t="s">
        <v>45816</v>
      </c>
      <c r="C36423" s="5" t="str">
        <f>IFERROR(__xludf.DUMMYFUNCTION("GOOGLETRANSLATE(B36423,""en"",""zh-CN"")"),"我们看到一把带枕头的椅子。")</f>
        <v>我们看到一把带枕头的椅子。</v>
      </c>
    </row>
    <row r="36424">
      <c r="A36424" s="4" t="s">
        <v>45815</v>
      </c>
      <c r="B36424" s="4" t="s">
        <v>45817</v>
      </c>
      <c r="C36424" s="5" t="str">
        <f>IFERROR(__xludf.DUMMYFUNCTION("GOOGLETRANSLATE(B36424,""en"",""zh-CN"")"),"一个拿着猫的男人坐在椅子上。")</f>
        <v>一个拿着猫的男人坐在椅子上。</v>
      </c>
    </row>
    <row r="36425">
      <c r="A36425" s="4" t="s">
        <v>45815</v>
      </c>
      <c r="B36425" s="4" t="s">
        <v>45818</v>
      </c>
      <c r="C36425" s="5" t="str">
        <f>IFERROR(__xludf.DUMMYFUNCTION("GOOGLETRANSLATE(B36425,""en"",""zh-CN"")"),"该名男子剪辑了猫指甲。")</f>
        <v>该名男子剪辑了猫指甲。</v>
      </c>
    </row>
    <row r="36426">
      <c r="A36426" s="4" t="s">
        <v>45815</v>
      </c>
      <c r="B36426" s="4" t="s">
        <v>45819</v>
      </c>
      <c r="C36426" s="5" t="str">
        <f>IFERROR(__xludf.DUMMYFUNCTION("GOOGLETRANSLATE(B36426,""en"",""zh-CN"")"),"该男子抚摸猫的头。")</f>
        <v>该男子抚摸猫的头。</v>
      </c>
    </row>
    <row r="36427">
      <c r="A36427" s="4" t="s">
        <v>45815</v>
      </c>
      <c r="B36427" s="4" t="s">
        <v>45820</v>
      </c>
      <c r="C36427" s="5" t="str">
        <f>IFERROR(__xludf.DUMMYFUNCTION("GOOGLETRANSLATE(B36427,""en"",""zh-CN"")"),"该男子和猫一起玩耍。")</f>
        <v>该男子和猫一起玩耍。</v>
      </c>
    </row>
    <row r="36428">
      <c r="A36428" s="4" t="s">
        <v>45815</v>
      </c>
      <c r="B36428" s="4" t="s">
        <v>45821</v>
      </c>
      <c r="C36428" s="5" t="str">
        <f>IFERROR(__xludf.DUMMYFUNCTION("GOOGLETRANSLATE(B36428,""en"",""zh-CN"")"),"该男子停止相机。")</f>
        <v>该男子停止相机。</v>
      </c>
    </row>
    <row r="36429">
      <c r="A36429" s="4" t="s">
        <v>45822</v>
      </c>
      <c r="B36429" s="6" t="s">
        <v>45823</v>
      </c>
      <c r="C36429" s="5" t="str">
        <f>IFERROR(__xludf.DUMMYFUNCTION("GOOGLETRANSLATE(B36429,""en"",""zh-CN"")"),"一个有金发的女人带着白色的呼啦圈，呼啦圈在其部分上有彩虹彩色胶带。")</f>
        <v>一个有金发的女人带着白色的呼啦圈，呼啦圈在其部分上有彩虹彩色胶带。</v>
      </c>
    </row>
    <row r="36430">
      <c r="A36430" s="4" t="s">
        <v>45822</v>
      </c>
      <c r="B36430" s="4" t="s">
        <v>45824</v>
      </c>
      <c r="C36430" s="5" t="str">
        <f>IFERROR(__xludf.DUMMYFUNCTION("GOOGLETRANSLATE(B36430,""en"",""zh-CN"")"),"那个女孩走向湖泊，她赤脚在草地上行走。")</f>
        <v>那个女孩走向湖泊，她赤脚在草地上行走。</v>
      </c>
    </row>
    <row r="36431">
      <c r="A36431" s="4" t="s">
        <v>45822</v>
      </c>
      <c r="B36431" s="4" t="s">
        <v>45825</v>
      </c>
      <c r="C36431" s="5" t="str">
        <f>IFERROR(__xludf.DUMMYFUNCTION("GOOGLETRANSLATE(B36431,""en"",""zh-CN"")"),"相机转向她的脸，然后她开始旋转呼啦圈并将其放在她身上。")</f>
        <v>相机转向她的脸，然后她开始旋转呼啦圈并将其放在她身上。</v>
      </c>
    </row>
    <row r="36432">
      <c r="A36432" s="4" t="s">
        <v>45822</v>
      </c>
      <c r="B36432" s="4" t="s">
        <v>45826</v>
      </c>
      <c r="C36432" s="5" t="str">
        <f>IFERROR(__xludf.DUMMYFUNCTION("GOOGLETRANSLATE(B36432,""en"",""zh-CN"")"),"这个女孩开始做呼啦圈的窍门，首先是她的腰上，然后抬起腿和手臂。")</f>
        <v>这个女孩开始做呼啦圈的窍门，首先是她的腰上，然后抬起腿和手臂。</v>
      </c>
    </row>
    <row r="36433">
      <c r="A36433" s="4" t="s">
        <v>45827</v>
      </c>
      <c r="B36433" s="6" t="s">
        <v>45828</v>
      </c>
      <c r="C36433" s="5" t="str">
        <f>IFERROR(__xludf.DUMMYFUNCTION("GOOGLETRANSLATE(B36433,""en"",""zh-CN"")"),"看到一大批人站在一张富裕的球桌旁，彼此交谈，并导致他们玩游戏。")</f>
        <v>看到一大批人站在一张富裕的球桌旁，彼此交谈，并导致他们玩游戏。</v>
      </c>
    </row>
    <row r="36434">
      <c r="A36434" s="4" t="s">
        <v>45827</v>
      </c>
      <c r="B36434" s="6" t="s">
        <v>45829</v>
      </c>
      <c r="C36434" s="5" t="str">
        <f>IFERROR(__xludf.DUMMYFUNCTION("GOOGLETRANSLATE(B36434,""en"",""zh-CN"")"),"许多人继续在场外观看比赛，看着比赛的比赛。")</f>
        <v>许多人继续在场外观看比赛，看着比赛的比赛。</v>
      </c>
    </row>
    <row r="36435">
      <c r="A36435" s="4" t="s">
        <v>45830</v>
      </c>
      <c r="B36435" s="4" t="s">
        <v>45831</v>
      </c>
      <c r="C36435" s="5" t="str">
        <f>IFERROR(__xludf.DUMMYFUNCTION("GOOGLETRANSLATE(B36435,""en"",""zh-CN"")"),"看到一个人站在水槽打开水龙头并润湿手之前。")</f>
        <v>看到一个人站在水槽打开水龙头并润湿手之前。</v>
      </c>
    </row>
    <row r="36436">
      <c r="A36436" s="4" t="s">
        <v>45830</v>
      </c>
      <c r="B36436" s="4" t="s">
        <v>45832</v>
      </c>
      <c r="C36436" s="5" t="str">
        <f>IFERROR(__xludf.DUMMYFUNCTION("GOOGLETRANSLATE(B36436,""en"",""zh-CN"")"),"然后，他们将肥皂放在手上，擦洗肥皂，然后用水冲洗双手。")</f>
        <v>然后，他们将肥皂放在手上，擦洗肥皂，然后用水冲洗双手。</v>
      </c>
    </row>
    <row r="36437">
      <c r="A36437" s="4" t="s">
        <v>45830</v>
      </c>
      <c r="B36437" s="4" t="s">
        <v>45833</v>
      </c>
      <c r="C36437" s="5" t="str">
        <f>IFERROR(__xludf.DUMMYFUNCTION("GOOGLETRANSLATE(B36437,""en"",""zh-CN"")"),"最后，他们用纸巾干燥双手并将其扔进垃圾桶。")</f>
        <v>最后，他们用纸巾干燥双手并将其扔进垃圾桶。</v>
      </c>
    </row>
    <row r="36438">
      <c r="A36438" s="4" t="s">
        <v>45834</v>
      </c>
      <c r="B36438" s="4" t="s">
        <v>45835</v>
      </c>
      <c r="C36438" s="5" t="str">
        <f>IFERROR(__xludf.DUMMYFUNCTION("GOOGLETRANSLATE(B36438,""en"",""zh-CN"")"),"女人正在抽烟。")</f>
        <v>女人正在抽烟。</v>
      </c>
    </row>
    <row r="36439">
      <c r="A36439" s="4" t="s">
        <v>45834</v>
      </c>
      <c r="B36439" s="4" t="s">
        <v>45836</v>
      </c>
      <c r="C36439" s="5" t="str">
        <f>IFERROR(__xludf.DUMMYFUNCTION("GOOGLETRANSLATE(B36439,""en"",""zh-CN"")"),"她坐下来，人们走在她身后。")</f>
        <v>她坐下来，人们走在她身后。</v>
      </c>
    </row>
    <row r="36440">
      <c r="A36440" s="4" t="s">
        <v>45834</v>
      </c>
      <c r="B36440" s="4" t="s">
        <v>45837</v>
      </c>
      <c r="C36440" s="5" t="str">
        <f>IFERROR(__xludf.DUMMYFUNCTION("GOOGLETRANSLATE(B36440,""en"",""zh-CN"")"),"她继续用一只手臂握香烟。")</f>
        <v>她继续用一只手臂握香烟。</v>
      </c>
    </row>
    <row r="36441">
      <c r="A36441" s="4" t="s">
        <v>45834</v>
      </c>
      <c r="B36441" s="4" t="s">
        <v>45838</v>
      </c>
      <c r="C36441" s="5" t="str">
        <f>IFERROR(__xludf.DUMMYFUNCTION("GOOGLETRANSLATE(B36441,""en"",""zh-CN"")"),"人们继续走在她身后。")</f>
        <v>人们继续走在她身后。</v>
      </c>
    </row>
    <row r="36442">
      <c r="A36442" s="4" t="s">
        <v>45834</v>
      </c>
      <c r="B36442" s="4" t="s">
        <v>45839</v>
      </c>
      <c r="C36442" s="5" t="str">
        <f>IFERROR(__xludf.DUMMYFUNCTION("GOOGLETRANSLATE(B36442,""en"",""zh-CN"")"),"她继续抽烟，直截了当。")</f>
        <v>她继续抽烟，直截了当。</v>
      </c>
    </row>
    <row r="36443">
      <c r="A36443" s="4" t="s">
        <v>45840</v>
      </c>
      <c r="B36443" s="6" t="s">
        <v>45841</v>
      </c>
      <c r="C36443" s="5" t="str">
        <f>IFERROR(__xludf.DUMMYFUNCTION("GOOGLETRANSLATE(B36443,""en"",""zh-CN"")"),"两个男孩在户外的大乒乓球桌上玩乒乓球，而第三个男孩则在场外看。")</f>
        <v>两个男孩在户外的大乒乓球桌上玩乒乓球，而第三个男孩则在场外看。</v>
      </c>
    </row>
    <row r="36444">
      <c r="A36444" s="4" t="s">
        <v>45840</v>
      </c>
      <c r="B36444" s="4" t="s">
        <v>45842</v>
      </c>
      <c r="C36444" s="5" t="str">
        <f>IFERROR(__xludf.DUMMYFUNCTION("GOOGLETRANSLATE(B36444,""en"",""zh-CN"")"),"一个穿着翅膀图形的男孩穿着翅膀图形，将球击中了另一个光着膀子的球员。")</f>
        <v>一个穿着翅膀图形的男孩穿着翅膀图形，将球击中了另一个光着膀子的球员。</v>
      </c>
    </row>
    <row r="36445">
      <c r="A36445" s="4" t="s">
        <v>45840</v>
      </c>
      <c r="B36445" s="6" t="s">
        <v>45843</v>
      </c>
      <c r="C36445" s="5" t="str">
        <f>IFERROR(__xludf.DUMMYFUNCTION("GOOGLETRANSLATE(B36445,""en"",""zh-CN"")"),"光着膀子的球员返回发球，男孩带着T恤错过了球，不得不捡起它并将其扔给另一个球员进行重新连续。")</f>
        <v>光着膀子的球员返回发球，男孩带着T恤错过了球，不得不捡起它并将其扔给另一个球员进行重新连续。</v>
      </c>
    </row>
    <row r="36446">
      <c r="A36446" s="4" t="s">
        <v>45840</v>
      </c>
      <c r="B36446" s="4" t="s">
        <v>45844</v>
      </c>
      <c r="C36446" s="5" t="str">
        <f>IFERROR(__xludf.DUMMYFUNCTION("GOOGLETRANSLATE(B36446,""en"",""zh-CN"")"),"两人再次开始玩耍，而在场外的男孩观察了比赛。")</f>
        <v>两人再次开始玩耍，而在场外的男孩观察了比赛。</v>
      </c>
    </row>
    <row r="36447">
      <c r="A36447" s="4" t="s">
        <v>45845</v>
      </c>
      <c r="B36447" s="6" t="s">
        <v>45846</v>
      </c>
      <c r="C36447" s="5" t="str">
        <f>IFERROR(__xludf.DUMMYFUNCTION("GOOGLETRANSLATE(B36447,""en"",""zh-CN"")"),"一名穿着绿色外套的年轻人站在泥泞的土墩前，正在谈论他的维护任务。")</f>
        <v>一名穿着绿色外套的年轻人站在泥泞的土墩前，正在谈论他的维护任务。</v>
      </c>
    </row>
    <row r="36448">
      <c r="A36448" s="4" t="s">
        <v>45845</v>
      </c>
      <c r="B36448" s="6" t="s">
        <v>45847</v>
      </c>
      <c r="C36448" s="5" t="str">
        <f>IFERROR(__xludf.DUMMYFUNCTION("GOOGLETRANSLATE(B36448,""en"",""zh-CN"")"),"然后，该男子带着绿色独轮车进入后院，将污垢倒在后院。")</f>
        <v>然后，该男子带着绿色独轮车进入后院，将污垢倒在后院。</v>
      </c>
    </row>
    <row r="36449">
      <c r="A36449" s="4" t="s">
        <v>45845</v>
      </c>
      <c r="B36449" s="4" t="s">
        <v>45848</v>
      </c>
      <c r="C36449" s="5" t="str">
        <f>IFERROR(__xludf.DUMMYFUNCTION("GOOGLETRANSLATE(B36449,""en"",""zh-CN"")"),"然后，他拿起耙子，将泥土绕在房子的夜晚中。")</f>
        <v>然后，他拿起耙子，将泥土绕在房子的夜晚中。</v>
      </c>
    </row>
    <row r="36450">
      <c r="A36450" s="4" t="s">
        <v>45845</v>
      </c>
      <c r="B36450" s="4" t="s">
        <v>45849</v>
      </c>
      <c r="C36450" s="5" t="str">
        <f>IFERROR(__xludf.DUMMYFUNCTION("GOOGLETRANSLATE(B36450,""en"",""zh-CN"")"),"完成后，他消失了，沿着车库看到了一条覆盖道。")</f>
        <v>完成后，他消失了，沿着车库看到了一条覆盖道。</v>
      </c>
    </row>
    <row r="36451">
      <c r="A36451" s="4" t="s">
        <v>45850</v>
      </c>
      <c r="B36451" s="6" t="s">
        <v>45851</v>
      </c>
      <c r="C36451" s="5" t="str">
        <f>IFERROR(__xludf.DUMMYFUNCTION("GOOGLETRANSLATE(B36451,""en"",""zh-CN"")"),"两支躲避球队在一个室内体育馆里互相比赛，被看台上的围观者包围。")</f>
        <v>两支躲避球队在一个室内体育馆里互相比赛，被看台上的围观者包围。</v>
      </c>
    </row>
    <row r="36452">
      <c r="A36452" s="4" t="s">
        <v>45850</v>
      </c>
      <c r="B36452" s="6" t="s">
        <v>45852</v>
      </c>
      <c r="C36452" s="5" t="str">
        <f>IFERROR(__xludf.DUMMYFUNCTION("GOOGLETRANSLATE(B36452,""en"",""zh-CN"")"),"比赛始于一支男子团队对抗一群女子，每个人都轮流猛烈地向对方投掷道奇球。")</f>
        <v>比赛始于一支男子团队对抗一群女子，每个人都轮流猛烈地向对方投掷道奇球。</v>
      </c>
    </row>
    <row r="36453">
      <c r="A36453" s="4" t="s">
        <v>45850</v>
      </c>
      <c r="B36453" s="6" t="s">
        <v>45853</v>
      </c>
      <c r="C36453" s="5" t="str">
        <f>IFERROR(__xludf.DUMMYFUNCTION("GOOGLETRANSLATE(B36453,""en"",""zh-CN"")"),"然后，团队在健身房的地板上换了两侧，左侧的女人和右边的男人。")</f>
        <v>然后，团队在健身房的地板上换了两侧，左侧的女人和右边的男人。</v>
      </c>
    </row>
    <row r="36454">
      <c r="A36454" s="4" t="s">
        <v>45850</v>
      </c>
      <c r="B36454" s="4" t="s">
        <v>45854</v>
      </c>
      <c r="C36454" s="5" t="str">
        <f>IFERROR(__xludf.DUMMYFUNCTION("GOOGLETRANSLATE(B36454,""en"",""zh-CN"")"),"比赛结束了，两支球队都在地板中间相遇，并互相给予高击球。")</f>
        <v>比赛结束了，两支球队都在地板中间相遇，并互相给予高击球。</v>
      </c>
    </row>
    <row r="36455">
      <c r="A36455" s="4" t="s">
        <v>45855</v>
      </c>
      <c r="B36455" s="4" t="s">
        <v>45856</v>
      </c>
      <c r="C36455" s="5" t="str">
        <f>IFERROR(__xludf.DUMMYFUNCTION("GOOGLETRANSLATE(B36455,""en"",""zh-CN"")"),"有一个女人在拖着那个女人在帆船后面的冲浪板上拖曳。")</f>
        <v>有一个女人在拖着那个女人在帆船后面的冲浪板上拖曳。</v>
      </c>
    </row>
    <row r="36456">
      <c r="A36456" s="4" t="s">
        <v>45855</v>
      </c>
      <c r="B36456" s="4" t="s">
        <v>45857</v>
      </c>
      <c r="C36456" s="5" t="str">
        <f>IFERROR(__xludf.DUMMYFUNCTION("GOOGLETRANSLATE(B36456,""en"",""zh-CN"")"),"当帆船在水中航行时，女士冲浪者跳高。")</f>
        <v>当帆船在水中航行时，女士冲浪者跳高。</v>
      </c>
    </row>
    <row r="36457">
      <c r="A36457" s="4" t="s">
        <v>45855</v>
      </c>
      <c r="B36457" s="4" t="s">
        <v>45858</v>
      </c>
      <c r="C36457" s="5" t="str">
        <f>IFERROR(__xludf.DUMMYFUNCTION("GOOGLETRANSLATE(B36457,""en"",""zh-CN"")"),"女人在冲浪板上扭曲而转身。")</f>
        <v>女人在冲浪板上扭曲而转身。</v>
      </c>
    </row>
    <row r="36458">
      <c r="A36458" s="4" t="s">
        <v>45855</v>
      </c>
      <c r="B36458" s="6" t="s">
        <v>45859</v>
      </c>
      <c r="C36458" s="5" t="str">
        <f>IFERROR(__xludf.DUMMYFUNCTION("GOOGLETRANSLATE(B36458,""en"",""zh-CN"")"),"帆船继续拉动女人，当她扭曲，转弯并在冲浪上旋转时，她完美地平衡了冲浪。")</f>
        <v>帆船继续拉动女人，当她扭曲，转弯并在冲浪上旋转时，她完美地平衡了冲浪。</v>
      </c>
    </row>
    <row r="36459">
      <c r="A36459" s="4" t="s">
        <v>45855</v>
      </c>
      <c r="B36459" s="4" t="s">
        <v>45860</v>
      </c>
      <c r="C36459" s="5" t="str">
        <f>IFERROR(__xludf.DUMMYFUNCTION("GOOGLETRANSLATE(B36459,""en"",""zh-CN"")"),"她穿着曲折的Zag图案，随着船只的速度，在水中散发着泡沫波。")</f>
        <v>她穿着曲折的Zag图案，随着船只的速度，在水中散发着泡沫波。</v>
      </c>
    </row>
    <row r="36460">
      <c r="A36460" s="4" t="s">
        <v>45855</v>
      </c>
      <c r="B36460" s="6" t="s">
        <v>45861</v>
      </c>
      <c r="C36460" s="5" t="str">
        <f>IFERROR(__xludf.DUMMYFUNCTION("GOOGLETRANSLATE(B36460,""en"",""zh-CN"")"),"在电视上观看了同样的冲浪，一个男人，另一个女人在冲浪者的脖子上放了几枚奖牌。")</f>
        <v>在电视上观看了同样的冲浪，一个男人，另一个女人在冲浪者的脖子上放了几枚奖牌。</v>
      </c>
    </row>
    <row r="36461">
      <c r="A36461" s="4" t="s">
        <v>45855</v>
      </c>
      <c r="B36461" s="4" t="s">
        <v>45862</v>
      </c>
      <c r="C36461" s="5" t="str">
        <f>IFERROR(__xludf.DUMMYFUNCTION("GOOGLETRANSLATE(B36461,""en"",""zh-CN"")"),"冲浪者假装随着奖牌的巨大重量而倒下。")</f>
        <v>冲浪者假装随着奖牌的巨大重量而倒下。</v>
      </c>
    </row>
    <row r="36462">
      <c r="A36462" s="4" t="s">
        <v>45863</v>
      </c>
      <c r="B36462" s="4" t="s">
        <v>45864</v>
      </c>
      <c r="C36462" s="5" t="str">
        <f>IFERROR(__xludf.DUMMYFUNCTION("GOOGLETRANSLATE(B36462,""en"",""zh-CN"")"),"有两个小孩在雪地旁的挥杆环上玩耍。")</f>
        <v>有两个小孩在雪地旁的挥杆环上玩耍。</v>
      </c>
    </row>
    <row r="36463">
      <c r="A36463" s="4" t="s">
        <v>45863</v>
      </c>
      <c r="B36463" s="4" t="s">
        <v>45865</v>
      </c>
      <c r="C36463" s="5" t="str">
        <f>IFERROR(__xludf.DUMMYFUNCTION("GOOGLETRANSLATE(B36463,""en"",""zh-CN"")"),"一个孩子跑到一个旋转中，但决定变成绿色的秋千。")</f>
        <v>一个孩子跑到一个旋转中，但决定变成绿色的秋千。</v>
      </c>
    </row>
    <row r="36464">
      <c r="A36464" s="4" t="s">
        <v>45863</v>
      </c>
      <c r="B36464" s="4" t="s">
        <v>45866</v>
      </c>
      <c r="C36464" s="5" t="str">
        <f>IFERROR(__xludf.DUMMYFUNCTION("GOOGLETRANSLATE(B36464,""en"",""zh-CN"")"),"成人帮助孩子进入秋千。")</f>
        <v>成人帮助孩子进入秋千。</v>
      </c>
    </row>
    <row r="36465">
      <c r="A36465" s="4" t="s">
        <v>45863</v>
      </c>
      <c r="B36465" s="6" t="s">
        <v>45867</v>
      </c>
      <c r="C36465" s="5" t="str">
        <f>IFERROR(__xludf.DUMMYFUNCTION("GOOGLETRANSLATE(B36465,""en"",""zh-CN"")"),"另一个孩子还想加入第一个孩子，在同一秋千上加入，并在孩子爬上时保持挥杆稳定。")</f>
        <v>另一个孩子还想加入第一个孩子，在同一秋千上加入，并在孩子爬上时保持挥杆稳定。</v>
      </c>
    </row>
    <row r="36466">
      <c r="A36466" s="4" t="s">
        <v>45863</v>
      </c>
      <c r="B36466" s="6" t="s">
        <v>45868</v>
      </c>
      <c r="C36466" s="5" t="str">
        <f>IFERROR(__xludf.DUMMYFUNCTION("GOOGLETRANSLATE(B36466,""en"",""zh-CN"")"),"孩子能够继续前进，两个孩子在成年人向前推动秋千时喜欢一起摇摆。")</f>
        <v>孩子能够继续前进，两个孩子在成年人向前推动秋千时喜欢一起摇摆。</v>
      </c>
    </row>
    <row r="36467">
      <c r="A36467" s="4" t="s">
        <v>45869</v>
      </c>
      <c r="B36467" s="6" t="s">
        <v>45870</v>
      </c>
      <c r="C36467" s="5" t="str">
        <f>IFERROR(__xludf.DUMMYFUNCTION("GOOGLETRANSLATE(B36467,""en"",""zh-CN"")"),"一个人真空汽车的内部，而其他男人则用洗涤剂和水用手工清洁汽车。")</f>
        <v>一个人真空汽车的内部，而其他男人则用洗涤剂和水用手工清洁汽车。</v>
      </c>
    </row>
    <row r="36468">
      <c r="A36468" s="4" t="s">
        <v>45869</v>
      </c>
      <c r="B36468" s="4" t="s">
        <v>45871</v>
      </c>
      <c r="C36468" s="5" t="str">
        <f>IFERROR(__xludf.DUMMYFUNCTION("GOOGLETRANSLATE(B36468,""en"",""zh-CN"")"),"然后，一个男人用衣服干dry汽车。")</f>
        <v>然后，一个男人用衣服干dry汽车。</v>
      </c>
    </row>
    <row r="36469">
      <c r="A36469" s="4" t="s">
        <v>45869</v>
      </c>
      <c r="B36469" s="4" t="s">
        <v>45872</v>
      </c>
      <c r="C36469" s="5" t="str">
        <f>IFERROR(__xludf.DUMMYFUNCTION("GOOGLETRANSLATE(B36469,""en"",""zh-CN"")"),"其他汽车在自动汽车机中洗涤。")</f>
        <v>其他汽车在自动汽车机中洗涤。</v>
      </c>
    </row>
    <row r="36470">
      <c r="A36470" s="4" t="s">
        <v>45869</v>
      </c>
      <c r="B36470" s="4" t="s">
        <v>45873</v>
      </c>
      <c r="C36470" s="5" t="str">
        <f>IFERROR(__xludf.DUMMYFUNCTION("GOOGLETRANSLATE(B36470,""en"",""zh-CN"")"),"之后，人们用手用布料清洁汽车。")</f>
        <v>之后，人们用手用布料清洁汽车。</v>
      </c>
    </row>
    <row r="36471">
      <c r="A36471" s="4" t="s">
        <v>45874</v>
      </c>
      <c r="B36471" s="4" t="s">
        <v>45875</v>
      </c>
      <c r="C36471" s="5" t="str">
        <f>IFERROR(__xludf.DUMMYFUNCTION("GOOGLETRANSLATE(B36471,""en"",""zh-CN"")"),"一位穿着粉红色衬衫的女人展示了房屋的外部。")</f>
        <v>一位穿着粉红色衬衫的女人展示了房屋的外部。</v>
      </c>
    </row>
    <row r="36472">
      <c r="A36472" s="4" t="s">
        <v>45874</v>
      </c>
      <c r="B36472" s="4" t="s">
        <v>45876</v>
      </c>
      <c r="C36472" s="5" t="str">
        <f>IFERROR(__xludf.DUMMYFUNCTION("GOOGLETRANSLATE(B36472,""en"",""zh-CN"")"),"她正在用蓝色油漆画一栋房屋之一。")</f>
        <v>她正在用蓝色油漆画一栋房屋之一。</v>
      </c>
    </row>
    <row r="36473">
      <c r="A36473" s="4" t="s">
        <v>45874</v>
      </c>
      <c r="B36473" s="4" t="s">
        <v>45877</v>
      </c>
      <c r="C36473" s="5" t="str">
        <f>IFERROR(__xludf.DUMMYFUNCTION("GOOGLETRANSLATE(B36473,""en"",""zh-CN"")"),"她拿着一桶油漆。")</f>
        <v>她拿着一桶油漆。</v>
      </c>
    </row>
    <row r="36474">
      <c r="A36474" s="4" t="s">
        <v>45878</v>
      </c>
      <c r="B36474" s="4" t="s">
        <v>45879</v>
      </c>
      <c r="C36474" s="5" t="str">
        <f>IFERROR(__xludf.DUMMYFUNCTION("GOOGLETRANSLATE(B36474,""en"",""zh-CN"")"),"Peolpe正在大街上穿着高跷。")</f>
        <v>Peolpe正在大街上穿着高跷。</v>
      </c>
    </row>
    <row r="36475">
      <c r="A36475" s="4" t="s">
        <v>45878</v>
      </c>
      <c r="B36475" s="4" t="s">
        <v>45880</v>
      </c>
      <c r="C36475" s="5" t="str">
        <f>IFERROR(__xludf.DUMMYFUNCTION("GOOGLETRANSLATE(B36475,""en"",""zh-CN"")"),"男人正在采访Sreet的一个老妇人。")</f>
        <v>男人正在采访Sreet的一个老妇人。</v>
      </c>
    </row>
    <row r="36476">
      <c r="A36476" s="4" t="s">
        <v>45878</v>
      </c>
      <c r="B36476" s="4" t="s">
        <v>45881</v>
      </c>
      <c r="C36476" s="5" t="str">
        <f>IFERROR(__xludf.DUMMYFUNCTION("GOOGLETRANSLATE(B36476,""en"",""zh-CN"")"),"男人在街上的汽车上方跳跃。")</f>
        <v>男人在街上的汽车上方跳跃。</v>
      </c>
    </row>
    <row r="36477">
      <c r="A36477" s="4" t="s">
        <v>45878</v>
      </c>
      <c r="B36477" s="4" t="s">
        <v>45882</v>
      </c>
      <c r="C36477" s="5" t="str">
        <f>IFERROR(__xludf.DUMMYFUNCTION("GOOGLETRANSLATE(B36477,""en"",""zh-CN"")"),"人躺在木桌上，其他人跳到桌子上。")</f>
        <v>人躺在木桌上，其他人跳到桌子上。</v>
      </c>
    </row>
    <row r="36478">
      <c r="A36478" s="4" t="s">
        <v>45878</v>
      </c>
      <c r="B36478" s="4" t="s">
        <v>45883</v>
      </c>
      <c r="C36478" s="5" t="str">
        <f>IFERROR(__xludf.DUMMYFUNCTION("GOOGLETRANSLATE(B36478,""en"",""zh-CN"")"),"男人穿着高跷跳来跳去。")</f>
        <v>男人穿着高跷跳来跳去。</v>
      </c>
    </row>
    <row r="36479">
      <c r="A36479" s="4" t="s">
        <v>45878</v>
      </c>
      <c r="B36479" s="6" t="s">
        <v>45884</v>
      </c>
      <c r="C36479" s="5" t="str">
        <f>IFERROR(__xludf.DUMMYFUNCTION("GOOGLETRANSLATE(B36479,""en"",""zh-CN"")"),"男人正在帮助女人穿着高跷，并在健身房里散步，与奥赫球员一起玩篮球。")</f>
        <v>男人正在帮助女人穿着高跷，并在健身房里散步，与奥赫球员一起玩篮球。</v>
      </c>
    </row>
    <row r="36480">
      <c r="A36480" s="4" t="s">
        <v>45878</v>
      </c>
      <c r="B36480" s="4" t="s">
        <v>45885</v>
      </c>
      <c r="C36480" s="5" t="str">
        <f>IFERROR(__xludf.DUMMYFUNCTION("GOOGLETRANSLATE(B36480,""en"",""zh-CN"")"),"人们穿着高跷，奔跑和跳跃。")</f>
        <v>人们穿着高跷，奔跑和跳跃。</v>
      </c>
    </row>
    <row r="36481">
      <c r="A36481" s="4" t="s">
        <v>45878</v>
      </c>
      <c r="B36481" s="4" t="s">
        <v>45886</v>
      </c>
      <c r="C36481" s="5" t="str">
        <f>IFERROR(__xludf.DUMMYFUNCTION("GOOGLETRANSLATE(B36481,""en"",""zh-CN"")"),"男人坐在餐厅外的街道上的长凳上。")</f>
        <v>男人坐在餐厅外的街道上的长凳上。</v>
      </c>
    </row>
    <row r="36482">
      <c r="A36482" s="4" t="s">
        <v>45878</v>
      </c>
      <c r="B36482" s="4" t="s">
        <v>45887</v>
      </c>
      <c r="C36482" s="5" t="str">
        <f>IFERROR(__xludf.DUMMYFUNCTION("GOOGLETRANSLATE(B36482,""en"",""zh-CN"")"),"团队在屋顶体育馆里跳高跷。")</f>
        <v>团队在屋顶体育馆里跳高跷。</v>
      </c>
    </row>
    <row r="36483">
      <c r="A36483" s="4" t="s">
        <v>45888</v>
      </c>
      <c r="B36483" s="4" t="s">
        <v>45889</v>
      </c>
      <c r="C36483" s="5" t="str">
        <f>IFERROR(__xludf.DUMMYFUNCTION("GOOGLETRANSLATE(B36483,""en"",""zh-CN"")"),"一位穿着白衬衫的老人正在刷棕色马的身体。")</f>
        <v>一位穿着白衬衫的老人正在刷棕色马的身体。</v>
      </c>
    </row>
    <row r="36484">
      <c r="A36484" s="4" t="s">
        <v>45888</v>
      </c>
      <c r="B36484" s="6" t="s">
        <v>45890</v>
      </c>
      <c r="C36484" s="5" t="str">
        <f>IFERROR(__xludf.DUMMYFUNCTION("GOOGLETRANSLATE(B36484,""en"",""zh-CN"")"),"老人旁边的那个穿着蓝色衬衫的女孩刷了马的皮毛，然后老人接管了马，刷了马，那个女孩用手擦了擦马的皮毛。")</f>
        <v>老人旁边的那个穿着蓝色衬衫的女孩刷了马的皮毛，然后老人接管了马，刷了马，那个女孩用手擦了擦马的皮毛。</v>
      </c>
    </row>
    <row r="36485">
      <c r="A36485" s="4" t="s">
        <v>45891</v>
      </c>
      <c r="B36485" s="4" t="s">
        <v>45892</v>
      </c>
      <c r="C36485" s="5" t="str">
        <f>IFERROR(__xludf.DUMMYFUNCTION("GOOGLETRANSLATE(B36485,""en"",""zh-CN"")"),"一支游行乐队正在沿着轨道行走。")</f>
        <v>一支游行乐队正在沿着轨道行走。</v>
      </c>
    </row>
    <row r="36486">
      <c r="A36486" s="4" t="s">
        <v>45891</v>
      </c>
      <c r="B36486" s="4" t="s">
        <v>45893</v>
      </c>
      <c r="C36486" s="5" t="str">
        <f>IFERROR(__xludf.DUMMYFUNCTION("GOOGLETRANSLATE(B36486,""en"",""zh-CN"")"),"携带旗帜的人在他们身后跟随。")</f>
        <v>携带旗帜的人在他们身后跟随。</v>
      </c>
    </row>
    <row r="36487">
      <c r="A36487" s="4" t="s">
        <v>45891</v>
      </c>
      <c r="B36487" s="4" t="s">
        <v>45894</v>
      </c>
      <c r="C36487" s="5" t="str">
        <f>IFERROR(__xludf.DUMMYFUNCTION("GOOGLETRANSLATE(B36487,""en"",""zh-CN"")"),"鼓手在后面打鼓。")</f>
        <v>鼓手在后面打鼓。</v>
      </c>
    </row>
    <row r="36488">
      <c r="A36488" s="4" t="s">
        <v>45895</v>
      </c>
      <c r="B36488" s="6" t="s">
        <v>45896</v>
      </c>
      <c r="C36488" s="5" t="str">
        <f>IFERROR(__xludf.DUMMYFUNCTION("GOOGLETRANSLATE(B36488,""en"",""zh-CN"")"),"彩色介绍包括白色的单词，上面写着“世界上最危险的体育赛事”和绿色字母分别是“ SRP”。")</f>
        <v>彩色介绍包括白色的单词，上面写着“世界上最危险的体育赛事”和绿色字母分别是“ SRP”。</v>
      </c>
    </row>
    <row r="36489">
      <c r="A36489" s="4" t="s">
        <v>45895</v>
      </c>
      <c r="B36489" s="6" t="s">
        <v>45897</v>
      </c>
      <c r="C36489" s="5" t="str">
        <f>IFERROR(__xludf.DUMMYFUNCTION("GOOGLETRANSLATE(B36489,""en"",""zh-CN"")"),"在地图上的马德里西班牙出现了，当他们嘲笑愤怒的公牛时，它很快就陷入了拿着红色斗篷的各种男人剪辑。")</f>
        <v>在地图上的马德里西班牙出现了，当他们嘲笑愤怒的公牛时，它很快就陷入了拿着红色斗篷的各种男人剪辑。</v>
      </c>
    </row>
    <row r="36490">
      <c r="A36490" s="4" t="s">
        <v>45895</v>
      </c>
      <c r="B36490" s="6" t="s">
        <v>45898</v>
      </c>
      <c r="C36490" s="5" t="str">
        <f>IFERROR(__xludf.DUMMYFUNCTION("GOOGLETRANSLATE(B36490,""en"",""zh-CN"")"),"突然，一头公牛没有追随斗篷，相反，他追着那个公牛继续用角攻击他的人，将他扔到泥土上。")</f>
        <v>突然，一头公牛没有追随斗篷，相反，他追着那个公牛继续用角攻击他的人，将他扔到泥土上。</v>
      </c>
    </row>
    <row r="36491">
      <c r="A36491" s="4" t="s">
        <v>45895</v>
      </c>
      <c r="B36491" s="6" t="s">
        <v>45899</v>
      </c>
      <c r="C36491" s="5" t="str">
        <f>IFERROR(__xludf.DUMMYFUNCTION("GOOGLETRANSLATE(B36491,""en"",""zh-CN"")"),"人们开始朝公牛奔跑，并为他提供帮助，受伤的人很快被带走并跑出了危险区域。")</f>
        <v>人们开始朝公牛奔跑，并为他提供帮助，受伤的人很快被带走并跑出了危险区域。</v>
      </c>
    </row>
    <row r="36492">
      <c r="A36492" s="4" t="s">
        <v>45895</v>
      </c>
      <c r="B36492" s="6" t="s">
        <v>45900</v>
      </c>
      <c r="C36492" s="5" t="str">
        <f>IFERROR(__xludf.DUMMYFUNCTION("GOOGLETRANSLATE(B36492,""en"",""zh-CN"")"),"介绍出现，它是一个带有绿色字母SRP的黑屏，生产学分以及权利。")</f>
        <v>介绍出现，它是一个带有绿色字母SRP的黑屏，生产学分以及权利。</v>
      </c>
    </row>
    <row r="36493">
      <c r="A36493" s="4" t="s">
        <v>45901</v>
      </c>
      <c r="B36493" s="6" t="s">
        <v>45902</v>
      </c>
      <c r="C36493" s="5" t="str">
        <f>IFERROR(__xludf.DUMMYFUNCTION("GOOGLETRANSLATE(B36493,""en"",""zh-CN"")"),"看到一个年轻人坐在鼓工套件的前面，开始为相机演奏鼓。")</f>
        <v>看到一个年轻人坐在鼓工套件的前面，开始为相机演奏鼓。</v>
      </c>
    </row>
    <row r="36494">
      <c r="A36494" s="4" t="s">
        <v>45901</v>
      </c>
      <c r="B36494" s="4" t="s">
        <v>45903</v>
      </c>
      <c r="C36494" s="5" t="str">
        <f>IFERROR(__xludf.DUMMYFUNCTION("GOOGLETRANSLATE(B36494,""en"",""zh-CN"")"),"他继续打鼓，最后一次击中cy。")</f>
        <v>他继续打鼓，最后一次击中cy。</v>
      </c>
    </row>
    <row r="36495">
      <c r="A36495" s="4" t="s">
        <v>45904</v>
      </c>
      <c r="B36495" s="4" t="s">
        <v>45905</v>
      </c>
      <c r="C36495" s="5" t="str">
        <f>IFERROR(__xludf.DUMMYFUNCTION("GOOGLETRANSLATE(B36495,""en"",""zh-CN"")"),"一个女人在厨房里说话。")</f>
        <v>一个女人在厨房里说话。</v>
      </c>
    </row>
    <row r="36496">
      <c r="A36496" s="4" t="s">
        <v>45904</v>
      </c>
      <c r="B36496" s="4" t="s">
        <v>45906</v>
      </c>
      <c r="C36496" s="5" t="str">
        <f>IFERROR(__xludf.DUMMYFUNCTION("GOOGLETRANSLATE(B36496,""en"",""zh-CN"")"),"她将清洁剂倒入水槽中，并描述了一些清洁工具。")</f>
        <v>她将清洁剂倒入水槽中，并描述了一些清洁工具。</v>
      </c>
    </row>
    <row r="36497">
      <c r="A36497" s="4" t="s">
        <v>45904</v>
      </c>
      <c r="B36497" s="4" t="s">
        <v>45907</v>
      </c>
      <c r="C36497" s="5" t="str">
        <f>IFERROR(__xludf.DUMMYFUNCTION("GOOGLETRANSLATE(B36497,""en"",""zh-CN"")"),"她将粉末放在水槽中，然后将柠檬挤在粉末上。")</f>
        <v>她将粉末放在水槽中，然后将柠檬挤在粉末上。</v>
      </c>
    </row>
    <row r="36498">
      <c r="A36498" s="4" t="s">
        <v>45904</v>
      </c>
      <c r="B36498" s="4" t="s">
        <v>45908</v>
      </c>
      <c r="C36498" s="5" t="str">
        <f>IFERROR(__xludf.DUMMYFUNCTION("GOOGLETRANSLATE(B36498,""en"",""zh-CN"")"),"她将液体倒在上面，然后用刷子擦洗。")</f>
        <v>她将液体倒在上面，然后用刷子擦洗。</v>
      </c>
    </row>
    <row r="36499">
      <c r="A36499" s="4" t="s">
        <v>45904</v>
      </c>
      <c r="B36499" s="6" t="s">
        <v>45909</v>
      </c>
      <c r="C36499" s="5" t="str">
        <f>IFERROR(__xludf.DUMMYFUNCTION("GOOGLETRANSLATE(B36499,""en"",""zh-CN"")"),"她将水打开一秒钟，然后在水槽上使用一块石头，然后使用喷雾器冲洗所有东西。")</f>
        <v>她将水打开一秒钟，然后在水槽上使用一块石头，然后使用喷雾器冲洗所有东西。</v>
      </c>
    </row>
    <row r="36500">
      <c r="A36500" s="4" t="s">
        <v>45910</v>
      </c>
      <c r="B36500" s="4" t="s">
        <v>45911</v>
      </c>
      <c r="C36500" s="5" t="str">
        <f>IFERROR(__xludf.DUMMYFUNCTION("GOOGLETRANSLATE(B36500,""en"",""zh-CN"")"),"日落后，在篮球场上有很多人在外面。")</f>
        <v>日落后，在篮球场上有很多人在外面。</v>
      </c>
    </row>
    <row r="36501">
      <c r="A36501" s="4" t="s">
        <v>45910</v>
      </c>
      <c r="B36501" s="4" t="s">
        <v>45912</v>
      </c>
      <c r="C36501" s="5" t="str">
        <f>IFERROR(__xludf.DUMMYFUNCTION("GOOGLETRANSLATE(B36501,""en"",""zh-CN"")"),"他们都在这些新的pogo棍子上跳来跳去，就像鞋子一样。")</f>
        <v>他们都在这些新的pogo棍子上跳来跳去，就像鞋子一样。</v>
      </c>
    </row>
    <row r="36502">
      <c r="A36502" s="4" t="s">
        <v>45910</v>
      </c>
      <c r="B36502" s="4" t="s">
        <v>45913</v>
      </c>
      <c r="C36502" s="5" t="str">
        <f>IFERROR(__xludf.DUMMYFUNCTION("GOOGLETRANSLATE(B36502,""en"",""zh-CN"")"),"有很多年幼的孩子只是在享受夜晚的时候上下弹跳。")</f>
        <v>有很多年幼的孩子只是在享受夜晚的时候上下弹跳。</v>
      </c>
    </row>
    <row r="36503">
      <c r="A36503" s="4" t="s">
        <v>45910</v>
      </c>
      <c r="B36503" s="4" t="s">
        <v>45914</v>
      </c>
      <c r="C36503" s="5" t="str">
        <f>IFERROR(__xludf.DUMMYFUNCTION("GOOGLETRANSLATE(B36503,""en"",""zh-CN"")"),"甚至有几个人站在看着。")</f>
        <v>甚至有几个人站在看着。</v>
      </c>
    </row>
    <row r="36504">
      <c r="A36504" s="4" t="s">
        <v>45915</v>
      </c>
      <c r="B36504" s="6" t="s">
        <v>45916</v>
      </c>
      <c r="C36504" s="5" t="str">
        <f>IFERROR(__xludf.DUMMYFUNCTION("GOOGLETRANSLATE(B36504,""en"",""zh-CN"")"),"看到一个人的眼睛闭上了镜头，将隐形眼镜夹在手中，并睁开眼睛。")</f>
        <v>看到一个人的眼睛闭上了镜头，将隐形眼镜夹在手中，并睁开眼睛。</v>
      </c>
    </row>
    <row r="36505">
      <c r="A36505" s="4" t="s">
        <v>45915</v>
      </c>
      <c r="B36505" s="6" t="s">
        <v>45917</v>
      </c>
      <c r="C36505" s="5" t="str">
        <f>IFERROR(__xludf.DUMMYFUNCTION("GOOGLETRANSLATE(B36505,""en"",""zh-CN"")"),"然后，该人将隐形眼镜放在他们的眼中，并在眨眼多次时揉眼睛。")</f>
        <v>然后，该人将隐形眼镜放在他们的眼中，并在眨眼多次时揉眼睛。</v>
      </c>
    </row>
    <row r="36506">
      <c r="A36506" s="4" t="s">
        <v>45918</v>
      </c>
      <c r="B36506" s="4" t="s">
        <v>45919</v>
      </c>
      <c r="C36506" s="5" t="str">
        <f>IFERROR(__xludf.DUMMYFUNCTION("GOOGLETRANSLATE(B36506,""en"",""zh-CN"")"),"我们在屏幕上看到标题卡。")</f>
        <v>我们在屏幕上看到标题卡。</v>
      </c>
    </row>
    <row r="36507">
      <c r="A36507" s="4" t="s">
        <v>45918</v>
      </c>
      <c r="B36507" s="4" t="s">
        <v>45920</v>
      </c>
      <c r="C36507" s="5" t="str">
        <f>IFERROR(__xludf.DUMMYFUNCTION("GOOGLETRANSLATE(B36507,""en"",""zh-CN"")"),"我们看到人们站在蓝色的舞台上。")</f>
        <v>我们看到人们站在蓝色的舞台上。</v>
      </c>
    </row>
    <row r="36508">
      <c r="A36508" s="4" t="s">
        <v>45918</v>
      </c>
      <c r="B36508" s="4" t="s">
        <v>45921</v>
      </c>
      <c r="C36508" s="5" t="str">
        <f>IFERROR(__xludf.DUMMYFUNCTION("GOOGLETRANSLATE(B36508,""en"",""zh-CN"")"),"然后，他们执行欢呼领先的例行程序。")</f>
        <v>然后，他们执行欢呼领先的例行程序。</v>
      </c>
    </row>
    <row r="36509">
      <c r="A36509" s="4" t="s">
        <v>45918</v>
      </c>
      <c r="B36509" s="4" t="s">
        <v>45922</v>
      </c>
      <c r="C36509" s="5" t="str">
        <f>IFERROR(__xludf.DUMMYFUNCTION("GOOGLETRANSLATE(B36509,""en"",""zh-CN"")"),"这些男人举起旋转怀抱的女人。")</f>
        <v>这些男人举起旋转怀抱的女人。</v>
      </c>
    </row>
    <row r="36510">
      <c r="A36510" s="4" t="s">
        <v>45918</v>
      </c>
      <c r="B36510" s="4" t="s">
        <v>45923</v>
      </c>
      <c r="C36510" s="5" t="str">
        <f>IFERROR(__xludf.DUMMYFUNCTION("GOOGLETRANSLATE(B36510,""en"",""zh-CN"")"),"他们都向后翻转。")</f>
        <v>他们都向后翻转。</v>
      </c>
    </row>
    <row r="36511">
      <c r="A36511" s="4" t="s">
        <v>45918</v>
      </c>
      <c r="B36511" s="4" t="s">
        <v>45924</v>
      </c>
      <c r="C36511" s="5" t="str">
        <f>IFERROR(__xludf.DUMMYFUNCTION("GOOGLETRANSLATE(B36511,""en"",""zh-CN"")"),"男人用一条腿握住女人，几乎丢下一位女士。")</f>
        <v>男人用一条腿握住女人，几乎丢下一位女士。</v>
      </c>
    </row>
    <row r="36512">
      <c r="A36512" s="4" t="s">
        <v>45918</v>
      </c>
      <c r="B36512" s="4" t="s">
        <v>45925</v>
      </c>
      <c r="C36512" s="5" t="str">
        <f>IFERROR(__xludf.DUMMYFUNCTION("GOOGLETRANSLATE(B36512,""en"",""zh-CN"")"),"一个女孩将字母带到田野上。")</f>
        <v>一个女孩将字母带到田野上。</v>
      </c>
    </row>
    <row r="36513">
      <c r="A36513" s="4" t="s">
        <v>45918</v>
      </c>
      <c r="B36513" s="4" t="s">
        <v>45926</v>
      </c>
      <c r="C36513" s="5" t="str">
        <f>IFERROR(__xludf.DUMMYFUNCTION("GOOGLETRANSLATE(B36513,""en"",""zh-CN"")"),"他们使用字母在空中站立时拼写一个单词。")</f>
        <v>他们使用字母在空中站立时拼写一个单词。</v>
      </c>
    </row>
    <row r="36514">
      <c r="A36514" s="4" t="s">
        <v>45918</v>
      </c>
      <c r="B36514" s="4" t="s">
        <v>45927</v>
      </c>
      <c r="C36514" s="5" t="str">
        <f>IFERROR(__xludf.DUMMYFUNCTION("GOOGLETRANSLATE(B36514,""en"",""zh-CN"")"),"他们有不同的卡上有颜色名称。")</f>
        <v>他们有不同的卡上有颜色名称。</v>
      </c>
    </row>
    <row r="36515">
      <c r="A36515" s="4" t="s">
        <v>45918</v>
      </c>
      <c r="B36515" s="4" t="s">
        <v>45928</v>
      </c>
      <c r="C36515" s="5" t="str">
        <f>IFERROR(__xludf.DUMMYFUNCTION("GOOGLETRANSLATE(B36515,""en"",""zh-CN"")"),"这些人从角中大喊。")</f>
        <v>这些人从角中大喊。</v>
      </c>
    </row>
    <row r="36516">
      <c r="A36516" s="4" t="s">
        <v>45918</v>
      </c>
      <c r="B36516" s="4" t="s">
        <v>45929</v>
      </c>
      <c r="C36516" s="5" t="str">
        <f>IFERROR(__xludf.DUMMYFUNCTION("GOOGLETRANSLATE(B36516,""en"",""zh-CN"")"),"两名妇女从姿势中倒出，他们在空中结束。")</f>
        <v>两名妇女从姿势中倒出，他们在空中结束。</v>
      </c>
    </row>
    <row r="36517">
      <c r="A36517" s="4" t="s">
        <v>45930</v>
      </c>
      <c r="B36517" s="4" t="s">
        <v>45931</v>
      </c>
      <c r="C36517" s="5" t="str">
        <f>IFERROR(__xludf.DUMMYFUNCTION("GOOGLETRANSLATE(B36517,""en"",""zh-CN"")"),"室内游泳池里有一些游泳者在播放水球。")</f>
        <v>室内游泳池里有一些游泳者在播放水球。</v>
      </c>
    </row>
    <row r="36518">
      <c r="A36518" s="4" t="s">
        <v>45930</v>
      </c>
      <c r="B36518" s="4" t="s">
        <v>45932</v>
      </c>
      <c r="C36518" s="5" t="str">
        <f>IFERROR(__xludf.DUMMYFUNCTION("GOOGLETRANSLATE(B36518,""en"",""zh-CN"")"),"其中一位游泳者在水下，试图传球。")</f>
        <v>其中一位游泳者在水下，试图传球。</v>
      </c>
    </row>
    <row r="36519">
      <c r="A36519" s="4" t="s">
        <v>45930</v>
      </c>
      <c r="B36519" s="4" t="s">
        <v>45933</v>
      </c>
      <c r="C36519" s="5" t="str">
        <f>IFERROR(__xludf.DUMMYFUNCTION("GOOGLETRANSLATE(B36519,""en"",""zh-CN"")"),"他把球扔给了另一个接球的游泳者。")</f>
        <v>他把球扔给了另一个接球的游泳者。</v>
      </c>
    </row>
    <row r="36520">
      <c r="A36520" s="4" t="s">
        <v>45930</v>
      </c>
      <c r="B36520" s="4" t="s">
        <v>45934</v>
      </c>
      <c r="C36520" s="5" t="str">
        <f>IFERROR(__xludf.DUMMYFUNCTION("GOOGLETRANSLATE(B36520,""en"",""zh-CN"")"),"两名游泳者在水面试图伸手。")</f>
        <v>两名游泳者在水面试图伸手。</v>
      </c>
    </row>
    <row r="36521">
      <c r="A36521" s="4" t="s">
        <v>45930</v>
      </c>
      <c r="B36521" s="4" t="s">
        <v>45935</v>
      </c>
      <c r="C36521" s="5" t="str">
        <f>IFERROR(__xludf.DUMMYFUNCTION("GOOGLETRANSLATE(B36521,""en"",""zh-CN"")"),"当他们在水中游泳时，他们将球传给了。")</f>
        <v>当他们在水中游泳时，他们将球传给了。</v>
      </c>
    </row>
    <row r="36522">
      <c r="A36522" s="4" t="s">
        <v>45930</v>
      </c>
      <c r="B36522" s="6" t="s">
        <v>45936</v>
      </c>
      <c r="C36522" s="5" t="str">
        <f>IFERROR(__xludf.DUMMYFUNCTION("GOOGLETRANSLATE(B36522,""en"",""zh-CN"")"),"然后，游泳者向上游泳，离开游泳池，而其他一些游泳者仍在游泳池内。")</f>
        <v>然后，游泳者向上游泳，离开游泳池，而其他一些游泳者仍在游泳池内。</v>
      </c>
    </row>
    <row r="36523">
      <c r="A36523" s="4" t="s">
        <v>45930</v>
      </c>
      <c r="B36523" s="4" t="s">
        <v>45937</v>
      </c>
      <c r="C36523" s="5" t="str">
        <f>IFERROR(__xludf.DUMMYFUNCTION("GOOGLETRANSLATE(B36523,""en"",""zh-CN"")"),"其中一名游泳者在游泳池内时在相机上吐出水。")</f>
        <v>其中一名游泳者在游泳池内时在相机上吐出水。</v>
      </c>
    </row>
    <row r="36524">
      <c r="A36524" s="4" t="s">
        <v>45930</v>
      </c>
      <c r="B36524" s="4" t="s">
        <v>45938</v>
      </c>
      <c r="C36524" s="5" t="str">
        <f>IFERROR(__xludf.DUMMYFUNCTION("GOOGLETRANSLATE(B36524,""en"",""zh-CN"")"),"游泳后，在更衣室里可以看到其他一些游泳者。")</f>
        <v>游泳后，在更衣室里可以看到其他一些游泳者。</v>
      </c>
    </row>
    <row r="36525">
      <c r="A36525" s="4" t="s">
        <v>45939</v>
      </c>
      <c r="B36525" s="4" t="s">
        <v>45940</v>
      </c>
      <c r="C36525" s="5" t="str">
        <f>IFERROR(__xludf.DUMMYFUNCTION("GOOGLETRANSLATE(B36525,""en"",""zh-CN"")"),"看到一小群人在健身房周围移动，踢球。")</f>
        <v>看到一小群人在健身房周围移动，踢球。</v>
      </c>
    </row>
    <row r="36526">
      <c r="A36526" s="4" t="s">
        <v>45939</v>
      </c>
      <c r="B36526" s="4" t="s">
        <v>45941</v>
      </c>
      <c r="C36526" s="5" t="str">
        <f>IFERROR(__xludf.DUMMYFUNCTION("GOOGLETRANSLATE(B36526,""en"",""zh-CN"")"),"男孩们抬起双手大喊大叫，继续在健身房走来走去。")</f>
        <v>男孩们抬起双手大喊大叫，继续在健身房走来走去。</v>
      </c>
    </row>
    <row r="36527">
      <c r="A36527" s="4" t="s">
        <v>45942</v>
      </c>
      <c r="B36527" s="6" t="s">
        <v>45943</v>
      </c>
      <c r="C36527" s="5" t="str">
        <f>IFERROR(__xludf.DUMMYFUNCTION("GOOGLETRANSLATE(B36527,""en"",""zh-CN"")"),"有一个人在他的院子里用草坪割草机割草，同时把孩子抱在背上。")</f>
        <v>有一个人在他的院子里用草坪割草机割草，同时把孩子抱在背上。</v>
      </c>
    </row>
    <row r="36528">
      <c r="A36528" s="4" t="s">
        <v>45942</v>
      </c>
      <c r="B36528" s="4" t="s">
        <v>45944</v>
      </c>
      <c r="C36528" s="5" t="str">
        <f>IFERROR(__xludf.DUMMYFUNCTION("GOOGLETRANSLATE(B36528,""en"",""zh-CN"")"),"该男子在割草时，上下走动，直接穿过院子。")</f>
        <v>该男子在割草时，上下走动，直接穿过院子。</v>
      </c>
    </row>
    <row r="36529">
      <c r="A36529" s="4" t="s">
        <v>45942</v>
      </c>
      <c r="B36529" s="4" t="s">
        <v>45945</v>
      </c>
      <c r="C36529" s="5" t="str">
        <f>IFERROR(__xludf.DUMMYFUNCTION("GOOGLETRANSLATE(B36529,""en"",""zh-CN"")"),"孩子在男人的背上静静地看着。")</f>
        <v>孩子在男人的背上静静地看着。</v>
      </c>
    </row>
    <row r="36530">
      <c r="A36530" s="4" t="s">
        <v>45942</v>
      </c>
      <c r="B36530" s="4" t="s">
        <v>45946</v>
      </c>
      <c r="C36530" s="5" t="str">
        <f>IFERROR(__xludf.DUMMYFUNCTION("GOOGLETRANSLATE(B36530,""en"",""zh-CN"")"),"该男子继续用黑色的割草机割草。")</f>
        <v>该男子继续用黑色的割草机割草。</v>
      </c>
    </row>
    <row r="36531">
      <c r="A36531" s="4" t="s">
        <v>45947</v>
      </c>
      <c r="B36531" s="6" t="s">
        <v>45948</v>
      </c>
      <c r="C36531" s="5" t="str">
        <f>IFERROR(__xludf.DUMMYFUNCTION("GOOGLETRANSLATE(B36531,""en"",""zh-CN"")"),"有一个来自野花工具公司的迈克尔（Michael）的人，他正在为望远镜的剪切剪切剪切。")</f>
        <v>有一个来自野花工具公司的迈克尔（Michael）的人，他正在为望远镜的剪切剪切剪切。</v>
      </c>
    </row>
    <row r="36532">
      <c r="A36532" s="4" t="s">
        <v>45947</v>
      </c>
      <c r="B36532" s="4" t="s">
        <v>45949</v>
      </c>
      <c r="C36532" s="5" t="str">
        <f>IFERROR(__xludf.DUMMYFUNCTION("GOOGLETRANSLATE(B36532,""en"",""zh-CN"")"),"他演示了剪切物的几个特征，例如可扩展的手柄。")</f>
        <v>他演示了剪切物的几个特征，例如可扩展的手柄。</v>
      </c>
    </row>
    <row r="36533">
      <c r="A36533" s="4" t="s">
        <v>45947</v>
      </c>
      <c r="B36533" s="4" t="s">
        <v>45950</v>
      </c>
      <c r="C36533" s="5" t="str">
        <f>IFERROR(__xludf.DUMMYFUNCTION("GOOGLETRANSLATE(B36533,""en"",""zh-CN"")"),"他站在花园里的大树篱附近。")</f>
        <v>他站在花园里的大树篱附近。</v>
      </c>
    </row>
    <row r="36534">
      <c r="A36534" s="4" t="s">
        <v>45947</v>
      </c>
      <c r="B36534" s="4" t="s">
        <v>45951</v>
      </c>
      <c r="C36534" s="5" t="str">
        <f>IFERROR(__xludf.DUMMYFUNCTION("GOOGLETRANSLATE(B36534,""en"",""zh-CN"")"),"他通过切断树篱的一些分支来展示如何使用剪切。")</f>
        <v>他通过切断树篱的一些分支来展示如何使用剪切。</v>
      </c>
    </row>
    <row r="36535">
      <c r="A36535" s="4" t="s">
        <v>45947</v>
      </c>
      <c r="B36535" s="6" t="s">
        <v>45952</v>
      </c>
      <c r="C36535" s="5" t="str">
        <f>IFERROR(__xludf.DUMMYFUNCTION("GOOGLETRANSLATE(B36535,""en"",""zh-CN"")"),"然后，他延长了剪切的手柄，以表明他能够远远到达树篱顶部的位置。")</f>
        <v>然后，他延长了剪切的手柄，以表明他能够远远到达树篱顶部的位置。</v>
      </c>
    </row>
    <row r="36536">
      <c r="A36536" s="4" t="s">
        <v>45953</v>
      </c>
      <c r="B36536" s="4" t="s">
        <v>45954</v>
      </c>
      <c r="C36536" s="5" t="str">
        <f>IFERROR(__xludf.DUMMYFUNCTION("GOOGLETRANSLATE(B36536,""en"",""zh-CN"")"),"一个女人向前聊着镜头，把手放在臀部上。")</f>
        <v>一个女人向前聊着镜头，把手放在臀部上。</v>
      </c>
    </row>
    <row r="36537">
      <c r="A36537" s="4" t="s">
        <v>45953</v>
      </c>
      <c r="B36537" s="4" t="s">
        <v>45955</v>
      </c>
      <c r="C36537" s="5" t="str">
        <f>IFERROR(__xludf.DUMMYFUNCTION("GOOGLETRANSLATE(B36537,""en"",""zh-CN"")"),"向一个女孩展示了曲棍球，并展示了自己做动作的各种剪辑。")</f>
        <v>向一个女孩展示了曲棍球，并展示了自己做动作的各种剪辑。</v>
      </c>
    </row>
    <row r="36538">
      <c r="A36538" s="4" t="s">
        <v>45953</v>
      </c>
      <c r="B36538" s="6" t="s">
        <v>45956</v>
      </c>
      <c r="C36538" s="5" t="str">
        <f>IFERROR(__xludf.DUMMYFUNCTION("GOOGLETRANSLATE(B36538,""en"",""zh-CN"")"),"后来，她正在与摄像机谈论她对这项运动的经历，以及她到底是谁以及别人为什么爱她的原因。")</f>
        <v>后来，她正在与摄像机谈论她对这项运动的经历，以及她到底是谁以及别人为什么爱她的原因。</v>
      </c>
    </row>
    <row r="36539">
      <c r="A36539" s="4" t="s">
        <v>45957</v>
      </c>
      <c r="B36539" s="4" t="s">
        <v>45958</v>
      </c>
      <c r="C36539" s="5" t="str">
        <f>IFERROR(__xludf.DUMMYFUNCTION("GOOGLETRANSLATE(B36539,""en"",""zh-CN"")"),"我们看到人们在漂流公园的一个雪田上沿着自动扶梯走路。")</f>
        <v>我们看到人们在漂流公园的一个雪田上沿着自动扶梯走路。</v>
      </c>
    </row>
    <row r="36540">
      <c r="A36540" s="4" t="s">
        <v>45957</v>
      </c>
      <c r="B36540" s="4" t="s">
        <v>45959</v>
      </c>
      <c r="C36540" s="5" t="str">
        <f>IFERROR(__xludf.DUMMYFUNCTION("GOOGLETRANSLATE(B36540,""en"",""zh-CN"")"),"一个孩子几乎落在左边。")</f>
        <v>一个孩子几乎落在左边。</v>
      </c>
    </row>
    <row r="36541">
      <c r="A36541" s="4" t="s">
        <v>45957</v>
      </c>
      <c r="B36541" s="4" t="s">
        <v>45960</v>
      </c>
      <c r="C36541" s="5" t="str">
        <f>IFERROR(__xludf.DUMMYFUNCTION("GOOGLETRANSLATE(B36541,""en"",""zh-CN"")"),"我们从远处看到拥挤的自动扶梯。")</f>
        <v>我们从远处看到拥挤的自动扶梯。</v>
      </c>
    </row>
    <row r="36542">
      <c r="A36542" s="4" t="s">
        <v>45957</v>
      </c>
      <c r="B36542" s="4" t="s">
        <v>45961</v>
      </c>
      <c r="C36542" s="5" t="str">
        <f>IFERROR(__xludf.DUMMYFUNCTION("GOOGLETRANSLATE(B36542,""en"",""zh-CN"")"),"我们看到一个穿着黑色外套的男孩，他的筏子拖着。")</f>
        <v>我们看到一个穿着黑色外套的男孩，他的筏子拖着。</v>
      </c>
    </row>
    <row r="36543">
      <c r="A36543" s="4" t="s">
        <v>45962</v>
      </c>
      <c r="B36543" s="4" t="s">
        <v>45963</v>
      </c>
      <c r="C36543" s="5" t="str">
        <f>IFERROR(__xludf.DUMMYFUNCTION("GOOGLETRANSLATE(B36543,""en"",""zh-CN"")"),"一个戴着眼镜的男人戴着手风琴和微笑。")</f>
        <v>一个戴着眼镜的男人戴着手风琴和微笑。</v>
      </c>
    </row>
    <row r="36544">
      <c r="A36544" s="4" t="s">
        <v>45962</v>
      </c>
      <c r="B36544" s="4" t="s">
        <v>45964</v>
      </c>
      <c r="C36544" s="5" t="str">
        <f>IFERROR(__xludf.DUMMYFUNCTION("GOOGLETRANSLATE(B36544,""en"",""zh-CN"")"),"相机放大了仪器脖子上下的手指。")</f>
        <v>相机放大了仪器脖子上下的手指。</v>
      </c>
    </row>
    <row r="36545">
      <c r="A36545" s="4" t="s">
        <v>45962</v>
      </c>
      <c r="B36545" s="4" t="s">
        <v>45965</v>
      </c>
      <c r="C36545" s="5" t="str">
        <f>IFERROR(__xludf.DUMMYFUNCTION("GOOGLETRANSLATE(B36545,""en"",""zh-CN"")"),"该男子继续播放他的歌曲，并在上下移动时对相机微笑。")</f>
        <v>该男子继续播放他的歌曲，并在上下移动时对相机微笑。</v>
      </c>
    </row>
    <row r="36546">
      <c r="A36546" s="4" t="s">
        <v>45966</v>
      </c>
      <c r="B36546" s="4" t="s">
        <v>45967</v>
      </c>
      <c r="C36546" s="5" t="str">
        <f>IFERROR(__xludf.DUMMYFUNCTION("GOOGLETRANSLATE(B36546,""en"",""zh-CN"")"),"一个孩子站在法庭上，一群法官看着他迅速跳绳。")</f>
        <v>一个孩子站在法庭上，一群法官看着他迅速跳绳。</v>
      </c>
    </row>
    <row r="36547">
      <c r="A36547" s="4" t="s">
        <v>45966</v>
      </c>
      <c r="B36547" s="4" t="s">
        <v>45968</v>
      </c>
      <c r="C36547" s="5" t="str">
        <f>IFERROR(__xludf.DUMMYFUNCTION("GOOGLETRANSLATE(B36547,""en"",""zh-CN"")"),"在他身后，其他竞争对手也跳绳。")</f>
        <v>在他身后，其他竞争对手也跳绳。</v>
      </c>
    </row>
    <row r="36548">
      <c r="A36548" s="4" t="s">
        <v>45969</v>
      </c>
      <c r="B36548" s="4" t="s">
        <v>45970</v>
      </c>
      <c r="C36548" s="5" t="str">
        <f>IFERROR(__xludf.DUMMYFUNCTION("GOOGLETRANSLATE(B36548,""en"",""zh-CN"")"),"当两个人站在他面前时，一个小男孩坐在墙上，脸上露出脸。")</f>
        <v>当两个人站在他面前时，一个小男孩坐在墙上，脸上露出脸。</v>
      </c>
    </row>
    <row r="36549">
      <c r="A36549" s="4" t="s">
        <v>45969</v>
      </c>
      <c r="B36549" s="6" t="s">
        <v>45971</v>
      </c>
      <c r="C36549" s="5" t="str">
        <f>IFERROR(__xludf.DUMMYFUNCTION("GOOGLETRANSLATE(B36549,""en"",""zh-CN"")"),"然后，左侧的女孩拿了一小管抛光剂，开始用红色闪光画男孩的指甲。")</f>
        <v>然后，左侧的女孩拿了一小管抛光剂，开始用红色闪光画男孩的指甲。</v>
      </c>
    </row>
    <row r="36550">
      <c r="A36550" s="4" t="s">
        <v>45969</v>
      </c>
      <c r="B36550" s="4" t="s">
        <v>45972</v>
      </c>
      <c r="C36550" s="5" t="str">
        <f>IFERROR(__xludf.DUMMYFUNCTION("GOOGLETRANSLATE(B36550,""en"",""zh-CN"")"),"当她结束时，男孩被展示了，他开始对这种情况笑。")</f>
        <v>当她结束时，男孩被展示了，他开始对这种情况笑。</v>
      </c>
    </row>
    <row r="36551">
      <c r="A36551" s="4" t="s">
        <v>45973</v>
      </c>
      <c r="B36551" s="6" t="s">
        <v>45974</v>
      </c>
      <c r="C36551" s="5" t="str">
        <f>IFERROR(__xludf.DUMMYFUNCTION("GOOGLETRANSLATE(B36551,""en"",""zh-CN"")"),"带有爪子和狗骨头的背景屏幕出现，红色和黑色的单词出现，并阅读“ Teg的Canine Clippery狗和猫修饰”。")</f>
        <v>带有爪子和狗骨头的背景屏幕出现，红色和黑色的单词出现，并阅读“ Teg的Canine Clippery狗和猫修饰”。</v>
      </c>
    </row>
    <row r="36552">
      <c r="A36552" s="4" t="s">
        <v>45973</v>
      </c>
      <c r="B36552" s="6" t="s">
        <v>45975</v>
      </c>
      <c r="C36552" s="5" t="str">
        <f>IFERROR(__xludf.DUMMYFUNCTION("GOOGLETRANSLATE(B36552,""en"",""zh-CN"")"),"显示了不同狗的剪辑，可以在剪辑之间出现浴缸，发型和刷子，而剪辑中仍显示了图片，它们都包括公司名称，网站和电话号码。")</f>
        <v>显示了不同狗的剪辑，可以在剪辑之间出现浴缸，发型和刷子，而剪辑中仍显示了图片，它们都包括公司名称，网站和电话号码。</v>
      </c>
    </row>
    <row r="36553">
      <c r="A36553" s="4" t="s">
        <v>45973</v>
      </c>
      <c r="B36553" s="6" t="s">
        <v>45976</v>
      </c>
      <c r="C36553" s="5" t="str">
        <f>IFERROR(__xludf.DUMMYFUNCTION("GOOGLETRANSLATE(B36553,""en"",""zh-CN"")"),"最后一个屏幕是闭着眼睛的狗的照片，两对双手用​​刷子上方的刷子，公司名称，网站，电话号码和地址吹干它。")</f>
        <v>最后一个屏幕是闭着眼睛的狗的照片，两对双手用​​刷子上方的刷子，公司名称，网站，电话号码和地址吹干它。</v>
      </c>
    </row>
    <row r="36554">
      <c r="A36554" s="4" t="s">
        <v>45977</v>
      </c>
      <c r="B36554" s="4" t="s">
        <v>45978</v>
      </c>
      <c r="C36554" s="5" t="str">
        <f>IFERROR(__xludf.DUMMYFUNCTION("GOOGLETRANSLATE(B36554,""en"",""zh-CN"")"),"看到一个年轻人坐在椅子上，手里拿着真空。")</f>
        <v>看到一个年轻人坐在椅子上，手里拿着真空。</v>
      </c>
    </row>
    <row r="36555">
      <c r="A36555" s="4" t="s">
        <v>45977</v>
      </c>
      <c r="B36555" s="4" t="s">
        <v>45979</v>
      </c>
      <c r="C36555" s="5" t="str">
        <f>IFERROR(__xludf.DUMMYFUNCTION("GOOGLETRANSLATE(B36555,""en"",""zh-CN"")"),"这个男孩在相机上说话，同时仍将真空吸尘器向后推。")</f>
        <v>这个男孩在相机上说话，同时仍将真空吸尘器向后推。</v>
      </c>
    </row>
    <row r="36556">
      <c r="A36556" s="4" t="s">
        <v>45977</v>
      </c>
      <c r="B36556" s="4" t="s">
        <v>45980</v>
      </c>
      <c r="C36556" s="5" t="str">
        <f>IFERROR(__xludf.DUMMYFUNCTION("GOOGLETRANSLATE(B36556,""en"",""zh-CN"")"),"相机靠近男孩，并在吸尘时放大了他的脸。")</f>
        <v>相机靠近男孩，并在吸尘时放大了他的脸。</v>
      </c>
    </row>
    <row r="36557">
      <c r="A36557" s="4" t="s">
        <v>45981</v>
      </c>
      <c r="B36557" s="4" t="s">
        <v>45982</v>
      </c>
      <c r="C36557" s="5" t="str">
        <f>IFERROR(__xludf.DUMMYFUNCTION("GOOGLETRANSLATE(B36557,""en"",""zh-CN"")"),"一个男人站在卡车上。")</f>
        <v>一个男人站在卡车上。</v>
      </c>
    </row>
    <row r="36558">
      <c r="A36558" s="4" t="s">
        <v>45981</v>
      </c>
      <c r="B36558" s="4" t="s">
        <v>45983</v>
      </c>
      <c r="C36558" s="5" t="str">
        <f>IFERROR(__xludf.DUMMYFUNCTION("GOOGLETRANSLATE(B36558,""en"",""zh-CN"")"),"两个人跳到蹦床上。")</f>
        <v>两个人跳到蹦床上。</v>
      </c>
    </row>
    <row r="36559">
      <c r="A36559" s="4" t="s">
        <v>45981</v>
      </c>
      <c r="B36559" s="4" t="s">
        <v>45984</v>
      </c>
      <c r="C36559" s="5" t="str">
        <f>IFERROR(__xludf.DUMMYFUNCTION("GOOGLETRANSLATE(B36559,""en"",""zh-CN"")"),"其中一个人躺下，另一个男人击中了他。")</f>
        <v>其中一个人躺下，另一个男人击中了他。</v>
      </c>
    </row>
    <row r="36560">
      <c r="A36560" s="4" t="s">
        <v>45981</v>
      </c>
      <c r="B36560" s="4" t="s">
        <v>45985</v>
      </c>
      <c r="C36560" s="5" t="str">
        <f>IFERROR(__xludf.DUMMYFUNCTION("GOOGLETRANSLATE(B36560,""en"",""zh-CN"")"),"卡车上的那个人跳到蹦床上。")</f>
        <v>卡车上的那个人跳到蹦床上。</v>
      </c>
    </row>
    <row r="36561">
      <c r="A36561" s="4" t="s">
        <v>45986</v>
      </c>
      <c r="B36561" s="4" t="s">
        <v>45987</v>
      </c>
      <c r="C36561" s="5" t="str">
        <f>IFERROR(__xludf.DUMMYFUNCTION("GOOGLETRANSLATE(B36561,""en"",""zh-CN"")"),"显示一个人的脚，然后慢慢向上移动到他们的脸上。")</f>
        <v>显示一个人的脚，然后慢慢向上移动到他们的脸上。</v>
      </c>
    </row>
    <row r="36562">
      <c r="A36562" s="4" t="s">
        <v>45986</v>
      </c>
      <c r="B36562" s="4" t="s">
        <v>45988</v>
      </c>
      <c r="C36562" s="5" t="str">
        <f>IFERROR(__xludf.DUMMYFUNCTION("GOOGLETRANSLATE(B36562,""en"",""zh-CN"")"),"摄像机扔掉并显示一辆银色的汽车。")</f>
        <v>摄像机扔掉并显示一辆银色的汽车。</v>
      </c>
    </row>
    <row r="36563">
      <c r="A36563" s="4" t="s">
        <v>45986</v>
      </c>
      <c r="B36563" s="4" t="s">
        <v>45989</v>
      </c>
      <c r="C36563" s="5" t="str">
        <f>IFERROR(__xludf.DUMMYFUNCTION("GOOGLETRANSLATE(B36563,""en"",""zh-CN"")"),"该人手里拿着一根棍子。")</f>
        <v>该人手里拿着一根棍子。</v>
      </c>
    </row>
    <row r="36564">
      <c r="A36564" s="4" t="s">
        <v>45986</v>
      </c>
      <c r="B36564" s="4" t="s">
        <v>45990</v>
      </c>
      <c r="C36564" s="5" t="str">
        <f>IFERROR(__xludf.DUMMYFUNCTION("GOOGLETRANSLATE(B36564,""en"",""zh-CN"")"),"该人拿着软管并洗车。")</f>
        <v>该人拿着软管并洗车。</v>
      </c>
    </row>
    <row r="36565">
      <c r="A36565" s="4" t="s">
        <v>45986</v>
      </c>
      <c r="B36565" s="4" t="s">
        <v>45991</v>
      </c>
      <c r="C36565" s="5" t="str">
        <f>IFERROR(__xludf.DUMMYFUNCTION("GOOGLETRANSLATE(B36565,""en"",""zh-CN"")"),"他们将棍子浸入一桶肥皂水中，然后继续洗车。")</f>
        <v>他们将棍子浸入一桶肥皂水中，然后继续洗车。</v>
      </c>
    </row>
    <row r="36566">
      <c r="A36566" s="4" t="s">
        <v>45986</v>
      </c>
      <c r="B36566" s="4" t="s">
        <v>45992</v>
      </c>
      <c r="C36566" s="5" t="str">
        <f>IFERROR(__xludf.DUMMYFUNCTION("GOOGLETRANSLATE(B36566,""en"",""zh-CN"")"),"他们将软管抬起，将水倒在脸上。")</f>
        <v>他们将软管抬起，将水倒在脸上。</v>
      </c>
    </row>
    <row r="36567">
      <c r="A36567" s="4" t="s">
        <v>45986</v>
      </c>
      <c r="B36567" s="4" t="s">
        <v>45993</v>
      </c>
      <c r="C36567" s="5" t="str">
        <f>IFERROR(__xludf.DUMMYFUNCTION("GOOGLETRANSLATE(B36567,""en"",""zh-CN"")"),"他们在最后摘下太阳镜，擦脸。")</f>
        <v>他们在最后摘下太阳镜，擦脸。</v>
      </c>
    </row>
    <row r="36568">
      <c r="A36568" s="4" t="s">
        <v>45994</v>
      </c>
      <c r="B36568" s="4" t="s">
        <v>45995</v>
      </c>
      <c r="C36568" s="5" t="str">
        <f>IFERROR(__xludf.DUMMYFUNCTION("GOOGLETRANSLATE(B36568,""en"",""zh-CN"")"),"两个人站在街头表演前。")</f>
        <v>两个人站在街头表演前。</v>
      </c>
    </row>
    <row r="36569">
      <c r="A36569" s="4" t="s">
        <v>45994</v>
      </c>
      <c r="B36569" s="4" t="s">
        <v>45996</v>
      </c>
      <c r="C36569" s="5" t="str">
        <f>IFERROR(__xludf.DUMMYFUNCTION("GOOGLETRANSLATE(B36569,""en"",""zh-CN"")"),"我们将一群人视为两人使用跳绳。")</f>
        <v>我们将一群人视为两人使用跳绳。</v>
      </c>
    </row>
    <row r="36570">
      <c r="A36570" s="4" t="s">
        <v>45994</v>
      </c>
      <c r="B36570" s="4" t="s">
        <v>45997</v>
      </c>
      <c r="C36570" s="5" t="str">
        <f>IFERROR(__xludf.DUMMYFUNCTION("GOOGLETRANSLATE(B36570,""en"",""zh-CN"")"),"其他几个人跳进去，跳过绳索，翻转并做特技。")</f>
        <v>其他几个人跳进去，跳过绳索，翻转并做特技。</v>
      </c>
    </row>
    <row r="36571">
      <c r="A36571" s="4" t="s">
        <v>45998</v>
      </c>
      <c r="B36571" s="4" t="s">
        <v>45999</v>
      </c>
      <c r="C36571" s="5" t="str">
        <f>IFERROR(__xludf.DUMMYFUNCTION("GOOGLETRANSLATE(B36571,""en"",""zh-CN"")"),"一个人离开桌子。")</f>
        <v>一个人离开桌子。</v>
      </c>
    </row>
    <row r="36572">
      <c r="A36572" s="4" t="s">
        <v>45998</v>
      </c>
      <c r="B36572" s="4" t="s">
        <v>46000</v>
      </c>
      <c r="C36572" s="5" t="str">
        <f>IFERROR(__xludf.DUMMYFUNCTION("GOOGLETRANSLATE(B36572,""en"",""zh-CN"")"),"该男子将手套戴在左手上。")</f>
        <v>该男子将手套戴在左手上。</v>
      </c>
    </row>
    <row r="36573">
      <c r="A36573" s="4" t="s">
        <v>45998</v>
      </c>
      <c r="B36573" s="4" t="s">
        <v>46001</v>
      </c>
      <c r="C36573" s="5" t="str">
        <f>IFERROR(__xludf.DUMMYFUNCTION("GOOGLETRANSLATE(B36573,""en"",""zh-CN"")"),"该男子用焊接铁敲打金属。")</f>
        <v>该男子用焊接铁敲打金属。</v>
      </c>
    </row>
    <row r="36574">
      <c r="A36574" s="4" t="s">
        <v>45998</v>
      </c>
      <c r="B36574" s="4" t="s">
        <v>46002</v>
      </c>
      <c r="C36574" s="5" t="str">
        <f>IFERROR(__xludf.DUMMYFUNCTION("GOOGLETRANSLATE(B36574,""en"",""zh-CN"")"),"士兵在金属上。")</f>
        <v>士兵在金属上。</v>
      </c>
    </row>
    <row r="36575">
      <c r="A36575" s="4" t="s">
        <v>45998</v>
      </c>
      <c r="B36575" s="4" t="s">
        <v>46003</v>
      </c>
      <c r="C36575" s="5" t="str">
        <f>IFERROR(__xludf.DUMMYFUNCTION("GOOGLETRANSLATE(B36575,""en"",""zh-CN"")"),"该男子停止焊接金属。")</f>
        <v>该男子停止焊接金属。</v>
      </c>
    </row>
    <row r="36576">
      <c r="A36576" s="4" t="s">
        <v>45998</v>
      </c>
      <c r="B36576" s="4" t="s">
        <v>46004</v>
      </c>
      <c r="C36576" s="5" t="str">
        <f>IFERROR(__xludf.DUMMYFUNCTION("GOOGLETRANSLATE(B36576,""en"",""zh-CN"")"),"该男子脱下手套，从金属碎片上吹走烟雾。")</f>
        <v>该男子脱下手套，从金属碎片上吹走烟雾。</v>
      </c>
    </row>
    <row r="36577">
      <c r="A36577" s="4" t="s">
        <v>46005</v>
      </c>
      <c r="B36577" s="6" t="s">
        <v>46006</v>
      </c>
      <c r="C36577" s="5" t="str">
        <f>IFERROR(__xludf.DUMMYFUNCTION("GOOGLETRANSLATE(B36577,""en"",""zh-CN"")"),"一个穿着黑色裤子，格子衬衫和棒球帽的男人修剪了一个深绿色的树篱，并用电篱笆修剪器修剪。")</f>
        <v>一个穿着黑色裤子，格子衬衫和棒球帽的男人修剪了一个深绿色的树篱，并用电篱笆修剪器修剪。</v>
      </c>
    </row>
    <row r="36578">
      <c r="A36578" s="4" t="s">
        <v>46005</v>
      </c>
      <c r="B36578" s="4" t="s">
        <v>46007</v>
      </c>
      <c r="C36578" s="5" t="str">
        <f>IFERROR(__xludf.DUMMYFUNCTION("GOOGLETRANSLATE(B36578,""en"",""zh-CN"")"),"该男子用修剪器修剪了一个较小的浅绿色树篱。")</f>
        <v>该男子用修剪器修剪了一个较小的浅绿色树篱。</v>
      </c>
    </row>
    <row r="36579">
      <c r="A36579" s="4" t="s">
        <v>46005</v>
      </c>
      <c r="B36579" s="4" t="s">
        <v>46008</v>
      </c>
      <c r="C36579" s="5" t="str">
        <f>IFERROR(__xludf.DUMMYFUNCTION("GOOGLETRANSLATE(B36579,""en"",""zh-CN"")"),"该男子用修剪器修剪另一个树篱。")</f>
        <v>该男子用修剪器修剪另一个树篱。</v>
      </c>
    </row>
    <row r="36580">
      <c r="A36580" s="4" t="s">
        <v>46005</v>
      </c>
      <c r="B36580" s="4" t="s">
        <v>46009</v>
      </c>
      <c r="C36580" s="5" t="str">
        <f>IFERROR(__xludf.DUMMYFUNCTION("GOOGLETRANSLATE(B36580,""en"",""zh-CN"")"),"场景被加速并包含环境声音。")</f>
        <v>场景被加速并包含环境声音。</v>
      </c>
    </row>
    <row r="36581">
      <c r="A36581" s="4" t="s">
        <v>46010</v>
      </c>
      <c r="B36581" s="4" t="s">
        <v>46011</v>
      </c>
      <c r="C36581" s="5" t="str">
        <f>IFERROR(__xludf.DUMMYFUNCTION("GOOGLETRANSLATE(B36581,""en"",""zh-CN"")"),"看到一个男人在室内和户外对摄像机说话。")</f>
        <v>看到一个男人在室内和户外对摄像机说话。</v>
      </c>
    </row>
    <row r="36582">
      <c r="A36582" s="4" t="s">
        <v>46010</v>
      </c>
      <c r="B36582" s="4" t="s">
        <v>46012</v>
      </c>
      <c r="C36582" s="5" t="str">
        <f>IFERROR(__xludf.DUMMYFUNCTION("GOOGLETRANSLATE(B36582,""en"",""zh-CN"")"),"他指出了几个物体，同时又显示出污垢和石膏。")</f>
        <v>他指出了几个物体，同时又显示出污垢和石膏。</v>
      </c>
    </row>
    <row r="36583">
      <c r="A36583" s="4" t="s">
        <v>46010</v>
      </c>
      <c r="B36583" s="4" t="s">
        <v>46013</v>
      </c>
      <c r="C36583" s="5" t="str">
        <f>IFERROR(__xludf.DUMMYFUNCTION("GOOGLETRANSLATE(B36583,""en"",""zh-CN"")"),"人们看到人们在男人继续讲话时将石膏放在墙上。")</f>
        <v>人们看到人们在男人继续讲话时将石膏放在墙上。</v>
      </c>
    </row>
    <row r="36584">
      <c r="A36584" s="4" t="s">
        <v>46014</v>
      </c>
      <c r="B36584" s="6" t="s">
        <v>46015</v>
      </c>
      <c r="C36584" s="5" t="str">
        <f>IFERROR(__xludf.DUMMYFUNCTION("GOOGLETRANSLATE(B36584,""en"",""zh-CN"")"),"有一个健身教练，代表健身房中的fitcast健身，演示了如何做一个高高的跪下帕洛夫出版社。")</f>
        <v>有一个健身教练，代表健身房中的fitcast健身，演示了如何做一个高高的跪下帕洛夫出版社。</v>
      </c>
    </row>
    <row r="36585">
      <c r="A36585" s="4" t="s">
        <v>46014</v>
      </c>
      <c r="B36585" s="4" t="s">
        <v>46016</v>
      </c>
      <c r="C36585" s="5" t="str">
        <f>IFERROR(__xludf.DUMMYFUNCTION("GOOGLETRANSLATE(B36585,""en"",""zh-CN"")"),"他跪在地板上穿着黑色衬衫和灰色的汗衣。")</f>
        <v>他跪在地板上穿着黑色衬衫和灰色的汗衣。</v>
      </c>
    </row>
    <row r="36586">
      <c r="A36586" s="4" t="s">
        <v>46014</v>
      </c>
      <c r="B36586" s="6" t="s">
        <v>46017</v>
      </c>
      <c r="C36586" s="5" t="str">
        <f>IFERROR(__xludf.DUMMYFUNCTION("GOOGLETRANSLATE(B36586,""en"",""zh-CN"")"),"他用双手朝胸部拉动了帕洛夫媒体的手柄，同时将他的背部和肩膀伸直。")</f>
        <v>他用双手朝胸部拉动了帕洛夫媒体的手柄，同时将他的背部和肩膀伸直。</v>
      </c>
    </row>
    <row r="36587">
      <c r="A36587" s="4" t="s">
        <v>46018</v>
      </c>
      <c r="B36587" s="4" t="s">
        <v>46019</v>
      </c>
      <c r="C36587" s="5" t="str">
        <f>IFERROR(__xludf.DUMMYFUNCTION("GOOGLETRANSLATE(B36587,""en"",""zh-CN"")"),"一个车库里的一个人站在一块木板上。")</f>
        <v>一个车库里的一个人站在一块木板上。</v>
      </c>
    </row>
    <row r="36588">
      <c r="A36588" s="4" t="s">
        <v>46018</v>
      </c>
      <c r="B36588" s="4" t="s">
        <v>46020</v>
      </c>
      <c r="C36588" s="5" t="str">
        <f>IFERROR(__xludf.DUMMYFUNCTION("GOOGLETRANSLATE(B36588,""en"",""zh-CN"")"),"该男子从罐头中取出一些白色糊状，在其中添加了一些颜色并将其混合。")</f>
        <v>该男子从罐头中取出一些白色糊状，在其中添加了一些颜色并将其混合。</v>
      </c>
    </row>
    <row r="36589">
      <c r="A36589" s="4" t="s">
        <v>46018</v>
      </c>
      <c r="B36589" s="4" t="s">
        <v>46021</v>
      </c>
      <c r="C36589" s="5" t="str">
        <f>IFERROR(__xludf.DUMMYFUNCTION("GOOGLETRANSLATE(B36589,""en"",""zh-CN"")"),"该男子将棕色的糊剂涂在木头上的孔中。")</f>
        <v>该男子将棕色的糊剂涂在木头上的孔中。</v>
      </c>
    </row>
    <row r="36590">
      <c r="A36590" s="4" t="s">
        <v>46022</v>
      </c>
      <c r="B36590" s="4" t="s">
        <v>46023</v>
      </c>
      <c r="C36590" s="5" t="str">
        <f>IFERROR(__xludf.DUMMYFUNCTION("GOOGLETRANSLATE(B36590,""en"",""zh-CN"")"),"显示了一枪的销钉，坐在车道上，然后一个男人走进框架。")</f>
        <v>显示了一枪的销钉，坐在车道上，然后一个男人走进框架。</v>
      </c>
    </row>
    <row r="36591">
      <c r="A36591" s="4" t="s">
        <v>46022</v>
      </c>
      <c r="B36591" s="4" t="s">
        <v>46024</v>
      </c>
      <c r="C36591" s="5" t="str">
        <f>IFERROR(__xludf.DUMMYFUNCTION("GOOGLETRANSLATE(B36591,""en"",""zh-CN"")"),"该男子旋转一个球，绕着别针击中更多。")</f>
        <v>该男子旋转一个球，绕着别针击中更多。</v>
      </c>
    </row>
    <row r="36592">
      <c r="A36592" s="4" t="s">
        <v>46022</v>
      </c>
      <c r="B36592" s="4" t="s">
        <v>46025</v>
      </c>
      <c r="C36592" s="5" t="str">
        <f>IFERROR(__xludf.DUMMYFUNCTION("GOOGLETRANSLATE(B36592,""en"",""zh-CN"")"),"该人不久后就旋转了另一个球。")</f>
        <v>该人不久后就旋转了另一个球。</v>
      </c>
    </row>
    <row r="36593">
      <c r="A36593" s="4" t="s">
        <v>46026</v>
      </c>
      <c r="B36593" s="4" t="s">
        <v>46027</v>
      </c>
      <c r="C36593" s="5" t="str">
        <f>IFERROR(__xludf.DUMMYFUNCTION("GOOGLETRANSLATE(B36593,""en"",""zh-CN"")"),"一个穿着围裙的女人在说话，并拿起一个带有补给品的水桶。")</f>
        <v>一个穿着围裙的女人在说话，并拿起一个带有补给品的水桶。</v>
      </c>
    </row>
    <row r="36594">
      <c r="A36594" s="4" t="s">
        <v>46026</v>
      </c>
      <c r="B36594" s="4" t="s">
        <v>46028</v>
      </c>
      <c r="C36594" s="5" t="str">
        <f>IFERROR(__xludf.DUMMYFUNCTION("GOOGLETRANSLATE(B36594,""en"",""zh-CN"")"),"她抓住刷子并清洁窗户。")</f>
        <v>她抓住刷子并清洁窗户。</v>
      </c>
    </row>
    <row r="36595">
      <c r="A36595" s="4" t="s">
        <v>46026</v>
      </c>
      <c r="B36595" s="4" t="s">
        <v>46029</v>
      </c>
      <c r="C36595" s="5" t="str">
        <f>IFERROR(__xludf.DUMMYFUNCTION("GOOGLETRANSLATE(B36595,""en"",""zh-CN"")"),"她抓住一个挤压器，从窗户上取出多余的水。")</f>
        <v>她抓住一个挤压器，从窗户上取出多余的水。</v>
      </c>
    </row>
    <row r="36596">
      <c r="A36596" s="4" t="s">
        <v>46030</v>
      </c>
      <c r="B36596" s="4" t="s">
        <v>9910</v>
      </c>
      <c r="C36596" s="5" t="str">
        <f>IFERROR(__xludf.DUMMYFUNCTION("GOOGLETRANSLATE(B36596,""en"",""zh-CN"")"),"一个男人跳到平衡梁上。")</f>
        <v>一个男人跳到平衡梁上。</v>
      </c>
    </row>
    <row r="36597">
      <c r="A36597" s="4" t="s">
        <v>46030</v>
      </c>
      <c r="B36597" s="4" t="s">
        <v>46031</v>
      </c>
      <c r="C36597" s="5" t="str">
        <f>IFERROR(__xludf.DUMMYFUNCTION("GOOGLETRANSLATE(B36597,""en"",""zh-CN"")"),"他在梁上做体操例程。")</f>
        <v>他在梁上做体操例程。</v>
      </c>
    </row>
    <row r="36598">
      <c r="A36598" s="4" t="s">
        <v>46030</v>
      </c>
      <c r="B36598" s="4" t="s">
        <v>46032</v>
      </c>
      <c r="C36598" s="5" t="str">
        <f>IFERROR(__xludf.DUMMYFUNCTION("GOOGLETRANSLATE(B36598,""en"",""zh-CN"")"),"他在跳到垫子上之前做了一只手站立。")</f>
        <v>他在跳到垫子上之前做了一只手站立。</v>
      </c>
    </row>
    <row r="36599">
      <c r="A36599" s="4" t="s">
        <v>46033</v>
      </c>
      <c r="B36599" s="4" t="s">
        <v>46034</v>
      </c>
      <c r="C36599" s="5" t="str">
        <f>IFERROR(__xludf.DUMMYFUNCTION("GOOGLETRANSLATE(B36599,""en"",""zh-CN"")"),"一个人吹了后院的死叶。")</f>
        <v>一个人吹了后院的死叶。</v>
      </c>
    </row>
    <row r="36600">
      <c r="A36600" s="4" t="s">
        <v>46033</v>
      </c>
      <c r="B36600" s="4" t="s">
        <v>46035</v>
      </c>
      <c r="C36600" s="5" t="str">
        <f>IFERROR(__xludf.DUMMYFUNCTION("GOOGLETRANSLATE(B36600,""en"",""zh-CN"")"),"一个人做一堆死叶。")</f>
        <v>一个人做一堆死叶。</v>
      </c>
    </row>
    <row r="36601">
      <c r="A36601" s="4" t="s">
        <v>46036</v>
      </c>
      <c r="B36601" s="4" t="s">
        <v>46037</v>
      </c>
      <c r="C36601" s="5" t="str">
        <f>IFERROR(__xludf.DUMMYFUNCTION("GOOGLETRANSLATE(B36601,""en"",""zh-CN"")"),"一个男人在一个大领域中占据了巨大的风筝。")</f>
        <v>一个男人在一个大领域中占据了巨大的风筝。</v>
      </c>
    </row>
    <row r="36602">
      <c r="A36602" s="4" t="s">
        <v>46036</v>
      </c>
      <c r="B36602" s="4" t="s">
        <v>46038</v>
      </c>
      <c r="C36602" s="5" t="str">
        <f>IFERROR(__xludf.DUMMYFUNCTION("GOOGLETRANSLATE(B36602,""en"",""zh-CN"")"),"一只狗在奔跑并跳跃时追逐那个男人。")</f>
        <v>一只狗在奔跑并跳跃时追逐那个男人。</v>
      </c>
    </row>
    <row r="36603">
      <c r="A36603" s="4" t="s">
        <v>46036</v>
      </c>
      <c r="B36603" s="4" t="s">
        <v>46039</v>
      </c>
      <c r="C36603" s="5" t="str">
        <f>IFERROR(__xludf.DUMMYFUNCTION("GOOGLETRANSLATE(B36603,""en"",""zh-CN"")"),"该男子将风筝带到了地面。")</f>
        <v>该男子将风筝带到了地面。</v>
      </c>
    </row>
    <row r="36604">
      <c r="A36604" s="4" t="s">
        <v>46040</v>
      </c>
      <c r="B36604" s="4" t="s">
        <v>46041</v>
      </c>
      <c r="C36604" s="5" t="str">
        <f>IFERROR(__xludf.DUMMYFUNCTION("GOOGLETRANSLATE(B36604,""en"",""zh-CN"")"),"一个男人正在大型营地大火上倒一些东西。")</f>
        <v>一个男人正在大型营地大火上倒一些东西。</v>
      </c>
    </row>
    <row r="36605">
      <c r="A36605" s="4" t="s">
        <v>46040</v>
      </c>
      <c r="B36605" s="4" t="s">
        <v>46042</v>
      </c>
      <c r="C36605" s="5" t="str">
        <f>IFERROR(__xludf.DUMMYFUNCTION("GOOGLETRANSLATE(B36605,""en"",""zh-CN"")"),"一条狗在营地漫步。")</f>
        <v>一条狗在营地漫步。</v>
      </c>
    </row>
    <row r="36606">
      <c r="A36606" s="4" t="s">
        <v>46040</v>
      </c>
      <c r="B36606" s="4" t="s">
        <v>46043</v>
      </c>
      <c r="C36606" s="5" t="str">
        <f>IFERROR(__xludf.DUMMYFUNCTION("GOOGLETRANSLATE(B36606,""en"",""zh-CN"")"),"一件拿着毯子的黄色衬衫的人在火周围散步。")</f>
        <v>一件拿着毯子的黄色衬衫的人在火周围散步。</v>
      </c>
    </row>
    <row r="36607">
      <c r="A36607" s="4" t="s">
        <v>46044</v>
      </c>
      <c r="B36607" s="4" t="s">
        <v>46045</v>
      </c>
      <c r="C36607" s="5" t="str">
        <f>IFERROR(__xludf.DUMMYFUNCTION("GOOGLETRANSLATE(B36607,""en"",""zh-CN"")"),"一个穿着闪闪发光的衣服在硬木地板上跳舞的女孩。")</f>
        <v>一个穿着闪闪发光的衣服在硬木地板上跳舞的女孩。</v>
      </c>
    </row>
    <row r="36608">
      <c r="A36608" s="4" t="s">
        <v>46044</v>
      </c>
      <c r="B36608" s="4" t="s">
        <v>46046</v>
      </c>
      <c r="C36608" s="5" t="str">
        <f>IFERROR(__xludf.DUMMYFUNCTION("GOOGLETRANSLATE(B36608,""en"",""zh-CN"")"),"她拿出警棍并在跳舞时旋转它们。")</f>
        <v>她拿出警棍并在跳舞时旋转它们。</v>
      </c>
    </row>
    <row r="36609">
      <c r="A36609" s="4" t="s">
        <v>46044</v>
      </c>
      <c r="B36609" s="4" t="s">
        <v>46047</v>
      </c>
      <c r="C36609" s="5" t="str">
        <f>IFERROR(__xludf.DUMMYFUNCTION("GOOGLETRANSLATE(B36609,""en"",""zh-CN"")"),"完成表演后，她坐在地上。")</f>
        <v>完成表演后，她坐在地上。</v>
      </c>
    </row>
    <row r="36610">
      <c r="A36610" s="4" t="s">
        <v>46048</v>
      </c>
      <c r="B36610" s="4" t="s">
        <v>6958</v>
      </c>
      <c r="C36610" s="5" t="str">
        <f>IFERROR(__xludf.DUMMYFUNCTION("GOOGLETRANSLATE(B36610,""en"",""zh-CN"")"),"我们看到一个白色的打开屏幕。")</f>
        <v>我们看到一个白色的打开屏幕。</v>
      </c>
    </row>
    <row r="36611">
      <c r="A36611" s="4" t="s">
        <v>46048</v>
      </c>
      <c r="B36611" s="4" t="s">
        <v>46049</v>
      </c>
      <c r="C36611" s="5" t="str">
        <f>IFERROR(__xludf.DUMMYFUNCTION("GOOGLETRANSLATE(B36611,""en"",""zh-CN"")"),"我们看到一个男人扣着篮球穿着跳跃的高跷。")</f>
        <v>我们看到一个男人扣着篮球穿着跳跃的高跷。</v>
      </c>
    </row>
    <row r="36612">
      <c r="A36612" s="4" t="s">
        <v>46048</v>
      </c>
      <c r="B36612" s="4" t="s">
        <v>46050</v>
      </c>
      <c r="C36612" s="5" t="str">
        <f>IFERROR(__xludf.DUMMYFUNCTION("GOOGLETRANSLATE(B36612,""en"",""zh-CN"")"),"我们看到另一个男人弹跳球，跳高高跷的人再次扣篮。")</f>
        <v>我们看到另一个男人弹跳球，跳高高跷的人再次扣篮。</v>
      </c>
    </row>
    <row r="36613">
      <c r="A36613" s="4" t="s">
        <v>46048</v>
      </c>
      <c r="B36613" s="4" t="s">
        <v>46051</v>
      </c>
      <c r="C36613" s="5" t="str">
        <f>IFERROR(__xludf.DUMMYFUNCTION("GOOGLETRANSLATE(B36613,""en"",""zh-CN"")"),"然后，我们看到关闭的打开屏幕。")</f>
        <v>然后，我们看到关闭的打开屏幕。</v>
      </c>
    </row>
    <row r="36614">
      <c r="A36614" s="4" t="s">
        <v>46052</v>
      </c>
      <c r="B36614" s="4" t="s">
        <v>46053</v>
      </c>
      <c r="C36614" s="5" t="str">
        <f>IFERROR(__xludf.DUMMYFUNCTION("GOOGLETRANSLATE(B36614,""en"",""zh-CN"")"),"一群啦啦队在欢呼的观众面前登上舞台。")</f>
        <v>一群啦啦队在欢呼的观众面前登上舞台。</v>
      </c>
    </row>
    <row r="36615">
      <c r="A36615" s="4" t="s">
        <v>46052</v>
      </c>
      <c r="B36615" s="4" t="s">
        <v>46054</v>
      </c>
      <c r="C36615" s="5" t="str">
        <f>IFERROR(__xludf.DUMMYFUNCTION("GOOGLETRANSLATE(B36615,""en"",""zh-CN"")"),"他们开始阵型，然后随着男性啦啦队的加入，开始跳舞和翻转。")</f>
        <v>他们开始阵型，然后随着男性啦啦队的加入，开始跳舞和翻转。</v>
      </c>
    </row>
    <row r="36616">
      <c r="A36616" s="4" t="s">
        <v>46052</v>
      </c>
      <c r="B36616" s="4" t="s">
        <v>46055</v>
      </c>
      <c r="C36616" s="5" t="str">
        <f>IFERROR(__xludf.DUMMYFUNCTION("GOOGLETRANSLATE(B36616,""en"",""zh-CN"")"),"他们都继续跳舞和翻转，进行手工弹簧。")</f>
        <v>他们都继续跳舞和翻转，进行手工弹簧。</v>
      </c>
    </row>
    <row r="36617">
      <c r="A36617" s="4" t="s">
        <v>46052</v>
      </c>
      <c r="B36617" s="4" t="s">
        <v>46056</v>
      </c>
      <c r="C36617" s="5" t="str">
        <f>IFERROR(__xludf.DUMMYFUNCTION("GOOGLETRANSLATE(B36617,""en"",""zh-CN"")"),"完成后，他们高兴地跳下来，走出舞台，精疲力尽。")</f>
        <v>完成后，他们高兴地跳下来，走出舞台，精疲力尽。</v>
      </c>
    </row>
    <row r="36618">
      <c r="A36618" s="4" t="s">
        <v>46057</v>
      </c>
      <c r="B36618" s="4" t="s">
        <v>46058</v>
      </c>
      <c r="C36618" s="5" t="str">
        <f>IFERROR(__xludf.DUMMYFUNCTION("GOOGLETRANSLATE(B36618,""en"",""zh-CN"")"),"一个男人抬起一个年轻的女孩到达浴室的水槽。")</f>
        <v>一个男人抬起一个年轻的女孩到达浴室的水槽。</v>
      </c>
    </row>
    <row r="36619">
      <c r="A36619" s="4" t="s">
        <v>46057</v>
      </c>
      <c r="B36619" s="4" t="s">
        <v>46059</v>
      </c>
      <c r="C36619" s="5" t="str">
        <f>IFERROR(__xludf.DUMMYFUNCTION("GOOGLETRANSLATE(B36619,""en"",""zh-CN"")"),"男人和女孩都伸手去拿牙刷，同时添加牙膏。")</f>
        <v>男人和女孩都伸手去拿牙刷，同时添加牙膏。</v>
      </c>
    </row>
    <row r="36620">
      <c r="A36620" s="4" t="s">
        <v>46057</v>
      </c>
      <c r="B36620" s="4" t="s">
        <v>46060</v>
      </c>
      <c r="C36620" s="5" t="str">
        <f>IFERROR(__xludf.DUMMYFUNCTION("GOOGLETRANSLATE(B36620,""en"",""zh-CN"")"),"当男人向女孩展示如何正确刷牙时，他们一起看着镜子。")</f>
        <v>当男人向女孩展示如何正确刷牙时，他们一起看着镜子。</v>
      </c>
    </row>
    <row r="36621">
      <c r="A36621" s="4" t="s">
        <v>46057</v>
      </c>
      <c r="B36621" s="4" t="s">
        <v>46061</v>
      </c>
      <c r="C36621" s="5" t="str">
        <f>IFERROR(__xludf.DUMMYFUNCTION("GOOGLETRANSLATE(B36621,""en"",""zh-CN"")"),"他们在镜子里冲洗干净的牙齿。")</f>
        <v>他们在镜子里冲洗干净的牙齿。</v>
      </c>
    </row>
    <row r="36622">
      <c r="A36622" s="4" t="s">
        <v>46057</v>
      </c>
      <c r="B36622" s="4" t="s">
        <v>46062</v>
      </c>
      <c r="C36622" s="5" t="str">
        <f>IFERROR(__xludf.DUMMYFUNCTION("GOOGLETRANSLATE(B36622,""en"",""zh-CN"")"),"然后，男人教女孩牙线。")</f>
        <v>然后，男人教女孩牙线。</v>
      </c>
    </row>
    <row r="36623">
      <c r="A36623" s="4" t="s">
        <v>46057</v>
      </c>
      <c r="B36623" s="4" t="s">
        <v>46063</v>
      </c>
      <c r="C36623" s="5" t="str">
        <f>IFERROR(__xludf.DUMMYFUNCTION("GOOGLETRANSLATE(B36623,""en"",""zh-CN"")"),"他们把牙刷放下，男人帮助女孩回到地板上。")</f>
        <v>他们把牙刷放下，男人帮助女孩回到地板上。</v>
      </c>
    </row>
    <row r="36624">
      <c r="A36624" s="4" t="s">
        <v>46057</v>
      </c>
      <c r="B36624" s="4" t="s">
        <v>46064</v>
      </c>
      <c r="C36624" s="5" t="str">
        <f>IFERROR(__xludf.DUMMYFUNCTION("GOOGLETRANSLATE(B36624,""en"",""zh-CN"")"),"他们一起走开，关掉浴室的灯。")</f>
        <v>他们一起走开，关掉浴室的灯。</v>
      </c>
    </row>
    <row r="36625">
      <c r="A36625" s="4" t="s">
        <v>46065</v>
      </c>
      <c r="B36625" s="4" t="s">
        <v>46066</v>
      </c>
      <c r="C36625" s="5" t="str">
        <f>IFERROR(__xludf.DUMMYFUNCTION("GOOGLETRANSLATE(B36625,""en"",""zh-CN"")"),"一个穿着黑色衬衫的男人对相机微笑。")</f>
        <v>一个穿着黑色衬衫的男人对相机微笑。</v>
      </c>
    </row>
    <row r="36626">
      <c r="A36626" s="4" t="s">
        <v>46065</v>
      </c>
      <c r="B36626" s="4" t="s">
        <v>46067</v>
      </c>
      <c r="C36626" s="5" t="str">
        <f>IFERROR(__xludf.DUMMYFUNCTION("GOOGLETRANSLATE(B36626,""en"",""zh-CN"")"),"他拔出口琴并开始弹奏。")</f>
        <v>他拔出口琴并开始弹奏。</v>
      </c>
    </row>
    <row r="36627">
      <c r="A36627" s="4" t="s">
        <v>46065</v>
      </c>
      <c r="B36627" s="4" t="s">
        <v>46068</v>
      </c>
      <c r="C36627" s="5" t="str">
        <f>IFERROR(__xludf.DUMMYFUNCTION("GOOGLETRANSLATE(B36627,""en"",""zh-CN"")"),"他用手强调笔记。")</f>
        <v>他用手强调笔记。</v>
      </c>
    </row>
    <row r="36628">
      <c r="A36628" s="4" t="s">
        <v>46065</v>
      </c>
      <c r="B36628" s="4" t="s">
        <v>46069</v>
      </c>
      <c r="C36628" s="5" t="str">
        <f>IFERROR(__xludf.DUMMYFUNCTION("GOOGLETRANSLATE(B36628,""en"",""zh-CN"")"),"他最后完成了这首歌。")</f>
        <v>他最后完成了这首歌。</v>
      </c>
    </row>
    <row r="36629">
      <c r="A36629" s="4" t="s">
        <v>46070</v>
      </c>
      <c r="B36629" s="4" t="s">
        <v>46071</v>
      </c>
      <c r="C36629" s="5" t="str">
        <f>IFERROR(__xludf.DUMMYFUNCTION("GOOGLETRANSLATE(B36629,""en"",""zh-CN"")"),"显示出一个保险杠竞技场之后，人们四处开车并互相碰撞。")</f>
        <v>显示出一个保险杠竞技场之后，人们四处开车并互相碰撞。</v>
      </c>
    </row>
    <row r="36630">
      <c r="A36630" s="4" t="s">
        <v>46070</v>
      </c>
      <c r="B36630" s="6" t="s">
        <v>46072</v>
      </c>
      <c r="C36630" s="5" t="str">
        <f>IFERROR(__xludf.DUMMYFUNCTION("GOOGLETRANSLATE(B36630,""en"",""zh-CN"")"),"显示了几张镜头，人们互相碰撞，最后一个男人在相机上说话。")</f>
        <v>显示了几张镜头，人们互相碰撞，最后一个男人在相机上说话。</v>
      </c>
    </row>
    <row r="36631">
      <c r="A36631" s="4" t="s">
        <v>46073</v>
      </c>
      <c r="B36631" s="4" t="s">
        <v>46074</v>
      </c>
      <c r="C36631" s="5" t="str">
        <f>IFERROR(__xludf.DUMMYFUNCTION("GOOGLETRANSLATE(B36631,""en"",""zh-CN"")"),"一个人骑在水上的船上。")</f>
        <v>一个人骑在水上的船上。</v>
      </c>
    </row>
    <row r="36632">
      <c r="A36632" s="4" t="s">
        <v>46073</v>
      </c>
      <c r="B36632" s="4" t="s">
        <v>46075</v>
      </c>
      <c r="C36632" s="5" t="str">
        <f>IFERROR(__xludf.DUMMYFUNCTION("GOOGLETRANSLATE(B36632,""en"",""zh-CN"")"),"他们在滑雪板上拖着一个人。")</f>
        <v>他们在滑雪板上拖着一个人。</v>
      </c>
    </row>
    <row r="36633">
      <c r="A36633" s="4" t="s">
        <v>46073</v>
      </c>
      <c r="B36633" s="4" t="s">
        <v>46076</v>
      </c>
      <c r="C36633" s="5" t="str">
        <f>IFERROR(__xludf.DUMMYFUNCTION("GOOGLETRANSLATE(B36633,""en"",""zh-CN"")"),"当他们迅速从水中拉出时，该人保持直立。")</f>
        <v>当他们迅速从水中拉出时，该人保持直立。</v>
      </c>
    </row>
    <row r="36634">
      <c r="A36634" s="4" t="s">
        <v>46077</v>
      </c>
      <c r="B36634" s="4" t="s">
        <v>46078</v>
      </c>
      <c r="C36634" s="5" t="str">
        <f>IFERROR(__xludf.DUMMYFUNCTION("GOOGLETRANSLATE(B36634,""en"",""zh-CN"")"),"一个女孩在户外游乐场上的猴子酒吧摇摆。")</f>
        <v>一个女孩在户外游乐场上的猴子酒吧摇摆。</v>
      </c>
    </row>
    <row r="36635">
      <c r="A36635" s="4" t="s">
        <v>46077</v>
      </c>
      <c r="B36635" s="4" t="s">
        <v>46079</v>
      </c>
      <c r="C36635" s="5" t="str">
        <f>IFERROR(__xludf.DUMMYFUNCTION("GOOGLETRANSLATE(B36635,""en"",""zh-CN"")"),"这个女孩错过了猴子酒吧，然后失去了抓地力，跌倒在地。")</f>
        <v>这个女孩错过了猴子酒吧，然后失去了抓地力，跌倒在地。</v>
      </c>
    </row>
    <row r="36636">
      <c r="A36636" s="4" t="s">
        <v>46080</v>
      </c>
      <c r="B36636" s="4" t="s">
        <v>46081</v>
      </c>
      <c r="C36636" s="5" t="str">
        <f>IFERROR(__xludf.DUMMYFUNCTION("GOOGLETRANSLATE(B36636,""en"",""zh-CN"")"),"人们坐在看着人们的看着看者。")</f>
        <v>人们坐在看着人们的看着看者。</v>
      </c>
    </row>
    <row r="36637">
      <c r="A36637" s="4" t="s">
        <v>46080</v>
      </c>
      <c r="B36637" s="4" t="s">
        <v>46082</v>
      </c>
      <c r="C36637" s="5" t="str">
        <f>IFERROR(__xludf.DUMMYFUNCTION("GOOGLETRANSLATE(B36637,""en"",""zh-CN"")"),"房间里的人们正在踢墙球。")</f>
        <v>房间里的人们正在踢墙球。</v>
      </c>
    </row>
    <row r="36638">
      <c r="A36638" s="4" t="s">
        <v>46080</v>
      </c>
      <c r="B36638" s="4" t="s">
        <v>46083</v>
      </c>
      <c r="C36638" s="5" t="str">
        <f>IFERROR(__xludf.DUMMYFUNCTION("GOOGLETRANSLATE(B36638,""en"",""zh-CN"")"),"一个看台上的男人把手放在脸上。")</f>
        <v>一个看台上的男人把手放在脸上。</v>
      </c>
    </row>
    <row r="36639">
      <c r="A36639" s="4" t="s">
        <v>46084</v>
      </c>
      <c r="B36639" s="6" t="s">
        <v>46085</v>
      </c>
      <c r="C36639" s="5" t="str">
        <f>IFERROR(__xludf.DUMMYFUNCTION("GOOGLETRANSLATE(B36639,""en"",""zh-CN"")"),"看到一个女人在一个黑暗的房间里表演肚皮舞的例行活动，她的一条线上显示。")</f>
        <v>看到一个女人在一个黑暗的房间里表演肚皮舞的例行活动，她的一条线上显示。</v>
      </c>
    </row>
    <row r="36640">
      <c r="A36640" s="4" t="s">
        <v>46084</v>
      </c>
      <c r="B36640" s="4" t="s">
        <v>46086</v>
      </c>
      <c r="C36640" s="5" t="str">
        <f>IFERROR(__xludf.DUMMYFUNCTION("GOOGLETRANSLATE(B36640,""en"",""zh-CN"")"),"她继续在房间里跳舞，在房间里旋转时，在房间里结束。")</f>
        <v>她继续在房间里跳舞，在房间里旋转时，在房间里结束。</v>
      </c>
    </row>
    <row r="36641">
      <c r="A36641" s="4" t="s">
        <v>46087</v>
      </c>
      <c r="B36641" s="4" t="s">
        <v>46088</v>
      </c>
      <c r="C36641" s="5" t="str">
        <f>IFERROR(__xludf.DUMMYFUNCTION("GOOGLETRANSLATE(B36641,""en"",""zh-CN"")"),"一个穿着白衬衫的女人正坐在她的腿上坐着黑白猫。")</f>
        <v>一个穿着白衬衫的女人正坐在她的腿上坐着黑白猫。</v>
      </c>
    </row>
    <row r="36642">
      <c r="A36642" s="4" t="s">
        <v>46087</v>
      </c>
      <c r="B36642" s="4" t="s">
        <v>46089</v>
      </c>
      <c r="C36642" s="5" t="str">
        <f>IFERROR(__xludf.DUMMYFUNCTION("GOOGLETRANSLATE(B36642,""en"",""zh-CN"")"),"她通过将猫的爪子握在手中来剪掉猫指甲。")</f>
        <v>她通过将猫的爪子握在手中来剪掉猫指甲。</v>
      </c>
    </row>
    <row r="36643">
      <c r="A36643" s="4" t="s">
        <v>46087</v>
      </c>
      <c r="B36643" s="4" t="s">
        <v>46090</v>
      </c>
      <c r="C36643" s="5" t="str">
        <f>IFERROR(__xludf.DUMMYFUNCTION("GOOGLETRANSLATE(B36643,""en"",""zh-CN"")"),"她继续剪下猫的指甲。")</f>
        <v>她继续剪下猫的指甲。</v>
      </c>
    </row>
    <row r="36644">
      <c r="A36644" s="4" t="s">
        <v>46087</v>
      </c>
      <c r="B36644" s="4" t="s">
        <v>46091</v>
      </c>
      <c r="C36644" s="5" t="str">
        <f>IFERROR(__xludf.DUMMYFUNCTION("GOOGLETRANSLATE(B36644,""en"",""zh-CN"")"),"当她完成后，她亲吻了猫。")</f>
        <v>当她完成后，她亲吻了猫。</v>
      </c>
    </row>
    <row r="36645">
      <c r="A36645" s="4" t="s">
        <v>46087</v>
      </c>
      <c r="B36645" s="4" t="s">
        <v>46092</v>
      </c>
      <c r="C36645" s="5" t="str">
        <f>IFERROR(__xludf.DUMMYFUNCTION("GOOGLETRANSLATE(B36645,""en"",""zh-CN"")"),"然后她开始剪裁棕色猫的指甲。")</f>
        <v>然后她开始剪裁棕色猫的指甲。</v>
      </c>
    </row>
    <row r="36646">
      <c r="A36646" s="4" t="s">
        <v>46087</v>
      </c>
      <c r="B36646" s="4" t="s">
        <v>46093</v>
      </c>
      <c r="C36646" s="5" t="str">
        <f>IFERROR(__xludf.DUMMYFUNCTION("GOOGLETRANSLATE(B36646,""en"",""zh-CN"")"),"猫在剪指甲时冷静地坐在她的腿上。")</f>
        <v>猫在剪指甲时冷静地坐在她的腿上。</v>
      </c>
    </row>
    <row r="36647">
      <c r="A36647" s="4" t="s">
        <v>46094</v>
      </c>
      <c r="B36647" s="4" t="s">
        <v>46095</v>
      </c>
      <c r="C36647" s="5" t="str">
        <f>IFERROR(__xludf.DUMMYFUNCTION("GOOGLETRANSLATE(B36647,""en"",""zh-CN"")"),"一个人用精美的刷子将鲜花涂在白色的画布上。")</f>
        <v>一个人用精美的刷子将鲜花涂在白色的画布上。</v>
      </c>
    </row>
    <row r="36648">
      <c r="A36648" s="4" t="s">
        <v>46094</v>
      </c>
      <c r="B36648" s="4" t="s">
        <v>46096</v>
      </c>
      <c r="C36648" s="5" t="str">
        <f>IFERROR(__xludf.DUMMYFUNCTION("GOOGLETRANSLATE(B36648,""en"",""zh-CN"")"),"该人从桌子上取下绘画并显示成品。")</f>
        <v>该人从桌子上取下绘画并显示成品。</v>
      </c>
    </row>
    <row r="36649">
      <c r="A36649" s="4" t="s">
        <v>46097</v>
      </c>
      <c r="B36649" s="4" t="s">
        <v>46098</v>
      </c>
      <c r="C36649" s="5" t="str">
        <f>IFERROR(__xludf.DUMMYFUNCTION("GOOGLETRANSLATE(B36649,""en"",""zh-CN"")"),"人们在游泳池里玩耍和游泳。")</f>
        <v>人们在游泳池里玩耍和游泳。</v>
      </c>
    </row>
    <row r="36650">
      <c r="A36650" s="4" t="s">
        <v>46097</v>
      </c>
      <c r="B36650" s="4" t="s">
        <v>46099</v>
      </c>
      <c r="C36650" s="5" t="str">
        <f>IFERROR(__xludf.DUMMYFUNCTION("GOOGLETRANSLATE(B36650,""en"",""zh-CN"")"),"一个女孩向后翻转木板。")</f>
        <v>一个女孩向后翻转木板。</v>
      </c>
    </row>
    <row r="36651">
      <c r="A36651" s="4" t="s">
        <v>46100</v>
      </c>
      <c r="B36651" s="4" t="s">
        <v>46101</v>
      </c>
      <c r="C36651" s="5" t="str">
        <f>IFERROR(__xludf.DUMMYFUNCTION("GOOGLETRANSLATE(B36651,""en"",""zh-CN"")"),"看到一个人在水槽里充满水，并在水中握住抹布。")</f>
        <v>看到一个人在水槽里充满水，并在水中握住抹布。</v>
      </c>
    </row>
    <row r="36652">
      <c r="A36652" s="4" t="s">
        <v>46100</v>
      </c>
      <c r="B36652" s="4" t="s">
        <v>46102</v>
      </c>
      <c r="C36652" s="5" t="str">
        <f>IFERROR(__xludf.DUMMYFUNCTION("GOOGLETRANSLATE(B36652,""en"",""zh-CN"")"),"她擦拭脸部，用抹布将其洗净，然后微笑着镜子。")</f>
        <v>她擦拭脸部，用抹布将其洗净，然后微笑着镜子。</v>
      </c>
    </row>
    <row r="36653">
      <c r="A36653" s="4" t="s">
        <v>46103</v>
      </c>
      <c r="B36653" s="4" t="s">
        <v>46104</v>
      </c>
      <c r="C36653" s="5" t="str">
        <f>IFERROR(__xludf.DUMMYFUNCTION("GOOGLETRANSLATE(B36653,""en"",""zh-CN"")"),"一个人挂在开着头顶的风筝的手柄上。")</f>
        <v>一个人挂在开着头顶的风筝的手柄上。</v>
      </c>
    </row>
    <row r="36654">
      <c r="A36654" s="4" t="s">
        <v>46103</v>
      </c>
      <c r="B36654" s="4" t="s">
        <v>46105</v>
      </c>
      <c r="C36654" s="5" t="str">
        <f>IFERROR(__xludf.DUMMYFUNCTION("GOOGLETRANSLATE(B36654,""en"",""zh-CN"")"),"风筝随风降低而下降。")</f>
        <v>风筝随风降低而下降。</v>
      </c>
    </row>
    <row r="36655">
      <c r="A36655" s="4" t="s">
        <v>46103</v>
      </c>
      <c r="B36655" s="4" t="s">
        <v>46106</v>
      </c>
      <c r="C36655" s="5" t="str">
        <f>IFERROR(__xludf.DUMMYFUNCTION("GOOGLETRANSLATE(B36655,""en"",""zh-CN"")"),"随着风再次扑灭，风筝在空中猛烈吹。")</f>
        <v>随着风再次扑灭，风筝在空中猛烈吹。</v>
      </c>
    </row>
    <row r="36656">
      <c r="A36656" s="4" t="s">
        <v>46107</v>
      </c>
      <c r="B36656" s="4" t="s">
        <v>46108</v>
      </c>
      <c r="C36656" s="5" t="str">
        <f>IFERROR(__xludf.DUMMYFUNCTION("GOOGLETRANSLATE(B36656,""en"",""zh-CN"")"),"一个男人和一个女人在街头的灯光下晚上在混凝土地面跳舞。")</f>
        <v>一个男人和一个女人在街头的灯光下晚上在混凝土地面跳舞。</v>
      </c>
    </row>
    <row r="36657">
      <c r="A36657" s="4" t="s">
        <v>46107</v>
      </c>
      <c r="B36657" s="6" t="s">
        <v>46109</v>
      </c>
      <c r="C36657" s="5" t="str">
        <f>IFERROR(__xludf.DUMMYFUNCTION("GOOGLETRANSLATE(B36657,""en"",""zh-CN"")"),"男人和女人都穿着黑色背心和黑色短裤以及黑色鞋子。")</f>
        <v>男人和女人都穿着黑色背心和黑色短裤以及黑色鞋子。</v>
      </c>
    </row>
    <row r="36658">
      <c r="A36658" s="4" t="s">
        <v>46107</v>
      </c>
      <c r="B36658" s="4" t="s">
        <v>46110</v>
      </c>
      <c r="C36658" s="5" t="str">
        <f>IFERROR(__xludf.DUMMYFUNCTION("GOOGLETRANSLATE(B36658,""en"",""zh-CN"")"),"他们通过遵循编排的舞蹈步骤来进行歌曲，以同步的方式跳舞。")</f>
        <v>他们通过遵循编排的舞蹈步骤来进行歌曲，以同步的方式跳舞。</v>
      </c>
    </row>
    <row r="36659">
      <c r="A36659" s="4" t="s">
        <v>46107</v>
      </c>
      <c r="B36659" s="4" t="s">
        <v>46111</v>
      </c>
      <c r="C36659" s="5" t="str">
        <f>IFERROR(__xludf.DUMMYFUNCTION("GOOGLETRANSLATE(B36659,""en"",""zh-CN"")"),"他们在跳舞的同时将右腿抬高时移动双手。")</f>
        <v>他们在跳舞的同时将右腿抬高时移动双手。</v>
      </c>
    </row>
    <row r="36660">
      <c r="A36660" s="4" t="s">
        <v>46107</v>
      </c>
      <c r="B36660" s="4" t="s">
        <v>46112</v>
      </c>
      <c r="C36660" s="5" t="str">
        <f>IFERROR(__xludf.DUMMYFUNCTION("GOOGLETRANSLATE(B36660,""en"",""zh-CN"")"),"然后，他们摇动臀部和头，他们唇lip同步与歌曲同步。")</f>
        <v>然后，他们摇动臀部和头，他们唇lip同步与歌曲同步。</v>
      </c>
    </row>
    <row r="36661">
      <c r="A36661" s="4" t="s">
        <v>46107</v>
      </c>
      <c r="B36661" s="4" t="s">
        <v>46113</v>
      </c>
      <c r="C36661" s="5" t="str">
        <f>IFERROR(__xludf.DUMMYFUNCTION("GOOGLETRANSLATE(B36661,""en"",""zh-CN"")"),"当音乐变得更快时，他们会以圆形运动移动手。")</f>
        <v>当音乐变得更快时，他们会以圆形运动移动手。</v>
      </c>
    </row>
    <row r="36662">
      <c r="A36662" s="4" t="s">
        <v>46107</v>
      </c>
      <c r="B36662" s="4" t="s">
        <v>46114</v>
      </c>
      <c r="C36662" s="5" t="str">
        <f>IFERROR(__xludf.DUMMYFUNCTION("GOOGLETRANSLATE(B36662,""en"",""zh-CN"")"),"他们还高高地抬起膝盖，同时摇动身体。")</f>
        <v>他们还高高地抬起膝盖，同时摇动身体。</v>
      </c>
    </row>
    <row r="36663">
      <c r="A36663" s="4" t="s">
        <v>46107</v>
      </c>
      <c r="B36663" s="4" t="s">
        <v>46115</v>
      </c>
      <c r="C36663" s="5" t="str">
        <f>IFERROR(__xludf.DUMMYFUNCTION("GOOGLETRANSLATE(B36663,""en"",""zh-CN"")"),"每次歌曲的合唱都会播放时，他们都会重复这些步骤。")</f>
        <v>每次歌曲的合唱都会播放时，他们都会重复这些步骤。</v>
      </c>
    </row>
    <row r="36664">
      <c r="A36664" s="4" t="s">
        <v>46107</v>
      </c>
      <c r="B36664" s="4" t="s">
        <v>46116</v>
      </c>
      <c r="C36664" s="5" t="str">
        <f>IFERROR(__xludf.DUMMYFUNCTION("GOOGLETRANSLATE(B36664,""en"",""zh-CN"")"),"他们将膝盖抬高高，在两条腿之间交替交替。")</f>
        <v>他们将膝盖抬高高，在两条腿之间交替交替。</v>
      </c>
    </row>
    <row r="36665">
      <c r="A36665" s="4" t="s">
        <v>46107</v>
      </c>
      <c r="B36665" s="4" t="s">
        <v>46117</v>
      </c>
      <c r="C36665" s="5" t="str">
        <f>IFERROR(__xludf.DUMMYFUNCTION("GOOGLETRANSLATE(B36665,""en"",""zh-CN"")"),"当他们伸直双手手掌并移动臀部时，他们继续跳舞。")</f>
        <v>当他们伸直双手手掌并移动臀部时，他们继续跳舞。</v>
      </c>
    </row>
    <row r="36666">
      <c r="A36666" s="4" t="s">
        <v>46107</v>
      </c>
      <c r="B36666" s="4" t="s">
        <v>46118</v>
      </c>
      <c r="C36666" s="5" t="str">
        <f>IFERROR(__xludf.DUMMYFUNCTION("GOOGLETRANSLATE(B36666,""en"",""zh-CN"")"),"当歌曲的合唱重复时，他们重复了步骤。")</f>
        <v>当歌曲的合唱重复时，他们重复了步骤。</v>
      </c>
    </row>
    <row r="36667">
      <c r="A36667" s="4" t="s">
        <v>46107</v>
      </c>
      <c r="B36667" s="4" t="s">
        <v>46119</v>
      </c>
      <c r="C36667" s="5" t="str">
        <f>IFERROR(__xludf.DUMMYFUNCTION("GOOGLETRANSLATE(B36667,""en"",""zh-CN"")"),"最终，在歌曲结束后，他们俩都靠在臀部上站着。")</f>
        <v>最终，在歌曲结束后，他们俩都靠在臀部上站着。</v>
      </c>
    </row>
    <row r="36668">
      <c r="A36668" s="4" t="s">
        <v>46120</v>
      </c>
      <c r="B36668" s="4" t="s">
        <v>46121</v>
      </c>
      <c r="C36668" s="5" t="str">
        <f>IFERROR(__xludf.DUMMYFUNCTION("GOOGLETRANSLATE(B36668,""en"",""zh-CN"")"),"一个男人在解释和展示材料的同时，戴上了一个补丁并放在方向盘上。")</f>
        <v>一个男人在解释和展示材料的同时，戴上了一个补丁并放在方向盘上。</v>
      </c>
    </row>
    <row r="36669">
      <c r="A36669" s="4" t="s">
        <v>46120</v>
      </c>
      <c r="B36669" s="4" t="s">
        <v>46122</v>
      </c>
      <c r="C36669" s="5" t="str">
        <f>IFERROR(__xludf.DUMMYFUNCTION("GOOGLETRANSLATE(B36669,""en"",""zh-CN"")"),"然后，该男子拿起自行车的轮子，通过涂抹贴片来固定管子的孔。")</f>
        <v>然后，该男子拿起自行车的轮子，通过涂抹贴片来固定管子的孔。</v>
      </c>
    </row>
    <row r="36670">
      <c r="A36670" s="4" t="s">
        <v>46120</v>
      </c>
      <c r="B36670" s="4" t="s">
        <v>46123</v>
      </c>
      <c r="C36670" s="5" t="str">
        <f>IFERROR(__xludf.DUMMYFUNCTION("GOOGLETRANSLATE(B36670,""en"",""zh-CN"")"),"之后，该男子将管子放在车轮上，然后将空气泵入方向盘。")</f>
        <v>之后，该男子将管子放在车轮上，然后将空气泵入方向盘。</v>
      </c>
    </row>
    <row r="36671">
      <c r="A36671" s="4" t="s">
        <v>46120</v>
      </c>
      <c r="B36671" s="4" t="s">
        <v>46124</v>
      </c>
      <c r="C36671" s="5" t="str">
        <f>IFERROR(__xludf.DUMMYFUNCTION("GOOGLETRANSLATE(B36671,""en"",""zh-CN"")"),"然后，男人将车轮放在自行车上。")</f>
        <v>然后，男人将车轮放在自行车上。</v>
      </c>
    </row>
    <row r="36672">
      <c r="A36672" s="4" t="s">
        <v>46125</v>
      </c>
      <c r="B36672" s="4" t="s">
        <v>46126</v>
      </c>
      <c r="C36672" s="5" t="str">
        <f>IFERROR(__xludf.DUMMYFUNCTION("GOOGLETRANSLATE(B36672,""en"",""zh-CN"")"),"一个人展示了抬起壶铃的正确方法。")</f>
        <v>一个人展示了抬起壶铃的正确方法。</v>
      </c>
    </row>
    <row r="36673">
      <c r="A36673" s="4" t="s">
        <v>46125</v>
      </c>
      <c r="B36673" s="4" t="s">
        <v>46127</v>
      </c>
      <c r="C36673" s="5" t="str">
        <f>IFERROR(__xludf.DUMMYFUNCTION("GOOGLETRANSLATE(B36673,""en"",""zh-CN"")"),"他用臀部展示了如何不做。")</f>
        <v>他用臀部展示了如何不做。</v>
      </c>
    </row>
    <row r="36674">
      <c r="A36674" s="4" t="s">
        <v>46128</v>
      </c>
      <c r="B36674" s="4" t="s">
        <v>46129</v>
      </c>
      <c r="C36674" s="5" t="str">
        <f>IFERROR(__xludf.DUMMYFUNCTION("GOOGLETRANSLATE(B36674,""en"",""zh-CN"")"),"一个男人正在剪另一个人的头发。")</f>
        <v>一个男人正在剪另一个人的头发。</v>
      </c>
    </row>
    <row r="36675">
      <c r="A36675" s="4" t="s">
        <v>46128</v>
      </c>
      <c r="B36675" s="4" t="s">
        <v>46130</v>
      </c>
      <c r="C36675" s="5" t="str">
        <f>IFERROR(__xludf.DUMMYFUNCTION("GOOGLETRANSLATE(B36675,""en"",""zh-CN"")"),"他正在演示切割的类型。")</f>
        <v>他正在演示切割的类型。</v>
      </c>
    </row>
    <row r="36676">
      <c r="A36676" s="4" t="s">
        <v>46128</v>
      </c>
      <c r="B36676" s="4" t="s">
        <v>46131</v>
      </c>
      <c r="C36676" s="5" t="str">
        <f>IFERROR(__xludf.DUMMYFUNCTION("GOOGLETRANSLATE(B36676,""en"",""zh-CN"")"),"他梳理并剪断了人类头发的前部。")</f>
        <v>他梳理并剪断了人类头发的前部。</v>
      </c>
    </row>
    <row r="36677">
      <c r="A36677" s="4" t="s">
        <v>46128</v>
      </c>
      <c r="B36677" s="4" t="s">
        <v>46132</v>
      </c>
      <c r="C36677" s="5" t="str">
        <f>IFERROR(__xludf.DUMMYFUNCTION("GOOGLETRANSLATE(B36677,""en"",""zh-CN"")"),"他将头发分开，继续拉动和修剪前翻转。")</f>
        <v>他将头发分开，继续拉动和修剪前翻转。</v>
      </c>
    </row>
    <row r="36678">
      <c r="A36678" s="4" t="s">
        <v>46128</v>
      </c>
      <c r="B36678" s="4" t="s">
        <v>46133</v>
      </c>
      <c r="C36678" s="5" t="str">
        <f>IFERROR(__xludf.DUMMYFUNCTION("GOOGLETRANSLATE(B36678,""en"",""zh-CN"")"),"然后，他转过头，在后面工作。")</f>
        <v>然后，他转过头，在后面工作。</v>
      </c>
    </row>
    <row r="36679">
      <c r="A36679" s="4" t="s">
        <v>46128</v>
      </c>
      <c r="B36679" s="4" t="s">
        <v>46134</v>
      </c>
      <c r="C36679" s="5" t="str">
        <f>IFERROR(__xludf.DUMMYFUNCTION("GOOGLETRANSLATE(B36679,""en"",""zh-CN"")"),"他完成了那个男人的理发。")</f>
        <v>他完成了那个男人的理发。</v>
      </c>
    </row>
    <row r="36680">
      <c r="A36680" s="4" t="s">
        <v>46135</v>
      </c>
      <c r="B36680" s="4" t="s">
        <v>46136</v>
      </c>
      <c r="C36680" s="5" t="str">
        <f>IFERROR(__xludf.DUMMYFUNCTION("GOOGLETRANSLATE(B36680,""en"",""zh-CN"")"),"一个人的脚向表现出来，然后是一个女人在袜子上穿鞋并向前弯曲。")</f>
        <v>一个人的脚向表现出来，然后是一个女人在袜子上穿鞋并向前弯曲。</v>
      </c>
    </row>
    <row r="36681">
      <c r="A36681" s="4" t="s">
        <v>46135</v>
      </c>
      <c r="B36681" s="4" t="s">
        <v>46137</v>
      </c>
      <c r="C36681" s="5" t="str">
        <f>IFERROR(__xludf.DUMMYFUNCTION("GOOGLETRANSLATE(B36681,""en"",""zh-CN"")"),"她在脚上旋转，看着相机，同时完全展示鞋子。")</f>
        <v>她在脚上旋转，看着相机，同时完全展示鞋子。</v>
      </c>
    </row>
    <row r="36682">
      <c r="A36682" s="4" t="s">
        <v>46138</v>
      </c>
      <c r="B36682" s="4" t="s">
        <v>46139</v>
      </c>
      <c r="C36682" s="5" t="str">
        <f>IFERROR(__xludf.DUMMYFUNCTION("GOOGLETRANSLATE(B36682,""en"",""zh-CN"")"),"女人穿着紫色的屎举重。")</f>
        <v>女人穿着紫色的屎举重。</v>
      </c>
    </row>
    <row r="36683">
      <c r="A36683" s="4" t="s">
        <v>46138</v>
      </c>
      <c r="B36683" s="4" t="s">
        <v>46140</v>
      </c>
      <c r="C36683" s="5" t="str">
        <f>IFERROR(__xludf.DUMMYFUNCTION("GOOGLETRANSLATE(B36683,""en"",""zh-CN"")"),"女人坐在楼梯上绑着鞋带。")</f>
        <v>女人坐在楼梯上绑着鞋带。</v>
      </c>
    </row>
    <row r="36684">
      <c r="A36684" s="4" t="s">
        <v>46138</v>
      </c>
      <c r="B36684" s="4" t="s">
        <v>46141</v>
      </c>
      <c r="C36684" s="5" t="str">
        <f>IFERROR(__xludf.DUMMYFUNCTION("GOOGLETRANSLATE(B36684,""en"",""zh-CN"")"),"两个女人在健身房里做运动。")</f>
        <v>两个女人在健身房里做运动。</v>
      </c>
    </row>
    <row r="36685">
      <c r="A36685" s="4" t="s">
        <v>46142</v>
      </c>
      <c r="B36685" s="4" t="s">
        <v>46143</v>
      </c>
      <c r="C36685" s="5" t="str">
        <f>IFERROR(__xludf.DUMMYFUNCTION("GOOGLETRANSLATE(B36685,""en"",""zh-CN"")"),"一个男人向相机说话，并导致一个女人修剪狗的皮毛。")</f>
        <v>一个男人向相机说话，并导致一个女人修剪狗的皮毛。</v>
      </c>
    </row>
    <row r="36686">
      <c r="A36686" s="4" t="s">
        <v>46142</v>
      </c>
      <c r="B36686" s="6" t="s">
        <v>46144</v>
      </c>
      <c r="C36686" s="5" t="str">
        <f>IFERROR(__xludf.DUMMYFUNCTION("GOOGLETRANSLATE(B36686,""en"",""zh-CN"")"),"这些狗的饰有修饰，一名妇女拿着两只兴奋的狗走开时，其他狗的讲话更加对相机说话。")</f>
        <v>这些狗的饰有修饰，一名妇女拿着两只兴奋的狗走开时，其他狗的讲话更加对相机说话。</v>
      </c>
    </row>
    <row r="36687">
      <c r="A36687" s="4" t="s">
        <v>46142</v>
      </c>
      <c r="B36687" s="6" t="s">
        <v>46145</v>
      </c>
      <c r="C36687" s="5" t="str">
        <f>IFERROR(__xludf.DUMMYFUNCTION("GOOGLETRANSLATE(B36687,""en"",""zh-CN"")"),"当男人讲话时，显示了更多的狗射击，并在建筑物周围的摄影机锅中摇晃。")</f>
        <v>当男人讲话时，显示了更多的狗射击，并在建筑物周围的摄影机锅中摇晃。</v>
      </c>
    </row>
    <row r="36688">
      <c r="A36688" s="4" t="s">
        <v>46146</v>
      </c>
      <c r="B36688" s="4" t="s">
        <v>46147</v>
      </c>
      <c r="C36688" s="5" t="str">
        <f>IFERROR(__xludf.DUMMYFUNCTION("GOOGLETRANSLATE(B36688,""en"",""zh-CN"")"),"徽标显示该视频由专家村展示。")</f>
        <v>徽标显示该视频由专家村展示。</v>
      </c>
    </row>
    <row r="36689">
      <c r="A36689" s="4" t="s">
        <v>46146</v>
      </c>
      <c r="B36689" s="6" t="s">
        <v>46148</v>
      </c>
      <c r="C36689" s="5" t="str">
        <f>IFERROR(__xludf.DUMMYFUNCTION("GOOGLETRANSLATE(B36689,""en"",""zh-CN"")"),"一个蓝色船上的男人讨论了一个洞中的手冲浪话题，并给出了有关如何执行此活动的提示。")</f>
        <v>一个蓝色船上的男人讨论了一个洞中的手冲浪话题，并给出了有关如何执行此活动的提示。</v>
      </c>
    </row>
    <row r="36690">
      <c r="A36690" s="4" t="s">
        <v>46146</v>
      </c>
      <c r="B36690" s="4" t="s">
        <v>46149</v>
      </c>
      <c r="C36690" s="5" t="str">
        <f>IFERROR(__xludf.DUMMYFUNCTION("GOOGLETRANSLATE(B36690,""en"",""zh-CN"")"),"该人演示了在执行此活动时可以完成的技巧。")</f>
        <v>该人演示了在执行此活动时可以完成的技巧。</v>
      </c>
    </row>
    <row r="36691">
      <c r="A36691" s="4" t="s">
        <v>46150</v>
      </c>
      <c r="B36691" s="4" t="s">
        <v>46151</v>
      </c>
      <c r="C36691" s="5" t="str">
        <f>IFERROR(__xludf.DUMMYFUNCTION("GOOGLETRANSLATE(B36691,""en"",""zh-CN"")"),"新闻主持人介绍了一个坐在新闻室的桌子上的故事。")</f>
        <v>新闻主持人介绍了一个坐在新闻室的桌子上的故事。</v>
      </c>
    </row>
    <row r="36692">
      <c r="A36692" s="4" t="s">
        <v>46150</v>
      </c>
      <c r="B36692" s="4" t="s">
        <v>46152</v>
      </c>
      <c r="C36692" s="5" t="str">
        <f>IFERROR(__xludf.DUMMYFUNCTION("GOOGLETRANSLATE(B36692,""en"",""zh-CN"")"),"新闻记者在溜冰场上采访了一个男人。")</f>
        <v>新闻记者在溜冰场上采访了一个男人。</v>
      </c>
    </row>
    <row r="36693">
      <c r="A36693" s="4" t="s">
        <v>46150</v>
      </c>
      <c r="B36693" s="4" t="s">
        <v>46153</v>
      </c>
      <c r="C36693" s="5" t="str">
        <f>IFERROR(__xludf.DUMMYFUNCTION("GOOGLETRANSLATE(B36693,""en"",""zh-CN"")"),"一名运动员在冰上滑动一块石头。")</f>
        <v>一名运动员在冰上滑动一块石头。</v>
      </c>
    </row>
    <row r="36694">
      <c r="A36694" s="4" t="s">
        <v>46150</v>
      </c>
      <c r="B36694" s="4" t="s">
        <v>46154</v>
      </c>
      <c r="C36694" s="5" t="str">
        <f>IFERROR(__xludf.DUMMYFUNCTION("GOOGLETRANSLATE(B36694,""en"",""zh-CN"")"),"记者和男人练习用扫帚刷冰。")</f>
        <v>记者和男人练习用扫帚刷冰。</v>
      </c>
    </row>
    <row r="36695">
      <c r="A36695" s="4" t="s">
        <v>46150</v>
      </c>
      <c r="B36695" s="4" t="s">
        <v>46155</v>
      </c>
      <c r="C36695" s="5" t="str">
        <f>IFERROR(__xludf.DUMMYFUNCTION("GOOGLETRANSLATE(B36695,""en"",""zh-CN"")"),"一个女人坐在沙龙里，头发卷曲。")</f>
        <v>一个女人坐在沙龙里，头发卷曲。</v>
      </c>
    </row>
    <row r="36696">
      <c r="A36696" s="4" t="s">
        <v>46150</v>
      </c>
      <c r="B36696" s="4" t="s">
        <v>46156</v>
      </c>
      <c r="C36696" s="5" t="str">
        <f>IFERROR(__xludf.DUMMYFUNCTION("GOOGLETRANSLATE(B36696,""en"",""zh-CN"")"),"改头换面后，卷发是从女人的头发上取出的。")</f>
        <v>改头换面后，卷发是从女人的头发上取出的。</v>
      </c>
    </row>
    <row r="36697">
      <c r="A36697" s="4" t="s">
        <v>46150</v>
      </c>
      <c r="B36697" s="4" t="s">
        <v>46157</v>
      </c>
      <c r="C36697" s="5" t="str">
        <f>IFERROR(__xludf.DUMMYFUNCTION("GOOGLETRANSLATE(B36697,""en"",""zh-CN"")"),"新闻结束了故事。")</f>
        <v>新闻结束了故事。</v>
      </c>
    </row>
    <row r="36698">
      <c r="A36698" s="4" t="s">
        <v>46158</v>
      </c>
      <c r="B36698" s="4" t="s">
        <v>46159</v>
      </c>
      <c r="C36698" s="5" t="str">
        <f>IFERROR(__xludf.DUMMYFUNCTION("GOOGLETRANSLATE(B36698,""en"",""zh-CN"")"),"一群孩子在轨道上，他们练习跳过低光束。")</f>
        <v>一群孩子在轨道上，他们练习跳过低光束。</v>
      </c>
    </row>
    <row r="36699">
      <c r="A36699" s="4" t="s">
        <v>46158</v>
      </c>
      <c r="B36699" s="4" t="s">
        <v>46160</v>
      </c>
      <c r="C36699" s="5" t="str">
        <f>IFERROR(__xludf.DUMMYFUNCTION("GOOGLETRANSLATE(B36699,""en"",""zh-CN"")"),"他们几次执行运动，以慢动作描绘了行为。")</f>
        <v>他们几次执行运动，以慢动作描绘了行为。</v>
      </c>
    </row>
    <row r="36700">
      <c r="A36700" s="4" t="s">
        <v>46161</v>
      </c>
      <c r="B36700" s="6" t="s">
        <v>46162</v>
      </c>
      <c r="C36700" s="5" t="str">
        <f>IFERROR(__xludf.DUMMYFUNCTION("GOOGLETRANSLATE(B36700,""en"",""zh-CN"")"),"当另一个人走进框架时，看到两个人穿着摄像机说话。")</f>
        <v>当另一个人走进框架时，看到两个人穿着摄像机说话。</v>
      </c>
    </row>
    <row r="36701">
      <c r="A36701" s="4" t="s">
        <v>46161</v>
      </c>
      <c r="B36701" s="4" t="s">
        <v>46163</v>
      </c>
      <c r="C36701" s="5" t="str">
        <f>IFERROR(__xludf.DUMMYFUNCTION("GOOGLETRANSLATE(B36701,""en"",""zh-CN"")"),"然后，两个人在服装中互相战斗，彼此碰到。")</f>
        <v>然后，两个人在服装中互相战斗，彼此碰到。</v>
      </c>
    </row>
    <row r="36702">
      <c r="A36702" s="4" t="s">
        <v>46161</v>
      </c>
      <c r="B36702" s="4" t="s">
        <v>46164</v>
      </c>
      <c r="C36702" s="5" t="str">
        <f>IFERROR(__xludf.DUMMYFUNCTION("GOOGLETRANSLATE(B36702,""en"",""zh-CN"")"),"一个人在地面上敲另一个人，露出摔跤的举动。")</f>
        <v>一个人在地面上敲另一个人，露出摔跤的举动。</v>
      </c>
    </row>
    <row r="36703">
      <c r="A36703" s="4" t="s">
        <v>46165</v>
      </c>
      <c r="B36703" s="4" t="s">
        <v>46166</v>
      </c>
      <c r="C36703" s="5" t="str">
        <f>IFERROR(__xludf.DUMMYFUNCTION("GOOGLETRANSLATE(B36703,""en"",""zh-CN"")"),"看到一个运动员挥舞着一只手臂向上挥舞着梁。")</f>
        <v>看到一个运动员挥舞着一只手臂向上挥舞着梁。</v>
      </c>
    </row>
    <row r="36704">
      <c r="A36704" s="4" t="s">
        <v>46165</v>
      </c>
      <c r="B36704" s="6" t="s">
        <v>46167</v>
      </c>
      <c r="C36704" s="5" t="str">
        <f>IFERROR(__xludf.DUMMYFUNCTION("GOOGLETRANSLATE(B36704,""en"",""zh-CN"")"),"然后，那个男人在横梁上旋转，表演了一个体操，最后他跳到侧面，举起手臂，微笑着向人群挥手。")</f>
        <v>然后，那个男人在横梁上旋转，表演了一个体操，最后他跳到侧面，举起手臂，微笑着向人群挥手。</v>
      </c>
    </row>
    <row r="36705">
      <c r="A36705" s="4" t="s">
        <v>46168</v>
      </c>
      <c r="B36705" s="4" t="s">
        <v>46169</v>
      </c>
      <c r="C36705" s="5" t="str">
        <f>IFERROR(__xludf.DUMMYFUNCTION("GOOGLETRANSLATE(B36705,""en"",""zh-CN"")"),"看到一个男人站在一个进球中，随后一个人踢骨。")</f>
        <v>看到一个男人站在一个进球中，随后一个人踢骨。</v>
      </c>
    </row>
    <row r="36706">
      <c r="A36706" s="4" t="s">
        <v>46168</v>
      </c>
      <c r="B36706" s="4" t="s">
        <v>46170</v>
      </c>
      <c r="C36706" s="5" t="str">
        <f>IFERROR(__xludf.DUMMYFUNCTION("GOOGLETRANSLATE(B36706,""en"",""zh-CN"")"),"人们显示了更多的剪辑，人们在人们看着侧面时向球门踢球。")</f>
        <v>人们显示了更多的剪辑，人们在人们看着侧面时向球门踢球。</v>
      </c>
    </row>
    <row r="36707">
      <c r="A36707" s="4" t="s">
        <v>46168</v>
      </c>
      <c r="B36707" s="4" t="s">
        <v>46171</v>
      </c>
      <c r="C36707" s="5" t="str">
        <f>IFERROR(__xludf.DUMMYFUNCTION("GOOGLETRANSLATE(B36707,""en"",""zh-CN"")"),"又有几个人轮流踢球，结束时，所有人一起奔跑并欢呼。")</f>
        <v>又有几个人轮流踢球，结束时，所有人一起奔跑并欢呼。</v>
      </c>
    </row>
    <row r="36708">
      <c r="A36708" s="4" t="s">
        <v>46172</v>
      </c>
      <c r="B36708" s="4" t="s">
        <v>46173</v>
      </c>
      <c r="C36708" s="5" t="str">
        <f>IFERROR(__xludf.DUMMYFUNCTION("GOOGLETRANSLATE(B36708,""en"",""zh-CN"")"),"一辆汽车在拍摄几座白雪皑皑的房屋和树木时在另一辆车后面开车。")</f>
        <v>一辆汽车在拍摄几座白雪皑皑的房屋和树木时在另一辆车后面开车。</v>
      </c>
    </row>
    <row r="36709">
      <c r="A36709" s="4" t="s">
        <v>46172</v>
      </c>
      <c r="B36709" s="4" t="s">
        <v>46174</v>
      </c>
      <c r="C36709" s="5" t="str">
        <f>IFERROR(__xludf.DUMMYFUNCTION("GOOGLETRANSLATE(B36709,""en"",""zh-CN"")"),"最终，显示了两个滑雪板，从而跳下了跳跃和窍门。")</f>
        <v>最终，显示了两个滑雪板，从而跳下了跳跃和窍门。</v>
      </c>
    </row>
    <row r="36710">
      <c r="A36710" s="4" t="s">
        <v>46172</v>
      </c>
      <c r="B36710" s="4" t="s">
        <v>46175</v>
      </c>
      <c r="C36710" s="5" t="str">
        <f>IFERROR(__xludf.DUMMYFUNCTION("GOOGLETRANSLATE(B36710,""en"",""zh-CN"")"),"另一个人进行了几次翻转和窍门，而另一个则在山上表现同样。")</f>
        <v>另一个人进行了几次翻转和窍门，而另一个则在山上表现同样。</v>
      </c>
    </row>
    <row r="36711">
      <c r="A36711" s="4" t="s">
        <v>46176</v>
      </c>
      <c r="B36711" s="4" t="s">
        <v>46177</v>
      </c>
      <c r="C36711" s="5" t="str">
        <f>IFERROR(__xludf.DUMMYFUNCTION("GOOGLETRANSLATE(B36711,""en"",""zh-CN"")"),"一个男人坐在椅子上，而一个站立的人则在胡须上使用电动剃须刀。")</f>
        <v>一个男人坐在椅子上，而一个站立的人则在胡须上使用电动剃须刀。</v>
      </c>
    </row>
    <row r="36712">
      <c r="A36712" s="4" t="s">
        <v>46176</v>
      </c>
      <c r="B36712" s="4" t="s">
        <v>46178</v>
      </c>
      <c r="C36712" s="5" t="str">
        <f>IFERROR(__xludf.DUMMYFUNCTION("GOOGLETRANSLATE(B36712,""en"",""zh-CN"")"),"该男子轻轻剃光另一个男人的胡须，直到它消失了。")</f>
        <v>该男子轻轻剃光另一个男人的胡须，直到它消失了。</v>
      </c>
    </row>
    <row r="36713">
      <c r="A36713" s="4" t="s">
        <v>46176</v>
      </c>
      <c r="B36713" s="4" t="s">
        <v>46179</v>
      </c>
      <c r="C36713" s="5" t="str">
        <f>IFERROR(__xludf.DUMMYFUNCTION("GOOGLETRANSLATE(B36713,""en"",""zh-CN"")"),"该男子坐在椅子上，站起来之前擦掉自己。")</f>
        <v>该男子坐在椅子上，站起来之前擦掉自己。</v>
      </c>
    </row>
    <row r="36714">
      <c r="A36714" s="4" t="s">
        <v>46180</v>
      </c>
      <c r="B36714" s="6" t="s">
        <v>46181</v>
      </c>
      <c r="C36714" s="5" t="str">
        <f>IFERROR(__xludf.DUMMYFUNCTION("GOOGLETRANSLATE(B36714,""en"",""zh-CN"")"),"当一个人弯腰以平衡球时，看到两个人站在球前的田野上。")</f>
        <v>当一个人弯腰以平衡球时，看到两个人站在球前的田野上。</v>
      </c>
    </row>
    <row r="36715">
      <c r="A36715" s="4" t="s">
        <v>46180</v>
      </c>
      <c r="B36715" s="4" t="s">
        <v>46182</v>
      </c>
      <c r="C36715" s="5" t="str">
        <f>IFERROR(__xludf.DUMMYFUNCTION("GOOGLETRANSLATE(B36715,""en"",""zh-CN"")"),"然后，该名女子在男人的帮助下在球上进行练习。")</f>
        <v>然后，该名女子在男人的帮助下在球上进行练习。</v>
      </c>
    </row>
    <row r="36716">
      <c r="A36716" s="4" t="s">
        <v>46183</v>
      </c>
      <c r="B36716" s="4" t="s">
        <v>46184</v>
      </c>
      <c r="C36716" s="5" t="str">
        <f>IFERROR(__xludf.DUMMYFUNCTION("GOOGLETRANSLATE(B36716,""en"",""zh-CN"")"),"几张关于一个男人滑水和通往他在镜头说话的照片。")</f>
        <v>几张关于一个男人滑水和通往他在镜头说话的照片。</v>
      </c>
    </row>
    <row r="36717">
      <c r="A36717" s="4" t="s">
        <v>46183</v>
      </c>
      <c r="B36717" s="4" t="s">
        <v>46185</v>
      </c>
      <c r="C36717" s="5" t="str">
        <f>IFERROR(__xludf.DUMMYFUNCTION("GOOGLETRANSLATE(B36717,""en"",""zh-CN"")"),"他演示了如何在草坪上正确执行动作。")</f>
        <v>他演示了如何在草坪上正确执行动作。</v>
      </c>
    </row>
    <row r="36718">
      <c r="A36718" s="4" t="s">
        <v>46183</v>
      </c>
      <c r="B36718" s="4" t="s">
        <v>46186</v>
      </c>
      <c r="C36718" s="5" t="str">
        <f>IFERROR(__xludf.DUMMYFUNCTION("GOOGLETRANSLATE(B36718,""en"",""zh-CN"")"),"它跟随那个在滑水板上骑行的人。")</f>
        <v>它跟随那个在滑水板上骑行的人。</v>
      </c>
    </row>
    <row r="36719">
      <c r="A36719" s="4" t="s">
        <v>46187</v>
      </c>
      <c r="B36719" s="4" t="s">
        <v>46188</v>
      </c>
      <c r="C36719" s="5" t="str">
        <f>IFERROR(__xludf.DUMMYFUNCTION("GOOGLETRANSLATE(B36719,""en"",""zh-CN"")"),"一个人站在人群面前，指着斗牛戒指的布局。")</f>
        <v>一个人站在人群面前，指着斗牛戒指的布局。</v>
      </c>
    </row>
    <row r="36720">
      <c r="A36720" s="4" t="s">
        <v>46187</v>
      </c>
      <c r="B36720" s="6" t="s">
        <v>46189</v>
      </c>
      <c r="C36720" s="5" t="str">
        <f>IFERROR(__xludf.DUMMYFUNCTION("GOOGLETRANSLATE(B36720,""en"",""zh-CN"")"),"斗牛的演示是由一个带有粉红色斗篷的男人和一个带有轮子的假牛对象进行的。")</f>
        <v>斗牛的演示是由一个带有粉红色斗篷的男人和一个带有轮子的假牛对象进行的。</v>
      </c>
    </row>
    <row r="36721">
      <c r="A36721" s="4" t="s">
        <v>46187</v>
      </c>
      <c r="B36721" s="4" t="s">
        <v>46190</v>
      </c>
      <c r="C36721" s="5" t="str">
        <f>IFERROR(__xludf.DUMMYFUNCTION("GOOGLETRANSLATE(B36721,""en"",""zh-CN"")"),"然后，牛头人演示了如何在公牛上使用剑。")</f>
        <v>然后，牛头人演示了如何在公牛上使用剑。</v>
      </c>
    </row>
    <row r="36722">
      <c r="A36722" s="4" t="s">
        <v>46187</v>
      </c>
      <c r="B36722" s="4" t="s">
        <v>46191</v>
      </c>
      <c r="C36722" s="5" t="str">
        <f>IFERROR(__xludf.DUMMYFUNCTION("GOOGLETRANSLATE(B36722,""en"",""zh-CN"")"),"然后，学生想尝试一下。")</f>
        <v>然后，学生想尝试一下。</v>
      </c>
    </row>
    <row r="36723">
      <c r="A36723" s="4" t="s">
        <v>46192</v>
      </c>
      <c r="B36723" s="4" t="s">
        <v>46193</v>
      </c>
      <c r="C36723" s="5" t="str">
        <f>IFERROR(__xludf.DUMMYFUNCTION("GOOGLETRANSLATE(B36723,""en"",""zh-CN"")"),"看到两名男子使用拳击手套和垫子在一组垫子上进行反击和第四名。")</f>
        <v>看到两名男子使用拳击手套和垫子在一组垫子上进行反击和第四名。</v>
      </c>
    </row>
    <row r="36724">
      <c r="A36724" s="4" t="s">
        <v>46192</v>
      </c>
      <c r="B36724" s="6" t="s">
        <v>46194</v>
      </c>
      <c r="C36724" s="5" t="str">
        <f>IFERROR(__xludf.DUMMYFUNCTION("GOOGLETRANSLATE(B36724,""en"",""zh-CN"")"),"当相机继续跟随他们时，这些人继续猛击和踢第四。")</f>
        <v>当相机继续跟随他们时，这些人继续猛击和踢第四。</v>
      </c>
    </row>
    <row r="36725">
      <c r="A36725" s="4" t="s">
        <v>46195</v>
      </c>
      <c r="B36725" s="4" t="s">
        <v>46196</v>
      </c>
      <c r="C36725" s="5" t="str">
        <f>IFERROR(__xludf.DUMMYFUNCTION("GOOGLETRANSLATE(B36725,""en"",""zh-CN"")"),"看到一个女孩跪在镜头前，进入她的房子里走来走去。")</f>
        <v>看到一个女孩跪在镜头前，进入她的房子里走来走去。</v>
      </c>
    </row>
    <row r="36726">
      <c r="A36726" s="4" t="s">
        <v>46195</v>
      </c>
      <c r="B36726" s="4" t="s">
        <v>46197</v>
      </c>
      <c r="C36726" s="5" t="str">
        <f>IFERROR(__xludf.DUMMYFUNCTION("GOOGLETRANSLATE(B36726,""en"",""zh-CN"")"),"她放大了一个烤箱，并显示出一个锅中的锅。")</f>
        <v>她放大了一个烤箱，并显示出一个锅中的锅。</v>
      </c>
    </row>
    <row r="36727">
      <c r="A36727" s="4" t="s">
        <v>46195</v>
      </c>
      <c r="B36727" s="4" t="s">
        <v>46198</v>
      </c>
      <c r="C36727" s="5" t="str">
        <f>IFERROR(__xludf.DUMMYFUNCTION("GOOGLETRANSLATE(B36727,""en"",""zh-CN"")"),"她拿出一个盘子清理，然后抓住饼干并将其放在盘子上。")</f>
        <v>她拿出一个盘子清理，然后抓住饼干并将其放在盘子上。</v>
      </c>
    </row>
    <row r="36728">
      <c r="A36728" s="4" t="s">
        <v>46199</v>
      </c>
      <c r="B36728" s="4" t="s">
        <v>46200</v>
      </c>
      <c r="C36728" s="5" t="str">
        <f>IFERROR(__xludf.DUMMYFUNCTION("GOOGLETRANSLATE(B36728,""en"",""zh-CN"")"),"一群孩子骑着碰碰车。")</f>
        <v>一群孩子骑着碰碰车。</v>
      </c>
    </row>
    <row r="36729">
      <c r="A36729" s="4" t="s">
        <v>46199</v>
      </c>
      <c r="B36729" s="4" t="s">
        <v>46201</v>
      </c>
      <c r="C36729" s="5" t="str">
        <f>IFERROR(__xludf.DUMMYFUNCTION("GOOGLETRANSLATE(B36729,""en"",""zh-CN"")"),"他们旋转并移动，互相击中。")</f>
        <v>他们旋转并移动，互相击中。</v>
      </c>
    </row>
    <row r="36730">
      <c r="A36730" s="4" t="s">
        <v>46199</v>
      </c>
      <c r="B36730" s="4" t="s">
        <v>46202</v>
      </c>
      <c r="C36730" s="5" t="str">
        <f>IFERROR(__xludf.DUMMYFUNCTION("GOOGLETRANSLATE(B36730,""en"",""zh-CN"")"),"孩子们碰撞时，孩子们互相笑着。")</f>
        <v>孩子们碰撞时，孩子们互相笑着。</v>
      </c>
    </row>
    <row r="36731">
      <c r="A36731" s="4" t="s">
        <v>46203</v>
      </c>
      <c r="B36731" s="4" t="s">
        <v>40853</v>
      </c>
      <c r="C36731" s="5" t="str">
        <f>IFERROR(__xludf.DUMMYFUNCTION("GOOGLETRANSLATE(B36731,""en"",""zh-CN"")"),"一匹马上的牛仔从大门释放。")</f>
        <v>一匹马上的牛仔从大门释放。</v>
      </c>
    </row>
    <row r="36732">
      <c r="A36732" s="4" t="s">
        <v>46203</v>
      </c>
      <c r="B36732" s="4" t="s">
        <v>46204</v>
      </c>
      <c r="C36732" s="5" t="str">
        <f>IFERROR(__xludf.DUMMYFUNCTION("GOOGLETRANSLATE(B36732,""en"",""zh-CN"")"),"他在泥土上抚摸着一只年轻的小牛。")</f>
        <v>他在泥土上抚摸着一只年轻的小牛。</v>
      </c>
    </row>
    <row r="36733">
      <c r="A36733" s="4" t="s">
        <v>46203</v>
      </c>
      <c r="B36733" s="4" t="s">
        <v>46205</v>
      </c>
      <c r="C36733" s="5" t="str">
        <f>IFERROR(__xludf.DUMMYFUNCTION("GOOGLETRANSLATE(B36733,""en"",""zh-CN"")"),"他跳下马，绑着小牛。")</f>
        <v>他跳下马，绑着小牛。</v>
      </c>
    </row>
    <row r="36734">
      <c r="A36734" s="4" t="s">
        <v>46206</v>
      </c>
      <c r="B36734" s="6" t="s">
        <v>46207</v>
      </c>
      <c r="C36734" s="5" t="str">
        <f>IFERROR(__xludf.DUMMYFUNCTION("GOOGLETRANSLATE(B36734,""en"",""zh-CN"")"),"有人站在一个大型室内法院，在两个不同的方面，球场中间有球。")</f>
        <v>有人站在一个大型室内法院，在两个不同的方面，球场中间有球。</v>
      </c>
    </row>
    <row r="36735">
      <c r="A36735" s="4" t="s">
        <v>46206</v>
      </c>
      <c r="B36735" s="6" t="s">
        <v>46208</v>
      </c>
      <c r="C36735" s="5" t="str">
        <f>IFERROR(__xludf.DUMMYFUNCTION("GOOGLETRANSLATE(B36735,""en"",""zh-CN"")"),"突然，人们开始朝球跑来，他们开始打道奇球，捡起它们，将它们扔给彼此，直到其中一支球队只有1人站立。")</f>
        <v>突然，人们开始朝球跑来，他们开始打道奇球，捡起它们，将它们扔给彼此，直到其中一支球队只有1人站立。</v>
      </c>
    </row>
    <row r="36736">
      <c r="A36736" s="4" t="s">
        <v>46206</v>
      </c>
      <c r="B36736" s="6" t="s">
        <v>46209</v>
      </c>
      <c r="C36736" s="5" t="str">
        <f>IFERROR(__xludf.DUMMYFUNCTION("GOOGLETRANSLATE(B36736,""en"",""zh-CN"")"),"只有一个人仍然排名第一，他试图用球击中其他球队，而回报也是如此，他们来回这样做，直到一个红球终于击中了最后一个站在球队上的人，他撞到地板。")</f>
        <v>只有一个人仍然排名第一，他试图用球击中其他球队，而回报也是如此，他们来回这样做，直到一个红球终于击中了最后一个站在球队上的人，他撞到地板。</v>
      </c>
    </row>
    <row r="36737">
      <c r="A36737" s="4" t="s">
        <v>46210</v>
      </c>
      <c r="B36737" s="4" t="s">
        <v>46211</v>
      </c>
      <c r="C36737" s="5" t="str">
        <f>IFERROR(__xludf.DUMMYFUNCTION("GOOGLETRANSLATE(B36737,""en"",""zh-CN"")"),"男人正站在木制法庭上与镜头交谈。")</f>
        <v>男人正站在木制法庭上与镜头交谈。</v>
      </c>
    </row>
    <row r="36738">
      <c r="A36738" s="4" t="s">
        <v>46210</v>
      </c>
      <c r="B36738" s="4" t="s">
        <v>46212</v>
      </c>
      <c r="C36738" s="5" t="str">
        <f>IFERROR(__xludf.DUMMYFUNCTION("GOOGLETRANSLATE(B36738,""en"",""zh-CN"")"),"男人在一个房间里拿着球拍在他的手上。")</f>
        <v>男人在一个房间里拿着球拍在他的手上。</v>
      </c>
    </row>
    <row r="36739">
      <c r="A36739" s="4" t="s">
        <v>46210</v>
      </c>
      <c r="B36739" s="4" t="s">
        <v>46213</v>
      </c>
      <c r="C36739" s="5" t="str">
        <f>IFERROR(__xludf.DUMMYFUNCTION("GOOGLETRANSLATE(B36739,""en"",""zh-CN"")"),"该男子拿着球拍，正在与镜头交谈。")</f>
        <v>该男子拿着球拍，正在与镜头交谈。</v>
      </c>
    </row>
    <row r="36740">
      <c r="A36740" s="4" t="s">
        <v>46214</v>
      </c>
      <c r="B36740" s="6" t="s">
        <v>46215</v>
      </c>
      <c r="C36740" s="5" t="str">
        <f>IFERROR(__xludf.DUMMYFUNCTION("GOOGLETRANSLATE(B36740,""en"",""zh-CN"")"),"看到一支乐队在舞台上表演，而相机则在漫步并从几个角度捕获它们。")</f>
        <v>看到一支乐队在舞台上表演，而相机则在漫步并从几个角度捕获它们。</v>
      </c>
    </row>
    <row r="36741">
      <c r="A36741" s="4" t="s">
        <v>46214</v>
      </c>
      <c r="B36741" s="4" t="s">
        <v>46216</v>
      </c>
      <c r="C36741" s="5" t="str">
        <f>IFERROR(__xludf.DUMMYFUNCTION("GOOGLETRANSLATE(B36741,""en"",""zh-CN"")"),"这位歌手与乐队互动，并在观众欢呼时继续演奏。")</f>
        <v>这位歌手与乐队互动，并在观众欢呼时继续演奏。</v>
      </c>
    </row>
    <row r="36742">
      <c r="A36742" s="4" t="s">
        <v>46217</v>
      </c>
      <c r="B36742" s="4" t="s">
        <v>46218</v>
      </c>
      <c r="C36742" s="5" t="str">
        <f>IFERROR(__xludf.DUMMYFUNCTION("GOOGLETRANSLATE(B36742,""en"",""zh-CN"")"),"一个人在桨的帮助下在水中的皮划艇中转弯。")</f>
        <v>一个人在桨的帮助下在水中的皮划艇中转弯。</v>
      </c>
    </row>
    <row r="36743">
      <c r="A36743" s="4" t="s">
        <v>46217</v>
      </c>
      <c r="B36743" s="4" t="s">
        <v>46219</v>
      </c>
      <c r="C36743" s="5" t="str">
        <f>IFERROR(__xludf.DUMMYFUNCTION("GOOGLETRANSLATE(B36743,""en"",""zh-CN"")"),"然后，男人解释并移动桨。")</f>
        <v>然后，男人解释并移动桨。</v>
      </c>
    </row>
    <row r="36744">
      <c r="A36744" s="4" t="s">
        <v>46217</v>
      </c>
      <c r="B36744" s="4" t="s">
        <v>46220</v>
      </c>
      <c r="C36744" s="5" t="str">
        <f>IFERROR(__xludf.DUMMYFUNCTION("GOOGLETRANSLATE(B36744,""en"",""zh-CN"")"),"该男子开始在河上划船并转动皮划艇之后。")</f>
        <v>该男子开始在河上划船并转动皮划艇之后。</v>
      </c>
    </row>
    <row r="36745">
      <c r="A36745" s="4" t="s">
        <v>46221</v>
      </c>
      <c r="B36745" s="4" t="s">
        <v>46222</v>
      </c>
      <c r="C36745" s="5" t="str">
        <f>IFERROR(__xludf.DUMMYFUNCTION("GOOGLETRANSLATE(B36745,""en"",""zh-CN"")"),"男人正站在戴着高跷的面包车上。")</f>
        <v>男人正站在戴着高跷的面包车上。</v>
      </c>
    </row>
    <row r="36746">
      <c r="A36746" s="4" t="s">
        <v>46221</v>
      </c>
      <c r="B36746" s="4" t="s">
        <v>46223</v>
      </c>
      <c r="C36746" s="5" t="str">
        <f>IFERROR(__xludf.DUMMYFUNCTION("GOOGLETRANSLATE(B36746,""en"",""zh-CN"")"),"另一个男人坐在面包车的后部，将高跷放在他的脚上。")</f>
        <v>另一个男人坐在面包车的后部，将高跷放在他的脚上。</v>
      </c>
    </row>
    <row r="36747">
      <c r="A36747" s="4" t="s">
        <v>46221</v>
      </c>
      <c r="B36747" s="4" t="s">
        <v>46224</v>
      </c>
      <c r="C36747" s="5" t="str">
        <f>IFERROR(__xludf.DUMMYFUNCTION("GOOGLETRANSLATE(B36747,""en"",""zh-CN"")"),"穿着高跷的男人正在停车场走到街道上。")</f>
        <v>穿着高跷的男人正在停车场走到街道上。</v>
      </c>
    </row>
    <row r="36748">
      <c r="A36748" s="4" t="s">
        <v>46221</v>
      </c>
      <c r="B36748" s="4" t="s">
        <v>46225</v>
      </c>
      <c r="C36748" s="5" t="str">
        <f>IFERROR(__xludf.DUMMYFUNCTION("GOOGLETRANSLATE(B36748,""en"",""zh-CN"")"),"男人跪在街上，开始沿着铺好的斜坡跳下来。")</f>
        <v>男人跪在街上，开始沿着铺好的斜坡跳下来。</v>
      </c>
    </row>
    <row r="36749">
      <c r="A36749" s="4" t="s">
        <v>46226</v>
      </c>
      <c r="B36749" s="6" t="s">
        <v>46227</v>
      </c>
      <c r="C36749" s="5" t="str">
        <f>IFERROR(__xludf.DUMMYFUNCTION("GOOGLETRANSLATE(B36749,""en"",""zh-CN"")"),"女人站在厨房里与镜头说话，展示柠檬，罐子和柜台上的碗。")</f>
        <v>女人站在厨房里与镜头说话，展示柠檬，罐子和柜台上的碗。</v>
      </c>
    </row>
    <row r="36750">
      <c r="A36750" s="4" t="s">
        <v>46226</v>
      </c>
      <c r="B36750" s="4" t="s">
        <v>46228</v>
      </c>
      <c r="C36750" s="5" t="str">
        <f>IFERROR(__xludf.DUMMYFUNCTION("GOOGLETRANSLATE(B36750,""en"",""zh-CN"")"),"女人正在将柠檬挤入碗中和水中。")</f>
        <v>女人正在将柠檬挤入碗中和水中。</v>
      </c>
    </row>
    <row r="36751">
      <c r="A36751" s="4" t="s">
        <v>46226</v>
      </c>
      <c r="B36751" s="4" t="s">
        <v>46229</v>
      </c>
      <c r="C36751" s="5" t="str">
        <f>IFERROR(__xludf.DUMMYFUNCTION("GOOGLETRANSLATE(B36751,""en"",""zh-CN"")"),"女人是炉子的前面，将糖倒入锅中的水中，直到煮沸。")</f>
        <v>女人是炉子的前面，将糖倒入锅中的水中，直到煮沸。</v>
      </c>
    </row>
    <row r="36752">
      <c r="A36752" s="4" t="s">
        <v>46226</v>
      </c>
      <c r="B36752" s="4" t="s">
        <v>46230</v>
      </c>
      <c r="C36752" s="5" t="str">
        <f>IFERROR(__xludf.DUMMYFUNCTION("GOOGLETRANSLATE(B36752,""en"",""zh-CN"")"),"女人用冰将糖倒在罐子里。")</f>
        <v>女人用冰将糖倒在罐子里。</v>
      </c>
    </row>
    <row r="36753">
      <c r="A36753" s="4" t="s">
        <v>46231</v>
      </c>
      <c r="B36753" s="4" t="s">
        <v>46232</v>
      </c>
      <c r="C36753" s="5" t="str">
        <f>IFERROR(__xludf.DUMMYFUNCTION("GOOGLETRANSLATE(B36753,""en"",""zh-CN"")"),"一个人用水弄湿汽车，然后用长挤压器将洗涤剂放在汽车上。")</f>
        <v>一个人用水弄湿汽车，然后用长挤压器将洗涤剂放在汽车上。</v>
      </c>
    </row>
    <row r="36754">
      <c r="A36754" s="4" t="s">
        <v>46231</v>
      </c>
      <c r="B36754" s="4" t="s">
        <v>46233</v>
      </c>
      <c r="C36754" s="5" t="str">
        <f>IFERROR(__xludf.DUMMYFUNCTION("GOOGLETRANSLATE(B36754,""en"",""zh-CN"")"),"该男子用水冲洗汽车。")</f>
        <v>该男子用水冲洗汽车。</v>
      </c>
    </row>
    <row r="36755">
      <c r="A36755" s="4" t="s">
        <v>46231</v>
      </c>
      <c r="B36755" s="4" t="s">
        <v>46234</v>
      </c>
      <c r="C36755" s="5" t="str">
        <f>IFERROR(__xludf.DUMMYFUNCTION("GOOGLETRANSLATE(B36755,""en"",""zh-CN"")"),"然后，该男子再次用肥皂清洁，第二次为汽车浇水。")</f>
        <v>然后，该男子再次用肥皂清洁，第二次为汽车浇水。</v>
      </c>
    </row>
    <row r="36756">
      <c r="A36756" s="4" t="s">
        <v>46231</v>
      </c>
      <c r="B36756" s="4" t="s">
        <v>46235</v>
      </c>
      <c r="C36756" s="5" t="str">
        <f>IFERROR(__xludf.DUMMYFUNCTION("GOOGLETRANSLATE(B36756,""en"",""zh-CN"")"),"该男子用布清洗，用水冲洗汽车的轮辋。")</f>
        <v>该男子用布清洗，用水冲洗汽车的轮辋。</v>
      </c>
    </row>
    <row r="36757">
      <c r="A36757" s="4" t="s">
        <v>46231</v>
      </c>
      <c r="B36757" s="4" t="s">
        <v>46236</v>
      </c>
      <c r="C36757" s="5" t="str">
        <f>IFERROR(__xludf.DUMMYFUNCTION("GOOGLETRANSLATE(B36757,""en"",""zh-CN"")"),"之后，那个男人用布手动将汽车擦干。")</f>
        <v>之后，那个男人用布手动将汽车擦干。</v>
      </c>
    </row>
    <row r="36758">
      <c r="A36758" s="4" t="s">
        <v>46231</v>
      </c>
      <c r="B36758" s="4" t="s">
        <v>46237</v>
      </c>
      <c r="C36758" s="5" t="str">
        <f>IFERROR(__xludf.DUMMYFUNCTION("GOOGLETRANSLATE(B36758,""en"",""zh-CN"")"),"接下来，该男子在车内清洗，然后开车。")</f>
        <v>接下来，该男子在车内清洗，然后开车。</v>
      </c>
    </row>
    <row r="36759">
      <c r="A36759" s="4" t="s">
        <v>46238</v>
      </c>
      <c r="B36759" s="4" t="s">
        <v>46239</v>
      </c>
      <c r="C36759" s="5" t="str">
        <f>IFERROR(__xludf.DUMMYFUNCTION("GOOGLETRANSLATE(B36759,""en"",""zh-CN"")"),"一个男人坐在桌子上。")</f>
        <v>一个男人坐在桌子上。</v>
      </c>
    </row>
    <row r="36760">
      <c r="A36760" s="4" t="s">
        <v>46238</v>
      </c>
      <c r="B36760" s="4" t="s">
        <v>46240</v>
      </c>
      <c r="C36760" s="5" t="str">
        <f>IFERROR(__xludf.DUMMYFUNCTION("GOOGLETRANSLATE(B36760,""en"",""zh-CN"")"),"这个人现在站着，倒入稀薄的抹布，用抹布擦拭桌子。")</f>
        <v>这个人现在站着，倒入稀薄的抹布，用抹布擦拭桌子。</v>
      </c>
    </row>
    <row r="36761">
      <c r="A36761" s="4" t="s">
        <v>46238</v>
      </c>
      <c r="B36761" s="4" t="s">
        <v>46241</v>
      </c>
      <c r="C36761" s="5" t="str">
        <f>IFERROR(__xludf.DUMMYFUNCTION("GOOGLETRANSLATE(B36761,""en"",""zh-CN"")"),"那个男人说话时再次坐在桌子上。")</f>
        <v>那个男人说话时再次坐在桌子上。</v>
      </c>
    </row>
    <row r="36762">
      <c r="A36762" s="4" t="s">
        <v>46238</v>
      </c>
      <c r="B36762" s="4" t="s">
        <v>46242</v>
      </c>
      <c r="C36762" s="5" t="str">
        <f>IFERROR(__xludf.DUMMYFUNCTION("GOOGLETRANSLATE(B36762,""en"",""zh-CN"")"),"现在，他站在桌子上放抛光剂并闪闪发光。")</f>
        <v>现在，他站在桌子上放抛光剂并闪闪发光。</v>
      </c>
    </row>
    <row r="36763">
      <c r="A36763" s="4" t="s">
        <v>46238</v>
      </c>
      <c r="B36763" s="4" t="s">
        <v>46243</v>
      </c>
      <c r="C36763" s="5" t="str">
        <f>IFERROR(__xludf.DUMMYFUNCTION("GOOGLETRANSLATE(B36763,""en"",""zh-CN"")"),"然后，他用刷子清洁桌腿。")</f>
        <v>然后，他用刷子清洁桌腿。</v>
      </c>
    </row>
    <row r="36764">
      <c r="A36764" s="4" t="s">
        <v>46238</v>
      </c>
      <c r="B36764" s="4" t="s">
        <v>46244</v>
      </c>
      <c r="C36764" s="5" t="str">
        <f>IFERROR(__xludf.DUMMYFUNCTION("GOOGLETRANSLATE(B36764,""en"",""zh-CN"")"),"他坐在桌子旁说话。")</f>
        <v>他坐在桌子旁说话。</v>
      </c>
    </row>
    <row r="36765">
      <c r="A36765" s="4" t="s">
        <v>46238</v>
      </c>
      <c r="B36765" s="4" t="s">
        <v>46245</v>
      </c>
      <c r="C36765" s="5" t="str">
        <f>IFERROR(__xludf.DUMMYFUNCTION("GOOGLETRANSLATE(B36765,""en"",""zh-CN"")"),"场景发生了变化，看到该人站在车库里。")</f>
        <v>场景发生了变化，看到该人站在车库里。</v>
      </c>
    </row>
    <row r="36766">
      <c r="A36766" s="4" t="s">
        <v>46246</v>
      </c>
      <c r="B36766" s="6" t="s">
        <v>46247</v>
      </c>
      <c r="C36766" s="5" t="str">
        <f>IFERROR(__xludf.DUMMYFUNCTION("GOOGLETRANSLATE(B36766,""en"",""zh-CN"")"),"看到两个人骑在独木舟上，将桨推向水面，看着相机。")</f>
        <v>看到两个人骑在独木舟上，将桨推向水面，看着相机。</v>
      </c>
    </row>
    <row r="36767">
      <c r="A36767" s="4" t="s">
        <v>46246</v>
      </c>
      <c r="B36767" s="6" t="s">
        <v>46248</v>
      </c>
      <c r="C36767" s="5" t="str">
        <f>IFERROR(__xludf.DUMMYFUNCTION("GOOGLETRANSLATE(B36767,""en"",""zh-CN"")"),"展示了更多的风景片段，以及骑着他人并与他人见面的人们。")</f>
        <v>展示了更多的风景片段，以及骑着他人并与他人见面的人们。</v>
      </c>
    </row>
    <row r="36768">
      <c r="A36768" s="4" t="s">
        <v>46249</v>
      </c>
      <c r="B36768" s="6" t="s">
        <v>46250</v>
      </c>
      <c r="C36768" s="5" t="str">
        <f>IFERROR(__xludf.DUMMYFUNCTION("GOOGLETRANSLATE(B36768,""en"",""zh-CN"")"),"看到一大批人站在芭蕾舞室周围，并导致四人表演舞蹈。")</f>
        <v>看到一大批人站在芭蕾舞室周围，并导致四人表演舞蹈。</v>
      </c>
    </row>
    <row r="36769">
      <c r="A36769" s="4" t="s">
        <v>46249</v>
      </c>
      <c r="B36769" s="4" t="s">
        <v>46251</v>
      </c>
      <c r="C36769" s="5" t="str">
        <f>IFERROR(__xludf.DUMMYFUNCTION("GOOGLETRANSLATE(B36769,""en"",""zh-CN"")"),"这四个在握住手和做同样的动作的同时连续移动。")</f>
        <v>这四个在握住手和做同样的动作的同时连续移动。</v>
      </c>
    </row>
    <row r="36770">
      <c r="A36770" s="4" t="s">
        <v>46249</v>
      </c>
      <c r="B36770" s="4" t="s">
        <v>46252</v>
      </c>
      <c r="C36770" s="5" t="str">
        <f>IFERROR(__xludf.DUMMYFUNCTION("GOOGLETRANSLATE(B36770,""en"",""zh-CN"")"),"女孩们一起笑着，继续跳舞和结束，抓住姿势。")</f>
        <v>女孩们一起笑着，继续跳舞和结束，抓住姿势。</v>
      </c>
    </row>
    <row r="36771">
      <c r="A36771" s="4" t="s">
        <v>46253</v>
      </c>
      <c r="B36771" s="6" t="s">
        <v>46254</v>
      </c>
      <c r="C36771" s="5" t="str">
        <f>IFERROR(__xludf.DUMMYFUNCTION("GOOGLETRANSLATE(B36771,""en"",""zh-CN"")"),"一个女人走进框架，向相机说话，指着一个标志，该标志与弓箭前面的男人说话。")</f>
        <v>一个女人走进框架，向相机说话，指着一个标志，该标志与弓箭前面的男人说话。</v>
      </c>
    </row>
    <row r="36772">
      <c r="A36772" s="4" t="s">
        <v>46253</v>
      </c>
      <c r="B36772" s="4" t="s">
        <v>46255</v>
      </c>
      <c r="C36772" s="5" t="str">
        <f>IFERROR(__xludf.DUMMYFUNCTION("GOOGLETRANSLATE(B36772,""en"",""zh-CN"")"),"该男子对她说话，并将弓箭装备放在女人身上，并为她伸出弓。")</f>
        <v>该男子对她说话，并将弓箭装备放在女人身上，并为她伸出弓。</v>
      </c>
    </row>
    <row r="36773">
      <c r="A36773" s="4" t="s">
        <v>46253</v>
      </c>
      <c r="B36773" s="6" t="s">
        <v>46256</v>
      </c>
      <c r="C36773" s="5" t="str">
        <f>IFERROR(__xludf.DUMMYFUNCTION("GOOGLETRANSLATE(B36773,""en"",""zh-CN"")"),"他教她如何正确握住弓箭，而女人则射击弓箭。")</f>
        <v>他教她如何正确握住弓箭，而女人则射击弓箭。</v>
      </c>
    </row>
    <row r="36774">
      <c r="A36774" s="4" t="s">
        <v>46253</v>
      </c>
      <c r="B36774" s="6" t="s">
        <v>46257</v>
      </c>
      <c r="C36774" s="5" t="str">
        <f>IFERROR(__xludf.DUMMYFUNCTION("GOOGLETRANSLATE(B36774,""en"",""zh-CN"")"),"当男人对她说话并在走开时握手时，她欢呼并继续开枪。")</f>
        <v>当男人对她说话并在走开时握手时，她欢呼并继续开枪。</v>
      </c>
    </row>
    <row r="36775">
      <c r="A36775" s="4" t="s">
        <v>46258</v>
      </c>
      <c r="B36775" s="4" t="s">
        <v>46259</v>
      </c>
      <c r="C36775" s="5" t="str">
        <f>IFERROR(__xludf.DUMMYFUNCTION("GOOGLETRANSLATE(B36775,""en"",""zh-CN"")"),"看到一个女人坐在伞下，嘴里有一个水烟棍。")</f>
        <v>看到一个女人坐在伞下，嘴里有一个水烟棍。</v>
      </c>
    </row>
    <row r="36776">
      <c r="A36776" s="4" t="s">
        <v>46258</v>
      </c>
      <c r="B36776" s="6" t="s">
        <v>46260</v>
      </c>
      <c r="C36776" s="5" t="str">
        <f>IFERROR(__xludf.DUMMYFUNCTION("GOOGLETRANSLATE(B36776,""en"",""zh-CN"")"),"她将其吹入相机并与相机说话时，从棍子上吹几把泡沫。")</f>
        <v>她将其吹入相机并与相机说话时，从棍子上吹几把泡沫。</v>
      </c>
    </row>
    <row r="36777">
      <c r="A36777" s="4" t="s">
        <v>46261</v>
      </c>
      <c r="B36777" s="4" t="s">
        <v>46262</v>
      </c>
      <c r="C36777" s="5" t="str">
        <f>IFERROR(__xludf.DUMMYFUNCTION("GOOGLETRANSLATE(B36777,""en"",""zh-CN"")"),"女人用丙酮擦拭家具。")</f>
        <v>女人用丙酮擦拭家具。</v>
      </c>
    </row>
    <row r="36778">
      <c r="A36778" s="4" t="s">
        <v>46261</v>
      </c>
      <c r="B36778" s="4" t="s">
        <v>46263</v>
      </c>
      <c r="C36778" s="5" t="str">
        <f>IFERROR(__xludf.DUMMYFUNCTION("GOOGLETRANSLATE(B36778,""en"",""zh-CN"")"),"女人在桌子上喷洒硅胶并将其擦掉。")</f>
        <v>女人在桌子上喷洒硅胶并将其擦掉。</v>
      </c>
    </row>
    <row r="36779">
      <c r="A36779" s="4" t="s">
        <v>46261</v>
      </c>
      <c r="B36779" s="4" t="s">
        <v>46264</v>
      </c>
      <c r="C36779" s="5" t="str">
        <f>IFERROR(__xludf.DUMMYFUNCTION("GOOGLETRANSLATE(B36779,""en"",""zh-CN"")"),"女人将旧部分与清洁部分进行比较。")</f>
        <v>女人将旧部分与清洁部分进行比较。</v>
      </c>
    </row>
    <row r="36780">
      <c r="A36780" s="4" t="s">
        <v>46265</v>
      </c>
      <c r="B36780" s="6" t="s">
        <v>46266</v>
      </c>
      <c r="C36780" s="5" t="str">
        <f>IFERROR(__xludf.DUMMYFUNCTION("GOOGLETRANSLATE(B36780,""en"",""zh-CN"")"),"看到一大批人坐在一个坑周围，一个男人旋转着，把球扔到远处。")</f>
        <v>看到一大批人坐在一个坑周围，一个男人旋转着，把球扔到远处。</v>
      </c>
    </row>
    <row r="36781">
      <c r="A36781" s="4" t="s">
        <v>46265</v>
      </c>
      <c r="B36781" s="4" t="s">
        <v>46267</v>
      </c>
      <c r="C36781" s="5" t="str">
        <f>IFERROR(__xludf.DUMMYFUNCTION("GOOGLETRANSLATE(B36781,""en"",""zh-CN"")"),"他周围的人拍打着更多的站立，聊天，看着球。")</f>
        <v>他周围的人拍打着更多的站立，聊天，看着球。</v>
      </c>
    </row>
    <row r="36782">
      <c r="A36782" s="4" t="s">
        <v>46265</v>
      </c>
      <c r="B36782" s="6" t="s">
        <v>46268</v>
      </c>
      <c r="C36782" s="5" t="str">
        <f>IFERROR(__xludf.DUMMYFUNCTION("GOOGLETRANSLATE(B36782,""en"",""zh-CN"")"),"人们一遍又一遍地从地面上抓住球，同时偶尔看着相机，向大人群平移。")</f>
        <v>人们一遍又一遍地从地面上抓住球，同时偶尔看着相机，向大人群平移。</v>
      </c>
    </row>
    <row r="36783">
      <c r="A36783" s="4" t="s">
        <v>46269</v>
      </c>
      <c r="B36783" s="4" t="s">
        <v>46270</v>
      </c>
      <c r="C36783" s="5" t="str">
        <f>IFERROR(__xludf.DUMMYFUNCTION("GOOGLETRANSLATE(B36783,""en"",""zh-CN"")"),"一个球在天空中飞来飞去，而一大批人站在周围。")</f>
        <v>一个球在天空中飞来飞去，而一大批人站在周围。</v>
      </c>
    </row>
    <row r="36784">
      <c r="A36784" s="4" t="s">
        <v>46269</v>
      </c>
      <c r="B36784" s="4" t="s">
        <v>46271</v>
      </c>
      <c r="C36784" s="5" t="str">
        <f>IFERROR(__xludf.DUMMYFUNCTION("GOOGLETRANSLATE(B36784,""en"",""zh-CN"")"),"然后看到一个人在地上抓住球。")</f>
        <v>然后看到一个人在地上抓住球。</v>
      </c>
    </row>
    <row r="36785">
      <c r="A36785" s="4" t="s">
        <v>46269</v>
      </c>
      <c r="B36785" s="4" t="s">
        <v>46272</v>
      </c>
      <c r="C36785" s="5" t="str">
        <f>IFERROR(__xludf.DUMMYFUNCTION("GOOGLETRANSLATE(B36785,""en"",""zh-CN"")"),"该人捕获球，剪辑再次以慢动作显示。")</f>
        <v>该人捕获球，剪辑再次以慢动作显示。</v>
      </c>
    </row>
    <row r="36786">
      <c r="A36786" s="4" t="s">
        <v>46273</v>
      </c>
      <c r="B36786" s="4" t="s">
        <v>46274</v>
      </c>
      <c r="C36786" s="5" t="str">
        <f>IFERROR(__xludf.DUMMYFUNCTION("GOOGLETRANSLATE(B36786,""en"",""zh-CN"")"),"在室外贫穷的设施中，人们在游泳池里，其他人则站在外面。")</f>
        <v>在室外贫穷的设施中，人们在游泳池里，其他人则站在外面。</v>
      </c>
    </row>
    <row r="36787">
      <c r="A36787" s="4" t="s">
        <v>46273</v>
      </c>
      <c r="B36787" s="4" t="s">
        <v>46275</v>
      </c>
      <c r="C36787" s="5" t="str">
        <f>IFERROR(__xludf.DUMMYFUNCTION("GOOGLETRANSLATE(B36787,""en"",""zh-CN"")"),"潜水板上有两个男孩准备跳下。")</f>
        <v>潜水板上有两个男孩准备跳下。</v>
      </c>
    </row>
    <row r="36788">
      <c r="A36788" s="4" t="s">
        <v>46273</v>
      </c>
      <c r="B36788" s="4" t="s">
        <v>46276</v>
      </c>
      <c r="C36788" s="5" t="str">
        <f>IFERROR(__xludf.DUMMYFUNCTION("GOOGLETRANSLATE(B36788,""en"",""zh-CN"")"),"他们处于独特的位置，然后同时参与其中。")</f>
        <v>他们处于独特的位置，然后同时参与其中。</v>
      </c>
    </row>
    <row r="36789">
      <c r="A36789" s="4" t="s">
        <v>46273</v>
      </c>
      <c r="B36789" s="4" t="s">
        <v>46277</v>
      </c>
      <c r="C36789" s="5" t="str">
        <f>IFERROR(__xludf.DUMMYFUNCTION("GOOGLETRANSLATE(B36789,""en"",""zh-CN"")"),"当他们降落在水中时，他们会散发出巨大的飞溅。")</f>
        <v>当他们降落在水中时，他们会散发出巨大的飞溅。</v>
      </c>
    </row>
    <row r="36790">
      <c r="A36790" s="4" t="s">
        <v>46278</v>
      </c>
      <c r="B36790" s="4" t="s">
        <v>46279</v>
      </c>
      <c r="C36790" s="5" t="str">
        <f>IFERROR(__xludf.DUMMYFUNCTION("GOOGLETRANSLATE(B36790,""en"",""zh-CN"")"),"显示了露台套装的照片，后面是一个女人在桌子和椅子上擦洗。")</f>
        <v>显示了露台套装的照片，后面是一个女人在桌子和椅子上擦洗。</v>
      </c>
    </row>
    <row r="36791">
      <c r="A36791" s="4" t="s">
        <v>46278</v>
      </c>
      <c r="B36791" s="4" t="s">
        <v>46280</v>
      </c>
      <c r="C36791" s="5" t="str">
        <f>IFERROR(__xludf.DUMMYFUNCTION("GOOGLETRANSLATE(B36791,""en"",""zh-CN"")"),"她用抹布将它们擦掉，然后摇动罐子，然后喷漆家具。")</f>
        <v>她用抹布将它们擦掉，然后摇动罐子，然后喷漆家具。</v>
      </c>
    </row>
    <row r="36792">
      <c r="A36792" s="4" t="s">
        <v>46278</v>
      </c>
      <c r="B36792" s="4" t="s">
        <v>46281</v>
      </c>
      <c r="C36792" s="5" t="str">
        <f>IFERROR(__xludf.DUMMYFUNCTION("GOOGLETRANSLATE(B36792,""en"",""zh-CN"")"),"屏幕上的文本说明锅显示了更多的家具的特写镜头。")</f>
        <v>屏幕上的文本说明锅显示了更多的家具的特写镜头。</v>
      </c>
    </row>
    <row r="36793">
      <c r="A36793" s="4" t="s">
        <v>46282</v>
      </c>
      <c r="B36793" s="4" t="s">
        <v>46283</v>
      </c>
      <c r="C36793" s="5" t="str">
        <f>IFERROR(__xludf.DUMMYFUNCTION("GOOGLETRANSLATE(B36793,""en"",""zh-CN"")"),"一个人站在舞蹈室里，展示他如何为不同的舞蹈姿势准备。")</f>
        <v>一个人站在舞蹈室里，展示他如何为不同的舞蹈姿势准备。</v>
      </c>
    </row>
    <row r="36794">
      <c r="A36794" s="4" t="s">
        <v>46282</v>
      </c>
      <c r="B36794" s="4" t="s">
        <v>46284</v>
      </c>
      <c r="C36794" s="5" t="str">
        <f>IFERROR(__xludf.DUMMYFUNCTION("GOOGLETRANSLATE(B36794,""en"",""zh-CN"")"),"穿着白色T恤的男人在打破舞时旋转。")</f>
        <v>穿着白色T恤的男人在打破舞时旋转。</v>
      </c>
    </row>
    <row r="36795">
      <c r="A36795" s="4" t="s">
        <v>46285</v>
      </c>
      <c r="B36795" s="4" t="s">
        <v>46286</v>
      </c>
      <c r="C36795" s="5" t="str">
        <f>IFERROR(__xludf.DUMMYFUNCTION("GOOGLETRANSLATE(B36795,""en"",""zh-CN"")"),"男人在新闻中登上舞台。")</f>
        <v>男人在新闻中登上舞台。</v>
      </c>
    </row>
    <row r="36796">
      <c r="A36796" s="4" t="s">
        <v>46285</v>
      </c>
      <c r="B36796" s="6" t="s">
        <v>46287</v>
      </c>
      <c r="C36796" s="5" t="str">
        <f>IFERROR(__xludf.DUMMYFUNCTION("GOOGLETRANSLATE(B36796,""en"",""zh-CN"")"),"人们在街上跳着绳子和跳舞，而聚集在他们周围的人则在看着它们。")</f>
        <v>人们在街上跳着绳子和跳舞，而聚集在他们周围的人则在看着它们。</v>
      </c>
    </row>
    <row r="36797">
      <c r="A36797" s="4" t="s">
        <v>46285</v>
      </c>
      <c r="B36797" s="4" t="s">
        <v>46288</v>
      </c>
      <c r="C36797" s="5" t="str">
        <f>IFERROR(__xludf.DUMMYFUNCTION("GOOGLETRANSLATE(B36797,""en"",""zh-CN"")"),"一名老中国妇女正在接受采访。")</f>
        <v>一名老中国妇女正在接受采访。</v>
      </c>
    </row>
    <row r="36798">
      <c r="A36798" s="4" t="s">
        <v>46285</v>
      </c>
      <c r="B36798" s="4" t="s">
        <v>46289</v>
      </c>
      <c r="C36798" s="5" t="str">
        <f>IFERROR(__xludf.DUMMYFUNCTION("GOOGLETRANSLATE(B36798,""en"",""zh-CN"")"),"老人正在和镜头说话。")</f>
        <v>老人正在和镜头说话。</v>
      </c>
    </row>
    <row r="36799">
      <c r="A36799" s="4" t="s">
        <v>46285</v>
      </c>
      <c r="B36799" s="4" t="s">
        <v>46290</v>
      </c>
      <c r="C36799" s="5" t="str">
        <f>IFERROR(__xludf.DUMMYFUNCTION("GOOGLETRANSLATE(B36799,""en"",""zh-CN"")"),"女人拿着一个麦克风在镜头上聊天。")</f>
        <v>女人拿着一个麦克风在镜头上聊天。</v>
      </c>
    </row>
    <row r="36800">
      <c r="A36800" s="4" t="s">
        <v>46285</v>
      </c>
      <c r="B36800" s="4" t="s">
        <v>46291</v>
      </c>
      <c r="C36800" s="5" t="str">
        <f>IFERROR(__xludf.DUMMYFUNCTION("GOOGLETRANSLATE(B36800,""en"",""zh-CN"")"),"女人正在跳绳，做翻筋斗。")</f>
        <v>女人正在跳绳，做翻筋斗。</v>
      </c>
    </row>
    <row r="36801">
      <c r="A36801" s="4" t="s">
        <v>46285</v>
      </c>
      <c r="B36801" s="4" t="s">
        <v>46292</v>
      </c>
      <c r="C36801" s="5" t="str">
        <f>IFERROR(__xludf.DUMMYFUNCTION("GOOGLETRANSLATE(B36801,""en"",""zh-CN"")"),"妇女正在接受采访，在她的人民后面跳着绳子。")</f>
        <v>妇女正在接受采访，在她的人民后面跳着绳子。</v>
      </c>
    </row>
    <row r="36802">
      <c r="A36802" s="4" t="s">
        <v>46285</v>
      </c>
      <c r="B36802" s="4" t="s">
        <v>46293</v>
      </c>
      <c r="C36802" s="5" t="str">
        <f>IFERROR(__xludf.DUMMYFUNCTION("GOOGLETRANSLATE(B36802,""en"",""zh-CN"")"),"人们正在竞争中跳下绳索。")</f>
        <v>人们正在竞争中跳下绳索。</v>
      </c>
    </row>
    <row r="36803">
      <c r="A36803" s="4" t="s">
        <v>46285</v>
      </c>
      <c r="B36803" s="4" t="s">
        <v>46294</v>
      </c>
      <c r="C36803" s="5" t="str">
        <f>IFERROR(__xludf.DUMMYFUNCTION("GOOGLETRANSLATE(B36803,""en"",""zh-CN"")"),"妇女在街上接受采访，人们不断跳绳。")</f>
        <v>妇女在街上接受采访，人们不断跳绳。</v>
      </c>
    </row>
    <row r="36804">
      <c r="A36804" s="4" t="s">
        <v>46295</v>
      </c>
      <c r="B36804" s="4" t="s">
        <v>46296</v>
      </c>
      <c r="C36804" s="5" t="str">
        <f>IFERROR(__xludf.DUMMYFUNCTION("GOOGLETRANSLATE(B36804,""en"",""zh-CN"")"),"蓝色紧身连衣裤的那个人举起了杠铃，但他放开了杠铃，摔倒了。")</f>
        <v>蓝色紧身连衣裤的那个人举起了杠铃，但他放开了杠铃，摔倒了。</v>
      </c>
    </row>
    <row r="36805">
      <c r="A36805" s="4" t="s">
        <v>46295</v>
      </c>
      <c r="B36805" s="4" t="s">
        <v>46297</v>
      </c>
      <c r="C36805" s="5" t="str">
        <f>IFERROR(__xludf.DUMMYFUNCTION("GOOGLETRANSLATE(B36805,""en"",""zh-CN"")"),"那个穿着红色紧身连衣裤的人把杠铃一直抬起头来，人群欢呼雀跃。")</f>
        <v>那个穿着红色紧身连衣裤的人把杠铃一直抬起头来，人群欢呼雀跃。</v>
      </c>
    </row>
    <row r="36806">
      <c r="A36806" s="4" t="s">
        <v>46295</v>
      </c>
      <c r="B36806" s="4" t="s">
        <v>46298</v>
      </c>
      <c r="C36806" s="5" t="str">
        <f>IFERROR(__xludf.DUMMYFUNCTION("GOOGLETRANSLATE(B36806,""en"",""zh-CN"")"),"运动员举起了杠铃，但无法一直抬头。")</f>
        <v>运动员举起了杠铃，但无法一直抬头。</v>
      </c>
    </row>
    <row r="36807">
      <c r="A36807" s="4" t="s">
        <v>46295</v>
      </c>
      <c r="B36807" s="4" t="s">
        <v>46299</v>
      </c>
      <c r="C36807" s="5" t="str">
        <f>IFERROR(__xludf.DUMMYFUNCTION("GOOGLETRANSLATE(B36807,""en"",""zh-CN"")"),"人群欢呼雀跃，而运动员能够将杠铃全部抬高。")</f>
        <v>人群欢呼雀跃，而运动员能够将杠铃全部抬高。</v>
      </c>
    </row>
    <row r="36808">
      <c r="A36808" s="4" t="s">
        <v>46300</v>
      </c>
      <c r="B36808" s="4" t="s">
        <v>46301</v>
      </c>
      <c r="C36808" s="5" t="str">
        <f>IFERROR(__xludf.DUMMYFUNCTION("GOOGLETRANSLATE(B36808,""en"",""zh-CN"")"),"一个穿着蓝色体育馆的男人在家里的熨衣板上熨烫衣服。")</f>
        <v>一个穿着蓝色体育馆的男人在家里的熨衣板上熨烫衣服。</v>
      </c>
    </row>
    <row r="36809">
      <c r="A36809" s="4" t="s">
        <v>46300</v>
      </c>
      <c r="B36809" s="4" t="s">
        <v>46302</v>
      </c>
      <c r="C36809" s="5" t="str">
        <f>IFERROR(__xludf.DUMMYFUNCTION("GOOGLETRANSLATE(B36809,""en"",""zh-CN"")"),"该男子坐在地板上，折叠衣服，将它们堆放起来。")</f>
        <v>该男子坐在地板上，折叠衣服，将它们堆放起来。</v>
      </c>
    </row>
    <row r="36810">
      <c r="A36810" s="4" t="s">
        <v>46300</v>
      </c>
      <c r="B36810" s="4" t="s">
        <v>46303</v>
      </c>
      <c r="C36810" s="5" t="str">
        <f>IFERROR(__xludf.DUMMYFUNCTION("GOOGLETRANSLATE(B36810,""en"",""zh-CN"")"),"那个男人离开房间，房间变暗。")</f>
        <v>那个男人离开房间，房间变暗。</v>
      </c>
    </row>
    <row r="36811">
      <c r="A36811" s="4" t="s">
        <v>46304</v>
      </c>
      <c r="B36811" s="4" t="s">
        <v>46305</v>
      </c>
      <c r="C36811" s="5" t="str">
        <f>IFERROR(__xludf.DUMMYFUNCTION("GOOGLETRANSLATE(B36811,""en"",""zh-CN"")"),"一个人站在一个大舞台上。")</f>
        <v>一个人站在一个大舞台上。</v>
      </c>
    </row>
    <row r="36812">
      <c r="A36812" s="4" t="s">
        <v>46304</v>
      </c>
      <c r="B36812" s="4" t="s">
        <v>46306</v>
      </c>
      <c r="C36812" s="5" t="str">
        <f>IFERROR(__xludf.DUMMYFUNCTION("GOOGLETRANSLATE(B36812,""en"",""zh-CN"")"),"她把一个沉重的球扔得很远。")</f>
        <v>她把一个沉重的球扔得很远。</v>
      </c>
    </row>
    <row r="36813">
      <c r="A36813" s="4" t="s">
        <v>46304</v>
      </c>
      <c r="B36813" s="4" t="s">
        <v>46307</v>
      </c>
      <c r="C36813" s="5" t="str">
        <f>IFERROR(__xludf.DUMMYFUNCTION("GOOGLETRANSLATE(B36813,""en"",""zh-CN"")"),"他一次又一次地做到这一点。")</f>
        <v>他一次又一次地做到这一点。</v>
      </c>
    </row>
    <row r="36814">
      <c r="A36814" s="4" t="s">
        <v>46304</v>
      </c>
      <c r="B36814" s="4" t="s">
        <v>46308</v>
      </c>
      <c r="C36814" s="5" t="str">
        <f>IFERROR(__xludf.DUMMYFUNCTION("GOOGLETRANSLATE(B36814,""en"",""zh-CN"")"),"他把球扔得很远。")</f>
        <v>他把球扔得很远。</v>
      </c>
    </row>
    <row r="36815">
      <c r="A36815" s="4" t="s">
        <v>46309</v>
      </c>
      <c r="B36815" s="4" t="s">
        <v>46310</v>
      </c>
      <c r="C36815" s="5" t="str">
        <f>IFERROR(__xludf.DUMMYFUNCTION("GOOGLETRANSLATE(B36815,""en"",""zh-CN"")"),"当人类捡起飞盘并扔掉狗时，狗在人行道上躺在人行道上。")</f>
        <v>当人类捡起飞盘并扔掉狗时，狗在人行道上躺在人行道上。</v>
      </c>
    </row>
    <row r="36816">
      <c r="A36816" s="4" t="s">
        <v>46309</v>
      </c>
      <c r="B36816" s="4" t="s">
        <v>46311</v>
      </c>
      <c r="C36816" s="5" t="str">
        <f>IFERROR(__xludf.DUMMYFUNCTION("GOOGLETRANSLATE(B36816,""en"",""zh-CN"")"),"那只狗兴奋地奔跑，然后跑回它，将其带回他的人。")</f>
        <v>那只狗兴奋地奔跑，然后跑回它，将其带回他的人。</v>
      </c>
    </row>
    <row r="36817">
      <c r="A36817" s="4" t="s">
        <v>46309</v>
      </c>
      <c r="B36817" s="4" t="s">
        <v>46312</v>
      </c>
      <c r="C36817" s="5" t="str">
        <f>IFERROR(__xludf.DUMMYFUNCTION("GOOGLETRANSLATE(B36817,""en"",""zh-CN"")"),"他消失了一点点，然后您看到他兴奋地准备好再次奔跑。")</f>
        <v>他消失了一点点，然后您看到他兴奋地准备好再次奔跑。</v>
      </c>
    </row>
    <row r="36818">
      <c r="A36818" s="4" t="s">
        <v>46309</v>
      </c>
      <c r="B36818" s="4" t="s">
        <v>46313</v>
      </c>
      <c r="C36818" s="5" t="str">
        <f>IFERROR(__xludf.DUMMYFUNCTION("GOOGLETRANSLATE(B36818,""en"",""zh-CN"")"),"一旦他看到飞盘飞行，他就会开始为此奔跑，并每次将其带回。")</f>
        <v>一旦他看到飞盘飞行，他就会开始为此奔跑，并每次将其带回。</v>
      </c>
    </row>
    <row r="36819">
      <c r="A36819" s="4" t="s">
        <v>46314</v>
      </c>
      <c r="B36819" s="4" t="s">
        <v>46315</v>
      </c>
      <c r="C36819" s="5" t="str">
        <f>IFERROR(__xludf.DUMMYFUNCTION("GOOGLETRANSLATE(B36819,""en"",""zh-CN"")"),"在附近的一条安静的街道上，有一些十几岁的男孩滑板。")</f>
        <v>在附近的一条安静的街道上，有一些十几岁的男孩滑板。</v>
      </c>
    </row>
    <row r="36820">
      <c r="A36820" s="4" t="s">
        <v>46314</v>
      </c>
      <c r="B36820" s="4" t="s">
        <v>46316</v>
      </c>
      <c r="C36820" s="5" t="str">
        <f>IFERROR(__xludf.DUMMYFUNCTION("GOOGLETRANSLATE(B36820,""en"",""zh-CN"")"),"他们走在街上，在滑板上尝试一些特技。")</f>
        <v>他们走在街上，在滑板上尝试一些特技。</v>
      </c>
    </row>
    <row r="36821">
      <c r="A36821" s="4" t="s">
        <v>46314</v>
      </c>
      <c r="B36821" s="4" t="s">
        <v>46317</v>
      </c>
      <c r="C36821" s="5" t="str">
        <f>IFERROR(__xludf.DUMMYFUNCTION("GOOGLETRANSLATE(B36821,""en"",""zh-CN"")"),"路边有一些叶子。")</f>
        <v>路边有一些叶子。</v>
      </c>
    </row>
    <row r="36822">
      <c r="A36822" s="4" t="s">
        <v>46314</v>
      </c>
      <c r="B36822" s="4" t="s">
        <v>46318</v>
      </c>
      <c r="C36822" s="5" t="str">
        <f>IFERROR(__xludf.DUMMYFUNCTION("GOOGLETRANSLATE(B36822,""en"",""zh-CN"")"),"其中一个男孩弯下腰，坐在坐姿。")</f>
        <v>其中一个男孩弯下腰，坐在坐姿。</v>
      </c>
    </row>
    <row r="36823">
      <c r="A36823" s="4" t="s">
        <v>46314</v>
      </c>
      <c r="B36823" s="4" t="s">
        <v>46319</v>
      </c>
      <c r="C36823" s="5" t="str">
        <f>IFERROR(__xludf.DUMMYFUNCTION("GOOGLETRANSLATE(B36823,""en"",""zh-CN"")"),"男孩们继续在街道上滑板，经过住宅区的房屋。")</f>
        <v>男孩们继续在街道上滑板，经过住宅区的房屋。</v>
      </c>
    </row>
    <row r="36824">
      <c r="A36824" s="4" t="s">
        <v>46320</v>
      </c>
      <c r="B36824" s="4" t="s">
        <v>46321</v>
      </c>
      <c r="C36824" s="5" t="str">
        <f>IFERROR(__xludf.DUMMYFUNCTION("GOOGLETRANSLATE(B36824,""en"",""zh-CN"")"),"一个穿着条纹衬衫的男人准备在飞镖板上扔飞镖。")</f>
        <v>一个穿着条纹衬衫的男人准备在飞镖板上扔飞镖。</v>
      </c>
    </row>
    <row r="36825">
      <c r="A36825" s="4" t="s">
        <v>46320</v>
      </c>
      <c r="B36825" s="4" t="s">
        <v>46322</v>
      </c>
      <c r="C36825" s="5" t="str">
        <f>IFERROR(__xludf.DUMMYFUNCTION("GOOGLETRANSLATE(B36825,""en"",""zh-CN"")"),"该男子在飞镖板上投了三个飞镖。")</f>
        <v>该男子在飞镖板上投了三个飞镖。</v>
      </c>
    </row>
    <row r="36826">
      <c r="A36826" s="4" t="s">
        <v>46320</v>
      </c>
      <c r="B36826" s="6" t="s">
        <v>46323</v>
      </c>
      <c r="C36826" s="5" t="str">
        <f>IFERROR(__xludf.DUMMYFUNCTION("GOOGLETRANSLATE(B36826,""en"",""zh-CN"")"),"摄影师的锅盘到了飞镖板的侧面，并放大了飞镖，随着条纹衬衫穿着飞镖板的男人。")</f>
        <v>摄影师的锅盘到了飞镖板的侧面，并放大了飞镖，随着条纹衬衫穿着飞镖板的男人。</v>
      </c>
    </row>
    <row r="36827">
      <c r="A36827" s="4" t="s">
        <v>46324</v>
      </c>
      <c r="B36827" s="4" t="s">
        <v>46325</v>
      </c>
      <c r="C36827" s="5" t="str">
        <f>IFERROR(__xludf.DUMMYFUNCTION("GOOGLETRANSLATE(B36827,""en"",""zh-CN"")"),"出现了Vidal Sassoon的广告。")</f>
        <v>出现了Vidal Sassoon的广告。</v>
      </c>
    </row>
    <row r="36828">
      <c r="A36828" s="4" t="s">
        <v>46324</v>
      </c>
      <c r="B36828" s="4" t="s">
        <v>46326</v>
      </c>
      <c r="C36828" s="5" t="str">
        <f>IFERROR(__xludf.DUMMYFUNCTION("GOOGLETRANSLATE(B36828,""en"",""zh-CN"")"),"然后，我们看到他们的冰壶铁和热辊套件。")</f>
        <v>然后，我们看到他们的冰壶铁和热辊套件。</v>
      </c>
    </row>
    <row r="36829">
      <c r="A36829" s="4" t="s">
        <v>46324</v>
      </c>
      <c r="B36829" s="4" t="s">
        <v>46327</v>
      </c>
      <c r="C36829" s="5" t="str">
        <f>IFERROR(__xludf.DUMMYFUNCTION("GOOGLETRANSLATE(B36829,""en"",""zh-CN"")"),"展示了如何在女人的头发上设置和使用热滚筒和铁。")</f>
        <v>展示了如何在女人的头发上设置和使用热滚筒和铁。</v>
      </c>
    </row>
    <row r="36830">
      <c r="A36830" s="4" t="s">
        <v>46324</v>
      </c>
      <c r="B36830" s="4" t="s">
        <v>46328</v>
      </c>
      <c r="C36830" s="5" t="str">
        <f>IFERROR(__xludf.DUMMYFUNCTION("GOOGLETRANSLATE(B36830,""en"",""zh-CN"")"),"她的头发在她头上的漂亮卷发中显示出来。")</f>
        <v>她的头发在她头上的漂亮卷发中显示出来。</v>
      </c>
    </row>
    <row r="36831">
      <c r="A36831" s="4" t="s">
        <v>46329</v>
      </c>
      <c r="B36831" s="4" t="s">
        <v>46330</v>
      </c>
      <c r="C36831" s="5" t="str">
        <f>IFERROR(__xludf.DUMMYFUNCTION("GOOGLETRANSLATE(B36831,""en"",""zh-CN"")"),"显示了各种运动员的介绍。")</f>
        <v>显示了各种运动员的介绍。</v>
      </c>
    </row>
    <row r="36832">
      <c r="A36832" s="4" t="s">
        <v>46329</v>
      </c>
      <c r="B36832" s="4" t="s">
        <v>46331</v>
      </c>
      <c r="C36832" s="5" t="str">
        <f>IFERROR(__xludf.DUMMYFUNCTION("GOOGLETRANSLATE(B36832,""en"",""zh-CN"")"),"然后，向一个男人展示了在大型领域扔铁饼的人。")</f>
        <v>然后，向一个男人展示了在大型领域扔铁饼的人。</v>
      </c>
    </row>
    <row r="36833">
      <c r="A36833" s="4" t="s">
        <v>46329</v>
      </c>
      <c r="B36833" s="6" t="s">
        <v>46332</v>
      </c>
      <c r="C36833" s="5" t="str">
        <f>IFERROR(__xludf.DUMMYFUNCTION("GOOGLETRANSLATE(B36833,""en"",""zh-CN"")"),"另一个男人也表现出同样的事情，随后他仍然对他的枪击表现出了他的姿势和慢动作的投掷。")</f>
        <v>另一个男人也表现出同样的事情，随后他仍然对他的枪击表现出了他的姿势和慢动作的投掷。</v>
      </c>
    </row>
    <row r="36834">
      <c r="A36834" s="4" t="s">
        <v>46329</v>
      </c>
      <c r="B36834" s="4" t="s">
        <v>46333</v>
      </c>
      <c r="C36834" s="5" t="str">
        <f>IFERROR(__xludf.DUMMYFUNCTION("GOOGLETRANSLATE(B36834,""en"",""zh-CN"")"),"然后，他被证明走开了，对自己刚刚取得的成就感到非常自信。")</f>
        <v>然后，他被证明走开了，对自己刚刚取得的成就感到非常自信。</v>
      </c>
    </row>
    <row r="36835">
      <c r="A36835" s="4" t="s">
        <v>46334</v>
      </c>
      <c r="B36835" s="6" t="s">
        <v>46335</v>
      </c>
      <c r="C36835" s="5" t="str">
        <f>IFERROR(__xludf.DUMMYFUNCTION("GOOGLETRANSLATE(B36835,""en"",""zh-CN"")"),"看到各种各样的人在海滩周围徘徊，然后沿着水和坐在水中的人们移动。")</f>
        <v>看到各种各样的人在海滩周围徘徊，然后沿着水和坐在水中的人们移动。</v>
      </c>
    </row>
    <row r="36836">
      <c r="A36836" s="4" t="s">
        <v>46334</v>
      </c>
      <c r="B36836" s="4" t="s">
        <v>46336</v>
      </c>
      <c r="C36836" s="5" t="str">
        <f>IFERROR(__xludf.DUMMYFUNCTION("GOOGLETRANSLATE(B36836,""en"",""zh-CN"")"),"几个人在场外的人看着运动员的行动时，有几个人冲浪。")</f>
        <v>几个人在场外的人看着运动员的行动时，有几个人冲浪。</v>
      </c>
    </row>
    <row r="36837">
      <c r="A36837" s="4" t="s">
        <v>46337</v>
      </c>
      <c r="B36837" s="4" t="s">
        <v>46338</v>
      </c>
      <c r="C36837" s="5" t="str">
        <f>IFERROR(__xludf.DUMMYFUNCTION("GOOGLETRANSLATE(B36837,""en"",""zh-CN"")"),"一位女士在她放下的轨道上握着标枪。")</f>
        <v>一位女士在她放下的轨道上握着标枪。</v>
      </c>
    </row>
    <row r="36838">
      <c r="A36838" s="4" t="s">
        <v>46337</v>
      </c>
      <c r="B36838" s="4" t="s">
        <v>46339</v>
      </c>
      <c r="C36838" s="5" t="str">
        <f>IFERROR(__xludf.DUMMYFUNCTION("GOOGLETRANSLATE(B36838,""en"",""zh-CN"")"),"场景重新开始，我们看到一位女士扔了一个标枪，走开了。")</f>
        <v>场景重新开始，我们看到一位女士扔了一个标枪，走开了。</v>
      </c>
    </row>
    <row r="36839">
      <c r="A36839" s="4" t="s">
        <v>46337</v>
      </c>
      <c r="B36839" s="4" t="s">
        <v>46340</v>
      </c>
      <c r="C36839" s="5" t="str">
        <f>IFERROR(__xludf.DUMMYFUNCTION("GOOGLETRANSLATE(B36839,""en"",""zh-CN"")"),"然后，我们看到掷出的投掷，一个男人随着女孩的谈话走来走去。")</f>
        <v>然后，我们看到掷出的投掷，一个男人随着女孩的谈话走来走去。</v>
      </c>
    </row>
    <row r="36840">
      <c r="A36840" s="4" t="s">
        <v>46341</v>
      </c>
      <c r="B36840" s="4" t="s">
        <v>46342</v>
      </c>
      <c r="C36840" s="5" t="str">
        <f>IFERROR(__xludf.DUMMYFUNCTION("GOOGLETRANSLATE(B36840,""en"",""zh-CN"")"),"一个穿着红色长袍的长侧毛的男人正在弹钢琴。")</f>
        <v>一个穿着红色长袍的长侧毛的男人正在弹钢琴。</v>
      </c>
    </row>
    <row r="36841">
      <c r="A36841" s="4" t="s">
        <v>46341</v>
      </c>
      <c r="B36841" s="4" t="s">
        <v>46343</v>
      </c>
      <c r="C36841" s="5" t="str">
        <f>IFERROR(__xludf.DUMMYFUNCTION("GOOGLETRANSLATE(B36841,""en"",""zh-CN"")"),"还有另一个穿着蓝色衬衫的男人站在他附近，忙着打包一些袋子。")</f>
        <v>还有另一个穿着蓝色衬衫的男人站在他附近，忙着打包一些袋子。</v>
      </c>
    </row>
    <row r="36842">
      <c r="A36842" s="4" t="s">
        <v>46341</v>
      </c>
      <c r="B36842" s="4" t="s">
        <v>46344</v>
      </c>
      <c r="C36842" s="5" t="str">
        <f>IFERROR(__xludf.DUMMYFUNCTION("GOOGLETRANSLATE(B36842,""en"",""zh-CN"")"),"当另一个男人携带两个袋子和树叶时，红色的主人继续弹钢琴。")</f>
        <v>当另一个男人携带两个袋子和树叶时，红色的主人继续弹钢琴。</v>
      </c>
    </row>
    <row r="36843">
      <c r="A36843" s="4" t="s">
        <v>46341</v>
      </c>
      <c r="B36843" s="4" t="s">
        <v>46345</v>
      </c>
      <c r="C36843" s="5" t="str">
        <f>IFERROR(__xludf.DUMMYFUNCTION("GOOGLETRANSLATE(B36843,""en"",""zh-CN"")"),"该男子停止弹钢琴并在他起身离开时向对方挥手。")</f>
        <v>该男子停止弹钢琴并在他起身离开时向对方挥手。</v>
      </c>
    </row>
    <row r="36844">
      <c r="A36844" s="4" t="s">
        <v>46346</v>
      </c>
      <c r="B36844" s="6" t="s">
        <v>46347</v>
      </c>
      <c r="C36844" s="5" t="str">
        <f>IFERROR(__xludf.DUMMYFUNCTION("GOOGLETRANSLATE(B36844,""en"",""zh-CN"")"),"有一个人戴着蓝色乳胶手套抛光六角形木桌，以演示法国抛光技术。")</f>
        <v>有一个人戴着蓝色乳胶手套抛光六角形木桌，以演示法国抛光技术。</v>
      </c>
    </row>
    <row r="36845">
      <c r="A36845" s="4" t="s">
        <v>46346</v>
      </c>
      <c r="B36845" s="4" t="s">
        <v>46348</v>
      </c>
      <c r="C36845" s="5" t="str">
        <f>IFERROR(__xludf.DUMMYFUNCTION("GOOGLETRANSLATE(B36845,""en"",""zh-CN"")"),"他正在使用抛光海绵在圆形运动中抛光桌面表面。")</f>
        <v>他正在使用抛光海绵在圆形运动中抛光桌面表面。</v>
      </c>
    </row>
    <row r="36846">
      <c r="A36846" s="4" t="s">
        <v>46346</v>
      </c>
      <c r="B36846" s="4" t="s">
        <v>46349</v>
      </c>
      <c r="C36846" s="5" t="str">
        <f>IFERROR(__xludf.DUMMYFUNCTION("GOOGLETRANSLATE(B36846,""en"",""zh-CN"")"),"然后，他在桌子表面上上下运动，使其发亮。")</f>
        <v>然后，他在桌子表面上上下运动，使其发亮。</v>
      </c>
    </row>
    <row r="36847">
      <c r="A36847" s="4" t="s">
        <v>46346</v>
      </c>
      <c r="B36847" s="4" t="s">
        <v>46350</v>
      </c>
      <c r="C36847" s="5" t="str">
        <f>IFERROR(__xludf.DUMMYFUNCTION("GOOGLETRANSLATE(B36847,""en"",""zh-CN"")"),"他精心浏览整个表面，以确保桌子的任何部分都不会被触及。")</f>
        <v>他精心浏览整个表面，以确保桌子的任何部分都不会被触及。</v>
      </c>
    </row>
    <row r="36848">
      <c r="A36848" s="4" t="s">
        <v>46346</v>
      </c>
      <c r="B36848" s="4" t="s">
        <v>46351</v>
      </c>
      <c r="C36848" s="5" t="str">
        <f>IFERROR(__xludf.DUMMYFUNCTION("GOOGLETRANSLATE(B36848,""en"",""zh-CN"")"),"然后，他开始抛光带有竹饰门的餐厅自助餐的表面。")</f>
        <v>然后，他开始抛光带有竹饰门的餐厅自助餐的表面。</v>
      </c>
    </row>
    <row r="36849">
      <c r="A36849" s="4" t="s">
        <v>46346</v>
      </c>
      <c r="B36849" s="4" t="s">
        <v>46352</v>
      </c>
      <c r="C36849" s="5" t="str">
        <f>IFERROR(__xludf.DUMMYFUNCTION("GOOGLETRANSLATE(B36849,""en"",""zh-CN"")"),"他再次在顶部表面上以圆形运动抛光。")</f>
        <v>他再次在顶部表面上以圆形运动抛光。</v>
      </c>
    </row>
    <row r="36850">
      <c r="A36850" s="4" t="s">
        <v>46353</v>
      </c>
      <c r="B36850" s="6" t="s">
        <v>46354</v>
      </c>
      <c r="C36850" s="5" t="str">
        <f>IFERROR(__xludf.DUMMYFUNCTION("GOOGLETRANSLATE(B36850,""en"",""zh-CN"")"),"一个男人和一个女人正在表演一对夫妇的舞蹈例行，而其他夫妻在他们周围跳舞。")</f>
        <v>一个男人和一个女人正在表演一对夫妇的舞蹈例行，而其他夫妻在他们周围跳舞。</v>
      </c>
    </row>
    <row r="36851">
      <c r="A36851" s="4" t="s">
        <v>46353</v>
      </c>
      <c r="B36851" s="4" t="s">
        <v>46355</v>
      </c>
      <c r="C36851" s="5" t="str">
        <f>IFERROR(__xludf.DUMMYFUNCTION("GOOGLETRANSLATE(B36851,""en"",""zh-CN"")"),"一群围观者看着夫妻旋转并继续舞蹈。")</f>
        <v>一群围观者看着夫妻旋转并继续舞蹈。</v>
      </c>
    </row>
    <row r="36852">
      <c r="A36852" s="4" t="s">
        <v>46356</v>
      </c>
      <c r="B36852" s="4" t="s">
        <v>46357</v>
      </c>
      <c r="C36852" s="5" t="str">
        <f>IFERROR(__xludf.DUMMYFUNCTION("GOOGLETRANSLATE(B36852,""en"",""zh-CN"")"),"我们看到小孩在竞技场的泥土轨道上骑BMX自行车。")</f>
        <v>我们看到小孩在竞技场的泥土轨道上骑BMX自行车。</v>
      </c>
    </row>
    <row r="36853">
      <c r="A36853" s="4" t="s">
        <v>46356</v>
      </c>
      <c r="B36853" s="4" t="s">
        <v>46358</v>
      </c>
      <c r="C36853" s="5" t="str">
        <f>IFERROR(__xludf.DUMMYFUNCTION("GOOGLETRANSLATE(B36853,""en"",""zh-CN"")"),"孩子们骑着相机。")</f>
        <v>孩子们骑着相机。</v>
      </c>
    </row>
    <row r="36854">
      <c r="A36854" s="4" t="s">
        <v>46356</v>
      </c>
      <c r="B36854" s="4" t="s">
        <v>46359</v>
      </c>
      <c r="C36854" s="5" t="str">
        <f>IFERROR(__xludf.DUMMYFUNCTION("GOOGLETRANSLATE(B36854,""en"",""zh-CN"")"),"孩子们开始通过终点线。")</f>
        <v>孩子们开始通过终点线。</v>
      </c>
    </row>
    <row r="36855">
      <c r="A36855" s="4" t="s">
        <v>46360</v>
      </c>
      <c r="B36855" s="4" t="s">
        <v>46361</v>
      </c>
      <c r="C36855" s="5" t="str">
        <f>IFERROR(__xludf.DUMMYFUNCTION("GOOGLETRANSLATE(B36855,""en"",""zh-CN"")"),"一个女人在户外紧紧地在紧身的绳索上保持平衡。")</f>
        <v>一个女人在户外紧紧地在紧身的绳索上保持平衡。</v>
      </c>
    </row>
    <row r="36856">
      <c r="A36856" s="4" t="s">
        <v>46360</v>
      </c>
      <c r="B36856" s="4" t="s">
        <v>46362</v>
      </c>
      <c r="C36856" s="5" t="str">
        <f>IFERROR(__xludf.DUMMYFUNCTION("GOOGLETRANSLATE(B36856,""en"",""zh-CN"")"),"女人正在展示各种杂技举动。")</f>
        <v>女人正在展示各种杂技举动。</v>
      </c>
    </row>
    <row r="36857">
      <c r="A36857" s="4" t="s">
        <v>46360</v>
      </c>
      <c r="B36857" s="4" t="s">
        <v>46363</v>
      </c>
      <c r="C36857" s="5" t="str">
        <f>IFERROR(__xludf.DUMMYFUNCTION("GOOGLETRANSLATE(B36857,""en"",""zh-CN"")"),"女人在电线上弹跳。")</f>
        <v>女人在电线上弹跳。</v>
      </c>
    </row>
    <row r="36858">
      <c r="A36858" s="4" t="s">
        <v>46360</v>
      </c>
      <c r="B36858" s="4" t="s">
        <v>46364</v>
      </c>
      <c r="C36858" s="5" t="str">
        <f>IFERROR(__xludf.DUMMYFUNCTION("GOOGLETRANSLATE(B36858,""en"",""zh-CN"")"),"动物在背景中。")</f>
        <v>动物在背景中。</v>
      </c>
    </row>
    <row r="36859">
      <c r="A36859" s="4" t="s">
        <v>46365</v>
      </c>
      <c r="B36859" s="4" t="s">
        <v>46366</v>
      </c>
      <c r="C36859" s="5" t="str">
        <f>IFERROR(__xludf.DUMMYFUNCTION("GOOGLETRANSLATE(B36859,""en"",""zh-CN"")"),"圣诞节装饰有一个特写。")</f>
        <v>圣诞节装饰有一个特写。</v>
      </c>
    </row>
    <row r="36860">
      <c r="A36860" s="4" t="s">
        <v>46365</v>
      </c>
      <c r="B36860" s="4" t="s">
        <v>46367</v>
      </c>
      <c r="C36860" s="5" t="str">
        <f>IFERROR(__xludf.DUMMYFUNCTION("GOOGLETRANSLATE(B36860,""en"",""zh-CN"")"),"一个穿着圣诞老人服装的男人在一个带有照亮的圣诞树的房屋中演奏鼓。")</f>
        <v>一个穿着圣诞老人服装的男人在一个带有照亮的圣诞树的房屋中演奏鼓。</v>
      </c>
    </row>
    <row r="36861">
      <c r="A36861" s="4" t="s">
        <v>46365</v>
      </c>
      <c r="B36861" s="4" t="s">
        <v>46368</v>
      </c>
      <c r="C36861" s="5" t="str">
        <f>IFERROR(__xludf.DUMMYFUNCTION("GOOGLETRANSLATE(B36861,""en"",""zh-CN"")"),"那个男人打扮成圣诞老人在鼓上播放这首歌。")</f>
        <v>那个男人打扮成圣诞老人在鼓上播放这首歌。</v>
      </c>
    </row>
    <row r="36862">
      <c r="A36862" s="4" t="s">
        <v>46369</v>
      </c>
      <c r="B36862" s="6" t="s">
        <v>46370</v>
      </c>
      <c r="C36862" s="5" t="str">
        <f>IFERROR(__xludf.DUMMYFUNCTION("GOOGLETRANSLATE(B36862,""en"",""zh-CN"")"),"视频始于一个人在滑板上骑着山上骑山丘并做技巧的几张镜头。")</f>
        <v>视频始于一个人在滑板上骑着山上骑山丘并做技巧的几张镜头。</v>
      </c>
    </row>
    <row r="36863">
      <c r="A36863" s="4" t="s">
        <v>46369</v>
      </c>
      <c r="B36863" s="6" t="s">
        <v>46371</v>
      </c>
      <c r="C36863" s="5" t="str">
        <f>IFERROR(__xludf.DUMMYFUNCTION("GOOGLETRANSLATE(B36863,""en"",""zh-CN"")"),"这个男孩继续在滑板上骑行进行翻转和技巧，相机从几个角度捕获他。")</f>
        <v>这个男孩继续在滑板上骑行进行翻转和技巧，相机从几个角度捕获他。</v>
      </c>
    </row>
    <row r="36864">
      <c r="A36864" s="4" t="s">
        <v>46372</v>
      </c>
      <c r="B36864" s="4" t="s">
        <v>46373</v>
      </c>
      <c r="C36864" s="5" t="str">
        <f>IFERROR(__xludf.DUMMYFUNCTION("GOOGLETRANSLATE(B36864,""en"",""zh-CN"")"),"一个男人正在提供有关刚果的指示。")</f>
        <v>一个男人正在提供有关刚果的指示。</v>
      </c>
    </row>
    <row r="36865">
      <c r="A36865" s="4" t="s">
        <v>46372</v>
      </c>
      <c r="B36865" s="4" t="s">
        <v>46374</v>
      </c>
      <c r="C36865" s="5" t="str">
        <f>IFERROR(__xludf.DUMMYFUNCTION("GOOGLETRANSLATE(B36865,""en"",""zh-CN"")"),"他用手说话，然后轻轻轻轻敲打刚果的顶部。")</f>
        <v>他用手说话，然后轻轻轻轻敲打刚果的顶部。</v>
      </c>
    </row>
    <row r="36866">
      <c r="A36866" s="4" t="s">
        <v>46372</v>
      </c>
      <c r="B36866" s="6" t="s">
        <v>46375</v>
      </c>
      <c r="C36866" s="5" t="str">
        <f>IFERROR(__xludf.DUMMYFUNCTION("GOOGLETRANSLATE(B36866,""en"",""zh-CN"")"),"他开始以非常缓慢的节奏轻轻敲击刚果，经过一会儿，他停止了开始讲话。")</f>
        <v>他开始以非常缓慢的节奏轻轻敲击刚果，经过一会儿，他停止了开始讲话。</v>
      </c>
    </row>
    <row r="36867">
      <c r="A36867" s="4" t="s">
        <v>46372</v>
      </c>
      <c r="B36867" s="4" t="s">
        <v>46376</v>
      </c>
      <c r="C36867" s="5" t="str">
        <f>IFERROR(__xludf.DUMMYFUNCTION("GOOGLETRANSLATE(B36867,""en"",""zh-CN"")"),"最后，他开始用双手养成真正的节拍，并更多地谈论它。")</f>
        <v>最后，他开始用双手养成真正的节拍，并更多地谈论它。</v>
      </c>
    </row>
    <row r="36868">
      <c r="A36868" s="4" t="s">
        <v>46377</v>
      </c>
      <c r="B36868" s="4" t="s">
        <v>46378</v>
      </c>
      <c r="C36868" s="5" t="str">
        <f>IFERROR(__xludf.DUMMYFUNCTION("GOOGLETRANSLATE(B36868,""en"",""zh-CN"")"),"在一些观众面前，有一个女人穿着黑色的台球。")</f>
        <v>在一些观众面前，有一个女人穿着黑色的台球。</v>
      </c>
    </row>
    <row r="36869">
      <c r="A36869" s="4" t="s">
        <v>46377</v>
      </c>
      <c r="B36869" s="4" t="s">
        <v>46379</v>
      </c>
      <c r="C36869" s="5" t="str">
        <f>IFERROR(__xludf.DUMMYFUNCTION("GOOGLETRANSLATE(B36869,""en"",""zh-CN"")"),"完成后，另一名女士轮到她击中了几枪。")</f>
        <v>完成后，另一名女士轮到她击中了几枪。</v>
      </c>
    </row>
    <row r="36870">
      <c r="A36870" s="4" t="s">
        <v>46377</v>
      </c>
      <c r="B36870" s="4" t="s">
        <v>46380</v>
      </c>
      <c r="C36870" s="5" t="str">
        <f>IFERROR(__xludf.DUMMYFUNCTION("GOOGLETRANSLATE(B36870,""en"",""zh-CN"")"),"第二名选手的目标是将球射入洞中。")</f>
        <v>第二名选手的目标是将球射入洞中。</v>
      </c>
    </row>
    <row r="36871">
      <c r="A36871" s="4" t="s">
        <v>46377</v>
      </c>
      <c r="B36871" s="4" t="s">
        <v>46381</v>
      </c>
      <c r="C36871" s="5" t="str">
        <f>IFERROR(__xludf.DUMMYFUNCTION("GOOGLETRANSLATE(B36871,""en"",""zh-CN"")"),"她精确地瞄准，并逐个射门，而没有单枪。")</f>
        <v>她精确地瞄准，并逐个射门，而没有单枪。</v>
      </c>
    </row>
    <row r="36872">
      <c r="A36872" s="4" t="s">
        <v>46377</v>
      </c>
      <c r="B36872" s="4" t="s">
        <v>46382</v>
      </c>
      <c r="C36872" s="5" t="str">
        <f>IFERROR(__xludf.DUMMYFUNCTION("GOOGLETRANSLATE(B36872,""en"",""zh-CN"")"),"她继续集中精力并射门，直到台球桌上只剩下一个球。")</f>
        <v>她继续集中精力并射门，直到台球桌上只剩下一个球。</v>
      </c>
    </row>
    <row r="36873">
      <c r="A36873" s="4" t="s">
        <v>46383</v>
      </c>
      <c r="B36873" s="6" t="s">
        <v>46384</v>
      </c>
      <c r="C36873" s="5" t="str">
        <f>IFERROR(__xludf.DUMMYFUNCTION("GOOGLETRANSLATE(B36873,""en"",""zh-CN"")"),"两个穿着西装的男人彼此互相面对面，彼此握手，与另一个人牵手，他们朝一个方向跳舞，然后回到另一个方向，然后笑着分开。")</f>
        <v>两个穿着西装的男人彼此互相面对面，彼此握手，与另一个人牵手，他们朝一个方向跳舞，然后回到另一个方向，然后笑着分开。</v>
      </c>
    </row>
    <row r="36874">
      <c r="A36874" s="4" t="s">
        <v>46383</v>
      </c>
      <c r="B36874" s="6" t="s">
        <v>46385</v>
      </c>
      <c r="C36874" s="5" t="str">
        <f>IFERROR(__xludf.DUMMYFUNCTION("GOOGLETRANSLATE(B36874,""en"",""zh-CN"")"),"在男人与舞蹈分开的地方，有一个亚洲女人，现在她在手风琴键盘上发挥了重点。")</f>
        <v>在男人与舞蹈分开的地方，有一个亚洲女人，现在她在手风琴键盘上发挥了重点。</v>
      </c>
    </row>
    <row r="36875">
      <c r="A36875" s="4" t="s">
        <v>46383</v>
      </c>
      <c r="B36875" s="4" t="s">
        <v>46386</v>
      </c>
      <c r="C36875" s="5" t="str">
        <f>IFERROR(__xludf.DUMMYFUNCTION("GOOGLETRANSLATE(B36875,""en"",""zh-CN"")"),"女人停止玩耍，笑着看，说些什么。")</f>
        <v>女人停止玩耍，笑着看，说些什么。</v>
      </c>
    </row>
    <row r="36876">
      <c r="A36876" s="4" t="s">
        <v>46387</v>
      </c>
      <c r="B36876" s="4" t="s">
        <v>46388</v>
      </c>
      <c r="C36876" s="5" t="str">
        <f>IFERROR(__xludf.DUMMYFUNCTION("GOOGLETRANSLATE(B36876,""en"",""zh-CN"")"),"一个男人拿着吉他，回头看相机和吉他之间的第四。")</f>
        <v>一个男人拿着吉他，回头看相机和吉他之间的第四。</v>
      </c>
    </row>
    <row r="36877">
      <c r="A36877" s="4" t="s">
        <v>46387</v>
      </c>
      <c r="B36877" s="4" t="s">
        <v>46389</v>
      </c>
      <c r="C36877" s="5" t="str">
        <f>IFERROR(__xludf.DUMMYFUNCTION("GOOGLETRANSLATE(B36877,""en"",""zh-CN"")"),"他的手在吉他的脖子上移动，然后轻轻地唱着相机。")</f>
        <v>他的手在吉他的脖子上移动，然后轻轻地唱着相机。</v>
      </c>
    </row>
    <row r="36878">
      <c r="A36878" s="4" t="s">
        <v>46390</v>
      </c>
      <c r="B36878" s="4" t="s">
        <v>46391</v>
      </c>
      <c r="C36878" s="5" t="str">
        <f>IFERROR(__xludf.DUMMYFUNCTION("GOOGLETRANSLATE(B36878,""en"",""zh-CN"")"),"一个粉红色的人做太极拳。")</f>
        <v>一个粉红色的人做太极拳。</v>
      </c>
    </row>
    <row r="36879">
      <c r="A36879" s="4" t="s">
        <v>46390</v>
      </c>
      <c r="B36879" s="4" t="s">
        <v>46392</v>
      </c>
      <c r="C36879" s="5" t="str">
        <f>IFERROR(__xludf.DUMMYFUNCTION("GOOGLETRANSLATE(B36879,""en"",""zh-CN"")"),"她四处走动，但基本上正在做同样的基本事情。")</f>
        <v>她四处走动，但基本上正在做同样的基本事情。</v>
      </c>
    </row>
    <row r="36880">
      <c r="A36880" s="4" t="s">
        <v>46390</v>
      </c>
      <c r="B36880" s="4" t="s">
        <v>46393</v>
      </c>
      <c r="C36880" s="5" t="str">
        <f>IFERROR(__xludf.DUMMYFUNCTION("GOOGLETRANSLATE(B36880,""en"",""zh-CN"")"),"她停下来，仍然处于最后。")</f>
        <v>她停下来，仍然处于最后。</v>
      </c>
    </row>
    <row r="36881">
      <c r="A36881" s="4" t="s">
        <v>46394</v>
      </c>
      <c r="B36881" s="4" t="s">
        <v>46395</v>
      </c>
      <c r="C36881" s="5" t="str">
        <f>IFERROR(__xludf.DUMMYFUNCTION("GOOGLETRANSLATE(B36881,""en"",""zh-CN"")"),"几名运动员参加标枪世界锦标赛。")</f>
        <v>几名运动员参加标枪世界锦标赛。</v>
      </c>
    </row>
    <row r="36882">
      <c r="A36882" s="4" t="s">
        <v>46394</v>
      </c>
      <c r="B36882" s="4" t="s">
        <v>46396</v>
      </c>
      <c r="C36882" s="5" t="str">
        <f>IFERROR(__xludf.DUMMYFUNCTION("GOOGLETRANSLATE(B36882,""en"",""zh-CN"")"),"俄罗斯迪米特里（Dimitri）是比赛中第三枚铜牌。")</f>
        <v>俄罗斯迪米特里（Dimitri）是比赛中第三枚铜牌。</v>
      </c>
    </row>
    <row r="36883">
      <c r="A36883" s="4" t="s">
        <v>46394</v>
      </c>
      <c r="B36883" s="4" t="s">
        <v>46397</v>
      </c>
      <c r="C36883" s="5" t="str">
        <f>IFERROR(__xludf.DUMMYFUNCTION("GOOGLETRANSLATE(B36883,""en"",""zh-CN"")"),"日本詹基是银牌。")</f>
        <v>日本詹基是银牌。</v>
      </c>
    </row>
    <row r="36884">
      <c r="A36884" s="4" t="s">
        <v>46394</v>
      </c>
      <c r="B36884" s="4" t="s">
        <v>46398</v>
      </c>
      <c r="C36884" s="5" t="str">
        <f>IFERROR(__xludf.DUMMYFUNCTION("GOOGLETRANSLATE(B36884,""en"",""zh-CN"")"),"直到德国赢得了金牌。")</f>
        <v>直到德国赢得了金牌。</v>
      </c>
    </row>
    <row r="36885">
      <c r="A36885" s="4" t="s">
        <v>46399</v>
      </c>
      <c r="B36885" s="6" t="s">
        <v>46400</v>
      </c>
      <c r="C36885" s="5" t="str">
        <f>IFERROR(__xludf.DUMMYFUNCTION("GOOGLETRANSLATE(B36885,""en"",""zh-CN"")"),"简介通向手，看到弹奏乐器，同时暂停了乐器上的观点。")</f>
        <v>简介通向手，看到弹奏乐器，同时暂停了乐器上的观点。</v>
      </c>
    </row>
    <row r="36886">
      <c r="A36886" s="4" t="s">
        <v>46399</v>
      </c>
      <c r="B36886" s="4" t="s">
        <v>46401</v>
      </c>
      <c r="C36886" s="5" t="str">
        <f>IFERROR(__xludf.DUMMYFUNCTION("GOOGLETRANSLATE(B36886,""en"",""zh-CN"")"),"他继续四处移动玩耍，然后看到对镜头说话。")</f>
        <v>他继续四处移动玩耍，然后看到对镜头说话。</v>
      </c>
    </row>
    <row r="36887">
      <c r="A36887" s="4" t="s">
        <v>46402</v>
      </c>
      <c r="B36887" s="6" t="s">
        <v>46403</v>
      </c>
      <c r="C36887" s="5" t="str">
        <f>IFERROR(__xludf.DUMMYFUNCTION("GOOGLETRANSLATE(B36887,""en"",""zh-CN"")"),"一名穿着外科服装的男子展示了正确的手术手术手术方法并首先去除珠宝的方法。")</f>
        <v>一名穿着外科服装的男子展示了正确的手术手术手术方法并首先去除珠宝的方法。</v>
      </c>
    </row>
    <row r="36888">
      <c r="A36888" s="4" t="s">
        <v>46402</v>
      </c>
      <c r="B36888" s="4" t="s">
        <v>46404</v>
      </c>
      <c r="C36888" s="5" t="str">
        <f>IFERROR(__xludf.DUMMYFUNCTION("GOOGLETRANSLATE(B36888,""en"",""zh-CN"")"),"然后，外科医生弄湿了他的手和广告肥皂。")</f>
        <v>然后，外科医生弄湿了他的手和广告肥皂。</v>
      </c>
    </row>
    <row r="36889">
      <c r="A36889" s="4" t="s">
        <v>46402</v>
      </c>
      <c r="B36889" s="4" t="s">
        <v>46405</v>
      </c>
      <c r="C36889" s="5" t="str">
        <f>IFERROR(__xludf.DUMMYFUNCTION("GOOGLETRANSLATE(B36889,""en"",""zh-CN"")"),"然后，外科医生将手掌摩擦在一起，建造起泡沫。")</f>
        <v>然后，外科医生将手掌摩擦在一起，建造起泡沫。</v>
      </c>
    </row>
    <row r="36890">
      <c r="A36890" s="4" t="s">
        <v>46402</v>
      </c>
      <c r="B36890" s="4" t="s">
        <v>46406</v>
      </c>
      <c r="C36890" s="5" t="str">
        <f>IFERROR(__xludf.DUMMYFUNCTION("GOOGLETRANSLATE(B36890,""en"",""zh-CN"")"),"然后，他用棕榈向后揉手。")</f>
        <v>然后，他用棕榈向后揉手。</v>
      </c>
    </row>
    <row r="36891">
      <c r="A36891" s="4" t="s">
        <v>46402</v>
      </c>
      <c r="B36891" s="4" t="s">
        <v>46407</v>
      </c>
      <c r="C36891" s="5" t="str">
        <f>IFERROR(__xludf.DUMMYFUNCTION("GOOGLETRANSLATE(B36891,""en"",""zh-CN"")"),"然后，外科医生用手擦手指的背面。")</f>
        <v>然后，外科医生用手擦手指的背面。</v>
      </c>
    </row>
    <row r="36892">
      <c r="A36892" s="4" t="s">
        <v>46402</v>
      </c>
      <c r="B36892" s="4" t="s">
        <v>46408</v>
      </c>
      <c r="C36892" s="5" t="str">
        <f>IFERROR(__xludf.DUMMYFUNCTION("GOOGLETRANSLATE(B36892,""en"",""zh-CN"")"),"然后，他用掌握拇指擦拇指。")</f>
        <v>然后，他用掌握拇指擦拇指。</v>
      </c>
    </row>
    <row r="36893">
      <c r="A36893" s="4" t="s">
        <v>46402</v>
      </c>
      <c r="B36893" s="4" t="s">
        <v>46409</v>
      </c>
      <c r="C36893" s="5" t="str">
        <f>IFERROR(__xludf.DUMMYFUNCTION("GOOGLETRANSLATE(B36893,""en"",""zh-CN"")"),"然后，他将手指的尖端摩擦到手掌中。")</f>
        <v>然后，他将手指的尖端摩擦到手掌中。</v>
      </c>
    </row>
    <row r="36894">
      <c r="A36894" s="4" t="s">
        <v>46402</v>
      </c>
      <c r="B36894" s="4" t="s">
        <v>46410</v>
      </c>
      <c r="C36894" s="5" t="str">
        <f>IFERROR(__xludf.DUMMYFUNCTION("GOOGLETRANSLATE(B36894,""en"",""zh-CN"")"),"然后，他揉手腕，用旋转的手冲洗双手，完全干了手。")</f>
        <v>然后，他揉手腕，用旋转的手冲洗双手，完全干了手。</v>
      </c>
    </row>
    <row r="36895">
      <c r="A36895" s="4" t="s">
        <v>46411</v>
      </c>
      <c r="B36895" s="4" t="s">
        <v>46412</v>
      </c>
      <c r="C36895" s="5" t="str">
        <f>IFERROR(__xludf.DUMMYFUNCTION("GOOGLETRANSLATE(B36895,""en"",""zh-CN"")"),"舞者站在椅子上。")</f>
        <v>舞者站在椅子上。</v>
      </c>
    </row>
    <row r="36896">
      <c r="A36896" s="4" t="s">
        <v>46411</v>
      </c>
      <c r="B36896" s="4" t="s">
        <v>46413</v>
      </c>
      <c r="C36896" s="5" t="str">
        <f>IFERROR(__xludf.DUMMYFUNCTION("GOOGLETRANSLATE(B36896,""en"",""zh-CN"")"),"他将椅子推向他的女舞蹈伴侣。")</f>
        <v>他将椅子推向他的女舞蹈伴侣。</v>
      </c>
    </row>
    <row r="36897">
      <c r="A36897" s="4" t="s">
        <v>46411</v>
      </c>
      <c r="B36897" s="4" t="s">
        <v>46414</v>
      </c>
      <c r="C36897" s="5" t="str">
        <f>IFERROR(__xludf.DUMMYFUNCTION("GOOGLETRANSLATE(B36897,""en"",""zh-CN"")"),"她坐在椅子上。")</f>
        <v>她坐在椅子上。</v>
      </c>
    </row>
    <row r="36898">
      <c r="A36898" s="4" t="s">
        <v>46411</v>
      </c>
      <c r="B36898" s="4" t="s">
        <v>46415</v>
      </c>
      <c r="C36898" s="5" t="str">
        <f>IFERROR(__xludf.DUMMYFUNCTION("GOOGLETRANSLATE(B36898,""en"",""zh-CN"")"),"他走向她，从椅子上捡起她，然后跳舞。")</f>
        <v>他走向她，从椅子上捡起她，然后跳舞。</v>
      </c>
    </row>
    <row r="36899">
      <c r="A36899" s="4" t="s">
        <v>46411</v>
      </c>
      <c r="B36899" s="4" t="s">
        <v>46416</v>
      </c>
      <c r="C36899" s="5" t="str">
        <f>IFERROR(__xludf.DUMMYFUNCTION("GOOGLETRANSLATE(B36899,""en"",""zh-CN"")"),"观众中的人们表示赞赏。")</f>
        <v>观众中的人们表示赞赏。</v>
      </c>
    </row>
    <row r="36900">
      <c r="A36900" s="4" t="s">
        <v>46417</v>
      </c>
      <c r="B36900" s="4" t="s">
        <v>46418</v>
      </c>
      <c r="C36900" s="5" t="str">
        <f>IFERROR(__xludf.DUMMYFUNCTION("GOOGLETRANSLATE(B36900,""en"",""zh-CN"")"),"一个女孩在镜头前。")</f>
        <v>一个女孩在镜头前。</v>
      </c>
    </row>
    <row r="36901">
      <c r="A36901" s="4" t="s">
        <v>46417</v>
      </c>
      <c r="B36901" s="4" t="s">
        <v>46419</v>
      </c>
      <c r="C36901" s="5" t="str">
        <f>IFERROR(__xludf.DUMMYFUNCTION("GOOGLETRANSLATE(B36901,""en"",""zh-CN"")"),"她在嘴唇上涂上浅粉红色的唇彩。")</f>
        <v>她在嘴唇上涂上浅粉红色的唇彩。</v>
      </c>
    </row>
    <row r="36902">
      <c r="A36902" s="4" t="s">
        <v>46420</v>
      </c>
      <c r="B36902" s="4" t="s">
        <v>46421</v>
      </c>
      <c r="C36902" s="5" t="str">
        <f>IFERROR(__xludf.DUMMYFUNCTION("GOOGLETRANSLATE(B36902,""en"",""zh-CN"")"),"看到一个男人坐在围栏前坐在滑板上，与镜头说话。")</f>
        <v>看到一个男人坐在围栏前坐在滑板上，与镜头说话。</v>
      </c>
    </row>
    <row r="36903">
      <c r="A36903" s="4" t="s">
        <v>46420</v>
      </c>
      <c r="B36903" s="6" t="s">
        <v>46422</v>
      </c>
      <c r="C36903" s="5" t="str">
        <f>IFERROR(__xludf.DUMMYFUNCTION("GOOGLETRANSLATE(B36903,""en"",""zh-CN"")"),"然后，向他展示了几张镜头，他在公园周围与镜头说话，并在公园周围进行各种滑板技巧。")</f>
        <v>然后，向他展示了几张镜头，他在公园周围与镜头说话，并在公园周围进行各种滑板技巧。</v>
      </c>
    </row>
    <row r="36904">
      <c r="A36904" s="4" t="s">
        <v>46423</v>
      </c>
      <c r="B36904" s="6" t="s">
        <v>46424</v>
      </c>
      <c r="C36904" s="5" t="str">
        <f>IFERROR(__xludf.DUMMYFUNCTION("GOOGLETRANSLATE(B36904,""en"",""zh-CN"")"),"看到两个年幼的孩子站在桌子后面，有一个剥皮的柠檬和一个男孩在旁边看着。")</f>
        <v>看到两个年幼的孩子站在桌子后面，有一个剥皮的柠檬和一个男孩在旁边看着。</v>
      </c>
    </row>
    <row r="36905">
      <c r="A36905" s="4" t="s">
        <v>46423</v>
      </c>
      <c r="B36905" s="4" t="s">
        <v>46425</v>
      </c>
      <c r="C36905" s="5" t="str">
        <f>IFERROR(__xludf.DUMMYFUNCTION("GOOGLETRANSLATE(B36905,""en"",""zh-CN"")"),"看到另一个孩子挤压柠檬和放大的孩子。")</f>
        <v>看到另一个孩子挤压柠檬和放大的孩子。</v>
      </c>
    </row>
    <row r="36906">
      <c r="A36906" s="4" t="s">
        <v>46423</v>
      </c>
      <c r="B36906" s="6" t="s">
        <v>46426</v>
      </c>
      <c r="C36906" s="5" t="str">
        <f>IFERROR(__xludf.DUMMYFUNCTION("GOOGLETRANSLATE(B36906,""en"",""zh-CN"")"),"孩子们在看着相机并在侧面说话时继续挤压柠檬。")</f>
        <v>孩子们在看着相机并在侧面说话时继续挤压柠檬。</v>
      </c>
    </row>
    <row r="36907">
      <c r="A36907" s="4" t="s">
        <v>46427</v>
      </c>
      <c r="B36907" s="4" t="s">
        <v>46428</v>
      </c>
      <c r="C36907" s="5" t="str">
        <f>IFERROR(__xludf.DUMMYFUNCTION("GOOGLETRANSLATE(B36907,""en"",""zh-CN"")"),"一个男人准备自己扔铁饼。")</f>
        <v>一个男人准备自己扔铁饼。</v>
      </c>
    </row>
    <row r="36908">
      <c r="A36908" s="4" t="s">
        <v>46427</v>
      </c>
      <c r="B36908" s="4" t="s">
        <v>46429</v>
      </c>
      <c r="C36908" s="5" t="str">
        <f>IFERROR(__xludf.DUMMYFUNCTION("GOOGLETRANSLATE(B36908,""en"",""zh-CN"")"),"多人走来走去，在后台交谈。")</f>
        <v>多人走来走去，在后台交谈。</v>
      </c>
    </row>
    <row r="36909">
      <c r="A36909" s="4" t="s">
        <v>46427</v>
      </c>
      <c r="B36909" s="4" t="s">
        <v>46430</v>
      </c>
      <c r="C36909" s="5" t="str">
        <f>IFERROR(__xludf.DUMMYFUNCTION("GOOGLETRANSLATE(B36909,""en"",""zh-CN"")"),"该男子旋转并扔了铁饼。")</f>
        <v>该男子旋转并扔了铁饼。</v>
      </c>
    </row>
    <row r="36910">
      <c r="A36910" s="4" t="s">
        <v>46431</v>
      </c>
      <c r="B36910" s="6" t="s">
        <v>46432</v>
      </c>
      <c r="C36910" s="5" t="str">
        <f>IFERROR(__xludf.DUMMYFUNCTION("GOOGLETRANSLATE(B36910,""en"",""zh-CN"")"),"看到一群自行车骑手彼此并排准备，并与前面的一个男人说话。")</f>
        <v>看到一群自行车骑手彼此并排准备，并与前面的一个男人说话。</v>
      </c>
    </row>
    <row r="36911">
      <c r="A36911" s="4" t="s">
        <v>46431</v>
      </c>
      <c r="B36911" s="6" t="s">
        <v>46433</v>
      </c>
      <c r="C36911" s="5" t="str">
        <f>IFERROR(__xludf.DUMMYFUNCTION("GOOGLETRANSLATE(B36911,""en"",""zh-CN"")"),"相机继续围绕骑手准备，最后跳下并沿着泥土路径赛车。")</f>
        <v>相机继续围绕骑手准备，最后跳下并沿着泥土路径赛车。</v>
      </c>
    </row>
    <row r="36912">
      <c r="A36912" s="4" t="s">
        <v>46434</v>
      </c>
      <c r="B36912" s="6" t="s">
        <v>46435</v>
      </c>
      <c r="C36912" s="5" t="str">
        <f>IFERROR(__xludf.DUMMYFUNCTION("GOOGLETRANSLATE(B36912,""en"",""zh-CN"")"),"看到一个年轻的女孩在南瓜的顶部切一个洞，然后挖出种子并切开侧面。")</f>
        <v>看到一个年轻的女孩在南瓜的顶部切一个洞，然后挖出种子并切开侧面。</v>
      </c>
    </row>
    <row r="36913">
      <c r="A36913" s="4" t="s">
        <v>46434</v>
      </c>
      <c r="B36913" s="4" t="s">
        <v>46436</v>
      </c>
      <c r="C36913" s="5" t="str">
        <f>IFERROR(__xludf.DUMMYFUNCTION("GOOGLETRANSLATE(B36913,""en"",""zh-CN"")"),"女孩从南瓜上擦去，放在顶部，在黑暗中展示南瓜。")</f>
        <v>女孩从南瓜上擦去，放在顶部，在黑暗中展示南瓜。</v>
      </c>
    </row>
    <row r="36914">
      <c r="A36914" s="4" t="s">
        <v>46437</v>
      </c>
      <c r="B36914" s="4" t="s">
        <v>46438</v>
      </c>
      <c r="C36914" s="5" t="str">
        <f>IFERROR(__xludf.DUMMYFUNCTION("GOOGLETRANSLATE(B36914,""en"",""zh-CN"")"),"一个站在柜台上的女人说制作巧克力曲奇。")</f>
        <v>一个站在柜台上的女人说制作巧克力曲奇。</v>
      </c>
    </row>
    <row r="36915">
      <c r="A36915" s="4" t="s">
        <v>46437</v>
      </c>
      <c r="B36915" s="4" t="s">
        <v>46439</v>
      </c>
      <c r="C36915" s="5" t="str">
        <f>IFERROR(__xludf.DUMMYFUNCTION("GOOGLETRANSLATE(B36915,""en"",""zh-CN"")"),"她将配料与手工搅拌机混合在一起。")</f>
        <v>她将配料与手工搅拌机混合在一起。</v>
      </c>
    </row>
    <row r="36916">
      <c r="A36916" s="4" t="s">
        <v>46437</v>
      </c>
      <c r="B36916" s="4" t="s">
        <v>46440</v>
      </c>
      <c r="C36916" s="5" t="str">
        <f>IFERROR(__xludf.DUMMYFUNCTION("GOOGLETRANSLATE(B36916,""en"",""zh-CN"")"),"然后，她将面粉与小苏打一起测量后将面粉放入碗中。")</f>
        <v>然后，她将面粉与小苏打一起测量后将面粉放入碗中。</v>
      </c>
    </row>
    <row r="36917">
      <c r="A36917" s="4" t="s">
        <v>46437</v>
      </c>
      <c r="B36917" s="4" t="s">
        <v>46441</v>
      </c>
      <c r="C36917" s="5" t="str">
        <f>IFERROR(__xludf.DUMMYFUNCTION("GOOGLETRANSLATE(B36917,""en"",""zh-CN"")"),"她将其添加到饼干面团中，然后手工混合，然后加入巧克力片。")</f>
        <v>她将其添加到饼干面团中，然后手工混合，然后加入巧克力片。</v>
      </c>
    </row>
    <row r="36918">
      <c r="A36918" s="4" t="s">
        <v>46437</v>
      </c>
      <c r="B36918" s="4" t="s">
        <v>46442</v>
      </c>
      <c r="C36918" s="5" t="str">
        <f>IFERROR(__xludf.DUMMYFUNCTION("GOOGLETRANSLATE(B36918,""en"",""zh-CN"")"),"然后，她测量烤盘上的面团进行烹饪。")</f>
        <v>然后，她测量烤盘上的面团进行烹饪。</v>
      </c>
    </row>
    <row r="36919">
      <c r="A36919" s="4" t="s">
        <v>46437</v>
      </c>
      <c r="B36919" s="4" t="s">
        <v>46443</v>
      </c>
      <c r="C36919" s="5" t="str">
        <f>IFERROR(__xludf.DUMMYFUNCTION("GOOGLETRANSLATE(B36919,""en"",""zh-CN"")"),"放在烤箱中，冷却后，您有饼干。")</f>
        <v>放在烤箱中，冷却后，您有饼干。</v>
      </c>
    </row>
    <row r="36920">
      <c r="A36920" s="4" t="s">
        <v>46444</v>
      </c>
      <c r="B36920" s="4" t="s">
        <v>46445</v>
      </c>
      <c r="C36920" s="5" t="str">
        <f>IFERROR(__xludf.DUMMYFUNCTION("GOOGLETRANSLATE(B36920,""en"",""zh-CN"")"),"一个女孩从厨房的桌子上站起来。")</f>
        <v>一个女孩从厨房的桌子上站起来。</v>
      </c>
    </row>
    <row r="36921">
      <c r="A36921" s="4" t="s">
        <v>46444</v>
      </c>
      <c r="B36921" s="4" t="s">
        <v>46446</v>
      </c>
      <c r="C36921" s="5" t="str">
        <f>IFERROR(__xludf.DUMMYFUNCTION("GOOGLETRANSLATE(B36921,""en"",""zh-CN"")"),"她和另一个女孩有眼镜和勺子。")</f>
        <v>她和另一个女孩有眼镜和勺子。</v>
      </c>
    </row>
    <row r="36922">
      <c r="A36922" s="4" t="s">
        <v>46444</v>
      </c>
      <c r="B36922" s="4" t="s">
        <v>46447</v>
      </c>
      <c r="C36922" s="5" t="str">
        <f>IFERROR(__xludf.DUMMYFUNCTION("GOOGLETRANSLATE(B36922,""en"",""zh-CN"")"),"当他们坐在地板上时，他们继续吃这种物质。")</f>
        <v>当他们坐在地板上时，他们继续吃这种物质。</v>
      </c>
    </row>
    <row r="36923">
      <c r="A36923" s="4" t="s">
        <v>46448</v>
      </c>
      <c r="B36923" s="4" t="s">
        <v>46449</v>
      </c>
      <c r="C36923" s="5" t="str">
        <f>IFERROR(__xludf.DUMMYFUNCTION("GOOGLETRANSLATE(B36923,""en"",""zh-CN"")"),"一个拿着驼鹿的人移动木偶，然后进入一个打开盒子的人。")</f>
        <v>一个拿着驼鹿的人移动木偶，然后进入一个打开盒子的人。</v>
      </c>
    </row>
    <row r="36924">
      <c r="A36924" s="4" t="s">
        <v>46448</v>
      </c>
      <c r="B36924" s="4" t="s">
        <v>46450</v>
      </c>
      <c r="C36924" s="5" t="str">
        <f>IFERROR(__xludf.DUMMYFUNCTION("GOOGLETRANSLATE(B36924,""en"",""zh-CN"")"),"该人将南瓜从盒子里拉出来，并在顶部切一个圆圈。")</f>
        <v>该人将南瓜从盒子里拉出来，并在顶部切一个圆圈。</v>
      </c>
    </row>
    <row r="36925">
      <c r="A36925" s="4" t="s">
        <v>46448</v>
      </c>
      <c r="B36925" s="6" t="s">
        <v>46451</v>
      </c>
      <c r="C36925" s="5" t="str">
        <f>IFERROR(__xludf.DUMMYFUNCTION("GOOGLETRANSLATE(B36925,""en"",""zh-CN"")"),"他在使用驼鹿的同时，他从南瓜中勺子从南瓜中勺，并使用标记在其侧面画。")</f>
        <v>他在使用驼鹿的同时，他从南瓜中勺子从南瓜中勺，并使用标记在其侧面画。</v>
      </c>
    </row>
    <row r="36926">
      <c r="A36926" s="4" t="s">
        <v>46448</v>
      </c>
      <c r="B36926" s="4" t="s">
        <v>46452</v>
      </c>
      <c r="C36926" s="5" t="str">
        <f>IFERROR(__xludf.DUMMYFUNCTION("GOOGLETRANSLATE(B36926,""en"",""zh-CN"")"),"他在标记线上切下来，并在里面放一支蜡烛，制作一个杰克O灯笼。")</f>
        <v>他在标记线上切下来，并在里面放一支蜡烛，制作一个杰克O灯笼。</v>
      </c>
    </row>
    <row r="36927">
      <c r="A36927" s="4" t="s">
        <v>46453</v>
      </c>
      <c r="B36927" s="4" t="s">
        <v>46454</v>
      </c>
      <c r="C36927" s="5" t="str">
        <f>IFERROR(__xludf.DUMMYFUNCTION("GOOGLETRANSLATE(B36927,""en"",""zh-CN"")"),"一个男人自己站在浴室里，一边拿着剃刀靠近他的脸。")</f>
        <v>一个男人自己站在浴室里，一边拿着剃刀靠近他的脸。</v>
      </c>
    </row>
    <row r="36928">
      <c r="A36928" s="4" t="s">
        <v>46453</v>
      </c>
      <c r="B36928" s="4" t="s">
        <v>46455</v>
      </c>
      <c r="C36928" s="5" t="str">
        <f>IFERROR(__xludf.DUMMYFUNCTION("GOOGLETRANSLATE(B36928,""en"",""zh-CN"")"),"他开始轻轻剃光脸的侧面，然后向下移动胡须。")</f>
        <v>他开始轻轻剃光脸的侧面，然后向下移动胡须。</v>
      </c>
    </row>
    <row r="36929">
      <c r="A36929" s="4" t="s">
        <v>46453</v>
      </c>
      <c r="B36929" s="6" t="s">
        <v>46456</v>
      </c>
      <c r="C36929" s="5" t="str">
        <f>IFERROR(__xludf.DUMMYFUNCTION("GOOGLETRANSLATE(B36929,""en"",""zh-CN"")"),"他继续从各个角度剃光胡须，最终只留下了五个0的锁阴影。")</f>
        <v>他继续从各个角度剃光胡须，最终只留下了五个0的锁阴影。</v>
      </c>
    </row>
    <row r="36930">
      <c r="A36930" s="4" t="s">
        <v>46457</v>
      </c>
      <c r="B36930" s="4" t="s">
        <v>46458</v>
      </c>
      <c r="C36930" s="5" t="str">
        <f>IFERROR(__xludf.DUMMYFUNCTION("GOOGLETRANSLATE(B36930,""en"",""zh-CN"")"),"一名中年白人女性站在图片旁边的某种大厅里。")</f>
        <v>一名中年白人女性站在图片旁边的某种大厅里。</v>
      </c>
    </row>
    <row r="36931">
      <c r="A36931" s="4" t="s">
        <v>46457</v>
      </c>
      <c r="B36931" s="6" t="s">
        <v>46459</v>
      </c>
      <c r="C36931" s="5" t="str">
        <f>IFERROR(__xludf.DUMMYFUNCTION("GOOGLETRANSLATE(B36931,""en"",""zh-CN"")"),"然后，她重新出现在同一个地方的另一个房间，并在镜子，花瓶和植物前说话。")</f>
        <v>然后，她重新出现在同一个地方的另一个房间，并在镜子，花瓶和植物前说话。</v>
      </c>
    </row>
    <row r="36932">
      <c r="A36932" s="4" t="s">
        <v>46457</v>
      </c>
      <c r="B36932" s="6" t="s">
        <v>46460</v>
      </c>
      <c r="C36932" s="5" t="str">
        <f>IFERROR(__xludf.DUMMYFUNCTION("GOOGLETRANSLATE(B36932,""en"",""zh-CN"")"),"在她的手中，她有一个带有鞋抛光剂的小圆形容器，并带有抹布并将抹布浸入容器中。")</f>
        <v>在她的手中，她有一个带有鞋抛光剂的小圆形容器，并带有抹布并将抹布浸入容器中。</v>
      </c>
    </row>
    <row r="36933">
      <c r="A36933" s="4" t="s">
        <v>46457</v>
      </c>
      <c r="B36933" s="4" t="s">
        <v>46461</v>
      </c>
      <c r="C36933" s="5" t="str">
        <f>IFERROR(__xludf.DUMMYFUNCTION("GOOGLETRANSLATE(B36933,""en"",""zh-CN"")"),"然后，女人继续用布和抛光剂清洁男装鞋。")</f>
        <v>然后，女人继续用布和抛光剂清洁男装鞋。</v>
      </c>
    </row>
    <row r="36934">
      <c r="A36934" s="4" t="s">
        <v>46457</v>
      </c>
      <c r="B36934" s="4" t="s">
        <v>46462</v>
      </c>
      <c r="C36934" s="5" t="str">
        <f>IFERROR(__xludf.DUMMYFUNCTION("GOOGLETRANSLATE(B36934,""en"",""zh-CN"")"),"然后，她刷一下，开始用它穿过鞋子，然后短暂停下来开始说话。")</f>
        <v>然后，她刷一下，开始用它穿过鞋子，然后短暂停下来开始说话。</v>
      </c>
    </row>
    <row r="36935">
      <c r="A36935" s="4" t="s">
        <v>46463</v>
      </c>
      <c r="B36935" s="4" t="s">
        <v>46464</v>
      </c>
      <c r="C36935" s="5" t="str">
        <f>IFERROR(__xludf.DUMMYFUNCTION("GOOGLETRANSLATE(B36935,""en"",""zh-CN"")"),"一群女孩站在一个挤在一起的田野周围。")</f>
        <v>一群女孩站在一个挤在一起的田野周围。</v>
      </c>
    </row>
    <row r="36936">
      <c r="A36936" s="4" t="s">
        <v>46463</v>
      </c>
      <c r="B36936" s="4" t="s">
        <v>46465</v>
      </c>
      <c r="C36936" s="5" t="str">
        <f>IFERROR(__xludf.DUMMYFUNCTION("GOOGLETRANSLATE(B36936,""en"",""zh-CN"")"),"接下来的镜头是女孩在田野里跑来跑去，将球向后传球和第四次。")</f>
        <v>接下来的镜头是女孩在田野里跑来跑去，将球向后传球和第四次。</v>
      </c>
    </row>
    <row r="36937">
      <c r="A36937" s="4" t="s">
        <v>46463</v>
      </c>
      <c r="B36937" s="4" t="s">
        <v>46466</v>
      </c>
      <c r="C36937" s="5" t="str">
        <f>IFERROR(__xludf.DUMMYFUNCTION("GOOGLETRANSLATE(B36937,""en"",""zh-CN"")"),"一个女孩将球射入进球并达到一点。")</f>
        <v>一个女孩将球射入进球并达到一点。</v>
      </c>
    </row>
    <row r="36938">
      <c r="A36938" s="4" t="s">
        <v>46463</v>
      </c>
      <c r="B36938" s="4" t="s">
        <v>46467</v>
      </c>
      <c r="C36938" s="5" t="str">
        <f>IFERROR(__xludf.DUMMYFUNCTION("GOOGLETRANSLATE(B36938,""en"",""zh-CN"")"),"后来另一次试图开球，但被守门员阻止。")</f>
        <v>后来另一次试图开球，但被守门员阻止。</v>
      </c>
    </row>
    <row r="36939">
      <c r="A36939" s="4" t="s">
        <v>46468</v>
      </c>
      <c r="B36939" s="4" t="s">
        <v>46469</v>
      </c>
      <c r="C36939" s="5" t="str">
        <f>IFERROR(__xludf.DUMMYFUNCTION("GOOGLETRANSLATE(B36939,""en"",""zh-CN"")"),"一个男人在他的车门附近拿着风。")</f>
        <v>一个男人在他的车门附近拿着风。</v>
      </c>
    </row>
    <row r="36940">
      <c r="A36940" s="4" t="s">
        <v>46468</v>
      </c>
      <c r="B36940" s="4" t="s">
        <v>46470</v>
      </c>
      <c r="C36940" s="5" t="str">
        <f>IFERROR(__xludf.DUMMYFUNCTION("GOOGLETRANSLATE(B36940,""en"",""zh-CN"")"),"然后，男人用风将窗户喷洒，擦拭窗户。")</f>
        <v>然后，男人用风将窗户喷洒，擦拭窗户。</v>
      </c>
    </row>
    <row r="36941">
      <c r="A36941" s="4" t="s">
        <v>46468</v>
      </c>
      <c r="B36941" s="4" t="s">
        <v>46471</v>
      </c>
      <c r="C36941" s="5" t="str">
        <f>IFERROR(__xludf.DUMMYFUNCTION("GOOGLETRANSLATE(B36941,""en"",""zh-CN"")"),"该男子将窗户滚动。")</f>
        <v>该男子将窗户滚动。</v>
      </c>
    </row>
    <row r="36942">
      <c r="A36942" s="4" t="s">
        <v>46468</v>
      </c>
      <c r="B36942" s="4" t="s">
        <v>46472</v>
      </c>
      <c r="C36942" s="5" t="str">
        <f>IFERROR(__xludf.DUMMYFUNCTION("GOOGLETRANSLATE(B36942,""en"",""zh-CN"")"),"该男子完成并滚动窗户以擦拭更多。")</f>
        <v>该男子完成并滚动窗户以擦拭更多。</v>
      </c>
    </row>
    <row r="36943">
      <c r="A36943" s="4" t="s">
        <v>46473</v>
      </c>
      <c r="B36943" s="4" t="s">
        <v>25249</v>
      </c>
      <c r="C36943" s="5" t="str">
        <f>IFERROR(__xludf.DUMMYFUNCTION("GOOGLETRANSLATE(B36943,""en"",""zh-CN"")"),"显示了剪辑的信用。")</f>
        <v>显示了剪辑的信用。</v>
      </c>
    </row>
    <row r="36944">
      <c r="A36944" s="4" t="s">
        <v>46473</v>
      </c>
      <c r="B36944" s="4" t="s">
        <v>46474</v>
      </c>
      <c r="C36944" s="5" t="str">
        <f>IFERROR(__xludf.DUMMYFUNCTION("GOOGLETRANSLATE(B36944,""en"",""zh-CN"")"),"伙计们在田野上玩曲棍球。")</f>
        <v>伙计们在田野上玩曲棍球。</v>
      </c>
    </row>
    <row r="36945">
      <c r="A36945" s="4" t="s">
        <v>46473</v>
      </c>
      <c r="B36945" s="4" t="s">
        <v>46475</v>
      </c>
      <c r="C36945" s="5" t="str">
        <f>IFERROR(__xludf.DUMMYFUNCTION("GOOGLETRANSLATE(B36945,""en"",""zh-CN"")"),"一个男人将男性推到地面上。")</f>
        <v>一个男人将男性推到地面上。</v>
      </c>
    </row>
    <row r="36946">
      <c r="A36946" s="4" t="s">
        <v>46473</v>
      </c>
      <c r="B36946" s="4" t="s">
        <v>573</v>
      </c>
      <c r="C36946" s="5" t="str">
        <f>IFERROR(__xludf.DUMMYFUNCTION("GOOGLETRANSLATE(B36946,""en"",""zh-CN"")"),"显示了视频的积分。")</f>
        <v>显示了视频的积分。</v>
      </c>
    </row>
    <row r="36947">
      <c r="A36947" s="4" t="s">
        <v>46476</v>
      </c>
      <c r="B36947" s="6" t="s">
        <v>46477</v>
      </c>
      <c r="C36947" s="5" t="str">
        <f>IFERROR(__xludf.DUMMYFUNCTION("GOOGLETRANSLATE(B36947,""en"",""zh-CN"")"),"出现特殊效果介绍屏幕，主要是红色，并在上面包含“如何改善排球尖峰”的单词。")</f>
        <v>出现特殊效果介绍屏幕，主要是红色，并在上面包含“如何改善排球尖峰”的单词。</v>
      </c>
    </row>
    <row r="36948">
      <c r="A36948" s="4" t="s">
        <v>46476</v>
      </c>
      <c r="B36948" s="6" t="s">
        <v>46478</v>
      </c>
      <c r="C36948" s="5" t="str">
        <f>IFERROR(__xludf.DUMMYFUNCTION("GOOGLETRANSLATE(B36948,""en"",""zh-CN"")"),"在慢动作中，一个男人在排球场上表现出动作，因为白色文字在他的某些动作时出现。")</f>
        <v>在慢动作中，一个男人在排球场上表现出动作，因为白色文字在他的某些动作时出现。</v>
      </c>
    </row>
    <row r="36949">
      <c r="A36949" s="4" t="s">
        <v>46476</v>
      </c>
      <c r="B36949" s="6" t="s">
        <v>46479</v>
      </c>
      <c r="C36949" s="5" t="str">
        <f>IFERROR(__xludf.DUMMYFUNCTION("GOOGLETRANSLATE(B36949,""en"",""zh-CN"")"),"当他完成一个红色屏幕时，出现了一个白色文字中的网站，该网站上说的是“ Acuspike dot com”，其中包括蓝色剪贴画和白色排球。")</f>
        <v>当他完成一个红色屏幕时，出现了一个白色文字中的网站，该网站上说的是“ Acuspike dot com”，其中包括蓝色剪贴画和白色排球。</v>
      </c>
    </row>
    <row r="36950">
      <c r="A36950" s="4" t="s">
        <v>46480</v>
      </c>
      <c r="B36950" s="4" t="s">
        <v>46481</v>
      </c>
      <c r="C36950" s="5" t="str">
        <f>IFERROR(__xludf.DUMMYFUNCTION("GOOGLETRANSLATE(B36950,""en"",""zh-CN"")"),"一名非洲裔美国男性体操运动员，在两个酒吧下方的蓝色紧身连衣裤中台阶，开始伸展。")</f>
        <v>一名非洲裔美国男性体操运动员，在两个酒吧下方的蓝色紧身连衣裤中台阶，开始伸展。</v>
      </c>
    </row>
    <row r="36951">
      <c r="A36951" s="4" t="s">
        <v>46480</v>
      </c>
      <c r="B36951" s="4" t="s">
        <v>46482</v>
      </c>
      <c r="C36951" s="5" t="str">
        <f>IFERROR(__xludf.DUMMYFUNCTION("GOOGLETRANSLATE(B36951,""en"",""zh-CN"")"),"他抓住酒吧，将自己拉到酒吧上的手站立。")</f>
        <v>他抓住酒吧，将自己拉到酒吧上的手站立。</v>
      </c>
    </row>
    <row r="36952">
      <c r="A36952" s="4" t="s">
        <v>46480</v>
      </c>
      <c r="B36952" s="4" t="s">
        <v>46483</v>
      </c>
      <c r="C36952" s="5" t="str">
        <f>IFERROR(__xludf.DUMMYFUNCTION("GOOGLETRANSLATE(B36952,""en"",""zh-CN"")"),"他继续进行杂技翻转和连续翻转。")</f>
        <v>他继续进行杂技翻转和连续翻转。</v>
      </c>
    </row>
    <row r="36953">
      <c r="A36953" s="4" t="s">
        <v>46480</v>
      </c>
      <c r="B36953" s="4" t="s">
        <v>46484</v>
      </c>
      <c r="C36953" s="5" t="str">
        <f>IFERROR(__xludf.DUMMYFUNCTION("GOOGLETRANSLATE(B36953,""en"",""zh-CN"")"),"他的下一组翻转由横杆上的拆分组成，然后是手持脚架。")</f>
        <v>他的下一组翻转由横杆上的拆分组成，然后是手持脚架。</v>
      </c>
    </row>
    <row r="36954">
      <c r="A36954" s="4" t="s">
        <v>46480</v>
      </c>
      <c r="B36954" s="4" t="s">
        <v>46485</v>
      </c>
      <c r="C36954" s="5" t="str">
        <f>IFERROR(__xludf.DUMMYFUNCTION("GOOGLETRANSLATE(B36954,""en"",""zh-CN"")"),"最后，他从酒吧上翻转，降落在垫子上以完成表演。")</f>
        <v>最后，他从酒吧上翻转，降落在垫子上以完成表演。</v>
      </c>
    </row>
    <row r="36955">
      <c r="A36955" s="4" t="s">
        <v>46486</v>
      </c>
      <c r="B36955" s="4" t="s">
        <v>46487</v>
      </c>
      <c r="C36955" s="5" t="str">
        <f>IFERROR(__xludf.DUMMYFUNCTION("GOOGLETRANSLATE(B36955,""en"",""zh-CN"")"),"阳光有阳光的天空在云层中窥视。")</f>
        <v>阳光有阳光的天空在云层中窥视。</v>
      </c>
    </row>
    <row r="36956">
      <c r="A36956" s="4" t="s">
        <v>46486</v>
      </c>
      <c r="B36956" s="4" t="s">
        <v>46488</v>
      </c>
      <c r="C36956" s="5" t="str">
        <f>IFERROR(__xludf.DUMMYFUNCTION("GOOGLETRANSLATE(B36956,""en"",""zh-CN"")"),"一个男人在人群面前的轨道上。")</f>
        <v>一个男人在人群面前的轨道上。</v>
      </c>
    </row>
    <row r="36957">
      <c r="A36957" s="4" t="s">
        <v>46486</v>
      </c>
      <c r="B36957" s="4" t="s">
        <v>46489</v>
      </c>
      <c r="C36957" s="5" t="str">
        <f>IFERROR(__xludf.DUMMYFUNCTION("GOOGLETRANSLATE(B36957,""en"",""zh-CN"")"),"他跑步，慢动作。")</f>
        <v>他跑步，慢动作。</v>
      </c>
    </row>
    <row r="36958">
      <c r="A36958" s="4" t="s">
        <v>46486</v>
      </c>
      <c r="B36958" s="4" t="s">
        <v>46490</v>
      </c>
      <c r="C36958" s="5" t="str">
        <f>IFERROR(__xludf.DUMMYFUNCTION("GOOGLETRANSLATE(B36958,""en"",""zh-CN"")"),"他在赢得奖牌时庆祝。")</f>
        <v>他在赢得奖牌时庆祝。</v>
      </c>
    </row>
    <row r="36959">
      <c r="A36959" s="4" t="s">
        <v>46486</v>
      </c>
      <c r="B36959" s="4" t="s">
        <v>46491</v>
      </c>
      <c r="C36959" s="5" t="str">
        <f>IFERROR(__xludf.DUMMYFUNCTION("GOOGLETRANSLATE(B36959,""en"",""zh-CN"")"),"一个男人在谈论他。")</f>
        <v>一个男人在谈论他。</v>
      </c>
    </row>
    <row r="36960">
      <c r="A36960" s="4" t="s">
        <v>46486</v>
      </c>
      <c r="B36960" s="4" t="s">
        <v>46492</v>
      </c>
      <c r="C36960" s="5" t="str">
        <f>IFERROR(__xludf.DUMMYFUNCTION("GOOGLETRANSLATE(B36960,""en"",""zh-CN"")"),"学分出现在最后。")</f>
        <v>学分出现在最后。</v>
      </c>
    </row>
    <row r="36961">
      <c r="A36961" s="4" t="s">
        <v>46493</v>
      </c>
      <c r="B36961" s="4" t="s">
        <v>46494</v>
      </c>
      <c r="C36961" s="5" t="str">
        <f>IFERROR(__xludf.DUMMYFUNCTION("GOOGLETRANSLATE(B36961,""en"",""zh-CN"")"),"一个男人和一个女人站在客厅里，上面放着大型相扑服装。")</f>
        <v>一个男人和一个女人站在客厅里，上面放着大型相扑服装。</v>
      </c>
    </row>
    <row r="36962">
      <c r="A36962" s="4" t="s">
        <v>46493</v>
      </c>
      <c r="B36962" s="4" t="s">
        <v>46495</v>
      </c>
      <c r="C36962" s="5" t="str">
        <f>IFERROR(__xludf.DUMMYFUNCTION("GOOGLETRANSLATE(B36962,""en"",""zh-CN"")"),"那个女孩跳了起来，然后男人试图看看制服有多重。")</f>
        <v>那个女孩跳了起来，然后男人试图看看制服有多重。</v>
      </c>
    </row>
    <row r="36963">
      <c r="A36963" s="4" t="s">
        <v>46493</v>
      </c>
      <c r="B36963" s="6" t="s">
        <v>46496</v>
      </c>
      <c r="C36963" s="5" t="str">
        <f>IFERROR(__xludf.DUMMYFUNCTION("GOOGLETRANSLATE(B36963,""en"",""zh-CN"")"),"接下来，该男子举起一袋柠檬，然后在戴上头部设备之前开始说话。")</f>
        <v>接下来，该男子举起一袋柠檬，然后在戴上头部设备之前开始说话。</v>
      </c>
    </row>
    <row r="36964">
      <c r="A36964" s="4" t="s">
        <v>46493</v>
      </c>
      <c r="B36964" s="4" t="s">
        <v>46497</v>
      </c>
      <c r="C36964" s="5" t="str">
        <f>IFERROR(__xludf.DUMMYFUNCTION("GOOGLETRANSLATE(B36964,""en"",""zh-CN"")"),"现在，是时候进行比赛了，他们开始互相搏斗。")</f>
        <v>现在，是时候进行比赛了，他们开始互相搏斗。</v>
      </c>
    </row>
    <row r="36965">
      <c r="A36965" s="4" t="s">
        <v>46493</v>
      </c>
      <c r="B36965" s="6" t="s">
        <v>46498</v>
      </c>
      <c r="C36965" s="5" t="str">
        <f>IFERROR(__xludf.DUMMYFUNCTION("GOOGLETRANSLATE(B36965,""en"",""zh-CN"")"),"但是，他们为比赛添加了一个功能，每个人都必须将柠檬戴在对方的帽子上才能获得积分。")</f>
        <v>但是，他们为比赛添加了一个功能，每个人都必须将柠檬戴在对方的帽子上才能获得积分。</v>
      </c>
    </row>
    <row r="36966">
      <c r="A36966" s="4" t="s">
        <v>46493</v>
      </c>
      <c r="B36966" s="4" t="s">
        <v>46499</v>
      </c>
      <c r="C36966" s="5" t="str">
        <f>IFERROR(__xludf.DUMMYFUNCTION("GOOGLETRANSLATE(B36966,""en"",""zh-CN"")"),"经过几次尝试，女孩获胜，比分为4到0。")</f>
        <v>经过几次尝试，女孩获胜，比分为4到0。</v>
      </c>
    </row>
    <row r="36967">
      <c r="A36967" s="4" t="s">
        <v>46493</v>
      </c>
      <c r="B36967" s="4" t="s">
        <v>46500</v>
      </c>
      <c r="C36967" s="5" t="str">
        <f>IFERROR(__xludf.DUMMYFUNCTION("GOOGLETRANSLATE(B36967,""en"",""zh-CN"")"),"现在开始第二轮，结果与女孩作弊赢得的结果相同。")</f>
        <v>现在开始第二轮，结果与女孩作弊赢得的结果相同。</v>
      </c>
    </row>
    <row r="36968">
      <c r="A36968" s="4" t="s">
        <v>46501</v>
      </c>
      <c r="B36968" s="4" t="s">
        <v>46502</v>
      </c>
      <c r="C36968" s="5" t="str">
        <f>IFERROR(__xludf.DUMMYFUNCTION("GOOGLETRANSLATE(B36968,""en"",""zh-CN"")"),"两个真空出现在灰色房间中。")</f>
        <v>两个真空出现在灰色房间中。</v>
      </c>
    </row>
    <row r="36969">
      <c r="A36969" s="4" t="s">
        <v>46501</v>
      </c>
      <c r="B36969" s="4" t="s">
        <v>46503</v>
      </c>
      <c r="C36969" s="5" t="str">
        <f>IFERROR(__xludf.DUMMYFUNCTION("GOOGLETRANSLATE(B36969,""en"",""zh-CN"")"),"其中一种真空消失了。")</f>
        <v>其中一种真空消失了。</v>
      </c>
    </row>
    <row r="36970">
      <c r="A36970" s="4" t="s">
        <v>46501</v>
      </c>
      <c r="B36970" s="4" t="s">
        <v>46504</v>
      </c>
      <c r="C36970" s="5" t="str">
        <f>IFERROR(__xludf.DUMMYFUNCTION("GOOGLETRANSLATE(B36970,""en"",""zh-CN"")"),"一位女士的真空吸尘器，然后清空了真空。")</f>
        <v>一位女士的真空吸尘器，然后清空了真空。</v>
      </c>
    </row>
    <row r="36971">
      <c r="A36971" s="4" t="s">
        <v>46501</v>
      </c>
      <c r="B36971" s="4" t="s">
        <v>46505</v>
      </c>
      <c r="C36971" s="5" t="str">
        <f>IFERROR(__xludf.DUMMYFUNCTION("GOOGLETRANSLATE(B36971,""en"",""zh-CN"")"),"那位女士将真空吸尘器放在壁橱里。")</f>
        <v>那位女士将真空吸尘器放在壁橱里。</v>
      </c>
    </row>
    <row r="36972">
      <c r="A36972" s="4" t="s">
        <v>46501</v>
      </c>
      <c r="B36972" s="4" t="s">
        <v>46506</v>
      </c>
      <c r="C36972" s="5" t="str">
        <f>IFERROR(__xludf.DUMMYFUNCTION("GOOGLETRANSLATE(B36972,""en"",""zh-CN"")"),"我们看到一个装满桌子和工程师设计产品的房间。")</f>
        <v>我们看到一个装满桌子和工程师设计产品的房间。</v>
      </c>
    </row>
    <row r="36973">
      <c r="A36973" s="4" t="s">
        <v>46501</v>
      </c>
      <c r="B36973" s="4" t="s">
        <v>46507</v>
      </c>
      <c r="C36973" s="5" t="str">
        <f>IFERROR(__xludf.DUMMYFUNCTION("GOOGLETRANSLATE(B36973,""en"",""zh-CN"")"),"三名戴森球迷向相机转动。")</f>
        <v>三名戴森球迷向相机转动。</v>
      </c>
    </row>
    <row r="36974">
      <c r="A36974" s="4" t="s">
        <v>46508</v>
      </c>
      <c r="B36974" s="4" t="s">
        <v>46509</v>
      </c>
      <c r="C36974" s="5" t="str">
        <f>IFERROR(__xludf.DUMMYFUNCTION("GOOGLETRANSLATE(B36974,""en"",""zh-CN"")"),"看到一个女人在相机上说话并举起锡。")</f>
        <v>看到一个女人在相机上说话并举起锡。</v>
      </c>
    </row>
    <row r="36975">
      <c r="A36975" s="4" t="s">
        <v>46508</v>
      </c>
      <c r="B36975" s="4" t="s">
        <v>46510</v>
      </c>
      <c r="C36975" s="5" t="str">
        <f>IFERROR(__xludf.DUMMYFUNCTION("GOOGLETRANSLATE(B36975,""en"",""zh-CN"")"),"然后，她将一张纸折叠成飞机，然后沿锅擦拭。")</f>
        <v>然后，她将一张纸折叠成飞机，然后沿锅擦拭。</v>
      </c>
    </row>
    <row r="36976">
      <c r="A36976" s="4" t="s">
        <v>46508</v>
      </c>
      <c r="B36976" s="4" t="s">
        <v>46511</v>
      </c>
      <c r="C36976" s="5" t="str">
        <f>IFERROR(__xludf.DUMMYFUNCTION("GOOGLETRANSLATE(B36976,""en"",""zh-CN"")"),"然后，她在与相机交谈时将容器放入锅中。")</f>
        <v>然后，她在与相机交谈时将容器放入锅中。</v>
      </c>
    </row>
    <row r="36977">
      <c r="A36977" s="4" t="s">
        <v>46512</v>
      </c>
      <c r="B36977" s="4" t="s">
        <v>46513</v>
      </c>
      <c r="C36977" s="5" t="str">
        <f>IFERROR(__xludf.DUMMYFUNCTION("GOOGLETRANSLATE(B36977,""en"",""zh-CN"")"),"看到一个男人在镜头上说话，同时展示了人们在打水球的镜头。")</f>
        <v>看到一个男人在镜头上说话，同时展示了人们在打水球的镜头。</v>
      </c>
    </row>
    <row r="36978">
      <c r="A36978" s="4" t="s">
        <v>46512</v>
      </c>
      <c r="B36978" s="4" t="s">
        <v>46514</v>
      </c>
      <c r="C36978" s="5" t="str">
        <f>IFERROR(__xludf.DUMMYFUNCTION("GOOGLETRANSLATE(B36978,""en"",""zh-CN"")"),"显示了更多的剪辑，即人们击球以及主持人与另一个男人说话。")</f>
        <v>显示了更多的剪辑，即人们击球以及主持人与另一个男人说话。</v>
      </c>
    </row>
    <row r="36979">
      <c r="A36979" s="4" t="s">
        <v>46512</v>
      </c>
      <c r="B36979" s="4" t="s">
        <v>46515</v>
      </c>
      <c r="C36979" s="5" t="str">
        <f>IFERROR(__xludf.DUMMYFUNCTION("GOOGLETRANSLATE(B36979,""en"",""zh-CN"")"),"显示了更多人在游泳池里玩并彼此大笑的片段。")</f>
        <v>显示了更多人在游泳池里玩并彼此大笑的片段。</v>
      </c>
    </row>
    <row r="36980">
      <c r="A36980" s="4" t="s">
        <v>46516</v>
      </c>
      <c r="B36980" s="4" t="s">
        <v>46517</v>
      </c>
      <c r="C36980" s="5" t="str">
        <f>IFERROR(__xludf.DUMMYFUNCTION("GOOGLETRANSLATE(B36980,""en"",""zh-CN"")"),"一个男人戴着一双高跷，沿着一条小巷跑来跑去。")</f>
        <v>一个男人戴着一双高跷，沿着一条小巷跑来跑去。</v>
      </c>
    </row>
    <row r="36981">
      <c r="A36981" s="4" t="s">
        <v>46516</v>
      </c>
      <c r="B36981" s="4" t="s">
        <v>46518</v>
      </c>
      <c r="C36981" s="5" t="str">
        <f>IFERROR(__xludf.DUMMYFUNCTION("GOOGLETRANSLATE(B36981,""en"",""zh-CN"")"),"他跑步时弹出自行车。")</f>
        <v>他跑步时弹出自行车。</v>
      </c>
    </row>
    <row r="36982">
      <c r="A36982" s="4" t="s">
        <v>46516</v>
      </c>
      <c r="B36982" s="4" t="s">
        <v>46519</v>
      </c>
      <c r="C36982" s="5" t="str">
        <f>IFERROR(__xludf.DUMMYFUNCTION("GOOGLETRANSLATE(B36982,""en"",""zh-CN"")"),"然后，他沿着建筑物的侧面装饰，然后在拐角处消失。")</f>
        <v>然后，他沿着建筑物的侧面装饰，然后在拐角处消失。</v>
      </c>
    </row>
    <row r="36983">
      <c r="A36983" s="4" t="s">
        <v>46520</v>
      </c>
      <c r="B36983" s="4" t="s">
        <v>46521</v>
      </c>
      <c r="C36983" s="5" t="str">
        <f>IFERROR(__xludf.DUMMYFUNCTION("GOOGLETRANSLATE(B36983,""en"",""zh-CN"")"),"显示了卡通建筑物，然后是一对天使。")</f>
        <v>显示了卡通建筑物，然后是一对天使。</v>
      </c>
    </row>
    <row r="36984">
      <c r="A36984" s="4" t="s">
        <v>46520</v>
      </c>
      <c r="B36984" s="4" t="s">
        <v>46522</v>
      </c>
      <c r="C36984" s="5" t="str">
        <f>IFERROR(__xludf.DUMMYFUNCTION("GOOGLETRANSLATE(B36984,""en"",""zh-CN"")"),"我们看到一个装满衣物的水桶。")</f>
        <v>我们看到一个装满衣物的水桶。</v>
      </c>
    </row>
    <row r="36985">
      <c r="A36985" s="4" t="s">
        <v>46520</v>
      </c>
      <c r="B36985" s="4" t="s">
        <v>46523</v>
      </c>
      <c r="C36985" s="5" t="str">
        <f>IFERROR(__xludf.DUMMYFUNCTION("GOOGLETRANSLATE(B36985,""en"",""zh-CN"")"),"该视频解释了洗衣服应如何涉及浸泡和洗手。")</f>
        <v>该视频解释了洗衣服应如何涉及浸泡和洗手。</v>
      </c>
    </row>
    <row r="36986">
      <c r="A36986" s="4" t="s">
        <v>46520</v>
      </c>
      <c r="B36986" s="4" t="s">
        <v>46524</v>
      </c>
      <c r="C36986" s="5" t="str">
        <f>IFERROR(__xludf.DUMMYFUNCTION("GOOGLETRANSLATE(B36986,""en"",""zh-CN"")"),"然后，它谈论冲洗和悬挂衣服干燥。")</f>
        <v>然后，它谈论冲洗和悬挂衣服干燥。</v>
      </c>
    </row>
    <row r="36987">
      <c r="A36987" s="4" t="s">
        <v>46520</v>
      </c>
      <c r="B36987" s="4" t="s">
        <v>46525</v>
      </c>
      <c r="C36987" s="5" t="str">
        <f>IFERROR(__xludf.DUMMYFUNCTION("GOOGLETRANSLATE(B36987,""en"",""zh-CN"")"),"我们终于在为洗衣房的广告之前看到了一个空干燥机。")</f>
        <v>我们终于在为洗衣房的广告之前看到了一个空干燥机。</v>
      </c>
    </row>
    <row r="36988">
      <c r="A36988" s="4" t="s">
        <v>46526</v>
      </c>
      <c r="B36988" s="4" t="s">
        <v>46527</v>
      </c>
      <c r="C36988" s="5" t="str">
        <f>IFERROR(__xludf.DUMMYFUNCTION("GOOGLETRANSLATE(B36988,""en"",""zh-CN"")"),"一群小孩在操场上。")</f>
        <v>一群小孩在操场上。</v>
      </c>
    </row>
    <row r="36989">
      <c r="A36989" s="4" t="s">
        <v>46526</v>
      </c>
      <c r="B36989" s="4" t="s">
        <v>46528</v>
      </c>
      <c r="C36989" s="5" t="str">
        <f>IFERROR(__xludf.DUMMYFUNCTION("GOOGLETRANSLATE(B36989,""en"",""zh-CN"")"),"他们轮流跳过人行道上绘制的啤酒花游戏。")</f>
        <v>他们轮流跳过人行道上绘制的啤酒花游戏。</v>
      </c>
    </row>
    <row r="36990">
      <c r="A36990" s="4" t="s">
        <v>46526</v>
      </c>
      <c r="B36990" s="4" t="s">
        <v>46529</v>
      </c>
      <c r="C36990" s="5" t="str">
        <f>IFERROR(__xludf.DUMMYFUNCTION("GOOGLETRANSLATE(B36990,""en"",""zh-CN"")"),"他们继续翻身。")</f>
        <v>他们继续翻身。</v>
      </c>
    </row>
    <row r="36991">
      <c r="A36991" s="4" t="s">
        <v>46530</v>
      </c>
      <c r="B36991" s="4" t="s">
        <v>46531</v>
      </c>
      <c r="C36991" s="5" t="str">
        <f>IFERROR(__xludf.DUMMYFUNCTION("GOOGLETRANSLATE(B36991,""en"",""zh-CN"")"),"一个男人在桌子后面做一个魔方。")</f>
        <v>一个男人在桌子后面做一个魔方。</v>
      </c>
    </row>
    <row r="36992">
      <c r="A36992" s="4" t="s">
        <v>46530</v>
      </c>
      <c r="B36992" s="4" t="s">
        <v>46532</v>
      </c>
      <c r="C36992" s="5" t="str">
        <f>IFERROR(__xludf.DUMMYFUNCTION("GOOGLETRANSLATE(B36992,""en"",""zh-CN"")"),"他面前的桌子上有一个计时器。")</f>
        <v>他面前的桌子上有一个计时器。</v>
      </c>
    </row>
    <row r="36993">
      <c r="A36993" s="4" t="s">
        <v>46530</v>
      </c>
      <c r="B36993" s="4" t="s">
        <v>46533</v>
      </c>
      <c r="C36993" s="5" t="str">
        <f>IFERROR(__xludf.DUMMYFUNCTION("GOOGLETRANSLATE(B36993,""en"",""zh-CN"")"),"他捡起另一个魔方，开始完成它。")</f>
        <v>他捡起另一个魔方，开始完成它。</v>
      </c>
    </row>
    <row r="36994">
      <c r="A36994" s="4" t="s">
        <v>46534</v>
      </c>
      <c r="B36994" s="4" t="s">
        <v>46535</v>
      </c>
      <c r="C36994" s="5" t="str">
        <f>IFERROR(__xludf.DUMMYFUNCTION("GOOGLETRANSLATE(B36994,""en"",""zh-CN"")"),"一个男人即将与年长的先生们进行手臂摔跤比赛。")</f>
        <v>一个男人即将与年长的先生们进行手臂摔跤比赛。</v>
      </c>
    </row>
    <row r="36995">
      <c r="A36995" s="4" t="s">
        <v>46534</v>
      </c>
      <c r="B36995" s="4" t="s">
        <v>46536</v>
      </c>
      <c r="C36995" s="5" t="str">
        <f>IFERROR(__xludf.DUMMYFUNCTION("GOOGLETRANSLATE(B36995,""en"",""zh-CN"")"),"那个老人正在挣扎着自己的脸。")</f>
        <v>那个老人正在挣扎着自己的脸。</v>
      </c>
    </row>
    <row r="36996">
      <c r="A36996" s="4" t="s">
        <v>46534</v>
      </c>
      <c r="B36996" s="4" t="s">
        <v>46537</v>
      </c>
      <c r="C36996" s="5" t="str">
        <f>IFERROR(__xludf.DUMMYFUNCTION("GOOGLETRANSLATE(B36996,""en"",""zh-CN"")"),"相机基本上使他们的脸完全放在他们的脸上。")</f>
        <v>相机基本上使他们的脸完全放在他们的脸上。</v>
      </c>
    </row>
    <row r="36997">
      <c r="A36997" s="4" t="s">
        <v>46534</v>
      </c>
      <c r="B36997" s="4" t="s">
        <v>46538</v>
      </c>
      <c r="C36997" s="5" t="str">
        <f>IFERROR(__xludf.DUMMYFUNCTION("GOOGLETRANSLATE(B36997,""en"",""zh-CN"")"),"老人赢得了比赛，裁判和每个人都开始讲话。")</f>
        <v>老人赢得了比赛，裁判和每个人都开始讲话。</v>
      </c>
    </row>
    <row r="36998">
      <c r="A36998" s="4" t="s">
        <v>46539</v>
      </c>
      <c r="B36998" s="6" t="s">
        <v>46540</v>
      </c>
      <c r="C36998" s="5" t="str">
        <f>IFERROR(__xludf.DUMMYFUNCTION("GOOGLETRANSLATE(B36998,""en"",""zh-CN"")"),"与星星一起跳舞的介绍，随后是一个弹钢琴的男人，一对夫妇望向远处。")</f>
        <v>与星星一起跳舞的介绍，随后是一个弹钢琴的男人，一对夫妇望向远处。</v>
      </c>
    </row>
    <row r="36999">
      <c r="A36999" s="4" t="s">
        <v>46539</v>
      </c>
      <c r="B36999" s="4" t="s">
        <v>46541</v>
      </c>
      <c r="C36999" s="5" t="str">
        <f>IFERROR(__xludf.DUMMYFUNCTION("GOOGLETRANSLATE(B36999,""en"",""zh-CN"")"),"当男人站着弹并抓住她时，女人开始弹钢琴。")</f>
        <v>当男人站着弹并抓住她时，女人开始弹钢琴。</v>
      </c>
    </row>
    <row r="37000">
      <c r="A37000" s="4" t="s">
        <v>46539</v>
      </c>
      <c r="B37000" s="4" t="s">
        <v>46542</v>
      </c>
      <c r="C37000" s="5" t="str">
        <f>IFERROR(__xludf.DUMMYFUNCTION("GOOGLETRANSLATE(B37000,""en"",""zh-CN"")"),"他们在一个大舞台上旋转，周围有数百人看着他们跳舞。")</f>
        <v>他们在一个大舞台上旋转，周围有数百人看着他们跳舞。</v>
      </c>
    </row>
    <row r="37001">
      <c r="A37001" s="4" t="s">
        <v>46539</v>
      </c>
      <c r="B37001" s="4" t="s">
        <v>46543</v>
      </c>
      <c r="C37001" s="5" t="str">
        <f>IFERROR(__xludf.DUMMYFUNCTION("GOOGLETRANSLATE(B37001,""en"",""zh-CN"")"),"该男子捡起她，将她旋转在音乐上，并以听众鼓掌结束。")</f>
        <v>该男子捡起她，将她旋转在音乐上，并以听众鼓掌结束。</v>
      </c>
    </row>
    <row r="37002">
      <c r="A37002" s="4" t="s">
        <v>46544</v>
      </c>
      <c r="B37002" s="4" t="s">
        <v>46545</v>
      </c>
      <c r="C37002" s="5" t="str">
        <f>IFERROR(__xludf.DUMMYFUNCTION("GOOGLETRANSLATE(B37002,""en"",""zh-CN"")"),"一群骑着保险杠汽车的人。")</f>
        <v>一群骑着保险杠汽车的人。</v>
      </c>
    </row>
    <row r="37003">
      <c r="A37003" s="4" t="s">
        <v>46544</v>
      </c>
      <c r="B37003" s="4" t="s">
        <v>46546</v>
      </c>
      <c r="C37003" s="5" t="str">
        <f>IFERROR(__xludf.DUMMYFUNCTION("GOOGLETRANSLATE(B37003,""en"",""zh-CN"")"),"服务员越过躲避保险杠汽车的路线。")</f>
        <v>服务员越过躲避保险杠汽车的路线。</v>
      </c>
    </row>
    <row r="37004">
      <c r="A37004" s="4" t="s">
        <v>46544</v>
      </c>
      <c r="B37004" s="4" t="s">
        <v>46547</v>
      </c>
      <c r="C37004" s="5" t="str">
        <f>IFERROR(__xludf.DUMMYFUNCTION("GOOGLETRANSLATE(B37004,""en"",""zh-CN"")"),"服务员跳上女孩汽车，并帮助她操纵汽车。")</f>
        <v>服务员跳上女孩汽车，并帮助她操纵汽车。</v>
      </c>
    </row>
    <row r="37005">
      <c r="A37005" s="4" t="s">
        <v>46544</v>
      </c>
      <c r="B37005" s="6" t="s">
        <v>46548</v>
      </c>
      <c r="C37005" s="5" t="str">
        <f>IFERROR(__xludf.DUMMYFUNCTION("GOOGLETRANSLATE(B37005,""en"",""zh-CN"")"),"服务员继续在整个课程中奔跑，以协助驾驶员，而其他驾驶员继续互相撞车。")</f>
        <v>服务员继续在整个课程中奔跑，以协助驾驶员，而其他驾驶员继续互相撞车。</v>
      </c>
    </row>
    <row r="37006">
      <c r="A37006" s="4" t="s">
        <v>46549</v>
      </c>
      <c r="B37006" s="6" t="s">
        <v>46550</v>
      </c>
      <c r="C37006" s="5" t="str">
        <f>IFERROR(__xludf.DUMMYFUNCTION("GOOGLETRANSLATE(B37006,""en"",""zh-CN"")"),"一个年轻的女孩正坐在屏幕前，当她拿着一瓶蓝色漱口水时开始说话。")</f>
        <v>一个年轻的女孩正坐在屏幕前，当她拿着一瓶蓝色漱口水时开始说话。</v>
      </c>
    </row>
    <row r="37007">
      <c r="A37007" s="4" t="s">
        <v>46549</v>
      </c>
      <c r="B37007" s="6" t="s">
        <v>46551</v>
      </c>
      <c r="C37007" s="5" t="str">
        <f>IFERROR(__xludf.DUMMYFUNCTION("GOOGLETRANSLATE(B37007,""en"",""zh-CN"")"),"然后，女孩漱口水，开始将其放在头顶上，并在制作有趣的面孔的同时。")</f>
        <v>然后，女孩漱口水，开始将其放在头顶上，并在制作有趣的面孔的同时。</v>
      </c>
    </row>
    <row r="37008">
      <c r="A37008" s="4" t="s">
        <v>46549</v>
      </c>
      <c r="B37008" s="4" t="s">
        <v>46552</v>
      </c>
      <c r="C37008" s="5" t="str">
        <f>IFERROR(__xludf.DUMMYFUNCTION("GOOGLETRANSLATE(B37008,""en"",""zh-CN"")"),"拿起它后，女孩们吞噬了它，开始漱口并将其握在她的嘴里。")</f>
        <v>拿起它后，女孩们吞噬了它，开始漱口并将其握在她的嘴里。</v>
      </c>
    </row>
    <row r="37009">
      <c r="A37009" s="4" t="s">
        <v>46549</v>
      </c>
      <c r="B37009" s="4" t="s">
        <v>46553</v>
      </c>
      <c r="C37009" s="5" t="str">
        <f>IFERROR(__xludf.DUMMYFUNCTION("GOOGLETRANSLATE(B37009,""en"",""zh-CN"")"),"最后，她吐出来，然后在重播之前喝一杯水。")</f>
        <v>最后，她吐出来，然后在重播之前喝一杯水。</v>
      </c>
    </row>
    <row r="37010">
      <c r="A37010" s="4" t="s">
        <v>46554</v>
      </c>
      <c r="B37010" s="4" t="s">
        <v>46555</v>
      </c>
      <c r="C37010" s="5" t="str">
        <f>IFERROR(__xludf.DUMMYFUNCTION("GOOGLETRANSLATE(B37010,""en"",""zh-CN"")"),"一个穿着雪夹克的男人坐在滑雪缆车上。")</f>
        <v>一个穿着雪夹克的男人坐在滑雪缆车上。</v>
      </c>
    </row>
    <row r="37011">
      <c r="A37011" s="4" t="s">
        <v>46554</v>
      </c>
      <c r="B37011" s="6" t="s">
        <v>46556</v>
      </c>
      <c r="C37011" s="5" t="str">
        <f>IFERROR(__xludf.DUMMYFUNCTION("GOOGLETRANSLATE(B37011,""en"",""zh-CN"")"),"一名穿着黄色外套的男人握着一个带绳子的橡胶间管，穿着滑雪衣服的孩子坐在里面。")</f>
        <v>一名穿着黄色外套的男人握着一个带绳子的橡胶间管，穿着滑雪衣服的孩子坐在里面。</v>
      </c>
    </row>
    <row r="37012">
      <c r="A37012" s="4" t="s">
        <v>46554</v>
      </c>
      <c r="B37012" s="4" t="s">
        <v>46557</v>
      </c>
      <c r="C37012" s="5" t="str">
        <f>IFERROR(__xludf.DUMMYFUNCTION("GOOGLETRANSLATE(B37012,""en"",""zh-CN"")"),"该男子将孩子推到滑雪坡上。")</f>
        <v>该男子将孩子推到滑雪坡上。</v>
      </c>
    </row>
    <row r="37013">
      <c r="A37013" s="4" t="s">
        <v>46554</v>
      </c>
      <c r="B37013" s="4" t="s">
        <v>46558</v>
      </c>
      <c r="C37013" s="5" t="str">
        <f>IFERROR(__xludf.DUMMYFUNCTION("GOOGLETRANSLATE(B37013,""en"",""zh-CN"")"),"孩子在Intertube上沿着一组山丘下降。")</f>
        <v>孩子在Intertube上沿着一组山丘下降。</v>
      </c>
    </row>
    <row r="37014">
      <c r="A37014" s="4" t="s">
        <v>46554</v>
      </c>
      <c r="B37014" s="4" t="s">
        <v>46559</v>
      </c>
      <c r="C37014" s="5" t="str">
        <f>IFERROR(__xludf.DUMMYFUNCTION("GOOGLETRANSLATE(B37014,""en"",""zh-CN"")"),"一个女人试图阻止孩子，然后取回他的Intertube。")</f>
        <v>一个女人试图阻止孩子，然后取回他的Intertube。</v>
      </c>
    </row>
    <row r="37015">
      <c r="A37015" s="4" t="s">
        <v>46554</v>
      </c>
      <c r="B37015" s="4" t="s">
        <v>46560</v>
      </c>
      <c r="C37015" s="5" t="str">
        <f>IFERROR(__xludf.DUMMYFUNCTION("GOOGLETRANSLATE(B37015,""en"",""zh-CN"")"),"一群年轻的女孩和男孩将交织在山上。")</f>
        <v>一群年轻的女孩和男孩将交织在山上。</v>
      </c>
    </row>
    <row r="37016">
      <c r="A37016" s="4" t="s">
        <v>46554</v>
      </c>
      <c r="B37016" s="4" t="s">
        <v>46561</v>
      </c>
      <c r="C37016" s="5" t="str">
        <f>IFERROR(__xludf.DUMMYFUNCTION("GOOGLETRANSLATE(B37016,""en"",""zh-CN"")"),"穿着绿色外套的孩子进入Intertube。")</f>
        <v>穿着绿色外套的孩子进入Intertube。</v>
      </c>
    </row>
    <row r="37017">
      <c r="A37017" s="4" t="s">
        <v>46554</v>
      </c>
      <c r="B37017" s="4" t="s">
        <v>46562</v>
      </c>
      <c r="C37017" s="5" t="str">
        <f>IFERROR(__xludf.DUMMYFUNCTION("GOOGLETRANSLATE(B37017,""en"",""zh-CN"")"),"将孩子推到滑雪坡上，然后将雪橇推向底部。")</f>
        <v>将孩子推到滑雪坡上，然后将雪橇推向底部。</v>
      </c>
    </row>
    <row r="37018">
      <c r="A37018" s="4" t="s">
        <v>46554</v>
      </c>
      <c r="B37018" s="4" t="s">
        <v>46563</v>
      </c>
      <c r="C37018" s="5" t="str">
        <f>IFERROR(__xludf.DUMMYFUNCTION("GOOGLETRANSLATE(B37018,""en"",""zh-CN"")"),"一名穿着灰色运动衫的女人在斜坡底部检索Intertube。")</f>
        <v>一名穿着灰色运动衫的女人在斜坡底部检索Intertube。</v>
      </c>
    </row>
    <row r="37019">
      <c r="A37019" s="4" t="s">
        <v>46554</v>
      </c>
      <c r="B37019" s="4" t="s">
        <v>46564</v>
      </c>
      <c r="C37019" s="5" t="str">
        <f>IFERROR(__xludf.DUMMYFUNCTION("GOOGLETRANSLATE(B37019,""en"",""zh-CN"")"),"一个穿着绿色外套的男孩被推到滑雪坡上。")</f>
        <v>一个穿着绿色外套的男孩被推到滑雪坡上。</v>
      </c>
    </row>
    <row r="37020">
      <c r="A37020" s="4" t="s">
        <v>46554</v>
      </c>
      <c r="B37020" s="4" t="s">
        <v>46565</v>
      </c>
      <c r="C37020" s="5" t="str">
        <f>IFERROR(__xludf.DUMMYFUNCTION("GOOGLETRANSLATE(B37020,""en"",""zh-CN"")"),"一个女人一件灰色运动衫在斜坡底部检索Intertube。")</f>
        <v>一个女人一件灰色运动衫在斜坡底部检索Intertube。</v>
      </c>
    </row>
    <row r="37021">
      <c r="A37021" s="4" t="s">
        <v>46566</v>
      </c>
      <c r="B37021" s="4" t="s">
        <v>46567</v>
      </c>
      <c r="C37021" s="5" t="str">
        <f>IFERROR(__xludf.DUMMYFUNCTION("GOOGLETRANSLATE(B37021,""en"",""zh-CN"")"),"一位女士和镜头说话。")</f>
        <v>一位女士和镜头说话。</v>
      </c>
    </row>
    <row r="37022">
      <c r="A37022" s="4" t="s">
        <v>46566</v>
      </c>
      <c r="B37022" s="4" t="s">
        <v>46568</v>
      </c>
      <c r="C37022" s="5" t="str">
        <f>IFERROR(__xludf.DUMMYFUNCTION("GOOGLETRANSLATE(B37022,""en"",""zh-CN"")"),"我们看到那位女士举起一瓶女巫榛树和棉垫和谈话。")</f>
        <v>我们看到那位女士举起一瓶女巫榛树和棉垫和谈话。</v>
      </c>
    </row>
    <row r="37023">
      <c r="A37023" s="4" t="s">
        <v>46566</v>
      </c>
      <c r="B37023" s="4" t="s">
        <v>46569</v>
      </c>
      <c r="C37023" s="5" t="str">
        <f>IFERROR(__xludf.DUMMYFUNCTION("GOOGLETRANSLATE(B37023,""en"",""zh-CN"")"),"这位女士举起一瓶乳液。")</f>
        <v>这位女士举起一瓶乳液。</v>
      </c>
    </row>
    <row r="37024">
      <c r="A37024" s="4" t="s">
        <v>46566</v>
      </c>
      <c r="B37024" s="4" t="s">
        <v>46570</v>
      </c>
      <c r="C37024" s="5" t="str">
        <f>IFERROR(__xludf.DUMMYFUNCTION("GOOGLETRANSLATE(B37024,""en"",""zh-CN"")"),"我们看到那位女士将乳液放在她的脸上，然后拿着一小瓶她戴在脸上的血清。")</f>
        <v>我们看到那位女士将乳液放在她的脸上，然后拿着一小瓶她戴在脸上的血清。</v>
      </c>
    </row>
    <row r="37025">
      <c r="A37025" s="4" t="s">
        <v>46566</v>
      </c>
      <c r="B37025" s="4" t="s">
        <v>46571</v>
      </c>
      <c r="C37025" s="5" t="str">
        <f>IFERROR(__xludf.DUMMYFUNCTION("GOOGLETRANSLATE(B37025,""en"",""zh-CN"")"),"我们在与镜头交谈时看到了妆容。")</f>
        <v>我们在与镜头交谈时看到了妆容。</v>
      </c>
    </row>
    <row r="37026">
      <c r="A37026" s="4" t="s">
        <v>46572</v>
      </c>
      <c r="B37026" s="4" t="s">
        <v>46573</v>
      </c>
      <c r="C37026" s="5" t="str">
        <f>IFERROR(__xludf.DUMMYFUNCTION("GOOGLETRANSLATE(B37026,""en"",""zh-CN"")"),"1一个摄影师看着即将比赛的自行车的人。")</f>
        <v>1一个摄影师看着即将比赛的自行车的人。</v>
      </c>
    </row>
    <row r="37027">
      <c r="A37027" s="4" t="s">
        <v>46572</v>
      </c>
      <c r="B37027" s="4" t="s">
        <v>46574</v>
      </c>
      <c r="C37027" s="5" t="str">
        <f>IFERROR(__xludf.DUMMYFUNCTION("GOOGLETRANSLATE(B37027,""en"",""zh-CN"")"),"2比赛始于骑自行车的家伙。")</f>
        <v>2比赛始于骑自行车的家伙。</v>
      </c>
    </row>
    <row r="37028">
      <c r="A37028" s="4" t="s">
        <v>46572</v>
      </c>
      <c r="B37028" s="4" t="s">
        <v>46575</v>
      </c>
      <c r="C37028" s="5" t="str">
        <f>IFERROR(__xludf.DUMMYFUNCTION("GOOGLETRANSLATE(B37028,""en"",""zh-CN"")"),"3一个人擦干。")</f>
        <v>3一个人擦干。</v>
      </c>
    </row>
    <row r="37029">
      <c r="A37029" s="4" t="s">
        <v>46572</v>
      </c>
      <c r="B37029" s="4" t="s">
        <v>46576</v>
      </c>
      <c r="C37029" s="5" t="str">
        <f>IFERROR(__xludf.DUMMYFUNCTION("GOOGLETRANSLATE(B37029,""en"",""zh-CN"")"),"4比赛结束了，伙计们骑自行车。")</f>
        <v>4比赛结束了，伙计们骑自行车。</v>
      </c>
    </row>
    <row r="37030">
      <c r="A37030" s="4" t="s">
        <v>46577</v>
      </c>
      <c r="B37030" s="6" t="s">
        <v>46578</v>
      </c>
      <c r="C37030" s="5" t="str">
        <f>IFERROR(__xludf.DUMMYFUNCTION("GOOGLETRANSLATE(B37030,""en"",""zh-CN"")"),"一个男人正在驾驶船，然后有两个男人坐在船的侧面，黑色救生背心的男人在船的侧面，然后放开船，然后在他抓住线束时开始滑水。")</f>
        <v>一个男人正在驾驶船，然后有两个男人坐在船的侧面，黑色救生背心的男人在船的侧面，然后放开船，然后在他抓住线束时开始滑水。</v>
      </c>
    </row>
    <row r="37031">
      <c r="A37031" s="4" t="s">
        <v>46577</v>
      </c>
      <c r="B37031" s="4" t="s">
        <v>46579</v>
      </c>
      <c r="C37031" s="5" t="str">
        <f>IFERROR(__xludf.DUMMYFUNCTION("GOOGLETRANSLATE(B37031,""en"",""zh-CN"")"),"该名男子继续唤醒板，他翻转，然后在水上唤醒板。")</f>
        <v>该名男子继续唤醒板，他翻转，然后在水上唤醒板。</v>
      </c>
    </row>
    <row r="37032">
      <c r="A37032" s="4" t="s">
        <v>46580</v>
      </c>
      <c r="B37032" s="4" t="s">
        <v>46581</v>
      </c>
      <c r="C37032" s="5" t="str">
        <f>IFERROR(__xludf.DUMMYFUNCTION("GOOGLETRANSLATE(B37032,""en"",""zh-CN"")"),"我们看到一个开放说明屏幕。")</f>
        <v>我们看到一个开放说明屏幕。</v>
      </c>
    </row>
    <row r="37033">
      <c r="A37033" s="4" t="s">
        <v>46580</v>
      </c>
      <c r="B37033" s="4" t="s">
        <v>46582</v>
      </c>
      <c r="C37033" s="5" t="str">
        <f>IFERROR(__xludf.DUMMYFUNCTION("GOOGLETRANSLATE(B37033,""en"",""zh-CN"")"),"我们看到一个人拿着隐形眼镜。")</f>
        <v>我们看到一个人拿着隐形眼镜。</v>
      </c>
    </row>
    <row r="37034">
      <c r="A37034" s="4" t="s">
        <v>46580</v>
      </c>
      <c r="B37034" s="4" t="s">
        <v>46583</v>
      </c>
      <c r="C37034" s="5" t="str">
        <f>IFERROR(__xludf.DUMMYFUNCTION("GOOGLETRANSLATE(B37034,""en"",""zh-CN"")"),"我们看到另一个说明屏幕，并看到该人插入左侧的镜头。")</f>
        <v>我们看到另一个说明屏幕，并看到该人插入左侧的镜头。</v>
      </c>
    </row>
    <row r="37035">
      <c r="A37035" s="4" t="s">
        <v>46580</v>
      </c>
      <c r="B37035" s="4" t="s">
        <v>46584</v>
      </c>
      <c r="C37035" s="5" t="str">
        <f>IFERROR(__xludf.DUMMYFUNCTION("GOOGLETRANSLATE(B37035,""en"",""zh-CN"")"),"指示的另一个屏幕和人插入正确的镜头。")</f>
        <v>指示的另一个屏幕和人插入正确的镜头。</v>
      </c>
    </row>
    <row r="37036">
      <c r="A37036" s="4" t="s">
        <v>46580</v>
      </c>
      <c r="B37036" s="4" t="s">
        <v>46585</v>
      </c>
      <c r="C37036" s="5" t="str">
        <f>IFERROR(__xludf.DUMMYFUNCTION("GOOGLETRANSLATE(B37036,""en"",""zh-CN"")"),"两组说明出现了一个人，该人删除了左右镜头。")</f>
        <v>两组说明出现了一个人，该人删除了左右镜头。</v>
      </c>
    </row>
    <row r="37037">
      <c r="A37037" s="4" t="s">
        <v>46580</v>
      </c>
      <c r="B37037" s="4" t="s">
        <v>46586</v>
      </c>
      <c r="C37037" s="5" t="str">
        <f>IFERROR(__xludf.DUMMYFUNCTION("GOOGLETRANSLATE(B37037,""en"",""zh-CN"")"),"该人向相机挥手挥手。")</f>
        <v>该人向相机挥手挥手。</v>
      </c>
    </row>
    <row r="37038">
      <c r="A37038" s="4" t="s">
        <v>46587</v>
      </c>
      <c r="B37038" s="4" t="s">
        <v>46588</v>
      </c>
      <c r="C37038" s="5" t="str">
        <f>IFERROR(__xludf.DUMMYFUNCTION("GOOGLETRANSLATE(B37038,""en"",""zh-CN"")"),"一个男人在山坡上非常快速滑雪，并啤酒一个。")</f>
        <v>一个男人在山坡上非常快速滑雪，并啤酒一个。</v>
      </c>
    </row>
    <row r="37039">
      <c r="A37039" s="4" t="s">
        <v>46587</v>
      </c>
      <c r="B37039" s="4" t="s">
        <v>46589</v>
      </c>
      <c r="C37039" s="5" t="str">
        <f>IFERROR(__xludf.DUMMYFUNCTION("GOOGLETRANSLATE(B37039,""en"",""zh-CN"")"),"他现在困难地走回山上。")</f>
        <v>他现在困难地走回山上。</v>
      </c>
    </row>
    <row r="37040">
      <c r="A37040" s="4" t="s">
        <v>46587</v>
      </c>
      <c r="B37040" s="4" t="s">
        <v>46590</v>
      </c>
      <c r="C37040" s="5" t="str">
        <f>IFERROR(__xludf.DUMMYFUNCTION("GOOGLETRANSLATE(B37040,""en"",""zh-CN"")"),"他滑雪，走上各种山丘。")</f>
        <v>他滑雪，走上各种山丘。</v>
      </c>
    </row>
    <row r="37041">
      <c r="A37041" s="4" t="s">
        <v>46587</v>
      </c>
      <c r="B37041" s="4" t="s">
        <v>46591</v>
      </c>
      <c r="C37041" s="5" t="str">
        <f>IFERROR(__xludf.DUMMYFUNCTION("GOOGLETRANSLATE(B37041,""en"",""zh-CN"")"),"滑雪沿着相当大的山坡或山山。")</f>
        <v>滑雪沿着相当大的山坡或山山。</v>
      </c>
    </row>
    <row r="37042">
      <c r="A37042" s="4" t="s">
        <v>46587</v>
      </c>
      <c r="B37042" s="4" t="s">
        <v>46592</v>
      </c>
      <c r="C37042" s="5" t="str">
        <f>IFERROR(__xludf.DUMMYFUNCTION("GOOGLETRANSLATE(B37042,""en"",""zh-CN"")"),"他从山上跳下来，试图做360，但跌倒。")</f>
        <v>他从山上跳下来，试图做360，但跌倒。</v>
      </c>
    </row>
    <row r="37043">
      <c r="A37043" s="4" t="s">
        <v>46587</v>
      </c>
      <c r="B37043" s="4" t="s">
        <v>46593</v>
      </c>
      <c r="C37043" s="5" t="str">
        <f>IFERROR(__xludf.DUMMYFUNCTION("GOOGLETRANSLATE(B37043,""en"",""zh-CN"")"),"他滑雪在一些树木之间和道路上。")</f>
        <v>他滑雪在一些树木之间和道路上。</v>
      </c>
    </row>
    <row r="37044">
      <c r="A37044" s="4" t="s">
        <v>46594</v>
      </c>
      <c r="B37044" s="4" t="s">
        <v>46595</v>
      </c>
      <c r="C37044" s="5" t="str">
        <f>IFERROR(__xludf.DUMMYFUNCTION("GOOGLETRANSLATE(B37044,""en"",""zh-CN"")"),"在比赛中进行了专业的网球比赛。")</f>
        <v>在比赛中进行了专业的网球比赛。</v>
      </c>
    </row>
    <row r="37045">
      <c r="A37045" s="4" t="s">
        <v>46594</v>
      </c>
      <c r="B37045" s="4" t="s">
        <v>46596</v>
      </c>
      <c r="C37045" s="5" t="str">
        <f>IFERROR(__xludf.DUMMYFUNCTION("GOOGLETRANSLATE(B37045,""en"",""zh-CN"")"),"比赛期间，玩家在耳机上交谈。")</f>
        <v>比赛期间，玩家在耳机上交谈。</v>
      </c>
    </row>
    <row r="37046">
      <c r="A37046" s="4" t="s">
        <v>46594</v>
      </c>
      <c r="B37046" s="4" t="s">
        <v>46597</v>
      </c>
      <c r="C37046" s="5" t="str">
        <f>IFERROR(__xludf.DUMMYFUNCTION("GOOGLETRANSLATE(B37046,""en"",""zh-CN"")"),"一个男人准备将球服役以开始比赛。")</f>
        <v>一个男人准备将球服役以开始比赛。</v>
      </c>
    </row>
    <row r="37047">
      <c r="A37047" s="4" t="s">
        <v>46594</v>
      </c>
      <c r="B37047" s="4" t="s">
        <v>46598</v>
      </c>
      <c r="C37047" s="5" t="str">
        <f>IFERROR(__xludf.DUMMYFUNCTION("GOOGLETRANSLATE(B37047,""en"",""zh-CN"")"),"该男子为球提供球并得分。")</f>
        <v>该男子为球提供球并得分。</v>
      </c>
    </row>
    <row r="37048">
      <c r="A37048" s="4" t="s">
        <v>46594</v>
      </c>
      <c r="B37048" s="4" t="s">
        <v>46599</v>
      </c>
      <c r="C37048" s="5" t="str">
        <f>IFERROR(__xludf.DUMMYFUNCTION("GOOGLETRANSLATE(B37048,""en"",""zh-CN"")"),"对方球队有一个转身为球。")</f>
        <v>对方球队有一个转身为球。</v>
      </c>
    </row>
    <row r="37049">
      <c r="A37049" s="4" t="s">
        <v>46600</v>
      </c>
      <c r="B37049" s="4" t="s">
        <v>46601</v>
      </c>
      <c r="C37049" s="5" t="str">
        <f>IFERROR(__xludf.DUMMYFUNCTION("GOOGLETRANSLATE(B37049,""en"",""zh-CN"")"),"一个男人在房子外工作。")</f>
        <v>一个男人在房子外工作。</v>
      </c>
    </row>
    <row r="37050">
      <c r="A37050" s="4" t="s">
        <v>46600</v>
      </c>
      <c r="B37050" s="4" t="s">
        <v>46602</v>
      </c>
      <c r="C37050" s="5" t="str">
        <f>IFERROR(__xludf.DUMMYFUNCTION("GOOGLETRANSLATE(B37050,""en"",""zh-CN"")"),"他在带状疱疹上使用锤子和夹具。")</f>
        <v>他在带状疱疹上使用锤子和夹具。</v>
      </c>
    </row>
    <row r="37051">
      <c r="A37051" s="4" t="s">
        <v>46600</v>
      </c>
      <c r="B37051" s="4" t="s">
        <v>46603</v>
      </c>
      <c r="C37051" s="5" t="str">
        <f>IFERROR(__xludf.DUMMYFUNCTION("GOOGLETRANSLATE(B37051,""en"",""zh-CN"")"),"他用锤子将每个木瓦从屋子上撞倒。")</f>
        <v>他用锤子将每个木瓦从屋子上撞倒。</v>
      </c>
    </row>
    <row r="37052">
      <c r="A37052" s="4" t="s">
        <v>46604</v>
      </c>
      <c r="B37052" s="4" t="s">
        <v>46605</v>
      </c>
      <c r="C37052" s="5" t="str">
        <f>IFERROR(__xludf.DUMMYFUNCTION("GOOGLETRANSLATE(B37052,""en"",""zh-CN"")"),"首先，这个女孩做一个后弯，然后另一个女孩进行后退。")</f>
        <v>首先，这个女孩做一个后弯，然后另一个女孩进行后退。</v>
      </c>
    </row>
    <row r="37053">
      <c r="A37053" s="4" t="s">
        <v>46604</v>
      </c>
      <c r="B37053" s="4" t="s">
        <v>46606</v>
      </c>
      <c r="C37053" s="5" t="str">
        <f>IFERROR(__xludf.DUMMYFUNCTION("GOOGLETRANSLATE(B37053,""en"",""zh-CN"")"),"然后别人做一个手推车，同一个人做了一个圆。")</f>
        <v>然后别人做一个手推车，同一个人做了一个圆。</v>
      </c>
    </row>
    <row r="37054">
      <c r="A37054" s="4" t="s">
        <v>46604</v>
      </c>
      <c r="B37054" s="6" t="s">
        <v>46607</v>
      </c>
      <c r="C37054" s="5" t="str">
        <f>IFERROR(__xludf.DUMMYFUNCTION("GOOGLETRANSLATE(B37054,""en"",""zh-CN"")"),"接下来，有人进行前步行者，另一个女孩与其他正在体操动作的人一起站起来。")</f>
        <v>接下来，有人进行前步行者，另一个女孩与其他正在体操动作的人一起站起来。</v>
      </c>
    </row>
    <row r="37055">
      <c r="A37055" s="4" t="s">
        <v>46608</v>
      </c>
      <c r="B37055" s="6" t="s">
        <v>46609</v>
      </c>
      <c r="C37055" s="5" t="str">
        <f>IFERROR(__xludf.DUMMYFUNCTION("GOOGLETRANSLATE(B37055,""en"",""zh-CN"")"),"看到一个戴着袋子的男人在镜头上说话，并导致一群骑着木筏骑着袋子。")</f>
        <v>看到一个戴着袋子的男人在镜头上说话，并导致一群骑着木筏骑着袋子。</v>
      </c>
    </row>
    <row r="37056">
      <c r="A37056" s="4" t="s">
        <v>46608</v>
      </c>
      <c r="B37056" s="6" t="s">
        <v>46610</v>
      </c>
      <c r="C37056" s="5" t="str">
        <f>IFERROR(__xludf.DUMMYFUNCTION("GOOGLETRANSLATE(B37056,""en"",""zh-CN"")"),"一个人四处乱跑，转过身，回到男人对相机说话。")</f>
        <v>一个人四处乱跑，转过身，回到男人对相机说话。</v>
      </c>
    </row>
    <row r="37057">
      <c r="A37057" s="4" t="s">
        <v>46611</v>
      </c>
      <c r="B37057" s="4" t="s">
        <v>46612</v>
      </c>
      <c r="C37057" s="5" t="str">
        <f>IFERROR(__xludf.DUMMYFUNCTION("GOOGLETRANSLATE(B37057,""en"",""zh-CN"")"),"一群穿着所有白色服装的鼓手表演一首歌。")</f>
        <v>一群穿着所有白色服装的鼓手表演一首歌。</v>
      </c>
    </row>
    <row r="37058">
      <c r="A37058" s="4" t="s">
        <v>46611</v>
      </c>
      <c r="B37058" s="4" t="s">
        <v>46613</v>
      </c>
      <c r="C37058" s="5" t="str">
        <f>IFERROR(__xludf.DUMMYFUNCTION("GOOGLETRANSLATE(B37058,""en"",""zh-CN"")"),"一名讲师站在小组前面的指示。")</f>
        <v>一名讲师站在小组前面的指示。</v>
      </c>
    </row>
    <row r="37059">
      <c r="A37059" s="4" t="s">
        <v>46614</v>
      </c>
      <c r="B37059" s="4" t="s">
        <v>46615</v>
      </c>
      <c r="C37059" s="5" t="str">
        <f>IFERROR(__xludf.DUMMYFUNCTION("GOOGLETRANSLATE(B37059,""en"",""zh-CN"")"),"男人坐在仪式上与镜头交谈。")</f>
        <v>男人坐在仪式上与镜头交谈。</v>
      </c>
    </row>
    <row r="37060">
      <c r="A37060" s="4" t="s">
        <v>46614</v>
      </c>
      <c r="B37060" s="4" t="s">
        <v>46616</v>
      </c>
      <c r="C37060" s="5" t="str">
        <f>IFERROR(__xludf.DUMMYFUNCTION("GOOGLETRANSLATE(B37060,""en"",""zh-CN"")"),"一个男人的后背显示纹身，男人正在纹身。")</f>
        <v>一个男人的后背显示纹身，男人正在纹身。</v>
      </c>
    </row>
    <row r="37061">
      <c r="A37061" s="4" t="s">
        <v>46614</v>
      </c>
      <c r="B37061" s="4" t="s">
        <v>46617</v>
      </c>
      <c r="C37061" s="5" t="str">
        <f>IFERROR(__xludf.DUMMYFUNCTION("GOOGLETRANSLATE(B37061,""en"",""zh-CN"")"),"男人站着没有看台，把纹身贴在他的背上。")</f>
        <v>男人站着没有看台，把纹身贴在他的背上。</v>
      </c>
    </row>
    <row r="37062">
      <c r="A37062" s="4" t="s">
        <v>46618</v>
      </c>
      <c r="B37062" s="4" t="s">
        <v>46619</v>
      </c>
      <c r="C37062" s="5" t="str">
        <f>IFERROR(__xludf.DUMMYFUNCTION("GOOGLETRANSLATE(B37062,""en"",""zh-CN"")"),"一群孩子在田野上玩。")</f>
        <v>一群孩子在田野上玩。</v>
      </c>
    </row>
    <row r="37063">
      <c r="A37063" s="4" t="s">
        <v>46618</v>
      </c>
      <c r="B37063" s="4" t="s">
        <v>46620</v>
      </c>
      <c r="C37063" s="5" t="str">
        <f>IFERROR(__xludf.DUMMYFUNCTION("GOOGLETRANSLATE(B37063,""en"",""zh-CN"")"),"教练在他们跑步时与他们交谈。")</f>
        <v>教练在他们跑步时与他们交谈。</v>
      </c>
    </row>
    <row r="37064">
      <c r="A37064" s="4" t="s">
        <v>46618</v>
      </c>
      <c r="B37064" s="4" t="s">
        <v>46621</v>
      </c>
      <c r="C37064" s="5" t="str">
        <f>IFERROR(__xludf.DUMMYFUNCTION("GOOGLETRANSLATE(B37064,""en"",""zh-CN"")"),"他们一起进行曲棍网兜球。")</f>
        <v>他们一起进行曲棍网兜球。</v>
      </c>
    </row>
    <row r="37065">
      <c r="A37065" s="4" t="s">
        <v>46622</v>
      </c>
      <c r="B37065" s="6" t="s">
        <v>46623</v>
      </c>
      <c r="C37065" s="5" t="str">
        <f>IFERROR(__xludf.DUMMYFUNCTION("GOOGLETRANSLATE(B37065,""en"",""zh-CN"")"),"看到一大批人站在冰上，随后是各种冰壶工具和运动的人。")</f>
        <v>看到一大批人站在冰上，随后是各种冰壶工具和运动的人。</v>
      </c>
    </row>
    <row r="37066">
      <c r="A37066" s="4" t="s">
        <v>46622</v>
      </c>
      <c r="B37066" s="4" t="s">
        <v>46624</v>
      </c>
      <c r="C37066" s="5" t="str">
        <f>IFERROR(__xludf.DUMMYFUNCTION("GOOGLETRANSLATE(B37066,""en"",""zh-CN"")"),"看到一个男人穿上鞋子，沿着冰走，另一个人可以帮助他走路。")</f>
        <v>看到一个男人穿上鞋子，沿着冰走，另一个人可以帮助他走路。</v>
      </c>
    </row>
    <row r="37067">
      <c r="A37067" s="4" t="s">
        <v>46622</v>
      </c>
      <c r="B37067" s="6" t="s">
        <v>46625</v>
      </c>
      <c r="C37067" s="5" t="str">
        <f>IFERROR(__xludf.DUMMYFUNCTION("GOOGLETRANSLATE(B37067,""en"",""zh-CN"")"),"这些人继续教他如何沿着冰滑行并使用刷子移动冰球。")</f>
        <v>这些人继续教他如何沿着冰滑行并使用刷子移动冰球。</v>
      </c>
    </row>
    <row r="37068">
      <c r="A37068" s="4" t="s">
        <v>46626</v>
      </c>
      <c r="B37068" s="4" t="s">
        <v>46627</v>
      </c>
      <c r="C37068" s="5" t="str">
        <f>IFERROR(__xludf.DUMMYFUNCTION("GOOGLETRANSLATE(B37068,""en"",""zh-CN"")"),"一群人在沙漠中。")</f>
        <v>一群人在沙漠中。</v>
      </c>
    </row>
    <row r="37069">
      <c r="A37069" s="4" t="s">
        <v>46626</v>
      </c>
      <c r="B37069" s="4" t="s">
        <v>46628</v>
      </c>
      <c r="C37069" s="5" t="str">
        <f>IFERROR(__xludf.DUMMYFUNCTION("GOOGLETRANSLATE(B37069,""en"",""zh-CN"")"),"他们爬上骆驼的顶部并骑它们。")</f>
        <v>他们爬上骆驼的顶部并骑它们。</v>
      </c>
    </row>
    <row r="37070">
      <c r="A37070" s="4" t="s">
        <v>46626</v>
      </c>
      <c r="B37070" s="4" t="s">
        <v>46629</v>
      </c>
      <c r="C37070" s="5" t="str">
        <f>IFERROR(__xludf.DUMMYFUNCTION("GOOGLETRANSLATE(B37070,""en"",""zh-CN"")"),"他们将骆驼骑到一组金字塔上。")</f>
        <v>他们将骆驼骑到一组金字塔上。</v>
      </c>
    </row>
    <row r="37071">
      <c r="A37071" s="4" t="s">
        <v>46630</v>
      </c>
      <c r="B37071" s="4" t="s">
        <v>46631</v>
      </c>
      <c r="C37071" s="5" t="str">
        <f>IFERROR(__xludf.DUMMYFUNCTION("GOOGLETRANSLATE(B37071,""en"",""zh-CN"")"),"我们看到标题屏幕进出。")</f>
        <v>我们看到标题屏幕进出。</v>
      </c>
    </row>
    <row r="37072">
      <c r="A37072" s="4" t="s">
        <v>46630</v>
      </c>
      <c r="B37072" s="4" t="s">
        <v>46632</v>
      </c>
      <c r="C37072" s="5" t="str">
        <f>IFERROR(__xludf.DUMMYFUNCTION("GOOGLETRANSLATE(B37072,""en"",""zh-CN"")"),"一个男人和狗在训练室里散步。")</f>
        <v>一个男人和狗在训练室里散步。</v>
      </c>
    </row>
    <row r="37073">
      <c r="A37073" s="4" t="s">
        <v>46630</v>
      </c>
      <c r="B37073" s="4" t="s">
        <v>46633</v>
      </c>
      <c r="C37073" s="5" t="str">
        <f>IFERROR(__xludf.DUMMYFUNCTION("GOOGLETRANSLATE(B37073,""en"",""zh-CN"")"),"该男子给狗扔菜。")</f>
        <v>该男子给狗扔菜。</v>
      </c>
    </row>
    <row r="37074">
      <c r="A37074" s="4" t="s">
        <v>46630</v>
      </c>
      <c r="B37074" s="4" t="s">
        <v>46634</v>
      </c>
      <c r="C37074" s="5" t="str">
        <f>IFERROR(__xludf.DUMMYFUNCTION("GOOGLETRANSLATE(B37074,""en"",""zh-CN"")"),"狗站着抓住飞盘，靠在男人身上。")</f>
        <v>狗站着抓住飞盘，靠在男人身上。</v>
      </c>
    </row>
    <row r="37075">
      <c r="A37075" s="4" t="s">
        <v>46630</v>
      </c>
      <c r="B37075" s="4" t="s">
        <v>46635</v>
      </c>
      <c r="C37075" s="5" t="str">
        <f>IFERROR(__xludf.DUMMYFUNCTION("GOOGLETRANSLATE(B37075,""en"",""zh-CN"")"),"狗跳入男人的怀里。")</f>
        <v>狗跳入男人的怀里。</v>
      </c>
    </row>
    <row r="37076">
      <c r="A37076" s="4" t="s">
        <v>46630</v>
      </c>
      <c r="B37076" s="4" t="s">
        <v>777</v>
      </c>
      <c r="C37076" s="5" t="str">
        <f>IFERROR(__xludf.DUMMYFUNCTION("GOOGLETRANSLATE(B37076,""en"",""zh-CN"")"),"我们看到结尾标题屏幕。")</f>
        <v>我们看到结尾标题屏幕。</v>
      </c>
    </row>
    <row r="37077">
      <c r="A37077" s="4" t="s">
        <v>46636</v>
      </c>
      <c r="B37077" s="4" t="s">
        <v>46637</v>
      </c>
      <c r="C37077" s="5" t="str">
        <f>IFERROR(__xludf.DUMMYFUNCTION("GOOGLETRANSLATE(B37077,""en"",""zh-CN"")"),"屏幕上出现了各种切割水果的桌子，标题为“制作饮料”。")</f>
        <v>屏幕上出现了各种切割水果的桌子，标题为“制作饮料”。</v>
      </c>
    </row>
    <row r="37078">
      <c r="A37078" s="4" t="s">
        <v>46636</v>
      </c>
      <c r="B37078" s="4" t="s">
        <v>46638</v>
      </c>
      <c r="C37078" s="5" t="str">
        <f>IFERROR(__xludf.DUMMYFUNCTION("GOOGLETRANSLATE(B37078,""en"",""zh-CN"")"),"一个人剪和挤压柠檬，然后是“制作柠檬水很容易有趣”的标题。")</f>
        <v>一个人剪和挤压柠檬，然后是“制作柠檬水很容易有趣”的标题。</v>
      </c>
    </row>
    <row r="37079">
      <c r="A37079" s="4" t="s">
        <v>46636</v>
      </c>
      <c r="B37079" s="4" t="s">
        <v>46639</v>
      </c>
      <c r="C37079" s="5" t="str">
        <f>IFERROR(__xludf.DUMMYFUNCTION("GOOGLETRANSLATE(B37079,""en"",""zh-CN"")"),"显示和标题为采访所需的不同物品。")</f>
        <v>显示和标题为采访所需的不同物品。</v>
      </c>
    </row>
    <row r="37080">
      <c r="A37080" s="4" t="s">
        <v>46636</v>
      </c>
      <c r="B37080" s="4" t="s">
        <v>46640</v>
      </c>
      <c r="C37080" s="5" t="str">
        <f>IFERROR(__xludf.DUMMYFUNCTION("GOOGLETRANSLATE(B37080,""en"",""zh-CN"")"),"显示和标题为“制作柠檬水”的每个步骤。")</f>
        <v>显示和标题为“制作柠檬水”的每个步骤。</v>
      </c>
    </row>
    <row r="37081">
      <c r="A37081" s="4" t="s">
        <v>46636</v>
      </c>
      <c r="B37081" s="4" t="s">
        <v>46641</v>
      </c>
      <c r="C37081" s="5" t="str">
        <f>IFERROR(__xludf.DUMMYFUNCTION("GOOGLETRANSLATE(B37081,""en"",""zh-CN"")"),"人们接受了柠檬水的采访。")</f>
        <v>人们接受了柠檬水的采访。</v>
      </c>
    </row>
    <row r="37082">
      <c r="A37082" s="4" t="s">
        <v>46636</v>
      </c>
      <c r="B37082" s="4" t="s">
        <v>46642</v>
      </c>
      <c r="C37082" s="5" t="str">
        <f>IFERROR(__xludf.DUMMYFUNCTION("GOOGLETRANSLATE(B37082,""en"",""zh-CN"")"),"“柑橘星期六”徽标出现在下面的各种支持组织徽标。")</f>
        <v>“柑橘星期六”徽标出现在下面的各种支持组织徽标。</v>
      </c>
    </row>
    <row r="37083">
      <c r="A37083" s="4" t="s">
        <v>46643</v>
      </c>
      <c r="B37083" s="6" t="s">
        <v>46644</v>
      </c>
      <c r="C37083" s="5" t="str">
        <f>IFERROR(__xludf.DUMMYFUNCTION("GOOGLETRANSLATE(B37083,""en"",""zh-CN"")"),"一个介绍出现了一个空洞的眼镜，一张牌，上面写着“ 2014年奥迪马球挑战赛”，奥迪旗帜在风中吹来，一匹白马的镜头，有饮料的人，驾驶汽车，马球车手，马上骑马，大量的人站着和坐着。")</f>
        <v>一个介绍出现了一个空洞的眼镜，一张牌，上面写着“ 2014年奥迪马球挑战赛”，奥迪旗帜在风中吹来，一匹白马的镜头，有饮料的人，驾驶汽车，马球车手，马上骑马，大量的人站着和坐着。</v>
      </c>
    </row>
    <row r="37084">
      <c r="A37084" s="4" t="s">
        <v>46643</v>
      </c>
      <c r="B37084" s="6" t="s">
        <v>46645</v>
      </c>
      <c r="C37084" s="5" t="str">
        <f>IFERROR(__xludf.DUMMYFUNCTION("GOOGLETRANSLATE(B37084,""en"",""zh-CN"")"),"马球比赛开始了，男人们骑着骑行，他们都试图用棍子击球，这是他们的速度非常快。")</f>
        <v>马球比赛开始了，男人们骑着骑行，他们都试图用棍子击球，这是他们的速度非常快。</v>
      </c>
    </row>
    <row r="37085">
      <c r="A37085" s="4" t="s">
        <v>46643</v>
      </c>
      <c r="B37085" s="6" t="s">
        <v>46646</v>
      </c>
      <c r="C37085" s="5" t="str">
        <f>IFERROR(__xludf.DUMMYFUNCTION("GOOGLETRANSLATE(B37085,""en"",""zh-CN"")"),"在这个马球活动中，有很多名人甚至皇室成员，时不时地展示他们，有时也会接受采访。")</f>
        <v>在这个马球活动中，有很多名人甚至皇室成员，时不时地展示他们，有时也会接受采访。</v>
      </c>
    </row>
    <row r="37086">
      <c r="A37086" s="4" t="s">
        <v>46643</v>
      </c>
      <c r="B37086" s="6" t="s">
        <v>46647</v>
      </c>
      <c r="C37086" s="5" t="str">
        <f>IFERROR(__xludf.DUMMYFUNCTION("GOOGLETRANSLATE(B37086,""en"",""zh-CN"")"),"在比赛之间，人们全都走进草地，将草丛放回缺少它们的孔中，而Polo游戏仍在继续进行。")</f>
        <v>在比赛之间，人们全都走进草地，将草丛放回缺少它们的孔中，而Polo游戏仍在继续进行。</v>
      </c>
    </row>
    <row r="37087">
      <c r="A37087" s="4" t="s">
        <v>46643</v>
      </c>
      <c r="B37087" s="6" t="s">
        <v>46648</v>
      </c>
      <c r="C37087" s="5" t="str">
        <f>IFERROR(__xludf.DUMMYFUNCTION("GOOGLETRANSLATE(B37087,""en"",""zh-CN"")"),"马球比赛结束了，哈里王子和威廉王子被分开收到一个男人的白盒子，而当人们拍照并拍照时，他们说话并握手。")</f>
        <v>马球比赛结束了，哈里王子和威廉王子被分开收到一个男人的白盒子，而当人们拍照并拍照时，他们说话并握手。</v>
      </c>
    </row>
    <row r="37088">
      <c r="A37088" s="4" t="s">
        <v>46649</v>
      </c>
      <c r="B37088" s="4" t="s">
        <v>46650</v>
      </c>
      <c r="C37088" s="5" t="str">
        <f>IFERROR(__xludf.DUMMYFUNCTION("GOOGLETRANSLATE(B37088,""en"",""zh-CN"")"),"人们看到人们在森林里走着，载着管子坐在水中。")</f>
        <v>人们看到人们在森林里走着，载着管子坐在水中。</v>
      </c>
    </row>
    <row r="37089">
      <c r="A37089" s="4" t="s">
        <v>46649</v>
      </c>
      <c r="B37089" s="4" t="s">
        <v>46651</v>
      </c>
      <c r="C37089" s="5" t="str">
        <f>IFERROR(__xludf.DUMMYFUNCTION("GOOGLETRANSLATE(B37089,""en"",""zh-CN"")"),"越来越多的人爬进水中，坐在管子的顶部。")</f>
        <v>越来越多的人爬进水中，坐在管子的顶部。</v>
      </c>
    </row>
    <row r="37090">
      <c r="A37090" s="4" t="s">
        <v>46649</v>
      </c>
      <c r="B37090" s="4" t="s">
        <v>46652</v>
      </c>
      <c r="C37090" s="5" t="str">
        <f>IFERROR(__xludf.DUMMYFUNCTION("GOOGLETRANSLATE(B37090,""en"",""zh-CN"")"),"看到骑在管子上的人以及在水中游泳的几个特写镜头。")</f>
        <v>看到骑在管子上的人以及在水中游泳的几个特写镜头。</v>
      </c>
    </row>
    <row r="37091">
      <c r="A37091" s="4" t="s">
        <v>46653</v>
      </c>
      <c r="B37091" s="4" t="s">
        <v>46654</v>
      </c>
      <c r="C37091" s="5" t="str">
        <f>IFERROR(__xludf.DUMMYFUNCTION("GOOGLETRANSLATE(B37091,""en"",""zh-CN"")"),"有关如何制造手放下的书面说明在屏幕上。")</f>
        <v>有关如何制造手放下的书面说明在屏幕上。</v>
      </c>
    </row>
    <row r="37092">
      <c r="A37092" s="4" t="s">
        <v>46653</v>
      </c>
      <c r="B37092" s="4" t="s">
        <v>46655</v>
      </c>
      <c r="C37092" s="5" t="str">
        <f>IFERROR(__xludf.DUMMYFUNCTION("GOOGLETRANSLATE(B37092,""en"",""zh-CN"")"),"男人正站在篮球场上，运球，在篮子里做Shos。")</f>
        <v>男人正站在篮球场上，运球，在篮子里做Shos。</v>
      </c>
    </row>
    <row r="37093">
      <c r="A37093" s="4" t="s">
        <v>46653</v>
      </c>
      <c r="B37093" s="4" t="s">
        <v>46656</v>
      </c>
      <c r="C37093" s="5" t="str">
        <f>IFERROR(__xludf.DUMMYFUNCTION("GOOGLETRANSLATE(B37093,""en"",""zh-CN"")"),"三个篮子玩家正在投篮，并展示了如何进行两步技术。")</f>
        <v>三个篮子玩家正在投篮，并展示了如何进行两步技术。</v>
      </c>
    </row>
    <row r="37094">
      <c r="A37094" s="4" t="s">
        <v>46657</v>
      </c>
      <c r="B37094" s="6" t="s">
        <v>46658</v>
      </c>
      <c r="C37094" s="5" t="str">
        <f>IFERROR(__xludf.DUMMYFUNCTION("GOOGLETRANSLATE(B37094,""en"",""zh-CN"")"),"看到两个孩子骑在一辆卡车上，沿着一条道路，景观镜头和坐在自行车上的孩子。")</f>
        <v>看到两个孩子骑在一辆卡车上，沿着一条道路，景观镜头和坐在自行车上的孩子。</v>
      </c>
    </row>
    <row r="37095">
      <c r="A37095" s="4" t="s">
        <v>46657</v>
      </c>
      <c r="B37095" s="6" t="s">
        <v>46659</v>
      </c>
      <c r="C37095" s="5" t="str">
        <f>IFERROR(__xludf.DUMMYFUNCTION("GOOGLETRANSLATE(B37095,""en"",""zh-CN"")"),"在摄像机捕捉到各地的时候，有几张照片显示了孩子们彼此之间骑着泥土轨道的镜头。")</f>
        <v>在摄像机捕捉到各地的时候，有几张照片显示了孩子们彼此之间骑着泥土轨道的镜头。</v>
      </c>
    </row>
    <row r="37096">
      <c r="A37096" s="4" t="s">
        <v>46660</v>
      </c>
      <c r="B37096" s="6" t="s">
        <v>46661</v>
      </c>
      <c r="C37096" s="5" t="str">
        <f>IFERROR(__xludf.DUMMYFUNCTION("GOOGLETRANSLATE(B37096,""en"",""zh-CN"")"),"有一个戴着黑色背心的红色头发的女人，穿过城市的街道上的滚筒叶片上印有黑色紧身裤。")</f>
        <v>有一个戴着黑色背心的红色头发的女人，穿过城市的街道上的滚筒叶片上印有黑色紧身裤。</v>
      </c>
    </row>
    <row r="37097">
      <c r="A37097" s="4" t="s">
        <v>46660</v>
      </c>
      <c r="B37097" s="4" t="s">
        <v>46662</v>
      </c>
      <c r="C37097" s="5" t="str">
        <f>IFERROR(__xludf.DUMMYFUNCTION("GOOGLETRANSLATE(B37097,""en"",""zh-CN"")"),"街道没有任何汽车，但是人们正在骑自行车或滑板。")</f>
        <v>街道没有任何汽车，但是人们正在骑自行车或滑板。</v>
      </c>
    </row>
    <row r="37098">
      <c r="A37098" s="4" t="s">
        <v>46660</v>
      </c>
      <c r="B37098" s="6" t="s">
        <v>46663</v>
      </c>
      <c r="C37098" s="5" t="str">
        <f>IFERROR(__xludf.DUMMYFUNCTION("GOOGLETRANSLATE(B37098,""en"",""zh-CN"")"),"当她经过几名游客悠闲地走时，该名女子迅速滑过拥挤的街道。")</f>
        <v>当她经过几名游客悠闲地走时，该名女子迅速滑过拥挤的街道。</v>
      </c>
    </row>
    <row r="37099">
      <c r="A37099" s="4" t="s">
        <v>46664</v>
      </c>
      <c r="B37099" s="4" t="s">
        <v>46665</v>
      </c>
      <c r="C37099" s="5" t="str">
        <f>IFERROR(__xludf.DUMMYFUNCTION("GOOGLETRANSLATE(B37099,""en"",""zh-CN"")"),"一个人在摩托车上飞翔。")</f>
        <v>一个人在摩托车上飞翔。</v>
      </c>
    </row>
    <row r="37100">
      <c r="A37100" s="4" t="s">
        <v>46664</v>
      </c>
      <c r="B37100" s="4" t="s">
        <v>46666</v>
      </c>
      <c r="C37100" s="5" t="str">
        <f>IFERROR(__xludf.DUMMYFUNCTION("GOOGLETRANSLATE(B37100,""en"",""zh-CN"")"),"一个人使用重机制作越野摩托车。")</f>
        <v>一个人使用重机制作越野摩托车。</v>
      </c>
    </row>
    <row r="37101">
      <c r="A37101" s="4" t="s">
        <v>46664</v>
      </c>
      <c r="B37101" s="4" t="s">
        <v>46667</v>
      </c>
      <c r="C37101" s="5" t="str">
        <f>IFERROR(__xludf.DUMMYFUNCTION("GOOGLETRANSLATE(B37101,""en"",""zh-CN"")"),"人们在一条颠簸的道路上经营越野摩托车。")</f>
        <v>人们在一条颠簸的道路上经营越野摩托车。</v>
      </c>
    </row>
    <row r="37102">
      <c r="A37102" s="4" t="s">
        <v>46664</v>
      </c>
      <c r="B37102" s="4" t="s">
        <v>46668</v>
      </c>
      <c r="C37102" s="5" t="str">
        <f>IFERROR(__xludf.DUMMYFUNCTION("GOOGLETRANSLATE(B37102,""en"",""zh-CN"")"),"人们在坡道上骑摩托车，然后飞行并在空中旋转。")</f>
        <v>人们在坡道上骑摩托车，然后飞行并在空中旋转。</v>
      </c>
    </row>
    <row r="37103">
      <c r="A37103" s="4" t="s">
        <v>46669</v>
      </c>
      <c r="B37103" s="4" t="s">
        <v>46670</v>
      </c>
      <c r="C37103" s="5" t="str">
        <f>IFERROR(__xludf.DUMMYFUNCTION("GOOGLETRANSLATE(B37103,""en"",""zh-CN"")"),"男人正走到一家自行车店，与里面的那个人交谈。")</f>
        <v>男人正走到一家自行车店，与里面的那个人交谈。</v>
      </c>
    </row>
    <row r="37104">
      <c r="A37104" s="4" t="s">
        <v>46669</v>
      </c>
      <c r="B37104" s="4" t="s">
        <v>46671</v>
      </c>
      <c r="C37104" s="5" t="str">
        <f>IFERROR(__xludf.DUMMYFUNCTION("GOOGLETRANSLATE(B37104,""en"",""zh-CN"")"),"他们正在组装不同的自行车。")</f>
        <v>他们正在组装不同的自行车。</v>
      </c>
    </row>
    <row r="37105">
      <c r="A37105" s="4" t="s">
        <v>46669</v>
      </c>
      <c r="B37105" s="6" t="s">
        <v>46672</v>
      </c>
      <c r="C37105" s="5" t="str">
        <f>IFERROR(__xludf.DUMMYFUNCTION("GOOGLETRANSLATE(B37105,""en"",""zh-CN"")"),"男人说再见，离开了商店，回到了家人携带自行车并将其放在客厅里的地方。")</f>
        <v>男人说再见，离开了商店，回到了家人携带自行车并将其放在客厅里的地方。</v>
      </c>
    </row>
    <row r="37106">
      <c r="A37106" s="4" t="s">
        <v>46669</v>
      </c>
      <c r="B37106" s="4" t="s">
        <v>46673</v>
      </c>
      <c r="C37106" s="5" t="str">
        <f>IFERROR(__xludf.DUMMYFUNCTION("GOOGLETRANSLATE(B37106,""en"",""zh-CN"")"),"人正在用白皮书磨损，并将自行车固定在车库上。")</f>
        <v>人正在用白皮书磨损，并将自行车固定在车库上。</v>
      </c>
    </row>
    <row r="37107">
      <c r="A37107" s="4" t="s">
        <v>46674</v>
      </c>
      <c r="B37107" s="6" t="s">
        <v>46675</v>
      </c>
      <c r="C37107" s="5" t="str">
        <f>IFERROR(__xludf.DUMMYFUNCTION("GOOGLETRANSLATE(B37107,""en"",""zh-CN"")"),"一群戴着游泳帽的人在游泳池周围移动，并用一个男人挥舞着旗帜。")</f>
        <v>一群戴着游泳帽的人在游泳池周围移动，并用一个男人挥舞着旗帜。</v>
      </c>
    </row>
    <row r="37108">
      <c r="A37108" s="4" t="s">
        <v>46674</v>
      </c>
      <c r="B37108" s="4" t="s">
        <v>46676</v>
      </c>
      <c r="C37108" s="5" t="str">
        <f>IFERROR(__xludf.DUMMYFUNCTION("GOOGLETRANSLATE(B37108,""en"",""zh-CN"")"),"他们玩水球游戏，互相扔球。")</f>
        <v>他们玩水球游戏，互相扔球。</v>
      </c>
    </row>
    <row r="37109">
      <c r="A37109" s="4" t="s">
        <v>46674</v>
      </c>
      <c r="B37109" s="4" t="s">
        <v>46677</v>
      </c>
      <c r="C37109" s="5" t="str">
        <f>IFERROR(__xludf.DUMMYFUNCTION("GOOGLETRANSLATE(B37109,""en"",""zh-CN"")"),"一个人将球扔进网上，使侧面的人们跳了起来。")</f>
        <v>一个人将球扔进网上，使侧面的人们跳了起来。</v>
      </c>
    </row>
    <row r="37110">
      <c r="A37110" s="4" t="s">
        <v>46674</v>
      </c>
      <c r="B37110" s="4" t="s">
        <v>46678</v>
      </c>
      <c r="C37110" s="5" t="str">
        <f>IFERROR(__xludf.DUMMYFUNCTION("GOOGLETRANSLATE(B37110,""en"",""zh-CN"")"),"该活动的视频以慢动作显示，随后是男人在场外观看。")</f>
        <v>该活动的视频以慢动作显示，随后是男人在场外观看。</v>
      </c>
    </row>
    <row r="37111">
      <c r="A37111" s="4" t="s">
        <v>46679</v>
      </c>
      <c r="B37111" s="4" t="s">
        <v>46680</v>
      </c>
      <c r="C37111" s="5" t="str">
        <f>IFERROR(__xludf.DUMMYFUNCTION("GOOGLETRANSLATE(B37111,""en"",""zh-CN"")"),"人们在轨道上奔跑，跳入沙坑。")</f>
        <v>人们在轨道上奔跑，跳入沙坑。</v>
      </c>
    </row>
    <row r="37112">
      <c r="A37112" s="4" t="s">
        <v>46679</v>
      </c>
      <c r="B37112" s="4" t="s">
        <v>46681</v>
      </c>
      <c r="C37112" s="5" t="str">
        <f>IFERROR(__xludf.DUMMYFUNCTION("GOOGLETRANSLATE(B37112,""en"",""zh-CN"")"),"人们站在赛道的一侧看着他们。")</f>
        <v>人们站在赛道的一侧看着他们。</v>
      </c>
    </row>
    <row r="37113">
      <c r="A37113" s="4" t="s">
        <v>46679</v>
      </c>
      <c r="B37113" s="4" t="s">
        <v>46682</v>
      </c>
      <c r="C37113" s="5" t="str">
        <f>IFERROR(__xludf.DUMMYFUNCTION("GOOGLETRANSLATE(B37113,""en"",""zh-CN"")"),"这个男人摆在标志前。")</f>
        <v>这个男人摆在标志前。</v>
      </c>
    </row>
    <row r="37114">
      <c r="A37114" s="4" t="s">
        <v>46683</v>
      </c>
      <c r="B37114" s="4" t="s">
        <v>12684</v>
      </c>
      <c r="C37114" s="5" t="str">
        <f>IFERROR(__xludf.DUMMYFUNCTION("GOOGLETRANSLATE(B37114,""en"",""zh-CN"")"),"一个男人走到潜水板上。")</f>
        <v>一个男人走到潜水板上。</v>
      </c>
    </row>
    <row r="37115">
      <c r="A37115" s="4" t="s">
        <v>46683</v>
      </c>
      <c r="B37115" s="4" t="s">
        <v>46684</v>
      </c>
      <c r="C37115" s="5" t="str">
        <f>IFERROR(__xludf.DUMMYFUNCTION("GOOGLETRANSLATE(B37115,""en"",""zh-CN"")"),"他跳入他下面的游泳池。")</f>
        <v>他跳入他下面的游泳池。</v>
      </c>
    </row>
    <row r="37116">
      <c r="A37116" s="4" t="s">
        <v>46683</v>
      </c>
      <c r="B37116" s="4" t="s">
        <v>46685</v>
      </c>
      <c r="C37116" s="5" t="str">
        <f>IFERROR(__xludf.DUMMYFUNCTION("GOOGLETRANSLATE(B37116,""en"",""zh-CN"")"),"另一个人踏上潜水板。")</f>
        <v>另一个人踏上潜水板。</v>
      </c>
    </row>
    <row r="37117">
      <c r="A37117" s="4" t="s">
        <v>46686</v>
      </c>
      <c r="B37117" s="6" t="s">
        <v>46687</v>
      </c>
      <c r="C37117" s="5" t="str">
        <f>IFERROR(__xludf.DUMMYFUNCTION("GOOGLETRANSLATE(B37117,""en"",""zh-CN"")"),"看到两个人互相交谈时，在滑雪板上骑着骑行，并带领他们沿着一座白雪皑皑的山丘骑行。")</f>
        <v>看到两个人互相交谈时，在滑雪板上骑着骑行，并带领他们沿着一座白雪皑皑的山丘骑行。</v>
      </c>
    </row>
    <row r="37118">
      <c r="A37118" s="4" t="s">
        <v>46686</v>
      </c>
      <c r="B37118" s="6" t="s">
        <v>46688</v>
      </c>
      <c r="C37118" s="5" t="str">
        <f>IFERROR(__xludf.DUMMYFUNCTION("GOOGLETRANSLATE(B37118,""en"",""zh-CN"")"),"人们不断地将自己迅速推到一座山上，越过了几个人，最后停下来结束。")</f>
        <v>人们不断地将自己迅速推到一座山上，越过了几个人，最后停下来结束。</v>
      </c>
    </row>
    <row r="37119">
      <c r="A37119" s="4" t="s">
        <v>46689</v>
      </c>
      <c r="B37119" s="4" t="s">
        <v>46690</v>
      </c>
      <c r="C37119" s="5" t="str">
        <f>IFERROR(__xludf.DUMMYFUNCTION("GOOGLETRANSLATE(B37119,""en"",""zh-CN"")"),"一只狗和他的主人一起骑船。")</f>
        <v>一只狗和他的主人一起骑船。</v>
      </c>
    </row>
    <row r="37120">
      <c r="A37120" s="4" t="s">
        <v>46689</v>
      </c>
      <c r="B37120" s="4" t="s">
        <v>46691</v>
      </c>
      <c r="C37120" s="5" t="str">
        <f>IFERROR(__xludf.DUMMYFUNCTION("GOOGLETRANSLATE(B37120,""en"",""zh-CN"")"),"看到一只螃蟹在湖底爬行。")</f>
        <v>看到一只螃蟹在湖底爬行。</v>
      </c>
    </row>
    <row r="37121">
      <c r="A37121" s="4" t="s">
        <v>46689</v>
      </c>
      <c r="B37121" s="4" t="s">
        <v>46692</v>
      </c>
      <c r="C37121" s="5" t="str">
        <f>IFERROR(__xludf.DUMMYFUNCTION("GOOGLETRANSLATE(B37121,""en"",""zh-CN"")"),"人们在平静湖上的船后滑水。")</f>
        <v>人们在平静湖上的船后滑水。</v>
      </c>
    </row>
    <row r="37122">
      <c r="A37122" s="4" t="s">
        <v>46689</v>
      </c>
      <c r="B37122" s="4" t="s">
        <v>46693</v>
      </c>
      <c r="C37122" s="5" t="str">
        <f>IFERROR(__xludf.DUMMYFUNCTION("GOOGLETRANSLATE(B37122,""en"",""zh-CN"")"),"该人放开拖线绳，向湖岸滑行。")</f>
        <v>该人放开拖线绳，向湖岸滑行。</v>
      </c>
    </row>
    <row r="37123">
      <c r="A37123" s="4" t="s">
        <v>46689</v>
      </c>
      <c r="B37123" s="4" t="s">
        <v>46694</v>
      </c>
      <c r="C37123" s="5" t="str">
        <f>IFERROR(__xludf.DUMMYFUNCTION("GOOGLETRANSLATE(B37123,""en"",""zh-CN"")"),"小组在雪橇上准备一把椅子，并在岸上绳子。")</f>
        <v>小组在雪橇上准备一把椅子，并在岸上绳子。</v>
      </c>
    </row>
    <row r="37124">
      <c r="A37124" s="4" t="s">
        <v>46689</v>
      </c>
      <c r="B37124" s="4" t="s">
        <v>46695</v>
      </c>
      <c r="C37124" s="5" t="str">
        <f>IFERROR(__xludf.DUMMYFUNCTION("GOOGLETRANSLATE(B37124,""en"",""zh-CN"")"),"一个男人被从岸边拉到湖上，然后在湖上。")</f>
        <v>一个男人被从岸边拉到湖上，然后在湖上。</v>
      </c>
    </row>
    <row r="37125">
      <c r="A37125" s="4" t="s">
        <v>46689</v>
      </c>
      <c r="B37125" s="4" t="s">
        <v>46696</v>
      </c>
      <c r="C37125" s="5" t="str">
        <f>IFERROR(__xludf.DUMMYFUNCTION("GOOGLETRANSLATE(B37125,""en"",""zh-CN"")"),"该小组从水中取出雪橇，并提起它以沥干水。")</f>
        <v>该小组从水中取出雪橇，并提起它以沥干水。</v>
      </c>
    </row>
    <row r="37126">
      <c r="A37126" s="4" t="s">
        <v>46697</v>
      </c>
      <c r="B37126" s="4" t="s">
        <v>46698</v>
      </c>
      <c r="C37126" s="5" t="str">
        <f>IFERROR(__xludf.DUMMYFUNCTION("GOOGLETRANSLATE(B37126,""en"",""zh-CN"")"),"显示了闪亮的拖把。")</f>
        <v>显示了闪亮的拖把。</v>
      </c>
    </row>
    <row r="37127">
      <c r="A37127" s="4" t="s">
        <v>46697</v>
      </c>
      <c r="B37127" s="4" t="s">
        <v>46699</v>
      </c>
      <c r="C37127" s="5" t="str">
        <f>IFERROR(__xludf.DUMMYFUNCTION("GOOGLETRANSLATE(B37127,""en"",""zh-CN"")"),"显示了一个看门人的滚动地毯，刮擦口香糖，伸出标志和擦拭地板。")</f>
        <v>显示了一个看门人的滚动地毯，刮擦口香糖，伸出标志和擦拭地板。</v>
      </c>
    </row>
    <row r="37128">
      <c r="A37128" s="4" t="s">
        <v>46697</v>
      </c>
      <c r="B37128" s="4" t="s">
        <v>46700</v>
      </c>
      <c r="C37128" s="5" t="str">
        <f>IFERROR(__xludf.DUMMYFUNCTION("GOOGLETRANSLATE(B37128,""en"",""zh-CN"")"),"他进入壁橱，在谈论时挑选出他使用的清洁工。")</f>
        <v>他进入壁橱，在谈论时挑选出他使用的清洁工。</v>
      </c>
    </row>
    <row r="37129">
      <c r="A37129" s="4" t="s">
        <v>46697</v>
      </c>
      <c r="B37129" s="4" t="s">
        <v>46701</v>
      </c>
      <c r="C37129" s="5" t="str">
        <f>IFERROR(__xludf.DUMMYFUNCTION("GOOGLETRANSLATE(B37129,""en"",""zh-CN"")"),"他将水和清洁溶液喷入他的拖把手推车。")</f>
        <v>他将水和清洁溶液喷入他的拖把手推车。</v>
      </c>
    </row>
    <row r="37130">
      <c r="A37130" s="4" t="s">
        <v>46697</v>
      </c>
      <c r="B37130" s="4" t="s">
        <v>46702</v>
      </c>
      <c r="C37130" s="5" t="str">
        <f>IFERROR(__xludf.DUMMYFUNCTION("GOOGLETRANSLATE(B37130,""en"",""zh-CN"")"),"然后，他向他展示了用解决方案擦地板。")</f>
        <v>然后，他向他展示了用解决方案擦地板。</v>
      </c>
    </row>
    <row r="37131">
      <c r="A37131" s="4" t="s">
        <v>46697</v>
      </c>
      <c r="B37131" s="4" t="s">
        <v>46703</v>
      </c>
      <c r="C37131" s="5" t="str">
        <f>IFERROR(__xludf.DUMMYFUNCTION("GOOGLETRANSLATE(B37131,""en"",""zh-CN"")"),"他将所有东西拆开，然后在洗手之前将其放开。")</f>
        <v>他将所有东西拆开，然后在洗手之前将其放开。</v>
      </c>
    </row>
    <row r="37132">
      <c r="A37132" s="4" t="s">
        <v>46704</v>
      </c>
      <c r="B37132" s="4" t="s">
        <v>46705</v>
      </c>
      <c r="C37132" s="5" t="str">
        <f>IFERROR(__xludf.DUMMYFUNCTION("GOOGLETRANSLATE(B37132,""en"",""zh-CN"")"),"女性正在玩室内曲棍球和比赛。")</f>
        <v>女性正在玩室内曲棍球和比赛。</v>
      </c>
    </row>
    <row r="37133">
      <c r="A37133" s="4" t="s">
        <v>46704</v>
      </c>
      <c r="B37133" s="4" t="s">
        <v>46706</v>
      </c>
      <c r="C37133" s="5" t="str">
        <f>IFERROR(__xludf.DUMMYFUNCTION("GOOGLETRANSLATE(B37133,""en"",""zh-CN"")"),"他们开始为充气冰球而战。")</f>
        <v>他们开始为充气冰球而战。</v>
      </c>
    </row>
    <row r="37134">
      <c r="A37134" s="4" t="s">
        <v>46704</v>
      </c>
      <c r="B37134" s="4" t="s">
        <v>46707</v>
      </c>
      <c r="C37134" s="5" t="str">
        <f>IFERROR(__xludf.DUMMYFUNCTION("GOOGLETRANSLATE(B37134,""en"",""zh-CN"")"),"他们显示与摄像机谈论游戏。")</f>
        <v>他们显示与摄像机谈论游戏。</v>
      </c>
    </row>
    <row r="37135">
      <c r="A37135" s="4" t="s">
        <v>46704</v>
      </c>
      <c r="B37135" s="4" t="s">
        <v>46708</v>
      </c>
      <c r="C37135" s="5" t="str">
        <f>IFERROR(__xludf.DUMMYFUNCTION("GOOGLETRANSLATE(B37135,""en"",""zh-CN"")"),"在彼此的比赛中，这些女人再次被显示出曲棍球。")</f>
        <v>在彼此的比赛中，这些女人再次被显示出曲棍球。</v>
      </c>
    </row>
    <row r="37136">
      <c r="A37136" s="4" t="s">
        <v>46704</v>
      </c>
      <c r="B37136" s="4" t="s">
        <v>46709</v>
      </c>
      <c r="C37136" s="5" t="str">
        <f>IFERROR(__xludf.DUMMYFUNCTION("GOOGLETRANSLATE(B37136,""en"",""zh-CN"")"),"冰球显示了特写。")</f>
        <v>冰球显示了特写。</v>
      </c>
    </row>
    <row r="37137">
      <c r="A37137" s="4" t="s">
        <v>46710</v>
      </c>
      <c r="B37137" s="4" t="s">
        <v>46711</v>
      </c>
      <c r="C37137" s="5" t="str">
        <f>IFERROR(__xludf.DUMMYFUNCTION("GOOGLETRANSLATE(B37137,""en"",""zh-CN"")"),"显示了赌场的几个外视图。")</f>
        <v>显示了赌场的几个外视图。</v>
      </c>
    </row>
    <row r="37138">
      <c r="A37138" s="4" t="s">
        <v>46710</v>
      </c>
      <c r="B37138" s="4" t="s">
        <v>46712</v>
      </c>
      <c r="C37138" s="5" t="str">
        <f>IFERROR(__xludf.DUMMYFUNCTION("GOOGLETRANSLATE(B37138,""en"",""zh-CN"")"),"桌子上的纸牌玩家和经销商在赌场内参与了一场比赛。")</f>
        <v>桌子上的纸牌玩家和经销商在赌场内参与了一场比赛。</v>
      </c>
    </row>
    <row r="37139">
      <c r="A37139" s="4" t="s">
        <v>46710</v>
      </c>
      <c r="B37139" s="4" t="s">
        <v>46713</v>
      </c>
      <c r="C37139" s="5" t="str">
        <f>IFERROR(__xludf.DUMMYFUNCTION("GOOGLETRANSLATE(B37139,""en"",""zh-CN"")"),"经销商向每个玩家交易卡。")</f>
        <v>经销商向每个玩家交易卡。</v>
      </c>
    </row>
    <row r="37140">
      <c r="A37140" s="4" t="s">
        <v>46710</v>
      </c>
      <c r="B37140" s="4" t="s">
        <v>46714</v>
      </c>
      <c r="C37140" s="5" t="str">
        <f>IFERROR(__xludf.DUMMYFUNCTION("GOOGLETRANSLATE(B37140,""en"",""zh-CN"")"),"经销商透露了经销商的手。")</f>
        <v>经销商透露了经销商的手。</v>
      </c>
    </row>
    <row r="37141">
      <c r="A37141" s="4" t="s">
        <v>46710</v>
      </c>
      <c r="B37141" s="4" t="s">
        <v>46715</v>
      </c>
      <c r="C37141" s="5" t="str">
        <f>IFERROR(__xludf.DUMMYFUNCTION("GOOGLETRANSLATE(B37141,""en"",""zh-CN"")"),"一个人在镜头说话，另一个人站在附近。")</f>
        <v>一个人在镜头说话，另一个人站在附近。</v>
      </c>
    </row>
    <row r="37142">
      <c r="A37142" s="4" t="s">
        <v>46716</v>
      </c>
      <c r="B37142" s="4" t="s">
        <v>46717</v>
      </c>
      <c r="C37142" s="5" t="str">
        <f>IFERROR(__xludf.DUMMYFUNCTION("GOOGLETRANSLATE(B37142,""en"",""zh-CN"")"),"看到几个人站在竞技场周围，而另一些人则站在弹奏板上。")</f>
        <v>看到几个人站在竞技场周围，而另一些人则站在弹奏板上。</v>
      </c>
    </row>
    <row r="37143">
      <c r="A37143" s="4" t="s">
        <v>46716</v>
      </c>
      <c r="B37143" s="4" t="s">
        <v>46718</v>
      </c>
      <c r="C37143" s="5" t="str">
        <f>IFERROR(__xludf.DUMMYFUNCTION("GOOGLETRANSLATE(B37143,""en"",""zh-CN"")"),"一个男人将冰球推了好几次，而其他人则在他身后做同样的事情。")</f>
        <v>一个男人将冰球推了好几次，而其他人则在他身后做同样的事情。</v>
      </c>
    </row>
    <row r="37144">
      <c r="A37144" s="4" t="s">
        <v>46716</v>
      </c>
      <c r="B37144" s="4" t="s">
        <v>46719</v>
      </c>
      <c r="C37144" s="5" t="str">
        <f>IFERROR(__xludf.DUMMYFUNCTION("GOOGLETRANSLATE(B37144,""en"",""zh-CN"")"),"人们继续演奏，最后一个男人在相机上说话。")</f>
        <v>人们继续演奏，最后一个男人在相机上说话。</v>
      </c>
    </row>
    <row r="37145">
      <c r="A37145" s="4" t="s">
        <v>46720</v>
      </c>
      <c r="B37145" s="4" t="s">
        <v>46721</v>
      </c>
      <c r="C37145" s="5" t="str">
        <f>IFERROR(__xludf.DUMMYFUNCTION("GOOGLETRANSLATE(B37145,""en"",""zh-CN"")"),"看到一个女孩躺在桌子上，一个男人刺穿了她的肚脐。")</f>
        <v>看到一个女孩躺在桌子上，一个男人刺穿了她的肚脐。</v>
      </c>
    </row>
    <row r="37146">
      <c r="A37146" s="4" t="s">
        <v>46720</v>
      </c>
      <c r="B37146" s="4" t="s">
        <v>46722</v>
      </c>
      <c r="C37146" s="5" t="str">
        <f>IFERROR(__xludf.DUMMYFUNCTION("GOOGLETRANSLATE(B37146,""en"",""zh-CN"")"),"女孩痛苦地尖叫，男人看着镜头时，男人的刺穿结束了。")</f>
        <v>女孩痛苦地尖叫，男人看着镜头时，男人的刺穿结束了。</v>
      </c>
    </row>
    <row r="37147">
      <c r="A37147" s="4" t="s">
        <v>46723</v>
      </c>
      <c r="B37147" s="4" t="s">
        <v>46724</v>
      </c>
      <c r="C37147" s="5" t="str">
        <f>IFERROR(__xludf.DUMMYFUNCTION("GOOGLETRANSLATE(B37147,""en"",""zh-CN"")"),"显示了一双白色和红色耐克鞋。")</f>
        <v>显示了一双白色和红色耐克鞋。</v>
      </c>
    </row>
    <row r="37148">
      <c r="A37148" s="4" t="s">
        <v>46723</v>
      </c>
      <c r="B37148" s="4" t="s">
        <v>46725</v>
      </c>
      <c r="C37148" s="5" t="str">
        <f>IFERROR(__xludf.DUMMYFUNCTION("GOOGLETRANSLATE(B37148,""en"",""zh-CN"")"),"一个男人正在使用插入物来准备鞋子。")</f>
        <v>一个男人正在使用插入物来准备鞋子。</v>
      </c>
    </row>
    <row r="37149">
      <c r="A37149" s="4" t="s">
        <v>46723</v>
      </c>
      <c r="B37149" s="4" t="s">
        <v>46726</v>
      </c>
      <c r="C37149" s="5" t="str">
        <f>IFERROR(__xludf.DUMMYFUNCTION("GOOGLETRANSLATE(B37149,""en"",""zh-CN"")"),"然后，他使用刷子和清洁溶液洗鞋。")</f>
        <v>然后，他使用刷子和清洁溶液洗鞋。</v>
      </c>
    </row>
    <row r="37150">
      <c r="A37150" s="4" t="s">
        <v>46727</v>
      </c>
      <c r="B37150" s="4" t="s">
        <v>46728</v>
      </c>
      <c r="C37150" s="5" t="str">
        <f>IFERROR(__xludf.DUMMYFUNCTION("GOOGLETRANSLATE(B37150,""en"",""zh-CN"")"),"我们看到男人在停车场附近滑板。")</f>
        <v>我们看到男人在停车场附近滑板。</v>
      </c>
    </row>
    <row r="37151">
      <c r="A37151" s="4" t="s">
        <v>46727</v>
      </c>
      <c r="B37151" s="4" t="s">
        <v>46729</v>
      </c>
      <c r="C37151" s="5" t="str">
        <f>IFERROR(__xludf.DUMMYFUNCTION("GOOGLETRANSLATE(B37151,""en"",""zh-CN"")"),"我们看到两个人互相交谈。")</f>
        <v>我们看到两个人互相交谈。</v>
      </c>
    </row>
    <row r="37152">
      <c r="A37152" s="4" t="s">
        <v>46727</v>
      </c>
      <c r="B37152" s="4" t="s">
        <v>46730</v>
      </c>
      <c r="C37152" s="5" t="str">
        <f>IFERROR(__xludf.DUMMYFUNCTION("GOOGLETRANSLATE(B37152,""en"",""zh-CN"")"),"我们看到卡其布的那个人跌跌撞撞，反复失败。")</f>
        <v>我们看到卡其布的那个人跌跌撞撞，反复失败。</v>
      </c>
    </row>
    <row r="37153">
      <c r="A37153" s="4" t="s">
        <v>46727</v>
      </c>
      <c r="B37153" s="4" t="s">
        <v>46731</v>
      </c>
      <c r="C37153" s="5" t="str">
        <f>IFERROR(__xludf.DUMMYFUNCTION("GOOGLETRANSLATE(B37153,""en"",""zh-CN"")"),"我们看到一个男人拿着手机并与滑冰者交谈。")</f>
        <v>我们看到一个男人拿着手机并与滑冰者交谈。</v>
      </c>
    </row>
    <row r="37154">
      <c r="A37154" s="4" t="s">
        <v>46727</v>
      </c>
      <c r="B37154" s="4" t="s">
        <v>46732</v>
      </c>
      <c r="C37154" s="5" t="str">
        <f>IFERROR(__xludf.DUMMYFUNCTION("GOOGLETRANSLATE(B37154,""en"",""zh-CN"")"),"这些人握手，摄影师指着滑板。")</f>
        <v>这些人握手，摄影师指着滑板。</v>
      </c>
    </row>
    <row r="37155">
      <c r="A37155" s="4" t="s">
        <v>46727</v>
      </c>
      <c r="B37155" s="4" t="s">
        <v>46733</v>
      </c>
      <c r="C37155" s="5" t="str">
        <f>IFERROR(__xludf.DUMMYFUNCTION("GOOGLETRANSLATE(B37155,""en"",""zh-CN"")"),"我们看到订阅屏幕。")</f>
        <v>我们看到订阅屏幕。</v>
      </c>
    </row>
    <row r="37156">
      <c r="A37156" s="4" t="s">
        <v>46727</v>
      </c>
      <c r="B37156" s="6" t="s">
        <v>46734</v>
      </c>
      <c r="C37156" s="5" t="str">
        <f>IFERROR(__xludf.DUMMYFUNCTION("GOOGLETRANSLATE(B37156,""en"",""zh-CN"")"),"我们看到人们骑行，看到一个男人骑着红色玩具孩子的滑板，摄影师将其踢过很多。")</f>
        <v>我们看到人们骑行，看到一个男人骑着红色玩具孩子的滑板，摄影师将其踢过很多。</v>
      </c>
    </row>
    <row r="37157">
      <c r="A37157" s="4" t="s">
        <v>46727</v>
      </c>
      <c r="B37157" s="4" t="s">
        <v>4452</v>
      </c>
      <c r="C37157" s="5" t="str">
        <f>IFERROR(__xludf.DUMMYFUNCTION("GOOGLETRANSLATE(B37157,""en"",""zh-CN"")"),"然后，我们看到结尾屏幕。")</f>
        <v>然后，我们看到结尾屏幕。</v>
      </c>
    </row>
    <row r="37158">
      <c r="A37158" s="4" t="s">
        <v>46735</v>
      </c>
      <c r="B37158" s="4" t="s">
        <v>46736</v>
      </c>
      <c r="C37158" s="5" t="str">
        <f>IFERROR(__xludf.DUMMYFUNCTION("GOOGLETRANSLATE(B37158,""en"",""zh-CN"")"),"有一个男人戴着红色帽子和黑色衬衫训练，并在狗公园里和他的狗一起玩。")</f>
        <v>有一个男人戴着红色帽子和黑色衬衫训练，并在狗公园里和他的狗一起玩。</v>
      </c>
    </row>
    <row r="37159">
      <c r="A37159" s="4" t="s">
        <v>46735</v>
      </c>
      <c r="B37159" s="4" t="s">
        <v>46737</v>
      </c>
      <c r="C37159" s="5" t="str">
        <f>IFERROR(__xludf.DUMMYFUNCTION("GOOGLETRANSLATE(B37159,""en"",""zh-CN"")"),"那个公园里还有其他几个人，他们的狗坐在顶篷下。")</f>
        <v>那个公园里还有其他几个人，他们的狗坐在顶篷下。</v>
      </c>
    </row>
    <row r="37160">
      <c r="A37160" s="4" t="s">
        <v>46735</v>
      </c>
      <c r="B37160" s="4" t="s">
        <v>46738</v>
      </c>
      <c r="C37160" s="5" t="str">
        <f>IFERROR(__xludf.DUMMYFUNCTION("GOOGLETRANSLATE(B37160,""en"",""zh-CN"")"),"该男子正在扔飞盘供狗拿东西。")</f>
        <v>该男子正在扔飞盘供狗拿东西。</v>
      </c>
    </row>
    <row r="37161">
      <c r="A37161" s="4" t="s">
        <v>46735</v>
      </c>
      <c r="B37161" s="4" t="s">
        <v>46739</v>
      </c>
      <c r="C37161" s="5" t="str">
        <f>IFERROR(__xludf.DUMMYFUNCTION("GOOGLETRANSLATE(B37161,""en"",""zh-CN"")"),"这只狗正在四处奔波，为其主人提供飞盘。")</f>
        <v>这只狗正在四处奔波，为其主人提供飞盘。</v>
      </c>
    </row>
    <row r="37162">
      <c r="A37162" s="4" t="s">
        <v>46735</v>
      </c>
      <c r="B37162" s="4" t="s">
        <v>46740</v>
      </c>
      <c r="C37162" s="5" t="str">
        <f>IFERROR(__xludf.DUMMYFUNCTION("GOOGLETRANSLATE(B37162,""en"",""zh-CN"")"),"狗跳高以捕获飞盘。")</f>
        <v>狗跳高以捕获飞盘。</v>
      </c>
    </row>
    <row r="37163">
      <c r="A37163" s="4" t="s">
        <v>46735</v>
      </c>
      <c r="B37163" s="4" t="s">
        <v>46741</v>
      </c>
      <c r="C37163" s="5" t="str">
        <f>IFERROR(__xludf.DUMMYFUNCTION("GOOGLETRANSLATE(B37163,""en"",""zh-CN"")"),"该男子还向狗扔球供他拿来。")</f>
        <v>该男子还向狗扔球供他拿来。</v>
      </c>
    </row>
    <row r="37164">
      <c r="A37164" s="4" t="s">
        <v>46735</v>
      </c>
      <c r="B37164" s="4" t="s">
        <v>46742</v>
      </c>
      <c r="C37164" s="5" t="str">
        <f>IFERROR(__xludf.DUMMYFUNCTION("GOOGLETRANSLATE(B37164,""en"",""zh-CN"")"),"该男子抬起狗，然后走开。")</f>
        <v>该男子抬起狗，然后走开。</v>
      </c>
    </row>
    <row r="37165">
      <c r="A37165" s="4" t="s">
        <v>46743</v>
      </c>
      <c r="B37165" s="4" t="s">
        <v>46744</v>
      </c>
      <c r="C37165" s="5" t="str">
        <f>IFERROR(__xludf.DUMMYFUNCTION("GOOGLETRANSLATE(B37165,""en"",""zh-CN"")"),"我们看到一个黑屏和标题。")</f>
        <v>我们看到一个黑屏和标题。</v>
      </c>
    </row>
    <row r="37166">
      <c r="A37166" s="4" t="s">
        <v>46743</v>
      </c>
      <c r="B37166" s="4" t="s">
        <v>46745</v>
      </c>
      <c r="C37166" s="5" t="str">
        <f>IFERROR(__xludf.DUMMYFUNCTION("GOOGLETRANSLATE(B37166,""en"",""zh-CN"")"),"我们看到一个男孩抓住被船拉的杆子。")</f>
        <v>我们看到一个男孩抓住被船拉的杆子。</v>
      </c>
    </row>
    <row r="37167">
      <c r="A37167" s="4" t="s">
        <v>46743</v>
      </c>
      <c r="B37167" s="4" t="s">
        <v>46746</v>
      </c>
      <c r="C37167" s="5" t="str">
        <f>IFERROR(__xludf.DUMMYFUNCTION("GOOGLETRANSLATE(B37167,""en"",""zh-CN"")"),"他站起来滑雪。")</f>
        <v>他站起来滑雪。</v>
      </c>
    </row>
    <row r="37168">
      <c r="A37168" s="4" t="s">
        <v>46743</v>
      </c>
      <c r="B37168" s="4" t="s">
        <v>46747</v>
      </c>
      <c r="C37168" s="5" t="str">
        <f>IFERROR(__xludf.DUMMYFUNCTION("GOOGLETRANSLATE(B37168,""en"",""zh-CN"")"),"这个男孩失去了平衡，完全掉下了杆子。")</f>
        <v>这个男孩失去了平衡，完全掉下了杆子。</v>
      </c>
    </row>
    <row r="37169">
      <c r="A37169" s="4" t="s">
        <v>46743</v>
      </c>
      <c r="B37169" s="4" t="s">
        <v>46748</v>
      </c>
      <c r="C37169" s="5" t="str">
        <f>IFERROR(__xludf.DUMMYFUNCTION("GOOGLETRANSLATE(B37169,""en"",""zh-CN"")"),"一个女孩旁边抓住船的酒吧。")</f>
        <v>一个女孩旁边抓住船的酒吧。</v>
      </c>
    </row>
    <row r="37170">
      <c r="A37170" s="4" t="s">
        <v>46743</v>
      </c>
      <c r="B37170" s="4" t="s">
        <v>46749</v>
      </c>
      <c r="C37170" s="5" t="str">
        <f>IFERROR(__xludf.DUMMYFUNCTION("GOOGLETRANSLATE(B37170,""en"",""zh-CN"")"),"女孩们在失去立足点之前看着相机并从酒吧掉下来。")</f>
        <v>女孩们在失去立足点之前看着相机并从酒吧掉下来。</v>
      </c>
    </row>
    <row r="37171">
      <c r="A37171" s="4" t="s">
        <v>46750</v>
      </c>
      <c r="B37171" s="4" t="s">
        <v>539</v>
      </c>
      <c r="C37171" s="5" t="str">
        <f>IFERROR(__xludf.DUMMYFUNCTION("GOOGLETRANSLATE(B37171,""en"",""zh-CN"")"),"一个男人正在和镜头说话。")</f>
        <v>一个男人正在和镜头说话。</v>
      </c>
    </row>
    <row r="37172">
      <c r="A37172" s="4" t="s">
        <v>46750</v>
      </c>
      <c r="B37172" s="4" t="s">
        <v>46751</v>
      </c>
      <c r="C37172" s="5" t="str">
        <f>IFERROR(__xludf.DUMMYFUNCTION("GOOGLETRANSLATE(B37172,""en"",""zh-CN"")"),"穿着橙色衬衫的女人正在做各种空手道动作。")</f>
        <v>穿着橙色衬衫的女人正在做各种空手道动作。</v>
      </c>
    </row>
    <row r="37173">
      <c r="A37173" s="4" t="s">
        <v>46750</v>
      </c>
      <c r="B37173" s="4" t="s">
        <v>46752</v>
      </c>
      <c r="C37173" s="5" t="str">
        <f>IFERROR(__xludf.DUMMYFUNCTION("GOOGLETRANSLATE(B37173,""en"",""zh-CN"")"),"她在垫子上翻转。")</f>
        <v>她在垫子上翻转。</v>
      </c>
    </row>
    <row r="37174">
      <c r="A37174" s="4" t="s">
        <v>46753</v>
      </c>
      <c r="B37174" s="4" t="s">
        <v>46754</v>
      </c>
      <c r="C37174" s="5" t="str">
        <f>IFERROR(__xludf.DUMMYFUNCTION("GOOGLETRANSLATE(B37174,""en"",""zh-CN"")"),"一个人演示了如何在自行车手柄上安装一些握把。")</f>
        <v>一个人演示了如何在自行车手柄上安装一些握把。</v>
      </c>
    </row>
    <row r="37175">
      <c r="A37175" s="4" t="s">
        <v>46753</v>
      </c>
      <c r="B37175" s="4" t="s">
        <v>46755</v>
      </c>
      <c r="C37175" s="5" t="str">
        <f>IFERROR(__xludf.DUMMYFUNCTION("GOOGLETRANSLATE(B37175,""en"",""zh-CN"")"),"首先，他将一些戒指安装在握把上。")</f>
        <v>首先，他将一些戒指安装在握把上。</v>
      </c>
    </row>
    <row r="37176">
      <c r="A37176" s="4" t="s">
        <v>46753</v>
      </c>
      <c r="B37176" s="4" t="s">
        <v>46756</v>
      </c>
      <c r="C37176" s="5" t="str">
        <f>IFERROR(__xludf.DUMMYFUNCTION("GOOGLETRANSLATE(B37176,""en"",""zh-CN"")"),"接下来，他拧紧一些螺钉以准备好它们。")</f>
        <v>接下来，他拧紧一些螺钉以准备好它们。</v>
      </c>
    </row>
    <row r="37177">
      <c r="A37177" s="4" t="s">
        <v>46753</v>
      </c>
      <c r="B37177" s="4" t="s">
        <v>46757</v>
      </c>
      <c r="C37177" s="5" t="str">
        <f>IFERROR(__xludf.DUMMYFUNCTION("GOOGLETRANSLATE(B37177,""en"",""zh-CN"")"),"然后，他将握把滑到自行车手柄上。")</f>
        <v>然后，他将握把滑到自行车手柄上。</v>
      </c>
    </row>
    <row r="37178">
      <c r="A37178" s="4" t="s">
        <v>46753</v>
      </c>
      <c r="B37178" s="4" t="s">
        <v>46758</v>
      </c>
      <c r="C37178" s="5" t="str">
        <f>IFERROR(__xludf.DUMMYFUNCTION("GOOGLETRANSLATE(B37178,""en"",""zh-CN"")"),"他用艾伦扳手完成了握把的紧缩。")</f>
        <v>他用艾伦扳手完成了握把的紧缩。</v>
      </c>
    </row>
    <row r="37179">
      <c r="A37179" s="4" t="s">
        <v>46753</v>
      </c>
      <c r="B37179" s="4" t="s">
        <v>46759</v>
      </c>
      <c r="C37179" s="5" t="str">
        <f>IFERROR(__xludf.DUMMYFUNCTION("GOOGLETRANSLATE(B37179,""en"",""zh-CN"")"),"最后，他将插头插入握把和手柄杆的末端。")</f>
        <v>最后，他将插头插入握把和手柄杆的末端。</v>
      </c>
    </row>
    <row r="37180">
      <c r="A37180" s="4" t="s">
        <v>46760</v>
      </c>
      <c r="B37180" s="4" t="s">
        <v>46761</v>
      </c>
      <c r="C37180" s="5" t="str">
        <f>IFERROR(__xludf.DUMMYFUNCTION("GOOGLETRANSLATE(B37180,""en"",""zh-CN"")"),"男子正在空旷的球场上踢足球。")</f>
        <v>男子正在空旷的球场上踢足球。</v>
      </c>
    </row>
    <row r="37181">
      <c r="A37181" s="4" t="s">
        <v>46760</v>
      </c>
      <c r="B37181" s="4" t="s">
        <v>46762</v>
      </c>
      <c r="C37181" s="5" t="str">
        <f>IFERROR(__xludf.DUMMYFUNCTION("GOOGLETRANSLATE(B37181,""en"",""zh-CN"")"),"男人踢另一个球员头上，他握住了头。")</f>
        <v>男人踢另一个球员头上，他握住了头。</v>
      </c>
    </row>
    <row r="37182">
      <c r="A37182" s="4" t="s">
        <v>46763</v>
      </c>
      <c r="B37182" s="4" t="s">
        <v>46764</v>
      </c>
      <c r="C37182" s="5" t="str">
        <f>IFERROR(__xludf.DUMMYFUNCTION("GOOGLETRANSLATE(B37182,""en"",""zh-CN"")"),"两个女人正在骑车。")</f>
        <v>两个女人正在骑车。</v>
      </c>
    </row>
    <row r="37183">
      <c r="A37183" s="4" t="s">
        <v>46763</v>
      </c>
      <c r="B37183" s="4" t="s">
        <v>46765</v>
      </c>
      <c r="C37183" s="5" t="str">
        <f>IFERROR(__xludf.DUMMYFUNCTION("GOOGLETRANSLATE(B37183,""en"",""zh-CN"")"),"乘客正在与镜头交谈。")</f>
        <v>乘客正在与镜头交谈。</v>
      </c>
    </row>
    <row r="37184">
      <c r="A37184" s="4" t="s">
        <v>46763</v>
      </c>
      <c r="B37184" s="4" t="s">
        <v>46766</v>
      </c>
      <c r="C37184" s="5" t="str">
        <f>IFERROR(__xludf.DUMMYFUNCTION("GOOGLETRANSLATE(B37184,""en"",""zh-CN"")"),"他们正在展示舞蹈动作。")</f>
        <v>他们正在展示舞蹈动作。</v>
      </c>
    </row>
    <row r="37185">
      <c r="A37185" s="4" t="s">
        <v>46763</v>
      </c>
      <c r="B37185" s="4" t="s">
        <v>46767</v>
      </c>
      <c r="C37185" s="5" t="str">
        <f>IFERROR(__xludf.DUMMYFUNCTION("GOOGLETRANSLATE(B37185,""en"",""zh-CN"")"),"驾驶员正在与相机交谈。")</f>
        <v>驾驶员正在与相机交谈。</v>
      </c>
    </row>
    <row r="37186">
      <c r="A37186" s="4" t="s">
        <v>46763</v>
      </c>
      <c r="B37186" s="4" t="s">
        <v>46768</v>
      </c>
      <c r="C37186" s="5" t="str">
        <f>IFERROR(__xludf.DUMMYFUNCTION("GOOGLETRANSLATE(B37186,""en"",""zh-CN"")"),"乘客现在正在与相机交谈。")</f>
        <v>乘客现在正在与相机交谈。</v>
      </c>
    </row>
    <row r="37187">
      <c r="A37187" s="4" t="s">
        <v>46763</v>
      </c>
      <c r="B37187" s="4" t="s">
        <v>46769</v>
      </c>
      <c r="C37187" s="5" t="str">
        <f>IFERROR(__xludf.DUMMYFUNCTION("GOOGLETRANSLATE(B37187,""en"",""zh-CN"")"),"驾驶员在开车时看着相机并微笑。")</f>
        <v>驾驶员在开车时看着相机并微笑。</v>
      </c>
    </row>
    <row r="37188">
      <c r="A37188" s="4" t="s">
        <v>46763</v>
      </c>
      <c r="B37188" s="4" t="s">
        <v>46770</v>
      </c>
      <c r="C37188" s="5" t="str">
        <f>IFERROR(__xludf.DUMMYFUNCTION("GOOGLETRANSLATE(B37188,""en"",""zh-CN"")"),"一个女孩在镜子里看着肩膀上的纹身图案。")</f>
        <v>一个女孩在镜子里看着肩膀上的纹身图案。</v>
      </c>
    </row>
    <row r="37189">
      <c r="A37189" s="4" t="s">
        <v>46763</v>
      </c>
      <c r="B37189" s="4" t="s">
        <v>46771</v>
      </c>
      <c r="C37189" s="5" t="str">
        <f>IFERROR(__xludf.DUMMYFUNCTION("GOOGLETRANSLATE(B37189,""en"",""zh-CN"")"),"另一个女孩躺在床上，另一个女孩给她纹身。")</f>
        <v>另一个女孩躺在床上，另一个女孩给她纹身。</v>
      </c>
    </row>
    <row r="37190">
      <c r="A37190" s="4" t="s">
        <v>46763</v>
      </c>
      <c r="B37190" s="4" t="s">
        <v>46772</v>
      </c>
      <c r="C37190" s="5" t="str">
        <f>IFERROR(__xludf.DUMMYFUNCTION("GOOGLETRANSLATE(B37190,""en"",""zh-CN"")"),"另一个女孩坐在凳子上，而一个男人给她纹身的肩膀。")</f>
        <v>另一个女孩坐在凳子上，而一个男人给她纹身的肩膀。</v>
      </c>
    </row>
    <row r="37191">
      <c r="A37191" s="4" t="s">
        <v>46763</v>
      </c>
      <c r="B37191" s="4" t="s">
        <v>46773</v>
      </c>
      <c r="C37191" s="5" t="str">
        <f>IFERROR(__xludf.DUMMYFUNCTION("GOOGLETRANSLATE(B37191,""en"",""zh-CN"")"),"一只手从相机后面伸出手。")</f>
        <v>一只手从相机后面伸出手。</v>
      </c>
    </row>
    <row r="37192">
      <c r="A37192" s="4" t="s">
        <v>46763</v>
      </c>
      <c r="B37192" s="4" t="s">
        <v>46774</v>
      </c>
      <c r="C37192" s="5" t="str">
        <f>IFERROR(__xludf.DUMMYFUNCTION("GOOGLETRANSLATE(B37192,""en"",""zh-CN"")"),"一个女孩用手在肩膀上与镜头说话。")</f>
        <v>一个女孩用手在肩膀上与镜头说话。</v>
      </c>
    </row>
    <row r="37193">
      <c r="A37193" s="4" t="s">
        <v>46763</v>
      </c>
      <c r="B37193" s="4" t="s">
        <v>46775</v>
      </c>
      <c r="C37193" s="5" t="str">
        <f>IFERROR(__xludf.DUMMYFUNCTION("GOOGLETRANSLATE(B37193,""en"",""zh-CN"")"),"另一个女孩正在和镜头说话并做手势。")</f>
        <v>另一个女孩正在和镜头说话并做手势。</v>
      </c>
    </row>
    <row r="37194">
      <c r="A37194" s="4" t="s">
        <v>46763</v>
      </c>
      <c r="B37194" s="4" t="s">
        <v>46776</v>
      </c>
      <c r="C37194" s="5" t="str">
        <f>IFERROR(__xludf.DUMMYFUNCTION("GOOGLETRANSLATE(B37194,""en"",""zh-CN"")"),"两个女孩都在和镜头说话。")</f>
        <v>两个女孩都在和镜头说话。</v>
      </c>
    </row>
    <row r="37195">
      <c r="A37195" s="4" t="s">
        <v>46777</v>
      </c>
      <c r="B37195" s="4" t="s">
        <v>46778</v>
      </c>
      <c r="C37195" s="5" t="str">
        <f>IFERROR(__xludf.DUMMYFUNCTION("GOOGLETRANSLATE(B37195,""en"",""zh-CN"")"),"穿着黑色外套的男人用铲子铲雪。")</f>
        <v>穿着黑色外套的男人用铲子铲雪。</v>
      </c>
    </row>
    <row r="37196">
      <c r="A37196" s="4" t="s">
        <v>46777</v>
      </c>
      <c r="B37196" s="4" t="s">
        <v>46779</v>
      </c>
      <c r="C37196" s="5" t="str">
        <f>IFERROR(__xludf.DUMMYFUNCTION("GOOGLETRANSLATE(B37196,""en"",""zh-CN"")"),"他捡起一块充满雪的大铲，然后将其扔在他旁边。")</f>
        <v>他捡起一块充满雪的大铲，然后将其扔在他旁边。</v>
      </c>
    </row>
    <row r="37197">
      <c r="A37197" s="4" t="s">
        <v>46777</v>
      </c>
      <c r="B37197" s="4" t="s">
        <v>46780</v>
      </c>
      <c r="C37197" s="5" t="str">
        <f>IFERROR(__xludf.DUMMYFUNCTION("GOOGLETRANSLATE(B37197,""en"",""zh-CN"")"),"他继续铲车。")</f>
        <v>他继续铲车。</v>
      </c>
    </row>
    <row r="37198">
      <c r="A37198" s="4" t="s">
        <v>46781</v>
      </c>
      <c r="B37198" s="4" t="s">
        <v>46782</v>
      </c>
      <c r="C37198" s="5" t="str">
        <f>IFERROR(__xludf.DUMMYFUNCTION("GOOGLETRANSLATE(B37198,""en"",""zh-CN"")"),"一个人在竞技场与公牛作战。")</f>
        <v>一个人在竞技场与公牛作战。</v>
      </c>
    </row>
    <row r="37199">
      <c r="A37199" s="4" t="s">
        <v>46781</v>
      </c>
      <c r="B37199" s="4" t="s">
        <v>46783</v>
      </c>
      <c r="C37199" s="5" t="str">
        <f>IFERROR(__xludf.DUMMYFUNCTION("GOOGLETRANSLATE(B37199,""en"",""zh-CN"")"),"他摆动斗篷，在其他人附近奔跑，戏弄公牛追逐他。")</f>
        <v>他摆动斗篷，在其他人附近奔跑，戏弄公牛追逐他。</v>
      </c>
    </row>
    <row r="37200">
      <c r="A37200" s="4" t="s">
        <v>46781</v>
      </c>
      <c r="B37200" s="6" t="s">
        <v>46784</v>
      </c>
      <c r="C37200" s="5" t="str">
        <f>IFERROR(__xludf.DUMMYFUNCTION("GOOGLETRANSLATE(B37200,""en"",""zh-CN"")"),"公牛猛撞到一匹马的侧面被一个男人骑行，然后奔向斗篷的男人。")</f>
        <v>公牛猛撞到一匹马的侧面被一个男人骑行，然后奔向斗篷的男人。</v>
      </c>
    </row>
    <row r="37201">
      <c r="A37201" s="4" t="s">
        <v>46781</v>
      </c>
      <c r="B37201" s="4" t="s">
        <v>46785</v>
      </c>
      <c r="C37201" s="5" t="str">
        <f>IFERROR(__xludf.DUMMYFUNCTION("GOOGLETRANSLATE(B37201,""en"",""zh-CN"")"),"马上的那个人骑着侧面。")</f>
        <v>马上的那个人骑着侧面。</v>
      </c>
    </row>
    <row r="37202">
      <c r="A37202" s="4" t="s">
        <v>46786</v>
      </c>
      <c r="B37202" s="4" t="s">
        <v>46787</v>
      </c>
      <c r="C37202" s="5" t="str">
        <f>IFERROR(__xludf.DUMMYFUNCTION("GOOGLETRANSLATE(B37202,""en"",""zh-CN"")"),"引入视频剪辑的屏幕介绍。")</f>
        <v>引入视频剪辑的屏幕介绍。</v>
      </c>
    </row>
    <row r="37203">
      <c r="A37203" s="4" t="s">
        <v>46786</v>
      </c>
      <c r="B37203" s="4" t="s">
        <v>46788</v>
      </c>
      <c r="C37203" s="5" t="str">
        <f>IFERROR(__xludf.DUMMYFUNCTION("GOOGLETRANSLATE(B37203,""en"",""zh-CN"")"),"显示了两个人在湖中嬉戏。")</f>
        <v>显示了两个人在湖中嬉戏。</v>
      </c>
    </row>
    <row r="37204">
      <c r="A37204" s="4" t="s">
        <v>46786</v>
      </c>
      <c r="B37204" s="4" t="s">
        <v>46789</v>
      </c>
      <c r="C37204" s="5" t="str">
        <f>IFERROR(__xludf.DUMMYFUNCTION("GOOGLETRANSLATE(B37204,""en"",""zh-CN"")"),"之后，他们在绳索连接到快速船的水中启动运动。")</f>
        <v>之后，他们在绳索连接到快速船的水中启动运动。</v>
      </c>
    </row>
    <row r="37205">
      <c r="A37205" s="4" t="s">
        <v>46786</v>
      </c>
      <c r="B37205" s="4" t="s">
        <v>46790</v>
      </c>
      <c r="C37205" s="5" t="str">
        <f>IFERROR(__xludf.DUMMYFUNCTION("GOOGLETRANSLATE(B37205,""en"",""zh-CN"")"),"当他们俩都在水中倒下时，视频结束了。")</f>
        <v>当他们俩都在水中倒下时，视频结束了。</v>
      </c>
    </row>
    <row r="37206">
      <c r="A37206" s="4" t="s">
        <v>46791</v>
      </c>
      <c r="B37206" s="4" t="s">
        <v>46792</v>
      </c>
      <c r="C37206" s="5" t="str">
        <f>IFERROR(__xludf.DUMMYFUNCTION("GOOGLETRANSLATE(B37206,""en"",""zh-CN"")"),"一位女士将指甲涂成李子颜色。")</f>
        <v>一位女士将指甲涂成李子颜色。</v>
      </c>
    </row>
    <row r="37207">
      <c r="A37207" s="4" t="s">
        <v>46791</v>
      </c>
      <c r="B37207" s="4" t="s">
        <v>46793</v>
      </c>
      <c r="C37207" s="5" t="str">
        <f>IFERROR(__xludf.DUMMYFUNCTION("GOOGLETRANSLATE(B37207,""en"",""zh-CN"")"),"然后，她在指甲上放置条纹和黑色和银点，以创建设计。")</f>
        <v>然后，她在指甲上放置条纹和黑色和银点，以创建设计。</v>
      </c>
    </row>
    <row r="37208">
      <c r="A37208" s="4" t="s">
        <v>46791</v>
      </c>
      <c r="B37208" s="4" t="s">
        <v>46794</v>
      </c>
      <c r="C37208" s="5" t="str">
        <f>IFERROR(__xludf.DUMMYFUNCTION("GOOGLETRANSLATE(B37208,""en"",""zh-CN"")"),"她完成并展示了她的绘画指甲。")</f>
        <v>她完成并展示了她的绘画指甲。</v>
      </c>
    </row>
    <row r="37209">
      <c r="A37209" s="4" t="s">
        <v>46795</v>
      </c>
      <c r="B37209" s="4" t="s">
        <v>46796</v>
      </c>
      <c r="C37209" s="5" t="str">
        <f>IFERROR(__xludf.DUMMYFUNCTION("GOOGLETRANSLATE(B37209,""en"",""zh-CN"")"),"看到一个男人在远处与其他人说话，并开始将一个男人推到一个房间周围。")</f>
        <v>看到一个男人在远处与其他人说话，并开始将一个男人推到一个房间周围。</v>
      </c>
    </row>
    <row r="37210">
      <c r="A37210" s="4" t="s">
        <v>46795</v>
      </c>
      <c r="B37210" s="4" t="s">
        <v>46797</v>
      </c>
      <c r="C37210" s="5" t="str">
        <f>IFERROR(__xludf.DUMMYFUNCTION("GOOGLETRANSLATE(B37210,""en"",""zh-CN"")"),"当许多人看着一边时，他继续推动男人。")</f>
        <v>当许多人看着一边时，他继续推动男人。</v>
      </c>
    </row>
    <row r="37211">
      <c r="A37211" s="4" t="s">
        <v>46795</v>
      </c>
      <c r="B37211" s="4" t="s">
        <v>46798</v>
      </c>
      <c r="C37211" s="5" t="str">
        <f>IFERROR(__xludf.DUMMYFUNCTION("GOOGLETRANSLATE(B37211,""en"",""zh-CN"")"),"该男子站起来，当他不断推倒时，看上去很惊讶。")</f>
        <v>该男子站起来，当他不断推倒时，看上去很惊讶。</v>
      </c>
    </row>
    <row r="37212">
      <c r="A37212" s="4" t="s">
        <v>46799</v>
      </c>
      <c r="B37212" s="4" t="s">
        <v>573</v>
      </c>
      <c r="C37212" s="5" t="str">
        <f>IFERROR(__xludf.DUMMYFUNCTION("GOOGLETRANSLATE(B37212,""en"",""zh-CN"")"),"显示了视频的积分。")</f>
        <v>显示了视频的积分。</v>
      </c>
    </row>
    <row r="37213">
      <c r="A37213" s="4" t="s">
        <v>46799</v>
      </c>
      <c r="B37213" s="4" t="s">
        <v>46800</v>
      </c>
      <c r="C37213" s="5" t="str">
        <f>IFERROR(__xludf.DUMMYFUNCTION("GOOGLETRANSLATE(B37213,""en"",""zh-CN"")"),"一位女士站在外面说话。")</f>
        <v>一位女士站在外面说话。</v>
      </c>
    </row>
    <row r="37214">
      <c r="A37214" s="4" t="s">
        <v>46799</v>
      </c>
      <c r="B37214" s="4" t="s">
        <v>46801</v>
      </c>
      <c r="C37214" s="5" t="str">
        <f>IFERROR(__xludf.DUMMYFUNCTION("GOOGLETRANSLATE(B37214,""en"",""zh-CN"")"),"这位女士让她在办公室接受眼科检查。")</f>
        <v>这位女士让她在办公室接受眼科检查。</v>
      </c>
    </row>
    <row r="37215">
      <c r="A37215" s="4" t="s">
        <v>46799</v>
      </c>
      <c r="B37215" s="4" t="s">
        <v>46802</v>
      </c>
      <c r="C37215" s="5" t="str">
        <f>IFERROR(__xludf.DUMMYFUNCTION("GOOGLETRANSLATE(B37215,""en"",""zh-CN"")"),"使用工具和人手检查眼神交流。")</f>
        <v>使用工具和人手检查眼神交流。</v>
      </c>
    </row>
    <row r="37216">
      <c r="A37216" s="4" t="s">
        <v>46799</v>
      </c>
      <c r="B37216" s="4" t="s">
        <v>46803</v>
      </c>
      <c r="C37216" s="5" t="str">
        <f>IFERROR(__xludf.DUMMYFUNCTION("GOOGLETRANSLATE(B37216,""en"",""zh-CN"")"),"显示了几种与隐形眼镜磨损相关的物品。")</f>
        <v>显示了几种与隐形眼镜磨损相关的物品。</v>
      </c>
    </row>
    <row r="37217">
      <c r="A37217" s="4" t="s">
        <v>46799</v>
      </c>
      <c r="B37217" s="4" t="s">
        <v>46804</v>
      </c>
      <c r="C37217" s="5" t="str">
        <f>IFERROR(__xludf.DUMMYFUNCTION("GOOGLETRANSLATE(B37217,""en"",""zh-CN"")"),"一个男人洗手。")</f>
        <v>一个男人洗手。</v>
      </c>
    </row>
    <row r="37218">
      <c r="A37218" s="4" t="s">
        <v>46799</v>
      </c>
      <c r="B37218" s="4" t="s">
        <v>46805</v>
      </c>
      <c r="C37218" s="5" t="str">
        <f>IFERROR(__xludf.DUMMYFUNCTION("GOOGLETRANSLATE(B37218,""en"",""zh-CN"")"),"一位女士拿起隐形眼镜。")</f>
        <v>一位女士拿起隐形眼镜。</v>
      </c>
    </row>
    <row r="37219">
      <c r="A37219" s="4" t="s">
        <v>46799</v>
      </c>
      <c r="B37219" s="4" t="s">
        <v>46806</v>
      </c>
      <c r="C37219" s="5" t="str">
        <f>IFERROR(__xludf.DUMMYFUNCTION("GOOGLETRANSLATE(B37219,""en"",""zh-CN"")"),"一个人将字母l写在纸上。")</f>
        <v>一个人将字母l写在纸上。</v>
      </c>
    </row>
    <row r="37220">
      <c r="A37220" s="4" t="s">
        <v>46799</v>
      </c>
      <c r="B37220" s="4" t="s">
        <v>46807</v>
      </c>
      <c r="C37220" s="5" t="str">
        <f>IFERROR(__xludf.DUMMYFUNCTION("GOOGLETRANSLATE(B37220,""en"",""zh-CN"")"),"手弯曲隐形眼镜。")</f>
        <v>手弯曲隐形眼镜。</v>
      </c>
    </row>
    <row r="37221">
      <c r="A37221" s="4" t="s">
        <v>46799</v>
      </c>
      <c r="B37221" s="4" t="s">
        <v>46808</v>
      </c>
      <c r="C37221" s="5" t="str">
        <f>IFERROR(__xludf.DUMMYFUNCTION("GOOGLETRANSLATE(B37221,""en"",""zh-CN"")"),"一个男人将隐形眼镜放入。")</f>
        <v>一个男人将隐形眼镜放入。</v>
      </c>
    </row>
    <row r="37222">
      <c r="A37222" s="4" t="s">
        <v>46799</v>
      </c>
      <c r="B37222" s="4" t="s">
        <v>46809</v>
      </c>
      <c r="C37222" s="5" t="str">
        <f>IFERROR(__xludf.DUMMYFUNCTION("GOOGLETRANSLATE(B37222,""en"",""zh-CN"")"),"一位女士将每个隐形眼镜放入。")</f>
        <v>一位女士将每个隐形眼镜放入。</v>
      </c>
    </row>
    <row r="37223">
      <c r="A37223" s="4" t="s">
        <v>46799</v>
      </c>
      <c r="B37223" s="4" t="s">
        <v>46810</v>
      </c>
      <c r="C37223" s="5" t="str">
        <f>IFERROR(__xludf.DUMMYFUNCTION("GOOGLETRANSLATE(B37223,""en"",""zh-CN"")"),"那位女士握手。")</f>
        <v>那位女士握手。</v>
      </c>
    </row>
    <row r="37224">
      <c r="A37224" s="4" t="s">
        <v>46799</v>
      </c>
      <c r="B37224" s="4" t="s">
        <v>21153</v>
      </c>
      <c r="C37224" s="5" t="str">
        <f>IFERROR(__xludf.DUMMYFUNCTION("GOOGLETRANSLATE(B37224,""en"",""zh-CN"")"),"显示了剪辑的信用。")</f>
        <v>显示了剪辑的信用。</v>
      </c>
    </row>
    <row r="37225">
      <c r="A37225" s="4" t="s">
        <v>46811</v>
      </c>
      <c r="B37225" s="6" t="s">
        <v>46812</v>
      </c>
      <c r="C37225" s="5" t="str">
        <f>IFERROR(__xludf.DUMMYFUNCTION("GOOGLETRANSLATE(B37225,""en"",""zh-CN"")"),"看到一小群人在田野上玩曲棍球游戏，一个男人走向他们。")</f>
        <v>看到一小群人在田野上玩曲棍球游戏，一个男人走向他们。</v>
      </c>
    </row>
    <row r="37226">
      <c r="A37226" s="4" t="s">
        <v>46811</v>
      </c>
      <c r="B37226" s="6" t="s">
        <v>46813</v>
      </c>
      <c r="C37226" s="5" t="str">
        <f>IFERROR(__xludf.DUMMYFUNCTION("GOOGLETRANSLATE(B37226,""en"",""zh-CN"")"),"该男子在球员上下奔跑时向球员大喊大叫，并继续观看他们的比赛。")</f>
        <v>该男子在球员上下奔跑时向球员大喊大叫，并继续观看他们的比赛。</v>
      </c>
    </row>
    <row r="37227">
      <c r="A37227" s="4" t="s">
        <v>46814</v>
      </c>
      <c r="B37227" s="6" t="s">
        <v>46815</v>
      </c>
      <c r="C37227" s="5" t="str">
        <f>IFERROR(__xludf.DUMMYFUNCTION("GOOGLETRANSLATE(B37227,""en"",""zh-CN"")"),"显示了一辆驾驶蓝色路标的汽车驱动器，并以白色字母读了“沃尔顿”，“安大略省的西海岸”和“汽车越野镇”。")</f>
        <v>显示了一辆驾驶蓝色路标的汽车驱动器，并以白色字母读了“沃尔顿”，“安大略省的西海岸”和“汽车越野镇”。</v>
      </c>
    </row>
    <row r="37228">
      <c r="A37228" s="4" t="s">
        <v>46814</v>
      </c>
      <c r="B37228" s="6" t="s">
        <v>46816</v>
      </c>
      <c r="C37228" s="5" t="str">
        <f>IFERROR(__xludf.DUMMYFUNCTION("GOOGLETRANSLATE(B37228,""en"",""zh-CN"")"),"现在，许多人在大型聚会上散步或骑自行车，因为其他人在帐篷下闲逛。")</f>
        <v>现在，许多人在大型聚会上散步或骑自行车，因为其他人在帐篷下闲逛。</v>
      </c>
    </row>
    <row r="37229">
      <c r="A37229" s="4" t="s">
        <v>46814</v>
      </c>
      <c r="B37229" s="6" t="s">
        <v>46817</v>
      </c>
      <c r="C37229" s="5" t="str">
        <f>IFERROR(__xludf.DUMMYFUNCTION("GOOGLETRANSLATE(B37229,""en"",""zh-CN"")"),"一群男人正处于大型运动交叉轨道的起跑线，当人们看着时，他们开始四处走动。")</f>
        <v>一群男人正处于大型运动交叉轨道的起跑线，当人们看着时，他们开始四处走动。</v>
      </c>
    </row>
    <row r="37230">
      <c r="A37230" s="4" t="s">
        <v>46814</v>
      </c>
      <c r="B37230" s="6" t="s">
        <v>46818</v>
      </c>
      <c r="C37230" s="5" t="str">
        <f>IFERROR(__xludf.DUMMYFUNCTION("GOOGLETRANSLATE(B37230,""en"",""zh-CN"")"),"当他们绕着轨道上完成不同的人的各种剪辑，再次显示。")</f>
        <v>当他们绕着轨道上完成不同的人的各种剪辑，再次显示。</v>
      </c>
    </row>
    <row r="37231">
      <c r="A37231" s="4" t="s">
        <v>46819</v>
      </c>
      <c r="B37231" s="4" t="s">
        <v>46820</v>
      </c>
      <c r="C37231" s="5" t="str">
        <f>IFERROR(__xludf.DUMMYFUNCTION("GOOGLETRANSLATE(B37231,""en"",""zh-CN"")"),"啦啦队站在蓝色垫子上。")</f>
        <v>啦啦队站在蓝色垫子上。</v>
      </c>
    </row>
    <row r="37232">
      <c r="A37232" s="4" t="s">
        <v>46819</v>
      </c>
      <c r="B37232" s="4" t="s">
        <v>46821</v>
      </c>
      <c r="C37232" s="5" t="str">
        <f>IFERROR(__xludf.DUMMYFUNCTION("GOOGLETRANSLATE(B37232,""en"",""zh-CN"")"),"他们开始在垫子上做例程。")</f>
        <v>他们开始在垫子上做例程。</v>
      </c>
    </row>
    <row r="37233">
      <c r="A37233" s="4" t="s">
        <v>46819</v>
      </c>
      <c r="B37233" s="4" t="s">
        <v>46822</v>
      </c>
      <c r="C37233" s="5" t="str">
        <f>IFERROR(__xludf.DUMMYFUNCTION("GOOGLETRANSLATE(B37233,""en"",""zh-CN"")"),"他们举起空中的标志。")</f>
        <v>他们举起空中的标志。</v>
      </c>
    </row>
    <row r="37234">
      <c r="A37234" s="4" t="s">
        <v>46819</v>
      </c>
      <c r="B37234" s="4" t="s">
        <v>46823</v>
      </c>
      <c r="C37234" s="5" t="str">
        <f>IFERROR(__xludf.DUMMYFUNCTION("GOOGLETRANSLATE(B37234,""en"",""zh-CN"")"),"他们完成了例行程序，并向观众挥手。")</f>
        <v>他们完成了例行程序，并向观众挥手。</v>
      </c>
    </row>
    <row r="37235">
      <c r="A37235" s="4" t="s">
        <v>46824</v>
      </c>
      <c r="B37235" s="4" t="s">
        <v>46825</v>
      </c>
      <c r="C37235" s="5" t="str">
        <f>IFERROR(__xludf.DUMMYFUNCTION("GOOGLETRANSLATE(B37235,""en"",""zh-CN"")"),"当SH在光束上时，一个女人握着运动员的脚踝。")</f>
        <v>当SH在光束上时，一个女人握着运动员的脚踝。</v>
      </c>
    </row>
    <row r="37236">
      <c r="A37236" s="4" t="s">
        <v>46824</v>
      </c>
      <c r="B37236" s="6" t="s">
        <v>46826</v>
      </c>
      <c r="C37236" s="5" t="str">
        <f>IFERROR(__xludf.DUMMYFUNCTION("GOOGLETRANSLATE(B37236,""en"",""zh-CN"")"),"该名女子正在使运动员促使她的脚踝A并走到光束上，她走路时指导运动员。")</f>
        <v>该名女子正在使运动员促使她的脚踝A并走到光束上，她走路时指导运动员。</v>
      </c>
    </row>
    <row r="37237">
      <c r="A37237" s="4" t="s">
        <v>46824</v>
      </c>
      <c r="B37237" s="6" t="s">
        <v>46827</v>
      </c>
      <c r="C37237" s="5" t="str">
        <f>IFERROR(__xludf.DUMMYFUNCTION("GOOGLETRANSLATE(B37237,""en"",""zh-CN"")"),"运动员和脚踝向后走来走去，然后那个女人转过身来引导她。")</f>
        <v>运动员和脚踝向后走来走去，然后那个女人转过身来引导她。</v>
      </c>
    </row>
    <row r="37238">
      <c r="A37238" s="4" t="s">
        <v>46828</v>
      </c>
      <c r="B37238" s="4" t="s">
        <v>46829</v>
      </c>
      <c r="C37238" s="5" t="str">
        <f>IFERROR(__xludf.DUMMYFUNCTION("GOOGLETRANSLATE(B37238,""en"",""zh-CN"")"),"绿色的肚皮师开始了她的日常工作，对观众微笑。")</f>
        <v>绿色的肚皮师开始了她的日常工作，对观众微笑。</v>
      </c>
    </row>
    <row r="37239">
      <c r="A37239" s="4" t="s">
        <v>46828</v>
      </c>
      <c r="B37239" s="6" t="s">
        <v>46830</v>
      </c>
      <c r="C37239" s="5" t="str">
        <f>IFERROR(__xludf.DUMMYFUNCTION("GOOGLETRANSLATE(B37239,""en"",""zh-CN"")"),"她加入了另外两名红色的舞者，每个舞者都在聚在一起之前做自己的举动。")</f>
        <v>她加入了另外两名红色的舞者，每个舞者都在聚在一起之前做自己的举动。</v>
      </c>
    </row>
    <row r="37240">
      <c r="A37240" s="4" t="s">
        <v>46828</v>
      </c>
      <c r="B37240" s="4" t="s">
        <v>46831</v>
      </c>
      <c r="C37240" s="5" t="str">
        <f>IFERROR(__xludf.DUMMYFUNCTION("GOOGLETRANSLATE(B37240,""en"",""zh-CN"")"),"他们再次突破独奏表演，每个舞者都会有片刻炫耀。")</f>
        <v>他们再次突破独奏表演，每个舞者都会有片刻炫耀。</v>
      </c>
    </row>
    <row r="37241">
      <c r="A37241" s="4" t="s">
        <v>46828</v>
      </c>
      <c r="B37241" s="4" t="s">
        <v>46832</v>
      </c>
      <c r="C37241" s="5" t="str">
        <f>IFERROR(__xludf.DUMMYFUNCTION("GOOGLETRANSLATE(B37241,""en"",""zh-CN"")"),"他们返回跳舞，表演结束。")</f>
        <v>他们返回跳舞，表演结束。</v>
      </c>
    </row>
    <row r="37242">
      <c r="A37242" s="4" t="s">
        <v>46833</v>
      </c>
      <c r="B37242" s="6" t="s">
        <v>46834</v>
      </c>
      <c r="C37242" s="5" t="str">
        <f>IFERROR(__xludf.DUMMYFUNCTION("GOOGLETRANSLATE(B37242,""en"",""zh-CN"")"),"该视频导致了几次骑行滑板的人，并骑着轮胎并彼此走动。")</f>
        <v>该视频导致了几次骑行滑板的人，并骑着轮胎并彼此走动。</v>
      </c>
    </row>
    <row r="37243">
      <c r="A37243" s="4" t="s">
        <v>46833</v>
      </c>
      <c r="B37243" s="6" t="s">
        <v>46835</v>
      </c>
      <c r="C37243" s="5" t="str">
        <f>IFERROR(__xludf.DUMMYFUNCTION("GOOGLETRANSLATE(B37243,""en"",""zh-CN"")"),"他们看到他们看着和笑着镜头，而更多的人骑着滑板板的人则显示出更多的镜头。")</f>
        <v>他们看到他们看着和笑着镜头，而更多的人骑着滑板板的人则显示出更多的镜头。</v>
      </c>
    </row>
    <row r="37244">
      <c r="A37244" s="4" t="s">
        <v>46836</v>
      </c>
      <c r="B37244" s="4" t="s">
        <v>46837</v>
      </c>
      <c r="C37244" s="5" t="str">
        <f>IFERROR(__xludf.DUMMYFUNCTION("GOOGLETRANSLATE(B37244,""en"",""zh-CN"")"),"三人进行了篮球训练，开车去了篮球。")</f>
        <v>三人进行了篮球训练，开车去了篮球。</v>
      </c>
    </row>
    <row r="37245">
      <c r="A37245" s="4" t="s">
        <v>46836</v>
      </c>
      <c r="B37245" s="4" t="s">
        <v>46838</v>
      </c>
      <c r="C37245" s="5" t="str">
        <f>IFERROR(__xludf.DUMMYFUNCTION("GOOGLETRANSLATE(B37245,""en"",""zh-CN"")"),"他们轮流扮演不同的位置并上篮。")</f>
        <v>他们轮流扮演不同的位置并上篮。</v>
      </c>
    </row>
    <row r="37246">
      <c r="A37246" s="4" t="s">
        <v>46839</v>
      </c>
      <c r="B37246" s="4" t="s">
        <v>46840</v>
      </c>
      <c r="C37246" s="5" t="str">
        <f>IFERROR(__xludf.DUMMYFUNCTION("GOOGLETRANSLATE(B37246,""en"",""zh-CN"")"),"看到一个年轻人在脸上看着乳液的远处。")</f>
        <v>看到一个年轻人在脸上看着乳液的远处。</v>
      </c>
    </row>
    <row r="37247">
      <c r="A37247" s="4" t="s">
        <v>46839</v>
      </c>
      <c r="B37247" s="4" t="s">
        <v>46841</v>
      </c>
      <c r="C37247" s="5" t="str">
        <f>IFERROR(__xludf.DUMMYFUNCTION("GOOGLETRANSLATE(B37247,""en"",""zh-CN"")"),"他在远离镜头时继续摩擦乳液。")</f>
        <v>他在远离镜头时继续摩擦乳液。</v>
      </c>
    </row>
    <row r="37248">
      <c r="A37248" s="4" t="s">
        <v>46839</v>
      </c>
      <c r="B37248" s="4" t="s">
        <v>46842</v>
      </c>
      <c r="C37248" s="5" t="str">
        <f>IFERROR(__xludf.DUMMYFUNCTION("GOOGLETRANSLATE(B37248,""en"",""zh-CN"")"),"他完成了放入防晒霜的地方，并从相机上移开了视线。")</f>
        <v>他完成了放入防晒霜的地方，并从相机上移开了视线。</v>
      </c>
    </row>
    <row r="37249">
      <c r="A37249" s="4" t="s">
        <v>46843</v>
      </c>
      <c r="B37249" s="4" t="s">
        <v>46844</v>
      </c>
      <c r="C37249" s="5" t="str">
        <f>IFERROR(__xludf.DUMMYFUNCTION("GOOGLETRANSLATE(B37249,""en"",""zh-CN"")"),"看到几名男子站在室内球场周围踢球。")</f>
        <v>看到几名男子站在室内球场周围踢球。</v>
      </c>
    </row>
    <row r="37250">
      <c r="A37250" s="4" t="s">
        <v>46843</v>
      </c>
      <c r="B37250" s="4" t="s">
        <v>46845</v>
      </c>
      <c r="C37250" s="5" t="str">
        <f>IFERROR(__xludf.DUMMYFUNCTION("GOOGLETRANSLATE(B37250,""en"",""zh-CN"")"),"人们在球员继续上下比赛时观看场旁的比赛。")</f>
        <v>人们在球员继续上下比赛时观看场旁的比赛。</v>
      </c>
    </row>
    <row r="37251">
      <c r="A37251" s="4" t="s">
        <v>46843</v>
      </c>
      <c r="B37251" s="4" t="s">
        <v>46846</v>
      </c>
      <c r="C37251" s="5" t="str">
        <f>IFERROR(__xludf.DUMMYFUNCTION("GOOGLETRANSLATE(B37251,""en"",""zh-CN"")"),"在两者之间显示不同的游戏，小组继续玩。")</f>
        <v>在两者之间显示不同的游戏，小组继续玩。</v>
      </c>
    </row>
    <row r="37252">
      <c r="A37252" s="4" t="s">
        <v>46847</v>
      </c>
      <c r="B37252" s="4" t="s">
        <v>46848</v>
      </c>
      <c r="C37252" s="5" t="str">
        <f>IFERROR(__xludf.DUMMYFUNCTION("GOOGLETRANSLATE(B37252,""en"",""zh-CN"")"),"有两个屋顶工站在建筑屋顶的顶部，拆除了旧屋顶的工作。")</f>
        <v>有两个屋顶工站在建筑屋顶的顶部，拆除了旧屋顶的工作。</v>
      </c>
    </row>
    <row r="37253">
      <c r="A37253" s="4" t="s">
        <v>46847</v>
      </c>
      <c r="B37253" s="4" t="s">
        <v>46849</v>
      </c>
      <c r="C37253" s="5" t="str">
        <f>IFERROR(__xludf.DUMMYFUNCTION("GOOGLETRANSLATE(B37253,""en"",""zh-CN"")"),"他们正在使用屋顶铲卸下木瓦和篷布。")</f>
        <v>他们正在使用屋顶铲卸下木瓦和篷布。</v>
      </c>
    </row>
    <row r="37254">
      <c r="A37254" s="4" t="s">
        <v>46847</v>
      </c>
      <c r="B37254" s="6" t="s">
        <v>46850</v>
      </c>
      <c r="C37254" s="5" t="str">
        <f>IFERROR(__xludf.DUMMYFUNCTION("GOOGLETRANSLATE(B37254,""en"",""zh-CN"")"),"一位屋顶工在篷布下面挖出铲子时，正在从屋顶上剥落篷布。")</f>
        <v>一位屋顶工在篷布下面挖出铲子时，正在从屋顶上剥落篷布。</v>
      </c>
    </row>
    <row r="37255">
      <c r="A37255" s="4" t="s">
        <v>46847</v>
      </c>
      <c r="B37255" s="4" t="s">
        <v>46851</v>
      </c>
      <c r="C37255" s="5" t="str">
        <f>IFERROR(__xludf.DUMMYFUNCTION("GOOGLETRANSLATE(B37255,""en"",""zh-CN"")"),"另一个屋顶工帮助他剥落篷布。")</f>
        <v>另一个屋顶工帮助他剥落篷布。</v>
      </c>
    </row>
    <row r="37256">
      <c r="A37256" s="4" t="s">
        <v>46852</v>
      </c>
      <c r="B37256" s="4" t="s">
        <v>46853</v>
      </c>
      <c r="C37256" s="5" t="str">
        <f>IFERROR(__xludf.DUMMYFUNCTION("GOOGLETRANSLATE(B37256,""en"",""zh-CN"")"),"一个摄像头锅在一个装满菜肴的水槽上，然后是一个女人慢跑。")</f>
        <v>一个摄像头锅在一个装满菜肴的水槽上，然后是一个女人慢跑。</v>
      </c>
    </row>
    <row r="37257">
      <c r="A37257" s="4" t="s">
        <v>46852</v>
      </c>
      <c r="B37257" s="4" t="s">
        <v>46854</v>
      </c>
      <c r="C37257" s="5" t="str">
        <f>IFERROR(__xludf.DUMMYFUNCTION("GOOGLETRANSLATE(B37257,""en"",""zh-CN"")"),"她在盘子上跳舞，在她做它们的同时看着相机。")</f>
        <v>她在盘子上跳舞，在她做它们的同时看着相机。</v>
      </c>
    </row>
    <row r="37258">
      <c r="A37258" s="4" t="s">
        <v>46852</v>
      </c>
      <c r="B37258" s="4" t="s">
        <v>46855</v>
      </c>
      <c r="C37258" s="5" t="str">
        <f>IFERROR(__xludf.DUMMYFUNCTION("GOOGLETRANSLATE(B37258,""en"",""zh-CN"")"),"计时器算了算她洗了多少盘，她对相机微笑。")</f>
        <v>计时器算了算她洗了多少盘，她对相机微笑。</v>
      </c>
    </row>
    <row r="37259">
      <c r="A37259" s="4" t="s">
        <v>46856</v>
      </c>
      <c r="B37259" s="4" t="s">
        <v>46857</v>
      </c>
      <c r="C37259" s="5" t="str">
        <f>IFERROR(__xludf.DUMMYFUNCTION("GOOGLETRANSLATE(B37259,""en"",""zh-CN"")"),"一个男人在树林里拿着罐子和钥匙链。")</f>
        <v>一个男人在树林里拿着罐子和钥匙链。</v>
      </c>
    </row>
    <row r="37260">
      <c r="A37260" s="4" t="s">
        <v>46856</v>
      </c>
      <c r="B37260" s="4" t="s">
        <v>46858</v>
      </c>
      <c r="C37260" s="5" t="str">
        <f>IFERROR(__xludf.DUMMYFUNCTION("GOOGLETRANSLATE(B37260,""en"",""zh-CN"")"),"然后，该人拿起钥匙链，并指向罐的下部。")</f>
        <v>然后，该人拿起钥匙链，并指向罐的下部。</v>
      </c>
    </row>
    <row r="37261">
      <c r="A37261" s="4" t="s">
        <v>46856</v>
      </c>
      <c r="B37261" s="6" t="s">
        <v>46859</v>
      </c>
      <c r="C37261" s="5" t="str">
        <f>IFERROR(__xludf.DUMMYFUNCTION("GOOGLETRANSLATE(B37261,""en"",""zh-CN"")"),"之后，该男子将罐子的下部刺破，并立即从罐子的孔中开放罐子和饮料。")</f>
        <v>之后，该男子将罐子的下部刺破，并立即从罐子的孔中开放罐子和饮料。</v>
      </c>
    </row>
    <row r="37262">
      <c r="A37262" s="4" t="s">
        <v>46860</v>
      </c>
      <c r="B37262" s="4" t="s">
        <v>46861</v>
      </c>
      <c r="C37262" s="5" t="str">
        <f>IFERROR(__xludf.DUMMYFUNCTION("GOOGLETRANSLATE(B37262,""en"",""zh-CN"")"),"列表中显示了成分列表。")</f>
        <v>列表中显示了成分列表。</v>
      </c>
    </row>
    <row r="37263">
      <c r="A37263" s="4" t="s">
        <v>46860</v>
      </c>
      <c r="B37263" s="4" t="s">
        <v>46862</v>
      </c>
      <c r="C37263" s="5" t="str">
        <f>IFERROR(__xludf.DUMMYFUNCTION("GOOGLETRANSLATE(B37263,""en"",""zh-CN"")"),"玻璃碗设置在柜台上，其中有各种成分的菜肴。")</f>
        <v>玻璃碗设置在柜台上，其中有各种成分的菜肴。</v>
      </c>
    </row>
    <row r="37264">
      <c r="A37264" s="4" t="s">
        <v>46860</v>
      </c>
      <c r="B37264" s="4" t="s">
        <v>46863</v>
      </c>
      <c r="C37264" s="5" t="str">
        <f>IFERROR(__xludf.DUMMYFUNCTION("GOOGLETRANSLATE(B37264,""en"",""zh-CN"")"),"一个人用烹饪锡作为指导来测量和切割羊皮纸。")</f>
        <v>一个人用烹饪锡作为指导来测量和切割羊皮纸。</v>
      </c>
    </row>
    <row r="37265">
      <c r="A37265" s="4" t="s">
        <v>46860</v>
      </c>
      <c r="B37265" s="4" t="s">
        <v>46864</v>
      </c>
      <c r="C37265" s="5" t="str">
        <f>IFERROR(__xludf.DUMMYFUNCTION("GOOGLETRANSLATE(B37265,""en"",""zh-CN"")"),"该人在玻璃碗中测量成分，然后将它们添加到电动搅拌机中进行混合。")</f>
        <v>该人在玻璃碗中测量成分，然后将它们添加到电动搅拌机中进行混合。</v>
      </c>
    </row>
    <row r="37266">
      <c r="A37266" s="4" t="s">
        <v>46860</v>
      </c>
      <c r="B37266" s="4" t="s">
        <v>46865</v>
      </c>
      <c r="C37266" s="5" t="str">
        <f>IFERROR(__xludf.DUMMYFUNCTION("GOOGLETRANSLATE(B37266,""en"",""zh-CN"")"),"该人将油刷到羊皮纸上，然后将其放入烹饪罐中。")</f>
        <v>该人将油刷到羊皮纸上，然后将其放入烹饪罐中。</v>
      </c>
    </row>
    <row r="37267">
      <c r="A37267" s="4" t="s">
        <v>46860</v>
      </c>
      <c r="B37267" s="4" t="s">
        <v>46866</v>
      </c>
      <c r="C37267" s="5" t="str">
        <f>IFERROR(__xludf.DUMMYFUNCTION("GOOGLETRANSLATE(B37267,""en"",""zh-CN"")"),"将罐子添加到烤箱中煮。")</f>
        <v>将罐子添加到烤箱中煮。</v>
      </c>
    </row>
    <row r="37268">
      <c r="A37268" s="4" t="s">
        <v>46860</v>
      </c>
      <c r="B37268" s="4" t="s">
        <v>46867</v>
      </c>
      <c r="C37268" s="5" t="str">
        <f>IFERROR(__xludf.DUMMYFUNCTION("GOOGLETRANSLATE(B37268,""en"",""zh-CN"")"),"锡罐完全煮熟，然后翻转以将蛋糕倒入桌子上。")</f>
        <v>锡罐完全煮熟，然后翻转以将蛋糕倒入桌子上。</v>
      </c>
    </row>
    <row r="37269">
      <c r="A37269" s="4" t="s">
        <v>46860</v>
      </c>
      <c r="B37269" s="4" t="s">
        <v>46868</v>
      </c>
      <c r="C37269" s="5" t="str">
        <f>IFERROR(__xludf.DUMMYFUNCTION("GOOGLETRANSLATE(B37269,""en"",""zh-CN"")"),"羊皮纸从蛋糕上剥下来。")</f>
        <v>羊皮纸从蛋糕上剥下来。</v>
      </c>
    </row>
    <row r="37270">
      <c r="A37270" s="4" t="s">
        <v>46860</v>
      </c>
      <c r="B37270" s="4" t="s">
        <v>46869</v>
      </c>
      <c r="C37270" s="5" t="str">
        <f>IFERROR(__xludf.DUMMYFUNCTION("GOOGLETRANSLATE(B37270,""en"",""zh-CN"")"),"用锯齿刀将蛋糕切成面包。")</f>
        <v>用锯齿刀将蛋糕切成面包。</v>
      </c>
    </row>
    <row r="37271">
      <c r="A37271" s="4" t="s">
        <v>46860</v>
      </c>
      <c r="B37271" s="4" t="s">
        <v>46870</v>
      </c>
      <c r="C37271" s="5" t="str">
        <f>IFERROR(__xludf.DUMMYFUNCTION("GOOGLETRANSLATE(B37271,""en"",""zh-CN"")"),"在盘子上看到蛋糕。")</f>
        <v>在盘子上看到蛋糕。</v>
      </c>
    </row>
    <row r="37272">
      <c r="A37272" s="4" t="s">
        <v>46871</v>
      </c>
      <c r="B37272" s="4" t="s">
        <v>46872</v>
      </c>
      <c r="C37272" s="5" t="str">
        <f>IFERROR(__xludf.DUMMYFUNCTION("GOOGLETRANSLATE(B37272,""en"",""zh-CN"")"),"一个女人正在帮助一个小男孩滑下滑梯。")</f>
        <v>一个女人正在帮助一个小男孩滑下滑梯。</v>
      </c>
    </row>
    <row r="37273">
      <c r="A37273" s="4" t="s">
        <v>46871</v>
      </c>
      <c r="B37273" s="6" t="s">
        <v>46873</v>
      </c>
      <c r="C37273" s="5" t="str">
        <f>IFERROR(__xludf.DUMMYFUNCTION("GOOGLETRANSLATE(B37273,""en"",""zh-CN"")"),"一个女人在滑梯的顶部，帮助一个小男孩在红色背心的另一个人的怀抱中滑落。")</f>
        <v>一个女人在滑梯的顶部，帮助一个小男孩在红色背心的另一个人的怀抱中滑落。</v>
      </c>
    </row>
    <row r="37274">
      <c r="A37274" s="4" t="s">
        <v>46871</v>
      </c>
      <c r="B37274" s="4" t="s">
        <v>46874</v>
      </c>
      <c r="C37274" s="5" t="str">
        <f>IFERROR(__xludf.DUMMYFUNCTION("GOOGLETRANSLATE(B37274,""en"",""zh-CN"")"),"一个女人正在帮助男孩滑下滑梯，红色背心中的同一个人抓住了他们。")</f>
        <v>一个女人正在帮助男孩滑下滑梯，红色背心中的同一个人抓住了他们。</v>
      </c>
    </row>
    <row r="37275">
      <c r="A37275" s="4" t="s">
        <v>46871</v>
      </c>
      <c r="B37275" s="4" t="s">
        <v>46875</v>
      </c>
      <c r="C37275" s="5" t="str">
        <f>IFERROR(__xludf.DUMMYFUNCTION("GOOGLETRANSLATE(B37275,""en"",""zh-CN"")"),"红色背心的人然后亲吻了孩子。")</f>
        <v>红色背心的人然后亲吻了孩子。</v>
      </c>
    </row>
    <row r="37276">
      <c r="A37276" s="4" t="s">
        <v>46876</v>
      </c>
      <c r="B37276" s="4" t="s">
        <v>21138</v>
      </c>
      <c r="C37276" s="5" t="str">
        <f>IFERROR(__xludf.DUMMYFUNCTION("GOOGLETRANSLATE(B37276,""en"",""zh-CN"")"),"芭蕾舞演员在舞台上跳舞。")</f>
        <v>芭蕾舞演员在舞台上跳舞。</v>
      </c>
    </row>
    <row r="37277">
      <c r="A37277" s="4" t="s">
        <v>46876</v>
      </c>
      <c r="B37277" s="4" t="s">
        <v>46877</v>
      </c>
      <c r="C37277" s="5" t="str">
        <f>IFERROR(__xludf.DUMMYFUNCTION("GOOGLETRANSLATE(B37277,""en"",""zh-CN"")"),"他们都进入舞台并在最后摆姿势。")</f>
        <v>他们都进入舞台并在最后摆姿势。</v>
      </c>
    </row>
    <row r="37278">
      <c r="A37278" s="4" t="s">
        <v>46876</v>
      </c>
      <c r="B37278" s="4" t="s">
        <v>46878</v>
      </c>
      <c r="C37278" s="5" t="str">
        <f>IFERROR(__xludf.DUMMYFUNCTION("GOOGLETRANSLATE(B37278,""en"",""zh-CN"")"),"他们鞠躬，走出舞台。")</f>
        <v>他们鞠躬，走出舞台。</v>
      </c>
    </row>
    <row r="37279">
      <c r="A37279" s="4" t="s">
        <v>46879</v>
      </c>
      <c r="B37279" s="4" t="s">
        <v>46880</v>
      </c>
      <c r="C37279" s="5" t="str">
        <f>IFERROR(__xludf.DUMMYFUNCTION("GOOGLETRANSLATE(B37279,""en"",""zh-CN"")"),"显示一个人在汽车外面清理。")</f>
        <v>显示一个人在汽车外面清理。</v>
      </c>
    </row>
    <row r="37280">
      <c r="A37280" s="4" t="s">
        <v>46879</v>
      </c>
      <c r="B37280" s="4" t="s">
        <v>46881</v>
      </c>
      <c r="C37280" s="5" t="str">
        <f>IFERROR(__xludf.DUMMYFUNCTION("GOOGLETRANSLATE(B37280,""en"",""zh-CN"")"),"然后，汽车被驱车在商店里。")</f>
        <v>然后，汽车被驱车在商店里。</v>
      </c>
    </row>
    <row r="37281">
      <c r="A37281" s="4" t="s">
        <v>46879</v>
      </c>
      <c r="B37281" s="4" t="s">
        <v>46882</v>
      </c>
      <c r="C37281" s="5" t="str">
        <f>IFERROR(__xludf.DUMMYFUNCTION("GOOGLETRANSLATE(B37281,""en"",""zh-CN"")"),"一个人内部开始再次详细介绍汽车，然后清理外面。")</f>
        <v>一个人内部开始再次详细介绍汽车，然后清理外面。</v>
      </c>
    </row>
    <row r="37282">
      <c r="A37282" s="4" t="s">
        <v>46879</v>
      </c>
      <c r="B37282" s="4" t="s">
        <v>46883</v>
      </c>
      <c r="C37282" s="5" t="str">
        <f>IFERROR(__xludf.DUMMYFUNCTION("GOOGLETRANSLATE(B37282,""en"",""zh-CN"")"),"他喷涂了汽车的一部分。")</f>
        <v>他喷涂了汽车的一部分。</v>
      </c>
    </row>
    <row r="37283">
      <c r="A37283" s="4" t="s">
        <v>46879</v>
      </c>
      <c r="B37283" s="4" t="s">
        <v>46884</v>
      </c>
      <c r="C37283" s="5" t="str">
        <f>IFERROR(__xludf.DUMMYFUNCTION("GOOGLETRANSLATE(B37283,""en"",""zh-CN"")"),"他在汽车内外喷洒清洁器。")</f>
        <v>他在汽车内外喷洒清洁器。</v>
      </c>
    </row>
    <row r="37284">
      <c r="A37284" s="4" t="s">
        <v>46879</v>
      </c>
      <c r="B37284" s="4" t="s">
        <v>46885</v>
      </c>
      <c r="C37284" s="5" t="str">
        <f>IFERROR(__xludf.DUMMYFUNCTION("GOOGLETRANSLATE(B37284,""en"",""zh-CN"")"),"他从车内和外部擦拭所有表面。")</f>
        <v>他从车内和外部擦拭所有表面。</v>
      </c>
    </row>
    <row r="37285">
      <c r="A37285" s="4" t="s">
        <v>46886</v>
      </c>
      <c r="B37285" s="4" t="s">
        <v>46887</v>
      </c>
      <c r="C37285" s="5" t="str">
        <f>IFERROR(__xludf.DUMMYFUNCTION("GOOGLETRANSLATE(B37285,""en"",""zh-CN"")"),"两个人踢足球桌，将球员移动到杆上。")</f>
        <v>两个人踢足球桌，将球员移动到杆上。</v>
      </c>
    </row>
    <row r="37286">
      <c r="A37286" s="4" t="s">
        <v>46886</v>
      </c>
      <c r="B37286" s="4" t="s">
        <v>46888</v>
      </c>
      <c r="C37286" s="5" t="str">
        <f>IFERROR(__xludf.DUMMYFUNCTION("GOOGLETRANSLATE(B37286,""en"",""zh-CN"")"),"一个穿着黄色衬衫的男人抚摸着杆子，击中了白球。")</f>
        <v>一个穿着黄色衬衫的男人抚摸着杆子，击中了白球。</v>
      </c>
    </row>
    <row r="37287">
      <c r="A37287" s="4" t="s">
        <v>46886</v>
      </c>
      <c r="B37287" s="4" t="s">
        <v>46889</v>
      </c>
      <c r="C37287" s="5" t="str">
        <f>IFERROR(__xludf.DUMMYFUNCTION("GOOGLETRANSLATE(B37287,""en"",""zh-CN"")"),"一个人站在足球桌的前面。")</f>
        <v>一个人站在足球桌的前面。</v>
      </c>
    </row>
    <row r="37288">
      <c r="A37288" s="4" t="s">
        <v>46890</v>
      </c>
      <c r="B37288" s="4" t="s">
        <v>46891</v>
      </c>
      <c r="C37288" s="5" t="str">
        <f>IFERROR(__xludf.DUMMYFUNCTION("GOOGLETRANSLATE(B37288,""en"",""zh-CN"")"),"显示一只手通过翻转开关。")</f>
        <v>显示一只手通过翻转开关。</v>
      </c>
    </row>
    <row r="37289">
      <c r="A37289" s="4" t="s">
        <v>46890</v>
      </c>
      <c r="B37289" s="4" t="s">
        <v>46892</v>
      </c>
      <c r="C37289" s="5" t="str">
        <f>IFERROR(__xludf.DUMMYFUNCTION("GOOGLETRANSLATE(B37289,""en"",""zh-CN"")"),"显示了叶吹风机的软管。")</f>
        <v>显示了叶吹风机的软管。</v>
      </c>
    </row>
    <row r="37290">
      <c r="A37290" s="4" t="s">
        <v>46890</v>
      </c>
      <c r="B37290" s="4" t="s">
        <v>46893</v>
      </c>
      <c r="C37290" s="5" t="str">
        <f>IFERROR(__xludf.DUMMYFUNCTION("GOOGLETRANSLATE(B37290,""en"",""zh-CN"")"),"软管开始有力地从相机上吹走叶子。")</f>
        <v>软管开始有力地从相机上吹走叶子。</v>
      </c>
    </row>
    <row r="37291">
      <c r="A37291" s="4" t="s">
        <v>46890</v>
      </c>
      <c r="B37291" s="6" t="s">
        <v>46894</v>
      </c>
      <c r="C37291" s="5" t="str">
        <f>IFERROR(__xludf.DUMMYFUNCTION("GOOGLETRANSLATE(B37291,""en"",""zh-CN"")"),"抱着叶子的人反复摆动左侧的软管，将叶子吹成一堆。")</f>
        <v>抱着叶子的人反复摆动左侧的软管，将叶子吹成一堆。</v>
      </c>
    </row>
    <row r="37292">
      <c r="A37292" s="4" t="s">
        <v>46895</v>
      </c>
      <c r="B37292" s="4" t="s">
        <v>46896</v>
      </c>
      <c r="C37292" s="5" t="str">
        <f>IFERROR(__xludf.DUMMYFUNCTION("GOOGLETRANSLATE(B37292,""en"",""zh-CN"")"),"一个住宅安全视频正在播放，并显示了空旷的院子和道路。")</f>
        <v>一个住宅安全视频正在播放，并显示了空旷的院子和道路。</v>
      </c>
    </row>
    <row r="37293">
      <c r="A37293" s="4" t="s">
        <v>46895</v>
      </c>
      <c r="B37293" s="6" t="s">
        <v>46897</v>
      </c>
      <c r="C37293" s="5" t="str">
        <f>IFERROR(__xludf.DUMMYFUNCTION("GOOGLETRANSLATE(B37293,""en"",""zh-CN"")"),"一名男子散步两只狗出现在靠近相机的侧面，他很快注意到道路另一侧的另一只狗突然走了，所以他试图收紧他的狗皮带以控制它们，但其他狗开始向他们奔跑，并开始攻击男人的狗。")</f>
        <v>一名男子散步两只狗出现在靠近相机的侧面，他很快注意到道路另一侧的另一只狗突然走了，所以他试图收紧他的狗皮带以控制它们，但其他狗开始向他们奔跑，并开始攻击男人的狗。</v>
      </c>
    </row>
    <row r="37294">
      <c r="A37294" s="4" t="s">
        <v>46895</v>
      </c>
      <c r="B37294" s="6" t="s">
        <v>46898</v>
      </c>
      <c r="C37294" s="5" t="str">
        <f>IFERROR(__xludf.DUMMYFUNCTION("GOOGLETRANSLATE(B37294,""en"",""zh-CN"")"),"该男子踢开了攻击狗，试图重新控制他的两只狗，而那个男人和另一只狗在路的另一侧。")</f>
        <v>该男子踢开了攻击狗，试图重新控制他的两只狗，而那个男人和另一只狗在路的另一侧。</v>
      </c>
    </row>
    <row r="37295">
      <c r="A37295" s="4" t="s">
        <v>46895</v>
      </c>
      <c r="B37295" s="4" t="s">
        <v>46899</v>
      </c>
      <c r="C37295" s="5" t="str">
        <f>IFERROR(__xludf.DUMMYFUNCTION("GOOGLETRANSLATE(B37295,""en"",""zh-CN"")"),"该男子捡起他的一只狗，然后恢复行走。")</f>
        <v>该男子捡起他的一只狗，然后恢复行走。</v>
      </c>
    </row>
    <row r="37296">
      <c r="A37296" s="4" t="s">
        <v>46900</v>
      </c>
      <c r="B37296" s="4" t="s">
        <v>46901</v>
      </c>
      <c r="C37296" s="5" t="str">
        <f>IFERROR(__xludf.DUMMYFUNCTION("GOOGLETRANSLATE(B37296,""en"",""zh-CN"")"),"我们看到一个男人和一个男孩在桌子周围滑动塑料东西来玩耍。")</f>
        <v>我们看到一个男人和一个男孩在桌子周围滑动塑料东西来玩耍。</v>
      </c>
    </row>
    <row r="37297">
      <c r="A37297" s="4" t="s">
        <v>46900</v>
      </c>
      <c r="B37297" s="4" t="s">
        <v>46902</v>
      </c>
      <c r="C37297" s="5" t="str">
        <f>IFERROR(__xludf.DUMMYFUNCTION("GOOGLETRANSLATE(B37297,""en"",""zh-CN"")"),"相机移动，我们看到了更多房间。")</f>
        <v>相机移动，我们看到了更多房间。</v>
      </c>
    </row>
    <row r="37298">
      <c r="A37298" s="4" t="s">
        <v>46900</v>
      </c>
      <c r="B37298" s="4" t="s">
        <v>46903</v>
      </c>
      <c r="C37298" s="5" t="str">
        <f>IFERROR(__xludf.DUMMYFUNCTION("GOOGLETRANSLATE(B37298,""en"",""zh-CN"")"),"相机角度变化，我们看到他们从后面玩游戏。")</f>
        <v>相机角度变化，我们看到他们从后面玩游戏。</v>
      </c>
    </row>
    <row r="37299">
      <c r="A37299" s="4" t="s">
        <v>46900</v>
      </c>
      <c r="B37299" s="4" t="s">
        <v>46904</v>
      </c>
      <c r="C37299" s="5" t="str">
        <f>IFERROR(__xludf.DUMMYFUNCTION("GOOGLETRANSLATE(B37299,""en"",""zh-CN"")"),"一个人在左边进入屏幕。")</f>
        <v>一个人在左边进入屏幕。</v>
      </c>
    </row>
    <row r="37300">
      <c r="A37300" s="4" t="s">
        <v>46900</v>
      </c>
      <c r="B37300" s="4" t="s">
        <v>46905</v>
      </c>
      <c r="C37300" s="5" t="str">
        <f>IFERROR(__xludf.DUMMYFUNCTION("GOOGLETRANSLATE(B37300,""en"",""zh-CN"")"),"相机角度再次变化，我们在玩家面前。")</f>
        <v>相机角度再次变化，我们在玩家面前。</v>
      </c>
    </row>
    <row r="37301">
      <c r="A37301" s="4" t="s">
        <v>46900</v>
      </c>
      <c r="B37301" s="4" t="s">
        <v>46906</v>
      </c>
      <c r="C37301" s="5" t="str">
        <f>IFERROR(__xludf.DUMMYFUNCTION("GOOGLETRANSLATE(B37301,""en"",""zh-CN"")"),"我们看到一个穿着毛衣的男孩移动椅子坐下来加入游戏。")</f>
        <v>我们看到一个穿着毛衣的男孩移动椅子坐下来加入游戏。</v>
      </c>
    </row>
    <row r="37302">
      <c r="A37302" s="4" t="s">
        <v>46907</v>
      </c>
      <c r="B37302" s="4" t="s">
        <v>46908</v>
      </c>
      <c r="C37302" s="5" t="str">
        <f>IFERROR(__xludf.DUMMYFUNCTION("GOOGLETRANSLATE(B37302,""en"",""zh-CN"")"),"看到一个小孩在相机上微笑，然后开始跳舞。")</f>
        <v>看到一个小孩在相机上微笑，然后开始跳舞。</v>
      </c>
    </row>
    <row r="37303">
      <c r="A37303" s="4" t="s">
        <v>46907</v>
      </c>
      <c r="B37303" s="4" t="s">
        <v>46909</v>
      </c>
      <c r="C37303" s="5" t="str">
        <f>IFERROR(__xludf.DUMMYFUNCTION("GOOGLETRANSLATE(B37303,""en"",""zh-CN"")"),"这个男孩继续跳舞，而相机捕捉他上下移动。")</f>
        <v>这个男孩继续跳舞，而相机捕捉他上下移动。</v>
      </c>
    </row>
    <row r="37304">
      <c r="A37304" s="4" t="s">
        <v>46910</v>
      </c>
      <c r="B37304" s="4" t="s">
        <v>46911</v>
      </c>
      <c r="C37304" s="5" t="str">
        <f>IFERROR(__xludf.DUMMYFUNCTION("GOOGLETRANSLATE(B37304,""en"",""zh-CN"")"),"一个女婴握着一个紧凑型，将化妆垫擦在她的脸颊上。")</f>
        <v>一个女婴握着一个紧凑型，将化妆垫擦在她的脸颊上。</v>
      </c>
    </row>
    <row r="37305">
      <c r="A37305" s="4" t="s">
        <v>46910</v>
      </c>
      <c r="B37305" s="6" t="s">
        <v>46912</v>
      </c>
      <c r="C37305" s="5" t="str">
        <f>IFERROR(__xludf.DUMMYFUNCTION("GOOGLETRANSLATE(B37305,""en"",""zh-CN"")"),"她坐在地板上，继续进行化妆，打开和关闭箱子，然后将其擦在她的脸上。")</f>
        <v>她坐在地板上，继续进行化妆，打开和关闭箱子，然后将其擦在她的脸上。</v>
      </c>
    </row>
    <row r="37306">
      <c r="A37306" s="4" t="s">
        <v>46913</v>
      </c>
      <c r="B37306" s="4" t="s">
        <v>46914</v>
      </c>
      <c r="C37306" s="5" t="str">
        <f>IFERROR(__xludf.DUMMYFUNCTION("GOOGLETRANSLATE(B37306,""en"",""zh-CN"")"),"三个男人正带着高跷行走。")</f>
        <v>三个男人正带着高跷行走。</v>
      </c>
    </row>
    <row r="37307">
      <c r="A37307" s="4" t="s">
        <v>46913</v>
      </c>
      <c r="B37307" s="4" t="s">
        <v>46915</v>
      </c>
      <c r="C37307" s="5" t="str">
        <f>IFERROR(__xludf.DUMMYFUNCTION("GOOGLETRANSLATE(B37307,""en"",""zh-CN"")"),"其中一名高跷的男人在中心分裂。")</f>
        <v>其中一名高跷的男人在中心分裂。</v>
      </c>
    </row>
    <row r="37308">
      <c r="A37308" s="4" t="s">
        <v>46913</v>
      </c>
      <c r="B37308" s="4" t="s">
        <v>46916</v>
      </c>
      <c r="C37308" s="5" t="str">
        <f>IFERROR(__xludf.DUMMYFUNCTION("GOOGLETRANSLATE(B37308,""en"",""zh-CN"")"),"其中一名男子跳高了几次，他的高跷。")</f>
        <v>其中一名男子跳高了几次，他的高跷。</v>
      </c>
    </row>
    <row r="37309">
      <c r="A37309" s="4" t="s">
        <v>46917</v>
      </c>
      <c r="B37309" s="4" t="s">
        <v>46918</v>
      </c>
      <c r="C37309" s="5" t="str">
        <f>IFERROR(__xludf.DUMMYFUNCTION("GOOGLETRANSLATE(B37309,""en"",""zh-CN"")"),"一名体操运动员耐心地等待着他的表现。")</f>
        <v>一名体操运动员耐心地等待着他的表现。</v>
      </c>
    </row>
    <row r="37310">
      <c r="A37310" s="4" t="s">
        <v>46917</v>
      </c>
      <c r="B37310" s="4" t="s">
        <v>46919</v>
      </c>
      <c r="C37310" s="5" t="str">
        <f>IFERROR(__xludf.DUMMYFUNCTION("GOOGLETRANSLATE(B37310,""en"",""zh-CN"")"),"他跳到董事会上，开始非常快地旋转，然后跳下来走来走去。")</f>
        <v>他跳到董事会上，开始非常快地旋转，然后跳下来走来走去。</v>
      </c>
    </row>
    <row r="37311">
      <c r="A37311" s="4" t="s">
        <v>46917</v>
      </c>
      <c r="B37311" s="6" t="s">
        <v>46920</v>
      </c>
      <c r="C37311" s="5" t="str">
        <f>IFERROR(__xludf.DUMMYFUNCTION("GOOGLETRANSLATE(B37311,""en"",""zh-CN"")"),"他屏住呼吸，观众在跳回去并再次开始旋转之前为他鼓掌。")</f>
        <v>他屏住呼吸，观众在跳回去并再次开始旋转之前为他鼓掌。</v>
      </c>
    </row>
    <row r="37312">
      <c r="A37312" s="4" t="s">
        <v>46917</v>
      </c>
      <c r="B37312" s="6" t="s">
        <v>46921</v>
      </c>
      <c r="C37312" s="5" t="str">
        <f>IFERROR(__xludf.DUMMYFUNCTION("GOOGLETRANSLATE(B37312,""en"",""zh-CN"")"),"完成后，他走下去，与所有队友握手，然后再上一次。")</f>
        <v>完成后，他走下去，与所有队友握手，然后再上一次。</v>
      </c>
    </row>
    <row r="37313">
      <c r="A37313" s="4" t="s">
        <v>46922</v>
      </c>
      <c r="B37313" s="4" t="s">
        <v>46923</v>
      </c>
      <c r="C37313" s="5" t="str">
        <f>IFERROR(__xludf.DUMMYFUNCTION("GOOGLETRANSLATE(B37313,""en"",""zh-CN"")"),"一个穿着蓝色衬衫的男人动弹。")</f>
        <v>一个穿着蓝色衬衫的男人动弹。</v>
      </c>
    </row>
    <row r="37314">
      <c r="A37314" s="4" t="s">
        <v>46922</v>
      </c>
      <c r="B37314" s="4" t="s">
        <v>46924</v>
      </c>
      <c r="C37314" s="5" t="str">
        <f>IFERROR(__xludf.DUMMYFUNCTION("GOOGLETRANSLATE(B37314,""en"",""zh-CN"")"),"然后，他与其他人交谈。")</f>
        <v>然后，他与其他人交谈。</v>
      </c>
    </row>
    <row r="37315">
      <c r="A37315" s="4" t="s">
        <v>46922</v>
      </c>
      <c r="B37315" s="4" t="s">
        <v>46925</v>
      </c>
      <c r="C37315" s="5" t="str">
        <f>IFERROR(__xludf.DUMMYFUNCTION("GOOGLETRANSLATE(B37315,""en"",""zh-CN"")"),"黑色的男人移出了镜头。")</f>
        <v>黑色的男人移出了镜头。</v>
      </c>
    </row>
    <row r="37316">
      <c r="A37316" s="4" t="s">
        <v>46922</v>
      </c>
      <c r="B37316" s="4" t="s">
        <v>46926</v>
      </c>
      <c r="C37316" s="5" t="str">
        <f>IFERROR(__xludf.DUMMYFUNCTION("GOOGLETRANSLATE(B37316,""en"",""zh-CN"")"),"黑色和蓝色的男人将手伸向空中。")</f>
        <v>黑色和蓝色的男人将手伸向空中。</v>
      </c>
    </row>
    <row r="37317">
      <c r="A37317" s="4" t="s">
        <v>46922</v>
      </c>
      <c r="B37317" s="4" t="s">
        <v>46927</v>
      </c>
      <c r="C37317" s="5" t="str">
        <f>IFERROR(__xludf.DUMMYFUNCTION("GOOGLETRANSLATE(B37317,""en"",""zh-CN"")"),"所有的人都爆发并对最后一枪做出了疯狂的反应。")</f>
        <v>所有的人都爆发并对最后一枪做出了疯狂的反应。</v>
      </c>
    </row>
    <row r="37318">
      <c r="A37318" s="4" t="s">
        <v>46928</v>
      </c>
      <c r="B37318" s="4" t="s">
        <v>4423</v>
      </c>
      <c r="C37318" s="5" t="str">
        <f>IFERROR(__xludf.DUMMYFUNCTION("GOOGLETRANSLATE(B37318,""en"",""zh-CN"")"),"人们在雪上滑雪。")</f>
        <v>人们在雪上滑雪。</v>
      </c>
    </row>
    <row r="37319">
      <c r="A37319" s="4" t="s">
        <v>46928</v>
      </c>
      <c r="B37319" s="4" t="s">
        <v>46929</v>
      </c>
      <c r="C37319" s="5" t="str">
        <f>IFERROR(__xludf.DUMMYFUNCTION("GOOGLETRANSLATE(B37319,""en"",""zh-CN"")"),"他们坐下来喝咖啡。")</f>
        <v>他们坐下来喝咖啡。</v>
      </c>
    </row>
    <row r="37320">
      <c r="A37320" s="4" t="s">
        <v>46928</v>
      </c>
      <c r="B37320" s="4" t="s">
        <v>46930</v>
      </c>
      <c r="C37320" s="5" t="str">
        <f>IFERROR(__xludf.DUMMYFUNCTION("GOOGLETRANSLATE(B37320,""en"",""zh-CN"")"),"他们站在水旁边。")</f>
        <v>他们站在水旁边。</v>
      </c>
    </row>
    <row r="37321">
      <c r="A37321" s="4" t="s">
        <v>46928</v>
      </c>
      <c r="B37321" s="4" t="s">
        <v>46931</v>
      </c>
      <c r="C37321" s="5" t="str">
        <f>IFERROR(__xludf.DUMMYFUNCTION("GOOGLETRANSLATE(B37321,""en"",""zh-CN"")"),"他们又在山上滑雪。")</f>
        <v>他们又在山上滑雪。</v>
      </c>
    </row>
    <row r="37322">
      <c r="A37322" s="4" t="s">
        <v>46928</v>
      </c>
      <c r="B37322" s="4" t="s">
        <v>46932</v>
      </c>
      <c r="C37322" s="5" t="str">
        <f>IFERROR(__xludf.DUMMYFUNCTION("GOOGLETRANSLATE(B37322,""en"",""zh-CN"")"),"一个女孩正在睡觉。")</f>
        <v>一个女孩正在睡觉。</v>
      </c>
    </row>
    <row r="37323">
      <c r="A37323" s="4" t="s">
        <v>46928</v>
      </c>
      <c r="B37323" s="4" t="s">
        <v>46933</v>
      </c>
      <c r="C37323" s="5" t="str">
        <f>IFERROR(__xludf.DUMMYFUNCTION("GOOGLETRANSLATE(B37323,""en"",""zh-CN"")"),"他们在桌子周围吃晚餐。")</f>
        <v>他们在桌子周围吃晚餐。</v>
      </c>
    </row>
    <row r="37324">
      <c r="A37324" s="4" t="s">
        <v>46928</v>
      </c>
      <c r="B37324" s="4" t="s">
        <v>46934</v>
      </c>
      <c r="C37324" s="5" t="str">
        <f>IFERROR(__xludf.DUMMYFUNCTION("GOOGLETRANSLATE(B37324,""en"",""zh-CN"")"),"他们离开滑雪板走进小屋。")</f>
        <v>他们离开滑雪板走进小屋。</v>
      </c>
    </row>
    <row r="37325">
      <c r="A37325" s="4" t="s">
        <v>46935</v>
      </c>
      <c r="B37325" s="4" t="s">
        <v>46936</v>
      </c>
      <c r="C37325" s="5" t="str">
        <f>IFERROR(__xludf.DUMMYFUNCTION("GOOGLETRANSLATE(B37325,""en"",""zh-CN"")"),"一个女人站在圣诞树前，戴着花圈。")</f>
        <v>一个女人站在圣诞树前，戴着花圈。</v>
      </c>
    </row>
    <row r="37326">
      <c r="A37326" s="4" t="s">
        <v>46935</v>
      </c>
      <c r="B37326" s="4" t="s">
        <v>46937</v>
      </c>
      <c r="C37326" s="5" t="str">
        <f>IFERROR(__xludf.DUMMYFUNCTION("GOOGLETRANSLATE(B37326,""en"",""zh-CN"")"),"然后，她悬挂灯光和装饰品。")</f>
        <v>然后，她悬挂灯光和装饰品。</v>
      </c>
    </row>
    <row r="37327">
      <c r="A37327" s="4" t="s">
        <v>46935</v>
      </c>
      <c r="B37327" s="4" t="s">
        <v>46938</v>
      </c>
      <c r="C37327" s="5" t="str">
        <f>IFERROR(__xludf.DUMMYFUNCTION("GOOGLETRANSLATE(B37327,""en"",""zh-CN"")"),"最后，她调整了装饰品，并在树顶上添加一颗星星。")</f>
        <v>最后，她调整了装饰品，并在树顶上添加一颗星星。</v>
      </c>
    </row>
    <row r="37328">
      <c r="A37328" s="4" t="s">
        <v>46939</v>
      </c>
      <c r="B37328" s="4" t="s">
        <v>46940</v>
      </c>
      <c r="C37328" s="5" t="str">
        <f>IFERROR(__xludf.DUMMYFUNCTION("GOOGLETRANSLATE(B37328,""en"",""zh-CN"")"),"一个人坐在岩石上，然后人们在没有安全带的情况下爬上大岩石。")</f>
        <v>一个人坐在岩石上，然后人们在没有安全带的情况下爬上大岩石。</v>
      </c>
    </row>
    <row r="37329">
      <c r="A37329" s="4" t="s">
        <v>46939</v>
      </c>
      <c r="B37329" s="4" t="s">
        <v>46941</v>
      </c>
      <c r="C37329" s="5" t="str">
        <f>IFERROR(__xludf.DUMMYFUNCTION("GOOGLETRANSLATE(B37329,""en"",""zh-CN"")"),"人们正在绑在两棵树上的绳子上行走。")</f>
        <v>人们正在绑在两棵树上的绳子上行走。</v>
      </c>
    </row>
    <row r="37330">
      <c r="A37330" s="4" t="s">
        <v>46942</v>
      </c>
      <c r="B37330" s="4" t="s">
        <v>46943</v>
      </c>
      <c r="C37330" s="5" t="str">
        <f>IFERROR(__xludf.DUMMYFUNCTION("GOOGLETRANSLATE(B37330,""en"",""zh-CN"")"),"文字出现在屏幕上，涉及咖啡可能对您的健康不利。")</f>
        <v>文字出现在屏幕上，涉及咖啡可能对您的健康不利。</v>
      </c>
    </row>
    <row r="37331">
      <c r="A37331" s="4" t="s">
        <v>46942</v>
      </c>
      <c r="B37331" s="6" t="s">
        <v>46944</v>
      </c>
      <c r="C37331" s="5" t="str">
        <f>IFERROR(__xludf.DUMMYFUNCTION("GOOGLETRANSLATE(B37331,""en"",""zh-CN"")"),"然后在屏幕上提到文本，它可能导致高血压，然后提到它会损害您的头发生长，并且其中没有任何重要的营养素。")</f>
        <v>然后在屏幕上提到文本，它可能导致高血压，然后提到它会损害您的头发生长，并且其中没有任何重要的营养素。</v>
      </c>
    </row>
    <row r="37332">
      <c r="A37332" s="4" t="s">
        <v>46942</v>
      </c>
      <c r="B37332" s="6" t="s">
        <v>46945</v>
      </c>
      <c r="C37332" s="5" t="str">
        <f>IFERROR(__xludf.DUMMYFUNCTION("GOOGLETRANSLATE(B37332,""en"",""zh-CN"")"),"然后证明有好处，应该调节他们的摄入量以保持平衡。")</f>
        <v>然后证明有好处，应该调节他们的摄入量以保持平衡。</v>
      </c>
    </row>
    <row r="37333">
      <c r="A37333" s="4" t="s">
        <v>46942</v>
      </c>
      <c r="B37333" s="4" t="s">
        <v>46946</v>
      </c>
      <c r="C37333" s="5" t="str">
        <f>IFERROR(__xludf.DUMMYFUNCTION("GOOGLETRANSLATE(B37333,""en"",""zh-CN"")"),"然后显示一个网站以获取有关此主题的更多信息。")</f>
        <v>然后显示一个网站以获取有关此主题的更多信息。</v>
      </c>
    </row>
    <row r="37334">
      <c r="A37334" s="4" t="s">
        <v>46947</v>
      </c>
      <c r="B37334" s="4" t="s">
        <v>46948</v>
      </c>
      <c r="C37334" s="5" t="str">
        <f>IFERROR(__xludf.DUMMYFUNCTION("GOOGLETRANSLATE(B37334,""en"",""zh-CN"")"),"几个小孩在健身房里玩道奇墙，里面有中型的红色球。")</f>
        <v>几个小孩在健身房里玩道奇墙，里面有中型的红色球。</v>
      </c>
    </row>
    <row r="37335">
      <c r="A37335" s="4" t="s">
        <v>46947</v>
      </c>
      <c r="B37335" s="6" t="s">
        <v>46949</v>
      </c>
      <c r="C37335" s="5" t="str">
        <f>IFERROR(__xludf.DUMMYFUNCTION("GOOGLETRANSLATE(B37335,""en"",""zh-CN"")"),"当他们扔球时，一个小女孩试图加入动作，开始跟随他们，从球场的一侧奔向另一侧，追赶球。")</f>
        <v>当他们扔球时，一个小女孩试图加入动作，开始跟随他们，从球场的一侧奔向另一侧，追赶球。</v>
      </c>
    </row>
    <row r="37336">
      <c r="A37336" s="4" t="s">
        <v>46950</v>
      </c>
      <c r="B37336" s="4" t="s">
        <v>46951</v>
      </c>
      <c r="C37336" s="5" t="str">
        <f>IFERROR(__xludf.DUMMYFUNCTION("GOOGLETRANSLATE(B37336,""en"",""zh-CN"")"),"一个女人躺着，露出她身边的纹身。")</f>
        <v>一个女人躺着，露出她身边的纹身。</v>
      </c>
    </row>
    <row r="37337">
      <c r="A37337" s="4" t="s">
        <v>46950</v>
      </c>
      <c r="B37337" s="4" t="s">
        <v>46952</v>
      </c>
      <c r="C37337" s="5" t="str">
        <f>IFERROR(__xludf.DUMMYFUNCTION("GOOGLETRANSLATE(B37337,""en"",""zh-CN"")"),"一个戴着手术面具的男人在继续纹身上的工作时正在为她做好准备。")</f>
        <v>一个戴着手术面具的男人在继续纹身上的工作时正在为她做好准备。</v>
      </c>
    </row>
    <row r="37338">
      <c r="A37338" s="4" t="s">
        <v>46950</v>
      </c>
      <c r="B37338" s="4" t="s">
        <v>46953</v>
      </c>
      <c r="C37338" s="5" t="str">
        <f>IFERROR(__xludf.DUMMYFUNCTION("GOOGLETRANSLATE(B37338,""en"",""zh-CN"")"),"他清洗并擦拭纹身。")</f>
        <v>他清洗并擦拭纹身。</v>
      </c>
    </row>
    <row r="37339">
      <c r="A37339" s="4" t="s">
        <v>46950</v>
      </c>
      <c r="B37339" s="4" t="s">
        <v>46954</v>
      </c>
      <c r="C37339" s="5" t="str">
        <f>IFERROR(__xludf.DUMMYFUNCTION("GOOGLETRANSLATE(B37339,""en"",""zh-CN"")"),"她完成了，展示了最终产品。")</f>
        <v>她完成了，展示了最终产品。</v>
      </c>
    </row>
    <row r="37340">
      <c r="A37340" s="4" t="s">
        <v>46955</v>
      </c>
      <c r="B37340" s="6" t="s">
        <v>46956</v>
      </c>
      <c r="C37340" s="5" t="str">
        <f>IFERROR(__xludf.DUMMYFUNCTION("GOOGLETRANSLATE(B37340,""en"",""zh-CN"")"),"当人群欢呼和手表时，一个男人在摔跤戒指上抱着另一个男人的肩膀。")</f>
        <v>当人群欢呼和手表时，一个男人在摔跤戒指上抱着另一个男人的肩膀。</v>
      </c>
    </row>
    <row r="37341">
      <c r="A37341" s="4" t="s">
        <v>46955</v>
      </c>
      <c r="B37341" s="4" t="s">
        <v>46957</v>
      </c>
      <c r="C37341" s="5" t="str">
        <f>IFERROR(__xludf.DUMMYFUNCTION("GOOGLETRANSLATE(B37341,""en"",""zh-CN"")"),"那个男人把男人扔到地上。")</f>
        <v>那个男人把男人扔到地上。</v>
      </c>
    </row>
    <row r="37342">
      <c r="A37342" s="4" t="s">
        <v>46955</v>
      </c>
      <c r="B37342" s="4" t="s">
        <v>46958</v>
      </c>
      <c r="C37342" s="5" t="str">
        <f>IFERROR(__xludf.DUMMYFUNCTION("GOOGLETRANSLATE(B37342,""en"",""zh-CN"")"),"两个人都躺在地面上。")</f>
        <v>两个人都躺在地面上。</v>
      </c>
    </row>
    <row r="37343">
      <c r="A37343" s="4" t="s">
        <v>46959</v>
      </c>
      <c r="B37343" s="4" t="s">
        <v>46960</v>
      </c>
      <c r="C37343" s="5" t="str">
        <f>IFERROR(__xludf.DUMMYFUNCTION("GOOGLETRANSLATE(B37343,""en"",""zh-CN"")"),"球队在球场的一面跑来跑去。")</f>
        <v>球队在球场的一面跑来跑去。</v>
      </c>
    </row>
    <row r="37344">
      <c r="A37344" s="4" t="s">
        <v>46959</v>
      </c>
      <c r="B37344" s="4" t="s">
        <v>46961</v>
      </c>
      <c r="C37344" s="5" t="str">
        <f>IFERROR(__xludf.DUMMYFUNCTION("GOOGLETRANSLATE(B37344,""en"",""zh-CN"")"),"很多人都在庆祝vicory和拥抱。")</f>
        <v>很多人都在庆祝vicory和拥抱。</v>
      </c>
    </row>
    <row r="37345">
      <c r="A37345" s="4" t="s">
        <v>46962</v>
      </c>
      <c r="B37345" s="4" t="s">
        <v>46963</v>
      </c>
      <c r="C37345" s="5" t="str">
        <f>IFERROR(__xludf.DUMMYFUNCTION("GOOGLETRANSLATE(B37345,""en"",""zh-CN"")"),"看到一个人手里拿着酒吧走进框架。")</f>
        <v>看到一个人手里拿着酒吧走进框架。</v>
      </c>
    </row>
    <row r="37346">
      <c r="A37346" s="4" t="s">
        <v>46962</v>
      </c>
      <c r="B37346" s="4" t="s">
        <v>46964</v>
      </c>
      <c r="C37346" s="5" t="str">
        <f>IFERROR(__xludf.DUMMYFUNCTION("GOOGLETRANSLATE(B37346,""en"",""zh-CN"")"),"她放下了标准，并在与观众交谈时开始以肱骨的方式进行锻炼。")</f>
        <v>她放下了标准，并在与观众交谈时开始以肱骨的方式进行锻炼。</v>
      </c>
    </row>
    <row r="37347">
      <c r="A37347" s="4" t="s">
        <v>46962</v>
      </c>
      <c r="B37347" s="4" t="s">
        <v>46965</v>
      </c>
      <c r="C37347" s="5" t="str">
        <f>IFERROR(__xludf.DUMMYFUNCTION("GOOGLETRANSLATE(B37347,""en"",""zh-CN"")"),"观众在她继续在舞台上移动和跳舞时嘲笑她的动作。")</f>
        <v>观众在她继续在舞台上移动和跳舞时嘲笑她的动作。</v>
      </c>
    </row>
    <row r="37348">
      <c r="A37348" s="4" t="s">
        <v>46966</v>
      </c>
      <c r="B37348" s="4" t="s">
        <v>46967</v>
      </c>
      <c r="C37348" s="5" t="str">
        <f>IFERROR(__xludf.DUMMYFUNCTION("GOOGLETRANSLATE(B37348,""en"",""zh-CN"")"),"看到一个秃头的男人在与镜头说话，而另一个男人站在他上方并剪头发。")</f>
        <v>看到一个秃头的男人在与镜头说话，而另一个男人站在他上方并剪头发。</v>
      </c>
    </row>
    <row r="37349">
      <c r="A37349" s="4" t="s">
        <v>46966</v>
      </c>
      <c r="B37349" s="4" t="s">
        <v>46968</v>
      </c>
      <c r="C37349" s="5" t="str">
        <f>IFERROR(__xludf.DUMMYFUNCTION("GOOGLETRANSLATE(B37349,""en"",""zh-CN"")"),"那个坐着的人揉着手，将脸握在手中。")</f>
        <v>那个坐着的人揉着手，将脸握在手中。</v>
      </c>
    </row>
    <row r="37350">
      <c r="A37350" s="4" t="s">
        <v>46969</v>
      </c>
      <c r="B37350" s="4" t="s">
        <v>46970</v>
      </c>
      <c r="C37350" s="5" t="str">
        <f>IFERROR(__xludf.DUMMYFUNCTION("GOOGLETRANSLATE(B37350,""en"",""zh-CN"")"),"看到一个人坐在桌子后面，一张张纸在他周围。")</f>
        <v>看到一个人坐在桌子后面，一张张纸在他周围。</v>
      </c>
    </row>
    <row r="37351">
      <c r="A37351" s="4" t="s">
        <v>46969</v>
      </c>
      <c r="B37351" s="4" t="s">
        <v>46971</v>
      </c>
      <c r="C37351" s="5" t="str">
        <f>IFERROR(__xludf.DUMMYFUNCTION("GOOGLETRANSLATE(B37351,""en"",""zh-CN"")"),"然后，该男子试图解决一个鲁rubix多维数据集，而计时器则获得得分。")</f>
        <v>然后，该男子试图解决一个鲁rubix多维数据集，而计时器则获得得分。</v>
      </c>
    </row>
    <row r="37352">
      <c r="A37352" s="4" t="s">
        <v>46969</v>
      </c>
      <c r="B37352" s="6" t="s">
        <v>46972</v>
      </c>
      <c r="C37352" s="5" t="str">
        <f>IFERROR(__xludf.DUMMYFUNCTION("GOOGLETRANSLATE(B37352,""en"",""zh-CN"")"),"该男子写下了他的分数，该男子试图在男孩提供帮助的同时再解决几次立方体。")</f>
        <v>该男子写下了他的分数，该男子试图在男孩提供帮助的同时再解决几次立方体。</v>
      </c>
    </row>
    <row r="37353">
      <c r="A37353" s="4" t="s">
        <v>46973</v>
      </c>
      <c r="B37353" s="4" t="s">
        <v>46974</v>
      </c>
      <c r="C37353" s="5" t="str">
        <f>IFERROR(__xludf.DUMMYFUNCTION("GOOGLETRANSLATE(B37353,""en"",""zh-CN"")"),"一个男人谈论他今天将如何磨刀。")</f>
        <v>一个男人谈论他今天将如何磨刀。</v>
      </c>
    </row>
    <row r="37354">
      <c r="A37354" s="4" t="s">
        <v>46973</v>
      </c>
      <c r="B37354" s="4" t="s">
        <v>46975</v>
      </c>
      <c r="C37354" s="5" t="str">
        <f>IFERROR(__xludf.DUMMYFUNCTION("GOOGLETRANSLATE(B37354,""en"",""zh-CN"")"),"他展示了他将使用的工具称为厨师选择。")</f>
        <v>他展示了他将使用的工具称为厨师选择。</v>
      </c>
    </row>
    <row r="37355">
      <c r="A37355" s="4" t="s">
        <v>46973</v>
      </c>
      <c r="B37355" s="4" t="s">
        <v>46976</v>
      </c>
      <c r="C37355" s="5" t="str">
        <f>IFERROR(__xludf.DUMMYFUNCTION("GOOGLETRANSLATE(B37355,""en"",""zh-CN"")"),"他展示了如何使用它以及如何用任何一只手使用它。")</f>
        <v>他展示了如何使用它以及如何用任何一只手使用它。</v>
      </c>
    </row>
    <row r="37356">
      <c r="A37356" s="4" t="s">
        <v>46973</v>
      </c>
      <c r="B37356" s="4" t="s">
        <v>46977</v>
      </c>
      <c r="C37356" s="5" t="str">
        <f>IFERROR(__xludf.DUMMYFUNCTION("GOOGLETRANSLATE(B37356,""en"",""zh-CN"")"),"然后，他开始锐化自己的一把刀子。")</f>
        <v>然后，他开始锐化自己的一把刀子。</v>
      </c>
    </row>
    <row r="37357">
      <c r="A37357" s="4" t="s">
        <v>46973</v>
      </c>
      <c r="B37357" s="4" t="s">
        <v>46978</v>
      </c>
      <c r="C37357" s="5" t="str">
        <f>IFERROR(__xludf.DUMMYFUNCTION("GOOGLETRANSLATE(B37357,""en"",""zh-CN"")"),"完成后，他用番茄证明了它的帮助。")</f>
        <v>完成后，他用番茄证明了它的帮助。</v>
      </c>
    </row>
    <row r="37358">
      <c r="A37358" s="4" t="s">
        <v>46979</v>
      </c>
      <c r="B37358" s="4" t="s">
        <v>46980</v>
      </c>
      <c r="C37358" s="5" t="str">
        <f>IFERROR(__xludf.DUMMYFUNCTION("GOOGLETRANSLATE(B37358,""en"",""zh-CN"")"),"一名医务人员正和一个女人坐在桌子旁，与镜头交谈。")</f>
        <v>一名医务人员正和一个女人坐在桌子旁，与镜头交谈。</v>
      </c>
    </row>
    <row r="37359">
      <c r="A37359" s="4" t="s">
        <v>46979</v>
      </c>
      <c r="B37359" s="4" t="s">
        <v>46981</v>
      </c>
      <c r="C37359" s="5" t="str">
        <f>IFERROR(__xludf.DUMMYFUNCTION("GOOGLETRANSLATE(B37359,""en"",""zh-CN"")"),"他移动了一个罐子，并触摸了另外两个罐子。")</f>
        <v>他移动了一个罐子，并触摸了另外两个罐子。</v>
      </c>
    </row>
    <row r="37360">
      <c r="A37360" s="4" t="s">
        <v>46979</v>
      </c>
      <c r="B37360" s="4" t="s">
        <v>46982</v>
      </c>
      <c r="C37360" s="5" t="str">
        <f>IFERROR(__xludf.DUMMYFUNCTION("GOOGLETRANSLATE(B37360,""en"",""zh-CN"")"),"他捡起罐子，将其喷在女人的手臂上并擦拭。")</f>
        <v>他捡起罐子，将其喷在女人的手臂上并擦拭。</v>
      </c>
    </row>
    <row r="37361">
      <c r="A37361" s="4" t="s">
        <v>46979</v>
      </c>
      <c r="B37361" s="4" t="s">
        <v>46983</v>
      </c>
      <c r="C37361" s="5" t="str">
        <f>IFERROR(__xludf.DUMMYFUNCTION("GOOGLETRANSLATE(B37361,""en"",""zh-CN"")"),"他捡起另一个罐子，谈论它，然后再次喷出她的手臂，然后摩擦奶油。")</f>
        <v>他捡起另一个罐子，谈论它，然后再次喷出她的手臂，然后摩擦奶油。</v>
      </c>
    </row>
    <row r="37362">
      <c r="A37362" s="4" t="s">
        <v>46979</v>
      </c>
      <c r="B37362" s="4" t="s">
        <v>46984</v>
      </c>
      <c r="C37362" s="5" t="str">
        <f>IFERROR(__xludf.DUMMYFUNCTION("GOOGLETRANSLATE(B37362,""en"",""zh-CN"")"),"他拿起第三个容器，将其放在她的手臂上，也将其摩擦。")</f>
        <v>他拿起第三个容器，将其放在她的手臂上，也将其摩擦。</v>
      </c>
    </row>
    <row r="37363">
      <c r="A37363" s="4" t="s">
        <v>46979</v>
      </c>
      <c r="B37363" s="4" t="s">
        <v>46985</v>
      </c>
      <c r="C37363" s="5" t="str">
        <f>IFERROR(__xludf.DUMMYFUNCTION("GOOGLETRANSLATE(B37363,""en"",""zh-CN"")"),"他拿起第四个试管，将奶油放在她的手上，然后擦进去。")</f>
        <v>他拿起第四个试管，将奶油放在她的手上，然后擦进去。</v>
      </c>
    </row>
    <row r="37364">
      <c r="A37364" s="4" t="s">
        <v>46979</v>
      </c>
      <c r="B37364" s="4" t="s">
        <v>46986</v>
      </c>
      <c r="C37364" s="5" t="str">
        <f>IFERROR(__xludf.DUMMYFUNCTION("GOOGLETRANSLATE(B37364,""en"",""zh-CN"")"),"他用第五奶油再次做到这一点。")</f>
        <v>他用第五奶油再次做到这一点。</v>
      </c>
    </row>
    <row r="37365">
      <c r="A37365" s="4" t="s">
        <v>46979</v>
      </c>
      <c r="B37365" s="4" t="s">
        <v>46987</v>
      </c>
      <c r="C37365" s="5" t="str">
        <f>IFERROR(__xludf.DUMMYFUNCTION("GOOGLETRANSLATE(B37365,""en"",""zh-CN"")"),"然后，他将棕色粉末粉碎，将其放在相机上，然后将其放回原处。")</f>
        <v>然后，他将棕色粉末粉碎，将其放在相机上，然后将其放回原处。</v>
      </c>
    </row>
    <row r="37366">
      <c r="A37366" s="4" t="s">
        <v>46988</v>
      </c>
      <c r="B37366" s="4" t="s">
        <v>46989</v>
      </c>
      <c r="C37366" s="5" t="str">
        <f>IFERROR(__xludf.DUMMYFUNCTION("GOOGLETRANSLATE(B37366,""en"",""zh-CN"")"),"一个小女孩正在秋天吹叶子。")</f>
        <v>一个小女孩正在秋天吹叶子。</v>
      </c>
    </row>
    <row r="37367">
      <c r="A37367" s="4" t="s">
        <v>46988</v>
      </c>
      <c r="B37367" s="4" t="s">
        <v>46990</v>
      </c>
      <c r="C37367" s="5" t="str">
        <f>IFERROR(__xludf.DUMMYFUNCTION("GOOGLETRANSLATE(B37367,""en"",""zh-CN"")"),"她停了一会儿，可以更好地掌握叶吹风机。")</f>
        <v>她停了一会儿，可以更好地掌握叶吹风机。</v>
      </c>
    </row>
    <row r="37368">
      <c r="A37368" s="4" t="s">
        <v>46988</v>
      </c>
      <c r="B37368" s="4" t="s">
        <v>46991</v>
      </c>
      <c r="C37368" s="5" t="str">
        <f>IFERROR(__xludf.DUMMYFUNCTION("GOOGLETRANSLATE(B37368,""en"",""zh-CN"")"),"她走过一个小男孩，继续吹树叶。")</f>
        <v>她走过一个小男孩，继续吹树叶。</v>
      </c>
    </row>
    <row r="37369">
      <c r="A37369" s="4" t="s">
        <v>46992</v>
      </c>
      <c r="B37369" s="6" t="s">
        <v>46993</v>
      </c>
      <c r="C37369" s="5" t="str">
        <f>IFERROR(__xludf.DUMMYFUNCTION("GOOGLETRANSLATE(B37369,""en"",""zh-CN"")"),"看到一个有小马尾巴的男人沿着绳子行走，另一个男人看着他，在背景中微笑。")</f>
        <v>看到一个有小马尾巴的男人沿着绳子行走，另一个男人看着他，在背景中微笑。</v>
      </c>
    </row>
    <row r="37370">
      <c r="A37370" s="4" t="s">
        <v>46992</v>
      </c>
      <c r="B37370" s="4" t="s">
        <v>46994</v>
      </c>
      <c r="C37370" s="5" t="str">
        <f>IFERROR(__xludf.DUMMYFUNCTION("GOOGLETRANSLATE(B37370,""en"",""zh-CN"")"),"该男子转过身，失去了平衡，掉下了绳索。")</f>
        <v>该男子转过身，失去了平衡，掉下了绳索。</v>
      </c>
    </row>
    <row r="37371">
      <c r="A37371" s="4" t="s">
        <v>46992</v>
      </c>
      <c r="B37371" s="4" t="s">
        <v>46995</v>
      </c>
      <c r="C37371" s="5" t="str">
        <f>IFERROR(__xludf.DUMMYFUNCTION("GOOGLETRANSLATE(B37371,""en"",""zh-CN"")"),"该男子手表试图走路并跌倒。")</f>
        <v>该男子手表试图走路并跌倒。</v>
      </c>
    </row>
    <row r="37372">
      <c r="A37372" s="4" t="s">
        <v>46996</v>
      </c>
      <c r="B37372" s="4" t="s">
        <v>46997</v>
      </c>
      <c r="C37372" s="5" t="str">
        <f>IFERROR(__xludf.DUMMYFUNCTION("GOOGLETRANSLATE(B37372,""en"",""zh-CN"")"),"一个男人在拿着牵引牵引的物体的同时用袋子拿着袋子说话。")</f>
        <v>一个男人在拿着牵引牵引的物体的同时用袋子拿着袋子说话。</v>
      </c>
    </row>
    <row r="37373">
      <c r="A37373" s="4" t="s">
        <v>46996</v>
      </c>
      <c r="B37373" s="4" t="s">
        <v>46998</v>
      </c>
      <c r="C37373" s="5" t="str">
        <f>IFERROR(__xludf.DUMMYFUNCTION("GOOGLETRANSLATE(B37373,""en"",""zh-CN"")"),"场景过渡到被用在狗上的皮带上。")</f>
        <v>场景过渡到被用在狗上的皮带上。</v>
      </c>
    </row>
    <row r="37374">
      <c r="A37374" s="4" t="s">
        <v>46996</v>
      </c>
      <c r="B37374" s="4" t="s">
        <v>46999</v>
      </c>
      <c r="C37374" s="5" t="str">
        <f>IFERROR(__xludf.DUMMYFUNCTION("GOOGLETRANSLATE(B37374,""en"",""zh-CN"")"),"场景过渡到该男子拆卸并重新组装皮带的特写镜头。")</f>
        <v>场景过渡到该男子拆卸并重新组装皮带的特写镜头。</v>
      </c>
    </row>
    <row r="37375">
      <c r="A37375" s="4" t="s">
        <v>46996</v>
      </c>
      <c r="B37375" s="4" t="s">
        <v>47000</v>
      </c>
      <c r="C37375" s="5" t="str">
        <f>IFERROR(__xludf.DUMMYFUNCTION("GOOGLETRANSLATE(B37375,""en"",""zh-CN"")"),"场景再次过渡到牵引的皮带。")</f>
        <v>场景再次过渡到牵引的皮带。</v>
      </c>
    </row>
    <row r="37376">
      <c r="A37376" s="4" t="s">
        <v>46996</v>
      </c>
      <c r="B37376" s="4" t="s">
        <v>47001</v>
      </c>
      <c r="C37376" s="5" t="str">
        <f>IFERROR(__xludf.DUMMYFUNCTION("GOOGLETRANSLATE(B37376,""en"",""zh-CN"")"),"该男子以特写镜头和抚摸狗的特写显示。")</f>
        <v>该男子以特写镜头和抚摸狗的特写显示。</v>
      </c>
    </row>
    <row r="37377">
      <c r="A37377" s="4" t="s">
        <v>47002</v>
      </c>
      <c r="B37377" s="4" t="s">
        <v>47003</v>
      </c>
      <c r="C37377" s="5" t="str">
        <f>IFERROR(__xludf.DUMMYFUNCTION("GOOGLETRANSLATE(B37377,""en"",""zh-CN"")"),"一个女人正在露出指甲。")</f>
        <v>一个女人正在露出指甲。</v>
      </c>
    </row>
    <row r="37378">
      <c r="A37378" s="4" t="s">
        <v>47002</v>
      </c>
      <c r="B37378" s="4" t="s">
        <v>47004</v>
      </c>
      <c r="C37378" s="5" t="str">
        <f>IFERROR(__xludf.DUMMYFUNCTION("GOOGLETRANSLATE(B37378,""en"",""zh-CN"")"),"显示了一瓶丙酮。")</f>
        <v>显示了一瓶丙酮。</v>
      </c>
    </row>
    <row r="37379">
      <c r="A37379" s="4" t="s">
        <v>47002</v>
      </c>
      <c r="B37379" s="4" t="s">
        <v>47005</v>
      </c>
      <c r="C37379" s="5" t="str">
        <f>IFERROR(__xludf.DUMMYFUNCTION("GOOGLETRANSLATE(B37379,""en"",""zh-CN"")"),"丙酮被倒入一个小玻璃杯中。")</f>
        <v>丙酮被倒入一个小玻璃杯中。</v>
      </c>
    </row>
    <row r="37380">
      <c r="A37380" s="4" t="s">
        <v>47002</v>
      </c>
      <c r="B37380" s="4" t="s">
        <v>47006</v>
      </c>
      <c r="C37380" s="5" t="str">
        <f>IFERROR(__xludf.DUMMYFUNCTION("GOOGLETRANSLATE(B37380,""en"",""zh-CN"")"),"一个女人现在拿着餐巾。")</f>
        <v>一个女人现在拿着餐巾。</v>
      </c>
    </row>
    <row r="37381">
      <c r="A37381" s="4" t="s">
        <v>47002</v>
      </c>
      <c r="B37381" s="4" t="s">
        <v>47007</v>
      </c>
      <c r="C37381" s="5" t="str">
        <f>IFERROR(__xludf.DUMMYFUNCTION("GOOGLETRANSLATE(B37381,""en"",""zh-CN"")"),"装满化妆刷。")</f>
        <v>装满化妆刷。</v>
      </c>
    </row>
    <row r="37382">
      <c r="A37382" s="4" t="s">
        <v>47002</v>
      </c>
      <c r="B37382" s="4" t="s">
        <v>47008</v>
      </c>
      <c r="C37382" s="5" t="str">
        <f>IFERROR(__xludf.DUMMYFUNCTION("GOOGLETRANSLATE(B37382,""en"",""zh-CN"")"),"显示了一瓶指甲油。")</f>
        <v>显示了一瓶指甲油。</v>
      </c>
    </row>
    <row r="37383">
      <c r="A37383" s="4" t="s">
        <v>47002</v>
      </c>
      <c r="B37383" s="4" t="s">
        <v>47009</v>
      </c>
      <c r="C37383" s="5" t="str">
        <f>IFERROR(__xludf.DUMMYFUNCTION("GOOGLETRANSLATE(B37383,""en"",""zh-CN"")"),"一个人开始画指甲。")</f>
        <v>一个人开始画指甲。</v>
      </c>
    </row>
    <row r="37384">
      <c r="A37384" s="4" t="s">
        <v>47002</v>
      </c>
      <c r="B37384" s="4" t="s">
        <v>47010</v>
      </c>
      <c r="C37384" s="5" t="str">
        <f>IFERROR(__xludf.DUMMYFUNCTION("GOOGLETRANSLATE(B37384,""en"",""zh-CN"")"),"显示了另一瓶指甲油。")</f>
        <v>显示了另一瓶指甲油。</v>
      </c>
    </row>
    <row r="37385">
      <c r="A37385" s="4" t="s">
        <v>47002</v>
      </c>
      <c r="B37385" s="4" t="s">
        <v>47011</v>
      </c>
      <c r="C37385" s="5" t="str">
        <f>IFERROR(__xludf.DUMMYFUNCTION("GOOGLETRANSLATE(B37385,""en"",""zh-CN"")"),"该人继续绘画指甲。")</f>
        <v>该人继续绘画指甲。</v>
      </c>
    </row>
    <row r="37386">
      <c r="A37386" s="4" t="s">
        <v>47002</v>
      </c>
      <c r="B37386" s="4" t="s">
        <v>47012</v>
      </c>
      <c r="C37386" s="5" t="str">
        <f>IFERROR(__xludf.DUMMYFUNCTION("GOOGLETRANSLATE(B37386,""en"",""zh-CN"")"),"他们使用化妆刷并将其浸入丙酮中。")</f>
        <v>他们使用化妆刷并将其浸入丙酮中。</v>
      </c>
    </row>
    <row r="37387">
      <c r="A37387" s="4" t="s">
        <v>47002</v>
      </c>
      <c r="B37387" s="4" t="s">
        <v>47013</v>
      </c>
      <c r="C37387" s="5" t="str">
        <f>IFERROR(__xludf.DUMMYFUNCTION("GOOGLETRANSLATE(B37387,""en"",""zh-CN"")"),"他们在指甲上擦刷子。")</f>
        <v>他们在指甲上擦刷子。</v>
      </c>
    </row>
    <row r="37388">
      <c r="A37388" s="4" t="s">
        <v>47002</v>
      </c>
      <c r="B37388" s="4" t="s">
        <v>47014</v>
      </c>
      <c r="C37388" s="5" t="str">
        <f>IFERROR(__xludf.DUMMYFUNCTION("GOOGLETRANSLATE(B37388,""en"",""zh-CN"")"),"他们使用木棍清洁指甲的侧面。")</f>
        <v>他们使用木棍清洁指甲的侧面。</v>
      </c>
    </row>
    <row r="37389">
      <c r="A37389" s="4" t="s">
        <v>47002</v>
      </c>
      <c r="B37389" s="4" t="s">
        <v>47015</v>
      </c>
      <c r="C37389" s="5" t="str">
        <f>IFERROR(__xludf.DUMMYFUNCTION("GOOGLETRANSLATE(B37389,""en"",""zh-CN"")"),"显示了一瓶透明的指甲油。")</f>
        <v>显示了一瓶透明的指甲油。</v>
      </c>
    </row>
    <row r="37390">
      <c r="A37390" s="4" t="s">
        <v>47002</v>
      </c>
      <c r="B37390" s="4" t="s">
        <v>47016</v>
      </c>
      <c r="C37390" s="5" t="str">
        <f>IFERROR(__xludf.DUMMYFUNCTION("GOOGLETRANSLATE(B37390,""en"",""zh-CN"")"),"然后，她将其涂在指甲上。")</f>
        <v>然后，她将其涂在指甲上。</v>
      </c>
    </row>
    <row r="37391">
      <c r="A37391" s="4" t="s">
        <v>47017</v>
      </c>
      <c r="B37391" s="4" t="s">
        <v>47018</v>
      </c>
      <c r="C37391" s="5" t="str">
        <f>IFERROR(__xludf.DUMMYFUNCTION("GOOGLETRANSLATE(B37391,""en"",""zh-CN"")"),"我们看到一位女士拿着长笛。")</f>
        <v>我们看到一位女士拿着长笛。</v>
      </c>
    </row>
    <row r="37392">
      <c r="A37392" s="4" t="s">
        <v>47017</v>
      </c>
      <c r="B37392" s="4" t="s">
        <v>47019</v>
      </c>
      <c r="C37392" s="5" t="str">
        <f>IFERROR(__xludf.DUMMYFUNCTION("GOOGLETRANSLATE(B37392,""en"",""zh-CN"")"),"我们看到歌曲标题。")</f>
        <v>我们看到歌曲标题。</v>
      </c>
    </row>
    <row r="37393">
      <c r="A37393" s="4" t="s">
        <v>47017</v>
      </c>
      <c r="B37393" s="4" t="s">
        <v>47020</v>
      </c>
      <c r="C37393" s="5" t="str">
        <f>IFERROR(__xludf.DUMMYFUNCTION("GOOGLETRANSLATE(B37393,""en"",""zh-CN"")"),"我们看到一位女士在长笛上表演一首歌。")</f>
        <v>我们看到一位女士在长笛上表演一首歌。</v>
      </c>
    </row>
    <row r="37394">
      <c r="A37394" s="4" t="s">
        <v>47017</v>
      </c>
      <c r="B37394" s="4" t="s">
        <v>47021</v>
      </c>
      <c r="C37394" s="5" t="str">
        <f>IFERROR(__xludf.DUMMYFUNCTION("GOOGLETRANSLATE(B37394,""en"",""zh-CN"")"),"女孩停下来再次玩耍。")</f>
        <v>女孩停下来再次玩耍。</v>
      </c>
    </row>
    <row r="37395">
      <c r="A37395" s="4" t="s">
        <v>47017</v>
      </c>
      <c r="B37395" s="4" t="s">
        <v>47022</v>
      </c>
      <c r="C37395" s="5" t="str">
        <f>IFERROR(__xludf.DUMMYFUNCTION("GOOGLETRANSLATE(B37395,""en"",""zh-CN"")"),"女孩在镜头里打完了，笑了。")</f>
        <v>女孩在镜头里打完了，笑了。</v>
      </c>
    </row>
    <row r="37396">
      <c r="A37396" s="4" t="s">
        <v>47023</v>
      </c>
      <c r="B37396" s="4" t="s">
        <v>47024</v>
      </c>
      <c r="C37396" s="5" t="str">
        <f>IFERROR(__xludf.DUMMYFUNCTION("GOOGLETRANSLATE(B37396,""en"",""zh-CN"")"),"青少年在椭圆形赛道上驾驶电动保险杠汽车，而人们在篱笆后面观看。")</f>
        <v>青少年在椭圆形赛道上驾驶电动保险杠汽车，而人们在篱笆后面观看。</v>
      </c>
    </row>
    <row r="37397">
      <c r="A37397" s="4" t="s">
        <v>47023</v>
      </c>
      <c r="B37397" s="4" t="s">
        <v>47025</v>
      </c>
      <c r="C37397" s="5" t="str">
        <f>IFERROR(__xludf.DUMMYFUNCTION("GOOGLETRANSLATE(B37397,""en"",""zh-CN"")"),"两个穿着黄色汽车的女孩被卡住了，但后来他们继续开车。")</f>
        <v>两个穿着黄色汽车的女孩被卡住了，但后来他们继续开车。</v>
      </c>
    </row>
    <row r="37398">
      <c r="A37398" s="4" t="s">
        <v>47023</v>
      </c>
      <c r="B37398" s="6" t="s">
        <v>47026</v>
      </c>
      <c r="C37398" s="5" t="str">
        <f>IFERROR(__xludf.DUMMYFUNCTION("GOOGLETRANSLATE(B37398,""en"",""zh-CN"")"),"所有的汽车都被困在赛道上，然后一辆汽车驶出，其他汽车可以自由继续驾驶。")</f>
        <v>所有的汽车都被困在赛道上，然后一辆汽车驶出，其他汽车可以自由继续驾驶。</v>
      </c>
    </row>
    <row r="37399">
      <c r="A37399" s="4" t="s">
        <v>47023</v>
      </c>
      <c r="B37399" s="4" t="s">
        <v>47027</v>
      </c>
      <c r="C37399" s="5" t="str">
        <f>IFERROR(__xludf.DUMMYFUNCTION("GOOGLETRANSLATE(B37399,""en"",""zh-CN"")"),"然后，所有汽车都停下来，这名少年赶出了汽车。")</f>
        <v>然后，所有汽车都停下来，这名少年赶出了汽车。</v>
      </c>
    </row>
    <row r="37400">
      <c r="A37400" s="4" t="s">
        <v>47028</v>
      </c>
      <c r="B37400" s="4" t="s">
        <v>1251</v>
      </c>
      <c r="C37400" s="5" t="str">
        <f>IFERROR(__xludf.DUMMYFUNCTION("GOOGLETRANSLATE(B37400,""en"",""zh-CN"")"),"显示了剪辑的信用。")</f>
        <v>显示了剪辑的信用。</v>
      </c>
    </row>
    <row r="37401">
      <c r="A37401" s="4" t="s">
        <v>47028</v>
      </c>
      <c r="B37401" s="4" t="s">
        <v>47029</v>
      </c>
      <c r="C37401" s="5" t="str">
        <f>IFERROR(__xludf.DUMMYFUNCTION("GOOGLETRANSLATE(B37401,""en"",""zh-CN"")"),"提出了撑杆跳的说明。")</f>
        <v>提出了撑杆跳的说明。</v>
      </c>
    </row>
    <row r="37402">
      <c r="A37402" s="4" t="s">
        <v>47028</v>
      </c>
      <c r="B37402" s="4" t="s">
        <v>47030</v>
      </c>
      <c r="C37402" s="5" t="str">
        <f>IFERROR(__xludf.DUMMYFUNCTION("GOOGLETRANSLATE(B37402,""en"",""zh-CN"")"),"一个人握着一个细长的空心棍子。")</f>
        <v>一个人握着一个细长的空心棍子。</v>
      </c>
    </row>
    <row r="37403">
      <c r="A37403" s="4" t="s">
        <v>47028</v>
      </c>
      <c r="B37403" s="4" t="s">
        <v>47031</v>
      </c>
      <c r="C37403" s="5" t="str">
        <f>IFERROR(__xludf.DUMMYFUNCTION("GOOGLETRANSLATE(B37403,""en"",""zh-CN"")"),"一个家伙用细长的棍子奔跑，并用它来提高自己的障碍。")</f>
        <v>一个家伙用细长的棍子奔跑，并用它来提高自己的障碍。</v>
      </c>
    </row>
    <row r="37404">
      <c r="A37404" s="4" t="s">
        <v>47028</v>
      </c>
      <c r="B37404" s="4" t="s">
        <v>47032</v>
      </c>
      <c r="C37404" s="5" t="str">
        <f>IFERROR(__xludf.DUMMYFUNCTION("GOOGLETRANSLATE(B37404,""en"",""zh-CN"")"),"障碍的顶部崩溃了。")</f>
        <v>障碍的顶部崩溃了。</v>
      </c>
    </row>
    <row r="37405">
      <c r="A37405" s="4" t="s">
        <v>47028</v>
      </c>
      <c r="B37405" s="4" t="s">
        <v>47033</v>
      </c>
      <c r="C37405" s="5" t="str">
        <f>IFERROR(__xludf.DUMMYFUNCTION("GOOGLETRANSLATE(B37405,""en"",""zh-CN"")"),"一个男人用细长的棍子将自己提升到高度的障碍上。")</f>
        <v>一个男人用细长的棍子将自己提升到高度的障碍上。</v>
      </c>
    </row>
    <row r="37406">
      <c r="A37406" s="4" t="s">
        <v>47028</v>
      </c>
      <c r="B37406" s="4" t="s">
        <v>573</v>
      </c>
      <c r="C37406" s="5" t="str">
        <f>IFERROR(__xludf.DUMMYFUNCTION("GOOGLETRANSLATE(B37406,""en"",""zh-CN"")"),"显示了视频的积分。")</f>
        <v>显示了视频的积分。</v>
      </c>
    </row>
    <row r="37407">
      <c r="A37407" s="4" t="s">
        <v>47034</v>
      </c>
      <c r="B37407" s="4" t="s">
        <v>47035</v>
      </c>
      <c r="C37407" s="5" t="str">
        <f>IFERROR(__xludf.DUMMYFUNCTION("GOOGLETRANSLATE(B37407,""en"",""zh-CN"")"),"有两个男孩在玩岩石，纸，剪刀。")</f>
        <v>有两个男孩在玩岩石，纸，剪刀。</v>
      </c>
    </row>
    <row r="37408">
      <c r="A37408" s="4" t="s">
        <v>47034</v>
      </c>
      <c r="B37408" s="4" t="s">
        <v>47036</v>
      </c>
      <c r="C37408" s="5" t="str">
        <f>IFERROR(__xludf.DUMMYFUNCTION("GOOGLETRANSLATE(B37408,""en"",""zh-CN"")"),"首先，他们玩一场比赛，那个赤膊失败并拍打的男孩。")</f>
        <v>首先，他们玩一场比赛，那个赤膊失败并拍打的男孩。</v>
      </c>
    </row>
    <row r="37409">
      <c r="A37409" s="4" t="s">
        <v>47034</v>
      </c>
      <c r="B37409" s="4" t="s">
        <v>47037</v>
      </c>
      <c r="C37409" s="5" t="str">
        <f>IFERROR(__xludf.DUMMYFUNCTION("GOOGLETRANSLATE(B37409,""en"",""zh-CN"")"),"接下来，他们又打了两场比赛，一个人赢了，赤裸裸的男孩输了。")</f>
        <v>接下来，他们又打了两场比赛，一个人赢了，赤裸裸的男孩输了。</v>
      </c>
    </row>
    <row r="37410">
      <c r="A37410" s="4" t="s">
        <v>47034</v>
      </c>
      <c r="B37410" s="4" t="s">
        <v>47038</v>
      </c>
      <c r="C37410" s="5" t="str">
        <f>IFERROR(__xludf.DUMMYFUNCTION("GOOGLETRANSLATE(B37410,""en"",""zh-CN"")"),"然后，穿着毛衣的男孩失去了，另一个男孩拍了他。")</f>
        <v>然后，穿着毛衣的男孩失去了，另一个男孩拍了他。</v>
      </c>
    </row>
    <row r="37411">
      <c r="A37411" s="4" t="s">
        <v>47039</v>
      </c>
      <c r="B37411" s="4" t="s">
        <v>47040</v>
      </c>
      <c r="C37411" s="5" t="str">
        <f>IFERROR(__xludf.DUMMYFUNCTION("GOOGLETRANSLATE(B37411,""en"",""zh-CN"")"),"一个秃头的人站在一栋工业大楼里，天花板上有很多玻璃。")</f>
        <v>一个秃头的人站在一栋工业大楼里，天花板上有很多玻璃。</v>
      </c>
    </row>
    <row r="37412">
      <c r="A37412" s="4" t="s">
        <v>47039</v>
      </c>
      <c r="B37412" s="4" t="s">
        <v>47041</v>
      </c>
      <c r="C37412" s="5" t="str">
        <f>IFERROR(__xludf.DUMMYFUNCTION("GOOGLETRANSLATE(B37412,""en"",""zh-CN"")"),"然后，男性的朋友抓住酒吧，开始举重和抽搐。")</f>
        <v>然后，男性的朋友抓住酒吧，开始举重和抽搐。</v>
      </c>
    </row>
    <row r="37413">
      <c r="A37413" s="4" t="s">
        <v>47039</v>
      </c>
      <c r="B37413" s="4" t="s">
        <v>47042</v>
      </c>
      <c r="C37413" s="5" t="str">
        <f>IFERROR(__xludf.DUMMYFUNCTION("GOOGLETRANSLATE(B37413,""en"",""zh-CN"")"),"所有的行动都在继续，但随着各种各样的人加紧抓住标准，有不同的人。")</f>
        <v>所有的行动都在继续，但随着各种各样的人加紧抓住标准，有不同的人。</v>
      </c>
    </row>
    <row r="37414">
      <c r="A37414" s="4" t="s">
        <v>47043</v>
      </c>
      <c r="B37414" s="4" t="s">
        <v>47044</v>
      </c>
      <c r="C37414" s="5" t="str">
        <f>IFERROR(__xludf.DUMMYFUNCTION("GOOGLETRANSLATE(B37414,""en"",""zh-CN"")"),"人们在海洋中冲浪，一个人在巨大的浪潮中通过。")</f>
        <v>人们在海洋中冲浪，一个人在巨大的浪潮中通过。</v>
      </c>
    </row>
    <row r="37415">
      <c r="A37415" s="4" t="s">
        <v>47043</v>
      </c>
      <c r="B37415" s="4" t="s">
        <v>47045</v>
      </c>
      <c r="C37415" s="5" t="str">
        <f>IFERROR(__xludf.DUMMYFUNCTION("GOOGLETRANSLATE(B37415,""en"",""zh-CN"")"),"一个人沿着海滩冲浪。")</f>
        <v>一个人沿着海滩冲浪。</v>
      </c>
    </row>
    <row r="37416">
      <c r="A37416" s="4" t="s">
        <v>47043</v>
      </c>
      <c r="B37416" s="4" t="s">
        <v>47046</v>
      </c>
      <c r="C37416" s="5" t="str">
        <f>IFERROR(__xludf.DUMMYFUNCTION("GOOGLETRANSLATE(B37416,""en"",""zh-CN"")"),"然后，那个男人拿起冲浪板并在高波中返回冲浪后，拿出水。")</f>
        <v>然后，那个男人拿起冲浪板并在高波中返回冲浪后，拿出水。</v>
      </c>
    </row>
    <row r="37417">
      <c r="A37417" s="4" t="s">
        <v>47043</v>
      </c>
      <c r="B37417" s="4" t="s">
        <v>47047</v>
      </c>
      <c r="C37417" s="5" t="str">
        <f>IFERROR(__xludf.DUMMYFUNCTION("GOOGLETRANSLATE(B37417,""en"",""zh-CN"")"),"人们在海滩游泳。")</f>
        <v>人们在海滩游泳。</v>
      </c>
    </row>
    <row r="37418">
      <c r="A37418" s="4" t="s">
        <v>47048</v>
      </c>
      <c r="B37418" s="4" t="s">
        <v>47049</v>
      </c>
      <c r="C37418" s="5" t="str">
        <f>IFERROR(__xludf.DUMMYFUNCTION("GOOGLETRANSLATE(B37418,""en"",""zh-CN"")"),"人们聚集在餐厅里，然后炊具在交谈时展示意大利面和食材。")</f>
        <v>人们聚集在餐厅里，然后炊具在交谈时展示意大利面和食材。</v>
      </c>
    </row>
    <row r="37419">
      <c r="A37419" s="4" t="s">
        <v>47048</v>
      </c>
      <c r="B37419" s="4" t="s">
        <v>47050</v>
      </c>
      <c r="C37419" s="5" t="str">
        <f>IFERROR(__xludf.DUMMYFUNCTION("GOOGLETRANSLATE(B37419,""en"",""zh-CN"")"),"炊具在锅中切下薯条，然后添加盐和醋。")</f>
        <v>炊具在锅中切下薯条，然后添加盐和醋。</v>
      </c>
    </row>
    <row r="37420">
      <c r="A37420" s="4" t="s">
        <v>47048</v>
      </c>
      <c r="B37420" s="6" t="s">
        <v>47051</v>
      </c>
      <c r="C37420" s="5" t="str">
        <f>IFERROR(__xludf.DUMMYFUNCTION("GOOGLETRANSLATE(B37420,""en"",""zh-CN"")"),"然后，炊具切西红柿并加入鱿鱼，还加入大蒜，胡椒和绿色蔬菜。")</f>
        <v>然后，炊具切西红柿并加入鱿鱼，还加入大蒜，胡椒和绿色蔬菜。</v>
      </c>
    </row>
    <row r="37421">
      <c r="A37421" s="4" t="s">
        <v>47048</v>
      </c>
      <c r="B37421" s="4" t="s">
        <v>47052</v>
      </c>
      <c r="C37421" s="5" t="str">
        <f>IFERROR(__xludf.DUMMYFUNCTION("GOOGLETRANSLATE(B37421,""en"",""zh-CN"")"),"之后，炊具加水，并用铝纸覆盖锅。")</f>
        <v>之后，炊具加水，并用铝纸覆盖锅。</v>
      </c>
    </row>
    <row r="37422">
      <c r="A37422" s="4" t="s">
        <v>47048</v>
      </c>
      <c r="B37422" s="4" t="s">
        <v>47053</v>
      </c>
      <c r="C37422" s="5" t="str">
        <f>IFERROR(__xludf.DUMMYFUNCTION("GOOGLETRANSLATE(B37422,""en"",""zh-CN"")"),"接下来，炊具将面食添加到鱿鱼中并混合，然后在聊天时他并在盘子中食用。")</f>
        <v>接下来，炊具将面食添加到鱿鱼中并混合，然后在聊天时他并在盘子中食用。</v>
      </c>
    </row>
  </sheetData>
  <drawing r:id="rId1"/>
</worksheet>
</file>